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49.xml" ContentType="application/vnd.ms-excel.controlproperties+xml"/>
  <Override PartName="/xl/ctrlProps/ctrlProp50.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11.xml" ContentType="application/vnd.openxmlformats-officedocument.spreadsheetml.comments+xml"/>
  <Override PartName="/xl/drawings/drawing10.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2.xml" ContentType="application/vnd.openxmlformats-officedocument.spreadsheetml.comments+xml"/>
  <Override PartName="/xl/drawings/drawing11.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drawings/drawing12.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omments13.xml" ContentType="application/vnd.openxmlformats-officedocument.spreadsheetml.comments+xml"/>
  <Override PartName="/xl/drawings/drawing13.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14.xml" ContentType="application/vnd.openxmlformats-officedocument.spreadsheetml.comments+xml"/>
  <Override PartName="/xl/drawings/drawing14.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harts/chart5.xml" ContentType="application/vnd.openxmlformats-officedocument.drawingml.chart+xml"/>
  <Override PartName="/xl/drawings/drawing15.xml" ContentType="application/vnd.openxmlformats-officedocument.drawing+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drawings/drawing16.xml" ContentType="application/vnd.openxmlformats-officedocument.drawing+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drawings/drawing17.xml" ContentType="application/vnd.openxmlformats-officedocument.drawing+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drawings/drawing18.xml" ContentType="application/vnd.openxmlformats-officedocument.drawing+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drawings/drawing19.xml" ContentType="application/vnd.openxmlformats-officedocument.drawing+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drawings/drawing20.xml" ContentType="application/vnd.openxmlformats-officedocument.drawing+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drawings/drawing21.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omments15.xml" ContentType="application/vnd.openxmlformats-officedocument.spreadsheetml.comments+xml"/>
  <Override PartName="/xl/drawings/drawing22.xml" ContentType="application/vnd.openxmlformats-officedocument.drawing+xml"/>
  <Override PartName="/xl/ctrlProps/ctrlProp157.xml" ContentType="application/vnd.ms-excel.controlproperties+xml"/>
  <Override PartName="/xl/ctrlProps/ctrlProp158.xml" ContentType="application/vnd.ms-excel.controlproperties+xml"/>
  <Override PartName="/xl/drawings/drawing23.xml" ContentType="application/vnd.openxmlformats-officedocument.drawing+xml"/>
  <Override PartName="/xl/ctrlProps/ctrlProp159.xml" ContentType="application/vnd.ms-excel.controlproperties+xml"/>
  <Override PartName="/xl/drawings/drawing24.xml" ContentType="application/vnd.openxmlformats-officedocument.drawing+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d.docs.live.net/f8f5f0d02f0ae444/Desktop/HVAC_Toolbox_Pro_App/HVAC Tool/"/>
    </mc:Choice>
  </mc:AlternateContent>
  <xr:revisionPtr revIDLastSave="0" documentId="11_24065CB38B945020CE63C45A68DEF1C2CEF10C3A" xr6:coauthVersionLast="47" xr6:coauthVersionMax="47" xr10:uidLastSave="{00000000-0000-0000-0000-000000000000}"/>
  <bookViews>
    <workbookView xWindow="10430" yWindow="2630" windowWidth="24250" windowHeight="17730" tabRatio="842" activeTab="18" xr2:uid="{00000000-000D-0000-FFFF-FFFF00000000}"/>
  </bookViews>
  <sheets>
    <sheet name="Home" sheetId="27" r:id="rId1"/>
    <sheet name="Air-side" sheetId="38" r:id="rId2"/>
    <sheet name="Coil" sheetId="20" r:id="rId3"/>
    <sheet name="Coil Support" sheetId="112" state="hidden" r:id="rId4"/>
    <sheet name="Wheel" sheetId="116" r:id="rId5"/>
    <sheet name="Wheel Support" sheetId="117" state="hidden" r:id="rId6"/>
    <sheet name="Psychrometric Chart" sheetId="41" r:id="rId7"/>
    <sheet name="Supporting 1" sheetId="42" state="hidden" r:id="rId8"/>
    <sheet name="Supporting 2" sheetId="43" state="hidden" r:id="rId9"/>
    <sheet name="Supporting 2.1" sheetId="44" state="hidden" r:id="rId10"/>
    <sheet name="Supporting 3" sheetId="45" state="hidden" r:id="rId11"/>
    <sheet name="Supporting 3.1" sheetId="46" state="hidden" r:id="rId12"/>
    <sheet name="Supporting 4" sheetId="47" state="hidden" r:id="rId13"/>
    <sheet name="Supporting 4.1" sheetId="48" state="hidden" r:id="rId14"/>
    <sheet name="Supproting 5" sheetId="49" state="hidden" r:id="rId15"/>
    <sheet name="Supporting 5.1" sheetId="50" state="hidden" r:id="rId16"/>
    <sheet name="Supporting 6" sheetId="51" state="hidden" r:id="rId17"/>
    <sheet name="Supporting 6.1" sheetId="52" state="hidden" r:id="rId18"/>
    <sheet name="Pipe Sizing" sheetId="40" r:id="rId19"/>
    <sheet name="Motor" sheetId="25" r:id="rId20"/>
    <sheet name="Acoustics" sheetId="30" r:id="rId21"/>
    <sheet name="Chiller" sheetId="57" r:id="rId22"/>
    <sheet name="Boiler" sheetId="59" r:id="rId23"/>
    <sheet name="Hx" sheetId="63" r:id="rId24"/>
    <sheet name="AHU" sheetId="113" r:id="rId25"/>
    <sheet name="Fan" sheetId="58" r:id="rId26"/>
    <sheet name="FCU" sheetId="56" r:id="rId27"/>
    <sheet name="SAC" sheetId="111" r:id="rId28"/>
    <sheet name="Insulations" sheetId="22" r:id="rId29"/>
    <sheet name="PN" sheetId="65" r:id="rId30"/>
    <sheet name="NPSH" sheetId="61" r:id="rId31"/>
    <sheet name="SPF(PRC)" sheetId="107" r:id="rId32"/>
    <sheet name="Website" sheetId="62" r:id="rId33"/>
    <sheet name="Supplier" sheetId="66" r:id="rId34"/>
  </sheets>
  <definedNames>
    <definedName name="_xlnm._FilterDatabase" localSheetId="18" hidden="1">'Pipe Sizing'!$CI$32:$CK$68</definedName>
    <definedName name="_xlnm.Print_Area" localSheetId="24">AHU!$B$2:$AG$39</definedName>
    <definedName name="_xlnm.Print_Area" localSheetId="1">'Air-side'!$B$2:$AG$33</definedName>
    <definedName name="_xlnm.Print_Area" localSheetId="22">Boiler!$B$2:$AC$47</definedName>
    <definedName name="_xlnm.Print_Area" localSheetId="21">Chiller!$B$2:$AG$41</definedName>
    <definedName name="_xlnm.Print_Area" localSheetId="2">Coil!$B$2:$BI$47</definedName>
    <definedName name="_xlnm.Print_Area" localSheetId="25">Fan!$B$2:$AM$45</definedName>
    <definedName name="_xlnm.Print_Area" localSheetId="26">FCU!$B$2:$CB$24</definedName>
    <definedName name="_xlnm.Print_Area" localSheetId="0">Home!$U$2:$AI$38</definedName>
    <definedName name="_xlnm.Print_Area" localSheetId="23">Hx!$B$2:$I$36</definedName>
    <definedName name="_xlnm.Print_Area" localSheetId="28">Insulations!$B$2:$T$34</definedName>
    <definedName name="_xlnm.Print_Area" localSheetId="19">Motor!$B$2:$BL$39</definedName>
    <definedName name="_xlnm.Print_Area" localSheetId="30">NPSH!$B$2:$O$36</definedName>
    <definedName name="_xlnm.Print_Area" localSheetId="18">'Pipe Sizing'!$B$2:$CG$44</definedName>
    <definedName name="_xlnm.Print_Area" localSheetId="29">PN!$B$2:$R$21</definedName>
    <definedName name="_xlnm.Print_Area" localSheetId="6">'Psychrometric Chart'!$B$2:$I$25</definedName>
    <definedName name="_xlnm.Print_Area" localSheetId="27">SAC!$B$2:$BG$43</definedName>
    <definedName name="_xlnm.Print_Area" localSheetId="31">'SPF(PRC)'!$B$2:$O$27</definedName>
    <definedName name="_xlnm.Print_Area" localSheetId="33">Supplier!$B$2:$DP$95</definedName>
    <definedName name="_xlnm.Print_Area" localSheetId="32">Website!$B$2:$H$10</definedName>
    <definedName name="_xlnm.Print_Area" localSheetId="4">Wheel!$B$2:$AC$45</definedName>
    <definedName name="Z_9BA1C86F_DB82_40B0_B617_94E45017AA76_.wvu.Cols" localSheetId="31" hidden="1">'SPF(PRC)'!#REF!</definedName>
    <definedName name="Z_A7567D59_565D_4475_8FA3_463A711B6E2E_.wvu.Cols" localSheetId="31" hidden="1">'SPF(PRC)'!#REF!</definedName>
    <definedName name="Z_AD25ABD3_9744_40D0_8611_6B3E2F863915_.wvu.Cols" localSheetId="31" hidden="1">'SPF(PRC)'!#REF!</definedName>
    <definedName name="Z_C91DE923_ED14_4ADF_9988_7753330DA2E8_.wvu.Cols" localSheetId="31" hidden="1">'SPF(PRC)'!#REF!</definedName>
  </definedNames>
  <calcPr calcId="181029"/>
</workbook>
</file>

<file path=xl/calcChain.xml><?xml version="1.0" encoding="utf-8"?>
<calcChain xmlns="http://schemas.openxmlformats.org/spreadsheetml/2006/main">
  <c r="B20" i="107" l="1"/>
  <c r="B19" i="107"/>
  <c r="C16" i="107"/>
  <c r="C13" i="107"/>
  <c r="C10" i="107"/>
  <c r="B24" i="107" s="1"/>
  <c r="E9" i="107"/>
  <c r="C9" i="107"/>
  <c r="C20" i="107" s="1"/>
  <c r="B7" i="107"/>
  <c r="C40" i="61"/>
  <c r="C41" i="61" s="1"/>
  <c r="D40" i="61" s="1"/>
  <c r="F24" i="61"/>
  <c r="F25" i="61" s="1"/>
  <c r="F21" i="61"/>
  <c r="F20" i="61"/>
  <c r="F15" i="61"/>
  <c r="AK48" i="65"/>
  <c r="AJ48" i="65" s="1"/>
  <c r="AI48" i="65" s="1"/>
  <c r="AH48" i="65"/>
  <c r="AJ47" i="65"/>
  <c r="AK47" i="65" s="1"/>
  <c r="AI46" i="65"/>
  <c r="AH46" i="65" s="1"/>
  <c r="AJ46" i="65" s="1"/>
  <c r="AK46" i="65" s="1"/>
  <c r="AH45" i="65"/>
  <c r="AJ45" i="65" s="1"/>
  <c r="AK45" i="65" s="1"/>
  <c r="AJ38" i="65"/>
  <c r="AG38" i="65"/>
  <c r="AG37" i="65"/>
  <c r="AK35" i="65"/>
  <c r="AJ37" i="65" s="1"/>
  <c r="AG34" i="65"/>
  <c r="AG32" i="65"/>
  <c r="AG31" i="65"/>
  <c r="Y20" i="65"/>
  <c r="AG36" i="65" s="1"/>
  <c r="L20" i="65"/>
  <c r="AG21" i="65" s="1"/>
  <c r="AG19" i="65"/>
  <c r="AA19" i="65"/>
  <c r="AC19" i="65" s="1"/>
  <c r="Y19" i="65"/>
  <c r="N19" i="65"/>
  <c r="P19" i="65" s="1"/>
  <c r="L19" i="65"/>
  <c r="AG18" i="65"/>
  <c r="Y18" i="65"/>
  <c r="AG30" i="65" s="1"/>
  <c r="L18" i="65"/>
  <c r="AG11" i="65" s="1"/>
  <c r="AJ17" i="65"/>
  <c r="AG17" i="65"/>
  <c r="AC17" i="65"/>
  <c r="AA17" i="65"/>
  <c r="Y17" i="65"/>
  <c r="N17" i="65"/>
  <c r="P17" i="65" s="1"/>
  <c r="L17" i="65"/>
  <c r="AG16" i="65"/>
  <c r="AK14" i="65"/>
  <c r="AJ16" i="65" s="1"/>
  <c r="Y14" i="65"/>
  <c r="AN27" i="65" s="1"/>
  <c r="L14" i="65"/>
  <c r="AN6" i="65" s="1"/>
  <c r="U13" i="65"/>
  <c r="H13" i="65"/>
  <c r="C13" i="65"/>
  <c r="AG12" i="65"/>
  <c r="C12" i="65"/>
  <c r="C11" i="65"/>
  <c r="C10" i="65"/>
  <c r="AD8" i="65"/>
  <c r="AB8" i="65"/>
  <c r="Z8" i="65"/>
  <c r="X8" i="65" s="1"/>
  <c r="AK27" i="65" s="1"/>
  <c r="AJ30" i="65" s="1"/>
  <c r="Q8" i="65"/>
  <c r="O8" i="65"/>
  <c r="M8" i="65" s="1"/>
  <c r="K8" i="65"/>
  <c r="AK6" i="65" s="1"/>
  <c r="U7" i="65"/>
  <c r="H7" i="65"/>
  <c r="AK59" i="22"/>
  <c r="AJ59" i="22"/>
  <c r="AI59" i="22"/>
  <c r="AH59" i="22"/>
  <c r="AG59" i="22"/>
  <c r="AF59" i="22"/>
  <c r="AE59" i="22"/>
  <c r="AD59" i="22"/>
  <c r="AC59" i="22"/>
  <c r="AB59" i="22"/>
  <c r="AK45" i="22"/>
  <c r="AJ45" i="22"/>
  <c r="AI45" i="22"/>
  <c r="AH45" i="22"/>
  <c r="AG45" i="22"/>
  <c r="AF45" i="22"/>
  <c r="AE45" i="22"/>
  <c r="AD45" i="22"/>
  <c r="AC45" i="22"/>
  <c r="AB45" i="22"/>
  <c r="S21" i="22"/>
  <c r="S23" i="22" s="1"/>
  <c r="S18" i="22"/>
  <c r="S13" i="22"/>
  <c r="S28" i="22" s="1"/>
  <c r="E13" i="22"/>
  <c r="X23" i="22" s="1"/>
  <c r="X11" i="22"/>
  <c r="W24" i="22" s="1"/>
  <c r="E9" i="22"/>
  <c r="V26" i="22" s="1"/>
  <c r="AQ5" i="22"/>
  <c r="AQ6" i="22" s="1"/>
  <c r="AQ7" i="22" s="1"/>
  <c r="AN5" i="22"/>
  <c r="F5" i="22"/>
  <c r="AR4" i="22"/>
  <c r="AK3" i="22"/>
  <c r="AJ3" i="22"/>
  <c r="AI3" i="22"/>
  <c r="AH3" i="22"/>
  <c r="AG3" i="22"/>
  <c r="AF3" i="22"/>
  <c r="AE3" i="22"/>
  <c r="AD3" i="22"/>
  <c r="AC3" i="22"/>
  <c r="AB3" i="22"/>
  <c r="BW86" i="111"/>
  <c r="BV86" i="111"/>
  <c r="BU86" i="111"/>
  <c r="CC85" i="111"/>
  <c r="BY85" i="111"/>
  <c r="BX85" i="111"/>
  <c r="BW85" i="111"/>
  <c r="CC81" i="111"/>
  <c r="BZ81" i="111"/>
  <c r="BX81" i="111"/>
  <c r="BV81" i="111"/>
  <c r="BU81" i="111"/>
  <c r="CC80" i="111"/>
  <c r="CC77" i="111"/>
  <c r="CB77" i="111"/>
  <c r="BV75" i="111"/>
  <c r="BU75" i="111"/>
  <c r="CB73" i="111"/>
  <c r="CA73" i="111"/>
  <c r="BZ73" i="111"/>
  <c r="BX73" i="111"/>
  <c r="BV73" i="111"/>
  <c r="BU73" i="111"/>
  <c r="CC71" i="111"/>
  <c r="CA69" i="111"/>
  <c r="BZ69" i="111"/>
  <c r="BY69" i="111"/>
  <c r="BW69" i="111"/>
  <c r="BV69" i="111"/>
  <c r="BU69" i="111"/>
  <c r="CC68" i="111"/>
  <c r="CB68" i="111"/>
  <c r="BZ66" i="111"/>
  <c r="BY66" i="111"/>
  <c r="BX66" i="111"/>
  <c r="BV66" i="111"/>
  <c r="BU66" i="111"/>
  <c r="CC65" i="111"/>
  <c r="CB65" i="111"/>
  <c r="CA65" i="111"/>
  <c r="BU64" i="111"/>
  <c r="BX62" i="111"/>
  <c r="BU62" i="111"/>
  <c r="CC59" i="111"/>
  <c r="BT23" i="111" s="1"/>
  <c r="CB59" i="111"/>
  <c r="CA59" i="111"/>
  <c r="BZ57" i="111"/>
  <c r="BY57" i="111"/>
  <c r="BX57" i="111"/>
  <c r="BW57" i="111"/>
  <c r="CA55" i="111"/>
  <c r="BZ55" i="111"/>
  <c r="BY55" i="111"/>
  <c r="BZ54" i="111"/>
  <c r="BY54" i="111"/>
  <c r="BX54" i="111"/>
  <c r="BW54" i="111"/>
  <c r="CC53" i="111"/>
  <c r="BZ53" i="111"/>
  <c r="BW53" i="111"/>
  <c r="BV53" i="111"/>
  <c r="BU53" i="111"/>
  <c r="BU52" i="111"/>
  <c r="BL13" i="111" s="1"/>
  <c r="CC50" i="111"/>
  <c r="BZ50" i="111"/>
  <c r="BW50" i="111"/>
  <c r="BV50" i="111"/>
  <c r="BU50" i="111"/>
  <c r="AM48" i="111"/>
  <c r="CC47" i="111"/>
  <c r="CB47" i="111"/>
  <c r="BS8" i="111" s="1"/>
  <c r="CA47" i="111"/>
  <c r="BZ47" i="111"/>
  <c r="BY47" i="111"/>
  <c r="BX47" i="111"/>
  <c r="BW47" i="111"/>
  <c r="BV47" i="111"/>
  <c r="BL39" i="111"/>
  <c r="CB87" i="111" s="1"/>
  <c r="BG31" i="111"/>
  <c r="AZ31" i="111"/>
  <c r="AY31" i="111"/>
  <c r="BG30" i="111"/>
  <c r="BF30" i="111"/>
  <c r="BE30" i="111"/>
  <c r="BD30" i="111"/>
  <c r="BC30" i="111"/>
  <c r="BB30" i="111"/>
  <c r="BA30" i="111"/>
  <c r="BG29" i="111"/>
  <c r="BF29" i="111"/>
  <c r="BE29" i="111"/>
  <c r="BD29" i="111"/>
  <c r="BC29" i="111"/>
  <c r="BB29" i="111"/>
  <c r="BA29" i="111"/>
  <c r="AZ29" i="111"/>
  <c r="X29" i="111"/>
  <c r="X27" i="111"/>
  <c r="AM121" i="111" s="1"/>
  <c r="BF26" i="111"/>
  <c r="BE26" i="111"/>
  <c r="BD26" i="111"/>
  <c r="BC26" i="111"/>
  <c r="BB26" i="111"/>
  <c r="BA26" i="111"/>
  <c r="AZ26" i="111"/>
  <c r="AY26" i="111"/>
  <c r="AO25" i="111"/>
  <c r="AN25" i="111" s="1"/>
  <c r="AL25" i="111" s="1"/>
  <c r="AN24" i="111"/>
  <c r="AL24" i="111" s="1"/>
  <c r="AO24" i="111" s="1"/>
  <c r="BD23" i="111"/>
  <c r="BC23" i="111"/>
  <c r="BB23" i="111"/>
  <c r="BA23" i="111"/>
  <c r="AZ23" i="111"/>
  <c r="AY23" i="111"/>
  <c r="AO23" i="111"/>
  <c r="AM23" i="111"/>
  <c r="AL23" i="111"/>
  <c r="AK23" i="111" s="1"/>
  <c r="AN23" i="111" s="1"/>
  <c r="BD22" i="111"/>
  <c r="BB22" i="111"/>
  <c r="BA22" i="111"/>
  <c r="AZ22" i="111"/>
  <c r="AY22" i="111"/>
  <c r="AO22" i="111"/>
  <c r="AM22" i="111"/>
  <c r="AL22" i="111"/>
  <c r="AK22" i="111" s="1"/>
  <c r="AN22" i="111" s="1"/>
  <c r="BG21" i="111"/>
  <c r="BB21" i="111"/>
  <c r="AZ21" i="111"/>
  <c r="AY21" i="111"/>
  <c r="AK21" i="111"/>
  <c r="W19" i="111"/>
  <c r="BG18" i="111"/>
  <c r="BF18" i="111"/>
  <c r="BA18" i="111"/>
  <c r="AY18" i="111"/>
  <c r="BG15" i="111"/>
  <c r="BF15" i="111"/>
  <c r="BE15" i="111"/>
  <c r="BD15" i="111"/>
  <c r="BC15" i="111"/>
  <c r="BB15" i="111"/>
  <c r="BA15" i="111"/>
  <c r="BG14" i="111"/>
  <c r="BE14" i="111"/>
  <c r="BD14" i="111"/>
  <c r="BC14" i="111"/>
  <c r="BB14" i="111"/>
  <c r="BA14" i="111"/>
  <c r="AZ14" i="111"/>
  <c r="AY14" i="111"/>
  <c r="C14" i="111"/>
  <c r="BD13" i="111"/>
  <c r="BB13" i="111"/>
  <c r="BA13" i="111"/>
  <c r="AZ13" i="111"/>
  <c r="AY13" i="111"/>
  <c r="C13" i="111"/>
  <c r="C12" i="111"/>
  <c r="C11" i="111"/>
  <c r="BT10" i="111"/>
  <c r="BC10" i="111"/>
  <c r="BA10" i="111"/>
  <c r="AZ10" i="111"/>
  <c r="AY10" i="111"/>
  <c r="C10" i="111"/>
  <c r="BT8" i="111"/>
  <c r="BC8" i="111"/>
  <c r="BA8" i="111"/>
  <c r="AZ8" i="111"/>
  <c r="AY8" i="111"/>
  <c r="BG6" i="111"/>
  <c r="BF6" i="111"/>
  <c r="BE6" i="111"/>
  <c r="BD6" i="111"/>
  <c r="BC6" i="111"/>
  <c r="BW75" i="56"/>
  <c r="BS75" i="56"/>
  <c r="BW74" i="56"/>
  <c r="BS74" i="56"/>
  <c r="BW73" i="56"/>
  <c r="BS73" i="56"/>
  <c r="BW72" i="56"/>
  <c r="BS72" i="56"/>
  <c r="BW71" i="56"/>
  <c r="BS71" i="56"/>
  <c r="BW70" i="56"/>
  <c r="BS70" i="56"/>
  <c r="BW69" i="56"/>
  <c r="BS69" i="56"/>
  <c r="BW68" i="56"/>
  <c r="BS68" i="56"/>
  <c r="BH68" i="56"/>
  <c r="BG68" i="56"/>
  <c r="BF68" i="56"/>
  <c r="BW67" i="56"/>
  <c r="BS67" i="56"/>
  <c r="BH67" i="56"/>
  <c r="BG67" i="56"/>
  <c r="BF67" i="56"/>
  <c r="BW66" i="56"/>
  <c r="BS66" i="56"/>
  <c r="BH66" i="56"/>
  <c r="BG66" i="56"/>
  <c r="BF66" i="56"/>
  <c r="BW65" i="56"/>
  <c r="BS65" i="56"/>
  <c r="BH65" i="56"/>
  <c r="BG65" i="56"/>
  <c r="BF65" i="56"/>
  <c r="BW64" i="56"/>
  <c r="BS64" i="56"/>
  <c r="BH64" i="56"/>
  <c r="BG64" i="56"/>
  <c r="BF64" i="56"/>
  <c r="BW63" i="56"/>
  <c r="BS63" i="56"/>
  <c r="BH63" i="56"/>
  <c r="BG63" i="56"/>
  <c r="BF63" i="56"/>
  <c r="BW62" i="56"/>
  <c r="BS62" i="56"/>
  <c r="BH62" i="56"/>
  <c r="BG62" i="56"/>
  <c r="BF62" i="56"/>
  <c r="BW61" i="56"/>
  <c r="BS61" i="56"/>
  <c r="BH61" i="56"/>
  <c r="BG61" i="56"/>
  <c r="BF61" i="56"/>
  <c r="BW60" i="56"/>
  <c r="BS60" i="56"/>
  <c r="BH60" i="56"/>
  <c r="BG60" i="56"/>
  <c r="BF60" i="56"/>
  <c r="BW59" i="56"/>
  <c r="BS59" i="56"/>
  <c r="BH59" i="56"/>
  <c r="BG59" i="56"/>
  <c r="BF59" i="56"/>
  <c r="BW58" i="56"/>
  <c r="BS58" i="56"/>
  <c r="BH58" i="56"/>
  <c r="BG58" i="56"/>
  <c r="BF58" i="56"/>
  <c r="BW57" i="56"/>
  <c r="BS57" i="56"/>
  <c r="BH57" i="56"/>
  <c r="BG57" i="56"/>
  <c r="BF57" i="56"/>
  <c r="BW56" i="56"/>
  <c r="BS56" i="56"/>
  <c r="BH56" i="56"/>
  <c r="BG56" i="56"/>
  <c r="BF56" i="56"/>
  <c r="BW55" i="56"/>
  <c r="BS55" i="56"/>
  <c r="BH55" i="56"/>
  <c r="BG55" i="56"/>
  <c r="BF55" i="56"/>
  <c r="BW54" i="56"/>
  <c r="BS54" i="56"/>
  <c r="BH54" i="56"/>
  <c r="BG54" i="56"/>
  <c r="BF54" i="56"/>
  <c r="CB53" i="56"/>
  <c r="CA53" i="56"/>
  <c r="BW53" i="56"/>
  <c r="BS53" i="56"/>
  <c r="BH53" i="56"/>
  <c r="BG53" i="56"/>
  <c r="BF53" i="56"/>
  <c r="CB52" i="56"/>
  <c r="CA52" i="56"/>
  <c r="BW52" i="56"/>
  <c r="BS52" i="56"/>
  <c r="BH52" i="56"/>
  <c r="BG52" i="56"/>
  <c r="BF52" i="56"/>
  <c r="CB51" i="56"/>
  <c r="CA51" i="56"/>
  <c r="BW51" i="56"/>
  <c r="BS51" i="56"/>
  <c r="BH51" i="56"/>
  <c r="BG51" i="56"/>
  <c r="BF51" i="56"/>
  <c r="CB50" i="56"/>
  <c r="CA50" i="56"/>
  <c r="BW50" i="56"/>
  <c r="BS50" i="56"/>
  <c r="BH50" i="56"/>
  <c r="BH77" i="56" s="1"/>
  <c r="P11" i="56" s="1"/>
  <c r="BG50" i="56"/>
  <c r="BF50" i="56"/>
  <c r="BF77" i="56" s="1"/>
  <c r="N11" i="56" s="1"/>
  <c r="CB49" i="56"/>
  <c r="CA49" i="56"/>
  <c r="BW49" i="56"/>
  <c r="BS49" i="56"/>
  <c r="BH49" i="56"/>
  <c r="BG49" i="56"/>
  <c r="BF49" i="56"/>
  <c r="CB48" i="56"/>
  <c r="CA48" i="56"/>
  <c r="BW48" i="56"/>
  <c r="BS48" i="56"/>
  <c r="BH48" i="56"/>
  <c r="BG48" i="56"/>
  <c r="BF48" i="56"/>
  <c r="CB47" i="56"/>
  <c r="CA47" i="56"/>
  <c r="BW47" i="56"/>
  <c r="BS47" i="56"/>
  <c r="BH47" i="56"/>
  <c r="BG47" i="56"/>
  <c r="BF47" i="56"/>
  <c r="CB46" i="56"/>
  <c r="CA46" i="56"/>
  <c r="BW46" i="56"/>
  <c r="BS46" i="56"/>
  <c r="BH46" i="56"/>
  <c r="BH73" i="56" s="1"/>
  <c r="P7" i="56" s="1"/>
  <c r="BG46" i="56"/>
  <c r="BF46" i="56"/>
  <c r="CB45" i="56"/>
  <c r="CA45" i="56"/>
  <c r="BW45" i="56"/>
  <c r="BS45" i="56"/>
  <c r="BH45" i="56"/>
  <c r="BG45" i="56"/>
  <c r="BF45" i="56"/>
  <c r="BF72" i="56" s="1"/>
  <c r="BW44" i="56"/>
  <c r="BS44" i="56"/>
  <c r="BW43" i="56"/>
  <c r="BS43" i="56"/>
  <c r="BT39" i="56"/>
  <c r="BD39" i="56"/>
  <c r="BC39" i="56"/>
  <c r="AW39" i="56" s="1"/>
  <c r="BB39" i="56"/>
  <c r="AY39" i="56"/>
  <c r="AU39" i="56"/>
  <c r="AR39" i="56" s="1"/>
  <c r="AT39" i="56"/>
  <c r="AN39" i="56" s="1"/>
  <c r="AS39" i="56"/>
  <c r="AQ39" i="56"/>
  <c r="AP39" i="56"/>
  <c r="AM39" i="56"/>
  <c r="AL39" i="56"/>
  <c r="AJ39" i="56" s="1"/>
  <c r="AK39" i="56"/>
  <c r="AI39" i="56"/>
  <c r="AG39" i="56"/>
  <c r="AA39" i="56"/>
  <c r="CB38" i="56"/>
  <c r="BT38" i="56"/>
  <c r="BD38" i="56"/>
  <c r="AX38" i="56" s="1"/>
  <c r="BC38" i="56"/>
  <c r="AZ38" i="56" s="1"/>
  <c r="BB38" i="56"/>
  <c r="AY38" i="56"/>
  <c r="AU38" i="56"/>
  <c r="AO38" i="56" s="1"/>
  <c r="AT38" i="56"/>
  <c r="AS38" i="56"/>
  <c r="AR38" i="56"/>
  <c r="AP38" i="56"/>
  <c r="AM38" i="56"/>
  <c r="AL38" i="56"/>
  <c r="AH38" i="56" s="1"/>
  <c r="V38" i="56" s="1"/>
  <c r="AJ38" i="56"/>
  <c r="X38" i="56" s="1"/>
  <c r="BT37" i="56"/>
  <c r="BD37" i="56"/>
  <c r="BC37" i="56"/>
  <c r="BB37" i="56"/>
  <c r="AY37" i="56"/>
  <c r="AU37" i="56"/>
  <c r="AR37" i="56" s="1"/>
  <c r="AT37" i="56"/>
  <c r="AQ37" i="56" s="1"/>
  <c r="AS37" i="56"/>
  <c r="AP37" i="56"/>
  <c r="AN37" i="56"/>
  <c r="AM37" i="56"/>
  <c r="AK37" i="56" s="1"/>
  <c r="AL37" i="56"/>
  <c r="CA36" i="56"/>
  <c r="BT36" i="56"/>
  <c r="BD36" i="56"/>
  <c r="BA36" i="56" s="1"/>
  <c r="BC36" i="56"/>
  <c r="AZ36" i="56" s="1"/>
  <c r="BB36" i="56"/>
  <c r="AY36" i="56"/>
  <c r="AX36" i="56"/>
  <c r="AW36" i="56"/>
  <c r="AU36" i="56"/>
  <c r="AT36" i="56"/>
  <c r="AS36" i="56"/>
  <c r="AP36" i="56"/>
  <c r="AM36" i="56"/>
  <c r="AK36" i="56" s="1"/>
  <c r="Y36" i="56" s="1"/>
  <c r="AL36" i="56"/>
  <c r="AJ36" i="56" s="1"/>
  <c r="X36" i="56" s="1"/>
  <c r="AE36" i="56"/>
  <c r="BT35" i="56"/>
  <c r="BD35" i="56"/>
  <c r="BC35" i="56"/>
  <c r="AW35" i="56" s="1"/>
  <c r="BB35" i="56"/>
  <c r="AZ35" i="56"/>
  <c r="AY35" i="56"/>
  <c r="AU35" i="56"/>
  <c r="AR35" i="56" s="1"/>
  <c r="AT35" i="56"/>
  <c r="AS35" i="56"/>
  <c r="AP35" i="56"/>
  <c r="AO35" i="56"/>
  <c r="AM35" i="56"/>
  <c r="AL35" i="56"/>
  <c r="AH35" i="56" s="1"/>
  <c r="BT34" i="56"/>
  <c r="BD34" i="56"/>
  <c r="BC34" i="56"/>
  <c r="AZ34" i="56" s="1"/>
  <c r="BB34" i="56"/>
  <c r="BA34" i="56"/>
  <c r="AY34" i="56"/>
  <c r="AX34" i="56"/>
  <c r="AW34" i="56"/>
  <c r="AU34" i="56"/>
  <c r="AO34" i="56" s="1"/>
  <c r="AT34" i="56"/>
  <c r="AQ34" i="56" s="1"/>
  <c r="AS34" i="56"/>
  <c r="AR34" i="56"/>
  <c r="AP34" i="56"/>
  <c r="AM34" i="56"/>
  <c r="AL34" i="56"/>
  <c r="AK34" i="56"/>
  <c r="Y34" i="56" s="1"/>
  <c r="AJ34" i="56"/>
  <c r="AI34" i="56"/>
  <c r="AH34" i="56"/>
  <c r="AG34" i="56"/>
  <c r="AF34" i="56"/>
  <c r="AE34" i="56"/>
  <c r="AD34" i="56"/>
  <c r="AA34" i="56"/>
  <c r="Z34" i="56"/>
  <c r="X34" i="56"/>
  <c r="CA33" i="56"/>
  <c r="BT33" i="56"/>
  <c r="BE33" i="56"/>
  <c r="BA33" i="56"/>
  <c r="BD33" i="56" s="1"/>
  <c r="AZ33" i="56"/>
  <c r="AW33" i="56" s="1"/>
  <c r="AY33" i="56"/>
  <c r="AV33" i="56"/>
  <c r="AR33" i="56"/>
  <c r="AQ33" i="56"/>
  <c r="AP33" i="56"/>
  <c r="AM33" i="56"/>
  <c r="AG33" i="56"/>
  <c r="AE33" i="56" s="1"/>
  <c r="AK33" i="56" s="1"/>
  <c r="AF33" i="56"/>
  <c r="BT32" i="56"/>
  <c r="BE32" i="56"/>
  <c r="BC32" i="56"/>
  <c r="BA32" i="56"/>
  <c r="AZ32" i="56"/>
  <c r="AW32" i="56" s="1"/>
  <c r="AY32" i="56"/>
  <c r="AV32" i="56"/>
  <c r="AU32" i="56"/>
  <c r="AT32" i="56"/>
  <c r="AR32" i="56"/>
  <c r="AO32" i="56" s="1"/>
  <c r="AQ32" i="56"/>
  <c r="AN32" i="56" s="1"/>
  <c r="AP32" i="56"/>
  <c r="AI32" i="56"/>
  <c r="AG32" i="56"/>
  <c r="AC32" i="56" s="1"/>
  <c r="W32" i="56" s="1"/>
  <c r="AF32" i="56"/>
  <c r="AB32" i="56" s="1"/>
  <c r="V32" i="56" s="1"/>
  <c r="BT31" i="56"/>
  <c r="CB31" i="56" s="1"/>
  <c r="BE31" i="56"/>
  <c r="BD31" i="56"/>
  <c r="BA31" i="56"/>
  <c r="AX31" i="56" s="1"/>
  <c r="AZ31" i="56"/>
  <c r="BC31" i="56" s="1"/>
  <c r="AY31" i="56"/>
  <c r="AV31" i="56"/>
  <c r="AR31" i="56"/>
  <c r="AO31" i="56" s="1"/>
  <c r="AQ31" i="56"/>
  <c r="AN31" i="56" s="1"/>
  <c r="AP31" i="56"/>
  <c r="AM31" i="56"/>
  <c r="AG31" i="56"/>
  <c r="AE31" i="56" s="1"/>
  <c r="AF31" i="56"/>
  <c r="AL31" i="56" s="1"/>
  <c r="AD31" i="56"/>
  <c r="AC31" i="56"/>
  <c r="AA31" i="56"/>
  <c r="CA30" i="56"/>
  <c r="BT30" i="56"/>
  <c r="BE30" i="56"/>
  <c r="BC30" i="56"/>
  <c r="BA30" i="56"/>
  <c r="AX30" i="56" s="1"/>
  <c r="AZ30" i="56"/>
  <c r="AY30" i="56"/>
  <c r="AW30" i="56"/>
  <c r="AV30" i="56"/>
  <c r="AT30" i="56"/>
  <c r="AR30" i="56"/>
  <c r="AU30" i="56" s="1"/>
  <c r="AQ30" i="56"/>
  <c r="AN30" i="56" s="1"/>
  <c r="AP30" i="56"/>
  <c r="AL30" i="56"/>
  <c r="AG30" i="56"/>
  <c r="AA30" i="56" s="1"/>
  <c r="AF30" i="56"/>
  <c r="AD30" i="56" s="1"/>
  <c r="X30" i="56" s="1"/>
  <c r="CA29" i="56"/>
  <c r="BT29" i="56"/>
  <c r="BE29" i="56"/>
  <c r="BD29" i="56"/>
  <c r="BA29" i="56"/>
  <c r="AX29" i="56" s="1"/>
  <c r="AZ29" i="56"/>
  <c r="AY29" i="56"/>
  <c r="AV29" i="56"/>
  <c r="AR29" i="56"/>
  <c r="AU29" i="56" s="1"/>
  <c r="AQ29" i="56"/>
  <c r="AN29" i="56" s="1"/>
  <c r="AP29" i="56"/>
  <c r="AO29" i="56"/>
  <c r="AG29" i="56"/>
  <c r="AA29" i="56" s="1"/>
  <c r="AF29" i="56"/>
  <c r="AD29" i="56" s="1"/>
  <c r="AC29" i="56"/>
  <c r="BT28" i="56"/>
  <c r="BE28" i="56"/>
  <c r="BD28" i="56"/>
  <c r="BA28" i="56"/>
  <c r="AX28" i="56" s="1"/>
  <c r="AZ28" i="56"/>
  <c r="BC28" i="56" s="1"/>
  <c r="AY28" i="56"/>
  <c r="AV28" i="56"/>
  <c r="AR28" i="56"/>
  <c r="AU28" i="56" s="1"/>
  <c r="AQ28" i="56"/>
  <c r="AT28" i="56" s="1"/>
  <c r="AP28" i="56"/>
  <c r="AN28" i="56"/>
  <c r="AG28" i="56"/>
  <c r="AE28" i="56" s="1"/>
  <c r="AK28" i="56" s="1"/>
  <c r="AF28" i="56"/>
  <c r="AB28" i="56" s="1"/>
  <c r="AH28" i="56" s="1"/>
  <c r="AD28" i="56"/>
  <c r="AJ28" i="56" s="1"/>
  <c r="X28" i="56"/>
  <c r="V28" i="56"/>
  <c r="CB27" i="56"/>
  <c r="CC27" i="56" s="1"/>
  <c r="BW27" i="56" s="1"/>
  <c r="BT27" i="56"/>
  <c r="CA27" i="56" s="1"/>
  <c r="BE27" i="56"/>
  <c r="BD27" i="56"/>
  <c r="BA27" i="56"/>
  <c r="AY27" i="56"/>
  <c r="AX27" i="56"/>
  <c r="AV27" i="56"/>
  <c r="AU27" i="56"/>
  <c r="AR27" i="56"/>
  <c r="AP27" i="56"/>
  <c r="AO27" i="56"/>
  <c r="AM27" i="56"/>
  <c r="AL27" i="56"/>
  <c r="AK27" i="56"/>
  <c r="AJ27" i="56"/>
  <c r="AE27" i="56"/>
  <c r="AD27" i="56"/>
  <c r="AA27" i="56"/>
  <c r="Z27" i="56"/>
  <c r="Y27" i="56"/>
  <c r="X27" i="56"/>
  <c r="CB26" i="56"/>
  <c r="BT26" i="56"/>
  <c r="BE26" i="56"/>
  <c r="BD26" i="56"/>
  <c r="BA26" i="56"/>
  <c r="AY26" i="56"/>
  <c r="AX26" i="56"/>
  <c r="AV26" i="56"/>
  <c r="AU26" i="56"/>
  <c r="AR26" i="56"/>
  <c r="AP26" i="56"/>
  <c r="AO26" i="56"/>
  <c r="AM26" i="56"/>
  <c r="AL26" i="56"/>
  <c r="AK26" i="56"/>
  <c r="AJ26" i="56"/>
  <c r="AE26" i="56"/>
  <c r="AD26" i="56"/>
  <c r="AA26" i="56"/>
  <c r="Z26" i="56"/>
  <c r="Y26" i="56"/>
  <c r="X26" i="56"/>
  <c r="BT25" i="56"/>
  <c r="BE25" i="56"/>
  <c r="BD25" i="56"/>
  <c r="BA25" i="56"/>
  <c r="AY25" i="56"/>
  <c r="AX25" i="56"/>
  <c r="AV25" i="56"/>
  <c r="AU25" i="56"/>
  <c r="AR25" i="56"/>
  <c r="AP25" i="56"/>
  <c r="AO25" i="56"/>
  <c r="AM25" i="56"/>
  <c r="AL25" i="56"/>
  <c r="AK25" i="56"/>
  <c r="AJ25" i="56"/>
  <c r="AE25" i="56"/>
  <c r="AD25" i="56"/>
  <c r="AA25" i="56"/>
  <c r="Z25" i="56"/>
  <c r="Y25" i="56"/>
  <c r="X25" i="56"/>
  <c r="CA24" i="56"/>
  <c r="BT24" i="56"/>
  <c r="BE24" i="56"/>
  <c r="BD24" i="56"/>
  <c r="BA24" i="56"/>
  <c r="AY24" i="56"/>
  <c r="AX24" i="56"/>
  <c r="AV24" i="56"/>
  <c r="AU24" i="56"/>
  <c r="AR24" i="56"/>
  <c r="AP24" i="56"/>
  <c r="AO24" i="56"/>
  <c r="AM24" i="56"/>
  <c r="AL24" i="56"/>
  <c r="AK24" i="56"/>
  <c r="AJ24" i="56"/>
  <c r="AE24" i="56"/>
  <c r="AD24" i="56"/>
  <c r="AA24" i="56"/>
  <c r="Z24" i="56"/>
  <c r="Y24" i="56"/>
  <c r="X24" i="56"/>
  <c r="BT23" i="56"/>
  <c r="BE23" i="56"/>
  <c r="BD23" i="56"/>
  <c r="BA23" i="56"/>
  <c r="AY23" i="56"/>
  <c r="AX23" i="56"/>
  <c r="AV23" i="56"/>
  <c r="AU23" i="56"/>
  <c r="AR23" i="56"/>
  <c r="AP23" i="56"/>
  <c r="AO23" i="56"/>
  <c r="AM23" i="56"/>
  <c r="AL23" i="56"/>
  <c r="AK23" i="56"/>
  <c r="AJ23" i="56"/>
  <c r="AE23" i="56"/>
  <c r="AD23" i="56"/>
  <c r="AA23" i="56"/>
  <c r="Z23" i="56"/>
  <c r="Y23" i="56"/>
  <c r="X23" i="56"/>
  <c r="BT22" i="56"/>
  <c r="BE22" i="56"/>
  <c r="BD22" i="56"/>
  <c r="BA22" i="56"/>
  <c r="AY22" i="56"/>
  <c r="AX22" i="56"/>
  <c r="AV22" i="56"/>
  <c r="AU22" i="56"/>
  <c r="AR22" i="56"/>
  <c r="AP22" i="56"/>
  <c r="AO22" i="56"/>
  <c r="AM22" i="56"/>
  <c r="AL22" i="56"/>
  <c r="AK22" i="56"/>
  <c r="AJ22" i="56"/>
  <c r="AE22" i="56"/>
  <c r="AD22" i="56"/>
  <c r="AA22" i="56"/>
  <c r="Z22" i="56"/>
  <c r="Y22" i="56"/>
  <c r="X22" i="56"/>
  <c r="BT21" i="56"/>
  <c r="BD21" i="56"/>
  <c r="BC21" i="56"/>
  <c r="AX21" i="56"/>
  <c r="AW21" i="56"/>
  <c r="AU21" i="56"/>
  <c r="AT21" i="56"/>
  <c r="AO21" i="56"/>
  <c r="AN21" i="56"/>
  <c r="AM21" i="56"/>
  <c r="AI21" i="56" s="1"/>
  <c r="AL21" i="56"/>
  <c r="AJ21" i="56" s="1"/>
  <c r="AH21" i="56"/>
  <c r="AA21" i="56"/>
  <c r="Y21" i="56" s="1"/>
  <c r="Z21" i="56"/>
  <c r="X21" i="56" s="1"/>
  <c r="BT20" i="56"/>
  <c r="CA20" i="56" s="1"/>
  <c r="BD20" i="56"/>
  <c r="BC20" i="56"/>
  <c r="AX20" i="56"/>
  <c r="AW20" i="56"/>
  <c r="AU20" i="56"/>
  <c r="AT20" i="56"/>
  <c r="AO20" i="56"/>
  <c r="AN20" i="56"/>
  <c r="AM20" i="56"/>
  <c r="AI20" i="56" s="1"/>
  <c r="AL20" i="56"/>
  <c r="AH20" i="56" s="1"/>
  <c r="AA20" i="56"/>
  <c r="Y20" i="56" s="1"/>
  <c r="Z20" i="56"/>
  <c r="X20" i="56" s="1"/>
  <c r="BT19" i="56"/>
  <c r="BD19" i="56"/>
  <c r="BC19" i="56"/>
  <c r="AX19" i="56"/>
  <c r="AW19" i="56"/>
  <c r="AU19" i="56"/>
  <c r="AT19" i="56"/>
  <c r="AO19" i="56"/>
  <c r="AN19" i="56"/>
  <c r="AM19" i="56"/>
  <c r="AK19" i="56" s="1"/>
  <c r="AL19" i="56"/>
  <c r="AJ19" i="56"/>
  <c r="AH19" i="56"/>
  <c r="AA19" i="56"/>
  <c r="W19" i="56" s="1"/>
  <c r="Z19" i="56"/>
  <c r="BT18" i="56"/>
  <c r="BD18" i="56"/>
  <c r="BC18" i="56"/>
  <c r="AX18" i="56"/>
  <c r="AW18" i="56"/>
  <c r="AU18" i="56"/>
  <c r="AT18" i="56"/>
  <c r="AO18" i="56"/>
  <c r="AN18" i="56"/>
  <c r="AM18" i="56"/>
  <c r="AI18" i="56" s="1"/>
  <c r="AL18" i="56"/>
  <c r="AJ18" i="56" s="1"/>
  <c r="AK18" i="56"/>
  <c r="AA18" i="56"/>
  <c r="Y18" i="56" s="1"/>
  <c r="Z18" i="56"/>
  <c r="V18" i="56" s="1"/>
  <c r="W18" i="56"/>
  <c r="BT17" i="56"/>
  <c r="BD17" i="56"/>
  <c r="BC17" i="56"/>
  <c r="AX17" i="56"/>
  <c r="AW17" i="56"/>
  <c r="AU17" i="56"/>
  <c r="AT17" i="56"/>
  <c r="AO17" i="56"/>
  <c r="AN17" i="56"/>
  <c r="AM17" i="56"/>
  <c r="AI17" i="56" s="1"/>
  <c r="AL17" i="56"/>
  <c r="AH17" i="56" s="1"/>
  <c r="AA17" i="56"/>
  <c r="Y17" i="56" s="1"/>
  <c r="Z17" i="56"/>
  <c r="X17" i="56" s="1"/>
  <c r="CA16" i="56"/>
  <c r="BT16" i="56"/>
  <c r="BP16" i="56"/>
  <c r="BZ54" i="56" s="1"/>
  <c r="BO16" i="56"/>
  <c r="BN16" i="56"/>
  <c r="BN17" i="56" s="1"/>
  <c r="BM16" i="56"/>
  <c r="BL16" i="56"/>
  <c r="BZ46" i="56" s="1"/>
  <c r="BK16" i="56"/>
  <c r="BD16" i="56"/>
  <c r="BC16" i="56"/>
  <c r="AX16" i="56"/>
  <c r="AW16" i="56"/>
  <c r="AU16" i="56"/>
  <c r="AT16" i="56"/>
  <c r="AO16" i="56"/>
  <c r="AN16" i="56"/>
  <c r="AM16" i="56"/>
  <c r="AI16" i="56" s="1"/>
  <c r="AL16" i="56"/>
  <c r="AJ16" i="56"/>
  <c r="AH16" i="56"/>
  <c r="AA16" i="56"/>
  <c r="Y16" i="56" s="1"/>
  <c r="Z16" i="56"/>
  <c r="X16" i="56" s="1"/>
  <c r="V16" i="56"/>
  <c r="CB15" i="56"/>
  <c r="CA15" i="56"/>
  <c r="BT15" i="56"/>
  <c r="BP15" i="56"/>
  <c r="BO15" i="56"/>
  <c r="BN15" i="56"/>
  <c r="BM15" i="56"/>
  <c r="BL15" i="56"/>
  <c r="BT14" i="56"/>
  <c r="BP14" i="56"/>
  <c r="BO14" i="56"/>
  <c r="BN14" i="56"/>
  <c r="BM14" i="56"/>
  <c r="BL14" i="56"/>
  <c r="BT13" i="56"/>
  <c r="BP13" i="56"/>
  <c r="BO13" i="56"/>
  <c r="BN13" i="56"/>
  <c r="BM13" i="56"/>
  <c r="BL13" i="56"/>
  <c r="F13" i="56"/>
  <c r="BT12" i="56"/>
  <c r="BP12" i="56"/>
  <c r="BO12" i="56"/>
  <c r="BN12" i="56"/>
  <c r="BM12" i="56"/>
  <c r="BL12" i="56"/>
  <c r="CA11" i="56"/>
  <c r="BT11" i="56"/>
  <c r="BP11" i="56"/>
  <c r="BO11" i="56"/>
  <c r="BN11" i="56"/>
  <c r="BM11" i="56"/>
  <c r="BL11" i="56"/>
  <c r="H11" i="56"/>
  <c r="CA10" i="56"/>
  <c r="BT10" i="56"/>
  <c r="BP10" i="56"/>
  <c r="BO10" i="56"/>
  <c r="BN10" i="56"/>
  <c r="BM10" i="56"/>
  <c r="BL10" i="56"/>
  <c r="H10" i="56"/>
  <c r="BT9" i="56"/>
  <c r="H9" i="56"/>
  <c r="BT8" i="56"/>
  <c r="H8" i="56"/>
  <c r="BT7" i="56"/>
  <c r="H7" i="56"/>
  <c r="N6" i="56"/>
  <c r="H6" i="56"/>
  <c r="CB5" i="56"/>
  <c r="CB11" i="56" s="1"/>
  <c r="CC11" i="56" s="1"/>
  <c r="BW11" i="56" s="1"/>
  <c r="CA5" i="56"/>
  <c r="CA21" i="56" s="1"/>
  <c r="AD4" i="56"/>
  <c r="AB4" i="56"/>
  <c r="AA4" i="56" s="1"/>
  <c r="Z4" i="56"/>
  <c r="X4" i="56"/>
  <c r="AN58" i="56" s="1"/>
  <c r="AN61" i="113"/>
  <c r="AM61" i="113" s="1"/>
  <c r="AL61" i="113" s="1"/>
  <c r="AK61" i="113" s="1"/>
  <c r="AN60" i="113"/>
  <c r="AM60" i="113"/>
  <c r="AL60" i="113" s="1"/>
  <c r="AK60" i="113" s="1"/>
  <c r="AL59" i="113"/>
  <c r="AM59" i="113" s="1"/>
  <c r="AN59" i="113" s="1"/>
  <c r="AN58" i="113"/>
  <c r="AM58" i="113"/>
  <c r="AL58" i="113"/>
  <c r="AK58" i="113"/>
  <c r="BA56" i="113"/>
  <c r="AZ56" i="113"/>
  <c r="AY56" i="113"/>
  <c r="AX56" i="113"/>
  <c r="AW56" i="113"/>
  <c r="AV56" i="113"/>
  <c r="AU56" i="113"/>
  <c r="AT56" i="113"/>
  <c r="BA55" i="113"/>
  <c r="AZ55" i="113"/>
  <c r="AY55" i="113"/>
  <c r="AX55" i="113"/>
  <c r="AW55" i="113"/>
  <c r="AV55" i="113"/>
  <c r="AU55" i="113"/>
  <c r="AT55" i="113"/>
  <c r="BA54" i="113"/>
  <c r="AZ54" i="113"/>
  <c r="AY54" i="113"/>
  <c r="AX54" i="113"/>
  <c r="AW54" i="113"/>
  <c r="AV54" i="113"/>
  <c r="AU54" i="113"/>
  <c r="AT54" i="113"/>
  <c r="BA53" i="113"/>
  <c r="AZ53" i="113"/>
  <c r="AY53" i="113"/>
  <c r="AX53" i="113"/>
  <c r="AW53" i="113"/>
  <c r="AV53" i="113"/>
  <c r="AU53" i="113"/>
  <c r="AT53" i="113"/>
  <c r="BA52" i="113"/>
  <c r="AZ52" i="113"/>
  <c r="AY52" i="113"/>
  <c r="AX52" i="113"/>
  <c r="AW52" i="113"/>
  <c r="AV52" i="113"/>
  <c r="AU52" i="113"/>
  <c r="AT52" i="113"/>
  <c r="O52" i="113"/>
  <c r="N52" i="113"/>
  <c r="BA51" i="113"/>
  <c r="AZ51" i="113"/>
  <c r="AY51" i="113"/>
  <c r="AX51" i="113"/>
  <c r="AW51" i="113"/>
  <c r="AV51" i="113"/>
  <c r="AU51" i="113"/>
  <c r="AT51" i="113"/>
  <c r="O51" i="113"/>
  <c r="N51" i="113"/>
  <c r="BA50" i="113"/>
  <c r="AZ50" i="113"/>
  <c r="AY50" i="113"/>
  <c r="AX50" i="113"/>
  <c r="AW50" i="113"/>
  <c r="AV50" i="113"/>
  <c r="AU50" i="113"/>
  <c r="AT50" i="113"/>
  <c r="AD22" i="113" s="1"/>
  <c r="AC50" i="113"/>
  <c r="O50" i="113"/>
  <c r="N50" i="113" s="1"/>
  <c r="BA49" i="113"/>
  <c r="AZ49" i="113"/>
  <c r="AY49" i="113"/>
  <c r="AX49" i="113"/>
  <c r="AW49" i="113"/>
  <c r="AV49" i="113"/>
  <c r="AU49" i="113"/>
  <c r="AT49" i="113"/>
  <c r="O49" i="113"/>
  <c r="BA48" i="113"/>
  <c r="AZ48" i="113"/>
  <c r="AY48" i="113"/>
  <c r="AX48" i="113"/>
  <c r="AW48" i="113"/>
  <c r="AV48" i="113"/>
  <c r="AU48" i="113"/>
  <c r="AT48" i="113"/>
  <c r="AC48" i="113"/>
  <c r="O48" i="113"/>
  <c r="BA47" i="113"/>
  <c r="AZ47" i="113"/>
  <c r="AY47" i="113"/>
  <c r="AX47" i="113"/>
  <c r="AW47" i="113"/>
  <c r="AV47" i="113"/>
  <c r="AU47" i="113"/>
  <c r="AD19" i="113" s="1"/>
  <c r="AT47" i="113"/>
  <c r="O47" i="113"/>
  <c r="N47" i="113"/>
  <c r="BA46" i="113"/>
  <c r="AZ46" i="113"/>
  <c r="AY46" i="113"/>
  <c r="AX46" i="113"/>
  <c r="AW46" i="113"/>
  <c r="AV46" i="113"/>
  <c r="AU46" i="113"/>
  <c r="AT46" i="113"/>
  <c r="O46" i="113"/>
  <c r="BA45" i="113"/>
  <c r="AZ45" i="113"/>
  <c r="AY45" i="113"/>
  <c r="AX45" i="113"/>
  <c r="AW45" i="113"/>
  <c r="AV45" i="113"/>
  <c r="AU45" i="113"/>
  <c r="AT45" i="113"/>
  <c r="O45" i="113"/>
  <c r="BA44" i="113"/>
  <c r="AZ44" i="113"/>
  <c r="AY44" i="113"/>
  <c r="AX44" i="113"/>
  <c r="AD16" i="113" s="1"/>
  <c r="AW44" i="113"/>
  <c r="AV44" i="113"/>
  <c r="AU44" i="113"/>
  <c r="AT44" i="113"/>
  <c r="O44" i="113"/>
  <c r="BA43" i="113"/>
  <c r="AZ43" i="113"/>
  <c r="AY43" i="113"/>
  <c r="AX43" i="113"/>
  <c r="AW43" i="113"/>
  <c r="AV43" i="113"/>
  <c r="AU43" i="113"/>
  <c r="AT43" i="113"/>
  <c r="O43" i="113"/>
  <c r="N43" i="113" s="1"/>
  <c r="BA42" i="113"/>
  <c r="AZ42" i="113"/>
  <c r="AY42" i="113"/>
  <c r="AX42" i="113"/>
  <c r="AW42" i="113"/>
  <c r="AV42" i="113"/>
  <c r="AU42" i="113"/>
  <c r="AT42" i="113"/>
  <c r="O42" i="113"/>
  <c r="BA41" i="113"/>
  <c r="AZ41" i="113"/>
  <c r="AY41" i="113"/>
  <c r="AX41" i="113"/>
  <c r="AW41" i="113"/>
  <c r="AV41" i="113"/>
  <c r="AU41" i="113"/>
  <c r="AT41" i="113"/>
  <c r="AC41" i="113"/>
  <c r="O41" i="113"/>
  <c r="BA40" i="113"/>
  <c r="AZ40" i="113"/>
  <c r="AY40" i="113"/>
  <c r="AX40" i="113"/>
  <c r="AW40" i="113"/>
  <c r="AV40" i="113"/>
  <c r="AU40" i="113"/>
  <c r="AT40" i="113"/>
  <c r="O40" i="113"/>
  <c r="N40" i="113" s="1"/>
  <c r="BA39" i="113"/>
  <c r="AZ39" i="113"/>
  <c r="AY39" i="113"/>
  <c r="AX39" i="113"/>
  <c r="AW39" i="113"/>
  <c r="AV39" i="113"/>
  <c r="AU39" i="113"/>
  <c r="AT39" i="113"/>
  <c r="O39" i="113"/>
  <c r="BA38" i="113"/>
  <c r="AZ38" i="113"/>
  <c r="AY38" i="113"/>
  <c r="AX38" i="113"/>
  <c r="AW38" i="113"/>
  <c r="AV38" i="113"/>
  <c r="AU38" i="113"/>
  <c r="AT38" i="113"/>
  <c r="AD10" i="113" s="1"/>
  <c r="O38" i="113"/>
  <c r="BA37" i="113"/>
  <c r="AZ37" i="113"/>
  <c r="AY37" i="113"/>
  <c r="AX37" i="113"/>
  <c r="AW37" i="113"/>
  <c r="AV37" i="113"/>
  <c r="AU37" i="113"/>
  <c r="AT37" i="113"/>
  <c r="AC37" i="113"/>
  <c r="O37" i="113"/>
  <c r="N37" i="113" s="1"/>
  <c r="E37" i="113"/>
  <c r="BA36" i="113"/>
  <c r="AZ36" i="113"/>
  <c r="AY36" i="113"/>
  <c r="AX36" i="113"/>
  <c r="AW36" i="113"/>
  <c r="AV36" i="113"/>
  <c r="AU36" i="113"/>
  <c r="AT36" i="113"/>
  <c r="O36" i="113"/>
  <c r="N36" i="113" s="1"/>
  <c r="BA35" i="113"/>
  <c r="AZ35" i="113"/>
  <c r="AY35" i="113"/>
  <c r="AX35" i="113"/>
  <c r="AW35" i="113"/>
  <c r="AV35" i="113"/>
  <c r="AU35" i="113"/>
  <c r="AT35" i="113"/>
  <c r="O35" i="113"/>
  <c r="O34" i="113"/>
  <c r="N34" i="113"/>
  <c r="E34" i="113"/>
  <c r="Q33" i="113"/>
  <c r="O33" i="113"/>
  <c r="N33" i="113"/>
  <c r="F33" i="113"/>
  <c r="O32" i="113"/>
  <c r="O31" i="113"/>
  <c r="N31" i="113"/>
  <c r="AC28" i="113"/>
  <c r="AC52" i="113" s="1"/>
  <c r="Z28" i="113"/>
  <c r="Z52" i="113" s="1"/>
  <c r="R28" i="113"/>
  <c r="R52" i="113" s="1"/>
  <c r="BA27" i="113"/>
  <c r="AZ27" i="113"/>
  <c r="AY27" i="113"/>
  <c r="AX27" i="113"/>
  <c r="AW27" i="113"/>
  <c r="AV27" i="113"/>
  <c r="AU27" i="113"/>
  <c r="AT27" i="113"/>
  <c r="AC27" i="113"/>
  <c r="AC51" i="113" s="1"/>
  <c r="Z27" i="113"/>
  <c r="Z51" i="113" s="1"/>
  <c r="R27" i="113"/>
  <c r="R51" i="113" s="1"/>
  <c r="BA26" i="113"/>
  <c r="AZ26" i="113"/>
  <c r="AY26" i="113"/>
  <c r="AX26" i="113"/>
  <c r="AW26" i="113"/>
  <c r="AV26" i="113"/>
  <c r="AU26" i="113"/>
  <c r="AT26" i="113"/>
  <c r="AC26" i="113"/>
  <c r="Z26" i="113"/>
  <c r="Z50" i="113" s="1"/>
  <c r="R26" i="113"/>
  <c r="R50" i="113" s="1"/>
  <c r="BA25" i="113"/>
  <c r="AZ25" i="113"/>
  <c r="AY25" i="113"/>
  <c r="AX25" i="113"/>
  <c r="AW25" i="113"/>
  <c r="AV25" i="113"/>
  <c r="AU25" i="113"/>
  <c r="AT25" i="113"/>
  <c r="AC25" i="113"/>
  <c r="AC49" i="113" s="1"/>
  <c r="Z25" i="113"/>
  <c r="Z49" i="113" s="1"/>
  <c r="R25" i="113"/>
  <c r="R49" i="113" s="1"/>
  <c r="I25" i="113"/>
  <c r="BA24" i="113"/>
  <c r="AZ24" i="113"/>
  <c r="AY24" i="113"/>
  <c r="AX24" i="113"/>
  <c r="AW24" i="113"/>
  <c r="AV24" i="113"/>
  <c r="AU24" i="113"/>
  <c r="AT24" i="113"/>
  <c r="AC24" i="113"/>
  <c r="Z24" i="113"/>
  <c r="Z48" i="113" s="1"/>
  <c r="R24" i="113"/>
  <c r="R48" i="113" s="1"/>
  <c r="I24" i="113"/>
  <c r="E24" i="113"/>
  <c r="E27" i="113" s="1"/>
  <c r="BA23" i="113"/>
  <c r="AZ23" i="113"/>
  <c r="AY23" i="113"/>
  <c r="AX23" i="113"/>
  <c r="AW23" i="113"/>
  <c r="S24" i="113" s="1"/>
  <c r="AV23" i="113"/>
  <c r="AU23" i="113"/>
  <c r="AT23" i="113"/>
  <c r="AC23" i="113"/>
  <c r="AC47" i="113" s="1"/>
  <c r="Z23" i="113"/>
  <c r="Z47" i="113" s="1"/>
  <c r="R23" i="113"/>
  <c r="R47" i="113" s="1"/>
  <c r="I23" i="113"/>
  <c r="BA22" i="113"/>
  <c r="AZ22" i="113"/>
  <c r="AY22" i="113"/>
  <c r="AX22" i="113"/>
  <c r="AW22" i="113"/>
  <c r="AV22" i="113"/>
  <c r="AU22" i="113"/>
  <c r="AT22" i="113"/>
  <c r="S23" i="113" s="1"/>
  <c r="AC22" i="113"/>
  <c r="AC46" i="113" s="1"/>
  <c r="Z22" i="113"/>
  <c r="Z46" i="113" s="1"/>
  <c r="R22" i="113"/>
  <c r="R46" i="113" s="1"/>
  <c r="I22" i="113"/>
  <c r="BA21" i="113"/>
  <c r="AZ21" i="113"/>
  <c r="S22" i="113" s="1"/>
  <c r="AY21" i="113"/>
  <c r="AX21" i="113"/>
  <c r="AW21" i="113"/>
  <c r="AV21" i="113"/>
  <c r="AU21" i="113"/>
  <c r="AT21" i="113"/>
  <c r="AC21" i="113"/>
  <c r="AC45" i="113" s="1"/>
  <c r="Z21" i="113"/>
  <c r="Z45" i="113" s="1"/>
  <c r="R21" i="113"/>
  <c r="R45" i="113" s="1"/>
  <c r="BA20" i="113"/>
  <c r="AZ20" i="113"/>
  <c r="AY20" i="113"/>
  <c r="AX20" i="113"/>
  <c r="AW20" i="113"/>
  <c r="AV20" i="113"/>
  <c r="AU20" i="113"/>
  <c r="AT20" i="113"/>
  <c r="AC20" i="113"/>
  <c r="AC44" i="113" s="1"/>
  <c r="Z20" i="113"/>
  <c r="Z44" i="113" s="1"/>
  <c r="R20" i="113"/>
  <c r="R44" i="113" s="1"/>
  <c r="BA19" i="113"/>
  <c r="AZ19" i="113"/>
  <c r="AY19" i="113"/>
  <c r="AX19" i="113"/>
  <c r="AW19" i="113"/>
  <c r="AV19" i="113"/>
  <c r="AU19" i="113"/>
  <c r="AT19" i="113"/>
  <c r="AC19" i="113"/>
  <c r="AC43" i="113" s="1"/>
  <c r="Z19" i="113"/>
  <c r="Z43" i="113" s="1"/>
  <c r="R19" i="113"/>
  <c r="R43" i="113" s="1"/>
  <c r="BA18" i="113"/>
  <c r="AZ18" i="113"/>
  <c r="AY18" i="113"/>
  <c r="AX18" i="113"/>
  <c r="AW18" i="113"/>
  <c r="AV18" i="113"/>
  <c r="AU18" i="113"/>
  <c r="AT18" i="113"/>
  <c r="AC18" i="113"/>
  <c r="AC42" i="113" s="1"/>
  <c r="Z18" i="113"/>
  <c r="Z42" i="113" s="1"/>
  <c r="R18" i="113"/>
  <c r="R42" i="113" s="1"/>
  <c r="BA17" i="113"/>
  <c r="AZ17" i="113"/>
  <c r="AY17" i="113"/>
  <c r="AX17" i="113"/>
  <c r="AW17" i="113"/>
  <c r="AV17" i="113"/>
  <c r="AU17" i="113"/>
  <c r="AT17" i="113"/>
  <c r="AC17" i="113"/>
  <c r="Z17" i="113"/>
  <c r="Z41" i="113" s="1"/>
  <c r="R17" i="113"/>
  <c r="R41" i="113" s="1"/>
  <c r="BA16" i="113"/>
  <c r="AZ16" i="113"/>
  <c r="AY16" i="113"/>
  <c r="AX16" i="113"/>
  <c r="AW16" i="113"/>
  <c r="AV16" i="113"/>
  <c r="AU16" i="113"/>
  <c r="AT16" i="113"/>
  <c r="AC16" i="113"/>
  <c r="AC40" i="113" s="1"/>
  <c r="Z16" i="113"/>
  <c r="Z40" i="113" s="1"/>
  <c r="R16" i="113"/>
  <c r="R40" i="113" s="1"/>
  <c r="BA15" i="113"/>
  <c r="AZ15" i="113"/>
  <c r="AY15" i="113"/>
  <c r="AX15" i="113"/>
  <c r="AW15" i="113"/>
  <c r="AV15" i="113"/>
  <c r="AU15" i="113"/>
  <c r="AT15" i="113"/>
  <c r="AC15" i="113"/>
  <c r="AC39" i="113" s="1"/>
  <c r="Z15" i="113"/>
  <c r="Z39" i="113" s="1"/>
  <c r="R15" i="113"/>
  <c r="R39" i="113" s="1"/>
  <c r="BA14" i="113"/>
  <c r="AZ14" i="113"/>
  <c r="AY14" i="113"/>
  <c r="AX14" i="113"/>
  <c r="AW14" i="113"/>
  <c r="AV14" i="113"/>
  <c r="AU14" i="113"/>
  <c r="AT14" i="113"/>
  <c r="AC14" i="113"/>
  <c r="AC38" i="113" s="1"/>
  <c r="Z14" i="113"/>
  <c r="Z38" i="113" s="1"/>
  <c r="R14" i="113"/>
  <c r="R38" i="113" s="1"/>
  <c r="BA13" i="113"/>
  <c r="AZ13" i="113"/>
  <c r="AY13" i="113"/>
  <c r="AX13" i="113"/>
  <c r="AW13" i="113"/>
  <c r="AV13" i="113"/>
  <c r="AU13" i="113"/>
  <c r="AT13" i="113"/>
  <c r="AC13" i="113"/>
  <c r="Z13" i="113"/>
  <c r="Z37" i="113" s="1"/>
  <c r="R13" i="113"/>
  <c r="R37" i="113" s="1"/>
  <c r="BA12" i="113"/>
  <c r="AZ12" i="113"/>
  <c r="AY12" i="113"/>
  <c r="AX12" i="113"/>
  <c r="AW12" i="113"/>
  <c r="AV12" i="113"/>
  <c r="AU12" i="113"/>
  <c r="AT12" i="113"/>
  <c r="AC12" i="113"/>
  <c r="AC36" i="113" s="1"/>
  <c r="Z12" i="113"/>
  <c r="Z36" i="113" s="1"/>
  <c r="R12" i="113"/>
  <c r="R36" i="113" s="1"/>
  <c r="BA11" i="113"/>
  <c r="AZ11" i="113"/>
  <c r="AY11" i="113"/>
  <c r="AX11" i="113"/>
  <c r="AW11" i="113"/>
  <c r="AV11" i="113"/>
  <c r="AU11" i="113"/>
  <c r="AT11" i="113"/>
  <c r="AC11" i="113"/>
  <c r="AC35" i="113" s="1"/>
  <c r="Z11" i="113"/>
  <c r="Z35" i="113" s="1"/>
  <c r="S11" i="113"/>
  <c r="R11" i="113"/>
  <c r="R35" i="113" s="1"/>
  <c r="BA10" i="113"/>
  <c r="AZ10" i="113"/>
  <c r="AY10" i="113"/>
  <c r="AX10" i="113"/>
  <c r="AW10" i="113"/>
  <c r="AV10" i="113"/>
  <c r="AU10" i="113"/>
  <c r="AT10" i="113"/>
  <c r="AC10" i="113"/>
  <c r="AC34" i="113" s="1"/>
  <c r="Z10" i="113"/>
  <c r="Z34" i="113" s="1"/>
  <c r="R10" i="113"/>
  <c r="R34" i="113" s="1"/>
  <c r="BA9" i="113"/>
  <c r="AZ9" i="113"/>
  <c r="AY9" i="113"/>
  <c r="AX9" i="113"/>
  <c r="AW9" i="113"/>
  <c r="AV9" i="113"/>
  <c r="S10" i="113" s="1"/>
  <c r="AU9" i="113"/>
  <c r="AT9" i="113"/>
  <c r="AC9" i="113"/>
  <c r="AC33" i="113" s="1"/>
  <c r="Z9" i="113"/>
  <c r="Z33" i="113" s="1"/>
  <c r="R9" i="113"/>
  <c r="R33" i="113" s="1"/>
  <c r="BA8" i="113"/>
  <c r="AZ8" i="113"/>
  <c r="AY8" i="113"/>
  <c r="AX8" i="113"/>
  <c r="AW8" i="113"/>
  <c r="AV8" i="113"/>
  <c r="AU8" i="113"/>
  <c r="AT8" i="113"/>
  <c r="AC8" i="113"/>
  <c r="AC32" i="113" s="1"/>
  <c r="Z8" i="113"/>
  <c r="Z32" i="113" s="1"/>
  <c r="R8" i="113"/>
  <c r="R32" i="113" s="1"/>
  <c r="Q32" i="113" s="1"/>
  <c r="BA7" i="113"/>
  <c r="AZ7" i="113"/>
  <c r="AY7" i="113"/>
  <c r="AX7" i="113"/>
  <c r="AW7" i="113"/>
  <c r="AV7" i="113"/>
  <c r="AU7" i="113"/>
  <c r="AT7" i="113"/>
  <c r="AC7" i="113"/>
  <c r="AC31" i="113" s="1"/>
  <c r="Z7" i="113"/>
  <c r="Z31" i="113" s="1"/>
  <c r="R7" i="113"/>
  <c r="R31" i="113" s="1"/>
  <c r="BA6" i="113"/>
  <c r="AZ6" i="113"/>
  <c r="AY6" i="113"/>
  <c r="AX6" i="113"/>
  <c r="AW6" i="113"/>
  <c r="S7" i="113" s="1"/>
  <c r="AV6" i="113"/>
  <c r="AU6" i="113"/>
  <c r="AT6" i="113"/>
  <c r="J41" i="63"/>
  <c r="J39" i="63"/>
  <c r="K39" i="63" s="1"/>
  <c r="H36" i="63"/>
  <c r="G36" i="63"/>
  <c r="J35" i="63"/>
  <c r="H35" i="63"/>
  <c r="H38" i="63" s="1"/>
  <c r="G35" i="63"/>
  <c r="H32" i="63"/>
  <c r="H39" i="63" s="1"/>
  <c r="J31" i="63"/>
  <c r="K31" i="63" s="1"/>
  <c r="H31" i="63"/>
  <c r="H26" i="63"/>
  <c r="D21" i="63"/>
  <c r="D20" i="63"/>
  <c r="C17" i="63"/>
  <c r="Q32" i="63" s="1"/>
  <c r="Q33" i="63" s="1"/>
  <c r="C13" i="63"/>
  <c r="P32" i="63" s="1"/>
  <c r="O7" i="63"/>
  <c r="O6" i="63"/>
  <c r="D6" i="63"/>
  <c r="C6" i="63"/>
  <c r="AN59" i="59"/>
  <c r="AR37" i="59" s="1"/>
  <c r="AM59" i="59"/>
  <c r="AQ37" i="59" s="1"/>
  <c r="AL59" i="59"/>
  <c r="AP37" i="59" s="1"/>
  <c r="AK59" i="59"/>
  <c r="AO37" i="59" s="1"/>
  <c r="AN58" i="59"/>
  <c r="AR36" i="59" s="1"/>
  <c r="AM58" i="59"/>
  <c r="AL58" i="59"/>
  <c r="AP36" i="59" s="1"/>
  <c r="AK58" i="59"/>
  <c r="AN57" i="59"/>
  <c r="AM57" i="59"/>
  <c r="AQ35" i="59" s="1"/>
  <c r="AL57" i="59"/>
  <c r="AP35" i="59" s="1"/>
  <c r="AK57" i="59"/>
  <c r="AO35" i="59" s="1"/>
  <c r="AN56" i="59"/>
  <c r="AM56" i="59"/>
  <c r="AL56" i="59"/>
  <c r="AP34" i="59" s="1"/>
  <c r="AK56" i="59"/>
  <c r="AN55" i="59"/>
  <c r="AR33" i="59" s="1"/>
  <c r="AM55" i="59"/>
  <c r="AL55" i="59"/>
  <c r="AP33" i="59" s="1"/>
  <c r="AK55" i="59"/>
  <c r="AO33" i="59" s="1"/>
  <c r="AN54" i="59"/>
  <c r="AR32" i="59" s="1"/>
  <c r="AM54" i="59"/>
  <c r="AQ32" i="59" s="1"/>
  <c r="AL54" i="59"/>
  <c r="AP32" i="59" s="1"/>
  <c r="AK54" i="59"/>
  <c r="AO32" i="59" s="1"/>
  <c r="AQ36" i="59"/>
  <c r="AO36" i="59"/>
  <c r="AR35" i="59"/>
  <c r="AR34" i="59"/>
  <c r="AQ34" i="59"/>
  <c r="AO34" i="59"/>
  <c r="AQ33" i="59"/>
  <c r="I27" i="59"/>
  <c r="I25" i="59"/>
  <c r="U23" i="59"/>
  <c r="U24" i="59" s="1"/>
  <c r="AJ19" i="59"/>
  <c r="AJ18" i="59" s="1"/>
  <c r="AJ16" i="59" s="1"/>
  <c r="AG19" i="59"/>
  <c r="AI18" i="59"/>
  <c r="AI17" i="59" s="1"/>
  <c r="AI16" i="59" s="1"/>
  <c r="AH17" i="59"/>
  <c r="AH18" i="59" s="1"/>
  <c r="AF17" i="59"/>
  <c r="AF18" i="59" s="1"/>
  <c r="O17" i="59"/>
  <c r="AG16" i="59"/>
  <c r="AG15" i="59" s="1"/>
  <c r="AG14" i="59" s="1"/>
  <c r="C16" i="59"/>
  <c r="AF15" i="59"/>
  <c r="AF14" i="59" s="1"/>
  <c r="AF16" i="59" s="1"/>
  <c r="AF19" i="59" s="1"/>
  <c r="C15" i="59"/>
  <c r="AE14" i="59"/>
  <c r="AE16" i="59" s="1"/>
  <c r="C14" i="59"/>
  <c r="O13" i="59"/>
  <c r="I13" i="59"/>
  <c r="C13" i="59"/>
  <c r="U12" i="59"/>
  <c r="C12" i="59"/>
  <c r="C11" i="59"/>
  <c r="AA9" i="59"/>
  <c r="AA8" i="59"/>
  <c r="AA7" i="59"/>
  <c r="U7" i="59"/>
  <c r="I7" i="59"/>
  <c r="I12" i="59" s="1"/>
  <c r="AA6" i="59"/>
  <c r="AA11" i="59" s="1"/>
  <c r="AA12" i="59" s="1"/>
  <c r="Z11" i="59" s="1"/>
  <c r="AA5" i="59"/>
  <c r="AR46" i="57"/>
  <c r="AQ46" i="57" s="1"/>
  <c r="AP46" i="57" s="1"/>
  <c r="AO46" i="57" s="1"/>
  <c r="AQ45" i="57"/>
  <c r="AP44" i="57"/>
  <c r="AO43" i="57"/>
  <c r="AP43" i="57" s="1"/>
  <c r="AS40" i="57"/>
  <c r="AR40" i="57" s="1"/>
  <c r="AP40" i="57" s="1"/>
  <c r="AO40" i="57" s="1"/>
  <c r="AQ40" i="57"/>
  <c r="AR39" i="57"/>
  <c r="AP39" i="57" s="1"/>
  <c r="AS39" i="57" s="1"/>
  <c r="AQ38" i="57"/>
  <c r="AP38" i="57" s="1"/>
  <c r="AS37" i="57"/>
  <c r="AP37" i="57"/>
  <c r="AR36" i="57"/>
  <c r="AP36" i="57"/>
  <c r="AO36" i="57"/>
  <c r="I20" i="57"/>
  <c r="H20" i="57"/>
  <c r="AD17" i="57"/>
  <c r="AD16" i="57"/>
  <c r="AD15" i="57"/>
  <c r="C15" i="57"/>
  <c r="AD14" i="57"/>
  <c r="C14" i="57"/>
  <c r="C13" i="57"/>
  <c r="C12" i="57"/>
  <c r="C11" i="57"/>
  <c r="H8" i="57"/>
  <c r="H7" i="57"/>
  <c r="AB6" i="57"/>
  <c r="AA6" i="57"/>
  <c r="AD6" i="57" s="1"/>
  <c r="H6" i="57"/>
  <c r="AD5" i="57"/>
  <c r="AC5" i="57"/>
  <c r="H5" i="57"/>
  <c r="R11" i="30"/>
  <c r="L10" i="30"/>
  <c r="F10" i="30"/>
  <c r="BI42" i="25"/>
  <c r="BI41" i="25"/>
  <c r="BI40" i="25"/>
  <c r="BF40" i="25"/>
  <c r="BI39" i="25"/>
  <c r="BF39" i="25"/>
  <c r="AA39" i="25"/>
  <c r="Z39" i="25"/>
  <c r="AA38" i="25"/>
  <c r="Z38" i="25"/>
  <c r="AA37" i="25"/>
  <c r="Z37" i="25"/>
  <c r="AA36" i="25"/>
  <c r="Z36" i="25"/>
  <c r="AA35" i="25"/>
  <c r="Z35" i="25"/>
  <c r="AA34" i="25"/>
  <c r="Z34" i="25"/>
  <c r="AA33" i="25"/>
  <c r="Z33" i="25"/>
  <c r="AA32" i="25"/>
  <c r="Z32" i="25"/>
  <c r="AA31" i="25"/>
  <c r="Z31" i="25"/>
  <c r="AA30" i="25"/>
  <c r="Z30" i="25"/>
  <c r="AA29" i="25"/>
  <c r="Z29" i="25"/>
  <c r="AA28" i="25"/>
  <c r="Z28" i="25"/>
  <c r="BF27" i="25"/>
  <c r="BE27" i="25"/>
  <c r="BD27" i="25"/>
  <c r="AA27" i="25"/>
  <c r="Z27" i="25"/>
  <c r="J27" i="25"/>
  <c r="I27" i="25"/>
  <c r="BF26" i="25"/>
  <c r="BE26" i="25"/>
  <c r="BD26" i="25"/>
  <c r="AA26" i="25"/>
  <c r="Z26" i="25"/>
  <c r="J26" i="25"/>
  <c r="I26" i="25"/>
  <c r="BF25" i="25"/>
  <c r="BE25" i="25"/>
  <c r="BD25" i="25"/>
  <c r="AA25" i="25"/>
  <c r="Z25" i="25"/>
  <c r="J25" i="25"/>
  <c r="I25" i="25"/>
  <c r="BO24" i="25"/>
  <c r="BJ24" i="25"/>
  <c r="BI24" i="25"/>
  <c r="AA24" i="25"/>
  <c r="Z24" i="25"/>
  <c r="J24" i="25"/>
  <c r="I24" i="25"/>
  <c r="BJ23" i="25"/>
  <c r="BI23" i="25"/>
  <c r="AR7" i="25" s="1"/>
  <c r="BG23" i="25"/>
  <c r="BF23" i="25"/>
  <c r="BE23" i="25" s="1"/>
  <c r="BD23" i="25" s="1"/>
  <c r="AA23" i="25"/>
  <c r="Z23" i="25"/>
  <c r="J23" i="25"/>
  <c r="I23" i="25"/>
  <c r="BG22" i="25"/>
  <c r="BF22" i="25"/>
  <c r="BE22" i="25" s="1"/>
  <c r="BD22" i="25" s="1"/>
  <c r="AA22" i="25"/>
  <c r="Z22" i="25"/>
  <c r="J22" i="25"/>
  <c r="I22" i="25"/>
  <c r="BI21" i="25"/>
  <c r="BE21" i="25"/>
  <c r="BD21" i="25" s="1"/>
  <c r="BF21" i="25" s="1"/>
  <c r="BG21" i="25" s="1"/>
  <c r="AA21" i="25"/>
  <c r="Z21" i="25"/>
  <c r="BJ20" i="25"/>
  <c r="BI20" i="25"/>
  <c r="BF20" i="25"/>
  <c r="BG20" i="25" s="1"/>
  <c r="BE20" i="25"/>
  <c r="BD20" i="25"/>
  <c r="AA20" i="25"/>
  <c r="Z20" i="25"/>
  <c r="AA19" i="25"/>
  <c r="Z19" i="25"/>
  <c r="C19" i="25"/>
  <c r="AA18" i="25"/>
  <c r="Z18" i="25"/>
  <c r="AA17" i="25"/>
  <c r="Z17" i="25"/>
  <c r="O17" i="25"/>
  <c r="O18" i="25" s="1"/>
  <c r="AA16" i="25"/>
  <c r="Z16" i="25"/>
  <c r="J16" i="25"/>
  <c r="J32" i="25" s="1"/>
  <c r="AY15" i="25"/>
  <c r="AA15" i="25"/>
  <c r="Z15" i="25"/>
  <c r="T15" i="25"/>
  <c r="T16" i="25" s="1"/>
  <c r="T20" i="25" s="1"/>
  <c r="C15" i="25"/>
  <c r="AA14" i="25"/>
  <c r="AB14" i="25" s="1"/>
  <c r="Z14" i="25"/>
  <c r="Y14" i="25"/>
  <c r="J14" i="25"/>
  <c r="C14" i="25"/>
  <c r="AA13" i="25"/>
  <c r="Z13" i="25"/>
  <c r="Y13" i="25"/>
  <c r="C13" i="25"/>
  <c r="AA12" i="25"/>
  <c r="Z12" i="25"/>
  <c r="Y12" i="25"/>
  <c r="C12" i="25"/>
  <c r="AA11" i="25"/>
  <c r="Z11" i="25"/>
  <c r="Y11" i="25"/>
  <c r="AB11" i="25" s="1"/>
  <c r="T11" i="25"/>
  <c r="O11" i="25"/>
  <c r="AA10" i="25"/>
  <c r="AB10" i="25" s="1"/>
  <c r="Z10" i="25"/>
  <c r="Y10" i="25"/>
  <c r="AM9" i="25"/>
  <c r="AA9" i="25"/>
  <c r="AB9" i="25" s="1"/>
  <c r="Z9" i="25"/>
  <c r="Y9" i="25"/>
  <c r="J9" i="25"/>
  <c r="I9" i="25"/>
  <c r="AT8" i="25"/>
  <c r="AR8" i="25"/>
  <c r="AM8" i="25"/>
  <c r="AM17" i="25" s="1"/>
  <c r="BO20" i="25" s="1"/>
  <c r="AA8" i="25"/>
  <c r="AB8" i="25" s="1"/>
  <c r="Z8" i="25"/>
  <c r="Y8" i="25"/>
  <c r="J8" i="25"/>
  <c r="I8" i="25"/>
  <c r="BL7" i="25"/>
  <c r="BJ7" i="25"/>
  <c r="BI7" i="25"/>
  <c r="AH10" i="25" s="1"/>
  <c r="AX7" i="25"/>
  <c r="AY16" i="25" s="1"/>
  <c r="AS7" i="25"/>
  <c r="AM7" i="25"/>
  <c r="AA7" i="25"/>
  <c r="AB7" i="25" s="1"/>
  <c r="Z7" i="25"/>
  <c r="Y7" i="25"/>
  <c r="J7" i="25"/>
  <c r="I7" i="25"/>
  <c r="BL6" i="25"/>
  <c r="BK6" i="25"/>
  <c r="BK7" i="25" s="1"/>
  <c r="BJ6" i="25"/>
  <c r="BI6" i="25"/>
  <c r="AT6" i="25"/>
  <c r="AT7" i="25" s="1"/>
  <c r="AA6" i="25"/>
  <c r="Z6" i="25"/>
  <c r="Y6" i="25"/>
  <c r="BL5" i="25"/>
  <c r="BK5" i="25"/>
  <c r="BJ5" i="25"/>
  <c r="BI5" i="25"/>
  <c r="BL4" i="25"/>
  <c r="BK4" i="25"/>
  <c r="AH7" i="25" s="1"/>
  <c r="BJ4" i="25"/>
  <c r="BI4" i="25"/>
  <c r="B75" i="52"/>
  <c r="E75" i="52" s="1"/>
  <c r="F74" i="52"/>
  <c r="E74" i="52"/>
  <c r="G74" i="52" s="1"/>
  <c r="D74" i="52"/>
  <c r="B60" i="52"/>
  <c r="E60" i="52" s="1"/>
  <c r="E59" i="52"/>
  <c r="D59" i="52"/>
  <c r="E42" i="52"/>
  <c r="B42" i="52"/>
  <c r="E41" i="52"/>
  <c r="G41" i="52" s="1"/>
  <c r="D41" i="52"/>
  <c r="F41" i="52" s="1"/>
  <c r="B17" i="52"/>
  <c r="E17" i="52" s="1"/>
  <c r="E16" i="52"/>
  <c r="D16" i="52"/>
  <c r="A19" i="51"/>
  <c r="A13" i="51"/>
  <c r="A10" i="51"/>
  <c r="A16" i="51" s="1"/>
  <c r="C3" i="51"/>
  <c r="C2" i="51"/>
  <c r="C4" i="51" s="1"/>
  <c r="C7" i="51" s="1"/>
  <c r="D1" i="51"/>
  <c r="B1" i="51"/>
  <c r="A3" i="51" s="1"/>
  <c r="B27" i="50"/>
  <c r="B11" i="50"/>
  <c r="C11" i="49"/>
  <c r="D9" i="49"/>
  <c r="C10" i="49" s="1"/>
  <c r="B9" i="49"/>
  <c r="A11" i="49" s="1"/>
  <c r="C3" i="49"/>
  <c r="A2" i="49"/>
  <c r="A4" i="49" s="1"/>
  <c r="A7" i="49" s="1"/>
  <c r="D1" i="49"/>
  <c r="C2" i="49" s="1"/>
  <c r="C4" i="49" s="1"/>
  <c r="C7" i="49" s="1"/>
  <c r="B1" i="49"/>
  <c r="A3" i="49" s="1"/>
  <c r="B39" i="48"/>
  <c r="E39" i="48" s="1"/>
  <c r="G39" i="48" s="1"/>
  <c r="E38" i="48"/>
  <c r="G38" i="48" s="1"/>
  <c r="D38" i="48"/>
  <c r="F38" i="48" s="1"/>
  <c r="B23" i="48"/>
  <c r="E23" i="48" s="1"/>
  <c r="G23" i="48" s="1"/>
  <c r="G22" i="48"/>
  <c r="E22" i="48"/>
  <c r="D22" i="48"/>
  <c r="F22" i="48" s="1"/>
  <c r="D1" i="47"/>
  <c r="B1" i="47"/>
  <c r="A3" i="47" s="1"/>
  <c r="B31" i="46"/>
  <c r="E31" i="46" s="1"/>
  <c r="G31" i="46" s="1"/>
  <c r="G30" i="46"/>
  <c r="E30" i="46"/>
  <c r="D30" i="46"/>
  <c r="F30" i="46" s="1"/>
  <c r="B14" i="46"/>
  <c r="E14" i="46" s="1"/>
  <c r="G14" i="46" s="1"/>
  <c r="E13" i="46"/>
  <c r="G13" i="46" s="1"/>
  <c r="D13" i="46"/>
  <c r="F13" i="46" s="1"/>
  <c r="D1" i="45"/>
  <c r="C3" i="45" s="1"/>
  <c r="B1" i="45"/>
  <c r="A3" i="45" s="1"/>
  <c r="E31" i="44"/>
  <c r="B31" i="44"/>
  <c r="F30" i="44"/>
  <c r="E30" i="44"/>
  <c r="G30" i="44" s="1"/>
  <c r="D30" i="44"/>
  <c r="B14" i="44"/>
  <c r="E14" i="44" s="1"/>
  <c r="G14" i="44" s="1"/>
  <c r="E13" i="44"/>
  <c r="G13" i="44" s="1"/>
  <c r="D13" i="44"/>
  <c r="F13" i="44" s="1"/>
  <c r="A11" i="43"/>
  <c r="D9" i="43"/>
  <c r="B9" i="43"/>
  <c r="A10" i="43" s="1"/>
  <c r="A2" i="43"/>
  <c r="D1" i="43"/>
  <c r="C3" i="43" s="1"/>
  <c r="B1" i="43"/>
  <c r="A3" i="43" s="1"/>
  <c r="C14" i="42"/>
  <c r="A14" i="42"/>
  <c r="A13" i="42"/>
  <c r="D12" i="42"/>
  <c r="C13" i="42" s="1"/>
  <c r="B12" i="42"/>
  <c r="D1" i="42"/>
  <c r="C3" i="42" s="1"/>
  <c r="B1" i="42"/>
  <c r="D18" i="41"/>
  <c r="D16" i="41"/>
  <c r="C16" i="41"/>
  <c r="D15" i="41"/>
  <c r="C15" i="41"/>
  <c r="CF39" i="117"/>
  <c r="CA39" i="117"/>
  <c r="CD39" i="117" s="1"/>
  <c r="BP39" i="117"/>
  <c r="BE39" i="117"/>
  <c r="BH39" i="117" s="1"/>
  <c r="BJ39" i="117" s="1"/>
  <c r="AT39" i="117"/>
  <c r="AI39" i="117"/>
  <c r="AL39" i="117" s="1"/>
  <c r="AN39" i="117" s="1"/>
  <c r="X39" i="117"/>
  <c r="M39" i="117"/>
  <c r="P39" i="117" s="1"/>
  <c r="R39" i="117" s="1"/>
  <c r="B39" i="117"/>
  <c r="CD38" i="117"/>
  <c r="CC38" i="117"/>
  <c r="CE38" i="117" s="1"/>
  <c r="BS38" i="117"/>
  <c r="BU38" i="117" s="1"/>
  <c r="BR38" i="117"/>
  <c r="BH38" i="117"/>
  <c r="BJ38" i="117" s="1"/>
  <c r="BG38" i="117"/>
  <c r="BI38" i="117" s="1"/>
  <c r="AW38" i="117"/>
  <c r="AY38" i="117" s="1"/>
  <c r="AV38" i="117"/>
  <c r="AX38" i="117" s="1"/>
  <c r="AL38" i="117"/>
  <c r="AN38" i="117" s="1"/>
  <c r="AK38" i="117"/>
  <c r="AM38" i="117" s="1"/>
  <c r="AA38" i="117"/>
  <c r="Z38" i="117"/>
  <c r="P38" i="117"/>
  <c r="O38" i="117"/>
  <c r="Q38" i="117" s="1"/>
  <c r="E38" i="117"/>
  <c r="D38" i="117"/>
  <c r="CE3" i="117"/>
  <c r="BT3" i="117"/>
  <c r="BI3" i="117"/>
  <c r="AX3" i="117"/>
  <c r="AM3" i="117"/>
  <c r="AB3" i="117"/>
  <c r="Q3" i="117"/>
  <c r="F3" i="117"/>
  <c r="CE2" i="117"/>
  <c r="CF38" i="117" s="1"/>
  <c r="BT2" i="117"/>
  <c r="BT38" i="117" s="1"/>
  <c r="BI2" i="117"/>
  <c r="AX2" i="117"/>
  <c r="AM2" i="117"/>
  <c r="AB2" i="117"/>
  <c r="Q2" i="117"/>
  <c r="F2" i="117"/>
  <c r="Q40" i="116"/>
  <c r="P37" i="116"/>
  <c r="O37" i="116"/>
  <c r="P33" i="116"/>
  <c r="O33" i="116"/>
  <c r="Y30" i="116"/>
  <c r="X30" i="116"/>
  <c r="Q28" i="116"/>
  <c r="P25" i="116"/>
  <c r="O25" i="116"/>
  <c r="Y21" i="116"/>
  <c r="X21" i="116"/>
  <c r="P21" i="116"/>
  <c r="O21" i="116"/>
  <c r="D16" i="116"/>
  <c r="F16" i="116" s="1"/>
  <c r="AG13" i="116"/>
  <c r="AI3" i="117" s="1"/>
  <c r="AF13" i="116"/>
  <c r="AH13" i="116" s="1"/>
  <c r="AE13" i="116"/>
  <c r="Y13" i="116"/>
  <c r="X13" i="116"/>
  <c r="T11" i="116"/>
  <c r="P11" i="116"/>
  <c r="O11" i="116"/>
  <c r="BH10" i="116"/>
  <c r="BH11" i="116" s="1"/>
  <c r="AG10" i="116"/>
  <c r="X3" i="117" s="1"/>
  <c r="AF10" i="116"/>
  <c r="AX10" i="116" s="1"/>
  <c r="AS10" i="116" s="1"/>
  <c r="AE10" i="116"/>
  <c r="X2" i="117" s="1"/>
  <c r="O10" i="116"/>
  <c r="G9" i="116"/>
  <c r="AH8" i="116"/>
  <c r="BE7" i="116"/>
  <c r="AH7" i="116"/>
  <c r="AG7" i="116"/>
  <c r="M3" i="117" s="1"/>
  <c r="AF7" i="116"/>
  <c r="BF7" i="116" s="1"/>
  <c r="AE7" i="116"/>
  <c r="AC7" i="116"/>
  <c r="Y7" i="116"/>
  <c r="X7" i="116"/>
  <c r="T7" i="116"/>
  <c r="P7" i="116"/>
  <c r="O7" i="116"/>
  <c r="EA6" i="116"/>
  <c r="X6" i="116"/>
  <c r="O6" i="116"/>
  <c r="DZ5" i="116"/>
  <c r="DK5" i="116"/>
  <c r="DL6" i="116" s="1"/>
  <c r="BE4" i="116"/>
  <c r="G8" i="116" s="1"/>
  <c r="AG4" i="116"/>
  <c r="B3" i="117" s="1"/>
  <c r="AF4" i="116"/>
  <c r="AH4" i="116" s="1"/>
  <c r="AE4" i="116"/>
  <c r="CW39" i="112"/>
  <c r="CZ39" i="112" s="1"/>
  <c r="DB39" i="112" s="1"/>
  <c r="CL39" i="112"/>
  <c r="CO39" i="112" s="1"/>
  <c r="CA39" i="112"/>
  <c r="BP39" i="112"/>
  <c r="BE39" i="112"/>
  <c r="AT39" i="112"/>
  <c r="AW39" i="112" s="1"/>
  <c r="AI39" i="112"/>
  <c r="AA39" i="112"/>
  <c r="X39" i="112"/>
  <c r="M39" i="112"/>
  <c r="B39" i="112"/>
  <c r="DA38" i="112"/>
  <c r="CZ38" i="112"/>
  <c r="CY38" i="112"/>
  <c r="CO38" i="112"/>
  <c r="CN38" i="112"/>
  <c r="CD38" i="112"/>
  <c r="CC38" i="112"/>
  <c r="BT38" i="112"/>
  <c r="BS38" i="112"/>
  <c r="BU38" i="112" s="1"/>
  <c r="BR38" i="112"/>
  <c r="BH38" i="112"/>
  <c r="BG38" i="112"/>
  <c r="AW38" i="112"/>
  <c r="AV38" i="112"/>
  <c r="AL38" i="112"/>
  <c r="AN38" i="112" s="1"/>
  <c r="AK38" i="112"/>
  <c r="AA38" i="112"/>
  <c r="Z38" i="112"/>
  <c r="P38" i="112"/>
  <c r="R38" i="112" s="1"/>
  <c r="O38" i="112"/>
  <c r="E38" i="112"/>
  <c r="G38" i="112" s="1"/>
  <c r="D38" i="112"/>
  <c r="F38" i="112" s="1"/>
  <c r="DA3" i="112"/>
  <c r="CP3" i="112"/>
  <c r="CE3" i="112"/>
  <c r="BT3" i="112"/>
  <c r="BI3" i="112"/>
  <c r="AX3" i="112"/>
  <c r="AM3" i="112"/>
  <c r="AB3" i="112"/>
  <c r="Q3" i="112"/>
  <c r="F3" i="112"/>
  <c r="DA2" i="112"/>
  <c r="CP2" i="112"/>
  <c r="CE2" i="112"/>
  <c r="CF38" i="112" s="1"/>
  <c r="BT2" i="112"/>
  <c r="BI2" i="112"/>
  <c r="AX2" i="112"/>
  <c r="AY38" i="112" s="1"/>
  <c r="AM2" i="112"/>
  <c r="AB2" i="112"/>
  <c r="AB38" i="112" s="1"/>
  <c r="Q2" i="112"/>
  <c r="F2" i="112"/>
  <c r="DI231" i="20"/>
  <c r="DB231" i="20"/>
  <c r="CZ231" i="20"/>
  <c r="CL231" i="20"/>
  <c r="CZ230" i="20"/>
  <c r="CL230" i="20"/>
  <c r="CN230" i="20" s="1"/>
  <c r="DB229" i="20"/>
  <c r="CZ229" i="20"/>
  <c r="DI229" i="20" s="1"/>
  <c r="CU229" i="20"/>
  <c r="CL229" i="20"/>
  <c r="CN229" i="20" s="1"/>
  <c r="CZ228" i="20"/>
  <c r="CN228" i="20"/>
  <c r="CL228" i="20"/>
  <c r="CZ227" i="20"/>
  <c r="CN227" i="20"/>
  <c r="CP227" i="20" s="1"/>
  <c r="CL227" i="20"/>
  <c r="CU227" i="20" s="1"/>
  <c r="CZ226" i="20"/>
  <c r="CN226" i="20"/>
  <c r="CP226" i="20" s="1"/>
  <c r="CL226" i="20"/>
  <c r="DI225" i="20"/>
  <c r="CZ225" i="20"/>
  <c r="DB225" i="20" s="1"/>
  <c r="CU225" i="20"/>
  <c r="CL225" i="20"/>
  <c r="CN225" i="20" s="1"/>
  <c r="CZ224" i="20"/>
  <c r="CL224" i="20"/>
  <c r="CN224" i="20" s="1"/>
  <c r="CP224" i="20" s="1"/>
  <c r="DI223" i="20"/>
  <c r="DB223" i="20"/>
  <c r="CZ223" i="20"/>
  <c r="CL223" i="20"/>
  <c r="CN223" i="20" s="1"/>
  <c r="CZ222" i="20"/>
  <c r="CL222" i="20"/>
  <c r="CN222" i="20" s="1"/>
  <c r="DI221" i="20"/>
  <c r="CZ221" i="20"/>
  <c r="DB221" i="20" s="1"/>
  <c r="CU221" i="20"/>
  <c r="CL221" i="20"/>
  <c r="CN221" i="20" s="1"/>
  <c r="CP221" i="20" s="1"/>
  <c r="CZ220" i="20"/>
  <c r="CL220" i="20"/>
  <c r="CN220" i="20" s="1"/>
  <c r="CP220" i="20" s="1"/>
  <c r="DI219" i="20"/>
  <c r="DB219" i="20"/>
  <c r="CZ219" i="20"/>
  <c r="CL219" i="20"/>
  <c r="CZ218" i="20"/>
  <c r="CL218" i="20"/>
  <c r="CN218" i="20" s="1"/>
  <c r="DI217" i="20"/>
  <c r="CZ217" i="20"/>
  <c r="DB217" i="20" s="1"/>
  <c r="CU217" i="20"/>
  <c r="CN217" i="20"/>
  <c r="CP217" i="20" s="1"/>
  <c r="CL217" i="20"/>
  <c r="CZ216" i="20"/>
  <c r="CN216" i="20"/>
  <c r="CP216" i="20" s="1"/>
  <c r="CL216" i="20"/>
  <c r="CZ215" i="20"/>
  <c r="CU215" i="20"/>
  <c r="CN215" i="20"/>
  <c r="CP215" i="20" s="1"/>
  <c r="CL215" i="20"/>
  <c r="CZ214" i="20"/>
  <c r="CL214" i="20"/>
  <c r="CN214" i="20" s="1"/>
  <c r="CP214" i="20" s="1"/>
  <c r="DI213" i="20"/>
  <c r="DB213" i="20"/>
  <c r="CZ213" i="20"/>
  <c r="CN213" i="20"/>
  <c r="CP213" i="20" s="1"/>
  <c r="CL213" i="20"/>
  <c r="CU213" i="20" s="1"/>
  <c r="CZ212" i="20"/>
  <c r="CL212" i="20"/>
  <c r="CN212" i="20" s="1"/>
  <c r="DI211" i="20"/>
  <c r="DB211" i="20"/>
  <c r="CZ211" i="20"/>
  <c r="CU211" i="20"/>
  <c r="CN211" i="20"/>
  <c r="CO211" i="20" s="1"/>
  <c r="CL211" i="20"/>
  <c r="CZ210" i="20"/>
  <c r="CL210" i="20"/>
  <c r="CN210" i="20" s="1"/>
  <c r="DI209" i="20"/>
  <c r="DB209" i="20"/>
  <c r="CZ209" i="20"/>
  <c r="CU209" i="20"/>
  <c r="CQ209" i="20"/>
  <c r="CP209" i="20"/>
  <c r="CN209" i="20"/>
  <c r="CO209" i="20" s="1"/>
  <c r="CL209" i="20"/>
  <c r="CZ208" i="20"/>
  <c r="CL208" i="20"/>
  <c r="CZ207" i="20"/>
  <c r="CL207" i="20"/>
  <c r="CZ206" i="20"/>
  <c r="CN206" i="20"/>
  <c r="CL206" i="20"/>
  <c r="CZ205" i="20"/>
  <c r="CU205" i="20"/>
  <c r="CL205" i="20"/>
  <c r="CN205" i="20" s="1"/>
  <c r="CZ204" i="20"/>
  <c r="CL204" i="20"/>
  <c r="DB203" i="20"/>
  <c r="CZ203" i="20"/>
  <c r="DI203" i="20" s="1"/>
  <c r="CU203" i="20"/>
  <c r="CL203" i="20"/>
  <c r="CN203" i="20" s="1"/>
  <c r="CZ202" i="20"/>
  <c r="CL202" i="20"/>
  <c r="DI201" i="20"/>
  <c r="DB201" i="20"/>
  <c r="CZ201" i="20"/>
  <c r="CU201" i="20"/>
  <c r="CP201" i="20"/>
  <c r="CN201" i="20"/>
  <c r="CO201" i="20" s="1"/>
  <c r="CL201" i="20"/>
  <c r="CZ200" i="20"/>
  <c r="CL200" i="20"/>
  <c r="DB199" i="20"/>
  <c r="CZ199" i="20"/>
  <c r="DI199" i="20" s="1"/>
  <c r="CU199" i="20"/>
  <c r="CL199" i="20"/>
  <c r="CN199" i="20" s="1"/>
  <c r="CZ198" i="20"/>
  <c r="CL198" i="20"/>
  <c r="DI197" i="20"/>
  <c r="DB197" i="20"/>
  <c r="CZ197" i="20"/>
  <c r="CL197" i="20"/>
  <c r="CZ196" i="20"/>
  <c r="CL196" i="20"/>
  <c r="CN196" i="20" s="1"/>
  <c r="CZ195" i="20"/>
  <c r="DB195" i="20" s="1"/>
  <c r="CL195" i="20"/>
  <c r="CZ194" i="20"/>
  <c r="CL194" i="20"/>
  <c r="DB193" i="20"/>
  <c r="CZ193" i="20"/>
  <c r="DI193" i="20" s="1"/>
  <c r="CU193" i="20"/>
  <c r="CP193" i="20"/>
  <c r="CQ193" i="20" s="1"/>
  <c r="CN193" i="20"/>
  <c r="CO193" i="20" s="1"/>
  <c r="CL193" i="20"/>
  <c r="CZ192" i="20"/>
  <c r="CN192" i="20"/>
  <c r="CL192" i="20"/>
  <c r="DI191" i="20"/>
  <c r="CZ191" i="20"/>
  <c r="DB191" i="20" s="1"/>
  <c r="CL191" i="20"/>
  <c r="CZ190" i="20"/>
  <c r="CO190" i="20"/>
  <c r="CQ190" i="20" s="1"/>
  <c r="CS190" i="20" s="1"/>
  <c r="CL190" i="20"/>
  <c r="CN190" i="20" s="1"/>
  <c r="CP190" i="20" s="1"/>
  <c r="DI189" i="20"/>
  <c r="DD189" i="20"/>
  <c r="DB189" i="20"/>
  <c r="DC189" i="20" s="1"/>
  <c r="CZ189" i="20"/>
  <c r="CU189" i="20"/>
  <c r="CL189" i="20"/>
  <c r="CN189" i="20" s="1"/>
  <c r="CZ188" i="20"/>
  <c r="CL188" i="20"/>
  <c r="DI187" i="20"/>
  <c r="DB187" i="20"/>
  <c r="CZ187" i="20"/>
  <c r="CU187" i="20"/>
  <c r="CL187" i="20"/>
  <c r="CN187" i="20" s="1"/>
  <c r="CZ186" i="20"/>
  <c r="CL186" i="20"/>
  <c r="CN186" i="20" s="1"/>
  <c r="DB185" i="20"/>
  <c r="DC185" i="20" s="1"/>
  <c r="CZ185" i="20"/>
  <c r="CU185" i="20"/>
  <c r="CL185" i="20"/>
  <c r="CN185" i="20" s="1"/>
  <c r="DI184" i="20"/>
  <c r="CZ184" i="20"/>
  <c r="CN184" i="20"/>
  <c r="CP184" i="20" s="1"/>
  <c r="CL184" i="20"/>
  <c r="CZ183" i="20"/>
  <c r="CU183" i="20"/>
  <c r="CL183" i="20"/>
  <c r="CN183" i="20" s="1"/>
  <c r="CZ182" i="20"/>
  <c r="CL182" i="20"/>
  <c r="DB181" i="20"/>
  <c r="CZ181" i="20"/>
  <c r="CU181" i="20"/>
  <c r="CL181" i="20"/>
  <c r="CN181" i="20" s="1"/>
  <c r="CZ180" i="20"/>
  <c r="CN180" i="20"/>
  <c r="CL180" i="20"/>
  <c r="CZ179" i="20"/>
  <c r="CL179" i="20"/>
  <c r="DI178" i="20"/>
  <c r="DB178" i="20"/>
  <c r="CZ178" i="20"/>
  <c r="CL178" i="20"/>
  <c r="CZ177" i="20"/>
  <c r="CL177" i="20"/>
  <c r="DI176" i="20"/>
  <c r="DD176" i="20"/>
  <c r="CZ176" i="20"/>
  <c r="DB176" i="20" s="1"/>
  <c r="DC176" i="20" s="1"/>
  <c r="CU176" i="20"/>
  <c r="CP176" i="20"/>
  <c r="CL176" i="20"/>
  <c r="CN176" i="20" s="1"/>
  <c r="CO176" i="20" s="1"/>
  <c r="CQ176" i="20" s="1"/>
  <c r="CZ175" i="20"/>
  <c r="CL175" i="20"/>
  <c r="DI174" i="20"/>
  <c r="CZ174" i="20"/>
  <c r="DB174" i="20" s="1"/>
  <c r="DC174" i="20" s="1"/>
  <c r="CU174" i="20"/>
  <c r="CN174" i="20"/>
  <c r="CO174" i="20" s="1"/>
  <c r="CL174" i="20"/>
  <c r="CZ173" i="20"/>
  <c r="CL173" i="20"/>
  <c r="CZ172" i="20"/>
  <c r="DB172" i="20" s="1"/>
  <c r="DC172" i="20" s="1"/>
  <c r="CU172" i="20"/>
  <c r="CP172" i="20"/>
  <c r="CN172" i="20"/>
  <c r="CO172" i="20" s="1"/>
  <c r="CL172" i="20"/>
  <c r="CZ171" i="20"/>
  <c r="CL171" i="20"/>
  <c r="DI170" i="20"/>
  <c r="CZ170" i="20"/>
  <c r="DB170" i="20" s="1"/>
  <c r="CL170" i="20"/>
  <c r="CU170" i="20" s="1"/>
  <c r="CZ169" i="20"/>
  <c r="CL169" i="20"/>
  <c r="DI168" i="20"/>
  <c r="CZ168" i="20"/>
  <c r="DB168" i="20" s="1"/>
  <c r="DC168" i="20" s="1"/>
  <c r="CP168" i="20"/>
  <c r="CN168" i="20"/>
  <c r="CO168" i="20" s="1"/>
  <c r="CL168" i="20"/>
  <c r="CU168" i="20" s="1"/>
  <c r="CZ167" i="20"/>
  <c r="CL167" i="20"/>
  <c r="DI166" i="20"/>
  <c r="CZ166" i="20"/>
  <c r="DB166" i="20" s="1"/>
  <c r="CU166" i="20"/>
  <c r="CN166" i="20"/>
  <c r="CL166" i="20"/>
  <c r="CZ165" i="20"/>
  <c r="CL165" i="20"/>
  <c r="CZ164" i="20"/>
  <c r="DB164" i="20" s="1"/>
  <c r="CO164" i="20"/>
  <c r="CQ164" i="20" s="1"/>
  <c r="CN164" i="20"/>
  <c r="CP164" i="20" s="1"/>
  <c r="CL164" i="20"/>
  <c r="CU164" i="20" s="1"/>
  <c r="CZ163" i="20"/>
  <c r="CL163" i="20"/>
  <c r="CZ162" i="20"/>
  <c r="CL162" i="20"/>
  <c r="CZ161" i="20"/>
  <c r="CL161" i="20"/>
  <c r="CZ160" i="20"/>
  <c r="CU160" i="20"/>
  <c r="CN160" i="20"/>
  <c r="CL160" i="20"/>
  <c r="CZ159" i="20"/>
  <c r="CL159" i="20"/>
  <c r="DI158" i="20"/>
  <c r="CZ158" i="20"/>
  <c r="DB158" i="20" s="1"/>
  <c r="CN158" i="20"/>
  <c r="CL158" i="20"/>
  <c r="CU158" i="20" s="1"/>
  <c r="CZ157" i="20"/>
  <c r="CL157" i="20"/>
  <c r="CZ156" i="20"/>
  <c r="CN156" i="20"/>
  <c r="CL156" i="20"/>
  <c r="CU156" i="20" s="1"/>
  <c r="CZ155" i="20"/>
  <c r="CL155" i="20"/>
  <c r="DI154" i="20"/>
  <c r="CZ154" i="20"/>
  <c r="DB154" i="20" s="1"/>
  <c r="CU154" i="20"/>
  <c r="CP154" i="20"/>
  <c r="CQ154" i="20" s="1"/>
  <c r="CO154" i="20"/>
  <c r="CL154" i="20"/>
  <c r="CN154" i="20" s="1"/>
  <c r="CZ153" i="20"/>
  <c r="CL153" i="20"/>
  <c r="CZ152" i="20"/>
  <c r="CN152" i="20"/>
  <c r="CO152" i="20" s="1"/>
  <c r="CL152" i="20"/>
  <c r="CU152" i="20" s="1"/>
  <c r="CZ151" i="20"/>
  <c r="CL151" i="20"/>
  <c r="DI150" i="20"/>
  <c r="DD150" i="20"/>
  <c r="CZ150" i="20"/>
  <c r="DB150" i="20" s="1"/>
  <c r="DC150" i="20" s="1"/>
  <c r="CU150" i="20"/>
  <c r="CP150" i="20"/>
  <c r="CQ150" i="20" s="1"/>
  <c r="CL150" i="20"/>
  <c r="CN150" i="20" s="1"/>
  <c r="CO150" i="20" s="1"/>
  <c r="CZ149" i="20"/>
  <c r="CL149" i="20"/>
  <c r="CZ148" i="20"/>
  <c r="CL148" i="20"/>
  <c r="CU148" i="20" s="1"/>
  <c r="CZ147" i="20"/>
  <c r="CL147" i="20"/>
  <c r="DI146" i="20"/>
  <c r="CZ146" i="20"/>
  <c r="DB146" i="20" s="1"/>
  <c r="DC146" i="20" s="1"/>
  <c r="CP146" i="20"/>
  <c r="CQ146" i="20" s="1"/>
  <c r="CN146" i="20"/>
  <c r="CO146" i="20" s="1"/>
  <c r="CL146" i="20"/>
  <c r="CU146" i="20" s="1"/>
  <c r="CZ145" i="20"/>
  <c r="CL145" i="20"/>
  <c r="CZ144" i="20"/>
  <c r="CU144" i="20"/>
  <c r="CN144" i="20"/>
  <c r="CL144" i="20"/>
  <c r="CZ143" i="20"/>
  <c r="CL143" i="20"/>
  <c r="CZ142" i="20"/>
  <c r="DB142" i="20" s="1"/>
  <c r="CN142" i="20"/>
  <c r="CO142" i="20" s="1"/>
  <c r="CL142" i="20"/>
  <c r="CU142" i="20" s="1"/>
  <c r="CZ141" i="20"/>
  <c r="CL141" i="20"/>
  <c r="CZ140" i="20"/>
  <c r="CN140" i="20"/>
  <c r="CL140" i="20"/>
  <c r="CU140" i="20" s="1"/>
  <c r="CZ139" i="20"/>
  <c r="CL139" i="20"/>
  <c r="CZ138" i="20"/>
  <c r="DB138" i="20" s="1"/>
  <c r="CU138" i="20"/>
  <c r="CL138" i="20"/>
  <c r="CN138" i="20" s="1"/>
  <c r="CP138" i="20" s="1"/>
  <c r="CZ137" i="20"/>
  <c r="CL137" i="20"/>
  <c r="CZ136" i="20"/>
  <c r="CP136" i="20"/>
  <c r="CQ136" i="20" s="1"/>
  <c r="CN136" i="20"/>
  <c r="CO136" i="20" s="1"/>
  <c r="CL136" i="20"/>
  <c r="CU136" i="20" s="1"/>
  <c r="CZ135" i="20"/>
  <c r="CL135" i="20"/>
  <c r="DI134" i="20"/>
  <c r="DD134" i="20"/>
  <c r="CZ134" i="20"/>
  <c r="DB134" i="20" s="1"/>
  <c r="DC134" i="20" s="1"/>
  <c r="CU134" i="20"/>
  <c r="CL134" i="20"/>
  <c r="CN134" i="20" s="1"/>
  <c r="CO134" i="20" s="1"/>
  <c r="CZ133" i="20"/>
  <c r="CL133" i="20"/>
  <c r="DI132" i="20"/>
  <c r="CZ132" i="20"/>
  <c r="DB132" i="20" s="1"/>
  <c r="DC132" i="20" s="1"/>
  <c r="CO132" i="20"/>
  <c r="CN132" i="20"/>
  <c r="CP132" i="20" s="1"/>
  <c r="CL132" i="20"/>
  <c r="CL2" i="112" s="1"/>
  <c r="CG55" i="20"/>
  <c r="CG54" i="20"/>
  <c r="CG53" i="20"/>
  <c r="CG52" i="20"/>
  <c r="CG51" i="20"/>
  <c r="CG50" i="20"/>
  <c r="CG49" i="20"/>
  <c r="CG48" i="20"/>
  <c r="CG47" i="20"/>
  <c r="CG46" i="20"/>
  <c r="CB46" i="20"/>
  <c r="CA46" i="20"/>
  <c r="BU46" i="20"/>
  <c r="BM46" i="20"/>
  <c r="BL46" i="20"/>
  <c r="CG45" i="20"/>
  <c r="CB45" i="20"/>
  <c r="CA45" i="20"/>
  <c r="BU45" i="20"/>
  <c r="BM45" i="20"/>
  <c r="BL45" i="20"/>
  <c r="CG44" i="20"/>
  <c r="CB44" i="20"/>
  <c r="CA44" i="20"/>
  <c r="BU44" i="20"/>
  <c r="BM44" i="20"/>
  <c r="BL44" i="20"/>
  <c r="CG43" i="20"/>
  <c r="CB43" i="20"/>
  <c r="CA43" i="20"/>
  <c r="BM43" i="20"/>
  <c r="BL43" i="20"/>
  <c r="AZ43" i="20"/>
  <c r="AY43" i="20"/>
  <c r="CB42" i="20"/>
  <c r="CA42" i="20"/>
  <c r="BM42" i="20"/>
  <c r="BL42" i="20"/>
  <c r="AJ42" i="20"/>
  <c r="AI42" i="20"/>
  <c r="P42" i="20"/>
  <c r="O42" i="20"/>
  <c r="B42" i="20"/>
  <c r="CB41" i="20"/>
  <c r="CA41" i="20"/>
  <c r="BM41" i="20"/>
  <c r="BL41" i="20"/>
  <c r="B41" i="20"/>
  <c r="CB40" i="20"/>
  <c r="CA40" i="20"/>
  <c r="BM40" i="20"/>
  <c r="BL40" i="20"/>
  <c r="BD40" i="20"/>
  <c r="DP39" i="20"/>
  <c r="DX39" i="20" s="1"/>
  <c r="CG39" i="20"/>
  <c r="CB39" i="20"/>
  <c r="CA39" i="20"/>
  <c r="BM39" i="20"/>
  <c r="BL39" i="20"/>
  <c r="BD39" i="20"/>
  <c r="BD41" i="20" s="1"/>
  <c r="AZ39" i="20"/>
  <c r="AY39" i="20"/>
  <c r="AV40" i="20" s="1"/>
  <c r="AT39" i="20"/>
  <c r="DP38" i="20"/>
  <c r="DX38" i="20" s="1"/>
  <c r="AJ38" i="20"/>
  <c r="AI38" i="20"/>
  <c r="AD38" i="20"/>
  <c r="S38" i="20"/>
  <c r="R38" i="20"/>
  <c r="DP37" i="20"/>
  <c r="BD37" i="20"/>
  <c r="DP36" i="20"/>
  <c r="BD36" i="20"/>
  <c r="DP35" i="20"/>
  <c r="CI35" i="20"/>
  <c r="CE35" i="20"/>
  <c r="CA35" i="20"/>
  <c r="BW35" i="20"/>
  <c r="BS35" i="20"/>
  <c r="BO35" i="20"/>
  <c r="BK35" i="20"/>
  <c r="C35" i="20"/>
  <c r="DP34" i="20"/>
  <c r="CI34" i="20"/>
  <c r="CE34" i="20"/>
  <c r="CA34" i="20"/>
  <c r="BW34" i="20"/>
  <c r="BS34" i="20"/>
  <c r="BO34" i="20"/>
  <c r="BK34" i="20"/>
  <c r="S34" i="20"/>
  <c r="R34" i="20"/>
  <c r="E34" i="20"/>
  <c r="B34" i="20"/>
  <c r="DP33" i="20"/>
  <c r="CI33" i="20"/>
  <c r="CE33" i="20"/>
  <c r="CA33" i="20"/>
  <c r="BW33" i="20"/>
  <c r="BS33" i="20"/>
  <c r="BO33" i="20"/>
  <c r="BK33" i="20"/>
  <c r="AZ33" i="20"/>
  <c r="AW33" i="20"/>
  <c r="AV33" i="20"/>
  <c r="DP32" i="20"/>
  <c r="CI32" i="20"/>
  <c r="CE32" i="20"/>
  <c r="CA32" i="20"/>
  <c r="BW32" i="20"/>
  <c r="BS32" i="20"/>
  <c r="BO32" i="20"/>
  <c r="BK32" i="20"/>
  <c r="AY32" i="20"/>
  <c r="AG32" i="20"/>
  <c r="DP31" i="20"/>
  <c r="CI31" i="20"/>
  <c r="CE31" i="20"/>
  <c r="CA31" i="20"/>
  <c r="BW31" i="20"/>
  <c r="BS31" i="20"/>
  <c r="BO31" i="20"/>
  <c r="BK31" i="20"/>
  <c r="V31" i="20"/>
  <c r="V33" i="20" s="1"/>
  <c r="DP30" i="20"/>
  <c r="CI30" i="20"/>
  <c r="CE30" i="20"/>
  <c r="CA30" i="20"/>
  <c r="BW30" i="20"/>
  <c r="BS30" i="20"/>
  <c r="BO30" i="20"/>
  <c r="BK30" i="20"/>
  <c r="V30" i="20"/>
  <c r="DP29" i="20"/>
  <c r="DX29" i="20" s="1"/>
  <c r="CI29" i="20"/>
  <c r="CE29" i="20"/>
  <c r="CA29" i="20"/>
  <c r="BW29" i="20"/>
  <c r="BS29" i="20"/>
  <c r="BO29" i="20"/>
  <c r="BK29" i="20"/>
  <c r="AZ29" i="20"/>
  <c r="AV30" i="20" s="1"/>
  <c r="AW29" i="20"/>
  <c r="AV29" i="20"/>
  <c r="V29" i="20"/>
  <c r="F29" i="20"/>
  <c r="E29" i="20"/>
  <c r="D29" i="20"/>
  <c r="B29" i="20"/>
  <c r="DP28" i="20"/>
  <c r="DX28" i="20" s="1"/>
  <c r="CI28" i="20"/>
  <c r="CE28" i="20"/>
  <c r="CA28" i="20"/>
  <c r="BW28" i="20"/>
  <c r="BS28" i="20"/>
  <c r="BO28" i="20"/>
  <c r="BK28" i="20"/>
  <c r="AF28" i="20"/>
  <c r="S28" i="20"/>
  <c r="R28" i="20"/>
  <c r="P28" i="20"/>
  <c r="O28" i="20"/>
  <c r="O29" i="20" s="1"/>
  <c r="M38" i="20" s="1"/>
  <c r="O39" i="20" s="1"/>
  <c r="F28" i="20"/>
  <c r="DP27" i="20"/>
  <c r="DX27" i="20" s="1"/>
  <c r="CI27" i="20"/>
  <c r="CE27" i="20"/>
  <c r="CA27" i="20"/>
  <c r="BW27" i="20"/>
  <c r="BS27" i="20"/>
  <c r="BO27" i="20"/>
  <c r="BK27" i="20"/>
  <c r="AM27" i="20"/>
  <c r="DP26" i="20"/>
  <c r="CI26" i="20"/>
  <c r="CE26" i="20"/>
  <c r="CA26" i="20"/>
  <c r="BW26" i="20"/>
  <c r="BS26" i="20"/>
  <c r="BO26" i="20"/>
  <c r="BK26" i="20"/>
  <c r="AM26" i="20"/>
  <c r="AM30" i="20" s="1"/>
  <c r="DP25" i="20"/>
  <c r="DX25" i="20" s="1"/>
  <c r="CI25" i="20"/>
  <c r="CE25" i="20"/>
  <c r="CA25" i="20"/>
  <c r="BW25" i="20"/>
  <c r="BS25" i="20"/>
  <c r="BO25" i="20"/>
  <c r="BK25" i="20"/>
  <c r="K25" i="20"/>
  <c r="DP24" i="20"/>
  <c r="CI24" i="20"/>
  <c r="CE24" i="20"/>
  <c r="CA24" i="20"/>
  <c r="BW24" i="20"/>
  <c r="BS24" i="20"/>
  <c r="BO24" i="20"/>
  <c r="BK24" i="20"/>
  <c r="AJ24" i="20"/>
  <c r="AG24" i="20"/>
  <c r="AF24" i="20"/>
  <c r="S24" i="20"/>
  <c r="P24" i="20"/>
  <c r="O24" i="20"/>
  <c r="K24" i="20"/>
  <c r="J24" i="20"/>
  <c r="I24" i="20"/>
  <c r="H24" i="20"/>
  <c r="DK128" i="20" s="1"/>
  <c r="G24" i="20"/>
  <c r="B24" i="20"/>
  <c r="DP23" i="20"/>
  <c r="CI23" i="20"/>
  <c r="CE23" i="20"/>
  <c r="CA23" i="20"/>
  <c r="BW23" i="20"/>
  <c r="BS23" i="20"/>
  <c r="BO23" i="20"/>
  <c r="BK23" i="20"/>
  <c r="AI23" i="20"/>
  <c r="X23" i="20"/>
  <c r="W23" i="20"/>
  <c r="U23" i="20"/>
  <c r="L23" i="20"/>
  <c r="K23" i="20"/>
  <c r="J23" i="20"/>
  <c r="I23" i="20"/>
  <c r="H23" i="20"/>
  <c r="CW128" i="20" s="1"/>
  <c r="G23" i="20"/>
  <c r="B23" i="20"/>
  <c r="DX22" i="20"/>
  <c r="DP22" i="20"/>
  <c r="CI22" i="20"/>
  <c r="CE22" i="20"/>
  <c r="CA22" i="20"/>
  <c r="BW22" i="20"/>
  <c r="BS22" i="20"/>
  <c r="BO22" i="20"/>
  <c r="BK22" i="20"/>
  <c r="AA22" i="20"/>
  <c r="DP21" i="20"/>
  <c r="DX21" i="20" s="1"/>
  <c r="CI21" i="20"/>
  <c r="CE21" i="20"/>
  <c r="CA21" i="20"/>
  <c r="BW21" i="20"/>
  <c r="BS21" i="20"/>
  <c r="BO21" i="20"/>
  <c r="BK21" i="20"/>
  <c r="AW21" i="20"/>
  <c r="AV21" i="20"/>
  <c r="DP20" i="20"/>
  <c r="CI20" i="20"/>
  <c r="CE20" i="20"/>
  <c r="CA20" i="20"/>
  <c r="BW20" i="20"/>
  <c r="BS20" i="20"/>
  <c r="BO20" i="20"/>
  <c r="BK20" i="20"/>
  <c r="AJ20" i="20"/>
  <c r="AG20" i="20"/>
  <c r="AF20" i="20"/>
  <c r="P20" i="20"/>
  <c r="O20" i="20"/>
  <c r="I20" i="20"/>
  <c r="DP19" i="20"/>
  <c r="DG19" i="20"/>
  <c r="CO19" i="20"/>
  <c r="CN19" i="20"/>
  <c r="BE3" i="112" s="1"/>
  <c r="CM19" i="20"/>
  <c r="CL19" i="20"/>
  <c r="BE2" i="112" s="1"/>
  <c r="CI19" i="20"/>
  <c r="CE19" i="20"/>
  <c r="CA19" i="20"/>
  <c r="BW19" i="20"/>
  <c r="BS19" i="20"/>
  <c r="BO19" i="20"/>
  <c r="BK19" i="20"/>
  <c r="AA19" i="20"/>
  <c r="X19" i="20"/>
  <c r="W19" i="20"/>
  <c r="W20" i="20" s="1"/>
  <c r="EA44" i="20" s="1"/>
  <c r="U19" i="20"/>
  <c r="DP18" i="20"/>
  <c r="DX18" i="20" s="1"/>
  <c r="CI18" i="20"/>
  <c r="CE18" i="20"/>
  <c r="CA18" i="20"/>
  <c r="BW18" i="20"/>
  <c r="BS18" i="20"/>
  <c r="BO18" i="20"/>
  <c r="BK18" i="20"/>
  <c r="BE18" i="20"/>
  <c r="BD18" i="20"/>
  <c r="AO18" i="20"/>
  <c r="AN18" i="20"/>
  <c r="AA18" i="20"/>
  <c r="DP17" i="20"/>
  <c r="DB17" i="20"/>
  <c r="CI17" i="20"/>
  <c r="CE17" i="20"/>
  <c r="CA17" i="20"/>
  <c r="BW17" i="20"/>
  <c r="BS17" i="20"/>
  <c r="BO17" i="20"/>
  <c r="BK17" i="20"/>
  <c r="DX16" i="20"/>
  <c r="DP16" i="20"/>
  <c r="DG16" i="20"/>
  <c r="K22" i="20" s="1"/>
  <c r="CN16" i="20"/>
  <c r="AT3" i="112" s="1"/>
  <c r="CM16" i="20"/>
  <c r="CO16" i="20" s="1"/>
  <c r="CQ16" i="20" s="1"/>
  <c r="CL16" i="20"/>
  <c r="CI16" i="20"/>
  <c r="CE16" i="20"/>
  <c r="CA16" i="20"/>
  <c r="BW16" i="20"/>
  <c r="BS16" i="20"/>
  <c r="BO16" i="20"/>
  <c r="BK16" i="20"/>
  <c r="AZ16" i="20"/>
  <c r="AY16" i="20"/>
  <c r="E16" i="20"/>
  <c r="DP15" i="20"/>
  <c r="DX15" i="20" s="1"/>
  <c r="CI15" i="20"/>
  <c r="CE15" i="20"/>
  <c r="CA15" i="20"/>
  <c r="BW15" i="20"/>
  <c r="BS15" i="20"/>
  <c r="BO15" i="20"/>
  <c r="BK15" i="20"/>
  <c r="DX14" i="20"/>
  <c r="DP14" i="20"/>
  <c r="CI14" i="20"/>
  <c r="CE14" i="20"/>
  <c r="CA14" i="20"/>
  <c r="BW14" i="20"/>
  <c r="BS14" i="20"/>
  <c r="BO14" i="20"/>
  <c r="BK14" i="20"/>
  <c r="X14" i="20"/>
  <c r="W14" i="20"/>
  <c r="DP13" i="20"/>
  <c r="CN13" i="20"/>
  <c r="AI3" i="112" s="1"/>
  <c r="CM13" i="20"/>
  <c r="CO13" i="20" s="1"/>
  <c r="CL13" i="20"/>
  <c r="AI2" i="112" s="1"/>
  <c r="CI13" i="20"/>
  <c r="CE13" i="20"/>
  <c r="CA13" i="20"/>
  <c r="BW13" i="20"/>
  <c r="BS13" i="20"/>
  <c r="BO13" i="20"/>
  <c r="BK13" i="20"/>
  <c r="AI13" i="20"/>
  <c r="AF13" i="20"/>
  <c r="AD13" i="20"/>
  <c r="AA13" i="20"/>
  <c r="DP12" i="20"/>
  <c r="CI12" i="20"/>
  <c r="CE12" i="20"/>
  <c r="CA12" i="20"/>
  <c r="BW12" i="20"/>
  <c r="BS12" i="20"/>
  <c r="BO12" i="20"/>
  <c r="BK12" i="20"/>
  <c r="BE12" i="20"/>
  <c r="BD12" i="20"/>
  <c r="AO12" i="20"/>
  <c r="AN12" i="20"/>
  <c r="AJ12" i="20"/>
  <c r="R12" i="20"/>
  <c r="O12" i="20"/>
  <c r="M12" i="20"/>
  <c r="DP11" i="20"/>
  <c r="CI11" i="20"/>
  <c r="CE11" i="20"/>
  <c r="CA11" i="20"/>
  <c r="BW11" i="20"/>
  <c r="BS11" i="20"/>
  <c r="BO11" i="20"/>
  <c r="BK11" i="20"/>
  <c r="AZ11" i="20"/>
  <c r="AY11" i="20"/>
  <c r="AW11" i="20"/>
  <c r="AV11" i="20"/>
  <c r="K11" i="20"/>
  <c r="J11" i="20"/>
  <c r="I11" i="20"/>
  <c r="H11" i="20"/>
  <c r="G11" i="20"/>
  <c r="DX10" i="20"/>
  <c r="DP10" i="20"/>
  <c r="DG10" i="20"/>
  <c r="CN10" i="20"/>
  <c r="X3" i="112" s="1"/>
  <c r="CM10" i="20"/>
  <c r="CO10" i="20" s="1"/>
  <c r="CL10" i="20"/>
  <c r="X2" i="112" s="1"/>
  <c r="CI10" i="20"/>
  <c r="CE10" i="20"/>
  <c r="CA10" i="20"/>
  <c r="BW10" i="20"/>
  <c r="BS10" i="20"/>
  <c r="BO10" i="20"/>
  <c r="BK10" i="20"/>
  <c r="AI10" i="20"/>
  <c r="AG10" i="20"/>
  <c r="AF10" i="20"/>
  <c r="AD10" i="20"/>
  <c r="AA10" i="20"/>
  <c r="Z10" i="20"/>
  <c r="X10" i="20"/>
  <c r="W10" i="20"/>
  <c r="K10" i="20"/>
  <c r="DX9" i="20"/>
  <c r="DP9" i="20"/>
  <c r="CI9" i="20"/>
  <c r="CE9" i="20"/>
  <c r="CA9" i="20"/>
  <c r="BW9" i="20"/>
  <c r="BS9" i="20"/>
  <c r="BO9" i="20"/>
  <c r="BK9" i="20"/>
  <c r="AJ9" i="20"/>
  <c r="AA9" i="20"/>
  <c r="R9" i="20"/>
  <c r="O9" i="20"/>
  <c r="M9" i="20"/>
  <c r="DP8" i="20"/>
  <c r="DX8" i="20" s="1"/>
  <c r="CI8" i="20"/>
  <c r="CE8" i="20"/>
  <c r="CA8" i="20"/>
  <c r="BW8" i="20"/>
  <c r="BS8" i="20"/>
  <c r="BO8" i="20"/>
  <c r="BK8" i="20"/>
  <c r="B8" i="20"/>
  <c r="DX7" i="20"/>
  <c r="DP7" i="20"/>
  <c r="DG7" i="20"/>
  <c r="K9" i="20" s="1"/>
  <c r="CO7" i="20"/>
  <c r="CN7" i="20"/>
  <c r="CM7" i="20"/>
  <c r="CL7" i="20"/>
  <c r="M2" i="112" s="1"/>
  <c r="CI7" i="20"/>
  <c r="CE7" i="20"/>
  <c r="CA7" i="20"/>
  <c r="BW7" i="20"/>
  <c r="BS7" i="20"/>
  <c r="BO7" i="20"/>
  <c r="BK7" i="20"/>
  <c r="BE7" i="20"/>
  <c r="BD7" i="20"/>
  <c r="AW7" i="20"/>
  <c r="AV7" i="20"/>
  <c r="AO7" i="20"/>
  <c r="AN7" i="20"/>
  <c r="CI6" i="20"/>
  <c r="CE6" i="20"/>
  <c r="CA6" i="20"/>
  <c r="BW6" i="20"/>
  <c r="BS6" i="20"/>
  <c r="BO6" i="20"/>
  <c r="BK6" i="20"/>
  <c r="AI6" i="20"/>
  <c r="AG6" i="20"/>
  <c r="AF6" i="20"/>
  <c r="AF32" i="20" s="1"/>
  <c r="AD6" i="20"/>
  <c r="X6" i="20"/>
  <c r="W6" i="20"/>
  <c r="S6" i="20"/>
  <c r="R6" i="20"/>
  <c r="P6" i="20"/>
  <c r="O6" i="20"/>
  <c r="M6" i="20"/>
  <c r="DX5" i="20"/>
  <c r="DX34" i="20" s="1"/>
  <c r="DW5" i="20"/>
  <c r="DW16" i="20" s="1"/>
  <c r="CP4" i="20"/>
  <c r="CR4" i="20" s="1"/>
  <c r="CS4" i="20" s="1"/>
  <c r="CN4" i="20"/>
  <c r="B3" i="112" s="1"/>
  <c r="CM4" i="20"/>
  <c r="CO4" i="20" s="1"/>
  <c r="CQ4" i="20" s="1"/>
  <c r="CL4" i="20"/>
  <c r="AW211" i="38"/>
  <c r="AY211" i="38" s="1"/>
  <c r="AW210" i="38"/>
  <c r="AY209" i="38"/>
  <c r="BA209" i="38" s="1"/>
  <c r="AW209" i="38"/>
  <c r="AZ209" i="38" s="1"/>
  <c r="AZ208" i="38"/>
  <c r="AW208" i="38"/>
  <c r="AY208" i="38" s="1"/>
  <c r="AY207" i="38"/>
  <c r="AW207" i="38"/>
  <c r="AZ207" i="38" s="1"/>
  <c r="AZ206" i="38"/>
  <c r="AW206" i="38"/>
  <c r="AY206" i="38" s="1"/>
  <c r="AW205" i="38"/>
  <c r="AW204" i="38"/>
  <c r="AZ203" i="38"/>
  <c r="AW203" i="38"/>
  <c r="AY203" i="38" s="1"/>
  <c r="AW202" i="38"/>
  <c r="AW201" i="38"/>
  <c r="AZ201" i="38" s="1"/>
  <c r="AW200" i="38"/>
  <c r="AY200" i="38" s="1"/>
  <c r="AW199" i="38"/>
  <c r="AZ199" i="38" s="1"/>
  <c r="AW198" i="38"/>
  <c r="AY198" i="38" s="1"/>
  <c r="AW197" i="38"/>
  <c r="AY196" i="38"/>
  <c r="AW196" i="38"/>
  <c r="AZ196" i="38" s="1"/>
  <c r="AZ195" i="38"/>
  <c r="AW195" i="38"/>
  <c r="AY195" i="38" s="1"/>
  <c r="AW194" i="38"/>
  <c r="AW193" i="38"/>
  <c r="AZ193" i="38" s="1"/>
  <c r="AZ192" i="38"/>
  <c r="AY192" i="38"/>
  <c r="BA192" i="38" s="1"/>
  <c r="AW192" i="38"/>
  <c r="AW191" i="38"/>
  <c r="AZ190" i="38"/>
  <c r="AY190" i="38"/>
  <c r="AW190" i="38"/>
  <c r="AW189" i="38"/>
  <c r="AY188" i="38"/>
  <c r="BA188" i="38" s="1"/>
  <c r="AW188" i="38"/>
  <c r="AZ188" i="38" s="1"/>
  <c r="AW187" i="38"/>
  <c r="AY187" i="38" s="1"/>
  <c r="AW186" i="38"/>
  <c r="AW185" i="38"/>
  <c r="AZ184" i="38"/>
  <c r="AW184" i="38"/>
  <c r="AY184" i="38" s="1"/>
  <c r="AW183" i="38"/>
  <c r="AW182" i="38"/>
  <c r="AW181" i="38"/>
  <c r="AY180" i="38"/>
  <c r="BA180" i="38" s="1"/>
  <c r="AW180" i="38"/>
  <c r="AZ180" i="38" s="1"/>
  <c r="AZ179" i="38"/>
  <c r="AW179" i="38"/>
  <c r="AY179" i="38" s="1"/>
  <c r="AW178" i="38"/>
  <c r="AY177" i="38"/>
  <c r="AW177" i="38"/>
  <c r="AZ177" i="38" s="1"/>
  <c r="AZ176" i="38"/>
  <c r="AY176" i="38"/>
  <c r="AW176" i="38"/>
  <c r="AZ175" i="38"/>
  <c r="AY175" i="38"/>
  <c r="BA175" i="38" s="1"/>
  <c r="AW175" i="38"/>
  <c r="AW174" i="38"/>
  <c r="AZ174" i="38" s="1"/>
  <c r="AW173" i="38"/>
  <c r="AY172" i="38"/>
  <c r="BA172" i="38" s="1"/>
  <c r="AW172" i="38"/>
  <c r="AZ172" i="38" s="1"/>
  <c r="AZ171" i="38"/>
  <c r="AW171" i="38"/>
  <c r="AY171" i="38" s="1"/>
  <c r="AW170" i="38"/>
  <c r="AW169" i="38"/>
  <c r="AW168" i="38"/>
  <c r="AZ167" i="38"/>
  <c r="BA167" i="38" s="1"/>
  <c r="AY167" i="38"/>
  <c r="AW167" i="38"/>
  <c r="AW166" i="38"/>
  <c r="AW165" i="38"/>
  <c r="AY164" i="38"/>
  <c r="AW164" i="38"/>
  <c r="AZ164" i="38" s="1"/>
  <c r="AZ163" i="38"/>
  <c r="AW163" i="38"/>
  <c r="AY163" i="38" s="1"/>
  <c r="AW162" i="38"/>
  <c r="AY161" i="38"/>
  <c r="BA161" i="38" s="1"/>
  <c r="AW161" i="38"/>
  <c r="AZ161" i="38" s="1"/>
  <c r="AW160" i="38"/>
  <c r="AZ160" i="38" s="1"/>
  <c r="BA159" i="38"/>
  <c r="AZ159" i="38"/>
  <c r="AY159" i="38"/>
  <c r="AW159" i="38"/>
  <c r="AW158" i="38"/>
  <c r="AZ158" i="38" s="1"/>
  <c r="AW157" i="38"/>
  <c r="AW156" i="38"/>
  <c r="AW155" i="38"/>
  <c r="AY155" i="38" s="1"/>
  <c r="AW154" i="38"/>
  <c r="AY153" i="38"/>
  <c r="BA153" i="38" s="1"/>
  <c r="AW153" i="38"/>
  <c r="AZ153" i="38" s="1"/>
  <c r="AY152" i="38"/>
  <c r="AW152" i="38"/>
  <c r="AZ152" i="38" s="1"/>
  <c r="AW151" i="38"/>
  <c r="AW150" i="38"/>
  <c r="AY150" i="38" s="1"/>
  <c r="AW149" i="38"/>
  <c r="AY148" i="38"/>
  <c r="BA148" i="38" s="1"/>
  <c r="AW148" i="38"/>
  <c r="AZ148" i="38" s="1"/>
  <c r="AZ147" i="38"/>
  <c r="AY147" i="38"/>
  <c r="AW147" i="38"/>
  <c r="AW146" i="38"/>
  <c r="AY145" i="38"/>
  <c r="BA145" i="38" s="1"/>
  <c r="AW145" i="38"/>
  <c r="AZ145" i="38" s="1"/>
  <c r="AW144" i="38"/>
  <c r="AY143" i="38"/>
  <c r="BA143" i="38" s="1"/>
  <c r="AW143" i="38"/>
  <c r="AZ143" i="38" s="1"/>
  <c r="AW142" i="38"/>
  <c r="AZ142" i="38" s="1"/>
  <c r="AW141" i="38"/>
  <c r="AW140" i="38"/>
  <c r="AZ140" i="38" s="1"/>
  <c r="AY139" i="38"/>
  <c r="AW139" i="38"/>
  <c r="AZ139" i="38" s="1"/>
  <c r="BA139" i="38" s="1"/>
  <c r="AW138" i="38"/>
  <c r="AW137" i="38"/>
  <c r="AZ137" i="38" s="1"/>
  <c r="AY136" i="38"/>
  <c r="AW136" i="38"/>
  <c r="AZ136" i="38" s="1"/>
  <c r="AW135" i="38"/>
  <c r="AZ134" i="38"/>
  <c r="AW134" i="38"/>
  <c r="AY134" i="38" s="1"/>
  <c r="AW133" i="38"/>
  <c r="AW132" i="38"/>
  <c r="AZ132" i="38" s="1"/>
  <c r="AW131" i="38"/>
  <c r="AZ130" i="38"/>
  <c r="AY130" i="38"/>
  <c r="BA130" i="38" s="1"/>
  <c r="AW130" i="38"/>
  <c r="BA129" i="38"/>
  <c r="AZ129" i="38"/>
  <c r="AW129" i="38"/>
  <c r="AY129" i="38" s="1"/>
  <c r="AW128" i="38"/>
  <c r="AY127" i="38"/>
  <c r="BA127" i="38" s="1"/>
  <c r="AW127" i="38"/>
  <c r="AZ127" i="38" s="1"/>
  <c r="CI126" i="38"/>
  <c r="CE126" i="38"/>
  <c r="BR126" i="38"/>
  <c r="BO126" i="38"/>
  <c r="BK126" i="38"/>
  <c r="AW126" i="38"/>
  <c r="AY126" i="38" s="1"/>
  <c r="CA125" i="38"/>
  <c r="BW125" i="38"/>
  <c r="BV125" i="38"/>
  <c r="BS125" i="38"/>
  <c r="BK125" i="38"/>
  <c r="AZ125" i="38"/>
  <c r="AY125" i="38"/>
  <c r="AW125" i="38"/>
  <c r="BS124" i="38"/>
  <c r="BL124" i="38"/>
  <c r="BK124" i="38"/>
  <c r="AY124" i="38"/>
  <c r="AW124" i="38"/>
  <c r="AZ124" i="38" s="1"/>
  <c r="BK123" i="38"/>
  <c r="AY123" i="38"/>
  <c r="BA123" i="38" s="1"/>
  <c r="AW123" i="38"/>
  <c r="AZ123" i="38" s="1"/>
  <c r="CI122" i="38"/>
  <c r="BW122" i="38"/>
  <c r="BL122" i="38"/>
  <c r="BK122" i="38"/>
  <c r="AW122" i="38"/>
  <c r="BK121" i="38"/>
  <c r="CI121" i="38" s="1"/>
  <c r="AW121" i="38"/>
  <c r="AZ121" i="38" s="1"/>
  <c r="BK120" i="38"/>
  <c r="AW120" i="38"/>
  <c r="AZ120" i="38" s="1"/>
  <c r="CI119" i="38"/>
  <c r="CE119" i="38"/>
  <c r="CA119" i="38"/>
  <c r="BP119" i="38"/>
  <c r="BN119" i="38"/>
  <c r="BK119" i="38"/>
  <c r="CF119" i="38" s="1"/>
  <c r="AW119" i="38"/>
  <c r="AZ119" i="38" s="1"/>
  <c r="BK118" i="38"/>
  <c r="AW118" i="38"/>
  <c r="AZ118" i="38" s="1"/>
  <c r="CI117" i="38"/>
  <c r="CF117" i="38"/>
  <c r="CE117" i="38"/>
  <c r="BX117" i="38"/>
  <c r="BV117" i="38"/>
  <c r="BS117" i="38"/>
  <c r="BP117" i="38"/>
  <c r="BO117" i="38"/>
  <c r="BK117" i="38"/>
  <c r="BW117" i="38" s="1"/>
  <c r="AW117" i="38"/>
  <c r="AZ117" i="38" s="1"/>
  <c r="BZ116" i="38"/>
  <c r="BK116" i="38"/>
  <c r="AW116" i="38"/>
  <c r="AZ116" i="38" s="1"/>
  <c r="CE115" i="38"/>
  <c r="CB115" i="38"/>
  <c r="BS115" i="38"/>
  <c r="BP115" i="38"/>
  <c r="BO115" i="38"/>
  <c r="BK115" i="38"/>
  <c r="BW115" i="38" s="1"/>
  <c r="AW115" i="38"/>
  <c r="AZ115" i="38" s="1"/>
  <c r="CJ114" i="38"/>
  <c r="CI114" i="38"/>
  <c r="CH114" i="38"/>
  <c r="CE114" i="38"/>
  <c r="CB114" i="38"/>
  <c r="CA114" i="38"/>
  <c r="BW114" i="38"/>
  <c r="BS114" i="38"/>
  <c r="BR114" i="38"/>
  <c r="BP114" i="38"/>
  <c r="BK114" i="38"/>
  <c r="CF114" i="38" s="1"/>
  <c r="AW114" i="38"/>
  <c r="AZ114" i="38" s="1"/>
  <c r="BK113" i="38"/>
  <c r="CI113" i="38" s="1"/>
  <c r="AY113" i="38"/>
  <c r="AW113" i="38"/>
  <c r="AZ113" i="38" s="1"/>
  <c r="CJ112" i="38"/>
  <c r="CI112" i="38"/>
  <c r="CB112" i="38"/>
  <c r="BZ112" i="38"/>
  <c r="BS112" i="38"/>
  <c r="BL112" i="38"/>
  <c r="BK112" i="38"/>
  <c r="CE112" i="38" s="1"/>
  <c r="AY112" i="38"/>
  <c r="AW112" i="38"/>
  <c r="AZ112" i="38" s="1"/>
  <c r="BK111" i="38"/>
  <c r="AY111" i="38"/>
  <c r="BA111" i="38" s="1"/>
  <c r="AW111" i="38"/>
  <c r="AZ111" i="38" s="1"/>
  <c r="CJ110" i="38"/>
  <c r="CE110" i="38"/>
  <c r="CA110" i="38"/>
  <c r="BS110" i="38"/>
  <c r="BR110" i="38"/>
  <c r="BK110" i="38"/>
  <c r="BP110" i="38" s="1"/>
  <c r="AZ110" i="38"/>
  <c r="AW110" i="38"/>
  <c r="AY110" i="38" s="1"/>
  <c r="AZ109" i="38"/>
  <c r="BA109" i="38" s="1"/>
  <c r="AY109" i="38"/>
  <c r="AW109" i="38"/>
  <c r="AW108" i="38"/>
  <c r="AZ108" i="38" s="1"/>
  <c r="AZ107" i="38"/>
  <c r="AY107" i="38"/>
  <c r="BA107" i="38" s="1"/>
  <c r="AW107" i="38"/>
  <c r="AW106" i="38"/>
  <c r="AZ106" i="38" s="1"/>
  <c r="AZ105" i="38"/>
  <c r="AY105" i="38"/>
  <c r="BA105" i="38" s="1"/>
  <c r="AW105" i="38"/>
  <c r="AY104" i="38"/>
  <c r="AW104" i="38"/>
  <c r="AZ104" i="38" s="1"/>
  <c r="CF103" i="38"/>
  <c r="CC103" i="38"/>
  <c r="BX103" i="38"/>
  <c r="BU103" i="38"/>
  <c r="BT103" i="38"/>
  <c r="BS103" i="38"/>
  <c r="BQ103" i="38"/>
  <c r="BL103" i="38"/>
  <c r="BK103" i="38"/>
  <c r="CH103" i="38" s="1"/>
  <c r="AZ103" i="38"/>
  <c r="AY103" i="38"/>
  <c r="BA103" i="38" s="1"/>
  <c r="AW103" i="38"/>
  <c r="CJ102" i="38"/>
  <c r="CG102" i="38"/>
  <c r="CF102" i="38"/>
  <c r="CE102" i="38"/>
  <c r="CB102" i="38"/>
  <c r="BY102" i="38"/>
  <c r="BX102" i="38"/>
  <c r="BW102" i="38"/>
  <c r="BT102" i="38"/>
  <c r="BQ102" i="38"/>
  <c r="BP102" i="38"/>
  <c r="BL102" i="38"/>
  <c r="BK102" i="38"/>
  <c r="BV102" i="38" s="1"/>
  <c r="AW102" i="38"/>
  <c r="AY102" i="38" s="1"/>
  <c r="CK101" i="38"/>
  <c r="CJ101" i="38"/>
  <c r="CF101" i="38"/>
  <c r="CC101" i="38"/>
  <c r="CB101" i="38"/>
  <c r="CA101" i="38"/>
  <c r="BX101" i="38"/>
  <c r="BT101" i="38"/>
  <c r="BP101" i="38"/>
  <c r="BM101" i="38"/>
  <c r="BK101" i="38"/>
  <c r="BU101" i="38" s="1"/>
  <c r="AW101" i="38"/>
  <c r="AZ101" i="38" s="1"/>
  <c r="CG100" i="38"/>
  <c r="CF100" i="38"/>
  <c r="CE100" i="38"/>
  <c r="CC100" i="38"/>
  <c r="CB100" i="38"/>
  <c r="BW100" i="38"/>
  <c r="BK100" i="38"/>
  <c r="CD100" i="38" s="1"/>
  <c r="AY100" i="38"/>
  <c r="AW100" i="38"/>
  <c r="AZ100" i="38" s="1"/>
  <c r="CK99" i="38"/>
  <c r="CC99" i="38"/>
  <c r="BL99" i="38"/>
  <c r="BK99" i="38"/>
  <c r="CH99" i="38" s="1"/>
  <c r="AZ99" i="38"/>
  <c r="AY99" i="38"/>
  <c r="AW99" i="38"/>
  <c r="CG98" i="38"/>
  <c r="BQ98" i="38"/>
  <c r="BP98" i="38"/>
  <c r="BO98" i="38"/>
  <c r="BL98" i="38"/>
  <c r="BK98" i="38"/>
  <c r="BV98" i="38" s="1"/>
  <c r="AY98" i="38"/>
  <c r="BA98" i="38" s="1"/>
  <c r="AW98" i="38"/>
  <c r="AZ98" i="38" s="1"/>
  <c r="BL97" i="38"/>
  <c r="BK97" i="38"/>
  <c r="CK97" i="38" s="1"/>
  <c r="BA97" i="38"/>
  <c r="AZ97" i="38"/>
  <c r="AY97" i="38"/>
  <c r="AW97" i="38"/>
  <c r="CG96" i="38"/>
  <c r="BX96" i="38"/>
  <c r="BW96" i="38"/>
  <c r="BQ96" i="38"/>
  <c r="BP96" i="38"/>
  <c r="BO96" i="38"/>
  <c r="BM96" i="38"/>
  <c r="BL96" i="38"/>
  <c r="BK96" i="38"/>
  <c r="CD96" i="38" s="1"/>
  <c r="AZ96" i="38"/>
  <c r="AY96" i="38"/>
  <c r="AW96" i="38"/>
  <c r="CF95" i="38"/>
  <c r="CC95" i="38"/>
  <c r="BX95" i="38"/>
  <c r="BU95" i="38"/>
  <c r="BT95" i="38"/>
  <c r="BS95" i="38"/>
  <c r="BQ95" i="38"/>
  <c r="BL95" i="38"/>
  <c r="BK95" i="38"/>
  <c r="CH95" i="38" s="1"/>
  <c r="AW95" i="38"/>
  <c r="AZ95" i="38" s="1"/>
  <c r="CJ94" i="38"/>
  <c r="CG94" i="38"/>
  <c r="CE94" i="38"/>
  <c r="CB94" i="38"/>
  <c r="BY94" i="38"/>
  <c r="BX94" i="38"/>
  <c r="BW94" i="38"/>
  <c r="BQ94" i="38"/>
  <c r="BO94" i="38"/>
  <c r="BL94" i="38"/>
  <c r="BK94" i="38"/>
  <c r="BV94" i="38" s="1"/>
  <c r="AW94" i="38"/>
  <c r="AZ94" i="38" s="1"/>
  <c r="CC93" i="38"/>
  <c r="CB93" i="38"/>
  <c r="CA93" i="38"/>
  <c r="BK93" i="38"/>
  <c r="CJ93" i="38" s="1"/>
  <c r="AW93" i="38"/>
  <c r="BK92" i="38"/>
  <c r="AW92" i="38"/>
  <c r="AY92" i="38" s="1"/>
  <c r="BK91" i="38"/>
  <c r="BU91" i="38" s="1"/>
  <c r="AZ91" i="38"/>
  <c r="AY91" i="38"/>
  <c r="BA91" i="38" s="1"/>
  <c r="AW91" i="38"/>
  <c r="BK90" i="38"/>
  <c r="BP90" i="38" s="1"/>
  <c r="AW90" i="38"/>
  <c r="CJ89" i="38"/>
  <c r="CB89" i="38"/>
  <c r="BK89" i="38"/>
  <c r="BY89" i="38" s="1"/>
  <c r="AZ89" i="38"/>
  <c r="AY89" i="38"/>
  <c r="AW89" i="38"/>
  <c r="CK88" i="38"/>
  <c r="CH88" i="38"/>
  <c r="BY88" i="38"/>
  <c r="BX88" i="38"/>
  <c r="BU88" i="38"/>
  <c r="BT88" i="38"/>
  <c r="BS88" i="38"/>
  <c r="BR88" i="38"/>
  <c r="BQ88" i="38"/>
  <c r="BN88" i="38"/>
  <c r="BK88" i="38"/>
  <c r="CC88" i="38" s="1"/>
  <c r="AW88" i="38"/>
  <c r="AZ88" i="38" s="1"/>
  <c r="CI87" i="38"/>
  <c r="CH87" i="38"/>
  <c r="CB87" i="38"/>
  <c r="BY87" i="38"/>
  <c r="BX87" i="38"/>
  <c r="BW87" i="38"/>
  <c r="BV87" i="38"/>
  <c r="BR87" i="38"/>
  <c r="BK87" i="38"/>
  <c r="CG87" i="38" s="1"/>
  <c r="AW87" i="38"/>
  <c r="AW86" i="38"/>
  <c r="BM85" i="38"/>
  <c r="AY85" i="38"/>
  <c r="AW85" i="38"/>
  <c r="AZ85" i="38" s="1"/>
  <c r="BW84" i="38"/>
  <c r="AW84" i="38"/>
  <c r="AZ84" i="38" s="1"/>
  <c r="BV83" i="38"/>
  <c r="BS83" i="38"/>
  <c r="AW83" i="38"/>
  <c r="AZ83" i="38" s="1"/>
  <c r="BX82" i="38"/>
  <c r="AW82" i="38"/>
  <c r="AZ82" i="38" s="1"/>
  <c r="BY81" i="38"/>
  <c r="AW81" i="38"/>
  <c r="AZ81" i="38" s="1"/>
  <c r="CJ80" i="38"/>
  <c r="AW80" i="38"/>
  <c r="AZ80" i="38" s="1"/>
  <c r="AZ79" i="38"/>
  <c r="AW79" i="38"/>
  <c r="AY79" i="38" s="1"/>
  <c r="AW78" i="38"/>
  <c r="AY78" i="38" s="1"/>
  <c r="BM77" i="38"/>
  <c r="AY77" i="38"/>
  <c r="BA77" i="38" s="1"/>
  <c r="AW77" i="38"/>
  <c r="AZ77" i="38" s="1"/>
  <c r="BS76" i="38"/>
  <c r="AW76" i="38"/>
  <c r="AZ76" i="38" s="1"/>
  <c r="BT75" i="38"/>
  <c r="AW75" i="38"/>
  <c r="AY74" i="38"/>
  <c r="AW74" i="38"/>
  <c r="AZ74" i="38" s="1"/>
  <c r="AW73" i="38"/>
  <c r="AZ73" i="38" s="1"/>
  <c r="CJ72" i="38"/>
  <c r="AY72" i="38"/>
  <c r="AW72" i="38"/>
  <c r="AZ72" i="38" s="1"/>
  <c r="BA72" i="38" s="1"/>
  <c r="CD71" i="38"/>
  <c r="BN71" i="38"/>
  <c r="AZ71" i="38"/>
  <c r="AY71" i="38"/>
  <c r="BA71" i="38" s="1"/>
  <c r="AW71" i="38"/>
  <c r="CH70" i="38"/>
  <c r="BR70" i="38"/>
  <c r="AW70" i="38"/>
  <c r="AY70" i="38" s="1"/>
  <c r="AY69" i="38"/>
  <c r="AW69" i="38"/>
  <c r="AZ69" i="38" s="1"/>
  <c r="AW68" i="38"/>
  <c r="AZ68" i="38" s="1"/>
  <c r="CK67" i="38"/>
  <c r="CJ67" i="38"/>
  <c r="CI67" i="38"/>
  <c r="CH67" i="38"/>
  <c r="CG67" i="38"/>
  <c r="CF67" i="38"/>
  <c r="CE67" i="38"/>
  <c r="CD67" i="38"/>
  <c r="CC67" i="38"/>
  <c r="CB67" i="38"/>
  <c r="CA67" i="38"/>
  <c r="BZ67" i="38"/>
  <c r="BY67" i="38"/>
  <c r="BX67" i="38"/>
  <c r="BW67" i="38"/>
  <c r="BV67" i="38"/>
  <c r="BU67" i="38"/>
  <c r="BT67" i="38"/>
  <c r="BS67" i="38"/>
  <c r="BR67" i="38"/>
  <c r="BQ67" i="38"/>
  <c r="BP67" i="38"/>
  <c r="BO67" i="38"/>
  <c r="BN67" i="38"/>
  <c r="BM67" i="38"/>
  <c r="BL67" i="38"/>
  <c r="AZ67" i="38"/>
  <c r="AW67" i="38"/>
  <c r="AY67" i="38" s="1"/>
  <c r="BA67" i="38" s="1"/>
  <c r="CK66" i="38"/>
  <c r="CJ66" i="38"/>
  <c r="CI66" i="38"/>
  <c r="CH66" i="38"/>
  <c r="CG66" i="38"/>
  <c r="CF66" i="38"/>
  <c r="CE66" i="38"/>
  <c r="CD66" i="38"/>
  <c r="CC66" i="38"/>
  <c r="CB66" i="38"/>
  <c r="CA66" i="38"/>
  <c r="BZ66" i="38"/>
  <c r="BY66" i="38"/>
  <c r="BX66" i="38"/>
  <c r="BW66" i="38"/>
  <c r="BV66" i="38"/>
  <c r="BU66" i="38"/>
  <c r="BT66" i="38"/>
  <c r="BS66" i="38"/>
  <c r="BR66" i="38"/>
  <c r="BQ66" i="38"/>
  <c r="BP66" i="38"/>
  <c r="BO66" i="38"/>
  <c r="BN66" i="38"/>
  <c r="BM66" i="38"/>
  <c r="BL66" i="38"/>
  <c r="AW66" i="38"/>
  <c r="CK65" i="38"/>
  <c r="CJ65" i="38"/>
  <c r="CI65" i="38"/>
  <c r="CH65" i="38"/>
  <c r="CG65" i="38"/>
  <c r="CF65" i="38"/>
  <c r="CE65" i="38"/>
  <c r="CD65" i="38"/>
  <c r="CC65" i="38"/>
  <c r="CC83" i="38" s="1"/>
  <c r="CB65" i="38"/>
  <c r="CA65" i="38"/>
  <c r="BZ65" i="38"/>
  <c r="BY65" i="38"/>
  <c r="BX65" i="38"/>
  <c r="BW65" i="38"/>
  <c r="BV65" i="38"/>
  <c r="BU65" i="38"/>
  <c r="BT65" i="38"/>
  <c r="BS65" i="38"/>
  <c r="BR65" i="38"/>
  <c r="BQ65" i="38"/>
  <c r="BP65" i="38"/>
  <c r="BO65" i="38"/>
  <c r="BN65" i="38"/>
  <c r="BM65" i="38"/>
  <c r="BM83" i="38" s="1"/>
  <c r="BL65" i="38"/>
  <c r="BK65" i="38"/>
  <c r="BK83" i="38" s="1"/>
  <c r="AW65" i="38"/>
  <c r="CK64" i="38"/>
  <c r="CJ64" i="38"/>
  <c r="CI64" i="38"/>
  <c r="CH64" i="38"/>
  <c r="CG64" i="38"/>
  <c r="CF64" i="38"/>
  <c r="CE64" i="38"/>
  <c r="CD64" i="38"/>
  <c r="CC64" i="38"/>
  <c r="CB64" i="38"/>
  <c r="CA64" i="38"/>
  <c r="BZ64" i="38"/>
  <c r="BY64" i="38"/>
  <c r="BX64" i="38"/>
  <c r="BW64" i="38"/>
  <c r="BV64" i="38"/>
  <c r="BU64" i="38"/>
  <c r="BT64" i="38"/>
  <c r="BS64" i="38"/>
  <c r="BR64" i="38"/>
  <c r="BQ64" i="38"/>
  <c r="BP64" i="38"/>
  <c r="BO64" i="38"/>
  <c r="BN64" i="38"/>
  <c r="BM64" i="38"/>
  <c r="BL64" i="38"/>
  <c r="AW64" i="38"/>
  <c r="AZ64" i="38" s="1"/>
  <c r="CK63" i="38"/>
  <c r="CJ63" i="38"/>
  <c r="CI63" i="38"/>
  <c r="CH63" i="38"/>
  <c r="CG63" i="38"/>
  <c r="CF63" i="38"/>
  <c r="CE63" i="38"/>
  <c r="CD63" i="38"/>
  <c r="CC63" i="38"/>
  <c r="CB63" i="38"/>
  <c r="CA63" i="38"/>
  <c r="BZ63" i="38"/>
  <c r="BY63" i="38"/>
  <c r="BX63" i="38"/>
  <c r="BW63" i="38"/>
  <c r="BV63" i="38"/>
  <c r="BU63" i="38"/>
  <c r="BT63" i="38"/>
  <c r="BS63" i="38"/>
  <c r="BR63" i="38"/>
  <c r="BQ63" i="38"/>
  <c r="BP63" i="38"/>
  <c r="BO63" i="38"/>
  <c r="BN63" i="38"/>
  <c r="BM63" i="38"/>
  <c r="BL63" i="38"/>
  <c r="AW63" i="38"/>
  <c r="AZ63" i="38" s="1"/>
  <c r="CK62" i="38"/>
  <c r="CJ62" i="38"/>
  <c r="CI62" i="38"/>
  <c r="CH62" i="38"/>
  <c r="CG62" i="38"/>
  <c r="CF62" i="38"/>
  <c r="CE62" i="38"/>
  <c r="CD62" i="38"/>
  <c r="CC62" i="38"/>
  <c r="CB62" i="38"/>
  <c r="CA62" i="38"/>
  <c r="CA80" i="38" s="1"/>
  <c r="BZ62" i="38"/>
  <c r="BY62" i="38"/>
  <c r="BX62" i="38"/>
  <c r="BW62" i="38"/>
  <c r="BV62" i="38"/>
  <c r="BU62" i="38"/>
  <c r="BT62" i="38"/>
  <c r="BS62" i="38"/>
  <c r="BR62" i="38"/>
  <c r="BQ62" i="38"/>
  <c r="BP62" i="38"/>
  <c r="BO62" i="38"/>
  <c r="BN62" i="38"/>
  <c r="BM62" i="38"/>
  <c r="BL62" i="38"/>
  <c r="BK62" i="38"/>
  <c r="BK80" i="38" s="1"/>
  <c r="AW62" i="38"/>
  <c r="CK61" i="38"/>
  <c r="CJ61" i="38"/>
  <c r="CI61" i="38"/>
  <c r="CH61" i="38"/>
  <c r="CG61" i="38"/>
  <c r="CF61" i="38"/>
  <c r="CE61" i="38"/>
  <c r="CD61" i="38"/>
  <c r="CC61" i="38"/>
  <c r="CB61" i="38"/>
  <c r="CB79" i="38" s="1"/>
  <c r="CA61" i="38"/>
  <c r="BZ61" i="38"/>
  <c r="BY61" i="38"/>
  <c r="BX61" i="38"/>
  <c r="BW61" i="38"/>
  <c r="BV61" i="38"/>
  <c r="BU61" i="38"/>
  <c r="BT61" i="38"/>
  <c r="BS61" i="38"/>
  <c r="BR61" i="38"/>
  <c r="BQ61" i="38"/>
  <c r="BP61" i="38"/>
  <c r="BO61" i="38"/>
  <c r="BN61" i="38"/>
  <c r="BM61" i="38"/>
  <c r="BL61" i="38"/>
  <c r="BL79" i="38" s="1"/>
  <c r="AW61" i="38"/>
  <c r="CK60" i="38"/>
  <c r="CJ60" i="38"/>
  <c r="CI60" i="38"/>
  <c r="CH60" i="38"/>
  <c r="CG60" i="38"/>
  <c r="CF60" i="38"/>
  <c r="CE60" i="38"/>
  <c r="CD60" i="38"/>
  <c r="CC60" i="38"/>
  <c r="CB60" i="38"/>
  <c r="CA60" i="38"/>
  <c r="BZ60" i="38"/>
  <c r="BY60" i="38"/>
  <c r="BX60" i="38"/>
  <c r="BW60" i="38"/>
  <c r="BV60" i="38"/>
  <c r="BU60" i="38"/>
  <c r="BT60" i="38"/>
  <c r="BS60" i="38"/>
  <c r="BR60" i="38"/>
  <c r="BQ60" i="38"/>
  <c r="BP60" i="38"/>
  <c r="BO60" i="38"/>
  <c r="BN60" i="38"/>
  <c r="BM60" i="38"/>
  <c r="BL60" i="38"/>
  <c r="AY60" i="38"/>
  <c r="AW60" i="38"/>
  <c r="AZ60" i="38" s="1"/>
  <c r="CK59" i="38"/>
  <c r="CJ59" i="38"/>
  <c r="CI59" i="38"/>
  <c r="CH59" i="38"/>
  <c r="CG59" i="38"/>
  <c r="CF59" i="38"/>
  <c r="CE59" i="38"/>
  <c r="CD59" i="38"/>
  <c r="CC59" i="38"/>
  <c r="CB59" i="38"/>
  <c r="CA59" i="38"/>
  <c r="BZ59" i="38"/>
  <c r="BY59" i="38"/>
  <c r="BX59" i="38"/>
  <c r="BW59" i="38"/>
  <c r="BW77" i="38" s="1"/>
  <c r="BV59" i="38"/>
  <c r="BU59" i="38"/>
  <c r="BT59" i="38"/>
  <c r="BS59" i="38"/>
  <c r="BR59" i="38"/>
  <c r="BQ59" i="38"/>
  <c r="BP59" i="38"/>
  <c r="BO59" i="38"/>
  <c r="BN59" i="38"/>
  <c r="BM59" i="38"/>
  <c r="BL59" i="38"/>
  <c r="AW59" i="38"/>
  <c r="AZ59" i="38" s="1"/>
  <c r="CK58" i="38"/>
  <c r="CJ58" i="38"/>
  <c r="CI58" i="38"/>
  <c r="CH58" i="38"/>
  <c r="CG58" i="38"/>
  <c r="CF58" i="38"/>
  <c r="CE58" i="38"/>
  <c r="CD58" i="38"/>
  <c r="CC58" i="38"/>
  <c r="CB58" i="38"/>
  <c r="CA58" i="38"/>
  <c r="BZ58" i="38"/>
  <c r="BY58" i="38"/>
  <c r="BX58" i="38"/>
  <c r="BW58" i="38"/>
  <c r="BV58" i="38"/>
  <c r="BU58" i="38"/>
  <c r="BT58" i="38"/>
  <c r="BS58" i="38"/>
  <c r="BR58" i="38"/>
  <c r="BQ58" i="38"/>
  <c r="BP58" i="38"/>
  <c r="BO58" i="38"/>
  <c r="BN58" i="38"/>
  <c r="BM58" i="38"/>
  <c r="BL58" i="38"/>
  <c r="AW58" i="38"/>
  <c r="CK57" i="38"/>
  <c r="CJ57" i="38"/>
  <c r="CI57" i="38"/>
  <c r="CH57" i="38"/>
  <c r="CG57" i="38"/>
  <c r="CF57" i="38"/>
  <c r="CE57" i="38"/>
  <c r="CD57" i="38"/>
  <c r="CC57" i="38"/>
  <c r="CB57" i="38"/>
  <c r="CA57" i="38"/>
  <c r="BZ57" i="38"/>
  <c r="BY57" i="38"/>
  <c r="BX57" i="38"/>
  <c r="BW57" i="38"/>
  <c r="BV57" i="38"/>
  <c r="BU57" i="38"/>
  <c r="BT57" i="38"/>
  <c r="BS57" i="38"/>
  <c r="BR57" i="38"/>
  <c r="BQ57" i="38"/>
  <c r="BP57" i="38"/>
  <c r="BO57" i="38"/>
  <c r="BN57" i="38"/>
  <c r="BM57" i="38"/>
  <c r="BL57" i="38"/>
  <c r="AW57" i="38"/>
  <c r="CK56" i="38"/>
  <c r="CJ56" i="38"/>
  <c r="CI56" i="38"/>
  <c r="CH56" i="38"/>
  <c r="CG56" i="38"/>
  <c r="CF56" i="38"/>
  <c r="CE56" i="38"/>
  <c r="CD56" i="38"/>
  <c r="CC56" i="38"/>
  <c r="CB56" i="38"/>
  <c r="CA56" i="38"/>
  <c r="BZ56" i="38"/>
  <c r="BY56" i="38"/>
  <c r="BX56" i="38"/>
  <c r="BW56" i="38"/>
  <c r="BV56" i="38"/>
  <c r="BU56" i="38"/>
  <c r="BT56" i="38"/>
  <c r="BS56" i="38"/>
  <c r="BR56" i="38"/>
  <c r="BQ56" i="38"/>
  <c r="BP56" i="38"/>
  <c r="BO56" i="38"/>
  <c r="BN56" i="38"/>
  <c r="BM56" i="38"/>
  <c r="BL56" i="38"/>
  <c r="AY56" i="38"/>
  <c r="AW56" i="38"/>
  <c r="AZ56" i="38" s="1"/>
  <c r="CK55" i="38"/>
  <c r="CK73" i="38" s="1"/>
  <c r="CJ55" i="38"/>
  <c r="CI55" i="38"/>
  <c r="CH55" i="38"/>
  <c r="CG55" i="38"/>
  <c r="CF55" i="38"/>
  <c r="CE55" i="38"/>
  <c r="CD55" i="38"/>
  <c r="CC55" i="38"/>
  <c r="CB55" i="38"/>
  <c r="CA55" i="38"/>
  <c r="BZ55" i="38"/>
  <c r="BY55" i="38"/>
  <c r="BX55" i="38"/>
  <c r="BW55" i="38"/>
  <c r="BV55" i="38"/>
  <c r="BU55" i="38"/>
  <c r="BU73" i="38" s="1"/>
  <c r="BT55" i="38"/>
  <c r="BS55" i="38"/>
  <c r="BR55" i="38"/>
  <c r="BQ55" i="38"/>
  <c r="BP55" i="38"/>
  <c r="BO55" i="38"/>
  <c r="BN55" i="38"/>
  <c r="BM55" i="38"/>
  <c r="BL55" i="38"/>
  <c r="AW55" i="38"/>
  <c r="AZ55" i="38" s="1"/>
  <c r="CK54" i="38"/>
  <c r="CJ54" i="38"/>
  <c r="CI54" i="38"/>
  <c r="CH54" i="38"/>
  <c r="CG54" i="38"/>
  <c r="CF54" i="38"/>
  <c r="CE54" i="38"/>
  <c r="CD54" i="38"/>
  <c r="CC54" i="38"/>
  <c r="CB54" i="38"/>
  <c r="CA54" i="38"/>
  <c r="BZ54" i="38"/>
  <c r="BY54" i="38"/>
  <c r="BX54" i="38"/>
  <c r="BW54" i="38"/>
  <c r="BV54" i="38"/>
  <c r="BU54" i="38"/>
  <c r="BT54" i="38"/>
  <c r="BS54" i="38"/>
  <c r="BR54" i="38"/>
  <c r="BQ54" i="38"/>
  <c r="BP54" i="38"/>
  <c r="BO54" i="38"/>
  <c r="BN54" i="38"/>
  <c r="BM54" i="38"/>
  <c r="BL54" i="38"/>
  <c r="AW54" i="38"/>
  <c r="CK53" i="38"/>
  <c r="CJ53" i="38"/>
  <c r="CI53" i="38"/>
  <c r="CH53" i="38"/>
  <c r="CG53" i="38"/>
  <c r="CF53" i="38"/>
  <c r="CE53" i="38"/>
  <c r="CD53" i="38"/>
  <c r="CC53" i="38"/>
  <c r="CB53" i="38"/>
  <c r="CA53" i="38"/>
  <c r="BZ53" i="38"/>
  <c r="BY53" i="38"/>
  <c r="BX53" i="38"/>
  <c r="BW53" i="38"/>
  <c r="BV53" i="38"/>
  <c r="BU53" i="38"/>
  <c r="BT53" i="38"/>
  <c r="BS53" i="38"/>
  <c r="BR53" i="38"/>
  <c r="BQ53" i="38"/>
  <c r="BP53" i="38"/>
  <c r="BO53" i="38"/>
  <c r="BN53" i="38"/>
  <c r="BM53" i="38"/>
  <c r="BL53" i="38"/>
  <c r="AW53" i="38"/>
  <c r="CK52" i="38"/>
  <c r="CJ52" i="38"/>
  <c r="CI52" i="38"/>
  <c r="CH52" i="38"/>
  <c r="CG52" i="38"/>
  <c r="CF52" i="38"/>
  <c r="CE52" i="38"/>
  <c r="CD52" i="38"/>
  <c r="CC52" i="38"/>
  <c r="CB52" i="38"/>
  <c r="CA52" i="38"/>
  <c r="BZ52" i="38"/>
  <c r="BY52" i="38"/>
  <c r="BX52" i="38"/>
  <c r="BW52" i="38"/>
  <c r="BV52" i="38"/>
  <c r="BU52" i="38"/>
  <c r="BT52" i="38"/>
  <c r="BS52" i="38"/>
  <c r="BR52" i="38"/>
  <c r="BQ52" i="38"/>
  <c r="BP52" i="38"/>
  <c r="BO52" i="38"/>
  <c r="BN52" i="38"/>
  <c r="BM52" i="38"/>
  <c r="BL52" i="38"/>
  <c r="AY52" i="38"/>
  <c r="AW52" i="38"/>
  <c r="AZ52" i="38" s="1"/>
  <c r="CK51" i="38"/>
  <c r="CJ51" i="38"/>
  <c r="CI51" i="38"/>
  <c r="CH51" i="38"/>
  <c r="CG51" i="38"/>
  <c r="CF51" i="38"/>
  <c r="CE51" i="38"/>
  <c r="CD51" i="38"/>
  <c r="CC51" i="38"/>
  <c r="CB51" i="38"/>
  <c r="CA51" i="38"/>
  <c r="BZ51" i="38"/>
  <c r="BY51" i="38"/>
  <c r="BX51" i="38"/>
  <c r="BW51" i="38"/>
  <c r="BV51" i="38"/>
  <c r="BU51" i="38"/>
  <c r="BT51" i="38"/>
  <c r="BS51" i="38"/>
  <c r="BR51" i="38"/>
  <c r="BQ51" i="38"/>
  <c r="BP51" i="38"/>
  <c r="BO51" i="38"/>
  <c r="BN51" i="38"/>
  <c r="BM51" i="38"/>
  <c r="BL51" i="38"/>
  <c r="AZ51" i="38"/>
  <c r="AY51" i="38"/>
  <c r="BA51" i="38" s="1"/>
  <c r="AW51" i="38"/>
  <c r="AW50" i="38"/>
  <c r="CK49" i="38"/>
  <c r="CK85" i="38" s="1"/>
  <c r="CJ49" i="38"/>
  <c r="CJ85" i="38" s="1"/>
  <c r="CI49" i="38"/>
  <c r="CH49" i="38"/>
  <c r="CH85" i="38" s="1"/>
  <c r="CG49" i="38"/>
  <c r="CG85" i="38" s="1"/>
  <c r="CF49" i="38"/>
  <c r="CF85" i="38" s="1"/>
  <c r="CE49" i="38"/>
  <c r="CD49" i="38"/>
  <c r="CD85" i="38" s="1"/>
  <c r="CC49" i="38"/>
  <c r="CC85" i="38" s="1"/>
  <c r="CB49" i="38"/>
  <c r="CB85" i="38" s="1"/>
  <c r="CA49" i="38"/>
  <c r="CA85" i="38" s="1"/>
  <c r="BZ49" i="38"/>
  <c r="BY49" i="38"/>
  <c r="BY85" i="38" s="1"/>
  <c r="BX49" i="38"/>
  <c r="BW49" i="38"/>
  <c r="BW85" i="38" s="1"/>
  <c r="BV49" i="38"/>
  <c r="BV85" i="38" s="1"/>
  <c r="BU49" i="38"/>
  <c r="BU85" i="38" s="1"/>
  <c r="BT49" i="38"/>
  <c r="BT85" i="38" s="1"/>
  <c r="BS49" i="38"/>
  <c r="BR49" i="38"/>
  <c r="BR85" i="38" s="1"/>
  <c r="BQ49" i="38"/>
  <c r="BQ85" i="38" s="1"/>
  <c r="BP49" i="38"/>
  <c r="BP85" i="38" s="1"/>
  <c r="BO49" i="38"/>
  <c r="BN49" i="38"/>
  <c r="BN85" i="38" s="1"/>
  <c r="BM49" i="38"/>
  <c r="BL49" i="38"/>
  <c r="BL85" i="38" s="1"/>
  <c r="BK49" i="38"/>
  <c r="BK67" i="38" s="1"/>
  <c r="BK85" i="38" s="1"/>
  <c r="AZ49" i="38"/>
  <c r="AW49" i="38"/>
  <c r="AY49" i="38" s="1"/>
  <c r="CK48" i="38"/>
  <c r="CK84" i="38" s="1"/>
  <c r="CJ48" i="38"/>
  <c r="CJ84" i="38" s="1"/>
  <c r="CI48" i="38"/>
  <c r="CI84" i="38" s="1"/>
  <c r="CH48" i="38"/>
  <c r="CH84" i="38" s="1"/>
  <c r="CG48" i="38"/>
  <c r="CG84" i="38" s="1"/>
  <c r="CF48" i="38"/>
  <c r="CF84" i="38" s="1"/>
  <c r="CE48" i="38"/>
  <c r="CD48" i="38"/>
  <c r="CC48" i="38"/>
  <c r="CC84" i="38" s="1"/>
  <c r="CB48" i="38"/>
  <c r="CA48" i="38"/>
  <c r="BZ48" i="38"/>
  <c r="BZ84" i="38" s="1"/>
  <c r="BY48" i="38"/>
  <c r="BX48" i="38"/>
  <c r="BW48" i="38"/>
  <c r="BV48" i="38"/>
  <c r="BV84" i="38" s="1"/>
  <c r="BU48" i="38"/>
  <c r="BU84" i="38" s="1"/>
  <c r="BT48" i="38"/>
  <c r="BT84" i="38" s="1"/>
  <c r="BS48" i="38"/>
  <c r="BS84" i="38" s="1"/>
  <c r="BR48" i="38"/>
  <c r="BR84" i="38" s="1"/>
  <c r="BQ48" i="38"/>
  <c r="BQ84" i="38" s="1"/>
  <c r="BP48" i="38"/>
  <c r="BP84" i="38" s="1"/>
  <c r="BO48" i="38"/>
  <c r="BN48" i="38"/>
  <c r="BN84" i="38" s="1"/>
  <c r="BM48" i="38"/>
  <c r="BM84" i="38" s="1"/>
  <c r="BL48" i="38"/>
  <c r="BK48" i="38"/>
  <c r="BK66" i="38" s="1"/>
  <c r="BK84" i="38" s="1"/>
  <c r="AW48" i="38"/>
  <c r="AZ48" i="38" s="1"/>
  <c r="CK47" i="38"/>
  <c r="CK83" i="38" s="1"/>
  <c r="CJ47" i="38"/>
  <c r="CI47" i="38"/>
  <c r="CI83" i="38" s="1"/>
  <c r="CH47" i="38"/>
  <c r="CG47" i="38"/>
  <c r="CG83" i="38" s="1"/>
  <c r="CF47" i="38"/>
  <c r="CF83" i="38" s="1"/>
  <c r="CE47" i="38"/>
  <c r="CE83" i="38" s="1"/>
  <c r="CD47" i="38"/>
  <c r="CD83" i="38" s="1"/>
  <c r="CC47" i="38"/>
  <c r="CB47" i="38"/>
  <c r="CA47" i="38"/>
  <c r="BZ47" i="38"/>
  <c r="BZ83" i="38" s="1"/>
  <c r="BY47" i="38"/>
  <c r="BX47" i="38"/>
  <c r="BX83" i="38" s="1"/>
  <c r="BW47" i="38"/>
  <c r="BW83" i="38" s="1"/>
  <c r="BV47" i="38"/>
  <c r="BU47" i="38"/>
  <c r="BU83" i="38" s="1"/>
  <c r="BT47" i="38"/>
  <c r="BS47" i="38"/>
  <c r="BR47" i="38"/>
  <c r="BR83" i="38" s="1"/>
  <c r="BQ47" i="38"/>
  <c r="BQ83" i="38" s="1"/>
  <c r="BP47" i="38"/>
  <c r="BP83" i="38" s="1"/>
  <c r="BO47" i="38"/>
  <c r="BO83" i="38" s="1"/>
  <c r="BN47" i="38"/>
  <c r="BN83" i="38" s="1"/>
  <c r="BM47" i="38"/>
  <c r="BL47" i="38"/>
  <c r="BK47" i="38"/>
  <c r="AZ47" i="38"/>
  <c r="AY47" i="38"/>
  <c r="BA47" i="38" s="1"/>
  <c r="AW47" i="38"/>
  <c r="CK46" i="38"/>
  <c r="CJ46" i="38"/>
  <c r="CJ82" i="38" s="1"/>
  <c r="CI46" i="38"/>
  <c r="CI82" i="38" s="1"/>
  <c r="CH46" i="38"/>
  <c r="CH82" i="38" s="1"/>
  <c r="CG46" i="38"/>
  <c r="CG82" i="38" s="1"/>
  <c r="CF46" i="38"/>
  <c r="CE46" i="38"/>
  <c r="CD46" i="38"/>
  <c r="CD82" i="38" s="1"/>
  <c r="CC46" i="38"/>
  <c r="CC82" i="38" s="1"/>
  <c r="CB46" i="38"/>
  <c r="CB82" i="38" s="1"/>
  <c r="CA46" i="38"/>
  <c r="CA82" i="38" s="1"/>
  <c r="BZ46" i="38"/>
  <c r="BY46" i="38"/>
  <c r="BY82" i="38" s="1"/>
  <c r="BX46" i="38"/>
  <c r="BW46" i="38"/>
  <c r="BV46" i="38"/>
  <c r="BV82" i="38" s="1"/>
  <c r="BU46" i="38"/>
  <c r="BT46" i="38"/>
  <c r="BT82" i="38" s="1"/>
  <c r="BS46" i="38"/>
  <c r="BS82" i="38" s="1"/>
  <c r="BR46" i="38"/>
  <c r="BR82" i="38" s="1"/>
  <c r="BQ46" i="38"/>
  <c r="BQ82" i="38" s="1"/>
  <c r="BP46" i="38"/>
  <c r="BO46" i="38"/>
  <c r="BO82" i="38" s="1"/>
  <c r="BN46" i="38"/>
  <c r="BN82" i="38" s="1"/>
  <c r="BM46" i="38"/>
  <c r="BM82" i="38" s="1"/>
  <c r="BL46" i="38"/>
  <c r="BL82" i="38" s="1"/>
  <c r="BK46" i="38"/>
  <c r="BK64" i="38" s="1"/>
  <c r="BK82" i="38" s="1"/>
  <c r="AZ46" i="38"/>
  <c r="AW46" i="38"/>
  <c r="AY46" i="38" s="1"/>
  <c r="BA46" i="38" s="1"/>
  <c r="CK45" i="38"/>
  <c r="CK81" i="38" s="1"/>
  <c r="CJ45" i="38"/>
  <c r="CI45" i="38"/>
  <c r="CI81" i="38" s="1"/>
  <c r="CH45" i="38"/>
  <c r="CG45" i="38"/>
  <c r="CG81" i="38" s="1"/>
  <c r="CF45" i="38"/>
  <c r="CF81" i="38" s="1"/>
  <c r="CE45" i="38"/>
  <c r="CE81" i="38" s="1"/>
  <c r="CD45" i="38"/>
  <c r="CD81" i="38" s="1"/>
  <c r="CC45" i="38"/>
  <c r="CC81" i="38" s="1"/>
  <c r="CB45" i="38"/>
  <c r="CB81" i="38" s="1"/>
  <c r="CA45" i="38"/>
  <c r="CA81" i="38" s="1"/>
  <c r="BZ45" i="38"/>
  <c r="BY45" i="38"/>
  <c r="BX45" i="38"/>
  <c r="BW45" i="38"/>
  <c r="BV45" i="38"/>
  <c r="BU45" i="38"/>
  <c r="BU81" i="38" s="1"/>
  <c r="BT45" i="38"/>
  <c r="BS45" i="38"/>
  <c r="BS81" i="38" s="1"/>
  <c r="BR45" i="38"/>
  <c r="BQ45" i="38"/>
  <c r="BQ81" i="38" s="1"/>
  <c r="BP45" i="38"/>
  <c r="BP81" i="38" s="1"/>
  <c r="BO45" i="38"/>
  <c r="BO81" i="38" s="1"/>
  <c r="BN45" i="38"/>
  <c r="BM45" i="38"/>
  <c r="BM81" i="38" s="1"/>
  <c r="BL45" i="38"/>
  <c r="BL81" i="38" s="1"/>
  <c r="BK45" i="38"/>
  <c r="BK63" i="38" s="1"/>
  <c r="BK81" i="38" s="1"/>
  <c r="AW45" i="38"/>
  <c r="AY45" i="38" s="1"/>
  <c r="P45" i="38"/>
  <c r="CK44" i="38"/>
  <c r="CK80" i="38" s="1"/>
  <c r="CJ44" i="38"/>
  <c r="CI44" i="38"/>
  <c r="CI80" i="38" s="1"/>
  <c r="CH44" i="38"/>
  <c r="CG44" i="38"/>
  <c r="CG80" i="38" s="1"/>
  <c r="CF44" i="38"/>
  <c r="CE44" i="38"/>
  <c r="CE80" i="38" s="1"/>
  <c r="CD44" i="38"/>
  <c r="CD80" i="38" s="1"/>
  <c r="CC44" i="38"/>
  <c r="CC80" i="38" s="1"/>
  <c r="CB44" i="38"/>
  <c r="CA44" i="38"/>
  <c r="BZ44" i="38"/>
  <c r="BZ80" i="38" s="1"/>
  <c r="BY44" i="38"/>
  <c r="BX44" i="38"/>
  <c r="BW44" i="38"/>
  <c r="BV44" i="38"/>
  <c r="BV80" i="38" s="1"/>
  <c r="BU44" i="38"/>
  <c r="BU80" i="38" s="1"/>
  <c r="BT44" i="38"/>
  <c r="BT80" i="38" s="1"/>
  <c r="BS44" i="38"/>
  <c r="BS80" i="38" s="1"/>
  <c r="BR44" i="38"/>
  <c r="BQ44" i="38"/>
  <c r="BQ80" i="38" s="1"/>
  <c r="BP44" i="38"/>
  <c r="BO44" i="38"/>
  <c r="BO80" i="38" s="1"/>
  <c r="BN44" i="38"/>
  <c r="BN80" i="38" s="1"/>
  <c r="BM44" i="38"/>
  <c r="BM80" i="38" s="1"/>
  <c r="BL44" i="38"/>
  <c r="BK44" i="38"/>
  <c r="AZ44" i="38"/>
  <c r="AW44" i="38"/>
  <c r="AY44" i="38" s="1"/>
  <c r="CK43" i="38"/>
  <c r="CK79" i="38" s="1"/>
  <c r="CJ43" i="38"/>
  <c r="CJ79" i="38" s="1"/>
  <c r="CI43" i="38"/>
  <c r="CI79" i="38" s="1"/>
  <c r="CH43" i="38"/>
  <c r="CH79" i="38" s="1"/>
  <c r="CG43" i="38"/>
  <c r="CG79" i="38" s="1"/>
  <c r="CF43" i="38"/>
  <c r="CE43" i="38"/>
  <c r="CE79" i="38" s="1"/>
  <c r="CD43" i="38"/>
  <c r="CD79" i="38" s="1"/>
  <c r="CC43" i="38"/>
  <c r="CB43" i="38"/>
  <c r="CA43" i="38"/>
  <c r="CA79" i="38" s="1"/>
  <c r="BZ43" i="38"/>
  <c r="BZ79" i="38" s="1"/>
  <c r="BY43" i="38"/>
  <c r="BY79" i="38" s="1"/>
  <c r="BX43" i="38"/>
  <c r="BX79" i="38" s="1"/>
  <c r="BW43" i="38"/>
  <c r="BW79" i="38" s="1"/>
  <c r="BV43" i="38"/>
  <c r="BU43" i="38"/>
  <c r="BU79" i="38" s="1"/>
  <c r="BT43" i="38"/>
  <c r="BT79" i="38" s="1"/>
  <c r="BS43" i="38"/>
  <c r="BS79" i="38" s="1"/>
  <c r="BR43" i="38"/>
  <c r="BR79" i="38" s="1"/>
  <c r="BQ43" i="38"/>
  <c r="BQ79" i="38" s="1"/>
  <c r="BP43" i="38"/>
  <c r="BO43" i="38"/>
  <c r="BN43" i="38"/>
  <c r="BM43" i="38"/>
  <c r="BL43" i="38"/>
  <c r="BK43" i="38"/>
  <c r="BK61" i="38" s="1"/>
  <c r="BK79" i="38" s="1"/>
  <c r="AY43" i="38"/>
  <c r="AW43" i="38"/>
  <c r="AZ43" i="38" s="1"/>
  <c r="BA43" i="38" s="1"/>
  <c r="CK42" i="38"/>
  <c r="CK78" i="38" s="1"/>
  <c r="CJ42" i="38"/>
  <c r="CJ78" i="38" s="1"/>
  <c r="CI42" i="38"/>
  <c r="CH42" i="38"/>
  <c r="CH78" i="38" s="1"/>
  <c r="CG42" i="38"/>
  <c r="CG78" i="38" s="1"/>
  <c r="CF42" i="38"/>
  <c r="CF78" i="38" s="1"/>
  <c r="CE42" i="38"/>
  <c r="CE78" i="38" s="1"/>
  <c r="CD42" i="38"/>
  <c r="CD78" i="38" s="1"/>
  <c r="CC42" i="38"/>
  <c r="CC78" i="38" s="1"/>
  <c r="CB42" i="38"/>
  <c r="CA42" i="38"/>
  <c r="CA78" i="38" s="1"/>
  <c r="BZ42" i="38"/>
  <c r="BY42" i="38"/>
  <c r="BY78" i="38" s="1"/>
  <c r="BX42" i="38"/>
  <c r="BW42" i="38"/>
  <c r="BW78" i="38" s="1"/>
  <c r="BV42" i="38"/>
  <c r="BU42" i="38"/>
  <c r="BU78" i="38" s="1"/>
  <c r="BT42" i="38"/>
  <c r="BT78" i="38" s="1"/>
  <c r="BS42" i="38"/>
  <c r="BR42" i="38"/>
  <c r="BR78" i="38" s="1"/>
  <c r="BQ42" i="38"/>
  <c r="BQ78" i="38" s="1"/>
  <c r="BP42" i="38"/>
  <c r="BP78" i="38" s="1"/>
  <c r="BO42" i="38"/>
  <c r="BO78" i="38" s="1"/>
  <c r="BN42" i="38"/>
  <c r="BN78" i="38" s="1"/>
  <c r="BM42" i="38"/>
  <c r="BM78" i="38" s="1"/>
  <c r="BL42" i="38"/>
  <c r="BK42" i="38"/>
  <c r="BK60" i="38" s="1"/>
  <c r="BK78" i="38" s="1"/>
  <c r="AW42" i="38"/>
  <c r="AY42" i="38" s="1"/>
  <c r="CK41" i="38"/>
  <c r="CJ41" i="38"/>
  <c r="CI41" i="38"/>
  <c r="CH41" i="38"/>
  <c r="CH77" i="38" s="1"/>
  <c r="CG41" i="38"/>
  <c r="CG77" i="38" s="1"/>
  <c r="CF41" i="38"/>
  <c r="CE41" i="38"/>
  <c r="CE77" i="38" s="1"/>
  <c r="CD41" i="38"/>
  <c r="CD77" i="38" s="1"/>
  <c r="CC41" i="38"/>
  <c r="CC77" i="38" s="1"/>
  <c r="CB41" i="38"/>
  <c r="CB77" i="38" s="1"/>
  <c r="CA41" i="38"/>
  <c r="CA77" i="38" s="1"/>
  <c r="BZ41" i="38"/>
  <c r="BY41" i="38"/>
  <c r="BX41" i="38"/>
  <c r="BX77" i="38" s="1"/>
  <c r="BW41" i="38"/>
  <c r="BV41" i="38"/>
  <c r="BV77" i="38" s="1"/>
  <c r="BU41" i="38"/>
  <c r="BT41" i="38"/>
  <c r="BS41" i="38"/>
  <c r="BS77" i="38" s="1"/>
  <c r="BR41" i="38"/>
  <c r="BR77" i="38" s="1"/>
  <c r="BQ41" i="38"/>
  <c r="BQ77" i="38" s="1"/>
  <c r="BP41" i="38"/>
  <c r="BO41" i="38"/>
  <c r="BO77" i="38" s="1"/>
  <c r="BN41" i="38"/>
  <c r="BN77" i="38" s="1"/>
  <c r="BM41" i="38"/>
  <c r="BL41" i="38"/>
  <c r="BL77" i="38" s="1"/>
  <c r="BK41" i="38"/>
  <c r="BK59" i="38" s="1"/>
  <c r="BK77" i="38" s="1"/>
  <c r="AW41" i="38"/>
  <c r="AZ41" i="38" s="1"/>
  <c r="X41" i="38"/>
  <c r="CK40" i="38"/>
  <c r="CK76" i="38" s="1"/>
  <c r="CJ40" i="38"/>
  <c r="CI40" i="38"/>
  <c r="CI76" i="38" s="1"/>
  <c r="CH40" i="38"/>
  <c r="CG40" i="38"/>
  <c r="CG76" i="38" s="1"/>
  <c r="CF40" i="38"/>
  <c r="CF76" i="38" s="1"/>
  <c r="CE40" i="38"/>
  <c r="CE76" i="38" s="1"/>
  <c r="CD40" i="38"/>
  <c r="CC40" i="38"/>
  <c r="CB40" i="38"/>
  <c r="CA40" i="38"/>
  <c r="CA76" i="38" s="1"/>
  <c r="BZ40" i="38"/>
  <c r="BZ76" i="38" s="1"/>
  <c r="BY40" i="38"/>
  <c r="BY76" i="38" s="1"/>
  <c r="BX40" i="38"/>
  <c r="BX76" i="38" s="1"/>
  <c r="BW40" i="38"/>
  <c r="BW76" i="38" s="1"/>
  <c r="BV40" i="38"/>
  <c r="BU40" i="38"/>
  <c r="BU76" i="38" s="1"/>
  <c r="BT40" i="38"/>
  <c r="BS40" i="38"/>
  <c r="BR40" i="38"/>
  <c r="BQ40" i="38"/>
  <c r="BQ76" i="38" s="1"/>
  <c r="BP40" i="38"/>
  <c r="BP76" i="38" s="1"/>
  <c r="BO40" i="38"/>
  <c r="BO76" i="38" s="1"/>
  <c r="BN40" i="38"/>
  <c r="BN76" i="38" s="1"/>
  <c r="BM40" i="38"/>
  <c r="BM76" i="38" s="1"/>
  <c r="BL40" i="38"/>
  <c r="BL76" i="38" s="1"/>
  <c r="BK40" i="38"/>
  <c r="BK58" i="38" s="1"/>
  <c r="BK76" i="38" s="1"/>
  <c r="AY40" i="38"/>
  <c r="BA40" i="38" s="1"/>
  <c r="AW40" i="38"/>
  <c r="AZ40" i="38" s="1"/>
  <c r="CK39" i="38"/>
  <c r="CK75" i="38" s="1"/>
  <c r="CJ39" i="38"/>
  <c r="CJ75" i="38" s="1"/>
  <c r="CI39" i="38"/>
  <c r="CI75" i="38" s="1"/>
  <c r="CH39" i="38"/>
  <c r="CG39" i="38"/>
  <c r="CF39" i="38"/>
  <c r="CE39" i="38"/>
  <c r="CD39" i="38"/>
  <c r="CD75" i="38" s="1"/>
  <c r="CC39" i="38"/>
  <c r="CB39" i="38"/>
  <c r="CB75" i="38" s="1"/>
  <c r="CA39" i="38"/>
  <c r="CA75" i="38" s="1"/>
  <c r="BZ39" i="38"/>
  <c r="BZ75" i="38" s="1"/>
  <c r="BY39" i="38"/>
  <c r="BY75" i="38" s="1"/>
  <c r="BX39" i="38"/>
  <c r="BW39" i="38"/>
  <c r="BW75" i="38" s="1"/>
  <c r="BV39" i="38"/>
  <c r="BU39" i="38"/>
  <c r="BU75" i="38" s="1"/>
  <c r="BT39" i="38"/>
  <c r="BS39" i="38"/>
  <c r="BS75" i="38" s="1"/>
  <c r="BR39" i="38"/>
  <c r="BQ39" i="38"/>
  <c r="BP39" i="38"/>
  <c r="BO39" i="38"/>
  <c r="BN39" i="38"/>
  <c r="BN75" i="38" s="1"/>
  <c r="BM39" i="38"/>
  <c r="BL39" i="38"/>
  <c r="BL75" i="38" s="1"/>
  <c r="BK39" i="38"/>
  <c r="BK57" i="38" s="1"/>
  <c r="BK75" i="38" s="1"/>
  <c r="AW39" i="38"/>
  <c r="AZ39" i="38" s="1"/>
  <c r="CK38" i="38"/>
  <c r="CK74" i="38" s="1"/>
  <c r="CJ38" i="38"/>
  <c r="CJ74" i="38" s="1"/>
  <c r="CI38" i="38"/>
  <c r="CI74" i="38" s="1"/>
  <c r="CH38" i="38"/>
  <c r="CH74" i="38" s="1"/>
  <c r="CG38" i="38"/>
  <c r="CF38" i="38"/>
  <c r="CE38" i="38"/>
  <c r="CE74" i="38" s="1"/>
  <c r="CD38" i="38"/>
  <c r="CD74" i="38" s="1"/>
  <c r="CC38" i="38"/>
  <c r="CC74" i="38" s="1"/>
  <c r="CB38" i="38"/>
  <c r="CB74" i="38" s="1"/>
  <c r="CA38" i="38"/>
  <c r="CA74" i="38" s="1"/>
  <c r="BZ38" i="38"/>
  <c r="BZ74" i="38" s="1"/>
  <c r="BY38" i="38"/>
  <c r="BY74" i="38" s="1"/>
  <c r="BX38" i="38"/>
  <c r="BX74" i="38" s="1"/>
  <c r="BW38" i="38"/>
  <c r="BW74" i="38" s="1"/>
  <c r="BV38" i="38"/>
  <c r="BV74" i="38" s="1"/>
  <c r="BU38" i="38"/>
  <c r="BU74" i="38" s="1"/>
  <c r="BT38" i="38"/>
  <c r="BT74" i="38" s="1"/>
  <c r="BS38" i="38"/>
  <c r="BS74" i="38" s="1"/>
  <c r="BR38" i="38"/>
  <c r="BR74" i="38" s="1"/>
  <c r="BQ38" i="38"/>
  <c r="BP38" i="38"/>
  <c r="BO38" i="38"/>
  <c r="BN38" i="38"/>
  <c r="BN74" i="38" s="1"/>
  <c r="BM38" i="38"/>
  <c r="BM74" i="38" s="1"/>
  <c r="BL38" i="38"/>
  <c r="BL74" i="38" s="1"/>
  <c r="BK38" i="38"/>
  <c r="BK56" i="38" s="1"/>
  <c r="BK74" i="38" s="1"/>
  <c r="AW38" i="38"/>
  <c r="AZ38" i="38" s="1"/>
  <c r="CK37" i="38"/>
  <c r="CJ37" i="38"/>
  <c r="CJ73" i="38" s="1"/>
  <c r="CI37" i="38"/>
  <c r="CI73" i="38" s="1"/>
  <c r="CH37" i="38"/>
  <c r="CH73" i="38" s="1"/>
  <c r="CG37" i="38"/>
  <c r="CG73" i="38" s="1"/>
  <c r="CF37" i="38"/>
  <c r="CE37" i="38"/>
  <c r="CE73" i="38" s="1"/>
  <c r="CD37" i="38"/>
  <c r="CC37" i="38"/>
  <c r="CC73" i="38" s="1"/>
  <c r="CB37" i="38"/>
  <c r="CB73" i="38" s="1"/>
  <c r="CA37" i="38"/>
  <c r="CA73" i="38" s="1"/>
  <c r="BZ37" i="38"/>
  <c r="BZ73" i="38" s="1"/>
  <c r="BY37" i="38"/>
  <c r="BX37" i="38"/>
  <c r="BX73" i="38" s="1"/>
  <c r="BW37" i="38"/>
  <c r="BV37" i="38"/>
  <c r="BV73" i="38" s="1"/>
  <c r="BU37" i="38"/>
  <c r="BT37" i="38"/>
  <c r="BT73" i="38" s="1"/>
  <c r="BS37" i="38"/>
  <c r="BS73" i="38" s="1"/>
  <c r="BR37" i="38"/>
  <c r="BR73" i="38" s="1"/>
  <c r="BQ37" i="38"/>
  <c r="BQ73" i="38" s="1"/>
  <c r="BP37" i="38"/>
  <c r="BO37" i="38"/>
  <c r="BO73" i="38" s="1"/>
  <c r="BN37" i="38"/>
  <c r="BM37" i="38"/>
  <c r="BM73" i="38" s="1"/>
  <c r="BL37" i="38"/>
  <c r="BL73" i="38" s="1"/>
  <c r="BK37" i="38"/>
  <c r="BK55" i="38" s="1"/>
  <c r="BK73" i="38" s="1"/>
  <c r="AW37" i="38"/>
  <c r="AZ37" i="38" s="1"/>
  <c r="CK36" i="38"/>
  <c r="CK72" i="38" s="1"/>
  <c r="CJ36" i="38"/>
  <c r="CI36" i="38"/>
  <c r="CI72" i="38" s="1"/>
  <c r="CH36" i="38"/>
  <c r="CG36" i="38"/>
  <c r="CG72" i="38" s="1"/>
  <c r="CF36" i="38"/>
  <c r="CF72" i="38" s="1"/>
  <c r="CE36" i="38"/>
  <c r="CE72" i="38" s="1"/>
  <c r="CD36" i="38"/>
  <c r="CC36" i="38"/>
  <c r="CB36" i="38"/>
  <c r="CB72" i="38" s="1"/>
  <c r="CA36" i="38"/>
  <c r="CA72" i="38" s="1"/>
  <c r="BZ36" i="38"/>
  <c r="BZ72" i="38" s="1"/>
  <c r="BY36" i="38"/>
  <c r="BY72" i="38" s="1"/>
  <c r="BX36" i="38"/>
  <c r="BX72" i="38" s="1"/>
  <c r="BW36" i="38"/>
  <c r="BW72" i="38" s="1"/>
  <c r="BV36" i="38"/>
  <c r="BV72" i="38" s="1"/>
  <c r="BU36" i="38"/>
  <c r="BU72" i="38" s="1"/>
  <c r="BT36" i="38"/>
  <c r="BT72" i="38" s="1"/>
  <c r="BS36" i="38"/>
  <c r="BS72" i="38" s="1"/>
  <c r="BR36" i="38"/>
  <c r="BQ36" i="38"/>
  <c r="BQ72" i="38" s="1"/>
  <c r="BP36" i="38"/>
  <c r="BP72" i="38" s="1"/>
  <c r="BO36" i="38"/>
  <c r="BO72" i="38" s="1"/>
  <c r="BN36" i="38"/>
  <c r="BM36" i="38"/>
  <c r="BL36" i="38"/>
  <c r="BL72" i="38" s="1"/>
  <c r="BK36" i="38"/>
  <c r="BK54" i="38" s="1"/>
  <c r="BK72" i="38" s="1"/>
  <c r="AW36" i="38"/>
  <c r="CK35" i="38"/>
  <c r="CK71" i="38" s="1"/>
  <c r="CJ35" i="38"/>
  <c r="CJ71" i="38" s="1"/>
  <c r="CI35" i="38"/>
  <c r="CI71" i="38" s="1"/>
  <c r="CH35" i="38"/>
  <c r="CH71" i="38" s="1"/>
  <c r="CG35" i="38"/>
  <c r="CG71" i="38" s="1"/>
  <c r="CF35" i="38"/>
  <c r="CE35" i="38"/>
  <c r="CD35" i="38"/>
  <c r="CC35" i="38"/>
  <c r="CB35" i="38"/>
  <c r="CB71" i="38" s="1"/>
  <c r="CA35" i="38"/>
  <c r="CA71" i="38" s="1"/>
  <c r="BZ35" i="38"/>
  <c r="BZ71" i="38" s="1"/>
  <c r="BY35" i="38"/>
  <c r="BY71" i="38" s="1"/>
  <c r="BX35" i="38"/>
  <c r="BX71" i="38" s="1"/>
  <c r="BW35" i="38"/>
  <c r="BW71" i="38" s="1"/>
  <c r="BV35" i="38"/>
  <c r="BV71" i="38" s="1"/>
  <c r="BU35" i="38"/>
  <c r="BU71" i="38" s="1"/>
  <c r="BT35" i="38"/>
  <c r="BT71" i="38" s="1"/>
  <c r="BS35" i="38"/>
  <c r="BS71" i="38" s="1"/>
  <c r="BR35" i="38"/>
  <c r="BR71" i="38" s="1"/>
  <c r="BQ35" i="38"/>
  <c r="BQ71" i="38" s="1"/>
  <c r="BP35" i="38"/>
  <c r="BO35" i="38"/>
  <c r="BO71" i="38" s="1"/>
  <c r="BN35" i="38"/>
  <c r="BM35" i="38"/>
  <c r="BL35" i="38"/>
  <c r="BL71" i="38" s="1"/>
  <c r="BK35" i="38"/>
  <c r="BK53" i="38" s="1"/>
  <c r="BK71" i="38" s="1"/>
  <c r="AW35" i="38"/>
  <c r="CK34" i="38"/>
  <c r="CK70" i="38" s="1"/>
  <c r="CJ34" i="38"/>
  <c r="CJ70" i="38" s="1"/>
  <c r="CI34" i="38"/>
  <c r="CH34" i="38"/>
  <c r="CG34" i="38"/>
  <c r="CG70" i="38" s="1"/>
  <c r="CF34" i="38"/>
  <c r="CF70" i="38" s="1"/>
  <c r="CE34" i="38"/>
  <c r="CE70" i="38" s="1"/>
  <c r="CD34" i="38"/>
  <c r="CD70" i="38" s="1"/>
  <c r="CC34" i="38"/>
  <c r="CC70" i="38" s="1"/>
  <c r="CB34" i="38"/>
  <c r="CA34" i="38"/>
  <c r="CA70" i="38" s="1"/>
  <c r="BZ34" i="38"/>
  <c r="BY34" i="38"/>
  <c r="BY70" i="38" s="1"/>
  <c r="BX34" i="38"/>
  <c r="BW34" i="38"/>
  <c r="BW70" i="38" s="1"/>
  <c r="BV34" i="38"/>
  <c r="BV70" i="38" s="1"/>
  <c r="BU34" i="38"/>
  <c r="BU70" i="38" s="1"/>
  <c r="BT34" i="38"/>
  <c r="BT70" i="38" s="1"/>
  <c r="BS34" i="38"/>
  <c r="BR34" i="38"/>
  <c r="BQ34" i="38"/>
  <c r="BQ70" i="38" s="1"/>
  <c r="BP34" i="38"/>
  <c r="BP70" i="38" s="1"/>
  <c r="BO34" i="38"/>
  <c r="BO70" i="38" s="1"/>
  <c r="BN34" i="38"/>
  <c r="BN70" i="38" s="1"/>
  <c r="BM34" i="38"/>
  <c r="BM70" i="38" s="1"/>
  <c r="BL34" i="38"/>
  <c r="BK34" i="38"/>
  <c r="BK52" i="38" s="1"/>
  <c r="BK70" i="38" s="1"/>
  <c r="AZ34" i="38"/>
  <c r="AY34" i="38"/>
  <c r="BA34" i="38" s="1"/>
  <c r="AW34" i="38"/>
  <c r="CK33" i="38"/>
  <c r="CJ33" i="38"/>
  <c r="CJ69" i="38" s="1"/>
  <c r="CI33" i="38"/>
  <c r="CI69" i="38" s="1"/>
  <c r="CH33" i="38"/>
  <c r="CH69" i="38" s="1"/>
  <c r="CG33" i="38"/>
  <c r="CG69" i="38" s="1"/>
  <c r="CF33" i="38"/>
  <c r="CE33" i="38"/>
  <c r="CE69" i="38" s="1"/>
  <c r="CD33" i="38"/>
  <c r="CC33" i="38"/>
  <c r="CC69" i="38" s="1"/>
  <c r="CB33" i="38"/>
  <c r="CB69" i="38" s="1"/>
  <c r="CA33" i="38"/>
  <c r="CA69" i="38" s="1"/>
  <c r="BZ33" i="38"/>
  <c r="BY33" i="38"/>
  <c r="BX33" i="38"/>
  <c r="BX69" i="38" s="1"/>
  <c r="BW33" i="38"/>
  <c r="BV33" i="38"/>
  <c r="BV69" i="38" s="1"/>
  <c r="BU33" i="38"/>
  <c r="BT33" i="38"/>
  <c r="BT69" i="38" s="1"/>
  <c r="BS33" i="38"/>
  <c r="BS69" i="38" s="1"/>
  <c r="BR33" i="38"/>
  <c r="BR69" i="38" s="1"/>
  <c r="BQ33" i="38"/>
  <c r="BQ69" i="38" s="1"/>
  <c r="BP33" i="38"/>
  <c r="BO33" i="38"/>
  <c r="BO69" i="38" s="1"/>
  <c r="BN33" i="38"/>
  <c r="BM33" i="38"/>
  <c r="BM69" i="38" s="1"/>
  <c r="BL33" i="38"/>
  <c r="BL69" i="38" s="1"/>
  <c r="BK33" i="38"/>
  <c r="BK51" i="38" s="1"/>
  <c r="BK69" i="38" s="1"/>
  <c r="AW33" i="38"/>
  <c r="AW32" i="38"/>
  <c r="AY32" i="38" s="1"/>
  <c r="AW31" i="38"/>
  <c r="AZ31" i="38" s="1"/>
  <c r="AY30" i="38"/>
  <c r="AW30" i="38"/>
  <c r="AZ30" i="38" s="1"/>
  <c r="AW29" i="38"/>
  <c r="AW28" i="38"/>
  <c r="AY28" i="38" s="1"/>
  <c r="Y28" i="38"/>
  <c r="AZ27" i="38"/>
  <c r="BA27" i="38" s="1"/>
  <c r="AW27" i="38"/>
  <c r="AY27" i="38" s="1"/>
  <c r="AW26" i="38"/>
  <c r="AW25" i="38"/>
  <c r="AY25" i="38" s="1"/>
  <c r="AW24" i="38"/>
  <c r="AZ24" i="38" s="1"/>
  <c r="AW23" i="38"/>
  <c r="Y23" i="38"/>
  <c r="X23" i="38"/>
  <c r="AW22" i="38"/>
  <c r="X22" i="38"/>
  <c r="AW21" i="38"/>
  <c r="AZ21" i="38" s="1"/>
  <c r="AW20" i="38"/>
  <c r="AZ20" i="38" s="1"/>
  <c r="AL20" i="38"/>
  <c r="AY19" i="38"/>
  <c r="AW19" i="38"/>
  <c r="AZ19" i="38" s="1"/>
  <c r="AL19" i="38"/>
  <c r="AL17" i="38" s="1"/>
  <c r="AK19" i="38"/>
  <c r="AK20" i="38" s="1"/>
  <c r="AJ19" i="38"/>
  <c r="AJ20" i="38" s="1"/>
  <c r="AY18" i="38"/>
  <c r="AW18" i="38"/>
  <c r="AZ18" i="38" s="1"/>
  <c r="AK18" i="38"/>
  <c r="AK17" i="38" s="1"/>
  <c r="AJ18" i="38"/>
  <c r="AJ17" i="38" s="1"/>
  <c r="AZ17" i="38"/>
  <c r="AW17" i="38"/>
  <c r="AY17" i="38" s="1"/>
  <c r="AU17" i="38"/>
  <c r="AI17" i="38"/>
  <c r="T17" i="38"/>
  <c r="AW16" i="38"/>
  <c r="AZ16" i="38" s="1"/>
  <c r="T16" i="38"/>
  <c r="AY15" i="38"/>
  <c r="AW15" i="38"/>
  <c r="AZ15" i="38" s="1"/>
  <c r="AL15" i="38"/>
  <c r="AJ15" i="38"/>
  <c r="AI15" i="38"/>
  <c r="Y15" i="38"/>
  <c r="X16" i="38" s="1"/>
  <c r="Y20" i="38" s="1"/>
  <c r="T15" i="38"/>
  <c r="K15" i="38"/>
  <c r="AW14" i="38"/>
  <c r="AZ14" i="38" s="1"/>
  <c r="AL14" i="38"/>
  <c r="AK14" i="38"/>
  <c r="AK15" i="38" s="1"/>
  <c r="AJ14" i="38"/>
  <c r="AI14" i="38"/>
  <c r="K14" i="38"/>
  <c r="G14" i="38"/>
  <c r="AY13" i="38"/>
  <c r="BA13" i="38" s="1"/>
  <c r="AW13" i="38"/>
  <c r="AZ13" i="38" s="1"/>
  <c r="AL13" i="38"/>
  <c r="AK13" i="38"/>
  <c r="AJ13" i="38"/>
  <c r="AI13" i="38"/>
  <c r="AD13" i="38"/>
  <c r="AD20" i="38" s="1"/>
  <c r="AE25" i="38" s="1"/>
  <c r="AL12" i="38"/>
  <c r="AK12" i="38"/>
  <c r="AJ12" i="38"/>
  <c r="AI12" i="38"/>
  <c r="G12" i="38"/>
  <c r="G15" i="38" s="1"/>
  <c r="AL10" i="38"/>
  <c r="AJ10" i="38"/>
  <c r="AI10" i="38"/>
  <c r="AD10" i="38"/>
  <c r="X10" i="38"/>
  <c r="K10" i="38"/>
  <c r="G10" i="38"/>
  <c r="AY9" i="38"/>
  <c r="AU9" i="38"/>
  <c r="AL9" i="38"/>
  <c r="AK9" i="38"/>
  <c r="AK10" i="38" s="1"/>
  <c r="AJ9" i="38"/>
  <c r="AI9" i="38"/>
  <c r="AD9" i="38"/>
  <c r="X9" i="38"/>
  <c r="K9" i="38"/>
  <c r="AX8" i="38"/>
  <c r="AL8" i="38"/>
  <c r="AK8" i="38"/>
  <c r="AJ8" i="38"/>
  <c r="AI8" i="38"/>
  <c r="AD8" i="38"/>
  <c r="X8" i="38"/>
  <c r="X28" i="38" s="1"/>
  <c r="X27" i="38" s="1"/>
  <c r="K8" i="38"/>
  <c r="BD7" i="38"/>
  <c r="AO7" i="38"/>
  <c r="AL7" i="38"/>
  <c r="AK7" i="38"/>
  <c r="AJ7" i="38"/>
  <c r="AI7" i="38"/>
  <c r="AD7" i="38"/>
  <c r="X7" i="38"/>
  <c r="K7" i="38"/>
  <c r="BI6" i="38"/>
  <c r="AS5" i="38"/>
  <c r="AL5" i="38"/>
  <c r="AK5" i="38"/>
  <c r="AJ5" i="38"/>
  <c r="AI5" i="38"/>
  <c r="BI4" i="38"/>
  <c r="BH5" i="38" s="1"/>
  <c r="BH3" i="38" s="1"/>
  <c r="BH6" i="38" s="1"/>
  <c r="AS4" i="38"/>
  <c r="AL4" i="38"/>
  <c r="AK4" i="38"/>
  <c r="AJ4" i="38"/>
  <c r="AI4" i="38"/>
  <c r="AU3" i="38"/>
  <c r="AS3" i="38"/>
  <c r="AL3" i="38"/>
  <c r="AK3" i="38"/>
  <c r="AJ3" i="38"/>
  <c r="AI3" i="38"/>
  <c r="AU2" i="38"/>
  <c r="AS2" i="38"/>
  <c r="AL2" i="38"/>
  <c r="AK2" i="38"/>
  <c r="AJ2" i="38"/>
  <c r="AI2" i="38"/>
  <c r="CV121" i="40"/>
  <c r="CN120" i="40"/>
  <c r="CL120" i="40"/>
  <c r="DD118" i="40"/>
  <c r="CT117" i="40"/>
  <c r="CL116" i="40"/>
  <c r="DD110" i="40"/>
  <c r="CV109" i="40"/>
  <c r="CT109" i="40"/>
  <c r="CN108" i="40"/>
  <c r="DB106" i="40"/>
  <c r="DZ68" i="40"/>
  <c r="DV68" i="40"/>
  <c r="DS68" i="40"/>
  <c r="DQ68" i="40"/>
  <c r="DP68" i="40"/>
  <c r="DL68" i="40"/>
  <c r="CK68" i="40"/>
  <c r="CI68" i="40"/>
  <c r="DO68" i="40" s="1"/>
  <c r="CK67" i="40"/>
  <c r="DS67" i="40" s="1"/>
  <c r="CI67" i="40"/>
  <c r="DY66" i="40"/>
  <c r="DU66" i="40"/>
  <c r="DS66" i="40"/>
  <c r="DP66" i="40"/>
  <c r="CK66" i="40"/>
  <c r="DO66" i="40" s="1"/>
  <c r="CI66" i="40"/>
  <c r="DR66" i="40" s="1"/>
  <c r="CK65" i="40"/>
  <c r="DZ65" i="40" s="1"/>
  <c r="CI65" i="40"/>
  <c r="CK64" i="40"/>
  <c r="CI64" i="40"/>
  <c r="DY64" i="40" s="1"/>
  <c r="CX63" i="40"/>
  <c r="CK63" i="40"/>
  <c r="CI63" i="40"/>
  <c r="DW63" i="40" s="1"/>
  <c r="DZ62" i="40"/>
  <c r="DW62" i="40"/>
  <c r="DT62" i="40"/>
  <c r="DQ62" i="40"/>
  <c r="CK62" i="40"/>
  <c r="CI62" i="40"/>
  <c r="DU62" i="40" s="1"/>
  <c r="DR61" i="40"/>
  <c r="DD61" i="40"/>
  <c r="CZ61" i="40"/>
  <c r="CK61" i="40"/>
  <c r="CI61" i="40"/>
  <c r="DS61" i="40" s="1"/>
  <c r="DY60" i="40"/>
  <c r="CK60" i="40"/>
  <c r="DO60" i="40" s="1"/>
  <c r="CI60" i="40"/>
  <c r="EF59" i="40"/>
  <c r="ED59" i="40"/>
  <c r="ED60" i="40" s="1"/>
  <c r="EE59" i="40" s="1"/>
  <c r="DX59" i="40"/>
  <c r="CR59" i="40"/>
  <c r="CK59" i="40"/>
  <c r="CI59" i="40"/>
  <c r="DT59" i="40" s="1"/>
  <c r="CK58" i="40"/>
  <c r="DX58" i="40" s="1"/>
  <c r="CI58" i="40"/>
  <c r="DU57" i="40"/>
  <c r="CK57" i="40"/>
  <c r="CI57" i="40"/>
  <c r="DP56" i="40"/>
  <c r="DF56" i="40"/>
  <c r="CT56" i="40"/>
  <c r="CK56" i="40"/>
  <c r="CI56" i="40"/>
  <c r="EF55" i="40"/>
  <c r="DP55" i="40"/>
  <c r="CK55" i="40"/>
  <c r="CI55" i="40"/>
  <c r="DH54" i="40"/>
  <c r="CN54" i="40"/>
  <c r="CK54" i="40"/>
  <c r="CI54" i="40"/>
  <c r="CK53" i="40"/>
  <c r="CI53" i="40"/>
  <c r="EA53" i="40" s="1"/>
  <c r="CK52" i="40"/>
  <c r="CI52" i="40"/>
  <c r="AF52" i="40"/>
  <c r="E7" i="40" s="1"/>
  <c r="CK51" i="40"/>
  <c r="CI51" i="40"/>
  <c r="CK50" i="40"/>
  <c r="CI50" i="40"/>
  <c r="EF49" i="40"/>
  <c r="DJ49" i="40"/>
  <c r="CK49" i="40"/>
  <c r="CI49" i="40"/>
  <c r="DX49" i="40" s="1"/>
  <c r="EF48" i="40"/>
  <c r="CK48" i="40"/>
  <c r="CI48" i="40"/>
  <c r="EA48" i="40" s="1"/>
  <c r="AG48" i="40"/>
  <c r="AE48" i="40"/>
  <c r="E20" i="40" s="1"/>
  <c r="EF47" i="40"/>
  <c r="CK47" i="40"/>
  <c r="CI47" i="40"/>
  <c r="DX47" i="40" s="1"/>
  <c r="AG47" i="40"/>
  <c r="AE47" i="40"/>
  <c r="CK46" i="40"/>
  <c r="CI46" i="40"/>
  <c r="DY46" i="40" s="1"/>
  <c r="EF45" i="40"/>
  <c r="EB45" i="40"/>
  <c r="EF54" i="40" s="1"/>
  <c r="CK45" i="40"/>
  <c r="CI45" i="40"/>
  <c r="EF44" i="40"/>
  <c r="DJ44" i="40"/>
  <c r="CK44" i="40"/>
  <c r="CI44" i="40"/>
  <c r="E44" i="40"/>
  <c r="EF43" i="40"/>
  <c r="CK43" i="40"/>
  <c r="CI43" i="40"/>
  <c r="DX43" i="40" s="1"/>
  <c r="DV42" i="40"/>
  <c r="DS42" i="40"/>
  <c r="DR42" i="40"/>
  <c r="DQ42" i="40"/>
  <c r="CK42" i="40"/>
  <c r="DY42" i="40" s="1"/>
  <c r="CI42" i="40"/>
  <c r="DN42" i="40" s="1"/>
  <c r="E42" i="40"/>
  <c r="DT41" i="40"/>
  <c r="CV41" i="40"/>
  <c r="CK41" i="40"/>
  <c r="CI41" i="40"/>
  <c r="DN41" i="40" s="1"/>
  <c r="AS41" i="40"/>
  <c r="E43" i="40" s="1"/>
  <c r="AO41" i="40"/>
  <c r="AK41" i="40"/>
  <c r="DX40" i="40"/>
  <c r="DW40" i="40"/>
  <c r="DH40" i="40"/>
  <c r="DB40" i="40"/>
  <c r="CP40" i="40"/>
  <c r="CK40" i="40"/>
  <c r="CI40" i="40"/>
  <c r="DS40" i="40" s="1"/>
  <c r="E40" i="40"/>
  <c r="DY39" i="40"/>
  <c r="CZ39" i="40"/>
  <c r="CK39" i="40"/>
  <c r="DO39" i="40" s="1"/>
  <c r="CI39" i="40"/>
  <c r="K39" i="40"/>
  <c r="E39" i="40"/>
  <c r="EF38" i="40"/>
  <c r="EA38" i="40"/>
  <c r="DV38" i="40"/>
  <c r="DL38" i="40"/>
  <c r="CK38" i="40"/>
  <c r="CI38" i="40"/>
  <c r="DW38" i="40" s="1"/>
  <c r="K38" i="40"/>
  <c r="EF37" i="40"/>
  <c r="CK37" i="40"/>
  <c r="CI37" i="40"/>
  <c r="DZ37" i="40" s="1"/>
  <c r="K37" i="40"/>
  <c r="E37" i="40"/>
  <c r="EF36" i="40"/>
  <c r="DV36" i="40"/>
  <c r="DT36" i="40"/>
  <c r="DS36" i="40"/>
  <c r="CP36" i="40"/>
  <c r="CK36" i="40"/>
  <c r="CI36" i="40"/>
  <c r="DN36" i="40" s="1"/>
  <c r="K36" i="40"/>
  <c r="F36" i="40"/>
  <c r="E36" i="40"/>
  <c r="EF35" i="40"/>
  <c r="DR35" i="40"/>
  <c r="DH35" i="40"/>
  <c r="DB35" i="40"/>
  <c r="CP35" i="40"/>
  <c r="CK35" i="40"/>
  <c r="CI35" i="40"/>
  <c r="DS35" i="40" s="1"/>
  <c r="K35" i="40"/>
  <c r="EF34" i="40"/>
  <c r="EA34" i="40"/>
  <c r="CK34" i="40"/>
  <c r="CV34" i="40" s="1"/>
  <c r="CI34" i="40"/>
  <c r="K34" i="40"/>
  <c r="EF33" i="40"/>
  <c r="DL33" i="40"/>
  <c r="CK33" i="40"/>
  <c r="CI33" i="40"/>
  <c r="DY33" i="40" s="1"/>
  <c r="K33" i="40"/>
  <c r="EF32" i="40"/>
  <c r="K32" i="40"/>
  <c r="EF31" i="40"/>
  <c r="K31" i="40"/>
  <c r="EF30" i="40"/>
  <c r="K30" i="40"/>
  <c r="EF29" i="40"/>
  <c r="K29" i="40"/>
  <c r="EF28" i="40"/>
  <c r="K28" i="40"/>
  <c r="EF27" i="40"/>
  <c r="EF39" i="40" s="1"/>
  <c r="CH27" i="40"/>
  <c r="CT122" i="40" s="1"/>
  <c r="K27" i="40"/>
  <c r="K26" i="40"/>
  <c r="BR25" i="40"/>
  <c r="CD16" i="40" s="1"/>
  <c r="BC25" i="40"/>
  <c r="K25" i="40"/>
  <c r="BR24" i="40"/>
  <c r="BZ12" i="40" s="1"/>
  <c r="K24" i="40"/>
  <c r="BR23" i="40"/>
  <c r="K23" i="40"/>
  <c r="CD22" i="40"/>
  <c r="K22" i="40"/>
  <c r="CD21" i="40"/>
  <c r="K21" i="40"/>
  <c r="BZ20" i="40"/>
  <c r="K20" i="40"/>
  <c r="F20" i="40"/>
  <c r="CD19" i="40"/>
  <c r="BZ19" i="40"/>
  <c r="K19" i="40"/>
  <c r="BZ18" i="40"/>
  <c r="BD18" i="40"/>
  <c r="BC18" i="40"/>
  <c r="BF18" i="40" s="1"/>
  <c r="K18" i="40"/>
  <c r="CI17" i="40"/>
  <c r="CH17" i="40"/>
  <c r="CD17" i="40"/>
  <c r="BD17" i="40"/>
  <c r="BC17" i="40"/>
  <c r="BG18" i="40" s="1"/>
  <c r="K17" i="40"/>
  <c r="BD16" i="40"/>
  <c r="BC16" i="40"/>
  <c r="BF16" i="40" s="1"/>
  <c r="K16" i="40"/>
  <c r="G16" i="40"/>
  <c r="G27" i="40" s="1"/>
  <c r="AN4" i="40" s="1"/>
  <c r="CD15" i="40"/>
  <c r="BZ15" i="40"/>
  <c r="BR15" i="40"/>
  <c r="BM15" i="40"/>
  <c r="BF15" i="40"/>
  <c r="BD15" i="40"/>
  <c r="BC15" i="40"/>
  <c r="BG16" i="40" s="1"/>
  <c r="K15" i="40"/>
  <c r="G15" i="40"/>
  <c r="G21" i="40" s="1"/>
  <c r="AJ4" i="40" s="1"/>
  <c r="BZ14" i="40"/>
  <c r="BQ14" i="40"/>
  <c r="BD14" i="40"/>
  <c r="BC14" i="40"/>
  <c r="K14" i="40"/>
  <c r="CD13" i="40"/>
  <c r="BZ13" i="40"/>
  <c r="BR13" i="40"/>
  <c r="BQ13" i="40"/>
  <c r="BM13" i="40"/>
  <c r="BD13" i="40"/>
  <c r="BC13" i="40"/>
  <c r="K13" i="40"/>
  <c r="CD12" i="40"/>
  <c r="BD12" i="40"/>
  <c r="BC12" i="40"/>
  <c r="K12" i="40"/>
  <c r="CO11" i="40"/>
  <c r="BX7" i="40" s="1"/>
  <c r="BR11" i="40"/>
  <c r="BM11" i="40"/>
  <c r="BD11" i="40"/>
  <c r="BC11" i="40"/>
  <c r="BF11" i="40" s="1"/>
  <c r="K11" i="40"/>
  <c r="BF10" i="40"/>
  <c r="BD10" i="40"/>
  <c r="BC10" i="40"/>
  <c r="K10" i="40"/>
  <c r="CH9" i="40"/>
  <c r="CT31" i="40" s="1"/>
  <c r="BD9" i="40"/>
  <c r="BC9" i="40"/>
  <c r="K9" i="40"/>
  <c r="CK8" i="40"/>
  <c r="CL36" i="40" s="1"/>
  <c r="BV8" i="40"/>
  <c r="BD8" i="40"/>
  <c r="BC8" i="40"/>
  <c r="K8" i="40"/>
  <c r="BV7" i="40"/>
  <c r="BQ7" i="40"/>
  <c r="BD7" i="40"/>
  <c r="BK7" i="40" s="1"/>
  <c r="BC7" i="40"/>
  <c r="K7" i="40"/>
  <c r="AG5" i="40"/>
  <c r="AG6" i="40" s="1"/>
  <c r="AF5" i="40"/>
  <c r="AF6" i="40" s="1"/>
  <c r="CU4" i="40"/>
  <c r="CU6" i="40" s="1"/>
  <c r="CH4" i="40"/>
  <c r="CH8" i="40" s="1"/>
  <c r="AZ22" i="38" l="1"/>
  <c r="AY22" i="38"/>
  <c r="BA22" i="38" s="1"/>
  <c r="AZ33" i="38"/>
  <c r="AY33" i="38"/>
  <c r="BA33" i="38" s="1"/>
  <c r="BA17" i="38"/>
  <c r="CP228" i="20"/>
  <c r="CO228" i="20"/>
  <c r="CQ228" i="20" s="1"/>
  <c r="CS228" i="20" s="1"/>
  <c r="DP57" i="40"/>
  <c r="DT57" i="40"/>
  <c r="CV57" i="40"/>
  <c r="CT57" i="40"/>
  <c r="DB144" i="20"/>
  <c r="DI144" i="20"/>
  <c r="BE8" i="40"/>
  <c r="BK8" i="40" s="1"/>
  <c r="BF7" i="40"/>
  <c r="BG8" i="40"/>
  <c r="BM10" i="40"/>
  <c r="BM7" i="40"/>
  <c r="BM16" i="40"/>
  <c r="BM18" i="40"/>
  <c r="BM12" i="40"/>
  <c r="BM9" i="40"/>
  <c r="BM14" i="40"/>
  <c r="BM21" i="40"/>
  <c r="BM17" i="40"/>
  <c r="BM8" i="40"/>
  <c r="CZ60" i="40"/>
  <c r="BA104" i="38"/>
  <c r="CP210" i="20"/>
  <c r="CO210" i="20"/>
  <c r="AF11" i="40"/>
  <c r="AF26" i="40"/>
  <c r="CT42" i="40"/>
  <c r="CT54" i="40"/>
  <c r="CL68" i="40"/>
  <c r="AZ50" i="38"/>
  <c r="AY50" i="38"/>
  <c r="BA50" i="38" s="1"/>
  <c r="AF14" i="40"/>
  <c r="DL55" i="40"/>
  <c r="DY55" i="40"/>
  <c r="DU55" i="40"/>
  <c r="DS55" i="40"/>
  <c r="DR55" i="40"/>
  <c r="DQ55" i="40"/>
  <c r="DJ55" i="40"/>
  <c r="CV55" i="40"/>
  <c r="CP55" i="40"/>
  <c r="CN55" i="40"/>
  <c r="CL55" i="40"/>
  <c r="CX58" i="40"/>
  <c r="DL64" i="40"/>
  <c r="BP73" i="38"/>
  <c r="CF73" i="38"/>
  <c r="CD92" i="38"/>
  <c r="BM92" i="38"/>
  <c r="BL92" i="38"/>
  <c r="CJ92" i="38"/>
  <c r="CG92" i="38"/>
  <c r="CF92" i="38"/>
  <c r="CE92" i="38"/>
  <c r="CC92" i="38"/>
  <c r="CB92" i="38"/>
  <c r="BY92" i="38"/>
  <c r="BX92" i="38"/>
  <c r="BW92" i="38"/>
  <c r="BT92" i="38"/>
  <c r="BQ92" i="38"/>
  <c r="BP92" i="38"/>
  <c r="BO92" i="38"/>
  <c r="DB162" i="20"/>
  <c r="DC162" i="20" s="1"/>
  <c r="DI162" i="20"/>
  <c r="CN197" i="20"/>
  <c r="CU197" i="20"/>
  <c r="BE9" i="40"/>
  <c r="BK9" i="40" s="1"/>
  <c r="BG9" i="40"/>
  <c r="AF20" i="40"/>
  <c r="AZ93" i="38"/>
  <c r="AY93" i="38"/>
  <c r="BA93" i="38" s="1"/>
  <c r="CR55" i="40"/>
  <c r="DW48" i="40"/>
  <c r="DV48" i="40"/>
  <c r="DL48" i="40"/>
  <c r="DJ48" i="40"/>
  <c r="DH48" i="40"/>
  <c r="CX48" i="40"/>
  <c r="BF8" i="40"/>
  <c r="DD55" i="40"/>
  <c r="CJ83" i="38"/>
  <c r="AZ75" i="38"/>
  <c r="AY75" i="38"/>
  <c r="CO158" i="20"/>
  <c r="CP158" i="20"/>
  <c r="CQ158" i="20" s="1"/>
  <c r="DC178" i="20"/>
  <c r="DD178" i="20"/>
  <c r="CN68" i="40"/>
  <c r="CT62" i="40"/>
  <c r="CX42" i="40"/>
  <c r="CR66" i="40"/>
  <c r="CN66" i="40"/>
  <c r="CX36" i="40"/>
  <c r="DL44" i="40"/>
  <c r="CZ40" i="40"/>
  <c r="CN36" i="40"/>
  <c r="CZ35" i="40"/>
  <c r="DD62" i="40"/>
  <c r="DF42" i="40"/>
  <c r="CX68" i="40"/>
  <c r="DJ63" i="40"/>
  <c r="BM75" i="38"/>
  <c r="CC75" i="38"/>
  <c r="BT83" i="38"/>
  <c r="BE13" i="40"/>
  <c r="BE17" i="40"/>
  <c r="CT36" i="40"/>
  <c r="DL43" i="40"/>
  <c r="DB59" i="40"/>
  <c r="CN62" i="40"/>
  <c r="DD66" i="40"/>
  <c r="DL47" i="40"/>
  <c r="DN56" i="40"/>
  <c r="DZ56" i="40"/>
  <c r="DV56" i="40"/>
  <c r="DT56" i="40"/>
  <c r="DS56" i="40"/>
  <c r="DR56" i="40"/>
  <c r="DQ56" i="40"/>
  <c r="DL56" i="40"/>
  <c r="CX56" i="40"/>
  <c r="CR56" i="40"/>
  <c r="CP56" i="40"/>
  <c r="CN56" i="40"/>
  <c r="DF59" i="40"/>
  <c r="DL62" i="40"/>
  <c r="BA48" i="38"/>
  <c r="DB148" i="20"/>
  <c r="DI148" i="20"/>
  <c r="BA31" i="38"/>
  <c r="BG17" i="40"/>
  <c r="DZ36" i="40"/>
  <c r="DP41" i="40"/>
  <c r="DL42" i="40"/>
  <c r="DX44" i="40"/>
  <c r="DO54" i="40"/>
  <c r="EA59" i="40"/>
  <c r="DO61" i="40"/>
  <c r="DF62" i="40"/>
  <c r="DV63" i="40"/>
  <c r="DQ66" i="40"/>
  <c r="CZ68" i="40"/>
  <c r="DD106" i="40"/>
  <c r="CV117" i="40"/>
  <c r="AY31" i="38"/>
  <c r="BU69" i="38"/>
  <c r="CK69" i="38"/>
  <c r="BS78" i="38"/>
  <c r="CI78" i="38"/>
  <c r="CF89" i="38"/>
  <c r="CI99" i="38"/>
  <c r="AZ156" i="38"/>
  <c r="AY156" i="38"/>
  <c r="AY182" i="38"/>
  <c r="AZ182" i="38"/>
  <c r="AF7" i="20"/>
  <c r="C30" i="20"/>
  <c r="DW36" i="20"/>
  <c r="DB140" i="20"/>
  <c r="DI140" i="20"/>
  <c r="CN179" i="20"/>
  <c r="CU179" i="20"/>
  <c r="DI215" i="20"/>
  <c r="DB215" i="20"/>
  <c r="AJ7" i="116"/>
  <c r="AI7" i="116"/>
  <c r="AD17" i="113"/>
  <c r="DJ54" i="40"/>
  <c r="DZ59" i="40"/>
  <c r="CD20" i="40"/>
  <c r="DO35" i="40"/>
  <c r="DU36" i="40"/>
  <c r="DO40" i="40"/>
  <c r="CT41" i="40"/>
  <c r="DP42" i="40"/>
  <c r="DJ47" i="40"/>
  <c r="CZ49" i="40"/>
  <c r="CL54" i="40"/>
  <c r="CL59" i="40"/>
  <c r="CP61" i="40"/>
  <c r="DH62" i="40"/>
  <c r="EA63" i="40"/>
  <c r="DD68" i="40"/>
  <c r="CL108" i="40"/>
  <c r="DB118" i="40"/>
  <c r="BX70" i="38"/>
  <c r="CC76" i="38"/>
  <c r="BP77" i="38"/>
  <c r="CF77" i="38"/>
  <c r="BA44" i="38"/>
  <c r="BL84" i="38"/>
  <c r="CB84" i="38"/>
  <c r="CG89" i="38"/>
  <c r="BS93" i="38"/>
  <c r="BA99" i="38"/>
  <c r="CJ99" i="38"/>
  <c r="BA147" i="38"/>
  <c r="AZ183" i="38"/>
  <c r="AY183" i="38"/>
  <c r="CQ132" i="20"/>
  <c r="CQ168" i="20"/>
  <c r="CQ172" i="20"/>
  <c r="CO220" i="20"/>
  <c r="AI2" i="117"/>
  <c r="AX13" i="116"/>
  <c r="AT13" i="116" s="1"/>
  <c r="AW13" i="116"/>
  <c r="AM30" i="65"/>
  <c r="AM32" i="65"/>
  <c r="BE15" i="40"/>
  <c r="AF37" i="40"/>
  <c r="DS39" i="40"/>
  <c r="CX41" i="40"/>
  <c r="DL49" i="40"/>
  <c r="CP54" i="40"/>
  <c r="DR58" i="40"/>
  <c r="CZ59" i="40"/>
  <c r="DS60" i="40"/>
  <c r="DB61" i="40"/>
  <c r="BR72" i="38"/>
  <c r="CH72" i="38"/>
  <c r="BP82" i="38"/>
  <c r="CF82" i="38"/>
  <c r="CD84" i="38"/>
  <c r="AY106" i="38"/>
  <c r="BA106" i="38" s="1"/>
  <c r="AY116" i="38"/>
  <c r="BA116" i="38" s="1"/>
  <c r="AY120" i="38"/>
  <c r="BA120" i="38" s="1"/>
  <c r="AY158" i="38"/>
  <c r="BA158" i="38" s="1"/>
  <c r="AY193" i="38"/>
  <c r="BA193" i="38" s="1"/>
  <c r="AZ204" i="38"/>
  <c r="AY204" i="38"/>
  <c r="CU132" i="20"/>
  <c r="DB136" i="20"/>
  <c r="DI136" i="20"/>
  <c r="DC154" i="20"/>
  <c r="DD154" i="20"/>
  <c r="CP180" i="20"/>
  <c r="CO180" i="20"/>
  <c r="CP212" i="20"/>
  <c r="CO212" i="20"/>
  <c r="CO216" i="20"/>
  <c r="CQ216" i="20" s="1"/>
  <c r="CP230" i="20"/>
  <c r="CO230" i="20"/>
  <c r="CQ230" i="20" s="1"/>
  <c r="CS230" i="20" s="1"/>
  <c r="H15" i="57"/>
  <c r="H14" i="57"/>
  <c r="U26" i="59"/>
  <c r="U38" i="59"/>
  <c r="U36" i="59"/>
  <c r="BW69" i="38"/>
  <c r="CE71" i="38"/>
  <c r="BA56" i="38"/>
  <c r="BA60" i="38"/>
  <c r="BA100" i="38"/>
  <c r="BA113" i="38"/>
  <c r="AY166" i="38"/>
  <c r="BA166" i="38" s="1"/>
  <c r="AZ166" i="38"/>
  <c r="DW39" i="20"/>
  <c r="DW30" i="20"/>
  <c r="DW13" i="20"/>
  <c r="DW31" i="20"/>
  <c r="DW23" i="20"/>
  <c r="DW21" i="20"/>
  <c r="DW10" i="20"/>
  <c r="DW33" i="20"/>
  <c r="DY16" i="20"/>
  <c r="DS16" i="20" s="1"/>
  <c r="DT16" i="20" s="1"/>
  <c r="CP160" i="20"/>
  <c r="CO160" i="20"/>
  <c r="CQ160" i="20" s="1"/>
  <c r="DC164" i="20"/>
  <c r="DD164" i="20"/>
  <c r="AB6" i="25"/>
  <c r="BA15" i="38"/>
  <c r="BY69" i="38"/>
  <c r="AF7" i="40"/>
  <c r="BE10" i="40"/>
  <c r="AF12" i="40"/>
  <c r="AF18" i="40"/>
  <c r="DV34" i="40"/>
  <c r="DD35" i="40"/>
  <c r="CR36" i="40"/>
  <c r="CP39" i="40"/>
  <c r="DD40" i="40"/>
  <c r="DU41" i="40"/>
  <c r="DT42" i="40"/>
  <c r="DY45" i="40"/>
  <c r="DY50" i="40"/>
  <c r="DB54" i="40"/>
  <c r="CN58" i="40"/>
  <c r="DD59" i="40"/>
  <c r="CP60" i="40"/>
  <c r="DH61" i="40"/>
  <c r="DV62" i="40"/>
  <c r="EA65" i="40"/>
  <c r="DO67" i="40"/>
  <c r="DR68" i="40"/>
  <c r="DB110" i="40"/>
  <c r="CT121" i="40"/>
  <c r="BL70" i="38"/>
  <c r="CB70" i="38"/>
  <c r="BW73" i="38"/>
  <c r="BO75" i="38"/>
  <c r="CE75" i="38"/>
  <c r="BX78" i="38"/>
  <c r="BA49" i="38"/>
  <c r="BO79" i="38"/>
  <c r="CD87" i="38"/>
  <c r="BW88" i="38"/>
  <c r="BL89" i="38"/>
  <c r="CF94" i="38"/>
  <c r="CB95" i="38"/>
  <c r="BT96" i="38"/>
  <c r="BM97" i="38"/>
  <c r="BT98" i="38"/>
  <c r="BM99" i="38"/>
  <c r="CJ100" i="38"/>
  <c r="CB103" i="38"/>
  <c r="AY118" i="38"/>
  <c r="CJ124" i="38"/>
  <c r="CB124" i="38"/>
  <c r="CA124" i="38"/>
  <c r="BZ124" i="38"/>
  <c r="BT124" i="38"/>
  <c r="CH126" i="38"/>
  <c r="CB126" i="38"/>
  <c r="BA206" i="38"/>
  <c r="CP142" i="20"/>
  <c r="CQ142" i="20" s="1"/>
  <c r="DI164" i="20"/>
  <c r="DI172" i="20"/>
  <c r="CN231" i="20"/>
  <c r="CU231" i="20"/>
  <c r="S9" i="113"/>
  <c r="Z56" i="56"/>
  <c r="AS51" i="56"/>
  <c r="AW29" i="56"/>
  <c r="BC29" i="56"/>
  <c r="BA39" i="56"/>
  <c r="AX39" i="56"/>
  <c r="BA74" i="38"/>
  <c r="BN89" i="38"/>
  <c r="BP97" i="38"/>
  <c r="BU98" i="38"/>
  <c r="BP99" i="38"/>
  <c r="DW8" i="20"/>
  <c r="DC142" i="20"/>
  <c r="DD142" i="20"/>
  <c r="AI15" i="59"/>
  <c r="AI14" i="59" s="1"/>
  <c r="AI19" i="59"/>
  <c r="AQ35" i="56"/>
  <c r="AN35" i="56"/>
  <c r="BE16" i="40"/>
  <c r="BK16" i="40" s="1"/>
  <c r="AF30" i="40"/>
  <c r="AF38" i="40"/>
  <c r="DB39" i="40"/>
  <c r="DR40" i="40"/>
  <c r="AS42" i="40"/>
  <c r="AR43" i="40" s="1"/>
  <c r="AS43" i="40" s="1"/>
  <c r="DZ42" i="40"/>
  <c r="DL45" i="40"/>
  <c r="CR48" i="40"/>
  <c r="DL50" i="40"/>
  <c r="DP54" i="40"/>
  <c r="CZ58" i="40"/>
  <c r="DJ59" i="40"/>
  <c r="DB60" i="40"/>
  <c r="DW61" i="40"/>
  <c r="DX62" i="40"/>
  <c r="DL66" i="40"/>
  <c r="CR67" i="40"/>
  <c r="DT68" i="40"/>
  <c r="CL112" i="40"/>
  <c r="DB122" i="40"/>
  <c r="BY73" i="38"/>
  <c r="BQ75" i="38"/>
  <c r="CG75" i="38"/>
  <c r="BZ78" i="38"/>
  <c r="BR81" i="38"/>
  <c r="CH81" i="38"/>
  <c r="BX84" i="38"/>
  <c r="BZ69" i="38"/>
  <c r="AY55" i="38"/>
  <c r="BA55" i="38" s="1"/>
  <c r="BR75" i="38"/>
  <c r="CH75" i="38"/>
  <c r="AY59" i="38"/>
  <c r="BA59" i="38" s="1"/>
  <c r="BZ77" i="38"/>
  <c r="AY64" i="38"/>
  <c r="BZ82" i="38"/>
  <c r="AY82" i="38"/>
  <c r="BA82" i="38" s="1"/>
  <c r="BO89" i="38"/>
  <c r="AY94" i="38"/>
  <c r="BA94" i="38" s="1"/>
  <c r="BT97" i="38"/>
  <c r="BW98" i="38"/>
  <c r="BQ99" i="38"/>
  <c r="BL100" i="38"/>
  <c r="AY101" i="38"/>
  <c r="BA101" i="38" s="1"/>
  <c r="CF113" i="38"/>
  <c r="AY121" i="38"/>
  <c r="BA121" i="38" s="1"/>
  <c r="AY140" i="38"/>
  <c r="BA140" i="38" s="1"/>
  <c r="AZ150" i="38"/>
  <c r="BA150" i="38" s="1"/>
  <c r="AZ187" i="38"/>
  <c r="O7" i="20"/>
  <c r="CO138" i="20"/>
  <c r="CQ138" i="20" s="1"/>
  <c r="DI142" i="20"/>
  <c r="DB160" i="20"/>
  <c r="DI160" i="20"/>
  <c r="CR190" i="20"/>
  <c r="CP222" i="20"/>
  <c r="CO222" i="20"/>
  <c r="CQ222" i="20" s="1"/>
  <c r="CO226" i="20"/>
  <c r="CQ226" i="20" s="1"/>
  <c r="BI38" i="112"/>
  <c r="AD21" i="113"/>
  <c r="CH76" i="38"/>
  <c r="CD14" i="40"/>
  <c r="DF34" i="40"/>
  <c r="DW35" i="40"/>
  <c r="DF36" i="40"/>
  <c r="DD39" i="40"/>
  <c r="G43" i="40"/>
  <c r="DZ51" i="40"/>
  <c r="DQ54" i="40"/>
  <c r="DB58" i="40"/>
  <c r="DP59" i="40"/>
  <c r="DD60" i="40"/>
  <c r="DX61" i="40"/>
  <c r="DY62" i="40"/>
  <c r="CT67" i="40"/>
  <c r="DU68" i="40"/>
  <c r="CN112" i="40"/>
  <c r="DD122" i="40"/>
  <c r="G13" i="38"/>
  <c r="AY37" i="38"/>
  <c r="BT76" i="38"/>
  <c r="CJ76" i="38"/>
  <c r="BP80" i="38"/>
  <c r="CF80" i="38"/>
  <c r="BU82" i="38"/>
  <c r="CK82" i="38"/>
  <c r="AY48" i="38"/>
  <c r="AY76" i="38"/>
  <c r="AY80" i="38"/>
  <c r="BA80" i="38" s="1"/>
  <c r="AY84" i="38"/>
  <c r="BA84" i="38" s="1"/>
  <c r="CJ87" i="38"/>
  <c r="BZ88" i="38"/>
  <c r="BP89" i="38"/>
  <c r="CK94" i="38"/>
  <c r="CG95" i="38"/>
  <c r="BY96" i="38"/>
  <c r="BX97" i="38"/>
  <c r="BX98" i="38"/>
  <c r="BS99" i="38"/>
  <c r="BM100" i="38"/>
  <c r="AZ102" i="38"/>
  <c r="BA102" i="38" s="1"/>
  <c r="CK102" i="38"/>
  <c r="CG103" i="38"/>
  <c r="AY115" i="38"/>
  <c r="BA115" i="38" s="1"/>
  <c r="AY117" i="38"/>
  <c r="BA117" i="38" s="1"/>
  <c r="BW124" i="38"/>
  <c r="BS126" i="38"/>
  <c r="AZ151" i="38"/>
  <c r="AY151" i="38"/>
  <c r="BA207" i="38"/>
  <c r="W11" i="20"/>
  <c r="CP156" i="20"/>
  <c r="CQ156" i="20" s="1"/>
  <c r="CO156" i="20"/>
  <c r="CN170" i="20"/>
  <c r="DC181" i="20"/>
  <c r="DD181" i="20"/>
  <c r="CN195" i="20"/>
  <c r="CU195" i="20"/>
  <c r="AH10" i="116"/>
  <c r="H40" i="63"/>
  <c r="AB27" i="22"/>
  <c r="CK77" i="38"/>
  <c r="CD23" i="40"/>
  <c r="DH34" i="40"/>
  <c r="DX35" i="40"/>
  <c r="DL36" i="40"/>
  <c r="DS38" i="40"/>
  <c r="DH39" i="40"/>
  <c r="DR54" i="40"/>
  <c r="DF58" i="40"/>
  <c r="DS59" i="40"/>
  <c r="DH60" i="40"/>
  <c r="DY61" i="40"/>
  <c r="CT113" i="40"/>
  <c r="AO11" i="38"/>
  <c r="AY14" i="38"/>
  <c r="BA14" i="38" s="1"/>
  <c r="AY20" i="38"/>
  <c r="BA20" i="38" s="1"/>
  <c r="BL78" i="38"/>
  <c r="CB78" i="38"/>
  <c r="BN79" i="38"/>
  <c r="BO74" i="38"/>
  <c r="AY63" i="38"/>
  <c r="BA63" i="38" s="1"/>
  <c r="CD88" i="38"/>
  <c r="BQ89" i="38"/>
  <c r="BT91" i="38"/>
  <c r="CI95" i="38"/>
  <c r="CB96" i="38"/>
  <c r="BY97" i="38"/>
  <c r="BY98" i="38"/>
  <c r="BT99" i="38"/>
  <c r="BO100" i="38"/>
  <c r="CI103" i="38"/>
  <c r="AY119" i="38"/>
  <c r="BA119" i="38" s="1"/>
  <c r="CE124" i="38"/>
  <c r="BT126" i="38"/>
  <c r="BA132" i="38"/>
  <c r="CP134" i="20"/>
  <c r="CQ134" i="20" s="1"/>
  <c r="DB156" i="20"/>
  <c r="DI156" i="20"/>
  <c r="CP166" i="20"/>
  <c r="CO166" i="20"/>
  <c r="CQ174" i="20"/>
  <c r="CN191" i="20"/>
  <c r="CU191" i="20"/>
  <c r="AC38" i="117"/>
  <c r="CD18" i="40"/>
  <c r="DB31" i="40"/>
  <c r="DJ34" i="40"/>
  <c r="DY35" i="40"/>
  <c r="DP36" i="40"/>
  <c r="CX38" i="40"/>
  <c r="DR39" i="40"/>
  <c r="DY40" i="40"/>
  <c r="CN42" i="40"/>
  <c r="DT54" i="40"/>
  <c r="DQ58" i="40"/>
  <c r="DU59" i="40"/>
  <c r="DR60" i="40"/>
  <c r="EA61" i="40"/>
  <c r="EA62" i="40"/>
  <c r="CP66" i="40"/>
  <c r="DT67" i="40"/>
  <c r="DW68" i="40"/>
  <c r="CV113" i="40"/>
  <c r="AD21" i="38"/>
  <c r="AD22" i="38" s="1"/>
  <c r="BV76" i="38"/>
  <c r="BY77" i="38"/>
  <c r="BR80" i="38"/>
  <c r="CH80" i="38"/>
  <c r="BW82" i="38"/>
  <c r="BY83" i="38"/>
  <c r="BX80" i="38"/>
  <c r="AY68" i="38"/>
  <c r="AY88" i="38"/>
  <c r="BA88" i="38" s="1"/>
  <c r="CE88" i="38"/>
  <c r="BT89" i="38"/>
  <c r="AY95" i="38"/>
  <c r="BA95" i="38" s="1"/>
  <c r="CJ95" i="38"/>
  <c r="CC96" i="38"/>
  <c r="CB97" i="38"/>
  <c r="CB98" i="38"/>
  <c r="BU99" i="38"/>
  <c r="BP100" i="38"/>
  <c r="CJ103" i="38"/>
  <c r="AY114" i="38"/>
  <c r="BA114" i="38" s="1"/>
  <c r="CI124" i="38"/>
  <c r="BW126" i="38"/>
  <c r="AY132" i="38"/>
  <c r="AY160" i="38"/>
  <c r="DR7" i="20"/>
  <c r="DW20" i="20"/>
  <c r="DC138" i="20"/>
  <c r="DD138" i="20"/>
  <c r="CN148" i="20"/>
  <c r="CP174" i="20"/>
  <c r="CN178" i="20"/>
  <c r="CU178" i="20"/>
  <c r="DI195" i="20"/>
  <c r="DI205" i="20"/>
  <c r="DB205" i="20"/>
  <c r="CU223" i="20"/>
  <c r="S8" i="113"/>
  <c r="CC31" i="56"/>
  <c r="BW31" i="56" s="1"/>
  <c r="BV31" i="56" s="1"/>
  <c r="AD33" i="56"/>
  <c r="AB33" i="56"/>
  <c r="Z33" i="56"/>
  <c r="AL33" i="56"/>
  <c r="BR76" i="38"/>
  <c r="BG11" i="40"/>
  <c r="BG14" i="40"/>
  <c r="AF19" i="40"/>
  <c r="DD31" i="40"/>
  <c r="DU34" i="40"/>
  <c r="EA35" i="40"/>
  <c r="DQ36" i="40"/>
  <c r="DH38" i="40"/>
  <c r="DW39" i="40"/>
  <c r="EA40" i="40"/>
  <c r="CP42" i="40"/>
  <c r="DZ52" i="40"/>
  <c r="DX54" i="40"/>
  <c r="DV58" i="40"/>
  <c r="DV59" i="40"/>
  <c r="DW60" i="40"/>
  <c r="DX68" i="40"/>
  <c r="DB114" i="40"/>
  <c r="BP69" i="38"/>
  <c r="CF69" i="38"/>
  <c r="BP79" i="38"/>
  <c r="CF79" i="38"/>
  <c r="BV81" i="38"/>
  <c r="BO85" i="38"/>
  <c r="CE85" i="38"/>
  <c r="BN73" i="38"/>
  <c r="CD73" i="38"/>
  <c r="BV75" i="38"/>
  <c r="BY80" i="38"/>
  <c r="CH83" i="38"/>
  <c r="BX85" i="38"/>
  <c r="BL87" i="38"/>
  <c r="CF88" i="38"/>
  <c r="BV89" i="38"/>
  <c r="CK95" i="38"/>
  <c r="CE96" i="38"/>
  <c r="CE98" i="38"/>
  <c r="BX99" i="38"/>
  <c r="BQ100" i="38"/>
  <c r="BL101" i="38"/>
  <c r="BO102" i="38"/>
  <c r="CK103" i="38"/>
  <c r="BL115" i="38"/>
  <c r="CB122" i="38"/>
  <c r="CH122" i="38"/>
  <c r="CE122" i="38"/>
  <c r="CA122" i="38"/>
  <c r="BT122" i="38"/>
  <c r="CA126" i="38"/>
  <c r="AZ198" i="38"/>
  <c r="BA198" i="38" s="1"/>
  <c r="DW7" i="20"/>
  <c r="DY7" i="20" s="1"/>
  <c r="DS7" i="20" s="1"/>
  <c r="DT7" i="20" s="1"/>
  <c r="DI138" i="20"/>
  <c r="CP144" i="20"/>
  <c r="CQ144" i="20" s="1"/>
  <c r="CO144" i="20"/>
  <c r="CP152" i="20"/>
  <c r="CQ152" i="20" s="1"/>
  <c r="CU162" i="20"/>
  <c r="CN162" i="20"/>
  <c r="DC187" i="20"/>
  <c r="DD187" i="20"/>
  <c r="DI227" i="20"/>
  <c r="DB227" i="20"/>
  <c r="AK38" i="56"/>
  <c r="AA38" i="56"/>
  <c r="BU77" i="38"/>
  <c r="BK15" i="40"/>
  <c r="AF25" i="40"/>
  <c r="DZ34" i="40"/>
  <c r="DR36" i="40"/>
  <c r="DJ38" i="40"/>
  <c r="DX39" i="40"/>
  <c r="CR42" i="40"/>
  <c r="DJ43" i="40"/>
  <c r="DL46" i="40"/>
  <c r="EA54" i="40"/>
  <c r="EF60" i="40"/>
  <c r="DW58" i="40"/>
  <c r="DW59" i="40"/>
  <c r="DX60" i="40"/>
  <c r="CL62" i="40"/>
  <c r="DS63" i="40"/>
  <c r="CV66" i="40"/>
  <c r="DY68" i="40"/>
  <c r="DD114" i="40"/>
  <c r="BS70" i="38"/>
  <c r="CI70" i="38"/>
  <c r="CB76" i="38"/>
  <c r="CE82" i="38"/>
  <c r="BA69" i="38"/>
  <c r="BA79" i="38"/>
  <c r="BN87" i="38"/>
  <c r="CG88" i="38"/>
  <c r="BZ89" i="38"/>
  <c r="AZ92" i="38"/>
  <c r="BP94" i="38"/>
  <c r="CF96" i="38"/>
  <c r="CF98" i="38"/>
  <c r="CB99" i="38"/>
  <c r="BT100" i="38"/>
  <c r="BA110" i="38"/>
  <c r="BA125" i="38"/>
  <c r="BA134" i="38"/>
  <c r="AZ144" i="38"/>
  <c r="AY144" i="38"/>
  <c r="BA144" i="38" s="1"/>
  <c r="BA171" i="38"/>
  <c r="BA190" i="38"/>
  <c r="EA41" i="20"/>
  <c r="EA54" i="20"/>
  <c r="DW19" i="20"/>
  <c r="DB152" i="20"/>
  <c r="DI152" i="20"/>
  <c r="CU219" i="20"/>
  <c r="CN219" i="20"/>
  <c r="CP219" i="20" s="1"/>
  <c r="CE38" i="112"/>
  <c r="A12" i="43"/>
  <c r="A15" i="43" s="1"/>
  <c r="AD13" i="113"/>
  <c r="C10" i="43"/>
  <c r="C12" i="43" s="1"/>
  <c r="C15" i="43" s="1"/>
  <c r="C11" i="43"/>
  <c r="AO44" i="57"/>
  <c r="AQ44" i="57"/>
  <c r="AR44" i="57" s="1"/>
  <c r="BG15" i="40"/>
  <c r="BK17" i="40"/>
  <c r="EA39" i="40"/>
  <c r="DW53" i="40"/>
  <c r="DO55" i="40"/>
  <c r="DY56" i="40"/>
  <c r="DJ57" i="40"/>
  <c r="DZ58" i="40"/>
  <c r="DY59" i="40"/>
  <c r="EA60" i="40"/>
  <c r="DH63" i="40"/>
  <c r="DJ66" i="40"/>
  <c r="CV68" i="40"/>
  <c r="EA68" i="40"/>
  <c r="CN116" i="40"/>
  <c r="BM72" i="38"/>
  <c r="CC72" i="38"/>
  <c r="BX75" i="38"/>
  <c r="BO84" i="38"/>
  <c r="CE84" i="38"/>
  <c r="CD76" i="38"/>
  <c r="BN81" i="38"/>
  <c r="BS87" i="38"/>
  <c r="BO88" i="38"/>
  <c r="CI88" i="38"/>
  <c r="CD89" i="38"/>
  <c r="BT94" i="38"/>
  <c r="BM95" i="38"/>
  <c r="CJ96" i="38"/>
  <c r="CJ98" i="38"/>
  <c r="CF99" i="38"/>
  <c r="BX100" i="38"/>
  <c r="BM103" i="38"/>
  <c r="CF125" i="38"/>
  <c r="CI125" i="38"/>
  <c r="CE125" i="38"/>
  <c r="BX125" i="38"/>
  <c r="BP125" i="38"/>
  <c r="CJ126" i="38"/>
  <c r="AY135" i="38"/>
  <c r="BA135" i="38" s="1"/>
  <c r="AZ135" i="38"/>
  <c r="AZ191" i="38"/>
  <c r="AY191" i="38"/>
  <c r="BA191" i="38" s="1"/>
  <c r="DW11" i="20"/>
  <c r="CN207" i="20"/>
  <c r="CU207" i="20"/>
  <c r="AE19" i="59"/>
  <c r="AE17" i="59"/>
  <c r="AE18" i="59" s="1"/>
  <c r="BS85" i="38"/>
  <c r="CI85" i="38"/>
  <c r="AY81" i="38"/>
  <c r="BA81" i="38" s="1"/>
  <c r="BT87" i="38"/>
  <c r="BP88" i="38"/>
  <c r="CJ88" i="38"/>
  <c r="CE89" i="38"/>
  <c r="BU94" i="38"/>
  <c r="BP95" i="38"/>
  <c r="CK98" i="38"/>
  <c r="CG99" i="38"/>
  <c r="BY100" i="38"/>
  <c r="BU102" i="38"/>
  <c r="BP103" i="38"/>
  <c r="CA112" i="38"/>
  <c r="BT114" i="38"/>
  <c r="CD119" i="38"/>
  <c r="CJ122" i="38"/>
  <c r="BO125" i="38"/>
  <c r="AZ155" i="38"/>
  <c r="BA155" i="38" s="1"/>
  <c r="AZ211" i="38"/>
  <c r="BA211" i="38" s="1"/>
  <c r="DW12" i="20"/>
  <c r="CP140" i="20"/>
  <c r="CQ140" i="20" s="1"/>
  <c r="CO140" i="20"/>
  <c r="DC158" i="20"/>
  <c r="DD158" i="20"/>
  <c r="DI207" i="20"/>
  <c r="DB207" i="20"/>
  <c r="CO224" i="20"/>
  <c r="CQ224" i="20" s="1"/>
  <c r="AK31" i="56"/>
  <c r="Y31" i="56"/>
  <c r="DR16" i="20"/>
  <c r="CJ13" i="20" s="1"/>
  <c r="BJ38" i="112"/>
  <c r="AG17" i="59"/>
  <c r="AG18" i="59" s="1"/>
  <c r="X18" i="56"/>
  <c r="AO28" i="56"/>
  <c r="AM30" i="56"/>
  <c r="AF36" i="56"/>
  <c r="AB38" i="56"/>
  <c r="DW22" i="20"/>
  <c r="AY39" i="112"/>
  <c r="AH8" i="25"/>
  <c r="BO31" i="25"/>
  <c r="CA18" i="56"/>
  <c r="W20" i="56"/>
  <c r="CB20" i="56"/>
  <c r="CC20" i="56" s="1"/>
  <c r="BW20" i="56" s="1"/>
  <c r="BX20" i="56" s="1"/>
  <c r="AE29" i="56"/>
  <c r="Z31" i="56"/>
  <c r="AG36" i="56"/>
  <c r="AD38" i="56"/>
  <c r="CA38" i="56"/>
  <c r="CC38" i="56" s="1"/>
  <c r="BW38" i="56" s="1"/>
  <c r="AZ39" i="56"/>
  <c r="BZ45" i="56"/>
  <c r="AE67" i="56"/>
  <c r="O8" i="116"/>
  <c r="C12" i="49"/>
  <c r="C15" i="49" s="1"/>
  <c r="S20" i="113"/>
  <c r="S25" i="113"/>
  <c r="V21" i="56"/>
  <c r="BG75" i="56"/>
  <c r="O9" i="56" s="1"/>
  <c r="AG58" i="56"/>
  <c r="BF73" i="56"/>
  <c r="N7" i="56" s="1"/>
  <c r="BW73" i="111"/>
  <c r="BY75" i="111"/>
  <c r="BW81" i="111"/>
  <c r="BZ85" i="111"/>
  <c r="S13" i="113"/>
  <c r="AD18" i="113"/>
  <c r="AD23" i="113"/>
  <c r="AB31" i="56"/>
  <c r="BG73" i="56"/>
  <c r="O7" i="56" s="1"/>
  <c r="BH75" i="56"/>
  <c r="P9" i="56" s="1"/>
  <c r="AQ67" i="56"/>
  <c r="AM29" i="56"/>
  <c r="BW66" i="111"/>
  <c r="BX69" i="111"/>
  <c r="BY73" i="111"/>
  <c r="BV77" i="111"/>
  <c r="BY81" i="111"/>
  <c r="AG13" i="65"/>
  <c r="AJ18" i="65"/>
  <c r="F29" i="61"/>
  <c r="F33" i="61" s="1"/>
  <c r="DW35" i="20"/>
  <c r="Q38" i="112"/>
  <c r="AM10" i="116"/>
  <c r="AO10" i="116" s="1"/>
  <c r="AB12" i="25"/>
  <c r="C27" i="63"/>
  <c r="S28" i="113"/>
  <c r="AD25" i="113"/>
  <c r="CA13" i="56"/>
  <c r="AW28" i="56"/>
  <c r="CB29" i="56"/>
  <c r="CC29" i="56" s="1"/>
  <c r="BW29" i="56" s="1"/>
  <c r="CA31" i="56"/>
  <c r="AL51" i="56"/>
  <c r="BP15" i="111"/>
  <c r="BV32" i="56"/>
  <c r="DW14" i="20"/>
  <c r="AY10" i="116"/>
  <c r="AD20" i="113"/>
  <c r="Y28" i="56"/>
  <c r="AC30" i="56"/>
  <c r="CA32" i="56"/>
  <c r="AX33" i="56"/>
  <c r="BF76" i="56"/>
  <c r="N10" i="56" s="1"/>
  <c r="BU48" i="111"/>
  <c r="BV52" i="111"/>
  <c r="BM13" i="111" s="1"/>
  <c r="CA54" i="111"/>
  <c r="CA57" i="111"/>
  <c r="BV64" i="111"/>
  <c r="CA66" i="111"/>
  <c r="CB69" i="111"/>
  <c r="BU83" i="111"/>
  <c r="BL26" i="111" s="1"/>
  <c r="BZ86" i="111"/>
  <c r="AJ39" i="65"/>
  <c r="F38" i="117"/>
  <c r="S12" i="113"/>
  <c r="CB32" i="56"/>
  <c r="CC32" i="56" s="1"/>
  <c r="BW32" i="56" s="1"/>
  <c r="BX32" i="56" s="1"/>
  <c r="AT29" i="56"/>
  <c r="AE30" i="56"/>
  <c r="AJ47" i="56"/>
  <c r="BG76" i="56"/>
  <c r="O10" i="56" s="1"/>
  <c r="BB8" i="111"/>
  <c r="BB10" i="111"/>
  <c r="BC13" i="111"/>
  <c r="BF14" i="111"/>
  <c r="AZ18" i="111"/>
  <c r="BA21" i="111"/>
  <c r="BC22" i="111"/>
  <c r="BE23" i="111"/>
  <c r="BG26" i="111"/>
  <c r="BA31" i="111"/>
  <c r="BV48" i="111"/>
  <c r="BW52" i="111"/>
  <c r="CB54" i="111"/>
  <c r="CB57" i="111"/>
  <c r="BW64" i="111"/>
  <c r="BN29" i="111" s="1"/>
  <c r="CB66" i="111"/>
  <c r="BU74" i="111"/>
  <c r="BL14" i="111" s="1"/>
  <c r="BU79" i="111"/>
  <c r="BV83" i="111"/>
  <c r="W23" i="22"/>
  <c r="AG8" i="65"/>
  <c r="AJ40" i="65"/>
  <c r="DX11" i="20"/>
  <c r="DY11" i="20" s="1"/>
  <c r="DS11" i="20" s="1"/>
  <c r="DT11" i="20" s="1"/>
  <c r="CP211" i="20"/>
  <c r="CQ211" i="20" s="1"/>
  <c r="AM38" i="112"/>
  <c r="DB38" i="112"/>
  <c r="BS10" i="116"/>
  <c r="G38" i="117"/>
  <c r="AB13" i="25"/>
  <c r="I26" i="59"/>
  <c r="N44" i="113"/>
  <c r="AK59" i="113"/>
  <c r="Y33" i="56"/>
  <c r="BF74" i="56"/>
  <c r="N8" i="56" s="1"/>
  <c r="BH76" i="56"/>
  <c r="P10" i="56" s="1"/>
  <c r="BF23" i="111"/>
  <c r="BB31" i="111"/>
  <c r="BW48" i="111"/>
  <c r="BX52" i="111"/>
  <c r="BO13" i="111" s="1"/>
  <c r="CC54" i="111"/>
  <c r="CC57" i="111"/>
  <c r="BX64" i="111"/>
  <c r="BO29" i="111" s="1"/>
  <c r="BX71" i="111"/>
  <c r="BV74" i="111"/>
  <c r="BM14" i="111" s="1"/>
  <c r="BV79" i="111"/>
  <c r="BW83" i="111"/>
  <c r="BW87" i="111"/>
  <c r="AG9" i="65"/>
  <c r="AJ19" i="65"/>
  <c r="AJ42" i="65"/>
  <c r="S18" i="113"/>
  <c r="BG74" i="56"/>
  <c r="O8" i="56" s="1"/>
  <c r="AY6" i="111"/>
  <c r="BD8" i="111"/>
  <c r="BD10" i="111"/>
  <c r="BE13" i="111"/>
  <c r="BB18" i="111"/>
  <c r="BC21" i="111"/>
  <c r="BE22" i="111"/>
  <c r="BG23" i="111"/>
  <c r="BC31" i="111"/>
  <c r="BX48" i="111"/>
  <c r="BY52" i="111"/>
  <c r="BP13" i="111" s="1"/>
  <c r="BU55" i="111"/>
  <c r="BU58" i="111"/>
  <c r="CA64" i="111"/>
  <c r="BX68" i="111"/>
  <c r="BO8" i="111" s="1"/>
  <c r="BY71" i="111"/>
  <c r="BW74" i="111"/>
  <c r="BN14" i="111" s="1"/>
  <c r="BY79" i="111"/>
  <c r="BP21" i="111" s="1"/>
  <c r="BZ83" i="111"/>
  <c r="CC87" i="111"/>
  <c r="AK120" i="111"/>
  <c r="CO8" i="20"/>
  <c r="DX17" i="20"/>
  <c r="DX19" i="20"/>
  <c r="DY19" i="20" s="1"/>
  <c r="DS19" i="20" s="1"/>
  <c r="DW34" i="20"/>
  <c r="DY34" i="20" s="1"/>
  <c r="DS34" i="20" s="1"/>
  <c r="AX38" i="112"/>
  <c r="BF4" i="116"/>
  <c r="R38" i="117"/>
  <c r="AC19" i="57"/>
  <c r="AQ43" i="57"/>
  <c r="AR43" i="57" s="1"/>
  <c r="AH16" i="59"/>
  <c r="N45" i="113"/>
  <c r="N41" i="113"/>
  <c r="N49" i="113"/>
  <c r="CB16" i="56"/>
  <c r="CC16" i="56" s="1"/>
  <c r="BW16" i="56" s="1"/>
  <c r="CA17" i="56"/>
  <c r="CA23" i="56"/>
  <c r="BD30" i="56"/>
  <c r="AA33" i="56"/>
  <c r="BC33" i="56"/>
  <c r="CA34" i="56"/>
  <c r="BA38" i="56"/>
  <c r="BG72" i="56"/>
  <c r="O6" i="56" s="1"/>
  <c r="BH74" i="56"/>
  <c r="P8" i="56" s="1"/>
  <c r="AZ6" i="111"/>
  <c r="BE8" i="111"/>
  <c r="BE10" i="111"/>
  <c r="BF13" i="111"/>
  <c r="BC18" i="111"/>
  <c r="BD21" i="111"/>
  <c r="BF22" i="111"/>
  <c r="X30" i="111"/>
  <c r="BD31" i="111"/>
  <c r="AR46" i="111"/>
  <c r="BY48" i="111"/>
  <c r="BZ52" i="111"/>
  <c r="BQ13" i="111" s="1"/>
  <c r="BV55" i="111"/>
  <c r="BM18" i="111" s="1"/>
  <c r="BX58" i="111"/>
  <c r="BX65" i="111"/>
  <c r="BY68" i="111"/>
  <c r="BP8" i="111" s="1"/>
  <c r="BZ71" i="111"/>
  <c r="BQ10" i="111" s="1"/>
  <c r="BX74" i="111"/>
  <c r="AO120" i="111"/>
  <c r="AG10" i="65"/>
  <c r="AY199" i="38"/>
  <c r="BA199" i="38" s="1"/>
  <c r="DX6" i="20"/>
  <c r="O12" i="116"/>
  <c r="C15" i="42"/>
  <c r="C18" i="42" s="1"/>
  <c r="S21" i="113"/>
  <c r="N38" i="113"/>
  <c r="N46" i="113"/>
  <c r="CB17" i="56"/>
  <c r="CC17" i="56" s="1"/>
  <c r="BW17" i="56" s="1"/>
  <c r="CB23" i="56"/>
  <c r="CC23" i="56" s="1"/>
  <c r="BW23" i="56" s="1"/>
  <c r="AL28" i="56"/>
  <c r="AJ30" i="56"/>
  <c r="Z35" i="56"/>
  <c r="Z36" i="56"/>
  <c r="BH72" i="56"/>
  <c r="P6" i="56" s="1"/>
  <c r="BA6" i="111"/>
  <c r="BF8" i="111"/>
  <c r="BF10" i="111"/>
  <c r="BG13" i="111"/>
  <c r="AY15" i="111"/>
  <c r="BD18" i="111"/>
  <c r="BE21" i="111"/>
  <c r="BG22" i="111"/>
  <c r="AY30" i="111"/>
  <c r="BE31" i="111"/>
  <c r="AL47" i="111"/>
  <c r="BZ48" i="111"/>
  <c r="CC52" i="111"/>
  <c r="BW55" i="111"/>
  <c r="BY65" i="111"/>
  <c r="BZ68" i="111"/>
  <c r="BQ8" i="111" s="1"/>
  <c r="CA71" i="111"/>
  <c r="BY74" i="111"/>
  <c r="BV80" i="111"/>
  <c r="BU85" i="111"/>
  <c r="BL29" i="111" s="1"/>
  <c r="AP121" i="111"/>
  <c r="AG20" i="65"/>
  <c r="DW9" i="20"/>
  <c r="DX13" i="20"/>
  <c r="DD146" i="20"/>
  <c r="DD185" i="20"/>
  <c r="CQ201" i="20"/>
  <c r="AH11" i="116"/>
  <c r="AB38" i="117"/>
  <c r="A15" i="42"/>
  <c r="A18" i="42" s="1"/>
  <c r="C21" i="63"/>
  <c r="AD7" i="113"/>
  <c r="CA26" i="56"/>
  <c r="CC26" i="56" s="1"/>
  <c r="BW26" i="56" s="1"/>
  <c r="AM28" i="56"/>
  <c r="CB33" i="56"/>
  <c r="CC33" i="56" s="1"/>
  <c r="BW33" i="56" s="1"/>
  <c r="AD36" i="56"/>
  <c r="Z38" i="56"/>
  <c r="BB6" i="111"/>
  <c r="BG8" i="111"/>
  <c r="BG10" i="111"/>
  <c r="AZ15" i="111"/>
  <c r="BE18" i="111"/>
  <c r="BF21" i="111"/>
  <c r="AY29" i="111"/>
  <c r="AZ30" i="111"/>
  <c r="BF31" i="111"/>
  <c r="AP47" i="111"/>
  <c r="CC48" i="111"/>
  <c r="BX55" i="111"/>
  <c r="BU59" i="111"/>
  <c r="BL23" i="111" s="1"/>
  <c r="BZ65" i="111"/>
  <c r="BQ30" i="111" s="1"/>
  <c r="CA68" i="111"/>
  <c r="BR8" i="111" s="1"/>
  <c r="CB71" i="111"/>
  <c r="CB74" i="111"/>
  <c r="CB80" i="111"/>
  <c r="BV85" i="111"/>
  <c r="AT121" i="111"/>
  <c r="AJ20" i="65"/>
  <c r="CW124" i="40"/>
  <c r="CU124" i="40"/>
  <c r="EF16" i="40"/>
  <c r="CS124" i="40"/>
  <c r="CK124" i="40"/>
  <c r="EF20" i="40"/>
  <c r="EF15" i="40"/>
  <c r="DE124" i="40"/>
  <c r="CQ124" i="40"/>
  <c r="CO124" i="40"/>
  <c r="EF21" i="40"/>
  <c r="EF14" i="40"/>
  <c r="DC124" i="40"/>
  <c r="CM124" i="40"/>
  <c r="DA124" i="40"/>
  <c r="EF18" i="40"/>
  <c r="CY124" i="40"/>
  <c r="EF22" i="40"/>
  <c r="EF17" i="40"/>
  <c r="EF19" i="40"/>
  <c r="T11" i="38"/>
  <c r="AG34" i="40"/>
  <c r="AG27" i="40"/>
  <c r="AG23" i="40"/>
  <c r="AG30" i="40"/>
  <c r="AH30" i="40" s="1"/>
  <c r="O30" i="40" s="1"/>
  <c r="AG20" i="40"/>
  <c r="AH20" i="40" s="1"/>
  <c r="O20" i="40" s="1"/>
  <c r="AG11" i="40"/>
  <c r="AH11" i="40" s="1"/>
  <c r="O11" i="40" s="1"/>
  <c r="AF33" i="40"/>
  <c r="AG12" i="40"/>
  <c r="AH12" i="40" s="1"/>
  <c r="O12" i="40" s="1"/>
  <c r="P12" i="40" s="1"/>
  <c r="AG32" i="40"/>
  <c r="AF9" i="40"/>
  <c r="AG33" i="40"/>
  <c r="AH33" i="40" s="1"/>
  <c r="O33" i="40" s="1"/>
  <c r="AG13" i="40"/>
  <c r="AH13" i="40" s="1"/>
  <c r="O13" i="40" s="1"/>
  <c r="AG37" i="40"/>
  <c r="AH37" i="40" s="1"/>
  <c r="O37" i="40" s="1"/>
  <c r="AF13" i="40"/>
  <c r="AF16" i="40"/>
  <c r="AG15" i="40"/>
  <c r="AG29" i="40"/>
  <c r="AG17" i="40"/>
  <c r="AF24" i="40"/>
  <c r="AG26" i="40"/>
  <c r="AH26" i="40" s="1"/>
  <c r="O26" i="40" s="1"/>
  <c r="AG21" i="40"/>
  <c r="AG7" i="40"/>
  <c r="AH7" i="40" s="1"/>
  <c r="O7" i="40" s="1"/>
  <c r="AF28" i="40"/>
  <c r="AG24" i="40"/>
  <c r="AF21" i="40"/>
  <c r="AG16" i="40"/>
  <c r="AH16" i="40" s="1"/>
  <c r="O16" i="40" s="1"/>
  <c r="P16" i="40" s="1"/>
  <c r="AG36" i="40"/>
  <c r="AG28" i="40"/>
  <c r="AG9" i="40"/>
  <c r="AG8" i="40"/>
  <c r="AG31" i="40"/>
  <c r="AF22" i="40"/>
  <c r="AF15" i="40"/>
  <c r="AG39" i="40"/>
  <c r="AG35" i="40"/>
  <c r="AG10" i="40"/>
  <c r="AF8" i="40"/>
  <c r="AG22" i="40"/>
  <c r="AF39" i="40"/>
  <c r="AF35" i="40"/>
  <c r="AF10" i="40"/>
  <c r="AG18" i="40"/>
  <c r="AH18" i="40" s="1"/>
  <c r="O18" i="40" s="1"/>
  <c r="AG25" i="40"/>
  <c r="AH25" i="40" s="1"/>
  <c r="O25" i="40" s="1"/>
  <c r="P25" i="40" s="1"/>
  <c r="AG19" i="40"/>
  <c r="AH19" i="40" s="1"/>
  <c r="O19" i="40" s="1"/>
  <c r="P19" i="40" s="1"/>
  <c r="AG14" i="40"/>
  <c r="AH14" i="40" s="1"/>
  <c r="O14" i="40" s="1"/>
  <c r="P14" i="40" s="1"/>
  <c r="AG38" i="40"/>
  <c r="AH38" i="40" s="1"/>
  <c r="O38" i="40" s="1"/>
  <c r="BK13" i="40"/>
  <c r="BK10" i="40"/>
  <c r="E21" i="40"/>
  <c r="DN46" i="40"/>
  <c r="AV8" i="40"/>
  <c r="BV18" i="40"/>
  <c r="AF27" i="40"/>
  <c r="DB33" i="40"/>
  <c r="DD37" i="40"/>
  <c r="DO41" i="40"/>
  <c r="CZ43" i="40"/>
  <c r="CZ44" i="40"/>
  <c r="DB45" i="40"/>
  <c r="DB46" i="40"/>
  <c r="CZ47" i="40"/>
  <c r="DW49" i="40"/>
  <c r="DX50" i="40"/>
  <c r="DD52" i="40"/>
  <c r="DF53" i="40"/>
  <c r="DO57" i="40"/>
  <c r="CR106" i="40"/>
  <c r="CJ109" i="40"/>
  <c r="CR110" i="40"/>
  <c r="CJ113" i="40"/>
  <c r="CR114" i="40"/>
  <c r="CZ115" i="40"/>
  <c r="CJ117" i="40"/>
  <c r="CR118" i="40"/>
  <c r="CZ119" i="40"/>
  <c r="CJ121" i="40"/>
  <c r="Q4" i="40"/>
  <c r="CV31" i="40"/>
  <c r="DF33" i="40"/>
  <c r="DZ33" i="40"/>
  <c r="CZ34" i="40"/>
  <c r="DW34" i="40"/>
  <c r="CT35" i="40"/>
  <c r="DT35" i="40"/>
  <c r="DO36" i="40"/>
  <c r="DH37" i="40"/>
  <c r="EA37" i="40"/>
  <c r="DB38" i="40"/>
  <c r="DX38" i="40"/>
  <c r="CT39" i="40"/>
  <c r="DT39" i="40"/>
  <c r="CT40" i="40"/>
  <c r="DT40" i="40"/>
  <c r="CN41" i="40"/>
  <c r="DQ41" i="40"/>
  <c r="DO42" i="40"/>
  <c r="DD43" i="40"/>
  <c r="DY43" i="40"/>
  <c r="DD44" i="40"/>
  <c r="DY44" i="40"/>
  <c r="DF45" i="40"/>
  <c r="DZ45" i="40"/>
  <c r="DF46" i="40"/>
  <c r="DZ46" i="40"/>
  <c r="DD47" i="40"/>
  <c r="DY47" i="40"/>
  <c r="DB48" i="40"/>
  <c r="DX48" i="40"/>
  <c r="DD49" i="40"/>
  <c r="DY49" i="40"/>
  <c r="DF50" i="40"/>
  <c r="DZ50" i="40"/>
  <c r="DH51" i="40"/>
  <c r="EA51" i="40"/>
  <c r="DH52" i="40"/>
  <c r="EA52" i="40"/>
  <c r="DJ53" i="40"/>
  <c r="EF53" i="40"/>
  <c r="DL54" i="40"/>
  <c r="DN55" i="40"/>
  <c r="DO56" i="40"/>
  <c r="CN57" i="40"/>
  <c r="DQ57" i="40"/>
  <c r="CR58" i="40"/>
  <c r="DS58" i="40"/>
  <c r="CV59" i="40"/>
  <c r="CT60" i="40"/>
  <c r="DT60" i="40"/>
  <c r="CT61" i="40"/>
  <c r="DT61" i="40"/>
  <c r="CX62" i="40"/>
  <c r="DB63" i="40"/>
  <c r="DX63" i="40"/>
  <c r="DF64" i="40"/>
  <c r="DZ64" i="40"/>
  <c r="DJ65" i="40"/>
  <c r="DN66" i="40"/>
  <c r="CL67" i="40"/>
  <c r="DP67" i="40"/>
  <c r="CP68" i="40"/>
  <c r="CV106" i="40"/>
  <c r="DD107" i="40"/>
  <c r="CN109" i="40"/>
  <c r="CV110" i="40"/>
  <c r="DD111" i="40"/>
  <c r="CN113" i="40"/>
  <c r="CV114" i="40"/>
  <c r="DD115" i="40"/>
  <c r="CN117" i="40"/>
  <c r="CV118" i="40"/>
  <c r="DD119" i="40"/>
  <c r="CN121" i="40"/>
  <c r="CV122" i="40"/>
  <c r="BP74" i="38"/>
  <c r="CF74" i="38"/>
  <c r="AZ87" i="38"/>
  <c r="AY87" i="38"/>
  <c r="BY116" i="38"/>
  <c r="BV116" i="38"/>
  <c r="CK116" i="38"/>
  <c r="BU116" i="38"/>
  <c r="CH116" i="38"/>
  <c r="BR116" i="38"/>
  <c r="CG116" i="38"/>
  <c r="BQ116" i="38"/>
  <c r="CF116" i="38"/>
  <c r="BP116" i="38"/>
  <c r="CD116" i="38"/>
  <c r="BN116" i="38"/>
  <c r="CC116" i="38"/>
  <c r="BM116" i="38"/>
  <c r="CE116" i="38"/>
  <c r="CB116" i="38"/>
  <c r="CA116" i="38"/>
  <c r="BX116" i="38"/>
  <c r="BT116" i="38"/>
  <c r="BS116" i="38"/>
  <c r="CJ116" i="38"/>
  <c r="AZ173" i="38"/>
  <c r="AY173" i="38"/>
  <c r="BA173" i="38" s="1"/>
  <c r="AF23" i="40"/>
  <c r="DX33" i="40"/>
  <c r="DW43" i="40"/>
  <c r="DW44" i="40"/>
  <c r="DX45" i="40"/>
  <c r="DX46" i="40"/>
  <c r="DW47" i="40"/>
  <c r="DB50" i="40"/>
  <c r="DD51" i="40"/>
  <c r="DY52" i="40"/>
  <c r="DZ53" i="40"/>
  <c r="DB64" i="40"/>
  <c r="DF65" i="40"/>
  <c r="CZ107" i="40"/>
  <c r="CZ111" i="40"/>
  <c r="T4" i="40"/>
  <c r="AV7" i="40"/>
  <c r="AX8" i="40" s="1"/>
  <c r="BF9" i="40"/>
  <c r="BV14" i="40"/>
  <c r="BV24" i="40"/>
  <c r="E27" i="40"/>
  <c r="CX31" i="40"/>
  <c r="DH33" i="40"/>
  <c r="EA33" i="40"/>
  <c r="DB34" i="40"/>
  <c r="DX34" i="40"/>
  <c r="CV35" i="40"/>
  <c r="DU35" i="40"/>
  <c r="DJ37" i="40"/>
  <c r="DD38" i="40"/>
  <c r="DY38" i="40"/>
  <c r="CV39" i="40"/>
  <c r="DU39" i="40"/>
  <c r="CV40" i="40"/>
  <c r="DU40" i="40"/>
  <c r="CP41" i="40"/>
  <c r="DR41" i="40"/>
  <c r="CL42" i="40"/>
  <c r="DF43" i="40"/>
  <c r="DZ43" i="40"/>
  <c r="DF44" i="40"/>
  <c r="DZ44" i="40"/>
  <c r="DH45" i="40"/>
  <c r="EA45" i="40"/>
  <c r="DH46" i="40"/>
  <c r="EA46" i="40"/>
  <c r="DF47" i="40"/>
  <c r="DZ47" i="40"/>
  <c r="DD48" i="40"/>
  <c r="DY48" i="40"/>
  <c r="DF49" i="40"/>
  <c r="DZ49" i="40"/>
  <c r="DH50" i="40"/>
  <c r="EA50" i="40"/>
  <c r="DJ51" i="40"/>
  <c r="EF51" i="40"/>
  <c r="DJ52" i="40"/>
  <c r="EF52" i="40"/>
  <c r="DL53" i="40"/>
  <c r="DN54" i="40"/>
  <c r="CL56" i="40"/>
  <c r="CP57" i="40"/>
  <c r="DR57" i="40"/>
  <c r="CT58" i="40"/>
  <c r="DT58" i="40"/>
  <c r="CX59" i="40"/>
  <c r="CV60" i="40"/>
  <c r="DU60" i="40"/>
  <c r="CV61" i="40"/>
  <c r="DU61" i="40"/>
  <c r="CZ62" i="40"/>
  <c r="DD63" i="40"/>
  <c r="DY63" i="40"/>
  <c r="DH64" i="40"/>
  <c r="EA64" i="40"/>
  <c r="DL65" i="40"/>
  <c r="CN67" i="40"/>
  <c r="DQ67" i="40"/>
  <c r="CR68" i="40"/>
  <c r="CX106" i="40"/>
  <c r="DF107" i="40"/>
  <c r="CP109" i="40"/>
  <c r="CX110" i="40"/>
  <c r="DF111" i="40"/>
  <c r="CP113" i="40"/>
  <c r="CX114" i="40"/>
  <c r="DF115" i="40"/>
  <c r="CP117" i="40"/>
  <c r="CX118" i="40"/>
  <c r="DF119" i="40"/>
  <c r="CP121" i="40"/>
  <c r="CX122" i="40"/>
  <c r="AZ32" i="38"/>
  <c r="BA32" i="38" s="1"/>
  <c r="BQ74" i="38"/>
  <c r="CG74" i="38"/>
  <c r="AZ65" i="38"/>
  <c r="AY65" i="38"/>
  <c r="CL82" i="38"/>
  <c r="CH91" i="38"/>
  <c r="BR91" i="38"/>
  <c r="CE91" i="38"/>
  <c r="BO91" i="38"/>
  <c r="CD91" i="38"/>
  <c r="BN91" i="38"/>
  <c r="BZ91" i="38"/>
  <c r="BY91" i="38"/>
  <c r="BW91" i="38"/>
  <c r="BV91" i="38"/>
  <c r="CJ91" i="38"/>
  <c r="CI91" i="38"/>
  <c r="CG91" i="38"/>
  <c r="CC91" i="38"/>
  <c r="CA91" i="38"/>
  <c r="BX91" i="38"/>
  <c r="BQ91" i="38"/>
  <c r="BP91" i="38"/>
  <c r="BM91" i="38"/>
  <c r="BL91" i="38"/>
  <c r="BL116" i="38"/>
  <c r="DN64" i="40"/>
  <c r="DP65" i="40"/>
  <c r="BG10" i="40"/>
  <c r="BV13" i="40"/>
  <c r="CR31" i="40"/>
  <c r="AF34" i="40"/>
  <c r="DY37" i="40"/>
  <c r="BV21" i="40"/>
  <c r="AF31" i="40"/>
  <c r="CZ31" i="40"/>
  <c r="DJ33" i="40"/>
  <c r="DD34" i="40"/>
  <c r="DY34" i="40"/>
  <c r="CX35" i="40"/>
  <c r="DV35" i="40"/>
  <c r="DL37" i="40"/>
  <c r="DF38" i="40"/>
  <c r="DZ38" i="40"/>
  <c r="CX39" i="40"/>
  <c r="DV39" i="40"/>
  <c r="CX40" i="40"/>
  <c r="DV40" i="40"/>
  <c r="CR41" i="40"/>
  <c r="DS41" i="40"/>
  <c r="DH43" i="40"/>
  <c r="EA43" i="40"/>
  <c r="DH44" i="40"/>
  <c r="EA44" i="40"/>
  <c r="DJ45" i="40"/>
  <c r="DJ46" i="40"/>
  <c r="EF46" i="40"/>
  <c r="DH47" i="40"/>
  <c r="EA47" i="40"/>
  <c r="DF48" i="40"/>
  <c r="DZ48" i="40"/>
  <c r="DH49" i="40"/>
  <c r="EA49" i="40"/>
  <c r="DJ50" i="40"/>
  <c r="EF50" i="40"/>
  <c r="DL51" i="40"/>
  <c r="DL52" i="40"/>
  <c r="DN53" i="40"/>
  <c r="CR57" i="40"/>
  <c r="DS57" i="40"/>
  <c r="CV58" i="40"/>
  <c r="DU58" i="40"/>
  <c r="CX60" i="40"/>
  <c r="DV60" i="40"/>
  <c r="CX61" i="40"/>
  <c r="DV61" i="40"/>
  <c r="DB62" i="40"/>
  <c r="DF63" i="40"/>
  <c r="DZ63" i="40"/>
  <c r="DJ64" i="40"/>
  <c r="DN65" i="40"/>
  <c r="CL66" i="40"/>
  <c r="CP67" i="40"/>
  <c r="DR67" i="40"/>
  <c r="CT68" i="40"/>
  <c r="CZ106" i="40"/>
  <c r="CJ108" i="40"/>
  <c r="CR109" i="40"/>
  <c r="CZ110" i="40"/>
  <c r="CJ112" i="40"/>
  <c r="CR113" i="40"/>
  <c r="CZ114" i="40"/>
  <c r="CJ116" i="40"/>
  <c r="CR117" i="40"/>
  <c r="CZ118" i="40"/>
  <c r="CJ120" i="40"/>
  <c r="CR121" i="40"/>
  <c r="CZ122" i="40"/>
  <c r="AZ62" i="38"/>
  <c r="AY62" i="38"/>
  <c r="BA76" i="38"/>
  <c r="AZ90" i="38"/>
  <c r="AY90" i="38"/>
  <c r="BS91" i="38"/>
  <c r="BO116" i="38"/>
  <c r="BA30" i="38"/>
  <c r="BA64" i="38"/>
  <c r="BW116" i="38"/>
  <c r="DO33" i="40"/>
  <c r="CL37" i="40"/>
  <c r="DN43" i="40"/>
  <c r="DN44" i="40"/>
  <c r="DO45" i="40"/>
  <c r="DN47" i="40"/>
  <c r="CL51" i="40"/>
  <c r="DP51" i="40"/>
  <c r="DP52" i="40"/>
  <c r="CN53" i="40"/>
  <c r="DQ53" i="40"/>
  <c r="CX57" i="40"/>
  <c r="DU67" i="40"/>
  <c r="AZ36" i="38"/>
  <c r="AY36" i="38"/>
  <c r="CI77" i="38"/>
  <c r="AZ61" i="38"/>
  <c r="AY61" i="38"/>
  <c r="AZ78" i="38"/>
  <c r="BA78" i="38" s="1"/>
  <c r="BL90" i="38"/>
  <c r="CB91" i="38"/>
  <c r="CI116" i="38"/>
  <c r="BV121" i="38"/>
  <c r="DN51" i="40"/>
  <c r="DP37" i="40"/>
  <c r="DV41" i="40"/>
  <c r="DO46" i="40"/>
  <c r="DN49" i="40"/>
  <c r="DO50" i="40"/>
  <c r="CL52" i="40"/>
  <c r="DV57" i="40"/>
  <c r="DL63" i="40"/>
  <c r="DO64" i="40"/>
  <c r="CN65" i="40"/>
  <c r="DQ65" i="40"/>
  <c r="CV67" i="40"/>
  <c r="DF106" i="40"/>
  <c r="CP108" i="40"/>
  <c r="CX109" i="40"/>
  <c r="DF110" i="40"/>
  <c r="CP112" i="40"/>
  <c r="CX113" i="40"/>
  <c r="DF114" i="40"/>
  <c r="CP116" i="40"/>
  <c r="CX117" i="40"/>
  <c r="DF118" i="40"/>
  <c r="CP120" i="40"/>
  <c r="CX121" i="40"/>
  <c r="DF122" i="40"/>
  <c r="AI18" i="38"/>
  <c r="AZ25" i="38"/>
  <c r="BA25" i="38" s="1"/>
  <c r="BE12" i="40"/>
  <c r="BK12" i="40" s="1"/>
  <c r="BF17" i="40"/>
  <c r="DH31" i="40"/>
  <c r="AF32" i="40"/>
  <c r="CL33" i="40"/>
  <c r="DP33" i="40"/>
  <c r="DL34" i="40"/>
  <c r="DF35" i="40"/>
  <c r="DZ35" i="40"/>
  <c r="AF36" i="40"/>
  <c r="CV36" i="40"/>
  <c r="CN37" i="40"/>
  <c r="DQ37" i="40"/>
  <c r="DN38" i="40"/>
  <c r="DF39" i="40"/>
  <c r="DZ39" i="40"/>
  <c r="DF40" i="40"/>
  <c r="DZ40" i="40"/>
  <c r="CZ41" i="40"/>
  <c r="DW41" i="40"/>
  <c r="CV42" i="40"/>
  <c r="DU42" i="40"/>
  <c r="DO43" i="40"/>
  <c r="DO44" i="40"/>
  <c r="CL45" i="40"/>
  <c r="DP45" i="40"/>
  <c r="CL46" i="40"/>
  <c r="DP46" i="40"/>
  <c r="DO47" i="40"/>
  <c r="DN48" i="40"/>
  <c r="DO49" i="40"/>
  <c r="CL50" i="40"/>
  <c r="DP50" i="40"/>
  <c r="CN51" i="40"/>
  <c r="DQ51" i="40"/>
  <c r="CN52" i="40"/>
  <c r="DQ52" i="40"/>
  <c r="CP53" i="40"/>
  <c r="DR53" i="40"/>
  <c r="CR54" i="40"/>
  <c r="DS54" i="40"/>
  <c r="CT55" i="40"/>
  <c r="DT55" i="40"/>
  <c r="CV56" i="40"/>
  <c r="DU56" i="40"/>
  <c r="CZ57" i="40"/>
  <c r="DW57" i="40"/>
  <c r="DD58" i="40"/>
  <c r="DY58" i="40"/>
  <c r="DH59" i="40"/>
  <c r="DF60" i="40"/>
  <c r="DZ60" i="40"/>
  <c r="DF61" i="40"/>
  <c r="DZ61" i="40"/>
  <c r="DJ62" i="40"/>
  <c r="DN63" i="40"/>
  <c r="CL64" i="40"/>
  <c r="DP64" i="40"/>
  <c r="CP65" i="40"/>
  <c r="DR65" i="40"/>
  <c r="CT66" i="40"/>
  <c r="DT66" i="40"/>
  <c r="CX67" i="40"/>
  <c r="DV67" i="40"/>
  <c r="DB68" i="40"/>
  <c r="CJ107" i="40"/>
  <c r="CR108" i="40"/>
  <c r="CZ109" i="40"/>
  <c r="CJ111" i="40"/>
  <c r="CR112" i="40"/>
  <c r="CZ113" i="40"/>
  <c r="CJ115" i="40"/>
  <c r="CR116" i="40"/>
  <c r="CZ117" i="40"/>
  <c r="CJ119" i="40"/>
  <c r="CR120" i="40"/>
  <c r="CZ121" i="40"/>
  <c r="X31" i="38"/>
  <c r="X21" i="38"/>
  <c r="BT77" i="38"/>
  <c r="CJ77" i="38"/>
  <c r="BV78" i="38"/>
  <c r="BV79" i="38"/>
  <c r="BT81" i="38"/>
  <c r="CJ81" i="38"/>
  <c r="AZ58" i="38"/>
  <c r="AY58" i="38"/>
  <c r="AZ70" i="38"/>
  <c r="BA70" i="38" s="1"/>
  <c r="BM90" i="38"/>
  <c r="CF91" i="38"/>
  <c r="CC111" i="38"/>
  <c r="BM111" i="38"/>
  <c r="BZ111" i="38"/>
  <c r="BY111" i="38"/>
  <c r="BV111" i="38"/>
  <c r="CK111" i="38"/>
  <c r="BU111" i="38"/>
  <c r="CJ111" i="38"/>
  <c r="BT111" i="38"/>
  <c r="CH111" i="38"/>
  <c r="BR111" i="38"/>
  <c r="CG111" i="38"/>
  <c r="BQ111" i="38"/>
  <c r="CD111" i="38"/>
  <c r="CB111" i="38"/>
  <c r="CA111" i="38"/>
  <c r="BW111" i="38"/>
  <c r="BP111" i="38"/>
  <c r="BO111" i="38"/>
  <c r="CI111" i="38"/>
  <c r="CF111" i="38"/>
  <c r="CF121" i="38"/>
  <c r="CC123" i="38"/>
  <c r="BM123" i="38"/>
  <c r="CB123" i="38"/>
  <c r="BL123" i="38"/>
  <c r="BZ123" i="38"/>
  <c r="BY123" i="38"/>
  <c r="BV123" i="38"/>
  <c r="CK123" i="38"/>
  <c r="BU123" i="38"/>
  <c r="CJ123" i="38"/>
  <c r="BT123" i="38"/>
  <c r="CH123" i="38"/>
  <c r="BR123" i="38"/>
  <c r="CG123" i="38"/>
  <c r="BQ123" i="38"/>
  <c r="BP123" i="38"/>
  <c r="BO123" i="38"/>
  <c r="BN123" i="38"/>
  <c r="CD123" i="38"/>
  <c r="CA123" i="38"/>
  <c r="BX123" i="38"/>
  <c r="BW123" i="38"/>
  <c r="AZ181" i="38"/>
  <c r="AY181" i="38"/>
  <c r="DN37" i="40"/>
  <c r="DN52" i="40"/>
  <c r="DO53" i="40"/>
  <c r="DO51" i="40"/>
  <c r="CL65" i="40"/>
  <c r="AZ131" i="38"/>
  <c r="AY131" i="38"/>
  <c r="BA131" i="38" s="1"/>
  <c r="CK91" i="38"/>
  <c r="BL111" i="38"/>
  <c r="BS123" i="38"/>
  <c r="AY137" i="38"/>
  <c r="BA137" i="38" s="1"/>
  <c r="AY168" i="38"/>
  <c r="AZ168" i="38"/>
  <c r="DP53" i="40"/>
  <c r="CI90" i="38"/>
  <c r="CH90" i="38"/>
  <c r="CD90" i="38"/>
  <c r="CA90" i="38"/>
  <c r="BZ90" i="38"/>
  <c r="BU90" i="38"/>
  <c r="BT90" i="38"/>
  <c r="BS90" i="38"/>
  <c r="BQ90" i="38"/>
  <c r="CJ90" i="38"/>
  <c r="BO90" i="38"/>
  <c r="CG90" i="38"/>
  <c r="BN90" i="38"/>
  <c r="CB90" i="38"/>
  <c r="BY90" i="38"/>
  <c r="BX90" i="38"/>
  <c r="BW90" i="38"/>
  <c r="DN34" i="40"/>
  <c r="DR37" i="40"/>
  <c r="DB41" i="40"/>
  <c r="CL43" i="40"/>
  <c r="CN45" i="40"/>
  <c r="DQ46" i="40"/>
  <c r="DP47" i="40"/>
  <c r="CL49" i="40"/>
  <c r="DQ50" i="40"/>
  <c r="CP52" i="40"/>
  <c r="DO63" i="40"/>
  <c r="DQ64" i="40"/>
  <c r="DS65" i="40"/>
  <c r="CZ67" i="40"/>
  <c r="DW67" i="40"/>
  <c r="CL107" i="40"/>
  <c r="CL111" i="40"/>
  <c r="CL115" i="40"/>
  <c r="CL119" i="40"/>
  <c r="CT120" i="40"/>
  <c r="AZ35" i="38"/>
  <c r="AY35" i="38"/>
  <c r="CU5" i="40"/>
  <c r="BE11" i="40"/>
  <c r="BK11" i="40" s="1"/>
  <c r="BG12" i="40"/>
  <c r="BF13" i="40"/>
  <c r="BV16" i="40"/>
  <c r="BV23" i="40"/>
  <c r="DL31" i="40"/>
  <c r="CP33" i="40"/>
  <c r="DR33" i="40"/>
  <c r="DO34" i="40"/>
  <c r="DJ35" i="40"/>
  <c r="CZ36" i="40"/>
  <c r="DW36" i="40"/>
  <c r="CR37" i="40"/>
  <c r="DS37" i="40"/>
  <c r="CL38" i="40"/>
  <c r="DP38" i="40"/>
  <c r="DJ39" i="40"/>
  <c r="DJ40" i="40"/>
  <c r="E41" i="40"/>
  <c r="DD41" i="40"/>
  <c r="DY41" i="40"/>
  <c r="CZ42" i="40"/>
  <c r="DW42" i="40"/>
  <c r="CN43" i="40"/>
  <c r="DQ43" i="40"/>
  <c r="CN44" i="40"/>
  <c r="DQ44" i="40"/>
  <c r="CP45" i="40"/>
  <c r="DR45" i="40"/>
  <c r="CP46" i="40"/>
  <c r="DR46" i="40"/>
  <c r="CN47" i="40"/>
  <c r="DQ47" i="40"/>
  <c r="CL48" i="40"/>
  <c r="DP48" i="40"/>
  <c r="CN49" i="40"/>
  <c r="DQ49" i="40"/>
  <c r="CP50" i="40"/>
  <c r="DR50" i="40"/>
  <c r="CR51" i="40"/>
  <c r="DS51" i="40"/>
  <c r="CR52" i="40"/>
  <c r="DS52" i="40"/>
  <c r="CT53" i="40"/>
  <c r="DT53" i="40"/>
  <c r="CV54" i="40"/>
  <c r="DU54" i="40"/>
  <c r="CX55" i="40"/>
  <c r="DV55" i="40"/>
  <c r="CZ56" i="40"/>
  <c r="DW56" i="40"/>
  <c r="DD57" i="40"/>
  <c r="DY57" i="40"/>
  <c r="DH58" i="40"/>
  <c r="EA58" i="40"/>
  <c r="DL59" i="40"/>
  <c r="DJ60" i="40"/>
  <c r="DJ61" i="40"/>
  <c r="DN62" i="40"/>
  <c r="CL63" i="40"/>
  <c r="DP63" i="40"/>
  <c r="CP64" i="40"/>
  <c r="DR64" i="40"/>
  <c r="CT65" i="40"/>
  <c r="DT65" i="40"/>
  <c r="CX66" i="40"/>
  <c r="DV66" i="40"/>
  <c r="DB67" i="40"/>
  <c r="DX67" i="40"/>
  <c r="DF68" i="40"/>
  <c r="CN107" i="40"/>
  <c r="CV108" i="40"/>
  <c r="DD109" i="40"/>
  <c r="CN111" i="40"/>
  <c r="CV112" i="40"/>
  <c r="DD113" i="40"/>
  <c r="CN115" i="40"/>
  <c r="CV116" i="40"/>
  <c r="DD117" i="40"/>
  <c r="CN119" i="40"/>
  <c r="CV120" i="40"/>
  <c r="DD121" i="40"/>
  <c r="AL18" i="38"/>
  <c r="AY21" i="38"/>
  <c r="BA21" i="38" s="1"/>
  <c r="AZ23" i="38"/>
  <c r="AY23" i="38"/>
  <c r="AZ28" i="38"/>
  <c r="BA28" i="38" s="1"/>
  <c r="Y31" i="38"/>
  <c r="AY38" i="38"/>
  <c r="BA38" i="38" s="1"/>
  <c r="BR90" i="38"/>
  <c r="BN111" i="38"/>
  <c r="AZ122" i="38"/>
  <c r="AY122" i="38"/>
  <c r="CE123" i="38"/>
  <c r="AZ126" i="38"/>
  <c r="BA126" i="38" s="1"/>
  <c r="AZ162" i="38"/>
  <c r="AY162" i="38"/>
  <c r="BA162" i="38" s="1"/>
  <c r="AZ169" i="38"/>
  <c r="AY169" i="38"/>
  <c r="BA169" i="38" s="1"/>
  <c r="AZ189" i="38"/>
  <c r="AY189" i="38"/>
  <c r="DO65" i="40"/>
  <c r="CN33" i="40"/>
  <c r="DP43" i="40"/>
  <c r="DP44" i="40"/>
  <c r="CN46" i="40"/>
  <c r="CL47" i="40"/>
  <c r="DO48" i="40"/>
  <c r="CN50" i="40"/>
  <c r="DR51" i="40"/>
  <c r="CR53" i="40"/>
  <c r="DB57" i="40"/>
  <c r="CN64" i="40"/>
  <c r="CR65" i="40"/>
  <c r="CT108" i="40"/>
  <c r="CT112" i="40"/>
  <c r="CT116" i="40"/>
  <c r="DB121" i="40"/>
  <c r="BG13" i="40"/>
  <c r="AF17" i="40"/>
  <c r="BE18" i="40"/>
  <c r="BK18" i="40" s="1"/>
  <c r="BV19" i="40"/>
  <c r="AF29" i="40"/>
  <c r="CR33" i="40"/>
  <c r="DS33" i="40"/>
  <c r="CL34" i="40"/>
  <c r="DP34" i="40"/>
  <c r="DL35" i="40"/>
  <c r="DB36" i="40"/>
  <c r="DX36" i="40"/>
  <c r="CT37" i="40"/>
  <c r="DT37" i="40"/>
  <c r="CN38" i="40"/>
  <c r="DQ38" i="40"/>
  <c r="DL39" i="40"/>
  <c r="DL40" i="40"/>
  <c r="G41" i="40"/>
  <c r="DF41" i="40"/>
  <c r="DZ41" i="40"/>
  <c r="DB42" i="40"/>
  <c r="DX42" i="40"/>
  <c r="CP43" i="40"/>
  <c r="DR43" i="40"/>
  <c r="CP44" i="40"/>
  <c r="DR44" i="40"/>
  <c r="CR45" i="40"/>
  <c r="DS45" i="40"/>
  <c r="CR46" i="40"/>
  <c r="DS46" i="40"/>
  <c r="CP47" i="40"/>
  <c r="DR47" i="40"/>
  <c r="CN48" i="40"/>
  <c r="DQ48" i="40"/>
  <c r="CP49" i="40"/>
  <c r="DR49" i="40"/>
  <c r="CR50" i="40"/>
  <c r="DS50" i="40"/>
  <c r="CT51" i="40"/>
  <c r="DT51" i="40"/>
  <c r="CT52" i="40"/>
  <c r="DT52" i="40"/>
  <c r="CV53" i="40"/>
  <c r="DU53" i="40"/>
  <c r="CX54" i="40"/>
  <c r="DV54" i="40"/>
  <c r="CZ55" i="40"/>
  <c r="DW55" i="40"/>
  <c r="DB56" i="40"/>
  <c r="DX56" i="40"/>
  <c r="DF57" i="40"/>
  <c r="DZ57" i="40"/>
  <c r="DJ58" i="40"/>
  <c r="DN59" i="40"/>
  <c r="DL60" i="40"/>
  <c r="DL61" i="40"/>
  <c r="DO62" i="40"/>
  <c r="CN63" i="40"/>
  <c r="DQ63" i="40"/>
  <c r="CR64" i="40"/>
  <c r="DS64" i="40"/>
  <c r="CV65" i="40"/>
  <c r="DU65" i="40"/>
  <c r="CZ66" i="40"/>
  <c r="DW66" i="40"/>
  <c r="DD67" i="40"/>
  <c r="DY67" i="40"/>
  <c r="DH68" i="40"/>
  <c r="CP107" i="40"/>
  <c r="CX108" i="40"/>
  <c r="DF109" i="40"/>
  <c r="CP111" i="40"/>
  <c r="CX112" i="40"/>
  <c r="DF113" i="40"/>
  <c r="CP115" i="40"/>
  <c r="CX116" i="40"/>
  <c r="DF117" i="40"/>
  <c r="CP119" i="40"/>
  <c r="CX120" i="40"/>
  <c r="DF121" i="40"/>
  <c r="AO9" i="38"/>
  <c r="AO10" i="38"/>
  <c r="AY41" i="38"/>
  <c r="BA41" i="38" s="1"/>
  <c r="AZ42" i="38"/>
  <c r="BA42" i="38" s="1"/>
  <c r="BW80" i="38"/>
  <c r="BW81" i="38"/>
  <c r="CL81" i="38" s="1"/>
  <c r="AZ57" i="38"/>
  <c r="AY57" i="38"/>
  <c r="BA57" i="38" s="1"/>
  <c r="BV90" i="38"/>
  <c r="BS111" i="38"/>
  <c r="CF123" i="38"/>
  <c r="AZ138" i="38"/>
  <c r="AY138" i="38"/>
  <c r="DN33" i="40"/>
  <c r="BV20" i="40"/>
  <c r="DJ31" i="40"/>
  <c r="DQ33" i="40"/>
  <c r="DQ45" i="40"/>
  <c r="DP49" i="40"/>
  <c r="CP51" i="40"/>
  <c r="DR52" i="40"/>
  <c r="DS53" i="40"/>
  <c r="DX57" i="40"/>
  <c r="DB109" i="40"/>
  <c r="DB113" i="40"/>
  <c r="DB117" i="40"/>
  <c r="BA37" i="38"/>
  <c r="BZ16" i="40"/>
  <c r="BV17" i="40"/>
  <c r="BV25" i="40"/>
  <c r="CT33" i="40"/>
  <c r="DT33" i="40"/>
  <c r="CN34" i="40"/>
  <c r="DQ34" i="40"/>
  <c r="DN35" i="40"/>
  <c r="DD36" i="40"/>
  <c r="DY36" i="40"/>
  <c r="CV37" i="40"/>
  <c r="DU37" i="40"/>
  <c r="CP38" i="40"/>
  <c r="DR38" i="40"/>
  <c r="DN39" i="40"/>
  <c r="DN40" i="40"/>
  <c r="DH41" i="40"/>
  <c r="EA41" i="40"/>
  <c r="DD42" i="40"/>
  <c r="CR43" i="40"/>
  <c r="DS43" i="40"/>
  <c r="CR44" i="40"/>
  <c r="DS44" i="40"/>
  <c r="CT45" i="40"/>
  <c r="DT45" i="40"/>
  <c r="CT46" i="40"/>
  <c r="DT46" i="40"/>
  <c r="CR47" i="40"/>
  <c r="DS47" i="40"/>
  <c r="CP48" i="40"/>
  <c r="DR48" i="40"/>
  <c r="CR49" i="40"/>
  <c r="DS49" i="40"/>
  <c r="CT50" i="40"/>
  <c r="DT50" i="40"/>
  <c r="CV51" i="40"/>
  <c r="DU51" i="40"/>
  <c r="CV52" i="40"/>
  <c r="DU52" i="40"/>
  <c r="CX53" i="40"/>
  <c r="DV53" i="40"/>
  <c r="CZ54" i="40"/>
  <c r="DW54" i="40"/>
  <c r="DB55" i="40"/>
  <c r="DX55" i="40"/>
  <c r="DD56" i="40"/>
  <c r="DH57" i="40"/>
  <c r="EA57" i="40"/>
  <c r="DL58" i="40"/>
  <c r="DO59" i="40"/>
  <c r="DN60" i="40"/>
  <c r="DN61" i="40"/>
  <c r="DP62" i="40"/>
  <c r="CP63" i="40"/>
  <c r="DR63" i="40"/>
  <c r="CT64" i="40"/>
  <c r="DT64" i="40"/>
  <c r="CX65" i="40"/>
  <c r="DV65" i="40"/>
  <c r="DB66" i="40"/>
  <c r="DX66" i="40"/>
  <c r="DF67" i="40"/>
  <c r="DZ67" i="40"/>
  <c r="DJ68" i="40"/>
  <c r="CJ106" i="40"/>
  <c r="CR107" i="40"/>
  <c r="CZ108" i="40"/>
  <c r="CJ110" i="40"/>
  <c r="CR111" i="40"/>
  <c r="CZ112" i="40"/>
  <c r="CJ114" i="40"/>
  <c r="CR115" i="40"/>
  <c r="CZ116" i="40"/>
  <c r="CJ118" i="40"/>
  <c r="CR119" i="40"/>
  <c r="CZ120" i="40"/>
  <c r="CJ122" i="40"/>
  <c r="U26" i="38"/>
  <c r="BA18" i="38"/>
  <c r="AZ45" i="38"/>
  <c r="BA45" i="38" s="1"/>
  <c r="BX81" i="38"/>
  <c r="AZ54" i="38"/>
  <c r="AY54" i="38"/>
  <c r="CC90" i="38"/>
  <c r="BX111" i="38"/>
  <c r="CG118" i="38"/>
  <c r="BQ118" i="38"/>
  <c r="CF118" i="38"/>
  <c r="BP118" i="38"/>
  <c r="CD118" i="38"/>
  <c r="BN118" i="38"/>
  <c r="CC118" i="38"/>
  <c r="BM118" i="38"/>
  <c r="BZ118" i="38"/>
  <c r="BY118" i="38"/>
  <c r="BX118" i="38"/>
  <c r="BV118" i="38"/>
  <c r="CK118" i="38"/>
  <c r="BU118" i="38"/>
  <c r="CB118" i="38"/>
  <c r="CA118" i="38"/>
  <c r="BW118" i="38"/>
  <c r="BS118" i="38"/>
  <c r="BO118" i="38"/>
  <c r="BL118" i="38"/>
  <c r="CJ118" i="38"/>
  <c r="CI118" i="38"/>
  <c r="CH118" i="38"/>
  <c r="CI123" i="38"/>
  <c r="AZ26" i="38"/>
  <c r="AY26" i="38"/>
  <c r="BZ70" i="38"/>
  <c r="CL70" i="38" s="1"/>
  <c r="CE90" i="38"/>
  <c r="CE111" i="38"/>
  <c r="BR118" i="38"/>
  <c r="AZ202" i="38"/>
  <c r="AY202" i="38"/>
  <c r="DN50" i="40"/>
  <c r="CL53" i="40"/>
  <c r="CL76" i="38"/>
  <c r="M14" i="40"/>
  <c r="BV15" i="40"/>
  <c r="M19" i="40"/>
  <c r="M25" i="40"/>
  <c r="DF31" i="40"/>
  <c r="CP37" i="40"/>
  <c r="CL44" i="40"/>
  <c r="BV12" i="40"/>
  <c r="BE14" i="40"/>
  <c r="BK14" i="40" s="1"/>
  <c r="CV33" i="40"/>
  <c r="DR34" i="40"/>
  <c r="DV37" i="40"/>
  <c r="CR38" i="40"/>
  <c r="DT43" i="40"/>
  <c r="DT44" i="40"/>
  <c r="DU45" i="40"/>
  <c r="DU46" i="40"/>
  <c r="DT47" i="40"/>
  <c r="DS48" i="40"/>
  <c r="DT49" i="40"/>
  <c r="DU50" i="40"/>
  <c r="CX51" i="40"/>
  <c r="CX52" i="40"/>
  <c r="DV52" i="40"/>
  <c r="CZ53" i="40"/>
  <c r="CR63" i="40"/>
  <c r="CV64" i="40"/>
  <c r="DU64" i="40"/>
  <c r="CZ65" i="40"/>
  <c r="DW65" i="40"/>
  <c r="DH67" i="40"/>
  <c r="EA67" i="40"/>
  <c r="CL106" i="40"/>
  <c r="DB108" i="40"/>
  <c r="CT111" i="40"/>
  <c r="CL114" i="40"/>
  <c r="DB116" i="40"/>
  <c r="CL118" i="40"/>
  <c r="DB120" i="40"/>
  <c r="CL122" i="40"/>
  <c r="BF14" i="40"/>
  <c r="BZ17" i="40"/>
  <c r="CN31" i="40"/>
  <c r="CX33" i="40"/>
  <c r="DV33" i="40"/>
  <c r="CR34" i="40"/>
  <c r="DS34" i="40"/>
  <c r="CL35" i="40"/>
  <c r="DP35" i="40"/>
  <c r="DH36" i="40"/>
  <c r="EA36" i="40"/>
  <c r="CZ37" i="40"/>
  <c r="DW37" i="40"/>
  <c r="CT38" i="40"/>
  <c r="DT38" i="40"/>
  <c r="CL39" i="40"/>
  <c r="DP39" i="40"/>
  <c r="CL40" i="40"/>
  <c r="DP40" i="40"/>
  <c r="DL41" i="40"/>
  <c r="DH42" i="40"/>
  <c r="EA42" i="40"/>
  <c r="CV43" i="40"/>
  <c r="DU43" i="40"/>
  <c r="CV44" i="40"/>
  <c r="DU44" i="40"/>
  <c r="CX45" i="40"/>
  <c r="DV45" i="40"/>
  <c r="CX46" i="40"/>
  <c r="DV46" i="40"/>
  <c r="CV47" i="40"/>
  <c r="DU47" i="40"/>
  <c r="CT48" i="40"/>
  <c r="DT48" i="40"/>
  <c r="CV49" i="40"/>
  <c r="DU49" i="40"/>
  <c r="CX50" i="40"/>
  <c r="DV50" i="40"/>
  <c r="CZ51" i="40"/>
  <c r="DW51" i="40"/>
  <c r="CZ52" i="40"/>
  <c r="DW52" i="40"/>
  <c r="DB53" i="40"/>
  <c r="DX53" i="40"/>
  <c r="DD54" i="40"/>
  <c r="DY54" i="40"/>
  <c r="DF55" i="40"/>
  <c r="DZ55" i="40"/>
  <c r="DH56" i="40"/>
  <c r="EA56" i="40"/>
  <c r="DL57" i="40"/>
  <c r="DO58" i="40"/>
  <c r="CN59" i="40"/>
  <c r="DQ59" i="40"/>
  <c r="CL60" i="40"/>
  <c r="DP60" i="40"/>
  <c r="CL61" i="40"/>
  <c r="DP61" i="40"/>
  <c r="CP62" i="40"/>
  <c r="DR62" i="40"/>
  <c r="CT63" i="40"/>
  <c r="DT63" i="40"/>
  <c r="CX64" i="40"/>
  <c r="DV64" i="40"/>
  <c r="DB65" i="40"/>
  <c r="DX65" i="40"/>
  <c r="DF66" i="40"/>
  <c r="DZ66" i="40"/>
  <c r="DJ67" i="40"/>
  <c r="DN68" i="40"/>
  <c r="CN106" i="40"/>
  <c r="CV107" i="40"/>
  <c r="DD108" i="40"/>
  <c r="CN110" i="40"/>
  <c r="CV111" i="40"/>
  <c r="DD112" i="40"/>
  <c r="CN114" i="40"/>
  <c r="CV115" i="40"/>
  <c r="DD116" i="40"/>
  <c r="CN118" i="40"/>
  <c r="CV119" i="40"/>
  <c r="DD120" i="40"/>
  <c r="CN122" i="40"/>
  <c r="AO8" i="38"/>
  <c r="BM71" i="38"/>
  <c r="CC71" i="38"/>
  <c r="CL78" i="38"/>
  <c r="BZ81" i="38"/>
  <c r="CF90" i="38"/>
  <c r="BT118" i="38"/>
  <c r="BY120" i="38"/>
  <c r="BX120" i="38"/>
  <c r="BV120" i="38"/>
  <c r="CK120" i="38"/>
  <c r="BU120" i="38"/>
  <c r="CH120" i="38"/>
  <c r="BR120" i="38"/>
  <c r="CG120" i="38"/>
  <c r="BQ120" i="38"/>
  <c r="CF120" i="38"/>
  <c r="BP120" i="38"/>
  <c r="CD120" i="38"/>
  <c r="BN120" i="38"/>
  <c r="CC120" i="38"/>
  <c r="BM120" i="38"/>
  <c r="BW120" i="38"/>
  <c r="BT120" i="38"/>
  <c r="BS120" i="38"/>
  <c r="BL120" i="38"/>
  <c r="CI120" i="38"/>
  <c r="CE120" i="38"/>
  <c r="CB120" i="38"/>
  <c r="CA120" i="38"/>
  <c r="AZ154" i="38"/>
  <c r="AY154" i="38"/>
  <c r="BA164" i="38"/>
  <c r="DO37" i="40"/>
  <c r="DO52" i="40"/>
  <c r="BA19" i="38"/>
  <c r="CK121" i="38"/>
  <c r="BU121" i="38"/>
  <c r="CJ121" i="38"/>
  <c r="BT121" i="38"/>
  <c r="CH121" i="38"/>
  <c r="BR121" i="38"/>
  <c r="CG121" i="38"/>
  <c r="BQ121" i="38"/>
  <c r="CD121" i="38"/>
  <c r="BN121" i="38"/>
  <c r="CC121" i="38"/>
  <c r="BM121" i="38"/>
  <c r="CB121" i="38"/>
  <c r="BL121" i="38"/>
  <c r="BZ121" i="38"/>
  <c r="BY121" i="38"/>
  <c r="BS121" i="38"/>
  <c r="BP121" i="38"/>
  <c r="BO121" i="38"/>
  <c r="CE121" i="38"/>
  <c r="CA121" i="38"/>
  <c r="BX121" i="38"/>
  <c r="BW121" i="38"/>
  <c r="BF12" i="40"/>
  <c r="DO38" i="40"/>
  <c r="DX41" i="40"/>
  <c r="CL31" i="40"/>
  <c r="DU33" i="40"/>
  <c r="CP34" i="40"/>
  <c r="CX37" i="40"/>
  <c r="DJ41" i="40"/>
  <c r="CT43" i="40"/>
  <c r="CT44" i="40"/>
  <c r="CV45" i="40"/>
  <c r="CV46" i="40"/>
  <c r="CT47" i="40"/>
  <c r="CT49" i="40"/>
  <c r="CV50" i="40"/>
  <c r="DV51" i="40"/>
  <c r="DN58" i="40"/>
  <c r="CT107" i="40"/>
  <c r="CL110" i="40"/>
  <c r="DB112" i="40"/>
  <c r="CT115" i="40"/>
  <c r="CT119" i="40"/>
  <c r="BV22" i="40"/>
  <c r="CP31" i="40"/>
  <c r="CZ33" i="40"/>
  <c r="DW33" i="40"/>
  <c r="CT34" i="40"/>
  <c r="DT34" i="40"/>
  <c r="CN35" i="40"/>
  <c r="DQ35" i="40"/>
  <c r="DJ36" i="40"/>
  <c r="DB37" i="40"/>
  <c r="DX37" i="40"/>
  <c r="CV38" i="40"/>
  <c r="DU38" i="40"/>
  <c r="CN39" i="40"/>
  <c r="DQ39" i="40"/>
  <c r="CN40" i="40"/>
  <c r="DQ40" i="40"/>
  <c r="DJ42" i="40"/>
  <c r="CX43" i="40"/>
  <c r="DV43" i="40"/>
  <c r="CX44" i="40"/>
  <c r="DV44" i="40"/>
  <c r="CZ45" i="40"/>
  <c r="DW45" i="40"/>
  <c r="CZ46" i="40"/>
  <c r="DW46" i="40"/>
  <c r="CX47" i="40"/>
  <c r="DV47" i="40"/>
  <c r="CV48" i="40"/>
  <c r="DU48" i="40"/>
  <c r="CX49" i="40"/>
  <c r="DV49" i="40"/>
  <c r="CZ50" i="40"/>
  <c r="DW50" i="40"/>
  <c r="DB51" i="40"/>
  <c r="DX51" i="40"/>
  <c r="DB52" i="40"/>
  <c r="DX52" i="40"/>
  <c r="DD53" i="40"/>
  <c r="DY53" i="40"/>
  <c r="DF54" i="40"/>
  <c r="DZ54" i="40"/>
  <c r="DH55" i="40"/>
  <c r="EA55" i="40"/>
  <c r="DJ56" i="40"/>
  <c r="DN57" i="40"/>
  <c r="CL58" i="40"/>
  <c r="DP58" i="40"/>
  <c r="CP59" i="40"/>
  <c r="DR59" i="40"/>
  <c r="CN60" i="40"/>
  <c r="DQ60" i="40"/>
  <c r="CN61" i="40"/>
  <c r="DQ61" i="40"/>
  <c r="CR62" i="40"/>
  <c r="DS62" i="40"/>
  <c r="CV63" i="40"/>
  <c r="DU63" i="40"/>
  <c r="CZ64" i="40"/>
  <c r="DW64" i="40"/>
  <c r="DD65" i="40"/>
  <c r="DY65" i="40"/>
  <c r="DH66" i="40"/>
  <c r="EA66" i="40"/>
  <c r="DL67" i="40"/>
  <c r="CP106" i="40"/>
  <c r="CX107" i="40"/>
  <c r="DF108" i="40"/>
  <c r="CP110" i="40"/>
  <c r="CX111" i="40"/>
  <c r="DF112" i="40"/>
  <c r="CP114" i="40"/>
  <c r="CX115" i="40"/>
  <c r="DF116" i="40"/>
  <c r="CP118" i="40"/>
  <c r="CX119" i="40"/>
  <c r="DF120" i="40"/>
  <c r="CP122" i="40"/>
  <c r="BN72" i="38"/>
  <c r="CL72" i="38" s="1"/>
  <c r="CD72" i="38"/>
  <c r="CL73" i="38"/>
  <c r="BM79" i="38"/>
  <c r="CL79" i="38" s="1"/>
  <c r="CC79" i="38"/>
  <c r="CA83" i="38"/>
  <c r="BY84" i="38"/>
  <c r="CL84" i="38" s="1"/>
  <c r="BZ85" i="38"/>
  <c r="CL85" i="38" s="1"/>
  <c r="AZ53" i="38"/>
  <c r="AY53" i="38"/>
  <c r="AY73" i="38"/>
  <c r="BA73" i="38" s="1"/>
  <c r="AY83" i="38"/>
  <c r="BA83" i="38" s="1"/>
  <c r="AZ86" i="38"/>
  <c r="AY86" i="38"/>
  <c r="CK90" i="38"/>
  <c r="CK113" i="38"/>
  <c r="BU113" i="38"/>
  <c r="CH113" i="38"/>
  <c r="BR113" i="38"/>
  <c r="CG113" i="38"/>
  <c r="BQ113" i="38"/>
  <c r="CD113" i="38"/>
  <c r="BN113" i="38"/>
  <c r="CC113" i="38"/>
  <c r="BM113" i="38"/>
  <c r="CB113" i="38"/>
  <c r="BL113" i="38"/>
  <c r="BZ113" i="38"/>
  <c r="BY113" i="38"/>
  <c r="BS113" i="38"/>
  <c r="BP113" i="38"/>
  <c r="BO113" i="38"/>
  <c r="CJ113" i="38"/>
  <c r="CA113" i="38"/>
  <c r="BX113" i="38"/>
  <c r="BW113" i="38"/>
  <c r="BV113" i="38"/>
  <c r="CE118" i="38"/>
  <c r="BO120" i="38"/>
  <c r="AY16" i="38"/>
  <c r="BA16" i="38" s="1"/>
  <c r="AZ29" i="38"/>
  <c r="AY29" i="38"/>
  <c r="BN69" i="38"/>
  <c r="CD69" i="38"/>
  <c r="BL80" i="38"/>
  <c r="CB80" i="38"/>
  <c r="BL83" i="38"/>
  <c r="CB83" i="38"/>
  <c r="AZ66" i="38"/>
  <c r="AY66" i="38"/>
  <c r="BA85" i="38"/>
  <c r="BT113" i="38"/>
  <c r="BZ120" i="38"/>
  <c r="AZ165" i="38"/>
  <c r="AY165" i="38"/>
  <c r="BA165" i="38" s="1"/>
  <c r="DN45" i="40"/>
  <c r="DY51" i="40"/>
  <c r="DX64" i="40"/>
  <c r="DN67" i="40"/>
  <c r="CR122" i="40"/>
  <c r="DD33" i="40"/>
  <c r="CX34" i="40"/>
  <c r="CR35" i="40"/>
  <c r="DF37" i="40"/>
  <c r="CZ38" i="40"/>
  <c r="CR39" i="40"/>
  <c r="CR40" i="40"/>
  <c r="CL41" i="40"/>
  <c r="DB43" i="40"/>
  <c r="DB44" i="40"/>
  <c r="DD45" i="40"/>
  <c r="DD46" i="40"/>
  <c r="DB47" i="40"/>
  <c r="CZ48" i="40"/>
  <c r="DB49" i="40"/>
  <c r="DD50" i="40"/>
  <c r="DF51" i="40"/>
  <c r="DF52" i="40"/>
  <c r="DH53" i="40"/>
  <c r="CL57" i="40"/>
  <c r="CP58" i="40"/>
  <c r="CT59" i="40"/>
  <c r="CR60" i="40"/>
  <c r="CR61" i="40"/>
  <c r="CV62" i="40"/>
  <c r="CZ63" i="40"/>
  <c r="DD64" i="40"/>
  <c r="DH65" i="40"/>
  <c r="CT106" i="40"/>
  <c r="DB107" i="40"/>
  <c r="CL109" i="40"/>
  <c r="CT110" i="40"/>
  <c r="DB111" i="40"/>
  <c r="CL113" i="40"/>
  <c r="CT114" i="40"/>
  <c r="DB115" i="40"/>
  <c r="CL117" i="40"/>
  <c r="CT118" i="40"/>
  <c r="DB119" i="40"/>
  <c r="CL121" i="40"/>
  <c r="AY24" i="38"/>
  <c r="BA24" i="38" s="1"/>
  <c r="BP71" i="38"/>
  <c r="CF71" i="38"/>
  <c r="BP75" i="38"/>
  <c r="CL75" i="38" s="1"/>
  <c r="CF75" i="38"/>
  <c r="CA84" i="38"/>
  <c r="BA52" i="38"/>
  <c r="BA68" i="38"/>
  <c r="BA75" i="38"/>
  <c r="BA89" i="38"/>
  <c r="BZ93" i="38"/>
  <c r="BW93" i="38"/>
  <c r="BV93" i="38"/>
  <c r="CH93" i="38"/>
  <c r="BR93" i="38"/>
  <c r="CG93" i="38"/>
  <c r="BQ93" i="38"/>
  <c r="CE93" i="38"/>
  <c r="BO93" i="38"/>
  <c r="CD93" i="38"/>
  <c r="BN93" i="38"/>
  <c r="BP93" i="38"/>
  <c r="BM93" i="38"/>
  <c r="BL93" i="38"/>
  <c r="CK93" i="38"/>
  <c r="CI93" i="38"/>
  <c r="CF93" i="38"/>
  <c r="BY93" i="38"/>
  <c r="BX93" i="38"/>
  <c r="BU93" i="38"/>
  <c r="BT93" i="38"/>
  <c r="BT105" i="38" s="1"/>
  <c r="CE113" i="38"/>
  <c r="CJ120" i="38"/>
  <c r="AZ185" i="38"/>
  <c r="AY185" i="38"/>
  <c r="CA89" i="38"/>
  <c r="BA92" i="38"/>
  <c r="CC115" i="38"/>
  <c r="BM115" i="38"/>
  <c r="BZ115" i="38"/>
  <c r="BY115" i="38"/>
  <c r="BV115" i="38"/>
  <c r="CK115" i="38"/>
  <c r="BU115" i="38"/>
  <c r="CJ115" i="38"/>
  <c r="BT115" i="38"/>
  <c r="CH115" i="38"/>
  <c r="BR115" i="38"/>
  <c r="CG115" i="38"/>
  <c r="BQ115" i="38"/>
  <c r="BA163" i="38"/>
  <c r="AZ205" i="38"/>
  <c r="AY205" i="38"/>
  <c r="CG110" i="38"/>
  <c r="BQ110" i="38"/>
  <c r="CD110" i="38"/>
  <c r="BN110" i="38"/>
  <c r="CC110" i="38"/>
  <c r="BM110" i="38"/>
  <c r="BZ110" i="38"/>
  <c r="BY110" i="38"/>
  <c r="BX110" i="38"/>
  <c r="BV110" i="38"/>
  <c r="CK110" i="38"/>
  <c r="BU110" i="38"/>
  <c r="BA136" i="38"/>
  <c r="AY201" i="38"/>
  <c r="BA201" i="38" s="1"/>
  <c r="BU87" i="38"/>
  <c r="CK87" i="38"/>
  <c r="BM89" i="38"/>
  <c r="CC89" i="38"/>
  <c r="BZ97" i="38"/>
  <c r="BW97" i="38"/>
  <c r="BV97" i="38"/>
  <c r="CI97" i="38"/>
  <c r="BS97" i="38"/>
  <c r="CH97" i="38"/>
  <c r="BR97" i="38"/>
  <c r="CG97" i="38"/>
  <c r="BQ97" i="38"/>
  <c r="CE97" i="38"/>
  <c r="BO97" i="38"/>
  <c r="CD97" i="38"/>
  <c r="BN97" i="38"/>
  <c r="AY108" i="38"/>
  <c r="BA108" i="38" s="1"/>
  <c r="BL110" i="38"/>
  <c r="BN115" i="38"/>
  <c r="AZ157" i="38"/>
  <c r="AY157" i="38"/>
  <c r="BO110" i="38"/>
  <c r="BA112" i="38"/>
  <c r="BA118" i="38"/>
  <c r="AZ133" i="38"/>
  <c r="AY133" i="38"/>
  <c r="BA133" i="38" s="1"/>
  <c r="BA160" i="38"/>
  <c r="BA179" i="38"/>
  <c r="BA187" i="38"/>
  <c r="AZ194" i="38"/>
  <c r="AY194" i="38"/>
  <c r="BA194" i="38" s="1"/>
  <c r="BZ87" i="38"/>
  <c r="BV88" i="38"/>
  <c r="BR89" i="38"/>
  <c r="CH89" i="38"/>
  <c r="BU97" i="38"/>
  <c r="BZ101" i="38"/>
  <c r="BW101" i="38"/>
  <c r="BV101" i="38"/>
  <c r="CI101" i="38"/>
  <c r="BS101" i="38"/>
  <c r="CH101" i="38"/>
  <c r="BR101" i="38"/>
  <c r="CG101" i="38"/>
  <c r="BQ101" i="38"/>
  <c r="CE101" i="38"/>
  <c r="BO101" i="38"/>
  <c r="CD101" i="38"/>
  <c r="BN101" i="38"/>
  <c r="BT110" i="38"/>
  <c r="BX115" i="38"/>
  <c r="CK117" i="38"/>
  <c r="BU117" i="38"/>
  <c r="CJ117" i="38"/>
  <c r="BT117" i="38"/>
  <c r="CH117" i="38"/>
  <c r="BR117" i="38"/>
  <c r="CG117" i="38"/>
  <c r="BQ117" i="38"/>
  <c r="CD117" i="38"/>
  <c r="BN117" i="38"/>
  <c r="CC117" i="38"/>
  <c r="BM117" i="38"/>
  <c r="CB117" i="38"/>
  <c r="BL117" i="38"/>
  <c r="BZ117" i="38"/>
  <c r="BY117" i="38"/>
  <c r="AZ141" i="38"/>
  <c r="AY141" i="38"/>
  <c r="BA176" i="38"/>
  <c r="BA195" i="38"/>
  <c r="AZ210" i="38"/>
  <c r="AY210" i="38"/>
  <c r="CA87" i="38"/>
  <c r="BS89" i="38"/>
  <c r="CI89" i="38"/>
  <c r="BA96" i="38"/>
  <c r="BW110" i="38"/>
  <c r="BY112" i="38"/>
  <c r="BV112" i="38"/>
  <c r="CK112" i="38"/>
  <c r="BU112" i="38"/>
  <c r="CH112" i="38"/>
  <c r="BR112" i="38"/>
  <c r="CG112" i="38"/>
  <c r="BQ112" i="38"/>
  <c r="CF112" i="38"/>
  <c r="BP112" i="38"/>
  <c r="CD112" i="38"/>
  <c r="BN112" i="38"/>
  <c r="CC112" i="38"/>
  <c r="BM112" i="38"/>
  <c r="CA115" i="38"/>
  <c r="CC119" i="38"/>
  <c r="BM119" i="38"/>
  <c r="CB119" i="38"/>
  <c r="BL119" i="38"/>
  <c r="BZ119" i="38"/>
  <c r="BY119" i="38"/>
  <c r="BV119" i="38"/>
  <c r="CK119" i="38"/>
  <c r="BU119" i="38"/>
  <c r="CJ119" i="38"/>
  <c r="BT119" i="38"/>
  <c r="CH119" i="38"/>
  <c r="BR119" i="38"/>
  <c r="CG119" i="38"/>
  <c r="BQ119" i="38"/>
  <c r="BA124" i="38"/>
  <c r="BA184" i="38"/>
  <c r="BA203" i="38"/>
  <c r="BM87" i="38"/>
  <c r="CC87" i="38"/>
  <c r="BU89" i="38"/>
  <c r="CK89" i="38"/>
  <c r="CA97" i="38"/>
  <c r="CB110" i="38"/>
  <c r="BO112" i="38"/>
  <c r="CD115" i="38"/>
  <c r="BO119" i="38"/>
  <c r="CG122" i="38"/>
  <c r="BQ122" i="38"/>
  <c r="CF122" i="38"/>
  <c r="BP122" i="38"/>
  <c r="CD122" i="38"/>
  <c r="BN122" i="38"/>
  <c r="CC122" i="38"/>
  <c r="BM122" i="38"/>
  <c r="BZ122" i="38"/>
  <c r="BY122" i="38"/>
  <c r="BX122" i="38"/>
  <c r="BV122" i="38"/>
  <c r="CK122" i="38"/>
  <c r="BU122" i="38"/>
  <c r="BO87" i="38"/>
  <c r="CE87" i="38"/>
  <c r="CA88" i="38"/>
  <c r="BW89" i="38"/>
  <c r="CC97" i="38"/>
  <c r="CF110" i="38"/>
  <c r="BT112" i="38"/>
  <c r="CG114" i="38"/>
  <c r="BQ114" i="38"/>
  <c r="CD114" i="38"/>
  <c r="BN114" i="38"/>
  <c r="CC114" i="38"/>
  <c r="BM114" i="38"/>
  <c r="BZ114" i="38"/>
  <c r="BY114" i="38"/>
  <c r="BX114" i="38"/>
  <c r="BV114" i="38"/>
  <c r="CK114" i="38"/>
  <c r="BU114" i="38"/>
  <c r="CF115" i="38"/>
  <c r="BS119" i="38"/>
  <c r="BO122" i="38"/>
  <c r="BY124" i="38"/>
  <c r="BX124" i="38"/>
  <c r="BV124" i="38"/>
  <c r="CK124" i="38"/>
  <c r="BU124" i="38"/>
  <c r="CH124" i="38"/>
  <c r="BR124" i="38"/>
  <c r="CG124" i="38"/>
  <c r="BQ124" i="38"/>
  <c r="CF124" i="38"/>
  <c r="BP124" i="38"/>
  <c r="CD124" i="38"/>
  <c r="BN124" i="38"/>
  <c r="CC124" i="38"/>
  <c r="BM124" i="38"/>
  <c r="BA177" i="38"/>
  <c r="BA196" i="38"/>
  <c r="AY39" i="38"/>
  <c r="BA39" i="38" s="1"/>
  <c r="BP87" i="38"/>
  <c r="BP105" i="38" s="1"/>
  <c r="CF87" i="38"/>
  <c r="BL88" i="38"/>
  <c r="CB88" i="38"/>
  <c r="CB105" i="38" s="1"/>
  <c r="BX89" i="38"/>
  <c r="BX105" i="38" s="1"/>
  <c r="CF97" i="38"/>
  <c r="CH110" i="38"/>
  <c r="BW112" i="38"/>
  <c r="BL114" i="38"/>
  <c r="CI115" i="38"/>
  <c r="BW119" i="38"/>
  <c r="BR122" i="38"/>
  <c r="CG126" i="38"/>
  <c r="BQ126" i="38"/>
  <c r="CF126" i="38"/>
  <c r="BP126" i="38"/>
  <c r="CD126" i="38"/>
  <c r="BN126" i="38"/>
  <c r="CC126" i="38"/>
  <c r="BM126" i="38"/>
  <c r="BZ126" i="38"/>
  <c r="BY126" i="38"/>
  <c r="BX126" i="38"/>
  <c r="BV126" i="38"/>
  <c r="CK126" i="38"/>
  <c r="BU126" i="38"/>
  <c r="BA152" i="38"/>
  <c r="AZ170" i="38"/>
  <c r="AY170" i="38"/>
  <c r="BA204" i="38"/>
  <c r="BQ87" i="38"/>
  <c r="BQ105" i="38" s="1"/>
  <c r="BM88" i="38"/>
  <c r="CJ97" i="38"/>
  <c r="BY101" i="38"/>
  <c r="CI110" i="38"/>
  <c r="BX112" i="38"/>
  <c r="BO114" i="38"/>
  <c r="CA117" i="38"/>
  <c r="BX119" i="38"/>
  <c r="BS122" i="38"/>
  <c r="BO124" i="38"/>
  <c r="CK125" i="38"/>
  <c r="BU125" i="38"/>
  <c r="CJ125" i="38"/>
  <c r="BT125" i="38"/>
  <c r="CH125" i="38"/>
  <c r="BR125" i="38"/>
  <c r="CG125" i="38"/>
  <c r="BQ125" i="38"/>
  <c r="CD125" i="38"/>
  <c r="BN125" i="38"/>
  <c r="CC125" i="38"/>
  <c r="BM125" i="38"/>
  <c r="CB125" i="38"/>
  <c r="BL125" i="38"/>
  <c r="BZ125" i="38"/>
  <c r="BY125" i="38"/>
  <c r="BL126" i="38"/>
  <c r="AZ128" i="38"/>
  <c r="AY128" i="38"/>
  <c r="AZ146" i="38"/>
  <c r="AY146" i="38"/>
  <c r="AZ149" i="38"/>
  <c r="AY149" i="38"/>
  <c r="AZ200" i="38"/>
  <c r="BA200" i="38" s="1"/>
  <c r="AZ178" i="38"/>
  <c r="AY178" i="38"/>
  <c r="BA182" i="38"/>
  <c r="AZ186" i="38"/>
  <c r="AY186" i="38"/>
  <c r="AZ197" i="38"/>
  <c r="AY197" i="38"/>
  <c r="BA208" i="38"/>
  <c r="BR92" i="38"/>
  <c r="CH92" i="38"/>
  <c r="BZ94" i="38"/>
  <c r="BV95" i="38"/>
  <c r="BR96" i="38"/>
  <c r="CH96" i="38"/>
  <c r="BZ98" i="38"/>
  <c r="BV99" i="38"/>
  <c r="BR100" i="38"/>
  <c r="CH100" i="38"/>
  <c r="BZ102" i="38"/>
  <c r="BV103" i="38"/>
  <c r="BS92" i="38"/>
  <c r="CI92" i="38"/>
  <c r="CA94" i="38"/>
  <c r="BW95" i="38"/>
  <c r="BS96" i="38"/>
  <c r="CI96" i="38"/>
  <c r="CA98" i="38"/>
  <c r="BW99" i="38"/>
  <c r="BS100" i="38"/>
  <c r="CI100" i="38"/>
  <c r="CA102" i="38"/>
  <c r="BW103" i="38"/>
  <c r="BU92" i="38"/>
  <c r="CK92" i="38"/>
  <c r="BM94" i="38"/>
  <c r="CC94" i="38"/>
  <c r="BY95" i="38"/>
  <c r="BU96" i="38"/>
  <c r="CK96" i="38"/>
  <c r="BM98" i="38"/>
  <c r="CC98" i="38"/>
  <c r="BY99" i="38"/>
  <c r="BU100" i="38"/>
  <c r="CK100" i="38"/>
  <c r="BM102" i="38"/>
  <c r="CC102" i="38"/>
  <c r="BY103" i="38"/>
  <c r="BV92" i="38"/>
  <c r="BN94" i="38"/>
  <c r="CD94" i="38"/>
  <c r="BZ95" i="38"/>
  <c r="BV96" i="38"/>
  <c r="BN98" i="38"/>
  <c r="CD98" i="38"/>
  <c r="BZ99" i="38"/>
  <c r="BV100" i="38"/>
  <c r="BN102" i="38"/>
  <c r="CD102" i="38"/>
  <c r="BZ103" i="38"/>
  <c r="AY142" i="38"/>
  <c r="BA142" i="38" s="1"/>
  <c r="AY174" i="38"/>
  <c r="BA174" i="38" s="1"/>
  <c r="CA95" i="38"/>
  <c r="CA99" i="38"/>
  <c r="CA103" i="38"/>
  <c r="BZ92" i="38"/>
  <c r="BR94" i="38"/>
  <c r="CH94" i="38"/>
  <c r="BN95" i="38"/>
  <c r="CD95" i="38"/>
  <c r="BZ96" i="38"/>
  <c r="BR98" i="38"/>
  <c r="CH98" i="38"/>
  <c r="BN99" i="38"/>
  <c r="CD99" i="38"/>
  <c r="BZ100" i="38"/>
  <c r="BR102" i="38"/>
  <c r="CH102" i="38"/>
  <c r="BN103" i="38"/>
  <c r="CD103" i="38"/>
  <c r="CA92" i="38"/>
  <c r="BS94" i="38"/>
  <c r="CI94" i="38"/>
  <c r="BO95" i="38"/>
  <c r="CE95" i="38"/>
  <c r="CA96" i="38"/>
  <c r="BS98" i="38"/>
  <c r="CI98" i="38"/>
  <c r="BO99" i="38"/>
  <c r="CE99" i="38"/>
  <c r="CA100" i="38"/>
  <c r="BS102" i="38"/>
  <c r="CI102" i="38"/>
  <c r="BO103" i="38"/>
  <c r="CE103" i="38"/>
  <c r="BN92" i="38"/>
  <c r="BR95" i="38"/>
  <c r="BN96" i="38"/>
  <c r="BR99" i="38"/>
  <c r="BN100" i="38"/>
  <c r="BR103" i="38"/>
  <c r="AJ32" i="20"/>
  <c r="AM28" i="20"/>
  <c r="AL28" i="20"/>
  <c r="R39" i="20"/>
  <c r="BN5" i="20"/>
  <c r="DT19" i="20"/>
  <c r="DR19" i="20"/>
  <c r="EJ54" i="20"/>
  <c r="EC54" i="20"/>
  <c r="CS164" i="20"/>
  <c r="CR164" i="20"/>
  <c r="DC170" i="20"/>
  <c r="DD170" i="20"/>
  <c r="EJ41" i="20"/>
  <c r="EC41" i="20"/>
  <c r="EJ44" i="20"/>
  <c r="EC44" i="20"/>
  <c r="DR11" i="20"/>
  <c r="DX32" i="20"/>
  <c r="DW32" i="20"/>
  <c r="B2" i="112"/>
  <c r="CO5" i="20"/>
  <c r="CT4" i="20"/>
  <c r="DE4" i="20"/>
  <c r="DA4" i="20"/>
  <c r="DF4" i="20" s="1"/>
  <c r="DK4" i="20" s="1"/>
  <c r="DB5" i="20"/>
  <c r="CS144" i="20"/>
  <c r="CR144" i="20"/>
  <c r="CB13" i="20"/>
  <c r="BX13" i="20"/>
  <c r="BP13" i="20"/>
  <c r="BN14" i="20" s="1"/>
  <c r="BL13" i="20"/>
  <c r="CF13" i="20"/>
  <c r="CD14" i="20" s="1"/>
  <c r="BT13" i="20"/>
  <c r="M3" i="112"/>
  <c r="CR132" i="20"/>
  <c r="CS132" i="20"/>
  <c r="CP186" i="20"/>
  <c r="CO186" i="20"/>
  <c r="AN27" i="20"/>
  <c r="AQ18" i="20"/>
  <c r="AG13" i="20"/>
  <c r="CP16" i="20"/>
  <c r="CR16" i="20" s="1"/>
  <c r="CS16" i="20" s="1"/>
  <c r="DE16" i="20" s="1"/>
  <c r="EA109" i="20"/>
  <c r="EA105" i="20"/>
  <c r="EA101" i="20"/>
  <c r="EA97" i="20"/>
  <c r="EA93" i="20"/>
  <c r="EA89" i="20"/>
  <c r="EA85" i="20"/>
  <c r="EA81" i="20"/>
  <c r="EA108" i="20"/>
  <c r="EA104" i="20"/>
  <c r="EA100" i="20"/>
  <c r="EA96" i="20"/>
  <c r="EA92" i="20"/>
  <c r="EA88" i="20"/>
  <c r="EA84" i="20"/>
  <c r="EA80" i="20"/>
  <c r="EA107" i="20"/>
  <c r="EA50" i="20"/>
  <c r="EA45" i="20"/>
  <c r="EA82" i="20"/>
  <c r="EA53" i="20"/>
  <c r="EA32" i="20"/>
  <c r="EA26" i="20"/>
  <c r="EA76" i="20"/>
  <c r="EA72" i="20"/>
  <c r="EA68" i="20"/>
  <c r="EA64" i="20"/>
  <c r="EA60" i="20"/>
  <c r="EA56" i="20"/>
  <c r="EA18" i="20"/>
  <c r="EA15" i="20"/>
  <c r="EA34" i="20"/>
  <c r="EA17" i="20"/>
  <c r="EA102" i="20"/>
  <c r="EA87" i="20"/>
  <c r="EA46" i="20"/>
  <c r="EA29" i="20"/>
  <c r="EA28" i="20"/>
  <c r="EA25" i="20"/>
  <c r="EA103" i="20"/>
  <c r="EA91" i="20"/>
  <c r="EA49" i="20"/>
  <c r="EA24" i="20"/>
  <c r="EA12" i="20"/>
  <c r="EA95" i="20"/>
  <c r="EA75" i="20"/>
  <c r="EA71" i="20"/>
  <c r="EA67" i="20"/>
  <c r="EA63" i="20"/>
  <c r="EA59" i="20"/>
  <c r="EA52" i="20"/>
  <c r="EA22" i="20"/>
  <c r="EA90" i="20"/>
  <c r="EA86" i="20"/>
  <c r="EA55" i="20"/>
  <c r="EA35" i="20"/>
  <c r="EA20" i="20"/>
  <c r="AA20" i="20"/>
  <c r="EA36" i="20"/>
  <c r="EA33" i="20"/>
  <c r="EA31" i="20"/>
  <c r="EA21" i="20"/>
  <c r="EA19" i="20"/>
  <c r="EA13" i="20"/>
  <c r="EA11" i="20"/>
  <c r="EA10" i="20"/>
  <c r="EA98" i="20"/>
  <c r="EA74" i="20"/>
  <c r="EA70" i="20"/>
  <c r="EA66" i="20"/>
  <c r="EA62" i="20"/>
  <c r="EA58" i="20"/>
  <c r="EA48" i="20"/>
  <c r="EA38" i="20"/>
  <c r="EA16" i="20"/>
  <c r="EA99" i="20"/>
  <c r="EA83" i="20"/>
  <c r="EA79" i="20"/>
  <c r="EA78" i="20"/>
  <c r="EA51" i="20"/>
  <c r="EA37" i="20"/>
  <c r="EA42" i="20"/>
  <c r="EA40" i="20"/>
  <c r="EA39" i="20"/>
  <c r="EA14" i="20"/>
  <c r="EA106" i="20"/>
  <c r="EA77" i="20"/>
  <c r="EA73" i="20"/>
  <c r="EA69" i="20"/>
  <c r="EA65" i="20"/>
  <c r="EA61" i="20"/>
  <c r="EA57" i="20"/>
  <c r="EA27" i="20"/>
  <c r="EA23" i="20"/>
  <c r="AY40" i="20"/>
  <c r="CD5" i="20"/>
  <c r="CS134" i="20"/>
  <c r="CR134" i="20"/>
  <c r="AL27" i="20"/>
  <c r="CS140" i="20"/>
  <c r="CR140" i="20"/>
  <c r="CQ13" i="20"/>
  <c r="CP13" i="20"/>
  <c r="CQ19" i="20"/>
  <c r="CP19" i="20"/>
  <c r="CS146" i="20"/>
  <c r="CR146" i="20"/>
  <c r="DY21" i="20"/>
  <c r="DS21" i="20" s="1"/>
  <c r="CS152" i="20"/>
  <c r="CR152" i="20"/>
  <c r="DC166" i="20"/>
  <c r="DE166" i="20" s="1"/>
  <c r="DD166" i="20"/>
  <c r="CQ10" i="20"/>
  <c r="CP10" i="20"/>
  <c r="CR10" i="20" s="1"/>
  <c r="CS10" i="20" s="1"/>
  <c r="DE10" i="20" s="1"/>
  <c r="DY22" i="20"/>
  <c r="DS22" i="20" s="1"/>
  <c r="CG56" i="20"/>
  <c r="CG40" i="20" s="1"/>
  <c r="CS158" i="20"/>
  <c r="CR158" i="20"/>
  <c r="DY8" i="20"/>
  <c r="DS8" i="20" s="1"/>
  <c r="EA43" i="20"/>
  <c r="EA47" i="20"/>
  <c r="CS150" i="20"/>
  <c r="CR150" i="20"/>
  <c r="DY13" i="20"/>
  <c r="DS13" i="20" s="1"/>
  <c r="CS156" i="20"/>
  <c r="CR156" i="20"/>
  <c r="DX24" i="20"/>
  <c r="CQ7" i="20"/>
  <c r="CP7" i="20"/>
  <c r="DY9" i="20"/>
  <c r="DS9" i="20" s="1"/>
  <c r="DY14" i="20"/>
  <c r="DS14" i="20" s="1"/>
  <c r="DT14" i="20" s="1"/>
  <c r="DW24" i="20"/>
  <c r="CS136" i="20"/>
  <c r="CR136" i="20"/>
  <c r="CS168" i="20"/>
  <c r="CR168" i="20"/>
  <c r="BD8" i="20"/>
  <c r="BD9" i="20" s="1"/>
  <c r="DY10" i="20"/>
  <c r="DS10" i="20" s="1"/>
  <c r="EA94" i="20"/>
  <c r="CS142" i="20"/>
  <c r="CR142" i="20"/>
  <c r="DX12" i="20"/>
  <c r="DY12" i="20" s="1"/>
  <c r="DS12" i="20" s="1"/>
  <c r="DT12" i="20" s="1"/>
  <c r="AT2" i="112"/>
  <c r="CT16" i="20"/>
  <c r="CO17" i="20"/>
  <c r="EA30" i="20"/>
  <c r="DX26" i="20"/>
  <c r="DW26" i="20"/>
  <c r="DY39" i="20"/>
  <c r="DS39" i="20" s="1"/>
  <c r="CS154" i="20"/>
  <c r="CR154" i="20"/>
  <c r="CL107" i="20"/>
  <c r="CL103" i="20"/>
  <c r="CL99" i="20"/>
  <c r="CL95" i="20"/>
  <c r="CL91" i="20"/>
  <c r="CL87" i="20"/>
  <c r="CL83" i="20"/>
  <c r="CL79" i="20"/>
  <c r="CL124" i="20"/>
  <c r="CL122" i="20"/>
  <c r="CL120" i="20"/>
  <c r="CL118" i="20"/>
  <c r="CL116" i="20"/>
  <c r="CL114" i="20"/>
  <c r="CL112" i="20"/>
  <c r="CL110" i="20"/>
  <c r="CL106" i="20"/>
  <c r="CL102" i="20"/>
  <c r="CL98" i="20"/>
  <c r="CL94" i="20"/>
  <c r="CL90" i="20"/>
  <c r="CL86" i="20"/>
  <c r="CL82" i="20"/>
  <c r="CL125" i="20"/>
  <c r="CL123" i="20"/>
  <c r="CL121" i="20"/>
  <c r="CL119" i="20"/>
  <c r="M5" i="112"/>
  <c r="DX23" i="20"/>
  <c r="DY23" i="20" s="1"/>
  <c r="DS23" i="20" s="1"/>
  <c r="DX30" i="20"/>
  <c r="DY30" i="20" s="1"/>
  <c r="DS30" i="20" s="1"/>
  <c r="DT30" i="20" s="1"/>
  <c r="DW37" i="20"/>
  <c r="CL52" i="20"/>
  <c r="CL59" i="20"/>
  <c r="CL63" i="20"/>
  <c r="CL67" i="20"/>
  <c r="CL71" i="20"/>
  <c r="CL75" i="20"/>
  <c r="CU133" i="20"/>
  <c r="CN133" i="20"/>
  <c r="CU135" i="20"/>
  <c r="CN135" i="20"/>
  <c r="CU137" i="20"/>
  <c r="CN137" i="20"/>
  <c r="CU139" i="20"/>
  <c r="CN139" i="20"/>
  <c r="CU141" i="20"/>
  <c r="CN141" i="20"/>
  <c r="CU143" i="20"/>
  <c r="CN143" i="20"/>
  <c r="CU145" i="20"/>
  <c r="CN145" i="20"/>
  <c r="CU147" i="20"/>
  <c r="CN147" i="20"/>
  <c r="CU149" i="20"/>
  <c r="CN149" i="20"/>
  <c r="CU151" i="20"/>
  <c r="CN151" i="20"/>
  <c r="CU153" i="20"/>
  <c r="CN153" i="20"/>
  <c r="CU155" i="20"/>
  <c r="CN155" i="20"/>
  <c r="CU157" i="20"/>
  <c r="CN157" i="20"/>
  <c r="CU159" i="20"/>
  <c r="CN159" i="20"/>
  <c r="CU182" i="20"/>
  <c r="CN182" i="20"/>
  <c r="DD193" i="20"/>
  <c r="DC193" i="20"/>
  <c r="DB212" i="20"/>
  <c r="DI212" i="20"/>
  <c r="DD215" i="20"/>
  <c r="DC215" i="20"/>
  <c r="AL39" i="112"/>
  <c r="AN39" i="112" s="1"/>
  <c r="AJ8" i="116"/>
  <c r="AI8" i="116"/>
  <c r="CO11" i="20"/>
  <c r="CL27" i="20"/>
  <c r="U32" i="20"/>
  <c r="DX37" i="20"/>
  <c r="DW38" i="20"/>
  <c r="DY38" i="20" s="1"/>
  <c r="DS38" i="20" s="1"/>
  <c r="CL49" i="20"/>
  <c r="CL109" i="20"/>
  <c r="DI161" i="20"/>
  <c r="DB161" i="20"/>
  <c r="DD172" i="20"/>
  <c r="DE172" i="20" s="1"/>
  <c r="CU175" i="20"/>
  <c r="CN175" i="20"/>
  <c r="DI177" i="20"/>
  <c r="DB177" i="20"/>
  <c r="CS201" i="20"/>
  <c r="CR201" i="20"/>
  <c r="X5" i="112"/>
  <c r="AI5" i="112"/>
  <c r="BE5" i="112"/>
  <c r="CO20" i="20"/>
  <c r="CL30" i="20"/>
  <c r="DX31" i="20"/>
  <c r="DY31" i="20" s="1"/>
  <c r="DS31" i="20" s="1"/>
  <c r="DX33" i="20"/>
  <c r="DY33" i="20" s="1"/>
  <c r="DS33" i="20" s="1"/>
  <c r="DX36" i="20"/>
  <c r="DY36" i="20" s="1"/>
  <c r="DS36" i="20" s="1"/>
  <c r="DI133" i="20"/>
  <c r="DB133" i="20"/>
  <c r="DI135" i="20"/>
  <c r="DB135" i="20"/>
  <c r="DI137" i="20"/>
  <c r="DB137" i="20"/>
  <c r="DI139" i="20"/>
  <c r="DB139" i="20"/>
  <c r="DI141" i="20"/>
  <c r="DB141" i="20"/>
  <c r="DI143" i="20"/>
  <c r="DB143" i="20"/>
  <c r="DI145" i="20"/>
  <c r="DB145" i="20"/>
  <c r="DI147" i="20"/>
  <c r="DB147" i="20"/>
  <c r="DI149" i="20"/>
  <c r="DB149" i="20"/>
  <c r="DI151" i="20"/>
  <c r="DB151" i="20"/>
  <c r="DI153" i="20"/>
  <c r="DB153" i="20"/>
  <c r="DI155" i="20"/>
  <c r="DB155" i="20"/>
  <c r="DI157" i="20"/>
  <c r="DB157" i="20"/>
  <c r="DI159" i="20"/>
  <c r="DB159" i="20"/>
  <c r="CU173" i="20"/>
  <c r="CN173" i="20"/>
  <c r="DI175" i="20"/>
  <c r="DB175" i="20"/>
  <c r="DC10" i="20"/>
  <c r="CL37" i="20"/>
  <c r="CL56" i="20"/>
  <c r="CL60" i="20"/>
  <c r="CL64" i="20"/>
  <c r="CL68" i="20"/>
  <c r="CL72" i="20"/>
  <c r="CL76" i="20"/>
  <c r="CP183" i="20"/>
  <c r="CO183" i="20"/>
  <c r="CQ183" i="20" s="1"/>
  <c r="CP189" i="20"/>
  <c r="CO189" i="20"/>
  <c r="CU198" i="20"/>
  <c r="CN198" i="20"/>
  <c r="CS216" i="20"/>
  <c r="CR216" i="20"/>
  <c r="CX216" i="20" s="1"/>
  <c r="DD227" i="20"/>
  <c r="DC227" i="20"/>
  <c r="CD39" i="112"/>
  <c r="CF39" i="112" s="1"/>
  <c r="DB14" i="20"/>
  <c r="DX20" i="20"/>
  <c r="DY20" i="20" s="1"/>
  <c r="DS20" i="20" s="1"/>
  <c r="DX35" i="20"/>
  <c r="DY35" i="20" s="1"/>
  <c r="DS35" i="20" s="1"/>
  <c r="CL38" i="20"/>
  <c r="CL53" i="20"/>
  <c r="CL101" i="20"/>
  <c r="DD168" i="20"/>
  <c r="DE168" i="20" s="1"/>
  <c r="CU171" i="20"/>
  <c r="CN171" i="20"/>
  <c r="DI173" i="20"/>
  <c r="DB173" i="20"/>
  <c r="CQ180" i="20"/>
  <c r="CP195" i="20"/>
  <c r="CO195" i="20"/>
  <c r="CU208" i="20"/>
  <c r="CN208" i="20"/>
  <c r="DW25" i="20"/>
  <c r="DY25" i="20" s="1"/>
  <c r="DS25" i="20" s="1"/>
  <c r="DW28" i="20"/>
  <c r="DY28" i="20" s="1"/>
  <c r="DS28" i="20" s="1"/>
  <c r="DT28" i="20" s="1"/>
  <c r="DW29" i="20"/>
  <c r="DY29" i="20" s="1"/>
  <c r="DS29" i="20" s="1"/>
  <c r="CL41" i="20"/>
  <c r="CL47" i="20"/>
  <c r="CL84" i="20"/>
  <c r="CU169" i="20"/>
  <c r="CN169" i="20"/>
  <c r="DI171" i="20"/>
  <c r="DB171" i="20"/>
  <c r="CP192" i="20"/>
  <c r="CO192" i="20"/>
  <c r="CT7" i="20"/>
  <c r="DW17" i="20"/>
  <c r="DY17" i="20" s="1"/>
  <c r="DS17" i="20" s="1"/>
  <c r="CL35" i="20"/>
  <c r="CL57" i="20"/>
  <c r="CL61" i="20"/>
  <c r="CL65" i="20"/>
  <c r="CL69" i="20"/>
  <c r="CL73" i="20"/>
  <c r="CL77" i="20"/>
  <c r="CL113" i="20"/>
  <c r="DE164" i="20"/>
  <c r="DD231" i="20"/>
  <c r="DC231" i="20"/>
  <c r="B2" i="117"/>
  <c r="AY5" i="116"/>
  <c r="AM4" i="116"/>
  <c r="AW5" i="116"/>
  <c r="AV5" i="116"/>
  <c r="AU5" i="116"/>
  <c r="AY4" i="116"/>
  <c r="BD4" i="116" s="1"/>
  <c r="AX4" i="116"/>
  <c r="AW4" i="116"/>
  <c r="BB4" i="116" s="1"/>
  <c r="J8" i="116" s="1"/>
  <c r="AV4" i="116"/>
  <c r="AT4" i="116"/>
  <c r="AH5" i="116"/>
  <c r="AU4" i="116"/>
  <c r="AZ4" i="116" s="1"/>
  <c r="K8" i="116" s="1"/>
  <c r="AX5" i="116"/>
  <c r="DB8" i="20"/>
  <c r="DB11" i="20"/>
  <c r="DW15" i="20"/>
  <c r="DY15" i="20" s="1"/>
  <c r="DS15" i="20" s="1"/>
  <c r="DW18" i="20"/>
  <c r="DY18" i="20" s="1"/>
  <c r="DS18" i="20" s="1"/>
  <c r="CL40" i="20"/>
  <c r="CL42" i="20"/>
  <c r="CL81" i="20"/>
  <c r="CU167" i="20"/>
  <c r="CN167" i="20"/>
  <c r="DI169" i="20"/>
  <c r="DB169" i="20"/>
  <c r="CP187" i="20"/>
  <c r="CO187" i="20"/>
  <c r="DJ4" i="20"/>
  <c r="H8" i="20" s="1"/>
  <c r="CL43" i="20"/>
  <c r="CL44" i="20"/>
  <c r="CL54" i="20"/>
  <c r="CL115" i="20"/>
  <c r="CS160" i="20"/>
  <c r="CR160" i="20"/>
  <c r="CS176" i="20"/>
  <c r="CR176" i="20"/>
  <c r="CT10" i="20"/>
  <c r="CT13" i="20"/>
  <c r="CT19" i="20"/>
  <c r="DB20" i="20"/>
  <c r="CL28" i="20"/>
  <c r="CL29" i="20"/>
  <c r="CL51" i="20"/>
  <c r="CL85" i="20"/>
  <c r="CL96" i="20"/>
  <c r="CL105" i="20"/>
  <c r="DE132" i="20"/>
  <c r="DD162" i="20"/>
  <c r="DE162" i="20" s="1"/>
  <c r="CU165" i="20"/>
  <c r="CN165" i="20"/>
  <c r="DI167" i="20"/>
  <c r="DB167" i="20"/>
  <c r="CP196" i="20"/>
  <c r="CO196" i="20"/>
  <c r="DL4" i="20"/>
  <c r="G8" i="20" s="1"/>
  <c r="DW6" i="20"/>
  <c r="CL34" i="20"/>
  <c r="CL48" i="20"/>
  <c r="CL58" i="20"/>
  <c r="CL62" i="20"/>
  <c r="CL66" i="20"/>
  <c r="CL70" i="20"/>
  <c r="CL74" i="20"/>
  <c r="CL78" i="20"/>
  <c r="CL92" i="20"/>
  <c r="CL104" i="20"/>
  <c r="CL117" i="20"/>
  <c r="DD132" i="20"/>
  <c r="DE134" i="20"/>
  <c r="DE138" i="20"/>
  <c r="DE142" i="20"/>
  <c r="DE146" i="20"/>
  <c r="DE150" i="20"/>
  <c r="DE154" i="20"/>
  <c r="DE158" i="20"/>
  <c r="CS174" i="20"/>
  <c r="CR174" i="20"/>
  <c r="DE176" i="20"/>
  <c r="CP206" i="20"/>
  <c r="CO206" i="20"/>
  <c r="DL13" i="20"/>
  <c r="CO14" i="20"/>
  <c r="DW27" i="20"/>
  <c r="DY27" i="20" s="1"/>
  <c r="DS27" i="20" s="1"/>
  <c r="DT27" i="20" s="1"/>
  <c r="CL80" i="20"/>
  <c r="CL88" i="20"/>
  <c r="CL97" i="20"/>
  <c r="CU163" i="20"/>
  <c r="CN163" i="20"/>
  <c r="DI165" i="20"/>
  <c r="DB165" i="20"/>
  <c r="CS193" i="20"/>
  <c r="CR193" i="20"/>
  <c r="CP218" i="20"/>
  <c r="CO218" i="20"/>
  <c r="CL26" i="20"/>
  <c r="CL32" i="20"/>
  <c r="CL93" i="20"/>
  <c r="CS172" i="20"/>
  <c r="CR172" i="20"/>
  <c r="DE174" i="20"/>
  <c r="DD229" i="20"/>
  <c r="DC229" i="20"/>
  <c r="CU161" i="20"/>
  <c r="CN161" i="20"/>
  <c r="DI163" i="20"/>
  <c r="DB163" i="20"/>
  <c r="DD174" i="20"/>
  <c r="CU177" i="20"/>
  <c r="CN177" i="20"/>
  <c r="CO179" i="20"/>
  <c r="CP179" i="20"/>
  <c r="M33" i="116"/>
  <c r="M21" i="116"/>
  <c r="O15" i="116"/>
  <c r="O22" i="116"/>
  <c r="CU180" i="20"/>
  <c r="DB184" i="20"/>
  <c r="DB188" i="20"/>
  <c r="DI188" i="20"/>
  <c r="DB206" i="20"/>
  <c r="DI206" i="20"/>
  <c r="DD211" i="20"/>
  <c r="DC211" i="20"/>
  <c r="CP229" i="20"/>
  <c r="CO229" i="20"/>
  <c r="CP231" i="20"/>
  <c r="CO231" i="20"/>
  <c r="CP181" i="20"/>
  <c r="CO181" i="20"/>
  <c r="DE185" i="20"/>
  <c r="CU192" i="20"/>
  <c r="DB208" i="20"/>
  <c r="DI208" i="20"/>
  <c r="DD213" i="20"/>
  <c r="DC213" i="20"/>
  <c r="M2" i="117"/>
  <c r="AW7" i="116"/>
  <c r="BB7" i="116" s="1"/>
  <c r="J9" i="116" s="1"/>
  <c r="AY8" i="116"/>
  <c r="AV7" i="116"/>
  <c r="BA7" i="116" s="1"/>
  <c r="I9" i="116" s="1"/>
  <c r="AW8" i="116"/>
  <c r="AV8" i="116"/>
  <c r="AU8" i="116"/>
  <c r="AM7" i="116"/>
  <c r="AY7" i="116"/>
  <c r="BD7" i="116" s="1"/>
  <c r="AX7" i="116"/>
  <c r="AJ13" i="116"/>
  <c r="AI13" i="116"/>
  <c r="AK13" i="116" s="1"/>
  <c r="AL13" i="116" s="1"/>
  <c r="DI185" i="20"/>
  <c r="DD195" i="20"/>
  <c r="DC195" i="20"/>
  <c r="DE195" i="20" s="1"/>
  <c r="CP203" i="20"/>
  <c r="CO203" i="20"/>
  <c r="DD217" i="20"/>
  <c r="DC217" i="20"/>
  <c r="DE217" i="20" s="1"/>
  <c r="CW2" i="112"/>
  <c r="DB182" i="20"/>
  <c r="DB190" i="20"/>
  <c r="DI190" i="20"/>
  <c r="CU194" i="20"/>
  <c r="DD197" i="20"/>
  <c r="DC197" i="20"/>
  <c r="CP205" i="20"/>
  <c r="CO205" i="20"/>
  <c r="DB210" i="20"/>
  <c r="DI210" i="20"/>
  <c r="DD219" i="20"/>
  <c r="DC219" i="20"/>
  <c r="BS39" i="112"/>
  <c r="BU39" i="112" s="1"/>
  <c r="AS13" i="116"/>
  <c r="DB183" i="20"/>
  <c r="CU186" i="20"/>
  <c r="DB192" i="20"/>
  <c r="DI192" i="20"/>
  <c r="CN194" i="20"/>
  <c r="CU196" i="20"/>
  <c r="DD199" i="20"/>
  <c r="DC199" i="20"/>
  <c r="CP207" i="20"/>
  <c r="CO207" i="20"/>
  <c r="CQ207" i="20" s="1"/>
  <c r="CO214" i="20"/>
  <c r="CQ214" i="20" s="1"/>
  <c r="DD221" i="20"/>
  <c r="DC221" i="20"/>
  <c r="DD223" i="20"/>
  <c r="DC223" i="20"/>
  <c r="DD225" i="20"/>
  <c r="DC225" i="20"/>
  <c r="DI183" i="20"/>
  <c r="CU200" i="20"/>
  <c r="DB214" i="20"/>
  <c r="DI214" i="20"/>
  <c r="AJ4" i="116"/>
  <c r="AI4" i="116"/>
  <c r="DB180" i="20"/>
  <c r="DE187" i="20"/>
  <c r="DB194" i="20"/>
  <c r="DI194" i="20"/>
  <c r="CN200" i="20"/>
  <c r="DD201" i="20"/>
  <c r="DC201" i="20"/>
  <c r="DB216" i="20"/>
  <c r="DI216" i="20"/>
  <c r="CQ220" i="20"/>
  <c r="AU7" i="116"/>
  <c r="AZ7" i="116" s="1"/>
  <c r="K9" i="116" s="1"/>
  <c r="AJ10" i="116"/>
  <c r="AI10" i="116"/>
  <c r="DE181" i="20"/>
  <c r="CU184" i="20"/>
  <c r="CP185" i="20"/>
  <c r="CO185" i="20"/>
  <c r="CP191" i="20"/>
  <c r="CO191" i="20"/>
  <c r="DB196" i="20"/>
  <c r="DI196" i="20"/>
  <c r="DD203" i="20"/>
  <c r="DC203" i="20"/>
  <c r="CS209" i="20"/>
  <c r="CR209" i="20"/>
  <c r="DB218" i="20"/>
  <c r="DI218" i="20"/>
  <c r="CQ39" i="112"/>
  <c r="DI182" i="20"/>
  <c r="DB198" i="20"/>
  <c r="DI198" i="20"/>
  <c r="CU202" i="20"/>
  <c r="DD205" i="20"/>
  <c r="DC205" i="20"/>
  <c r="DE205" i="20" s="1"/>
  <c r="DB220" i="20"/>
  <c r="DI220" i="20"/>
  <c r="O26" i="116"/>
  <c r="DG5" i="116" s="1"/>
  <c r="O40" i="116"/>
  <c r="M25" i="116"/>
  <c r="M37" i="116"/>
  <c r="O38" i="116" s="1"/>
  <c r="DV5" i="116" s="1"/>
  <c r="M15" i="116"/>
  <c r="O28" i="116"/>
  <c r="DB179" i="20"/>
  <c r="DI181" i="20"/>
  <c r="CO184" i="20"/>
  <c r="CQ184" i="20" s="1"/>
  <c r="CU188" i="20"/>
  <c r="DB200" i="20"/>
  <c r="DI200" i="20"/>
  <c r="CN202" i="20"/>
  <c r="CU204" i="20"/>
  <c r="DD207" i="20"/>
  <c r="DC207" i="20"/>
  <c r="DB222" i="20"/>
  <c r="DI222" i="20"/>
  <c r="DB224" i="20"/>
  <c r="DI224" i="20"/>
  <c r="DB226" i="20"/>
  <c r="DI226" i="20"/>
  <c r="CR228" i="20"/>
  <c r="CX228" i="20" s="1"/>
  <c r="CR230" i="20"/>
  <c r="CW230" i="20" s="1"/>
  <c r="AC39" i="112"/>
  <c r="DB186" i="20"/>
  <c r="DI186" i="20"/>
  <c r="CN188" i="20"/>
  <c r="DE189" i="20"/>
  <c r="CN204" i="20"/>
  <c r="CU206" i="20"/>
  <c r="DB228" i="20"/>
  <c r="DI228" i="20"/>
  <c r="DB230" i="20"/>
  <c r="DI230" i="20"/>
  <c r="AT10" i="116"/>
  <c r="CL5" i="112"/>
  <c r="DI179" i="20"/>
  <c r="DI180" i="20"/>
  <c r="CP197" i="20"/>
  <c r="CO197" i="20"/>
  <c r="DB202" i="20"/>
  <c r="DI202" i="20"/>
  <c r="DD209" i="20"/>
  <c r="DC209" i="20"/>
  <c r="AC38" i="112"/>
  <c r="CP38" i="112"/>
  <c r="CX190" i="20"/>
  <c r="CT190" i="20" s="1"/>
  <c r="CW190" i="20"/>
  <c r="CU190" i="20"/>
  <c r="DD191" i="20"/>
  <c r="DC191" i="20"/>
  <c r="CP199" i="20"/>
  <c r="CO199" i="20"/>
  <c r="CQ199" i="20" s="1"/>
  <c r="DB204" i="20"/>
  <c r="DI204" i="20"/>
  <c r="CP223" i="20"/>
  <c r="CO223" i="20"/>
  <c r="CQ223" i="20" s="1"/>
  <c r="CP225" i="20"/>
  <c r="CO225" i="20"/>
  <c r="CQ38" i="112"/>
  <c r="AX8" i="116"/>
  <c r="AO8" i="116" s="1"/>
  <c r="BH12" i="116"/>
  <c r="BJ11" i="116"/>
  <c r="BS11" i="116"/>
  <c r="BF13" i="116"/>
  <c r="AV10" i="116"/>
  <c r="BA10" i="116" s="1"/>
  <c r="I10" i="116" s="1"/>
  <c r="AH14" i="116"/>
  <c r="AW10" i="116"/>
  <c r="BB10" i="116" s="1"/>
  <c r="J10" i="116" s="1"/>
  <c r="P39" i="112"/>
  <c r="R39" i="112" s="1"/>
  <c r="AI5" i="117"/>
  <c r="AU13" i="116"/>
  <c r="AV13" i="116"/>
  <c r="BH39" i="112"/>
  <c r="BJ39" i="112" s="1"/>
  <c r="BC10" i="116"/>
  <c r="H10" i="116" s="1"/>
  <c r="AY13" i="116"/>
  <c r="AN10" i="116"/>
  <c r="AP10" i="116" s="1"/>
  <c r="AQ10" i="116" s="1"/>
  <c r="AR10" i="116" s="1"/>
  <c r="BD10" i="116"/>
  <c r="AZ13" i="116"/>
  <c r="K11" i="116" s="1"/>
  <c r="AU14" i="116"/>
  <c r="CU210" i="20"/>
  <c r="CU212" i="20"/>
  <c r="CU214" i="20"/>
  <c r="CU216" i="20"/>
  <c r="CU218" i="20"/>
  <c r="CU220" i="20"/>
  <c r="CU222" i="20"/>
  <c r="CU224" i="20"/>
  <c r="CU226" i="20"/>
  <c r="CU228" i="20"/>
  <c r="CU230" i="20"/>
  <c r="BE10" i="116"/>
  <c r="G10" i="116" s="1"/>
  <c r="AU11" i="116"/>
  <c r="BA13" i="116"/>
  <c r="I11" i="116" s="1"/>
  <c r="AV14" i="116"/>
  <c r="E39" i="112"/>
  <c r="G39" i="112" s="1"/>
  <c r="AV11" i="116"/>
  <c r="BB13" i="116"/>
  <c r="J11" i="116" s="1"/>
  <c r="AW14" i="116"/>
  <c r="CO213" i="20"/>
  <c r="CQ213" i="20" s="1"/>
  <c r="CO215" i="20"/>
  <c r="CQ215" i="20" s="1"/>
  <c r="CW216" i="20"/>
  <c r="CO217" i="20"/>
  <c r="CQ217" i="20" s="1"/>
  <c r="CO219" i="20"/>
  <c r="CQ219" i="20" s="1"/>
  <c r="CO221" i="20"/>
  <c r="CQ221" i="20" s="1"/>
  <c r="CO227" i="20"/>
  <c r="CQ227" i="20" s="1"/>
  <c r="CW228" i="20"/>
  <c r="AW11" i="116"/>
  <c r="AM13" i="116"/>
  <c r="BC13" i="116"/>
  <c r="AX14" i="116"/>
  <c r="AO14" i="116" s="1"/>
  <c r="BA4" i="116"/>
  <c r="I8" i="116" s="1"/>
  <c r="BJ10" i="116"/>
  <c r="AX11" i="116"/>
  <c r="BD13" i="116"/>
  <c r="AY14" i="116"/>
  <c r="AY11" i="116"/>
  <c r="BE13" i="116"/>
  <c r="G11" i="116" s="1"/>
  <c r="BC4" i="116"/>
  <c r="H8" i="116" s="1"/>
  <c r="X5" i="117"/>
  <c r="AU10" i="116"/>
  <c r="AZ10" i="116" s="1"/>
  <c r="K10" i="116" s="1"/>
  <c r="AJ17" i="59"/>
  <c r="AJ15" i="59"/>
  <c r="AJ14" i="59" s="1"/>
  <c r="E27" i="50"/>
  <c r="E26" i="50"/>
  <c r="D26" i="50"/>
  <c r="G60" i="52"/>
  <c r="I60" i="52" s="1"/>
  <c r="F59" i="52"/>
  <c r="H59" i="52" s="1"/>
  <c r="G59" i="52"/>
  <c r="I59" i="52" s="1"/>
  <c r="AH15" i="59"/>
  <c r="AH14" i="59" s="1"/>
  <c r="AH19" i="59"/>
  <c r="CB37" i="56"/>
  <c r="CA37" i="56"/>
  <c r="C3" i="47"/>
  <c r="C2" i="47"/>
  <c r="AH15" i="25"/>
  <c r="AH21" i="25" s="1"/>
  <c r="BX33" i="56"/>
  <c r="BV33" i="56"/>
  <c r="AD14" i="113"/>
  <c r="A3" i="42"/>
  <c r="A2" i="42"/>
  <c r="Y39" i="56"/>
  <c r="AE39" i="56"/>
  <c r="BV16" i="56"/>
  <c r="BX16" i="56"/>
  <c r="BX17" i="56"/>
  <c r="BV17" i="56"/>
  <c r="BV23" i="56"/>
  <c r="BX23" i="56"/>
  <c r="AQ38" i="56"/>
  <c r="AN38" i="56"/>
  <c r="AW37" i="56"/>
  <c r="AZ37" i="56"/>
  <c r="AD28" i="113"/>
  <c r="W29" i="56"/>
  <c r="AI29" i="56"/>
  <c r="AT31" i="56"/>
  <c r="G75" i="52"/>
  <c r="AK29" i="56"/>
  <c r="Y29" i="56"/>
  <c r="AW39" i="117"/>
  <c r="AY39" i="117" s="1"/>
  <c r="BO35" i="25"/>
  <c r="BO21" i="25"/>
  <c r="BO5" i="25"/>
  <c r="BO23" i="25"/>
  <c r="BO18" i="25"/>
  <c r="BO16" i="25"/>
  <c r="AM18" i="25"/>
  <c r="BO12" i="25"/>
  <c r="BO8" i="25"/>
  <c r="BO7" i="25"/>
  <c r="BO36" i="25"/>
  <c r="BO13" i="25"/>
  <c r="BO29" i="25"/>
  <c r="BO25" i="25"/>
  <c r="BO15" i="25"/>
  <c r="BO32" i="25"/>
  <c r="BO22" i="25"/>
  <c r="BO17" i="25"/>
  <c r="BO10" i="25"/>
  <c r="BO38" i="25"/>
  <c r="BO26" i="25"/>
  <c r="BO19" i="25"/>
  <c r="BO34" i="25"/>
  <c r="BO37" i="25"/>
  <c r="BO9" i="25"/>
  <c r="BO27" i="25"/>
  <c r="BO33" i="25"/>
  <c r="BO30" i="25"/>
  <c r="BO6" i="25"/>
  <c r="CC15" i="56"/>
  <c r="BW15" i="56" s="1"/>
  <c r="BX15" i="56" s="1"/>
  <c r="BO14" i="25"/>
  <c r="BC55" i="56"/>
  <c r="BB54" i="56"/>
  <c r="AC50" i="56"/>
  <c r="AR49" i="56"/>
  <c r="AJ48" i="56"/>
  <c r="BB47" i="56"/>
  <c r="Y47" i="56"/>
  <c r="AY46" i="56"/>
  <c r="AG46" i="56"/>
  <c r="AR45" i="56"/>
  <c r="Z45" i="56"/>
  <c r="AN66" i="56"/>
  <c r="Y65" i="56"/>
  <c r="AO61" i="56"/>
  <c r="AT56" i="56"/>
  <c r="AQ55" i="56"/>
  <c r="AS54" i="56"/>
  <c r="BB53" i="56"/>
  <c r="Y50" i="56"/>
  <c r="AP49" i="56"/>
  <c r="AB48" i="56"/>
  <c r="AZ47" i="56"/>
  <c r="AW46" i="56"/>
  <c r="AD46" i="56"/>
  <c r="AP45" i="56"/>
  <c r="X45" i="56"/>
  <c r="AD68" i="56"/>
  <c r="AP64" i="56"/>
  <c r="AE63" i="56"/>
  <c r="BB60" i="56"/>
  <c r="AI59" i="56"/>
  <c r="AF58" i="56"/>
  <c r="Y52" i="56"/>
  <c r="AK51" i="56"/>
  <c r="AS50" i="56"/>
  <c r="Y49" i="56"/>
  <c r="AQ48" i="56"/>
  <c r="AI47" i="56"/>
  <c r="AL46" i="56"/>
  <c r="AX45" i="56"/>
  <c r="AE45" i="56"/>
  <c r="V68" i="56"/>
  <c r="BE65" i="56"/>
  <c r="AL64" i="56"/>
  <c r="W63" i="56"/>
  <c r="AT60" i="56"/>
  <c r="AA59" i="56"/>
  <c r="X58" i="56"/>
  <c r="V52" i="56"/>
  <c r="AC51" i="56"/>
  <c r="AP50" i="56"/>
  <c r="BE49" i="56"/>
  <c r="V49" i="56"/>
  <c r="AP48" i="56"/>
  <c r="AC47" i="56"/>
  <c r="BE46" i="56"/>
  <c r="AW45" i="56"/>
  <c r="AD45" i="56"/>
  <c r="AS65" i="56"/>
  <c r="Z64" i="56"/>
  <c r="AL60" i="56"/>
  <c r="Y51" i="56"/>
  <c r="AL50" i="56"/>
  <c r="BA49" i="56"/>
  <c r="AL48" i="56"/>
  <c r="AA47" i="56"/>
  <c r="BA46" i="56"/>
  <c r="AI46" i="56"/>
  <c r="AT45" i="56"/>
  <c r="AB45" i="56"/>
  <c r="BB64" i="56"/>
  <c r="AF62" i="56"/>
  <c r="AL52" i="56"/>
  <c r="AC49" i="56"/>
  <c r="BB45" i="56"/>
  <c r="AX64" i="56"/>
  <c r="AB62" i="56"/>
  <c r="BC59" i="56"/>
  <c r="AK52" i="56"/>
  <c r="AB49" i="56"/>
  <c r="BA45" i="56"/>
  <c r="AY59" i="56"/>
  <c r="AC52" i="56"/>
  <c r="AA49" i="56"/>
  <c r="AQ46" i="56"/>
  <c r="AZ45" i="56"/>
  <c r="AQ59" i="56"/>
  <c r="AK57" i="56"/>
  <c r="Z49" i="56"/>
  <c r="AP46" i="56"/>
  <c r="AY45" i="56"/>
  <c r="AX68" i="56"/>
  <c r="AM59" i="56"/>
  <c r="AG57" i="56"/>
  <c r="X55" i="56"/>
  <c r="AK53" i="56"/>
  <c r="AO46" i="56"/>
  <c r="AJ45" i="56"/>
  <c r="AT68" i="56"/>
  <c r="AD57" i="56"/>
  <c r="W55" i="56"/>
  <c r="AC53" i="56"/>
  <c r="BE50" i="56"/>
  <c r="AN46" i="56"/>
  <c r="AI45" i="56"/>
  <c r="AL68" i="56"/>
  <c r="AC57" i="56"/>
  <c r="Y53" i="56"/>
  <c r="BB50" i="56"/>
  <c r="AO47" i="56"/>
  <c r="Y46" i="56"/>
  <c r="AH45" i="56"/>
  <c r="AH68" i="56"/>
  <c r="AY63" i="56"/>
  <c r="V53" i="56"/>
  <c r="BA50" i="56"/>
  <c r="AL47" i="56"/>
  <c r="X46" i="56"/>
  <c r="AG45" i="56"/>
  <c r="AU63" i="56"/>
  <c r="AK47" i="56"/>
  <c r="V46" i="56"/>
  <c r="AI63" i="56"/>
  <c r="AV58" i="56"/>
  <c r="BA51" i="56"/>
  <c r="AJ58" i="56"/>
  <c r="AA56" i="56"/>
  <c r="V54" i="56"/>
  <c r="AO51" i="56"/>
  <c r="AZ48" i="56"/>
  <c r="AA67" i="56"/>
  <c r="AR48" i="56"/>
  <c r="AO52" i="56"/>
  <c r="BV27" i="56"/>
  <c r="BX27" i="56"/>
  <c r="Y54" i="56"/>
  <c r="CB22" i="56"/>
  <c r="CA22" i="56"/>
  <c r="BX29" i="56"/>
  <c r="BV29" i="56"/>
  <c r="AM63" i="56"/>
  <c r="BO11" i="25"/>
  <c r="J29" i="25"/>
  <c r="AS48" i="56"/>
  <c r="BO28" i="25"/>
  <c r="AS38" i="57"/>
  <c r="AO38" i="57"/>
  <c r="AR38" i="57" s="1"/>
  <c r="G13" i="63"/>
  <c r="S27" i="113"/>
  <c r="BX11" i="56"/>
  <c r="BV11" i="56"/>
  <c r="AU33" i="56"/>
  <c r="AO33" i="56"/>
  <c r="BA48" i="56"/>
  <c r="BS39" i="117"/>
  <c r="BU39" i="117" s="1"/>
  <c r="A4" i="43"/>
  <c r="A7" i="43" s="1"/>
  <c r="I13" i="44" s="1"/>
  <c r="BT68" i="56"/>
  <c r="BX68" i="56"/>
  <c r="BV68" i="56" s="1"/>
  <c r="AO37" i="57"/>
  <c r="AR37" i="57" s="1"/>
  <c r="AQ37" i="57"/>
  <c r="AD24" i="113"/>
  <c r="BX67" i="56"/>
  <c r="BV67" i="56" s="1"/>
  <c r="BT67" i="56"/>
  <c r="AB35" i="56"/>
  <c r="V35" i="56"/>
  <c r="AC39" i="56"/>
  <c r="W39" i="56"/>
  <c r="E39" i="117"/>
  <c r="G39" i="117" s="1"/>
  <c r="Y24" i="25"/>
  <c r="AB24" i="25" s="1"/>
  <c r="Y33" i="25"/>
  <c r="AB33" i="25" s="1"/>
  <c r="Y19" i="25"/>
  <c r="AB19" i="25" s="1"/>
  <c r="Y17" i="25"/>
  <c r="AB17" i="25" s="1"/>
  <c r="Y38" i="25"/>
  <c r="Y28" i="25"/>
  <c r="Y15" i="25"/>
  <c r="Y35" i="25"/>
  <c r="AB35" i="25" s="1"/>
  <c r="Y30" i="25"/>
  <c r="AB30" i="25" s="1"/>
  <c r="Y25" i="25"/>
  <c r="AB25" i="25" s="1"/>
  <c r="Y32" i="25"/>
  <c r="AB32" i="25" s="1"/>
  <c r="Y22" i="25"/>
  <c r="AB22" i="25" s="1"/>
  <c r="Y31" i="25"/>
  <c r="AB31" i="25" s="1"/>
  <c r="Y34" i="25"/>
  <c r="AB34" i="25" s="1"/>
  <c r="S14" i="113"/>
  <c r="CB7" i="56"/>
  <c r="CA7" i="56"/>
  <c r="AT33" i="56"/>
  <c r="AN33" i="56"/>
  <c r="AG35" i="56"/>
  <c r="AA35" i="56"/>
  <c r="AK35" i="56"/>
  <c r="AI35" i="56"/>
  <c r="AD39" i="56"/>
  <c r="X39" i="56"/>
  <c r="AA39" i="117"/>
  <c r="AC39" i="117" s="1"/>
  <c r="AB28" i="25"/>
  <c r="X29" i="56"/>
  <c r="AJ29" i="56"/>
  <c r="AH32" i="56"/>
  <c r="BA37" i="56"/>
  <c r="AX37" i="56"/>
  <c r="Z39" i="56"/>
  <c r="AH39" i="56"/>
  <c r="AF39" i="56"/>
  <c r="A2" i="47"/>
  <c r="A4" i="47" s="1"/>
  <c r="A7" i="47" s="1"/>
  <c r="Y21" i="25"/>
  <c r="AB21" i="25" s="1"/>
  <c r="AB38" i="25"/>
  <c r="AR45" i="57"/>
  <c r="AP45" i="57"/>
  <c r="AO45" i="57" s="1"/>
  <c r="S26" i="113"/>
  <c r="Q34" i="113"/>
  <c r="AB52" i="113"/>
  <c r="AB51" i="113"/>
  <c r="AB50" i="113"/>
  <c r="AB49" i="113"/>
  <c r="AB48" i="113"/>
  <c r="AB47" i="113"/>
  <c r="AB46" i="113"/>
  <c r="AB45" i="113"/>
  <c r="AB44" i="113"/>
  <c r="AB43" i="113"/>
  <c r="AB42" i="113"/>
  <c r="AB41" i="113"/>
  <c r="AB40" i="113"/>
  <c r="AB39" i="113"/>
  <c r="AB38" i="113"/>
  <c r="AB37" i="113"/>
  <c r="AB36" i="113"/>
  <c r="AB35" i="113"/>
  <c r="AB33" i="113"/>
  <c r="AB31" i="113"/>
  <c r="Q52" i="113"/>
  <c r="Q51" i="113"/>
  <c r="Q50" i="113"/>
  <c r="Q49" i="113"/>
  <c r="Q48" i="113"/>
  <c r="Q47" i="113"/>
  <c r="Q46" i="113"/>
  <c r="Q45" i="113"/>
  <c r="Q44" i="113"/>
  <c r="Q43" i="113"/>
  <c r="Q42" i="113"/>
  <c r="Q41" i="113"/>
  <c r="Q40" i="113"/>
  <c r="Q39" i="113"/>
  <c r="Q38" i="113"/>
  <c r="Q37" i="113"/>
  <c r="AB34" i="113"/>
  <c r="AB32" i="113"/>
  <c r="AL29" i="56"/>
  <c r="AB29" i="56"/>
  <c r="Z29" i="56"/>
  <c r="AU31" i="56"/>
  <c r="AO39" i="57"/>
  <c r="S17" i="113"/>
  <c r="CB19" i="56"/>
  <c r="CA19" i="56"/>
  <c r="CB25" i="56"/>
  <c r="CC25" i="56" s="1"/>
  <c r="BW25" i="56" s="1"/>
  <c r="CA25" i="56"/>
  <c r="V34" i="56"/>
  <c r="AB34" i="56"/>
  <c r="AB15" i="25"/>
  <c r="Y29" i="25"/>
  <c r="AB29" i="25" s="1"/>
  <c r="Y39" i="25"/>
  <c r="AB39" i="25" s="1"/>
  <c r="H13" i="57"/>
  <c r="H12" i="57"/>
  <c r="H11" i="57"/>
  <c r="AQ39" i="57"/>
  <c r="AD27" i="113"/>
  <c r="CB8" i="56"/>
  <c r="CC8" i="56" s="1"/>
  <c r="BW8" i="56" s="1"/>
  <c r="CA8" i="56"/>
  <c r="Y19" i="56"/>
  <c r="V31" i="56"/>
  <c r="AH31" i="56"/>
  <c r="AH33" i="56"/>
  <c r="V33" i="56"/>
  <c r="W34" i="56"/>
  <c r="AC34" i="56"/>
  <c r="AE37" i="56"/>
  <c r="Y37" i="56"/>
  <c r="C2" i="42"/>
  <c r="C4" i="42" s="1"/>
  <c r="C7" i="42" s="1"/>
  <c r="C10" i="42" s="1"/>
  <c r="Y20" i="25"/>
  <c r="AB20" i="25" s="1"/>
  <c r="Y36" i="25"/>
  <c r="AB36" i="25" s="1"/>
  <c r="L19" i="63"/>
  <c r="L18" i="63"/>
  <c r="L16" i="63"/>
  <c r="L15" i="63"/>
  <c r="AD9" i="113"/>
  <c r="X19" i="56"/>
  <c r="V19" i="56"/>
  <c r="AI31" i="56"/>
  <c r="W31" i="56"/>
  <c r="AF37" i="56"/>
  <c r="Z37" i="56"/>
  <c r="AJ37" i="56"/>
  <c r="AH37" i="56"/>
  <c r="Y27" i="25"/>
  <c r="AB27" i="25" s="1"/>
  <c r="O24" i="59"/>
  <c r="O25" i="59" s="1"/>
  <c r="I11" i="59"/>
  <c r="I10" i="59"/>
  <c r="I22" i="59"/>
  <c r="O9" i="59"/>
  <c r="I21" i="59"/>
  <c r="I30" i="59"/>
  <c r="I20" i="59"/>
  <c r="O18" i="59"/>
  <c r="I16" i="59"/>
  <c r="O8" i="59"/>
  <c r="I28" i="59"/>
  <c r="C24" i="63"/>
  <c r="BV20" i="56"/>
  <c r="AJ31" i="56"/>
  <c r="X31" i="56"/>
  <c r="BV34" i="56"/>
  <c r="AN36" i="56"/>
  <c r="AQ36" i="56"/>
  <c r="AA37" i="56"/>
  <c r="AI37" i="56"/>
  <c r="AG37" i="56"/>
  <c r="C2" i="43"/>
  <c r="C4" i="43" s="1"/>
  <c r="C7" i="43" s="1"/>
  <c r="AC6" i="57"/>
  <c r="U32" i="59"/>
  <c r="U22" i="59"/>
  <c r="U31" i="59"/>
  <c r="U40" i="59"/>
  <c r="U30" i="59"/>
  <c r="U18" i="59"/>
  <c r="U16" i="59"/>
  <c r="U39" i="59"/>
  <c r="U35" i="59"/>
  <c r="U17" i="59"/>
  <c r="I29" i="59"/>
  <c r="U37" i="59"/>
  <c r="B25" i="63"/>
  <c r="B24" i="63"/>
  <c r="C31" i="63"/>
  <c r="S16" i="113"/>
  <c r="Q36" i="113"/>
  <c r="AD15" i="113"/>
  <c r="AO36" i="56"/>
  <c r="AR36" i="56"/>
  <c r="A2" i="45"/>
  <c r="A4" i="45" s="1"/>
  <c r="AH9" i="25"/>
  <c r="Y18" i="25"/>
  <c r="AB18" i="25" s="1"/>
  <c r="U15" i="59"/>
  <c r="U29" i="59"/>
  <c r="M7" i="63"/>
  <c r="N39" i="113"/>
  <c r="AD12" i="113"/>
  <c r="CB14" i="56"/>
  <c r="CA14" i="56"/>
  <c r="C2" i="45"/>
  <c r="C4" i="45" s="1"/>
  <c r="A10" i="49"/>
  <c r="A12" i="49" s="1"/>
  <c r="A15" i="49" s="1"/>
  <c r="D10" i="50" s="1"/>
  <c r="G42" i="52"/>
  <c r="I42" i="52" s="1"/>
  <c r="Y23" i="25"/>
  <c r="AB23" i="25" s="1"/>
  <c r="Q31" i="113"/>
  <c r="N35" i="113"/>
  <c r="N54" i="113" s="1"/>
  <c r="AD8" i="113"/>
  <c r="N42" i="113"/>
  <c r="BX31" i="56"/>
  <c r="AX35" i="56"/>
  <c r="BA35" i="56"/>
  <c r="A2" i="51"/>
  <c r="A4" i="51" s="1"/>
  <c r="A7" i="51" s="1"/>
  <c r="BJ21" i="25"/>
  <c r="AS8" i="25" s="1"/>
  <c r="AS36" i="57"/>
  <c r="AQ36" i="57"/>
  <c r="I19" i="59"/>
  <c r="O8" i="63"/>
  <c r="S15" i="113"/>
  <c r="AD26" i="113"/>
  <c r="CB9" i="56"/>
  <c r="CA9" i="56"/>
  <c r="AJ20" i="56"/>
  <c r="AJ49" i="56" s="1"/>
  <c r="CB35" i="56"/>
  <c r="CA35" i="56"/>
  <c r="Y16" i="25"/>
  <c r="AB16" i="25" s="1"/>
  <c r="Y26" i="25"/>
  <c r="AB26" i="25" s="1"/>
  <c r="Y37" i="25"/>
  <c r="AB37" i="25" s="1"/>
  <c r="P33" i="63"/>
  <c r="C20" i="63"/>
  <c r="C32" i="63"/>
  <c r="S19" i="113"/>
  <c r="Y32" i="113"/>
  <c r="N32" i="113"/>
  <c r="Y52" i="113"/>
  <c r="Y51" i="113"/>
  <c r="Y50" i="113"/>
  <c r="Y49" i="113"/>
  <c r="Y48" i="113"/>
  <c r="Y47" i="113"/>
  <c r="Y46" i="113"/>
  <c r="Y45" i="113"/>
  <c r="Y44" i="113"/>
  <c r="Y43" i="113"/>
  <c r="Y42" i="113"/>
  <c r="Y41" i="113"/>
  <c r="Y40" i="113"/>
  <c r="Y39" i="113"/>
  <c r="Y38" i="113"/>
  <c r="Y37" i="113"/>
  <c r="Y36" i="113"/>
  <c r="Y35" i="113"/>
  <c r="Y33" i="113"/>
  <c r="Y34" i="113"/>
  <c r="Y31" i="113"/>
  <c r="Q35" i="113"/>
  <c r="AD11" i="113"/>
  <c r="N48" i="113"/>
  <c r="AK20" i="56"/>
  <c r="CB28" i="56"/>
  <c r="CA28" i="56"/>
  <c r="BD32" i="56"/>
  <c r="AX32" i="56"/>
  <c r="AK25" i="111"/>
  <c r="AM25" i="111"/>
  <c r="CB12" i="56"/>
  <c r="AK16" i="56"/>
  <c r="AK45" i="56" s="1"/>
  <c r="AJ17" i="56"/>
  <c r="AJ46" i="56" s="1"/>
  <c r="AK21" i="56"/>
  <c r="CB21" i="56"/>
  <c r="CC21" i="56" s="1"/>
  <c r="BW21" i="56" s="1"/>
  <c r="AD32" i="56"/>
  <c r="AE15" i="59"/>
  <c r="AK17" i="56"/>
  <c r="AK46" i="56" s="1"/>
  <c r="CB24" i="56"/>
  <c r="CC24" i="56" s="1"/>
  <c r="BW24" i="56" s="1"/>
  <c r="BX24" i="56" s="1"/>
  <c r="AE32" i="56"/>
  <c r="CB34" i="56"/>
  <c r="CC34" i="56" s="1"/>
  <c r="BW34" i="56" s="1"/>
  <c r="BX34" i="56" s="1"/>
  <c r="AJ35" i="56"/>
  <c r="AA36" i="56"/>
  <c r="AC45" i="56"/>
  <c r="AU45" i="56"/>
  <c r="BB46" i="56"/>
  <c r="AB47" i="56"/>
  <c r="AO48" i="56"/>
  <c r="BB49" i="56"/>
  <c r="AO50" i="56"/>
  <c r="Z51" i="56"/>
  <c r="W59" i="56"/>
  <c r="AP60" i="56"/>
  <c r="AH64" i="56"/>
  <c r="BA65" i="56"/>
  <c r="CB36" i="56"/>
  <c r="CC36" i="56" s="1"/>
  <c r="BW36" i="56" s="1"/>
  <c r="BX36" i="56" s="1"/>
  <c r="W16" i="56"/>
  <c r="V17" i="56"/>
  <c r="AI19" i="56"/>
  <c r="W21" i="56"/>
  <c r="Z28" i="56"/>
  <c r="AL32" i="56"/>
  <c r="AC33" i="56"/>
  <c r="AH36" i="56"/>
  <c r="AO37" i="56"/>
  <c r="AF38" i="56"/>
  <c r="AW38" i="56"/>
  <c r="BD45" i="56"/>
  <c r="Z46" i="56"/>
  <c r="AR46" i="56"/>
  <c r="AP47" i="56"/>
  <c r="V48" i="56"/>
  <c r="BB48" i="56"/>
  <c r="BG77" i="56"/>
  <c r="O11" i="56" s="1"/>
  <c r="BB51" i="56"/>
  <c r="AS52" i="56"/>
  <c r="AL53" i="56"/>
  <c r="AC54" i="56"/>
  <c r="AA55" i="56"/>
  <c r="AD56" i="56"/>
  <c r="AS57" i="56"/>
  <c r="AW58" i="56"/>
  <c r="AJ62" i="56"/>
  <c r="BC63" i="56"/>
  <c r="AI67" i="56"/>
  <c r="BB68" i="56"/>
  <c r="AA11" i="111"/>
  <c r="W17" i="56"/>
  <c r="AA28" i="56"/>
  <c r="AO30" i="56"/>
  <c r="AW31" i="56"/>
  <c r="AM32" i="56"/>
  <c r="AI36" i="56"/>
  <c r="AG38" i="56"/>
  <c r="AL45" i="56"/>
  <c r="BE45" i="56"/>
  <c r="AA46" i="56"/>
  <c r="AS46" i="56"/>
  <c r="AQ47" i="56"/>
  <c r="Y48" i="56"/>
  <c r="BE48" i="56"/>
  <c r="AK49" i="56"/>
  <c r="BE51" i="56"/>
  <c r="BA52" i="56"/>
  <c r="AO53" i="56"/>
  <c r="AK54" i="56"/>
  <c r="AE55" i="56"/>
  <c r="AH56" i="56"/>
  <c r="AT57" i="56"/>
  <c r="AZ58" i="56"/>
  <c r="Y61" i="56"/>
  <c r="AR62" i="56"/>
  <c r="X66" i="56"/>
  <c r="AQ68" i="56"/>
  <c r="AA68" i="56"/>
  <c r="BD67" i="56"/>
  <c r="AN67" i="56"/>
  <c r="X67" i="56"/>
  <c r="BA66" i="56"/>
  <c r="AK66" i="56"/>
  <c r="AX65" i="56"/>
  <c r="AH65" i="56"/>
  <c r="AU64" i="56"/>
  <c r="AE64" i="56"/>
  <c r="AR63" i="56"/>
  <c r="AB63" i="56"/>
  <c r="BE62" i="56"/>
  <c r="AO62" i="56"/>
  <c r="Y62" i="56"/>
  <c r="BB61" i="56"/>
  <c r="AL61" i="56"/>
  <c r="V61" i="56"/>
  <c r="AY60" i="56"/>
  <c r="AI60" i="56"/>
  <c r="AV59" i="56"/>
  <c r="AF59" i="56"/>
  <c r="AS58" i="56"/>
  <c r="AC58" i="56"/>
  <c r="AP57" i="56"/>
  <c r="Z57" i="56"/>
  <c r="BC56" i="56"/>
  <c r="AM56" i="56"/>
  <c r="W56" i="56"/>
  <c r="AZ55" i="56"/>
  <c r="AJ55" i="56"/>
  <c r="AX54" i="56"/>
  <c r="AH54" i="56"/>
  <c r="AX53" i="56"/>
  <c r="AH53" i="56"/>
  <c r="AX52" i="56"/>
  <c r="AH52" i="56"/>
  <c r="AX51" i="56"/>
  <c r="AH51" i="56"/>
  <c r="AX50" i="56"/>
  <c r="AH50" i="56"/>
  <c r="AX49" i="56"/>
  <c r="AH49" i="56"/>
  <c r="AX48" i="56"/>
  <c r="AH48" i="56"/>
  <c r="AX47" i="56"/>
  <c r="AH47" i="56"/>
  <c r="AP68" i="56"/>
  <c r="Z68" i="56"/>
  <c r="BC67" i="56"/>
  <c r="AM67" i="56"/>
  <c r="W67" i="56"/>
  <c r="AZ66" i="56"/>
  <c r="AJ66" i="56"/>
  <c r="AW65" i="56"/>
  <c r="AG65" i="56"/>
  <c r="AT64" i="56"/>
  <c r="AD64" i="56"/>
  <c r="AQ63" i="56"/>
  <c r="AA63" i="56"/>
  <c r="BD62" i="56"/>
  <c r="AN62" i="56"/>
  <c r="X62" i="56"/>
  <c r="BA61" i="56"/>
  <c r="AK61" i="56"/>
  <c r="AX60" i="56"/>
  <c r="AH60" i="56"/>
  <c r="AU59" i="56"/>
  <c r="AE59" i="56"/>
  <c r="AR58" i="56"/>
  <c r="AB58" i="56"/>
  <c r="BE57" i="56"/>
  <c r="AO57" i="56"/>
  <c r="Y57" i="56"/>
  <c r="BB56" i="56"/>
  <c r="AL56" i="56"/>
  <c r="V56" i="56"/>
  <c r="AY55" i="56"/>
  <c r="AI55" i="56"/>
  <c r="AW54" i="56"/>
  <c r="AG54" i="56"/>
  <c r="AW53" i="56"/>
  <c r="AG53" i="56"/>
  <c r="AW52" i="56"/>
  <c r="AG52" i="56"/>
  <c r="AW51" i="56"/>
  <c r="AG51" i="56"/>
  <c r="AW50" i="56"/>
  <c r="AG50" i="56"/>
  <c r="AW49" i="56"/>
  <c r="AG49" i="56"/>
  <c r="AW48" i="56"/>
  <c r="AG48" i="56"/>
  <c r="AW47" i="56"/>
  <c r="AG47" i="56"/>
  <c r="BE68" i="56"/>
  <c r="AO68" i="56"/>
  <c r="Y68" i="56"/>
  <c r="BB67" i="56"/>
  <c r="AL67" i="56"/>
  <c r="V67" i="56"/>
  <c r="AY66" i="56"/>
  <c r="AI66" i="56"/>
  <c r="AV65" i="56"/>
  <c r="AF65" i="56"/>
  <c r="AS64" i="56"/>
  <c r="AC64" i="56"/>
  <c r="AP63" i="56"/>
  <c r="Z63" i="56"/>
  <c r="BC62" i="56"/>
  <c r="AM62" i="56"/>
  <c r="W62" i="56"/>
  <c r="AZ61" i="56"/>
  <c r="AJ61" i="56"/>
  <c r="AW60" i="56"/>
  <c r="AG60" i="56"/>
  <c r="AT59" i="56"/>
  <c r="AD59" i="56"/>
  <c r="AQ58" i="56"/>
  <c r="AA58" i="56"/>
  <c r="BD57" i="56"/>
  <c r="AN57" i="56"/>
  <c r="X57" i="56"/>
  <c r="BA56" i="56"/>
  <c r="AK56" i="56"/>
  <c r="AX55" i="56"/>
  <c r="AH55" i="56"/>
  <c r="AV54" i="56"/>
  <c r="AF54" i="56"/>
  <c r="AV53" i="56"/>
  <c r="AF53" i="56"/>
  <c r="AV52" i="56"/>
  <c r="AF52" i="56"/>
  <c r="AV51" i="56"/>
  <c r="AF51" i="56"/>
  <c r="AV50" i="56"/>
  <c r="AF50" i="56"/>
  <c r="AV49" i="56"/>
  <c r="AF49" i="56"/>
  <c r="AV48" i="56"/>
  <c r="AF48" i="56"/>
  <c r="AV47" i="56"/>
  <c r="AF47" i="56"/>
  <c r="AV46" i="56"/>
  <c r="AF46" i="56"/>
  <c r="AV45" i="56"/>
  <c r="AF45" i="56"/>
  <c r="BD68" i="56"/>
  <c r="AN68" i="56"/>
  <c r="X68" i="56"/>
  <c r="BA67" i="56"/>
  <c r="AK67" i="56"/>
  <c r="AX66" i="56"/>
  <c r="AH66" i="56"/>
  <c r="AU65" i="56"/>
  <c r="AE65" i="56"/>
  <c r="AR64" i="56"/>
  <c r="AB64" i="56"/>
  <c r="BE63" i="56"/>
  <c r="AO63" i="56"/>
  <c r="Y63" i="56"/>
  <c r="BB62" i="56"/>
  <c r="AL62" i="56"/>
  <c r="V62" i="56"/>
  <c r="AY61" i="56"/>
  <c r="AI61" i="56"/>
  <c r="AV60" i="56"/>
  <c r="AF60" i="56"/>
  <c r="AS59" i="56"/>
  <c r="AC59" i="56"/>
  <c r="AP58" i="56"/>
  <c r="Z58" i="56"/>
  <c r="BC57" i="56"/>
  <c r="AM57" i="56"/>
  <c r="W57" i="56"/>
  <c r="AZ56" i="56"/>
  <c r="AJ56" i="56"/>
  <c r="AW55" i="56"/>
  <c r="AG55" i="56"/>
  <c r="AU54" i="56"/>
  <c r="AE54" i="56"/>
  <c r="AU53" i="56"/>
  <c r="AE53" i="56"/>
  <c r="AU52" i="56"/>
  <c r="AE52" i="56"/>
  <c r="AU51" i="56"/>
  <c r="AE51" i="56"/>
  <c r="AU50" i="56"/>
  <c r="AE50" i="56"/>
  <c r="AU49" i="56"/>
  <c r="AE49" i="56"/>
  <c r="AU48" i="56"/>
  <c r="AE48" i="56"/>
  <c r="AU47" i="56"/>
  <c r="AE47" i="56"/>
  <c r="BC68" i="56"/>
  <c r="AM68" i="56"/>
  <c r="W68" i="56"/>
  <c r="AZ67" i="56"/>
  <c r="AJ67" i="56"/>
  <c r="AW66" i="56"/>
  <c r="AG66" i="56"/>
  <c r="AT65" i="56"/>
  <c r="AD65" i="56"/>
  <c r="AQ64" i="56"/>
  <c r="AA64" i="56"/>
  <c r="BD63" i="56"/>
  <c r="AN63" i="56"/>
  <c r="X63" i="56"/>
  <c r="BA62" i="56"/>
  <c r="AK62" i="56"/>
  <c r="AX61" i="56"/>
  <c r="AH61" i="56"/>
  <c r="AU60" i="56"/>
  <c r="AE60" i="56"/>
  <c r="AR59" i="56"/>
  <c r="AB59" i="56"/>
  <c r="BE58" i="56"/>
  <c r="AO58" i="56"/>
  <c r="Y58" i="56"/>
  <c r="BB57" i="56"/>
  <c r="AL57" i="56"/>
  <c r="V57" i="56"/>
  <c r="AY56" i="56"/>
  <c r="AI56" i="56"/>
  <c r="AV55" i="56"/>
  <c r="AF55" i="56"/>
  <c r="AT54" i="56"/>
  <c r="AD54" i="56"/>
  <c r="AT53" i="56"/>
  <c r="AD53" i="56"/>
  <c r="AT52" i="56"/>
  <c r="AD52" i="56"/>
  <c r="AT51" i="56"/>
  <c r="AD51" i="56"/>
  <c r="AT50" i="56"/>
  <c r="AD50" i="56"/>
  <c r="AT49" i="56"/>
  <c r="AD49" i="56"/>
  <c r="AT48" i="56"/>
  <c r="AD48" i="56"/>
  <c r="AT47" i="56"/>
  <c r="AD47" i="56"/>
  <c r="BA68" i="56"/>
  <c r="AK68" i="56"/>
  <c r="AX67" i="56"/>
  <c r="AH67" i="56"/>
  <c r="AU66" i="56"/>
  <c r="AE66" i="56"/>
  <c r="AR65" i="56"/>
  <c r="AB65" i="56"/>
  <c r="BE64" i="56"/>
  <c r="AO64" i="56"/>
  <c r="Y64" i="56"/>
  <c r="BB63" i="56"/>
  <c r="AL63" i="56"/>
  <c r="V63" i="56"/>
  <c r="AY62" i="56"/>
  <c r="AI62" i="56"/>
  <c r="AV61" i="56"/>
  <c r="AF61" i="56"/>
  <c r="AS60" i="56"/>
  <c r="AC60" i="56"/>
  <c r="AP59" i="56"/>
  <c r="Z59" i="56"/>
  <c r="BC58" i="56"/>
  <c r="AM58" i="56"/>
  <c r="W58" i="56"/>
  <c r="AZ57" i="56"/>
  <c r="AJ57" i="56"/>
  <c r="AW56" i="56"/>
  <c r="AG56" i="56"/>
  <c r="AT55" i="56"/>
  <c r="AD55" i="56"/>
  <c r="AR54" i="56"/>
  <c r="AB54" i="56"/>
  <c r="AR53" i="56"/>
  <c r="AB53" i="56"/>
  <c r="AR52" i="56"/>
  <c r="AB52" i="56"/>
  <c r="AR51" i="56"/>
  <c r="AB51" i="56"/>
  <c r="AR50" i="56"/>
  <c r="AB50" i="56"/>
  <c r="AZ68" i="56"/>
  <c r="AJ68" i="56"/>
  <c r="AW67" i="56"/>
  <c r="AG67" i="56"/>
  <c r="AT66" i="56"/>
  <c r="AD66" i="56"/>
  <c r="AQ65" i="56"/>
  <c r="AA65" i="56"/>
  <c r="BD64" i="56"/>
  <c r="AN64" i="56"/>
  <c r="X64" i="56"/>
  <c r="BA63" i="56"/>
  <c r="AK63" i="56"/>
  <c r="AX62" i="56"/>
  <c r="AH62" i="56"/>
  <c r="AU61" i="56"/>
  <c r="AE61" i="56"/>
  <c r="AR60" i="56"/>
  <c r="AB60" i="56"/>
  <c r="BE59" i="56"/>
  <c r="AO59" i="56"/>
  <c r="Y59" i="56"/>
  <c r="BB58" i="56"/>
  <c r="AL58" i="56"/>
  <c r="V58" i="56"/>
  <c r="AY57" i="56"/>
  <c r="AI57" i="56"/>
  <c r="AV56" i="56"/>
  <c r="AF56" i="56"/>
  <c r="AS55" i="56"/>
  <c r="AC55" i="56"/>
  <c r="AQ54" i="56"/>
  <c r="AA54" i="56"/>
  <c r="AQ53" i="56"/>
  <c r="AA53" i="56"/>
  <c r="AQ52" i="56"/>
  <c r="AA52" i="56"/>
  <c r="AQ51" i="56"/>
  <c r="AA51" i="56"/>
  <c r="AQ50" i="56"/>
  <c r="AA50" i="56"/>
  <c r="AY68" i="56"/>
  <c r="AI68" i="56"/>
  <c r="AV67" i="56"/>
  <c r="AF67" i="56"/>
  <c r="AS66" i="56"/>
  <c r="AC66" i="56"/>
  <c r="AP65" i="56"/>
  <c r="Z65" i="56"/>
  <c r="BC64" i="56"/>
  <c r="AM64" i="56"/>
  <c r="W64" i="56"/>
  <c r="AZ63" i="56"/>
  <c r="AJ63" i="56"/>
  <c r="AW62" i="56"/>
  <c r="AG62" i="56"/>
  <c r="AT61" i="56"/>
  <c r="AD61" i="56"/>
  <c r="AQ60" i="56"/>
  <c r="AA60" i="56"/>
  <c r="BD59" i="56"/>
  <c r="AN59" i="56"/>
  <c r="X59" i="56"/>
  <c r="BA58" i="56"/>
  <c r="AK58" i="56"/>
  <c r="AX57" i="56"/>
  <c r="AH57" i="56"/>
  <c r="AU56" i="56"/>
  <c r="AE56" i="56"/>
  <c r="AR55" i="56"/>
  <c r="AB55" i="56"/>
  <c r="AP54" i="56"/>
  <c r="Z54" i="56"/>
  <c r="AP53" i="56"/>
  <c r="Z53" i="56"/>
  <c r="AP52" i="56"/>
  <c r="Z52" i="56"/>
  <c r="AP51" i="56"/>
  <c r="AW68" i="56"/>
  <c r="AG68" i="56"/>
  <c r="AT67" i="56"/>
  <c r="AD67" i="56"/>
  <c r="AQ66" i="56"/>
  <c r="AA66" i="56"/>
  <c r="BD65" i="56"/>
  <c r="AN65" i="56"/>
  <c r="X65" i="56"/>
  <c r="BA64" i="56"/>
  <c r="AK64" i="56"/>
  <c r="AX63" i="56"/>
  <c r="AH63" i="56"/>
  <c r="AU62" i="56"/>
  <c r="AE62" i="56"/>
  <c r="AR61" i="56"/>
  <c r="AB61" i="56"/>
  <c r="BE60" i="56"/>
  <c r="AO60" i="56"/>
  <c r="Y60" i="56"/>
  <c r="BB59" i="56"/>
  <c r="AL59" i="56"/>
  <c r="V59" i="56"/>
  <c r="AY58" i="56"/>
  <c r="AI58" i="56"/>
  <c r="AV57" i="56"/>
  <c r="AF57" i="56"/>
  <c r="AS56" i="56"/>
  <c r="AC56" i="56"/>
  <c r="AP55" i="56"/>
  <c r="Z55" i="56"/>
  <c r="BD54" i="56"/>
  <c r="AN54" i="56"/>
  <c r="X54" i="56"/>
  <c r="BD53" i="56"/>
  <c r="AN53" i="56"/>
  <c r="X53" i="56"/>
  <c r="BD52" i="56"/>
  <c r="AN52" i="56"/>
  <c r="X52" i="56"/>
  <c r="BD51" i="56"/>
  <c r="AN51" i="56"/>
  <c r="X51" i="56"/>
  <c r="BD50" i="56"/>
  <c r="AN50" i="56"/>
  <c r="X50" i="56"/>
  <c r="BD49" i="56"/>
  <c r="AN49" i="56"/>
  <c r="X49" i="56"/>
  <c r="BD48" i="56"/>
  <c r="AN48" i="56"/>
  <c r="X48" i="56"/>
  <c r="BD47" i="56"/>
  <c r="AN47" i="56"/>
  <c r="X47" i="56"/>
  <c r="BD46" i="56"/>
  <c r="AV68" i="56"/>
  <c r="AF68" i="56"/>
  <c r="AS67" i="56"/>
  <c r="AC67" i="56"/>
  <c r="AP66" i="56"/>
  <c r="Z66" i="56"/>
  <c r="BC65" i="56"/>
  <c r="AM65" i="56"/>
  <c r="W65" i="56"/>
  <c r="AZ64" i="56"/>
  <c r="AJ64" i="56"/>
  <c r="AW63" i="56"/>
  <c r="AG63" i="56"/>
  <c r="AT62" i="56"/>
  <c r="AD62" i="56"/>
  <c r="AQ61" i="56"/>
  <c r="AA61" i="56"/>
  <c r="BD60" i="56"/>
  <c r="AN60" i="56"/>
  <c r="X60" i="56"/>
  <c r="BA59" i="56"/>
  <c r="AK59" i="56"/>
  <c r="AX58" i="56"/>
  <c r="AH58" i="56"/>
  <c r="AU57" i="56"/>
  <c r="AE57" i="56"/>
  <c r="AR56" i="56"/>
  <c r="AB56" i="56"/>
  <c r="BE55" i="56"/>
  <c r="AO55" i="56"/>
  <c r="Y55" i="56"/>
  <c r="BC54" i="56"/>
  <c r="AM54" i="56"/>
  <c r="W54" i="56"/>
  <c r="BC53" i="56"/>
  <c r="AM53" i="56"/>
  <c r="W53" i="56"/>
  <c r="BC52" i="56"/>
  <c r="AM52" i="56"/>
  <c r="W52" i="56"/>
  <c r="BC51" i="56"/>
  <c r="AM51" i="56"/>
  <c r="W51" i="56"/>
  <c r="BC50" i="56"/>
  <c r="AM50" i="56"/>
  <c r="W50" i="56"/>
  <c r="BC49" i="56"/>
  <c r="AM49" i="56"/>
  <c r="W49" i="56"/>
  <c r="BC48" i="56"/>
  <c r="AM48" i="56"/>
  <c r="W48" i="56"/>
  <c r="BC47" i="56"/>
  <c r="AM47" i="56"/>
  <c r="W47" i="56"/>
  <c r="BC46" i="56"/>
  <c r="AM46" i="56"/>
  <c r="W46" i="56"/>
  <c r="BC45" i="56"/>
  <c r="AM45" i="56"/>
  <c r="W45" i="56"/>
  <c r="AU68" i="56"/>
  <c r="AE68" i="56"/>
  <c r="AR67" i="56"/>
  <c r="AB67" i="56"/>
  <c r="BE66" i="56"/>
  <c r="AO66" i="56"/>
  <c r="Y66" i="56"/>
  <c r="BB65" i="56"/>
  <c r="AL65" i="56"/>
  <c r="V65" i="56"/>
  <c r="AY64" i="56"/>
  <c r="AI64" i="56"/>
  <c r="AV63" i="56"/>
  <c r="AF63" i="56"/>
  <c r="AS62" i="56"/>
  <c r="AC62" i="56"/>
  <c r="AP61" i="56"/>
  <c r="Z61" i="56"/>
  <c r="BC60" i="56"/>
  <c r="AM60" i="56"/>
  <c r="W60" i="56"/>
  <c r="AZ59" i="56"/>
  <c r="AJ59" i="56"/>
  <c r="AS68" i="56"/>
  <c r="AC68" i="56"/>
  <c r="AP67" i="56"/>
  <c r="Z67" i="56"/>
  <c r="BC66" i="56"/>
  <c r="AM66" i="56"/>
  <c r="W66" i="56"/>
  <c r="AZ65" i="56"/>
  <c r="AJ65" i="56"/>
  <c r="AW64" i="56"/>
  <c r="AG64" i="56"/>
  <c r="AT63" i="56"/>
  <c r="AD63" i="56"/>
  <c r="AQ62" i="56"/>
  <c r="AA62" i="56"/>
  <c r="BD61" i="56"/>
  <c r="AN61" i="56"/>
  <c r="X61" i="56"/>
  <c r="BA60" i="56"/>
  <c r="AK60" i="56"/>
  <c r="AX59" i="56"/>
  <c r="AH59" i="56"/>
  <c r="AU58" i="56"/>
  <c r="AE58" i="56"/>
  <c r="AR57" i="56"/>
  <c r="AB57" i="56"/>
  <c r="BE56" i="56"/>
  <c r="AO56" i="56"/>
  <c r="Y56" i="56"/>
  <c r="BB55" i="56"/>
  <c r="AL55" i="56"/>
  <c r="V55" i="56"/>
  <c r="AZ54" i="56"/>
  <c r="AJ54" i="56"/>
  <c r="AZ53" i="56"/>
  <c r="AJ53" i="56"/>
  <c r="AZ52" i="56"/>
  <c r="AJ52" i="56"/>
  <c r="AZ51" i="56"/>
  <c r="AJ51" i="56"/>
  <c r="AZ50" i="56"/>
  <c r="AJ50" i="56"/>
  <c r="AZ49" i="56"/>
  <c r="AR68" i="56"/>
  <c r="AB68" i="56"/>
  <c r="BE67" i="56"/>
  <c r="AO67" i="56"/>
  <c r="Y67" i="56"/>
  <c r="BB66" i="56"/>
  <c r="AL66" i="56"/>
  <c r="V66" i="56"/>
  <c r="AY65" i="56"/>
  <c r="AI65" i="56"/>
  <c r="AV64" i="56"/>
  <c r="AF64" i="56"/>
  <c r="AS63" i="56"/>
  <c r="AC63" i="56"/>
  <c r="AP62" i="56"/>
  <c r="Z62" i="56"/>
  <c r="BC61" i="56"/>
  <c r="AM61" i="56"/>
  <c r="W61" i="56"/>
  <c r="AZ60" i="56"/>
  <c r="AJ60" i="56"/>
  <c r="AW59" i="56"/>
  <c r="AG59" i="56"/>
  <c r="AT58" i="56"/>
  <c r="AD58" i="56"/>
  <c r="AQ57" i="56"/>
  <c r="AA57" i="56"/>
  <c r="BD56" i="56"/>
  <c r="AN56" i="56"/>
  <c r="X56" i="56"/>
  <c r="BA55" i="56"/>
  <c r="AK55" i="56"/>
  <c r="AY54" i="56"/>
  <c r="AI54" i="56"/>
  <c r="AY53" i="56"/>
  <c r="AI53" i="56"/>
  <c r="AY52" i="56"/>
  <c r="AI52" i="56"/>
  <c r="AY51" i="56"/>
  <c r="AI51" i="56"/>
  <c r="AY50" i="56"/>
  <c r="AI50" i="56"/>
  <c r="AY49" i="56"/>
  <c r="AI49" i="56"/>
  <c r="AY48" i="56"/>
  <c r="AI48" i="56"/>
  <c r="AY47" i="56"/>
  <c r="CA6" i="56"/>
  <c r="Z30" i="56"/>
  <c r="AO39" i="56"/>
  <c r="AN45" i="56"/>
  <c r="AB46" i="56"/>
  <c r="AT46" i="56"/>
  <c r="AR47" i="56"/>
  <c r="Z48" i="56"/>
  <c r="BF75" i="56"/>
  <c r="N9" i="56" s="1"/>
  <c r="AL49" i="56"/>
  <c r="BB52" i="56"/>
  <c r="AS53" i="56"/>
  <c r="AL54" i="56"/>
  <c r="AM55" i="56"/>
  <c r="AP56" i="56"/>
  <c r="AW57" i="56"/>
  <c r="BD58" i="56"/>
  <c r="AC61" i="56"/>
  <c r="AV62" i="56"/>
  <c r="AB66" i="56"/>
  <c r="AU67" i="56"/>
  <c r="BS31" i="111"/>
  <c r="CB6" i="56"/>
  <c r="AC28" i="56"/>
  <c r="AI38" i="56"/>
  <c r="V45" i="56"/>
  <c r="AO45" i="56"/>
  <c r="AC46" i="56"/>
  <c r="AU46" i="56"/>
  <c r="AS47" i="56"/>
  <c r="AA48" i="56"/>
  <c r="AO49" i="56"/>
  <c r="V50" i="56"/>
  <c r="BE52" i="56"/>
  <c r="BA53" i="56"/>
  <c r="AO54" i="56"/>
  <c r="AN55" i="56"/>
  <c r="AQ56" i="56"/>
  <c r="BA57" i="56"/>
  <c r="AG61" i="56"/>
  <c r="AZ62" i="56"/>
  <c r="AF66" i="56"/>
  <c r="AY67" i="56"/>
  <c r="BZ53" i="56"/>
  <c r="BZ52" i="56"/>
  <c r="BZ51" i="56"/>
  <c r="BZ50" i="56"/>
  <c r="BZ49" i="56"/>
  <c r="BZ48" i="56"/>
  <c r="BZ47" i="56"/>
  <c r="AH18" i="56"/>
  <c r="V20" i="56"/>
  <c r="AB30" i="56"/>
  <c r="Z32" i="56"/>
  <c r="AN34" i="56"/>
  <c r="CB13" i="56"/>
  <c r="CC13" i="56" s="1"/>
  <c r="BW13" i="56" s="1"/>
  <c r="BX13" i="56" s="1"/>
  <c r="BO17" i="56"/>
  <c r="CB30" i="56"/>
  <c r="CC30" i="56" s="1"/>
  <c r="BW30" i="56" s="1"/>
  <c r="BX30" i="56" s="1"/>
  <c r="AA32" i="56"/>
  <c r="AF35" i="56"/>
  <c r="CA39" i="56"/>
  <c r="Y45" i="56"/>
  <c r="AQ45" i="56"/>
  <c r="AE46" i="56"/>
  <c r="AX46" i="56"/>
  <c r="V47" i="56"/>
  <c r="BA47" i="56"/>
  <c r="AC48" i="56"/>
  <c r="AQ49" i="56"/>
  <c r="Z50" i="56"/>
  <c r="BE53" i="56"/>
  <c r="BA54" i="56"/>
  <c r="AU55" i="56"/>
  <c r="AX56" i="56"/>
  <c r="V60" i="56"/>
  <c r="AS61" i="56"/>
  <c r="AC65" i="56"/>
  <c r="AR66" i="56"/>
  <c r="BR67" i="56"/>
  <c r="BR68" i="56"/>
  <c r="BP17" i="56"/>
  <c r="CB39" i="56"/>
  <c r="CC39" i="56" s="1"/>
  <c r="BW39" i="56" s="1"/>
  <c r="BX39" i="56" s="1"/>
  <c r="Z60" i="56"/>
  <c r="AW61" i="56"/>
  <c r="AK65" i="56"/>
  <c r="AV66" i="56"/>
  <c r="Z10" i="111"/>
  <c r="CB10" i="56"/>
  <c r="CC10" i="56" s="1"/>
  <c r="BW10" i="56" s="1"/>
  <c r="CA12" i="56"/>
  <c r="CB18" i="56"/>
  <c r="CC18" i="56" s="1"/>
  <c r="BW18" i="56" s="1"/>
  <c r="BX18" i="56" s="1"/>
  <c r="AA45" i="56"/>
  <c r="AS45" i="56"/>
  <c r="AH46" i="56"/>
  <c r="AZ46" i="56"/>
  <c r="Z47" i="56"/>
  <c r="BE47" i="56"/>
  <c r="AK48" i="56"/>
  <c r="AS49" i="56"/>
  <c r="AK50" i="56"/>
  <c r="V51" i="56"/>
  <c r="BE54" i="56"/>
  <c r="BD55" i="56"/>
  <c r="AD60" i="56"/>
  <c r="BE61" i="56"/>
  <c r="V64" i="56"/>
  <c r="AO65" i="56"/>
  <c r="BD66" i="56"/>
  <c r="AN21" i="111"/>
  <c r="AL21" i="111"/>
  <c r="S8" i="111"/>
  <c r="J10" i="111"/>
  <c r="Q11" i="111"/>
  <c r="L17" i="111"/>
  <c r="M20" i="111"/>
  <c r="P22" i="111"/>
  <c r="S23" i="111"/>
  <c r="J30" i="111"/>
  <c r="Q31" i="111"/>
  <c r="I32" i="111"/>
  <c r="S33" i="111"/>
  <c r="M36" i="111"/>
  <c r="Q38" i="111"/>
  <c r="J41" i="111"/>
  <c r="AP46" i="111"/>
  <c r="AS48" i="111"/>
  <c r="AP50" i="111"/>
  <c r="AM51" i="111"/>
  <c r="AS52" i="111"/>
  <c r="AP53" i="111"/>
  <c r="AT55" i="111"/>
  <c r="AQ56" i="111"/>
  <c r="AK59" i="111"/>
  <c r="AN62" i="111"/>
  <c r="AK63" i="111"/>
  <c r="AQ64" i="111"/>
  <c r="AR67" i="111"/>
  <c r="AR70" i="111"/>
  <c r="AR74" i="111"/>
  <c r="AO75" i="111"/>
  <c r="AL76" i="111"/>
  <c r="AO79" i="111"/>
  <c r="AL80" i="111"/>
  <c r="AP82" i="111"/>
  <c r="AM84" i="111"/>
  <c r="AS85" i="111"/>
  <c r="AP86" i="111"/>
  <c r="AM87" i="111"/>
  <c r="AP90" i="111"/>
  <c r="AL92" i="111"/>
  <c r="AR93" i="111"/>
  <c r="AN96" i="111"/>
  <c r="AT97" i="111"/>
  <c r="AP99" i="111"/>
  <c r="AL102" i="111"/>
  <c r="AR103" i="111"/>
  <c r="AN107" i="111"/>
  <c r="AT108" i="111"/>
  <c r="AP110" i="111"/>
  <c r="AL113" i="111"/>
  <c r="AR114" i="111"/>
  <c r="AN116" i="111"/>
  <c r="AT119" i="111"/>
  <c r="AN121" i="111"/>
  <c r="AS123" i="111"/>
  <c r="AM125" i="111"/>
  <c r="AR126" i="111"/>
  <c r="AL129" i="111"/>
  <c r="AQ130" i="111"/>
  <c r="AK132" i="111"/>
  <c r="AP134" i="111"/>
  <c r="AU135" i="111"/>
  <c r="AO137" i="111"/>
  <c r="AT139" i="111"/>
  <c r="AN141" i="111"/>
  <c r="AS142" i="111"/>
  <c r="AM146" i="111"/>
  <c r="AR147" i="111"/>
  <c r="AL149" i="111"/>
  <c r="AR151" i="111"/>
  <c r="AR153" i="111"/>
  <c r="AM159" i="111"/>
  <c r="AL165" i="111"/>
  <c r="AN175" i="111"/>
  <c r="AR185" i="111"/>
  <c r="AM201" i="111"/>
  <c r="K10" i="111"/>
  <c r="R11" i="111"/>
  <c r="M17" i="111"/>
  <c r="N20" i="111"/>
  <c r="Q22" i="111"/>
  <c r="K30" i="111"/>
  <c r="R31" i="111"/>
  <c r="J32" i="111"/>
  <c r="N36" i="111"/>
  <c r="R38" i="111"/>
  <c r="K41" i="111"/>
  <c r="AQ46" i="111"/>
  <c r="AT48" i="111"/>
  <c r="AH11" i="111" s="1"/>
  <c r="AQ50" i="111"/>
  <c r="AN51" i="111"/>
  <c r="AT52" i="111"/>
  <c r="AQ53" i="111"/>
  <c r="AR56" i="111"/>
  <c r="AL59" i="111"/>
  <c r="AO62" i="111"/>
  <c r="AL63" i="111"/>
  <c r="AR64" i="111"/>
  <c r="AS67" i="111"/>
  <c r="AS70" i="111"/>
  <c r="AS74" i="111"/>
  <c r="AP75" i="111"/>
  <c r="AM76" i="111"/>
  <c r="AP79" i="111"/>
  <c r="AM80" i="111"/>
  <c r="AQ82" i="111"/>
  <c r="AN84" i="111"/>
  <c r="AT85" i="111"/>
  <c r="AQ86" i="111"/>
  <c r="AN87" i="111"/>
  <c r="AK89" i="111"/>
  <c r="AQ90" i="111"/>
  <c r="AM92" i="111"/>
  <c r="AS93" i="111"/>
  <c r="AO96" i="111"/>
  <c r="AK98" i="111"/>
  <c r="AQ99" i="111"/>
  <c r="AM102" i="111"/>
  <c r="AS103" i="111"/>
  <c r="AO107" i="111"/>
  <c r="AK109" i="111"/>
  <c r="AQ110" i="111"/>
  <c r="AM113" i="111"/>
  <c r="AS114" i="111"/>
  <c r="AO116" i="111"/>
  <c r="AU119" i="111"/>
  <c r="AI8" i="111" s="1"/>
  <c r="AO121" i="111"/>
  <c r="AT123" i="111"/>
  <c r="AN125" i="111"/>
  <c r="AS126" i="111"/>
  <c r="AM129" i="111"/>
  <c r="AR130" i="111"/>
  <c r="AL132" i="111"/>
  <c r="AQ134" i="111"/>
  <c r="AK136" i="111"/>
  <c r="AP137" i="111"/>
  <c r="AU139" i="111"/>
  <c r="AO141" i="111"/>
  <c r="AT142" i="111"/>
  <c r="AN146" i="111"/>
  <c r="AS147" i="111"/>
  <c r="AM149" i="111"/>
  <c r="AS151" i="111"/>
  <c r="AT153" i="111"/>
  <c r="AR159" i="111"/>
  <c r="AS165" i="111"/>
  <c r="AO175" i="111"/>
  <c r="AO186" i="111"/>
  <c r="AN201" i="111"/>
  <c r="M10" i="111"/>
  <c r="O17" i="111"/>
  <c r="P20" i="111"/>
  <c r="S22" i="111"/>
  <c r="I24" i="111"/>
  <c r="M30" i="111"/>
  <c r="L32" i="111"/>
  <c r="P36" i="111"/>
  <c r="J37" i="111"/>
  <c r="M41" i="111"/>
  <c r="AS46" i="111"/>
  <c r="AS50" i="111"/>
  <c r="AP51" i="111"/>
  <c r="AS53" i="111"/>
  <c r="AT56" i="111"/>
  <c r="AN59" i="111"/>
  <c r="AK61" i="111"/>
  <c r="AQ62" i="111"/>
  <c r="AN63" i="111"/>
  <c r="AT64" i="111"/>
  <c r="AK68" i="111"/>
  <c r="AK71" i="111"/>
  <c r="AR75" i="111"/>
  <c r="AO76" i="111"/>
  <c r="AL78" i="111"/>
  <c r="AR79" i="111"/>
  <c r="AO80" i="111"/>
  <c r="AS82" i="111"/>
  <c r="AP84" i="111"/>
  <c r="AS86" i="111"/>
  <c r="AP87" i="111"/>
  <c r="AM89" i="111"/>
  <c r="AS90" i="111"/>
  <c r="AO92" i="111"/>
  <c r="AK94" i="111"/>
  <c r="AQ96" i="111"/>
  <c r="AM98" i="111"/>
  <c r="AS99" i="111"/>
  <c r="AO102" i="111"/>
  <c r="AK105" i="111"/>
  <c r="AQ107" i="111"/>
  <c r="AM109" i="111"/>
  <c r="AS110" i="111"/>
  <c r="AO113" i="111"/>
  <c r="AK115" i="111"/>
  <c r="AQ116" i="111"/>
  <c r="AL120" i="111"/>
  <c r="AQ121" i="111"/>
  <c r="AK124" i="111"/>
  <c r="AP125" i="111"/>
  <c r="AU126" i="111"/>
  <c r="AO129" i="111"/>
  <c r="AT130" i="111"/>
  <c r="AN132" i="111"/>
  <c r="AS134" i="111"/>
  <c r="AM136" i="111"/>
  <c r="AR137" i="111"/>
  <c r="AL140" i="111"/>
  <c r="AQ141" i="111"/>
  <c r="AK143" i="111"/>
  <c r="AP146" i="111"/>
  <c r="AU147" i="111"/>
  <c r="AO149" i="111"/>
  <c r="AU151" i="111"/>
  <c r="AO154" i="111"/>
  <c r="AO160" i="111"/>
  <c r="AP166" i="111"/>
  <c r="AS176" i="111"/>
  <c r="AL187" i="111"/>
  <c r="AS202" i="111"/>
  <c r="N10" i="111"/>
  <c r="P17" i="111"/>
  <c r="Q20" i="111"/>
  <c r="J24" i="111"/>
  <c r="N30" i="111"/>
  <c r="M32" i="111"/>
  <c r="Q36" i="111"/>
  <c r="K37" i="111"/>
  <c r="N41" i="111"/>
  <c r="AT46" i="111"/>
  <c r="AH8" i="111" s="1"/>
  <c r="AT50" i="111"/>
  <c r="AQ51" i="111"/>
  <c r="AT53" i="111"/>
  <c r="AK57" i="111"/>
  <c r="AO59" i="111"/>
  <c r="AL61" i="111"/>
  <c r="AR62" i="111"/>
  <c r="AO63" i="111"/>
  <c r="AL68" i="111"/>
  <c r="AL71" i="111"/>
  <c r="AS75" i="111"/>
  <c r="AP76" i="111"/>
  <c r="AM78" i="111"/>
  <c r="AS79" i="111"/>
  <c r="AP80" i="111"/>
  <c r="AT82" i="111"/>
  <c r="AQ84" i="111"/>
  <c r="AT86" i="111"/>
  <c r="AQ87" i="111"/>
  <c r="AN89" i="111"/>
  <c r="AT90" i="111"/>
  <c r="AP92" i="111"/>
  <c r="AL94" i="111"/>
  <c r="AR96" i="111"/>
  <c r="AN98" i="111"/>
  <c r="AT99" i="111"/>
  <c r="AP102" i="111"/>
  <c r="AL105" i="111"/>
  <c r="AR107" i="111"/>
  <c r="AN109" i="111"/>
  <c r="AT110" i="111"/>
  <c r="AP113" i="111"/>
  <c r="AL115" i="111"/>
  <c r="AR116" i="111"/>
  <c r="AM120" i="111"/>
  <c r="AR121" i="111"/>
  <c r="AL124" i="111"/>
  <c r="AQ125" i="111"/>
  <c r="AK128" i="111"/>
  <c r="AP129" i="111"/>
  <c r="AU130" i="111"/>
  <c r="AO132" i="111"/>
  <c r="AT134" i="111"/>
  <c r="AN136" i="111"/>
  <c r="AS137" i="111"/>
  <c r="AM140" i="111"/>
  <c r="AR141" i="111"/>
  <c r="AL143" i="111"/>
  <c r="AQ146" i="111"/>
  <c r="AK148" i="111"/>
  <c r="AP149" i="111"/>
  <c r="AK152" i="111"/>
  <c r="AK155" i="111"/>
  <c r="AP160" i="111"/>
  <c r="AQ166" i="111"/>
  <c r="AT176" i="111"/>
  <c r="AP188" i="111"/>
  <c r="AL204" i="111"/>
  <c r="O10" i="111"/>
  <c r="Q17" i="111"/>
  <c r="I19" i="111"/>
  <c r="R20" i="111"/>
  <c r="K24" i="111"/>
  <c r="I27" i="111"/>
  <c r="O30" i="111"/>
  <c r="N32" i="111"/>
  <c r="R36" i="111"/>
  <c r="L37" i="111"/>
  <c r="O41" i="111"/>
  <c r="I42" i="111"/>
  <c r="AK47" i="111"/>
  <c r="Y10" i="111" s="1"/>
  <c r="AR51" i="111"/>
  <c r="AL57" i="111"/>
  <c r="AP59" i="111"/>
  <c r="AM61" i="111"/>
  <c r="AS62" i="111"/>
  <c r="AP63" i="111"/>
  <c r="AM68" i="111"/>
  <c r="AM71" i="111"/>
  <c r="AT75" i="111"/>
  <c r="AQ76" i="111"/>
  <c r="AN78" i="111"/>
  <c r="AT79" i="111"/>
  <c r="AQ80" i="111"/>
  <c r="AR84" i="111"/>
  <c r="AR87" i="111"/>
  <c r="AO89" i="111"/>
  <c r="AK91" i="111"/>
  <c r="AQ92" i="111"/>
  <c r="AM94" i="111"/>
  <c r="AS96" i="111"/>
  <c r="AO98" i="111"/>
  <c r="AK101" i="111"/>
  <c r="AQ102" i="111"/>
  <c r="AM105" i="111"/>
  <c r="AS107" i="111"/>
  <c r="AO109" i="111"/>
  <c r="AK112" i="111"/>
  <c r="AQ113" i="111"/>
  <c r="AM115" i="111"/>
  <c r="AS116" i="111"/>
  <c r="AN120" i="111"/>
  <c r="AS121" i="111"/>
  <c r="AM124" i="111"/>
  <c r="AR125" i="111"/>
  <c r="AL128" i="111"/>
  <c r="AQ129" i="111"/>
  <c r="AK131" i="111"/>
  <c r="AP132" i="111"/>
  <c r="AU134" i="111"/>
  <c r="AO136" i="111"/>
  <c r="AT137" i="111"/>
  <c r="AN140" i="111"/>
  <c r="AS141" i="111"/>
  <c r="AM143" i="111"/>
  <c r="AR146" i="111"/>
  <c r="AL148" i="111"/>
  <c r="AQ149" i="111"/>
  <c r="AL152" i="111"/>
  <c r="AL155" i="111"/>
  <c r="AR160" i="111"/>
  <c r="AM169" i="111"/>
  <c r="AQ178" i="111"/>
  <c r="AQ188" i="111"/>
  <c r="AM204" i="111"/>
  <c r="AQ59" i="111"/>
  <c r="AN61" i="111"/>
  <c r="AT62" i="111"/>
  <c r="AQ63" i="111"/>
  <c r="AK66" i="111"/>
  <c r="AN68" i="111"/>
  <c r="AK69" i="111"/>
  <c r="AN71" i="111"/>
  <c r="AK73" i="111"/>
  <c r="AR76" i="111"/>
  <c r="AO78" i="111"/>
  <c r="AR80" i="111"/>
  <c r="AS84" i="111"/>
  <c r="AS87" i="111"/>
  <c r="AP89" i="111"/>
  <c r="AL91" i="111"/>
  <c r="AR92" i="111"/>
  <c r="AN94" i="111"/>
  <c r="AT96" i="111"/>
  <c r="AP98" i="111"/>
  <c r="AL101" i="111"/>
  <c r="AR102" i="111"/>
  <c r="AN105" i="111"/>
  <c r="AT107" i="111"/>
  <c r="AP109" i="111"/>
  <c r="AL112" i="111"/>
  <c r="AR113" i="111"/>
  <c r="AN115" i="111"/>
  <c r="AT116" i="111"/>
  <c r="AN124" i="111"/>
  <c r="AS125" i="111"/>
  <c r="AM128" i="111"/>
  <c r="AR129" i="111"/>
  <c r="AL131" i="111"/>
  <c r="AQ132" i="111"/>
  <c r="AK135" i="111"/>
  <c r="AP136" i="111"/>
  <c r="AU137" i="111"/>
  <c r="AO140" i="111"/>
  <c r="AT141" i="111"/>
  <c r="AN143" i="111"/>
  <c r="AS146" i="111"/>
  <c r="AM148" i="111"/>
  <c r="AR149" i="111"/>
  <c r="AM152" i="111"/>
  <c r="AN155" i="111"/>
  <c r="AL162" i="111"/>
  <c r="AN169" i="111"/>
  <c r="AM180" i="111"/>
  <c r="AU189" i="111"/>
  <c r="AQ205" i="111"/>
  <c r="J8" i="111"/>
  <c r="Q10" i="111"/>
  <c r="S17" i="111"/>
  <c r="K19" i="111"/>
  <c r="J23" i="111"/>
  <c r="M24" i="111"/>
  <c r="K27" i="111"/>
  <c r="Q30" i="111"/>
  <c r="P32" i="111"/>
  <c r="J33" i="111"/>
  <c r="N37" i="111"/>
  <c r="Q41" i="111"/>
  <c r="K42" i="111"/>
  <c r="AM47" i="111"/>
  <c r="AA10" i="111" s="1"/>
  <c r="AT51" i="111"/>
  <c r="AK55" i="111"/>
  <c r="AN57" i="111"/>
  <c r="AR59" i="111"/>
  <c r="AO61" i="111"/>
  <c r="AR63" i="111"/>
  <c r="AL66" i="111"/>
  <c r="AO68" i="111"/>
  <c r="AL69" i="111"/>
  <c r="AO71" i="111"/>
  <c r="AL73" i="111"/>
  <c r="AS76" i="111"/>
  <c r="AP78" i="111"/>
  <c r="AS80" i="111"/>
  <c r="AT84" i="111"/>
  <c r="AT87" i="111"/>
  <c r="AQ89" i="111"/>
  <c r="AM91" i="111"/>
  <c r="AS92" i="111"/>
  <c r="AO94" i="111"/>
  <c r="AK97" i="111"/>
  <c r="AQ98" i="111"/>
  <c r="AM101" i="111"/>
  <c r="AS102" i="111"/>
  <c r="AO105" i="111"/>
  <c r="AK108" i="111"/>
  <c r="AQ109" i="111"/>
  <c r="AM112" i="111"/>
  <c r="AS113" i="111"/>
  <c r="AO115" i="111"/>
  <c r="AK119" i="111"/>
  <c r="AP120" i="111"/>
  <c r="AD10" i="111" s="1"/>
  <c r="AU121" i="111"/>
  <c r="AI11" i="111" s="1"/>
  <c r="AO124" i="111"/>
  <c r="AT125" i="111"/>
  <c r="AN128" i="111"/>
  <c r="AS129" i="111"/>
  <c r="AM131" i="111"/>
  <c r="AR132" i="111"/>
  <c r="AL135" i="111"/>
  <c r="AQ136" i="111"/>
  <c r="AK139" i="111"/>
  <c r="AP140" i="111"/>
  <c r="AU141" i="111"/>
  <c r="AO143" i="111"/>
  <c r="AT146" i="111"/>
  <c r="AN148" i="111"/>
  <c r="AS149" i="111"/>
  <c r="AO152" i="111"/>
  <c r="AS155" i="111"/>
  <c r="AM162" i="111"/>
  <c r="AU169" i="111"/>
  <c r="AN180" i="111"/>
  <c r="AK192" i="111"/>
  <c r="AR205" i="111"/>
  <c r="K8" i="111"/>
  <c r="R10" i="111"/>
  <c r="I11" i="111"/>
  <c r="L19" i="111"/>
  <c r="K23" i="111"/>
  <c r="N24" i="111"/>
  <c r="L27" i="111"/>
  <c r="R30" i="111"/>
  <c r="I31" i="111"/>
  <c r="Q32" i="111"/>
  <c r="K33" i="111"/>
  <c r="O37" i="111"/>
  <c r="I38" i="111"/>
  <c r="R41" i="111"/>
  <c r="L42" i="111"/>
  <c r="AN47" i="111"/>
  <c r="AK48" i="111"/>
  <c r="CA48" i="111"/>
  <c r="BX50" i="111"/>
  <c r="BO10" i="111" s="1"/>
  <c r="AK52" i="111"/>
  <c r="CA52" i="111"/>
  <c r="BR13" i="111" s="1"/>
  <c r="BX53" i="111"/>
  <c r="BO14" i="111" s="1"/>
  <c r="AL55" i="111"/>
  <c r="CB55" i="111"/>
  <c r="BS18" i="111" s="1"/>
  <c r="AO57" i="111"/>
  <c r="BV58" i="111"/>
  <c r="BM22" i="111" s="1"/>
  <c r="AS59" i="111"/>
  <c r="AP61" i="111"/>
  <c r="BV62" i="111"/>
  <c r="BM26" i="111" s="1"/>
  <c r="AS63" i="111"/>
  <c r="BY64" i="111"/>
  <c r="BP29" i="111" s="1"/>
  <c r="AM66" i="111"/>
  <c r="CC66" i="111"/>
  <c r="BT31" i="111" s="1"/>
  <c r="AP68" i="111"/>
  <c r="AM69" i="111"/>
  <c r="CC69" i="111"/>
  <c r="AP71" i="111"/>
  <c r="AM73" i="111"/>
  <c r="CC73" i="111"/>
  <c r="BT13" i="111" s="1"/>
  <c r="BZ74" i="111"/>
  <c r="BQ14" i="111" s="1"/>
  <c r="BW75" i="111"/>
  <c r="BN15" i="111" s="1"/>
  <c r="AT76" i="111"/>
  <c r="AQ78" i="111"/>
  <c r="BW79" i="111"/>
  <c r="BN21" i="111" s="1"/>
  <c r="AT80" i="111"/>
  <c r="CA81" i="111"/>
  <c r="BR23" i="111" s="1"/>
  <c r="BX83" i="111"/>
  <c r="BO26" i="111" s="1"/>
  <c r="AK85" i="111"/>
  <c r="CA85" i="111"/>
  <c r="BR29" i="111" s="1"/>
  <c r="BX86" i="111"/>
  <c r="BO30" i="111" s="1"/>
  <c r="BU87" i="111"/>
  <c r="BL31" i="111" s="1"/>
  <c r="AR89" i="111"/>
  <c r="AN91" i="111"/>
  <c r="AT92" i="111"/>
  <c r="AP94" i="111"/>
  <c r="AL97" i="111"/>
  <c r="AR98" i="111"/>
  <c r="AN101" i="111"/>
  <c r="AT102" i="111"/>
  <c r="AP105" i="111"/>
  <c r="AL108" i="111"/>
  <c r="AR109" i="111"/>
  <c r="AN112" i="111"/>
  <c r="AT113" i="111"/>
  <c r="AP115" i="111"/>
  <c r="AL119" i="111"/>
  <c r="AQ120" i="111"/>
  <c r="AK123" i="111"/>
  <c r="AP124" i="111"/>
  <c r="AU125" i="111"/>
  <c r="AO128" i="111"/>
  <c r="AT129" i="111"/>
  <c r="AN131" i="111"/>
  <c r="AS132" i="111"/>
  <c r="AM135" i="111"/>
  <c r="AR136" i="111"/>
  <c r="AL139" i="111"/>
  <c r="AQ140" i="111"/>
  <c r="AK142" i="111"/>
  <c r="AP143" i="111"/>
  <c r="AU146" i="111"/>
  <c r="AO148" i="111"/>
  <c r="AU149" i="111"/>
  <c r="AP152" i="111"/>
  <c r="AT155" i="111"/>
  <c r="AT162" i="111"/>
  <c r="AK170" i="111"/>
  <c r="AK181" i="111"/>
  <c r="AO193" i="111"/>
  <c r="AK208" i="111"/>
  <c r="L8" i="111"/>
  <c r="S10" i="111"/>
  <c r="J11" i="111"/>
  <c r="M19" i="111"/>
  <c r="I22" i="111"/>
  <c r="L23" i="111"/>
  <c r="O24" i="111"/>
  <c r="AK24" i="111"/>
  <c r="M27" i="111"/>
  <c r="S30" i="111"/>
  <c r="J31" i="111"/>
  <c r="R32" i="111"/>
  <c r="L33" i="111"/>
  <c r="P37" i="111"/>
  <c r="J38" i="111"/>
  <c r="S41" i="111"/>
  <c r="M42" i="111"/>
  <c r="AO47" i="111"/>
  <c r="AC10" i="111" s="1"/>
  <c r="AL48" i="111"/>
  <c r="CB48" i="111"/>
  <c r="BY50" i="111"/>
  <c r="BP10" i="111" s="1"/>
  <c r="AL52" i="111"/>
  <c r="CB52" i="111"/>
  <c r="BS13" i="111" s="1"/>
  <c r="BY53" i="111"/>
  <c r="BP14" i="111" s="1"/>
  <c r="AM55" i="111"/>
  <c r="CC55" i="111"/>
  <c r="BT18" i="111" s="1"/>
  <c r="AP57" i="111"/>
  <c r="BW58" i="111"/>
  <c r="AT59" i="111"/>
  <c r="AQ61" i="111"/>
  <c r="BW62" i="111"/>
  <c r="BN26" i="111" s="1"/>
  <c r="AT63" i="111"/>
  <c r="BZ64" i="111"/>
  <c r="BQ29" i="111" s="1"/>
  <c r="AN66" i="111"/>
  <c r="AK67" i="111"/>
  <c r="AQ68" i="111"/>
  <c r="AN69" i="111"/>
  <c r="AK70" i="111"/>
  <c r="AQ71" i="111"/>
  <c r="AN73" i="111"/>
  <c r="AK74" i="111"/>
  <c r="CA74" i="111"/>
  <c r="BX75" i="111"/>
  <c r="BO15" i="111" s="1"/>
  <c r="BU77" i="111"/>
  <c r="BL18" i="111" s="1"/>
  <c r="AR78" i="111"/>
  <c r="BX79" i="111"/>
  <c r="BO21" i="111" s="1"/>
  <c r="BU80" i="111"/>
  <c r="BL22" i="111" s="1"/>
  <c r="CB81" i="111"/>
  <c r="BS23" i="111" s="1"/>
  <c r="BY83" i="111"/>
  <c r="AL85" i="111"/>
  <c r="CB85" i="111"/>
  <c r="BY86" i="111"/>
  <c r="BP30" i="111" s="1"/>
  <c r="BV87" i="111"/>
  <c r="BM31" i="111" s="1"/>
  <c r="AS89" i="111"/>
  <c r="AO91" i="111"/>
  <c r="AK93" i="111"/>
  <c r="AQ94" i="111"/>
  <c r="AM97" i="111"/>
  <c r="AS98" i="111"/>
  <c r="AO101" i="111"/>
  <c r="AK103" i="111"/>
  <c r="AQ105" i="111"/>
  <c r="AM108" i="111"/>
  <c r="AS109" i="111"/>
  <c r="AO112" i="111"/>
  <c r="AK114" i="111"/>
  <c r="AQ115" i="111"/>
  <c r="AM119" i="111"/>
  <c r="AR120" i="111"/>
  <c r="AL123" i="111"/>
  <c r="AQ124" i="111"/>
  <c r="AK126" i="111"/>
  <c r="AP128" i="111"/>
  <c r="AU129" i="111"/>
  <c r="AO131" i="111"/>
  <c r="AT132" i="111"/>
  <c r="AN135" i="111"/>
  <c r="AS136" i="111"/>
  <c r="AM139" i="111"/>
  <c r="AR140" i="111"/>
  <c r="AL142" i="111"/>
  <c r="AQ143" i="111"/>
  <c r="AK147" i="111"/>
  <c r="AP148" i="111"/>
  <c r="AK151" i="111"/>
  <c r="AQ152" i="111"/>
  <c r="AP157" i="111"/>
  <c r="AU162" i="111"/>
  <c r="AS170" i="111"/>
  <c r="AR181" i="111"/>
  <c r="AP193" i="111"/>
  <c r="AU212" i="111"/>
  <c r="AO211" i="111"/>
  <c r="AU209" i="111"/>
  <c r="AP208" i="111"/>
  <c r="AK206" i="111"/>
  <c r="AQ204" i="111"/>
  <c r="AL203" i="111"/>
  <c r="AR201" i="111"/>
  <c r="AM199" i="111"/>
  <c r="AS197" i="111"/>
  <c r="AN195" i="111"/>
  <c r="AT193" i="111"/>
  <c r="AO192" i="111"/>
  <c r="AU188" i="111"/>
  <c r="AP187" i="111"/>
  <c r="AK186" i="111"/>
  <c r="AQ183" i="111"/>
  <c r="AL182" i="111"/>
  <c r="AR180" i="111"/>
  <c r="AM178" i="111"/>
  <c r="AS175" i="111"/>
  <c r="AN174" i="111"/>
  <c r="AT171" i="111"/>
  <c r="AO170" i="111"/>
  <c r="AU166" i="111"/>
  <c r="AP165" i="111"/>
  <c r="AK164" i="111"/>
  <c r="AQ162" i="111"/>
  <c r="AL160" i="111"/>
  <c r="AR158" i="111"/>
  <c r="AM157" i="111"/>
  <c r="AS154" i="111"/>
  <c r="AT212" i="111"/>
  <c r="AN211" i="111"/>
  <c r="AT209" i="111"/>
  <c r="AO208" i="111"/>
  <c r="AU205" i="111"/>
  <c r="AP204" i="111"/>
  <c r="AK203" i="111"/>
  <c r="AQ201" i="111"/>
  <c r="AL199" i="111"/>
  <c r="AR197" i="111"/>
  <c r="AM195" i="111"/>
  <c r="AS193" i="111"/>
  <c r="AN192" i="111"/>
  <c r="AT188" i="111"/>
  <c r="AO187" i="111"/>
  <c r="AU185" i="111"/>
  <c r="AP183" i="111"/>
  <c r="AK182" i="111"/>
  <c r="AQ180" i="111"/>
  <c r="AL178" i="111"/>
  <c r="AR175" i="111"/>
  <c r="AM174" i="111"/>
  <c r="AS171" i="111"/>
  <c r="AN170" i="111"/>
  <c r="AT166" i="111"/>
  <c r="AO165" i="111"/>
  <c r="AU163" i="111"/>
  <c r="AP162" i="111"/>
  <c r="AK160" i="111"/>
  <c r="AQ158" i="111"/>
  <c r="AL157" i="111"/>
  <c r="AR154" i="111"/>
  <c r="AM153" i="111"/>
  <c r="AS212" i="111"/>
  <c r="AM211" i="111"/>
  <c r="AS209" i="111"/>
  <c r="AN208" i="111"/>
  <c r="AT205" i="111"/>
  <c r="AO204" i="111"/>
  <c r="AU202" i="111"/>
  <c r="AP201" i="111"/>
  <c r="AK199" i="111"/>
  <c r="AQ197" i="111"/>
  <c r="AL195" i="111"/>
  <c r="AR193" i="111"/>
  <c r="AM192" i="111"/>
  <c r="AS188" i="111"/>
  <c r="AN187" i="111"/>
  <c r="AT185" i="111"/>
  <c r="AO183" i="111"/>
  <c r="AU181" i="111"/>
  <c r="AP180" i="111"/>
  <c r="AK178" i="111"/>
  <c r="AQ175" i="111"/>
  <c r="AL174" i="111"/>
  <c r="AR171" i="111"/>
  <c r="AM170" i="111"/>
  <c r="AS166" i="111"/>
  <c r="AN165" i="111"/>
  <c r="AT163" i="111"/>
  <c r="AO162" i="111"/>
  <c r="AU159" i="111"/>
  <c r="AP158" i="111"/>
  <c r="AK157" i="111"/>
  <c r="AQ154" i="111"/>
  <c r="AL153" i="111"/>
  <c r="AR212" i="111"/>
  <c r="AL211" i="111"/>
  <c r="AR209" i="111"/>
  <c r="AM208" i="111"/>
  <c r="AS205" i="111"/>
  <c r="AN204" i="111"/>
  <c r="AT202" i="111"/>
  <c r="AO201" i="111"/>
  <c r="AU198" i="111"/>
  <c r="AP197" i="111"/>
  <c r="AK195" i="111"/>
  <c r="AQ193" i="111"/>
  <c r="AL192" i="111"/>
  <c r="AR188" i="111"/>
  <c r="AM187" i="111"/>
  <c r="AS185" i="111"/>
  <c r="AN183" i="111"/>
  <c r="AT181" i="111"/>
  <c r="AO180" i="111"/>
  <c r="AU176" i="111"/>
  <c r="AP175" i="111"/>
  <c r="AK174" i="111"/>
  <c r="AQ171" i="111"/>
  <c r="AL170" i="111"/>
  <c r="AR166" i="111"/>
  <c r="AM165" i="111"/>
  <c r="AS163" i="111"/>
  <c r="AN162" i="111"/>
  <c r="AT159" i="111"/>
  <c r="AO158" i="111"/>
  <c r="AU155" i="111"/>
  <c r="AP154" i="111"/>
  <c r="AK153" i="111"/>
  <c r="AO212" i="111"/>
  <c r="AT210" i="111"/>
  <c r="AO209" i="111"/>
  <c r="AU206" i="111"/>
  <c r="AP205" i="111"/>
  <c r="AK204" i="111"/>
  <c r="AQ202" i="111"/>
  <c r="AL201" i="111"/>
  <c r="AR198" i="111"/>
  <c r="AM197" i="111"/>
  <c r="AS194" i="111"/>
  <c r="AN193" i="111"/>
  <c r="AT189" i="111"/>
  <c r="AO188" i="111"/>
  <c r="AU186" i="111"/>
  <c r="AP185" i="111"/>
  <c r="AK183" i="111"/>
  <c r="AQ181" i="111"/>
  <c r="AL180" i="111"/>
  <c r="AR176" i="111"/>
  <c r="AM175" i="111"/>
  <c r="AS172" i="111"/>
  <c r="AN171" i="111"/>
  <c r="AT169" i="111"/>
  <c r="AO166" i="111"/>
  <c r="AU164" i="111"/>
  <c r="AP163" i="111"/>
  <c r="AK162" i="111"/>
  <c r="AQ159" i="111"/>
  <c r="AL158" i="111"/>
  <c r="AR155" i="111"/>
  <c r="AM154" i="111"/>
  <c r="AS152" i="111"/>
  <c r="AN212" i="111"/>
  <c r="AS210" i="111"/>
  <c r="AN209" i="111"/>
  <c r="AT206" i="111"/>
  <c r="AO205" i="111"/>
  <c r="AU203" i="111"/>
  <c r="AP202" i="111"/>
  <c r="AK201" i="111"/>
  <c r="AQ198" i="111"/>
  <c r="AL197" i="111"/>
  <c r="AR194" i="111"/>
  <c r="AM193" i="111"/>
  <c r="AS189" i="111"/>
  <c r="AN188" i="111"/>
  <c r="AT186" i="111"/>
  <c r="AO185" i="111"/>
  <c r="AU182" i="111"/>
  <c r="AP181" i="111"/>
  <c r="AK180" i="111"/>
  <c r="AQ176" i="111"/>
  <c r="AL175" i="111"/>
  <c r="AR172" i="111"/>
  <c r="AM171" i="111"/>
  <c r="AS169" i="111"/>
  <c r="AN166" i="111"/>
  <c r="AT164" i="111"/>
  <c r="AO163" i="111"/>
  <c r="AU160" i="111"/>
  <c r="AP159" i="111"/>
  <c r="AK158" i="111"/>
  <c r="AQ155" i="111"/>
  <c r="AL154" i="111"/>
  <c r="AM212" i="111"/>
  <c r="AR210" i="111"/>
  <c r="AM209" i="111"/>
  <c r="AS206" i="111"/>
  <c r="AN205" i="111"/>
  <c r="AT203" i="111"/>
  <c r="AO202" i="111"/>
  <c r="AU199" i="111"/>
  <c r="AP198" i="111"/>
  <c r="AK197" i="111"/>
  <c r="AQ194" i="111"/>
  <c r="AL193" i="111"/>
  <c r="AR189" i="111"/>
  <c r="AM188" i="111"/>
  <c r="AS186" i="111"/>
  <c r="AN185" i="111"/>
  <c r="AT182" i="111"/>
  <c r="AO181" i="111"/>
  <c r="AU178" i="111"/>
  <c r="AP176" i="111"/>
  <c r="AK175" i="111"/>
  <c r="AQ172" i="111"/>
  <c r="AL171" i="111"/>
  <c r="AR169" i="111"/>
  <c r="AM166" i="111"/>
  <c r="AS164" i="111"/>
  <c r="AN163" i="111"/>
  <c r="AT160" i="111"/>
  <c r="AO159" i="111"/>
  <c r="AU157" i="111"/>
  <c r="AP155" i="111"/>
  <c r="AK154" i="111"/>
  <c r="AL212" i="111"/>
  <c r="AQ210" i="111"/>
  <c r="AL209" i="111"/>
  <c r="AR206" i="111"/>
  <c r="AM205" i="111"/>
  <c r="AS203" i="111"/>
  <c r="AN202" i="111"/>
  <c r="AT199" i="111"/>
  <c r="AO198" i="111"/>
  <c r="AU195" i="111"/>
  <c r="AP194" i="111"/>
  <c r="AK193" i="111"/>
  <c r="AQ189" i="111"/>
  <c r="AL188" i="111"/>
  <c r="AR186" i="111"/>
  <c r="AM185" i="111"/>
  <c r="AS182" i="111"/>
  <c r="AN181" i="111"/>
  <c r="AT178" i="111"/>
  <c r="AO176" i="111"/>
  <c r="AU174" i="111"/>
  <c r="AP172" i="111"/>
  <c r="AK171" i="111"/>
  <c r="AQ169" i="111"/>
  <c r="AL166" i="111"/>
  <c r="AR164" i="111"/>
  <c r="AM163" i="111"/>
  <c r="AS160" i="111"/>
  <c r="AN159" i="111"/>
  <c r="AT157" i="111"/>
  <c r="AO155" i="111"/>
  <c r="AU153" i="111"/>
  <c r="AU211" i="111"/>
  <c r="AP210" i="111"/>
  <c r="AK209" i="111"/>
  <c r="AQ206" i="111"/>
  <c r="AL205" i="111"/>
  <c r="AR203" i="111"/>
  <c r="AM202" i="111"/>
  <c r="AS199" i="111"/>
  <c r="AN198" i="111"/>
  <c r="AT195" i="111"/>
  <c r="AO194" i="111"/>
  <c r="AU192" i="111"/>
  <c r="AP189" i="111"/>
  <c r="AK188" i="111"/>
  <c r="AQ186" i="111"/>
  <c r="AL185" i="111"/>
  <c r="AR182" i="111"/>
  <c r="AM181" i="111"/>
  <c r="AS178" i="111"/>
  <c r="AN176" i="111"/>
  <c r="AT174" i="111"/>
  <c r="AO172" i="111"/>
  <c r="AU170" i="111"/>
  <c r="AP169" i="111"/>
  <c r="AK166" i="111"/>
  <c r="AQ164" i="111"/>
  <c r="AT211" i="111"/>
  <c r="AO210" i="111"/>
  <c r="AU208" i="111"/>
  <c r="AP206" i="111"/>
  <c r="AK205" i="111"/>
  <c r="AQ203" i="111"/>
  <c r="AL202" i="111"/>
  <c r="AR199" i="111"/>
  <c r="AM198" i="111"/>
  <c r="AS195" i="111"/>
  <c r="AN194" i="111"/>
  <c r="AT192" i="111"/>
  <c r="AO189" i="111"/>
  <c r="AU187" i="111"/>
  <c r="AP186" i="111"/>
  <c r="AK185" i="111"/>
  <c r="AQ182" i="111"/>
  <c r="AL181" i="111"/>
  <c r="AR178" i="111"/>
  <c r="AM176" i="111"/>
  <c r="AS174" i="111"/>
  <c r="AN172" i="111"/>
  <c r="AT170" i="111"/>
  <c r="AO169" i="111"/>
  <c r="AU165" i="111"/>
  <c r="AP164" i="111"/>
  <c r="AK163" i="111"/>
  <c r="AQ160" i="111"/>
  <c r="AL159" i="111"/>
  <c r="AR157" i="111"/>
  <c r="AM155" i="111"/>
  <c r="AS153" i="111"/>
  <c r="AN152" i="111"/>
  <c r="AT149" i="111"/>
  <c r="AS211" i="111"/>
  <c r="AN210" i="111"/>
  <c r="AT208" i="111"/>
  <c r="AO206" i="111"/>
  <c r="AU204" i="111"/>
  <c r="AP203" i="111"/>
  <c r="AK202" i="111"/>
  <c r="AQ199" i="111"/>
  <c r="AL198" i="111"/>
  <c r="AR195" i="111"/>
  <c r="AM194" i="111"/>
  <c r="AS192" i="111"/>
  <c r="AN189" i="111"/>
  <c r="AT187" i="111"/>
  <c r="AR211" i="111"/>
  <c r="AM210" i="111"/>
  <c r="AS208" i="111"/>
  <c r="AN206" i="111"/>
  <c r="AT204" i="111"/>
  <c r="AO203" i="111"/>
  <c r="AU201" i="111"/>
  <c r="AP199" i="111"/>
  <c r="AK198" i="111"/>
  <c r="AQ195" i="111"/>
  <c r="AL194" i="111"/>
  <c r="AR192" i="111"/>
  <c r="AM189" i="111"/>
  <c r="AS187" i="111"/>
  <c r="AN186" i="111"/>
  <c r="AT183" i="111"/>
  <c r="AO182" i="111"/>
  <c r="AU180" i="111"/>
  <c r="AP178" i="111"/>
  <c r="AK176" i="111"/>
  <c r="AQ174" i="111"/>
  <c r="AL172" i="111"/>
  <c r="AR170" i="111"/>
  <c r="AQ211" i="111"/>
  <c r="AL210" i="111"/>
  <c r="AR208" i="111"/>
  <c r="AM206" i="111"/>
  <c r="AS204" i="111"/>
  <c r="AN203" i="111"/>
  <c r="AT201" i="111"/>
  <c r="AO199" i="111"/>
  <c r="AU197" i="111"/>
  <c r="AP195" i="111"/>
  <c r="AK194" i="111"/>
  <c r="AQ192" i="111"/>
  <c r="AL189" i="111"/>
  <c r="AR187" i="111"/>
  <c r="AM186" i="111"/>
  <c r="AS183" i="111"/>
  <c r="AN182" i="111"/>
  <c r="AT180" i="111"/>
  <c r="AO178" i="111"/>
  <c r="AU175" i="111"/>
  <c r="AP174" i="111"/>
  <c r="AK172" i="111"/>
  <c r="AQ170" i="111"/>
  <c r="AL169" i="111"/>
  <c r="AR165" i="111"/>
  <c r="AM164" i="111"/>
  <c r="AS162" i="111"/>
  <c r="AN160" i="111"/>
  <c r="AT158" i="111"/>
  <c r="AO157" i="111"/>
  <c r="AU154" i="111"/>
  <c r="AP211" i="111"/>
  <c r="AK210" i="111"/>
  <c r="AQ208" i="111"/>
  <c r="AL206" i="111"/>
  <c r="AR204" i="111"/>
  <c r="AM203" i="111"/>
  <c r="AS201" i="111"/>
  <c r="AN199" i="111"/>
  <c r="AT197" i="111"/>
  <c r="AO195" i="111"/>
  <c r="AU193" i="111"/>
  <c r="AP192" i="111"/>
  <c r="AK189" i="111"/>
  <c r="AQ187" i="111"/>
  <c r="AL186" i="111"/>
  <c r="AR183" i="111"/>
  <c r="AM182" i="111"/>
  <c r="AS180" i="111"/>
  <c r="AN178" i="111"/>
  <c r="AT175" i="111"/>
  <c r="AO174" i="111"/>
  <c r="AU171" i="111"/>
  <c r="AP170" i="111"/>
  <c r="AK169" i="111"/>
  <c r="AQ165" i="111"/>
  <c r="AL164" i="111"/>
  <c r="AR162" i="111"/>
  <c r="AM160" i="111"/>
  <c r="AS158" i="111"/>
  <c r="AN157" i="111"/>
  <c r="AT154" i="111"/>
  <c r="AO153" i="111"/>
  <c r="K31" i="111"/>
  <c r="S32" i="111"/>
  <c r="M33" i="111"/>
  <c r="Q37" i="111"/>
  <c r="K38" i="111"/>
  <c r="N42" i="111"/>
  <c r="AM52" i="111"/>
  <c r="AN55" i="111"/>
  <c r="AK56" i="111"/>
  <c r="AQ57" i="111"/>
  <c r="AR61" i="111"/>
  <c r="AK64" i="111"/>
  <c r="AO66" i="111"/>
  <c r="AL67" i="111"/>
  <c r="AR68" i="111"/>
  <c r="AO69" i="111"/>
  <c r="AL70" i="111"/>
  <c r="AR71" i="111"/>
  <c r="AO73" i="111"/>
  <c r="AL74" i="111"/>
  <c r="AS78" i="111"/>
  <c r="AM85" i="111"/>
  <c r="AT89" i="111"/>
  <c r="AP91" i="111"/>
  <c r="AL93" i="111"/>
  <c r="AR94" i="111"/>
  <c r="AN97" i="111"/>
  <c r="AT98" i="111"/>
  <c r="AP101" i="111"/>
  <c r="AL103" i="111"/>
  <c r="AR105" i="111"/>
  <c r="AN108" i="111"/>
  <c r="AT109" i="111"/>
  <c r="AP112" i="111"/>
  <c r="AL114" i="111"/>
  <c r="AR115" i="111"/>
  <c r="AN119" i="111"/>
  <c r="AS120" i="111"/>
  <c r="AM123" i="111"/>
  <c r="AR124" i="111"/>
  <c r="AL126" i="111"/>
  <c r="AQ128" i="111"/>
  <c r="AK130" i="111"/>
  <c r="AP131" i="111"/>
  <c r="AU132" i="111"/>
  <c r="AO135" i="111"/>
  <c r="AT136" i="111"/>
  <c r="AN139" i="111"/>
  <c r="AS140" i="111"/>
  <c r="AM142" i="111"/>
  <c r="AR143" i="111"/>
  <c r="AL147" i="111"/>
  <c r="AQ148" i="111"/>
  <c r="AL151" i="111"/>
  <c r="AR152" i="111"/>
  <c r="AQ157" i="111"/>
  <c r="AL163" i="111"/>
  <c r="AO171" i="111"/>
  <c r="AS181" i="111"/>
  <c r="AT194" i="111"/>
  <c r="AP209" i="111"/>
  <c r="N8" i="111"/>
  <c r="L11" i="111"/>
  <c r="O19" i="111"/>
  <c r="K22" i="111"/>
  <c r="N23" i="111"/>
  <c r="Q24" i="111"/>
  <c r="AM24" i="111"/>
  <c r="O27" i="111"/>
  <c r="L31" i="111"/>
  <c r="N33" i="111"/>
  <c r="R37" i="111"/>
  <c r="L38" i="111"/>
  <c r="O42" i="111"/>
  <c r="AK46" i="111"/>
  <c r="AQ47" i="111"/>
  <c r="AE10" i="111" s="1"/>
  <c r="AN48" i="111"/>
  <c r="AK50" i="111"/>
  <c r="CA50" i="111"/>
  <c r="BR10" i="111" s="1"/>
  <c r="AN52" i="111"/>
  <c r="AK53" i="111"/>
  <c r="CA53" i="111"/>
  <c r="BR14" i="111" s="1"/>
  <c r="AO55" i="111"/>
  <c r="AL56" i="111"/>
  <c r="AR57" i="111"/>
  <c r="BY58" i="111"/>
  <c r="BV59" i="111"/>
  <c r="BM23" i="111" s="1"/>
  <c r="AS61" i="111"/>
  <c r="BY62" i="111"/>
  <c r="AL64" i="111"/>
  <c r="CB64" i="111"/>
  <c r="AP66" i="111"/>
  <c r="AM67" i="111"/>
  <c r="AS68" i="111"/>
  <c r="AP69" i="111"/>
  <c r="AM70" i="111"/>
  <c r="AS71" i="111"/>
  <c r="AP73" i="111"/>
  <c r="AM74" i="111"/>
  <c r="CC74" i="111"/>
  <c r="BT14" i="111" s="1"/>
  <c r="BZ75" i="111"/>
  <c r="BQ15" i="111" s="1"/>
  <c r="BW77" i="111"/>
  <c r="BN18" i="111" s="1"/>
  <c r="AT78" i="111"/>
  <c r="BZ79" i="111"/>
  <c r="BQ21" i="111" s="1"/>
  <c r="BW80" i="111"/>
  <c r="AK82" i="111"/>
  <c r="CA83" i="111"/>
  <c r="AN85" i="111"/>
  <c r="AK86" i="111"/>
  <c r="CA86" i="111"/>
  <c r="BR30" i="111" s="1"/>
  <c r="BX87" i="111"/>
  <c r="BO31" i="111" s="1"/>
  <c r="AK90" i="111"/>
  <c r="AQ91" i="111"/>
  <c r="AM93" i="111"/>
  <c r="AS94" i="111"/>
  <c r="AO97" i="111"/>
  <c r="AK99" i="111"/>
  <c r="AQ101" i="111"/>
  <c r="AM103" i="111"/>
  <c r="AS105" i="111"/>
  <c r="AO108" i="111"/>
  <c r="AK110" i="111"/>
  <c r="AQ112" i="111"/>
  <c r="AM114" i="111"/>
  <c r="AS115" i="111"/>
  <c r="AO119" i="111"/>
  <c r="AT120" i="111"/>
  <c r="AN123" i="111"/>
  <c r="AS124" i="111"/>
  <c r="AM126" i="111"/>
  <c r="AR128" i="111"/>
  <c r="AL130" i="111"/>
  <c r="AQ131" i="111"/>
  <c r="AK134" i="111"/>
  <c r="AP135" i="111"/>
  <c r="AU136" i="111"/>
  <c r="AI32" i="111" s="1"/>
  <c r="AO139" i="111"/>
  <c r="AT140" i="111"/>
  <c r="AN142" i="111"/>
  <c r="AS143" i="111"/>
  <c r="AM147" i="111"/>
  <c r="AR148" i="111"/>
  <c r="AM151" i="111"/>
  <c r="AT152" i="111"/>
  <c r="AS157" i="111"/>
  <c r="AQ163" i="111"/>
  <c r="AP171" i="111"/>
  <c r="AP182" i="111"/>
  <c r="AU194" i="111"/>
  <c r="AQ209" i="111"/>
  <c r="O8" i="111"/>
  <c r="M11" i="111"/>
  <c r="P19" i="111"/>
  <c r="I20" i="111"/>
  <c r="L22" i="111"/>
  <c r="O23" i="111"/>
  <c r="R24" i="111"/>
  <c r="P27" i="111"/>
  <c r="M31" i="111"/>
  <c r="O33" i="111"/>
  <c r="I36" i="111"/>
  <c r="S37" i="111"/>
  <c r="M38" i="111"/>
  <c r="P42" i="111"/>
  <c r="AL46" i="111"/>
  <c r="Z8" i="111" s="1"/>
  <c r="AR47" i="111"/>
  <c r="AO48" i="111"/>
  <c r="AL50" i="111"/>
  <c r="Z14" i="111" s="1"/>
  <c r="J14" i="111" s="1"/>
  <c r="CB50" i="111"/>
  <c r="BS10" i="111" s="1"/>
  <c r="AO52" i="111"/>
  <c r="AL53" i="111"/>
  <c r="CB53" i="111"/>
  <c r="BS14" i="111" s="1"/>
  <c r="AP55" i="111"/>
  <c r="AM56" i="111"/>
  <c r="AS57" i="111"/>
  <c r="BZ58" i="111"/>
  <c r="BQ22" i="111" s="1"/>
  <c r="BW59" i="111"/>
  <c r="BN23" i="111" s="1"/>
  <c r="AT61" i="111"/>
  <c r="BZ62" i="111"/>
  <c r="BQ26" i="111" s="1"/>
  <c r="AM64" i="111"/>
  <c r="CC64" i="111"/>
  <c r="BT29" i="111" s="1"/>
  <c r="AQ66" i="111"/>
  <c r="AN67" i="111"/>
  <c r="AT68" i="111"/>
  <c r="AQ69" i="111"/>
  <c r="AN70" i="111"/>
  <c r="AT71" i="111"/>
  <c r="AQ73" i="111"/>
  <c r="AN74" i="111"/>
  <c r="AK75" i="111"/>
  <c r="CA75" i="111"/>
  <c r="BR15" i="111" s="1"/>
  <c r="BX77" i="111"/>
  <c r="BO18" i="111" s="1"/>
  <c r="AK79" i="111"/>
  <c r="CA79" i="111"/>
  <c r="BR21" i="111" s="1"/>
  <c r="BX80" i="111"/>
  <c r="BO22" i="111" s="1"/>
  <c r="AL82" i="111"/>
  <c r="CB83" i="111"/>
  <c r="AO85" i="111"/>
  <c r="AL86" i="111"/>
  <c r="CB86" i="111"/>
  <c r="BS30" i="111" s="1"/>
  <c r="BY87" i="111"/>
  <c r="BP31" i="111" s="1"/>
  <c r="AL90" i="111"/>
  <c r="AR91" i="111"/>
  <c r="AN93" i="111"/>
  <c r="AT94" i="111"/>
  <c r="AP97" i="111"/>
  <c r="AL99" i="111"/>
  <c r="AR101" i="111"/>
  <c r="AN103" i="111"/>
  <c r="AT105" i="111"/>
  <c r="AP108" i="111"/>
  <c r="AL110" i="111"/>
  <c r="AR112" i="111"/>
  <c r="AN114" i="111"/>
  <c r="AT115" i="111"/>
  <c r="AP119" i="111"/>
  <c r="AU120" i="111"/>
  <c r="AI10" i="111" s="1"/>
  <c r="AO123" i="111"/>
  <c r="AT124" i="111"/>
  <c r="AN126" i="111"/>
  <c r="AS128" i="111"/>
  <c r="AM130" i="111"/>
  <c r="AR131" i="111"/>
  <c r="AL134" i="111"/>
  <c r="AQ135" i="111"/>
  <c r="AK137" i="111"/>
  <c r="AP139" i="111"/>
  <c r="AU140" i="111"/>
  <c r="AO142" i="111"/>
  <c r="AT143" i="111"/>
  <c r="AN147" i="111"/>
  <c r="AS148" i="111"/>
  <c r="AN151" i="111"/>
  <c r="AU152" i="111"/>
  <c r="AM158" i="111"/>
  <c r="AR163" i="111"/>
  <c r="AM172" i="111"/>
  <c r="AL183" i="111"/>
  <c r="AN197" i="111"/>
  <c r="AU210" i="111"/>
  <c r="P8" i="111"/>
  <c r="N11" i="111"/>
  <c r="I17" i="111"/>
  <c r="Q19" i="111"/>
  <c r="J20" i="111"/>
  <c r="M22" i="111"/>
  <c r="P23" i="111"/>
  <c r="S24" i="111"/>
  <c r="Q27" i="111"/>
  <c r="N31" i="111"/>
  <c r="P33" i="111"/>
  <c r="J36" i="111"/>
  <c r="N38" i="111"/>
  <c r="Q42" i="111"/>
  <c r="AM46" i="111"/>
  <c r="AA8" i="111" s="1"/>
  <c r="AS47" i="111"/>
  <c r="AP48" i="111"/>
  <c r="AD11" i="111" s="1"/>
  <c r="AM50" i="111"/>
  <c r="AP52" i="111"/>
  <c r="AD20" i="111" s="1"/>
  <c r="AM53" i="111"/>
  <c r="AQ55" i="111"/>
  <c r="AN56" i="111"/>
  <c r="AT57" i="111"/>
  <c r="CA58" i="111"/>
  <c r="BR22" i="111" s="1"/>
  <c r="BX59" i="111"/>
  <c r="BO23" i="111" s="1"/>
  <c r="AK62" i="111"/>
  <c r="CA62" i="111"/>
  <c r="BR26" i="111" s="1"/>
  <c r="AN64" i="111"/>
  <c r="BU65" i="111"/>
  <c r="BL30" i="111" s="1"/>
  <c r="AR66" i="111"/>
  <c r="AO67" i="111"/>
  <c r="BU68" i="111"/>
  <c r="AR69" i="111"/>
  <c r="AO70" i="111"/>
  <c r="BU71" i="111"/>
  <c r="BL10" i="111" s="1"/>
  <c r="AR73" i="111"/>
  <c r="AO74" i="111"/>
  <c r="AL75" i="111"/>
  <c r="CB75" i="111"/>
  <c r="BS15" i="111" s="1"/>
  <c r="BY77" i="111"/>
  <c r="BP18" i="111" s="1"/>
  <c r="AL79" i="111"/>
  <c r="CB79" i="111"/>
  <c r="BS21" i="111" s="1"/>
  <c r="BY80" i="111"/>
  <c r="AM82" i="111"/>
  <c r="CC83" i="111"/>
  <c r="AP85" i="111"/>
  <c r="AM86" i="111"/>
  <c r="CC86" i="111"/>
  <c r="BT30" i="111" s="1"/>
  <c r="BZ87" i="111"/>
  <c r="BQ31" i="111" s="1"/>
  <c r="AM90" i="111"/>
  <c r="AS91" i="111"/>
  <c r="AO93" i="111"/>
  <c r="AK96" i="111"/>
  <c r="AQ97" i="111"/>
  <c r="AM99" i="111"/>
  <c r="AS101" i="111"/>
  <c r="AO103" i="111"/>
  <c r="AK107" i="111"/>
  <c r="AQ108" i="111"/>
  <c r="AM110" i="111"/>
  <c r="AS112" i="111"/>
  <c r="AO114" i="111"/>
  <c r="AK116" i="111"/>
  <c r="AQ119" i="111"/>
  <c r="AK121" i="111"/>
  <c r="AP123" i="111"/>
  <c r="AU124" i="111"/>
  <c r="AI19" i="111" s="1"/>
  <c r="AO126" i="111"/>
  <c r="AT128" i="111"/>
  <c r="AN130" i="111"/>
  <c r="AS131" i="111"/>
  <c r="AM134" i="111"/>
  <c r="AR135" i="111"/>
  <c r="AL137" i="111"/>
  <c r="AQ139" i="111"/>
  <c r="AK141" i="111"/>
  <c r="AP142" i="111"/>
  <c r="AU143" i="111"/>
  <c r="AO147" i="111"/>
  <c r="AT148" i="111"/>
  <c r="AO151" i="111"/>
  <c r="AN153" i="111"/>
  <c r="AN158" i="111"/>
  <c r="AN164" i="111"/>
  <c r="AT172" i="111"/>
  <c r="AM183" i="111"/>
  <c r="AO197" i="111"/>
  <c r="AK211" i="111"/>
  <c r="AQ8" i="22"/>
  <c r="AQ9" i="22" s="1"/>
  <c r="AQ10" i="22" s="1"/>
  <c r="AR7" i="22"/>
  <c r="Q8" i="111"/>
  <c r="O11" i="111"/>
  <c r="J17" i="111"/>
  <c r="R19" i="111"/>
  <c r="K20" i="111"/>
  <c r="N22" i="111"/>
  <c r="Q23" i="111"/>
  <c r="R27" i="111"/>
  <c r="O31" i="111"/>
  <c r="Q33" i="111"/>
  <c r="K36" i="111"/>
  <c r="O38" i="111"/>
  <c r="R42" i="111"/>
  <c r="AN46" i="111"/>
  <c r="AB8" i="111" s="1"/>
  <c r="AT47" i="111"/>
  <c r="AQ48" i="111"/>
  <c r="AN50" i="111"/>
  <c r="AK51" i="111"/>
  <c r="AQ52" i="111"/>
  <c r="AN53" i="111"/>
  <c r="BU54" i="111"/>
  <c r="BL15" i="111" s="1"/>
  <c r="AR55" i="111"/>
  <c r="AO56" i="111"/>
  <c r="BU57" i="111"/>
  <c r="BL21" i="111" s="1"/>
  <c r="CB58" i="111"/>
  <c r="BS22" i="111" s="1"/>
  <c r="BY59" i="111"/>
  <c r="BP23" i="111" s="1"/>
  <c r="AL62" i="111"/>
  <c r="CB62" i="111"/>
  <c r="AO64" i="111"/>
  <c r="BV65" i="111"/>
  <c r="BM30" i="111" s="1"/>
  <c r="AS66" i="111"/>
  <c r="AP67" i="111"/>
  <c r="BV68" i="111"/>
  <c r="BM8" i="111" s="1"/>
  <c r="AS69" i="111"/>
  <c r="AP70" i="111"/>
  <c r="BV71" i="111"/>
  <c r="BM10" i="111" s="1"/>
  <c r="AS73" i="111"/>
  <c r="AP74" i="111"/>
  <c r="AM75" i="111"/>
  <c r="CC75" i="111"/>
  <c r="BT15" i="111" s="1"/>
  <c r="BZ77" i="111"/>
  <c r="BQ18" i="111" s="1"/>
  <c r="AM79" i="111"/>
  <c r="CC79" i="111"/>
  <c r="BT21" i="111" s="1"/>
  <c r="BZ80" i="111"/>
  <c r="AN82" i="111"/>
  <c r="AK84" i="111"/>
  <c r="AQ85" i="111"/>
  <c r="AN86" i="111"/>
  <c r="AK87" i="111"/>
  <c r="CA87" i="111"/>
  <c r="BR31" i="111" s="1"/>
  <c r="AN90" i="111"/>
  <c r="AT91" i="111"/>
  <c r="AP93" i="111"/>
  <c r="AL96" i="111"/>
  <c r="AR97" i="111"/>
  <c r="AN99" i="111"/>
  <c r="AT101" i="111"/>
  <c r="AP103" i="111"/>
  <c r="AL107" i="111"/>
  <c r="AR108" i="111"/>
  <c r="AN110" i="111"/>
  <c r="AT112" i="111"/>
  <c r="AP114" i="111"/>
  <c r="AL116" i="111"/>
  <c r="AR119" i="111"/>
  <c r="AF8" i="111" s="1"/>
  <c r="AL121" i="111"/>
  <c r="AQ123" i="111"/>
  <c r="AK125" i="111"/>
  <c r="AP126" i="111"/>
  <c r="AU128" i="111"/>
  <c r="AI22" i="111" s="1"/>
  <c r="AO130" i="111"/>
  <c r="AT131" i="111"/>
  <c r="AN134" i="111"/>
  <c r="AS135" i="111"/>
  <c r="AM137" i="111"/>
  <c r="AR139" i="111"/>
  <c r="AL141" i="111"/>
  <c r="AQ142" i="111"/>
  <c r="AK146" i="111"/>
  <c r="AP147" i="111"/>
  <c r="AU148" i="111"/>
  <c r="AP151" i="111"/>
  <c r="AP153" i="111"/>
  <c r="AU158" i="111"/>
  <c r="AO164" i="111"/>
  <c r="AU172" i="111"/>
  <c r="AU183" i="111"/>
  <c r="AS198" i="111"/>
  <c r="AP212" i="111"/>
  <c r="AK134" i="22"/>
  <c r="AH133" i="22"/>
  <c r="AE132" i="22"/>
  <c r="AB131" i="22"/>
  <c r="AI128" i="22"/>
  <c r="AF127" i="22"/>
  <c r="AC126" i="22"/>
  <c r="AJ121" i="22"/>
  <c r="AG120" i="22"/>
  <c r="AD119" i="22"/>
  <c r="AK116" i="22"/>
  <c r="AH115" i="22"/>
  <c r="AE114" i="22"/>
  <c r="AB113" i="22"/>
  <c r="AI108" i="22"/>
  <c r="AF107" i="22"/>
  <c r="AC106" i="22"/>
  <c r="AJ103" i="22"/>
  <c r="AG102" i="22"/>
  <c r="AD101" i="22"/>
  <c r="AI56" i="22"/>
  <c r="AF55" i="22"/>
  <c r="AC54" i="22"/>
  <c r="AK42" i="22"/>
  <c r="AH41" i="22"/>
  <c r="AE40" i="22"/>
  <c r="AB39" i="22"/>
  <c r="AI36" i="22"/>
  <c r="AF35" i="22"/>
  <c r="AC34" i="22"/>
  <c r="AJ134" i="22"/>
  <c r="AG133" i="22"/>
  <c r="AD132" i="22"/>
  <c r="AK129" i="22"/>
  <c r="AH128" i="22"/>
  <c r="AE127" i="22"/>
  <c r="AB126" i="22"/>
  <c r="AI121" i="22"/>
  <c r="AF120" i="22"/>
  <c r="AC119" i="22"/>
  <c r="AJ116" i="22"/>
  <c r="AG115" i="22"/>
  <c r="AD114" i="22"/>
  <c r="AK109" i="22"/>
  <c r="AH108" i="22"/>
  <c r="AE107" i="22"/>
  <c r="AB106" i="22"/>
  <c r="AI103" i="22"/>
  <c r="AF102" i="22"/>
  <c r="AC101" i="22"/>
  <c r="AH56" i="22"/>
  <c r="AE55" i="22"/>
  <c r="AB54" i="22"/>
  <c r="AJ42" i="22"/>
  <c r="AG41" i="22"/>
  <c r="AD40" i="22"/>
  <c r="AK37" i="22"/>
  <c r="AH36" i="22"/>
  <c r="AE35" i="22"/>
  <c r="AB34" i="22"/>
  <c r="AI134" i="22"/>
  <c r="AF133" i="22"/>
  <c r="AC132" i="22"/>
  <c r="AJ129" i="22"/>
  <c r="AG128" i="22"/>
  <c r="AD127" i="22"/>
  <c r="AK124" i="22"/>
  <c r="AK122" i="22"/>
  <c r="AH121" i="22"/>
  <c r="AE120" i="22"/>
  <c r="AB119" i="22"/>
  <c r="AI116" i="22"/>
  <c r="AF115" i="22"/>
  <c r="AC114" i="22"/>
  <c r="AJ109" i="22"/>
  <c r="AG108" i="22"/>
  <c r="AD107" i="22"/>
  <c r="AK104" i="22"/>
  <c r="AH103" i="22"/>
  <c r="AE102" i="22"/>
  <c r="AB101" i="22"/>
  <c r="AG56" i="22"/>
  <c r="AD55" i="22"/>
  <c r="AI42" i="22"/>
  <c r="AF41" i="22"/>
  <c r="AC40" i="22"/>
  <c r="AJ37" i="22"/>
  <c r="AG36" i="22"/>
  <c r="AD35" i="22"/>
  <c r="AH134" i="22"/>
  <c r="AE133" i="22"/>
  <c r="AB132" i="22"/>
  <c r="N28" i="22" s="1"/>
  <c r="AI129" i="22"/>
  <c r="AF128" i="22"/>
  <c r="AC127" i="22"/>
  <c r="AJ124" i="22"/>
  <c r="AJ122" i="22"/>
  <c r="AG121" i="22"/>
  <c r="AD120" i="22"/>
  <c r="AK117" i="22"/>
  <c r="AH116" i="22"/>
  <c r="AE115" i="22"/>
  <c r="AB114" i="22"/>
  <c r="AI109" i="22"/>
  <c r="AF108" i="22"/>
  <c r="AC107" i="22"/>
  <c r="AJ104" i="22"/>
  <c r="AG103" i="22"/>
  <c r="AD102" i="22"/>
  <c r="AF56" i="22"/>
  <c r="AC55" i="22"/>
  <c r="AH42" i="22"/>
  <c r="AE41" i="22"/>
  <c r="AB40" i="22"/>
  <c r="AI37" i="22"/>
  <c r="AF36" i="22"/>
  <c r="AC35" i="22"/>
  <c r="AG134" i="22"/>
  <c r="AD133" i="22"/>
  <c r="AK130" i="22"/>
  <c r="AH129" i="22"/>
  <c r="AE128" i="22"/>
  <c r="AB127" i="22"/>
  <c r="AI124" i="22"/>
  <c r="AI122" i="22"/>
  <c r="AF121" i="22"/>
  <c r="AC120" i="22"/>
  <c r="AJ117" i="22"/>
  <c r="AG116" i="22"/>
  <c r="AD115" i="22"/>
  <c r="AK112" i="22"/>
  <c r="AK110" i="22"/>
  <c r="AH109" i="22"/>
  <c r="AE108" i="22"/>
  <c r="AB107" i="22"/>
  <c r="AI104" i="22"/>
  <c r="AF103" i="22"/>
  <c r="AC102" i="22"/>
  <c r="AE56" i="22"/>
  <c r="AB55" i="22"/>
  <c r="AG42" i="22"/>
  <c r="AD41" i="22"/>
  <c r="AK38" i="22"/>
  <c r="AH37" i="22"/>
  <c r="AE36" i="22"/>
  <c r="AB35" i="22"/>
  <c r="AF134" i="22"/>
  <c r="AC133" i="22"/>
  <c r="AJ130" i="22"/>
  <c r="AG129" i="22"/>
  <c r="AD128" i="22"/>
  <c r="AK125" i="22"/>
  <c r="AH124" i="22"/>
  <c r="AH122" i="22"/>
  <c r="AE121" i="22"/>
  <c r="AB120" i="22"/>
  <c r="AI117" i="22"/>
  <c r="AF116" i="22"/>
  <c r="AC115" i="22"/>
  <c r="AJ112" i="22"/>
  <c r="AJ110" i="22"/>
  <c r="AG109" i="22"/>
  <c r="AD108" i="22"/>
  <c r="AK105" i="22"/>
  <c r="AH104" i="22"/>
  <c r="AE103" i="22"/>
  <c r="AB102" i="22"/>
  <c r="AD56" i="22"/>
  <c r="AF42" i="22"/>
  <c r="AC41" i="22"/>
  <c r="AJ38" i="22"/>
  <c r="AG37" i="22"/>
  <c r="AD36" i="22"/>
  <c r="AK33" i="22"/>
  <c r="AE134" i="22"/>
  <c r="AB133" i="22"/>
  <c r="AI130" i="22"/>
  <c r="AF129" i="22"/>
  <c r="AC128" i="22"/>
  <c r="AJ125" i="22"/>
  <c r="AG124" i="22"/>
  <c r="AG122" i="22"/>
  <c r="AD121" i="22"/>
  <c r="AK118" i="22"/>
  <c r="AH117" i="22"/>
  <c r="AE116" i="22"/>
  <c r="AB115" i="22"/>
  <c r="AI112" i="22"/>
  <c r="AI110" i="22"/>
  <c r="AF109" i="22"/>
  <c r="AC108" i="22"/>
  <c r="AJ105" i="22"/>
  <c r="AG104" i="22"/>
  <c r="AD103" i="22"/>
  <c r="AK100" i="22"/>
  <c r="AC56" i="22"/>
  <c r="AE42" i="22"/>
  <c r="AB41" i="22"/>
  <c r="AI38" i="22"/>
  <c r="AF37" i="22"/>
  <c r="AC36" i="22"/>
  <c r="AJ33" i="22"/>
  <c r="AD134" i="22"/>
  <c r="AK131" i="22"/>
  <c r="AH130" i="22"/>
  <c r="AE129" i="22"/>
  <c r="AB128" i="22"/>
  <c r="AI125" i="22"/>
  <c r="AF124" i="22"/>
  <c r="AF122" i="22"/>
  <c r="AC121" i="22"/>
  <c r="AJ118" i="22"/>
  <c r="AG117" i="22"/>
  <c r="AD116" i="22"/>
  <c r="AK113" i="22"/>
  <c r="AH112" i="22"/>
  <c r="AH110" i="22"/>
  <c r="AE109" i="22"/>
  <c r="AB108" i="22"/>
  <c r="AI105" i="22"/>
  <c r="AF104" i="22"/>
  <c r="AC103" i="22"/>
  <c r="AJ100" i="22"/>
  <c r="AB56" i="22"/>
  <c r="AD42" i="22"/>
  <c r="AK39" i="22"/>
  <c r="AH38" i="22"/>
  <c r="AE37" i="22"/>
  <c r="AB36" i="22"/>
  <c r="AI33" i="22"/>
  <c r="AC134" i="22"/>
  <c r="AJ131" i="22"/>
  <c r="AG130" i="22"/>
  <c r="AD129" i="22"/>
  <c r="AK126" i="22"/>
  <c r="AH125" i="22"/>
  <c r="AE124" i="22"/>
  <c r="AE122" i="22"/>
  <c r="AB121" i="22"/>
  <c r="AI118" i="22"/>
  <c r="AF117" i="22"/>
  <c r="AC116" i="22"/>
  <c r="AJ113" i="22"/>
  <c r="AG112" i="22"/>
  <c r="AG110" i="22"/>
  <c r="AD109" i="22"/>
  <c r="AK106" i="22"/>
  <c r="AH105" i="22"/>
  <c r="AE104" i="22"/>
  <c r="AK132" i="22"/>
  <c r="AH131" i="22"/>
  <c r="AE130" i="22"/>
  <c r="AB129" i="22"/>
  <c r="AJ132" i="22"/>
  <c r="AG131" i="22"/>
  <c r="AD130" i="22"/>
  <c r="AI131" i="22"/>
  <c r="AE125" i="22"/>
  <c r="AE119" i="22"/>
  <c r="AF113" i="22"/>
  <c r="AJ106" i="22"/>
  <c r="AB104" i="22"/>
  <c r="AI101" i="22"/>
  <c r="AH55" i="22"/>
  <c r="AI41" i="22"/>
  <c r="AC39" i="22"/>
  <c r="AJ36" i="22"/>
  <c r="AD34" i="22"/>
  <c r="AG32" i="22"/>
  <c r="AE31" i="22"/>
  <c r="AC30" i="22"/>
  <c r="AD29" i="22"/>
  <c r="AE28" i="22"/>
  <c r="AG27" i="22"/>
  <c r="AF131" i="22"/>
  <c r="AD125" i="22"/>
  <c r="AH118" i="22"/>
  <c r="AE113" i="22"/>
  <c r="AI106" i="22"/>
  <c r="AH101" i="22"/>
  <c r="AG55" i="22"/>
  <c r="AG38" i="22"/>
  <c r="AH33" i="22"/>
  <c r="AF32" i="22"/>
  <c r="AD31" i="22"/>
  <c r="AB30" i="22"/>
  <c r="AC29" i="22"/>
  <c r="AD28" i="22"/>
  <c r="AF27" i="22"/>
  <c r="AE131" i="22"/>
  <c r="AK127" i="22"/>
  <c r="AC125" i="22"/>
  <c r="AK121" i="22"/>
  <c r="AG118" i="22"/>
  <c r="AD113" i="22"/>
  <c r="AC109" i="22"/>
  <c r="AH106" i="22"/>
  <c r="AG101" i="22"/>
  <c r="AK54" i="22"/>
  <c r="AF38" i="22"/>
  <c r="AG33" i="22"/>
  <c r="AE32" i="22"/>
  <c r="AC31" i="22"/>
  <c r="AB29" i="22"/>
  <c r="AC28" i="22"/>
  <c r="AE27" i="22"/>
  <c r="AD131" i="22"/>
  <c r="AJ127" i="22"/>
  <c r="AB125" i="22"/>
  <c r="AF118" i="22"/>
  <c r="AK115" i="22"/>
  <c r="AC113" i="22"/>
  <c r="AB109" i="22"/>
  <c r="AG106" i="22"/>
  <c r="AF101" i="22"/>
  <c r="AJ54" i="22"/>
  <c r="AK40" i="22"/>
  <c r="AE38" i="22"/>
  <c r="AF33" i="22"/>
  <c r="AD32" i="22"/>
  <c r="AB31" i="22"/>
  <c r="AB28" i="22"/>
  <c r="AD27" i="22"/>
  <c r="AC131" i="22"/>
  <c r="AI127" i="22"/>
  <c r="AE118" i="22"/>
  <c r="AJ115" i="22"/>
  <c r="AF112" i="22"/>
  <c r="AF106" i="22"/>
  <c r="AK103" i="22"/>
  <c r="AE101" i="22"/>
  <c r="AI54" i="22"/>
  <c r="AJ40" i="22"/>
  <c r="AD38" i="22"/>
  <c r="AK35" i="22"/>
  <c r="AE33" i="22"/>
  <c r="AC32" i="22"/>
  <c r="AC27" i="22"/>
  <c r="AF130" i="22"/>
  <c r="AH127" i="22"/>
  <c r="AD124" i="22"/>
  <c r="AD118" i="22"/>
  <c r="AI115" i="22"/>
  <c r="AE112" i="22"/>
  <c r="AE106" i="22"/>
  <c r="AB103" i="22"/>
  <c r="AI100" i="22"/>
  <c r="AH54" i="22"/>
  <c r="AI40" i="22"/>
  <c r="AC38" i="22"/>
  <c r="AJ35" i="22"/>
  <c r="AD33" i="22"/>
  <c r="AB32" i="22"/>
  <c r="AB134" i="22"/>
  <c r="AC130" i="22"/>
  <c r="AG127" i="22"/>
  <c r="AC124" i="22"/>
  <c r="AK120" i="22"/>
  <c r="AC118" i="22"/>
  <c r="AD112" i="22"/>
  <c r="AD106" i="22"/>
  <c r="AH100" i="22"/>
  <c r="AG54" i="22"/>
  <c r="AH40" i="22"/>
  <c r="AB38" i="22"/>
  <c r="AI35" i="22"/>
  <c r="AC33" i="22"/>
  <c r="AB130" i="22"/>
  <c r="AJ126" i="22"/>
  <c r="AB124" i="22"/>
  <c r="AJ120" i="22"/>
  <c r="AB118" i="22"/>
  <c r="AK114" i="22"/>
  <c r="AC112" i="22"/>
  <c r="AK108" i="22"/>
  <c r="AG105" i="22"/>
  <c r="AG100" i="22"/>
  <c r="AF54" i="22"/>
  <c r="AG40" i="22"/>
  <c r="AH35" i="22"/>
  <c r="AB33" i="22"/>
  <c r="AK133" i="22"/>
  <c r="AI126" i="22"/>
  <c r="AI120" i="22"/>
  <c r="AE117" i="22"/>
  <c r="AJ114" i="22"/>
  <c r="AB112" i="22"/>
  <c r="AJ108" i="22"/>
  <c r="AF105" i="22"/>
  <c r="AF100" i="22"/>
  <c r="AK56" i="22"/>
  <c r="AE54" i="22"/>
  <c r="AF40" i="22"/>
  <c r="AG35" i="22"/>
  <c r="AK30" i="22"/>
  <c r="AJ133" i="22"/>
  <c r="AH126" i="22"/>
  <c r="AH120" i="22"/>
  <c r="AD117" i="22"/>
  <c r="AI114" i="22"/>
  <c r="AE105" i="22"/>
  <c r="AK102" i="22"/>
  <c r="AE100" i="22"/>
  <c r="AJ56" i="22"/>
  <c r="AD54" i="22"/>
  <c r="AC42" i="22"/>
  <c r="AJ39" i="22"/>
  <c r="AD37" i="22"/>
  <c r="AK34" i="22"/>
  <c r="AJ30" i="22"/>
  <c r="AK29" i="22"/>
  <c r="AI133" i="22"/>
  <c r="AC129" i="22"/>
  <c r="AG126" i="22"/>
  <c r="AK119" i="22"/>
  <c r="AC117" i="22"/>
  <c r="AH114" i="22"/>
  <c r="AD105" i="22"/>
  <c r="AJ102" i="22"/>
  <c r="AD100" i="22"/>
  <c r="AB42" i="22"/>
  <c r="AI39" i="22"/>
  <c r="AC37" i="22"/>
  <c r="AJ34" i="22"/>
  <c r="AK31" i="22"/>
  <c r="AI30" i="22"/>
  <c r="AJ29" i="22"/>
  <c r="AK28" i="22"/>
  <c r="AF126" i="22"/>
  <c r="AJ119" i="22"/>
  <c r="AB117" i="22"/>
  <c r="AG114" i="22"/>
  <c r="AF110" i="22"/>
  <c r="AK107" i="22"/>
  <c r="AC105" i="22"/>
  <c r="AI102" i="22"/>
  <c r="AC100" i="22"/>
  <c r="AH39" i="22"/>
  <c r="AB37" i="22"/>
  <c r="AI34" i="22"/>
  <c r="AJ31" i="22"/>
  <c r="AH30" i="22"/>
  <c r="AI29" i="22"/>
  <c r="AJ28" i="22"/>
  <c r="AI132" i="22"/>
  <c r="AE126" i="22"/>
  <c r="AD122" i="22"/>
  <c r="AI119" i="22"/>
  <c r="AF114" i="22"/>
  <c r="AE110" i="22"/>
  <c r="AJ107" i="22"/>
  <c r="AB105" i="22"/>
  <c r="AH102" i="22"/>
  <c r="AB100" i="22"/>
  <c r="AG39" i="22"/>
  <c r="AH34" i="22"/>
  <c r="AK32" i="22"/>
  <c r="AI31" i="22"/>
  <c r="AG30" i="22"/>
  <c r="AH29" i="22"/>
  <c r="AI28" i="22"/>
  <c r="AK27" i="22"/>
  <c r="AH132" i="22"/>
  <c r="AD126" i="22"/>
  <c r="AC122" i="22"/>
  <c r="AH119" i="22"/>
  <c r="AI113" i="22"/>
  <c r="AD110" i="22"/>
  <c r="AI107" i="22"/>
  <c r="AK55" i="22"/>
  <c r="AF39" i="22"/>
  <c r="AG34" i="22"/>
  <c r="AJ32" i="22"/>
  <c r="AH31" i="22"/>
  <c r="AF30" i="22"/>
  <c r="AG29" i="22"/>
  <c r="AH28" i="22"/>
  <c r="AJ27" i="22"/>
  <c r="AG132" i="22"/>
  <c r="AK128" i="22"/>
  <c r="AG125" i="22"/>
  <c r="AB122" i="22"/>
  <c r="AG119" i="22"/>
  <c r="AH113" i="22"/>
  <c r="AC110" i="22"/>
  <c r="AH107" i="22"/>
  <c r="AD104" i="22"/>
  <c r="AK101" i="22"/>
  <c r="AJ55" i="22"/>
  <c r="AK41" i="22"/>
  <c r="AE39" i="22"/>
  <c r="AF34" i="22"/>
  <c r="AI32" i="22"/>
  <c r="AG31" i="22"/>
  <c r="AE30" i="22"/>
  <c r="AF29" i="22"/>
  <c r="AG28" i="22"/>
  <c r="AI27" i="22"/>
  <c r="AF132" i="22"/>
  <c r="AJ128" i="22"/>
  <c r="AF125" i="22"/>
  <c r="AF119" i="22"/>
  <c r="AB116" i="22"/>
  <c r="AG113" i="22"/>
  <c r="AB110" i="22"/>
  <c r="AG107" i="22"/>
  <c r="AC104" i="22"/>
  <c r="AJ101" i="22"/>
  <c r="AI55" i="22"/>
  <c r="AJ41" i="22"/>
  <c r="AD39" i="22"/>
  <c r="AK36" i="22"/>
  <c r="AE34" i="22"/>
  <c r="AH32" i="22"/>
  <c r="AF31" i="22"/>
  <c r="AD30" i="22"/>
  <c r="AE29" i="22"/>
  <c r="AF28" i="22"/>
  <c r="AH27" i="22"/>
  <c r="R8" i="111"/>
  <c r="I10" i="111"/>
  <c r="P11" i="111"/>
  <c r="K17" i="111"/>
  <c r="S19" i="111"/>
  <c r="L20" i="111"/>
  <c r="O22" i="111"/>
  <c r="R23" i="111"/>
  <c r="S27" i="111"/>
  <c r="I30" i="111"/>
  <c r="P31" i="111"/>
  <c r="R33" i="111"/>
  <c r="L36" i="111"/>
  <c r="P38" i="111"/>
  <c r="I41" i="111"/>
  <c r="S42" i="111"/>
  <c r="AO46" i="111"/>
  <c r="AC8" i="111" s="1"/>
  <c r="BU47" i="111"/>
  <c r="AR48" i="111"/>
  <c r="AF11" i="111" s="1"/>
  <c r="AO50" i="111"/>
  <c r="AL51" i="111"/>
  <c r="AR52" i="111"/>
  <c r="AO53" i="111"/>
  <c r="BV54" i="111"/>
  <c r="BM15" i="111" s="1"/>
  <c r="AS55" i="111"/>
  <c r="AP56" i="111"/>
  <c r="BV57" i="111"/>
  <c r="BM21" i="111" s="1"/>
  <c r="CC58" i="111"/>
  <c r="BT22" i="111" s="1"/>
  <c r="BZ59" i="111"/>
  <c r="BQ23" i="111" s="1"/>
  <c r="AM62" i="111"/>
  <c r="CC62" i="111"/>
  <c r="AP64" i="111"/>
  <c r="BW65" i="111"/>
  <c r="BN30" i="111" s="1"/>
  <c r="AT66" i="111"/>
  <c r="AQ67" i="111"/>
  <c r="BW68" i="111"/>
  <c r="BN8" i="111" s="1"/>
  <c r="AT69" i="111"/>
  <c r="AQ70" i="111"/>
  <c r="AE38" i="111" s="1"/>
  <c r="BW71" i="111"/>
  <c r="BN10" i="111" s="1"/>
  <c r="AT73" i="111"/>
  <c r="AQ74" i="111"/>
  <c r="AN75" i="111"/>
  <c r="AK76" i="111"/>
  <c r="CA77" i="111"/>
  <c r="BR18" i="111" s="1"/>
  <c r="AN79" i="111"/>
  <c r="AK80" i="111"/>
  <c r="CA80" i="111"/>
  <c r="AO82" i="111"/>
  <c r="AL84" i="111"/>
  <c r="AR85" i="111"/>
  <c r="AO86" i="111"/>
  <c r="AL87" i="111"/>
  <c r="AO90" i="111"/>
  <c r="AK92" i="111"/>
  <c r="AQ93" i="111"/>
  <c r="AM96" i="111"/>
  <c r="AS97" i="111"/>
  <c r="AO99" i="111"/>
  <c r="AK102" i="111"/>
  <c r="AQ103" i="111"/>
  <c r="AM107" i="111"/>
  <c r="AS108" i="111"/>
  <c r="AO110" i="111"/>
  <c r="AK113" i="111"/>
  <c r="AQ114" i="111"/>
  <c r="AM116" i="111"/>
  <c r="AS119" i="111"/>
  <c r="AR123" i="111"/>
  <c r="AL125" i="111"/>
  <c r="AQ126" i="111"/>
  <c r="AK129" i="111"/>
  <c r="AP130" i="111"/>
  <c r="AU131" i="111"/>
  <c r="AO134" i="111"/>
  <c r="AT135" i="111"/>
  <c r="AN137" i="111"/>
  <c r="AS139" i="111"/>
  <c r="AM141" i="111"/>
  <c r="AR142" i="111"/>
  <c r="AL146" i="111"/>
  <c r="AQ147" i="111"/>
  <c r="AK149" i="111"/>
  <c r="AQ151" i="111"/>
  <c r="AQ153" i="111"/>
  <c r="AK159" i="111"/>
  <c r="AK165" i="111"/>
  <c r="AR174" i="111"/>
  <c r="AQ185" i="111"/>
  <c r="AT198" i="111"/>
  <c r="AQ212" i="111"/>
  <c r="AR6" i="22"/>
  <c r="AR8" i="22"/>
  <c r="AM10" i="65"/>
  <c r="AM13" i="65"/>
  <c r="AM9" i="65"/>
  <c r="AM8" i="65"/>
  <c r="AM12" i="65"/>
  <c r="AM11" i="65"/>
  <c r="AR9" i="22"/>
  <c r="AR5" i="22"/>
  <c r="AJ11" i="65"/>
  <c r="AJ13" i="65"/>
  <c r="AJ8" i="65"/>
  <c r="AJ12" i="65"/>
  <c r="AJ10" i="65"/>
  <c r="AJ9" i="65"/>
  <c r="AJ29" i="65"/>
  <c r="AJ34" i="65"/>
  <c r="AJ33" i="65"/>
  <c r="AJ32" i="65"/>
  <c r="AJ31" i="65"/>
  <c r="AM31" i="65"/>
  <c r="AG39" i="65"/>
  <c r="AI47" i="65"/>
  <c r="AH47" i="65" s="1"/>
  <c r="AG40" i="65"/>
  <c r="AG33" i="65"/>
  <c r="AG41" i="65"/>
  <c r="AJ21" i="65"/>
  <c r="AJ41" i="65"/>
  <c r="AM33" i="65"/>
  <c r="F9" i="107"/>
  <c r="AG29" i="65"/>
  <c r="AI45" i="65"/>
  <c r="E10" i="107"/>
  <c r="AM34" i="65"/>
  <c r="AM29" i="65"/>
  <c r="C19" i="107"/>
  <c r="BX38" i="56" l="1"/>
  <c r="BV38" i="56"/>
  <c r="DT25" i="20"/>
  <c r="DR25" i="20"/>
  <c r="CS211" i="20"/>
  <c r="CR211" i="20"/>
  <c r="BX26" i="56"/>
  <c r="BV26" i="56"/>
  <c r="CS138" i="20"/>
  <c r="CR138" i="20"/>
  <c r="DT34" i="20"/>
  <c r="DR34" i="20"/>
  <c r="CT228" i="20"/>
  <c r="CV228" i="20"/>
  <c r="Z11" i="111"/>
  <c r="AC75" i="56"/>
  <c r="CC28" i="56"/>
  <c r="BW28" i="56" s="1"/>
  <c r="CQ191" i="20"/>
  <c r="DE223" i="20"/>
  <c r="CH105" i="38"/>
  <c r="CL80" i="38"/>
  <c r="CG105" i="38"/>
  <c r="CQ203" i="20"/>
  <c r="DB123" i="40"/>
  <c r="DB124" i="40" s="1"/>
  <c r="BS130" i="38"/>
  <c r="CL74" i="38"/>
  <c r="DC160" i="20"/>
  <c r="DD160" i="20"/>
  <c r="CQ210" i="20"/>
  <c r="V74" i="56"/>
  <c r="CQ185" i="20"/>
  <c r="DE221" i="20"/>
  <c r="DE219" i="20"/>
  <c r="CD105" i="38"/>
  <c r="BA178" i="38"/>
  <c r="BL105" i="38"/>
  <c r="CL69" i="38"/>
  <c r="BV18" i="56"/>
  <c r="BA29" i="38"/>
  <c r="CL77" i="38"/>
  <c r="BM29" i="111"/>
  <c r="BN13" i="111"/>
  <c r="DC152" i="20"/>
  <c r="DD152" i="20"/>
  <c r="Y38" i="56"/>
  <c r="AE38" i="56"/>
  <c r="DC144" i="20"/>
  <c r="DD144" i="20"/>
  <c r="CQ197" i="20"/>
  <c r="DE229" i="20"/>
  <c r="AH31" i="40"/>
  <c r="O31" i="40" s="1"/>
  <c r="P31" i="40" s="1"/>
  <c r="CP170" i="20"/>
  <c r="CO170" i="20"/>
  <c r="CL55" i="20"/>
  <c r="CL33" i="20"/>
  <c r="CL36" i="20"/>
  <c r="CL31" i="20"/>
  <c r="CL108" i="20"/>
  <c r="CL100" i="20"/>
  <c r="CL111" i="20"/>
  <c r="CL89" i="20"/>
  <c r="CL45" i="20"/>
  <c r="CL50" i="20"/>
  <c r="CL46" i="20"/>
  <c r="CL39" i="20"/>
  <c r="V32" i="20"/>
  <c r="DC148" i="20"/>
  <c r="DD148" i="20"/>
  <c r="E10" i="50"/>
  <c r="BF10" i="116"/>
  <c r="AK8" i="116"/>
  <c r="BA149" i="38"/>
  <c r="BA35" i="38"/>
  <c r="X33" i="56"/>
  <c r="AJ33" i="56"/>
  <c r="CQ166" i="20"/>
  <c r="CQ212" i="20"/>
  <c r="DC140" i="20"/>
  <c r="DD140" i="20"/>
  <c r="I19" i="22"/>
  <c r="AH27" i="111"/>
  <c r="E11" i="50"/>
  <c r="BN31" i="111"/>
  <c r="AE37" i="111"/>
  <c r="AB11" i="111"/>
  <c r="BN22" i="111"/>
  <c r="BP130" i="38"/>
  <c r="BA36" i="38"/>
  <c r="AH28" i="40"/>
  <c r="O28" i="40" s="1"/>
  <c r="AJ11" i="116"/>
  <c r="AI11" i="116"/>
  <c r="DE199" i="20"/>
  <c r="CQ181" i="20"/>
  <c r="DE215" i="20"/>
  <c r="DY32" i="20"/>
  <c r="DS32" i="20" s="1"/>
  <c r="DT32" i="20" s="1"/>
  <c r="BS105" i="38"/>
  <c r="Y30" i="56"/>
  <c r="AK30" i="56"/>
  <c r="CP162" i="20"/>
  <c r="CO162" i="20"/>
  <c r="CQ162" i="20" s="1"/>
  <c r="DC156" i="20"/>
  <c r="DD156" i="20"/>
  <c r="Y8" i="111"/>
  <c r="AY76" i="56"/>
  <c r="W73" i="56"/>
  <c r="DR30" i="20"/>
  <c r="BW105" i="38"/>
  <c r="CS224" i="20"/>
  <c r="CR224" i="20"/>
  <c r="AO72" i="56"/>
  <c r="I14" i="44"/>
  <c r="CQ231" i="20"/>
  <c r="CI105" i="38"/>
  <c r="BA210" i="38"/>
  <c r="L20" i="63"/>
  <c r="L17" i="63"/>
  <c r="BA151" i="38"/>
  <c r="AF17" i="111"/>
  <c r="CA130" i="38"/>
  <c r="CL71" i="38"/>
  <c r="BA202" i="38"/>
  <c r="BA90" i="38"/>
  <c r="DY29" i="40"/>
  <c r="AH24" i="40"/>
  <c r="O24" i="40" s="1"/>
  <c r="CQ8" i="20"/>
  <c r="CP8" i="20"/>
  <c r="AI30" i="56"/>
  <c r="W30" i="56"/>
  <c r="BA156" i="38"/>
  <c r="F27" i="22"/>
  <c r="CQ229" i="20"/>
  <c r="CQ206" i="20"/>
  <c r="CQ187" i="20"/>
  <c r="CS187" i="20" s="1"/>
  <c r="DE193" i="20"/>
  <c r="CR13" i="20"/>
  <c r="CS13" i="20" s="1"/>
  <c r="DE13" i="20" s="1"/>
  <c r="CJ130" i="38"/>
  <c r="CS226" i="20"/>
  <c r="CR226" i="20"/>
  <c r="DC136" i="20"/>
  <c r="DD136" i="20"/>
  <c r="F33" i="22"/>
  <c r="AC11" i="111"/>
  <c r="AB10" i="111"/>
  <c r="AC27" i="111"/>
  <c r="Y41" i="111"/>
  <c r="AE14" i="111"/>
  <c r="O14" i="111" s="1"/>
  <c r="CQ189" i="20"/>
  <c r="BA197" i="38"/>
  <c r="BA54" i="38"/>
  <c r="AH22" i="40"/>
  <c r="O22" i="40" s="1"/>
  <c r="P22" i="40" s="1"/>
  <c r="AL208" i="111"/>
  <c r="AT151" i="111"/>
  <c r="AN92" i="111"/>
  <c r="AR53" i="111"/>
  <c r="I23" i="111"/>
  <c r="AN149" i="111"/>
  <c r="AR90" i="111"/>
  <c r="AM59" i="111"/>
  <c r="AA27" i="111" s="1"/>
  <c r="P24" i="111"/>
  <c r="AT147" i="111"/>
  <c r="AL89" i="111"/>
  <c r="AO84" i="111"/>
  <c r="AC30" i="111" s="1"/>
  <c r="AN80" i="111"/>
  <c r="L24" i="111"/>
  <c r="AO146" i="111"/>
  <c r="J42" i="111"/>
  <c r="P30" i="111"/>
  <c r="N27" i="111"/>
  <c r="AU142" i="111"/>
  <c r="AI42" i="111" s="1"/>
  <c r="AP116" i="111"/>
  <c r="AT67" i="111"/>
  <c r="AH37" i="111" s="1"/>
  <c r="P41" i="111"/>
  <c r="L30" i="111"/>
  <c r="J27" i="111"/>
  <c r="AP141" i="111"/>
  <c r="AD41" i="111" s="1"/>
  <c r="AT114" i="111"/>
  <c r="AH41" i="111" s="1"/>
  <c r="AO87" i="111"/>
  <c r="AT70" i="111"/>
  <c r="AH38" i="111" s="1"/>
  <c r="L41" i="111"/>
  <c r="AK140" i="111"/>
  <c r="AN113" i="111"/>
  <c r="AQ79" i="111"/>
  <c r="AT74" i="111"/>
  <c r="AQ137" i="111"/>
  <c r="AR110" i="111"/>
  <c r="AR82" i="111"/>
  <c r="AK78" i="111"/>
  <c r="Y22" i="111" s="1"/>
  <c r="S38" i="111"/>
  <c r="R17" i="111"/>
  <c r="AL136" i="111"/>
  <c r="AL109" i="111"/>
  <c r="AS64" i="111"/>
  <c r="AG33" i="111" s="1"/>
  <c r="AS51" i="111"/>
  <c r="AG19" i="111" s="1"/>
  <c r="M37" i="111"/>
  <c r="S31" i="111"/>
  <c r="N17" i="111"/>
  <c r="AR202" i="111"/>
  <c r="AM132" i="111"/>
  <c r="AT103" i="111"/>
  <c r="AR86" i="111"/>
  <c r="S36" i="111"/>
  <c r="O20" i="111"/>
  <c r="L10" i="111"/>
  <c r="I8" i="111"/>
  <c r="AK187" i="111"/>
  <c r="AS130" i="111"/>
  <c r="AG24" i="111" s="1"/>
  <c r="AN102" i="111"/>
  <c r="AN76" i="111"/>
  <c r="AM57" i="111"/>
  <c r="O36" i="111"/>
  <c r="AL176" i="111"/>
  <c r="AN129" i="111"/>
  <c r="AR99" i="111"/>
  <c r="AP62" i="111"/>
  <c r="AD31" i="111" s="1"/>
  <c r="AS56" i="111"/>
  <c r="I33" i="111"/>
  <c r="N19" i="111"/>
  <c r="S11" i="111"/>
  <c r="AT165" i="111"/>
  <c r="AH42" i="111" s="1"/>
  <c r="AT126" i="111"/>
  <c r="AL98" i="111"/>
  <c r="O32" i="111"/>
  <c r="R22" i="111"/>
  <c r="J19" i="111"/>
  <c r="K11" i="111"/>
  <c r="AS159" i="111"/>
  <c r="AG32" i="111" s="1"/>
  <c r="AO125" i="111"/>
  <c r="AP96" i="111"/>
  <c r="K32" i="111"/>
  <c r="J22" i="111"/>
  <c r="AN154" i="111"/>
  <c r="AU123" i="111"/>
  <c r="AI14" i="111" s="1"/>
  <c r="S14" i="111" s="1"/>
  <c r="AT93" i="111"/>
  <c r="AQ75" i="111"/>
  <c r="AR50" i="111"/>
  <c r="AF14" i="111" s="1"/>
  <c r="P14" i="111" s="1"/>
  <c r="M23" i="111"/>
  <c r="P10" i="111"/>
  <c r="AM63" i="111"/>
  <c r="AA32" i="111" s="1"/>
  <c r="AR134" i="111"/>
  <c r="AP107" i="111"/>
  <c r="M8" i="111"/>
  <c r="AO51" i="111"/>
  <c r="AC19" i="111" s="1"/>
  <c r="I37" i="111"/>
  <c r="S20" i="111"/>
  <c r="CP178" i="20"/>
  <c r="CO178" i="20"/>
  <c r="CQ178" i="20" s="1"/>
  <c r="CS222" i="20"/>
  <c r="CR222" i="20"/>
  <c r="AB42" i="111"/>
  <c r="AF32" i="111"/>
  <c r="AA24" i="111"/>
  <c r="CC19" i="56"/>
  <c r="BW19" i="56" s="1"/>
  <c r="DE225" i="20"/>
  <c r="DE211" i="20"/>
  <c r="CR7" i="20"/>
  <c r="CS7" i="20" s="1"/>
  <c r="DE7" i="20" s="1"/>
  <c r="DC7" i="20" s="1"/>
  <c r="BA157" i="38"/>
  <c r="BN130" i="38"/>
  <c r="BA62" i="38"/>
  <c r="BA183" i="38"/>
  <c r="N22" i="22"/>
  <c r="M30" i="22"/>
  <c r="N20" i="22"/>
  <c r="N30" i="22"/>
  <c r="F19" i="22"/>
  <c r="F26" i="22"/>
  <c r="F31" i="22"/>
  <c r="Z31" i="111"/>
  <c r="AE22" i="111"/>
  <c r="AF24" i="111"/>
  <c r="AG23" i="111"/>
  <c r="V75" i="56"/>
  <c r="H13" i="44"/>
  <c r="BN105" i="38"/>
  <c r="C35" i="61"/>
  <c r="F35" i="61"/>
  <c r="CP148" i="20"/>
  <c r="CO148" i="20"/>
  <c r="AK7" i="116"/>
  <c r="AL7" i="116" s="1"/>
  <c r="DE178" i="20"/>
  <c r="AS7" i="116"/>
  <c r="BC7" i="116"/>
  <c r="AT7" i="116"/>
  <c r="DT29" i="20"/>
  <c r="DR29" i="20"/>
  <c r="CX168" i="20"/>
  <c r="CW168" i="20"/>
  <c r="AE33" i="111"/>
  <c r="DF162" i="20"/>
  <c r="DG162" i="20"/>
  <c r="DF172" i="20"/>
  <c r="DG172" i="20"/>
  <c r="CX125" i="20"/>
  <c r="CW125" i="20"/>
  <c r="CV125" i="20"/>
  <c r="CU125" i="20"/>
  <c r="CN125" i="20"/>
  <c r="CX79" i="20"/>
  <c r="CW79" i="20"/>
  <c r="CU79" i="20"/>
  <c r="CN79" i="20"/>
  <c r="CV79" i="20"/>
  <c r="CZ16" i="20"/>
  <c r="DD16" i="20" s="1"/>
  <c r="DC16" i="20"/>
  <c r="DA16" i="20"/>
  <c r="DF16" i="20" s="1"/>
  <c r="Y42" i="111"/>
  <c r="CX93" i="20"/>
  <c r="CW93" i="20"/>
  <c r="CU93" i="20"/>
  <c r="CN93" i="20"/>
  <c r="CV93" i="20"/>
  <c r="BX23" i="40"/>
  <c r="DY28" i="40"/>
  <c r="F18" i="22"/>
  <c r="BX25" i="56"/>
  <c r="BV25" i="56"/>
  <c r="CS229" i="20"/>
  <c r="CR229" i="20"/>
  <c r="DT15" i="20"/>
  <c r="DR15" i="20"/>
  <c r="CP147" i="20"/>
  <c r="CO147" i="20"/>
  <c r="AT5" i="112"/>
  <c r="BY105" i="38"/>
  <c r="DT17" i="20"/>
  <c r="DR17" i="20"/>
  <c r="CX71" i="20"/>
  <c r="CW71" i="20"/>
  <c r="CV71" i="20"/>
  <c r="CU71" i="20"/>
  <c r="CN71" i="20"/>
  <c r="CE130" i="38"/>
  <c r="BR130" i="38"/>
  <c r="BX8" i="56"/>
  <c r="BV8" i="56"/>
  <c r="BN30" i="25"/>
  <c r="BN26" i="25"/>
  <c r="BN35" i="25"/>
  <c r="BN21" i="25"/>
  <c r="BN32" i="25"/>
  <c r="BN22" i="25"/>
  <c r="BN37" i="25"/>
  <c r="BN27" i="25"/>
  <c r="BN10" i="25"/>
  <c r="BN7" i="25"/>
  <c r="BN34" i="25"/>
  <c r="BN29" i="25"/>
  <c r="BN14" i="25"/>
  <c r="BN6" i="25"/>
  <c r="BN33" i="25"/>
  <c r="BN36" i="25"/>
  <c r="BN13" i="25"/>
  <c r="BN25" i="25"/>
  <c r="BN15" i="25"/>
  <c r="BN8" i="25"/>
  <c r="BN17" i="25"/>
  <c r="BN23" i="25"/>
  <c r="BN12" i="25"/>
  <c r="BN31" i="25"/>
  <c r="BN28" i="25"/>
  <c r="BN20" i="25"/>
  <c r="BN16" i="25"/>
  <c r="BN24" i="25"/>
  <c r="BN11" i="25"/>
  <c r="BN18" i="25"/>
  <c r="BN19" i="25"/>
  <c r="BN5" i="25"/>
  <c r="BN38" i="25"/>
  <c r="BN9" i="25"/>
  <c r="CS206" i="20"/>
  <c r="CR206" i="20"/>
  <c r="DF138" i="20"/>
  <c r="DG138" i="20"/>
  <c r="DT38" i="20"/>
  <c r="DR38" i="20"/>
  <c r="EC64" i="20"/>
  <c r="EJ64" i="20"/>
  <c r="EC100" i="20"/>
  <c r="EJ100" i="20"/>
  <c r="EJ65" i="20"/>
  <c r="EC65" i="20"/>
  <c r="EJ38" i="20"/>
  <c r="EC38" i="20"/>
  <c r="EC49" i="20"/>
  <c r="EJ49" i="20"/>
  <c r="BR105" i="38"/>
  <c r="BX65" i="56"/>
  <c r="BV65" i="56" s="1"/>
  <c r="BT65" i="56"/>
  <c r="BR65" i="56" s="1"/>
  <c r="DG181" i="20"/>
  <c r="DF181" i="20"/>
  <c r="CX27" i="20"/>
  <c r="CW27" i="20"/>
  <c r="CV27" i="20"/>
  <c r="CU27" i="20"/>
  <c r="CN27" i="20"/>
  <c r="DT21" i="20"/>
  <c r="DR21" i="20"/>
  <c r="BV105" i="38"/>
  <c r="DD173" i="20"/>
  <c r="DC173" i="20"/>
  <c r="CT216" i="20"/>
  <c r="CV216" i="20"/>
  <c r="CQ5" i="20"/>
  <c r="CP5" i="20"/>
  <c r="AO76" i="56"/>
  <c r="BP22" i="20"/>
  <c r="BN23" i="20" s="1"/>
  <c r="CJ22" i="20"/>
  <c r="BL22" i="20"/>
  <c r="CF22" i="20"/>
  <c r="CD23" i="20" s="1"/>
  <c r="BX22" i="20"/>
  <c r="BT22" i="20"/>
  <c r="CB22" i="20"/>
  <c r="M22" i="113"/>
  <c r="M7" i="113"/>
  <c r="M20" i="113"/>
  <c r="M19" i="113"/>
  <c r="M28" i="113"/>
  <c r="M18" i="113"/>
  <c r="M27" i="113"/>
  <c r="M17" i="113"/>
  <c r="M16" i="113"/>
  <c r="M23" i="113"/>
  <c r="M9" i="113"/>
  <c r="M8" i="113"/>
  <c r="M10" i="113"/>
  <c r="M11" i="113"/>
  <c r="M26" i="113"/>
  <c r="M12" i="113"/>
  <c r="M13" i="113"/>
  <c r="M14" i="113"/>
  <c r="M24" i="113"/>
  <c r="M21" i="113"/>
  <c r="M25" i="113"/>
  <c r="M15" i="113"/>
  <c r="CS207" i="20"/>
  <c r="CR207" i="20"/>
  <c r="DC210" i="20"/>
  <c r="DD210" i="20"/>
  <c r="CP155" i="20"/>
  <c r="CO155" i="20"/>
  <c r="CP139" i="20"/>
  <c r="CO139" i="20"/>
  <c r="DD123" i="40"/>
  <c r="DD124" i="40" s="1"/>
  <c r="BX54" i="56"/>
  <c r="BV54" i="56" s="1"/>
  <c r="BT54" i="56"/>
  <c r="BR54" i="56" s="1"/>
  <c r="DC184" i="20"/>
  <c r="DD184" i="20"/>
  <c r="CF21" i="40"/>
  <c r="AA30" i="116"/>
  <c r="F37" i="116"/>
  <c r="AA21" i="116"/>
  <c r="AA7" i="116"/>
  <c r="DW6" i="116"/>
  <c r="CA3" i="117" s="1"/>
  <c r="DF168" i="20"/>
  <c r="DG168" i="20"/>
  <c r="CS189" i="20"/>
  <c r="CR189" i="20"/>
  <c r="EE54" i="20"/>
  <c r="ED54" i="20"/>
  <c r="CN73" i="20"/>
  <c r="CX73" i="20"/>
  <c r="CV73" i="20"/>
  <c r="CU73" i="20"/>
  <c r="CW73" i="20"/>
  <c r="BL27" i="20"/>
  <c r="CF27" i="20"/>
  <c r="CD28" i="20" s="1"/>
  <c r="CB27" i="20"/>
  <c r="BX27" i="20"/>
  <c r="BT27" i="20"/>
  <c r="BP27" i="20"/>
  <c r="BN28" i="20" s="1"/>
  <c r="CJ27" i="20"/>
  <c r="AD23" i="111"/>
  <c r="F23" i="22"/>
  <c r="F22" i="22"/>
  <c r="L21" i="22"/>
  <c r="AA17" i="111"/>
  <c r="AI37" i="111"/>
  <c r="AA33" i="111"/>
  <c r="Z23" i="111"/>
  <c r="AE41" i="111"/>
  <c r="AI33" i="111"/>
  <c r="AB41" i="111"/>
  <c r="Y24" i="111"/>
  <c r="AH33" i="111"/>
  <c r="AI36" i="111"/>
  <c r="Y32" i="111"/>
  <c r="AP74" i="56"/>
  <c r="AO77" i="56"/>
  <c r="CC35" i="56"/>
  <c r="BW35" i="56" s="1"/>
  <c r="CS227" i="20"/>
  <c r="CR227" i="20"/>
  <c r="DC204" i="20"/>
  <c r="DD204" i="20"/>
  <c r="DG189" i="20"/>
  <c r="DF189" i="20"/>
  <c r="DE203" i="20"/>
  <c r="AK10" i="116"/>
  <c r="AL10" i="116" s="1"/>
  <c r="CQ205" i="20"/>
  <c r="DC182" i="20"/>
  <c r="DD182" i="20"/>
  <c r="DD163" i="20"/>
  <c r="DC163" i="20"/>
  <c r="CX32" i="20"/>
  <c r="CW32" i="20"/>
  <c r="CV32" i="20"/>
  <c r="CU32" i="20"/>
  <c r="CN32" i="20"/>
  <c r="CV19" i="20"/>
  <c r="CU19" i="20"/>
  <c r="CX115" i="20"/>
  <c r="CW115" i="20"/>
  <c r="CV115" i="20"/>
  <c r="CU115" i="20"/>
  <c r="CN115" i="20"/>
  <c r="CN69" i="20"/>
  <c r="CX69" i="20"/>
  <c r="CV69" i="20"/>
  <c r="CU69" i="20"/>
  <c r="CW69" i="20"/>
  <c r="DD171" i="20"/>
  <c r="DC171" i="20"/>
  <c r="BD6" i="112"/>
  <c r="BD7" i="112"/>
  <c r="CQ11" i="20"/>
  <c r="CP11" i="20"/>
  <c r="CX67" i="20"/>
  <c r="CW67" i="20"/>
  <c r="CV67" i="20"/>
  <c r="CU67" i="20"/>
  <c r="CN67" i="20"/>
  <c r="CW82" i="20"/>
  <c r="CV82" i="20"/>
  <c r="CU82" i="20"/>
  <c r="CN82" i="20"/>
  <c r="CX82" i="20"/>
  <c r="CX83" i="20"/>
  <c r="CW83" i="20"/>
  <c r="CV83" i="20"/>
  <c r="CU83" i="20"/>
  <c r="CN83" i="20"/>
  <c r="DR12" i="20"/>
  <c r="CX158" i="20"/>
  <c r="CW158" i="20"/>
  <c r="CX146" i="20"/>
  <c r="CW146" i="20"/>
  <c r="EJ69" i="20"/>
  <c r="EC69" i="20"/>
  <c r="EJ48" i="20"/>
  <c r="EC48" i="20"/>
  <c r="EC20" i="20"/>
  <c r="EJ20" i="20"/>
  <c r="EJ91" i="20"/>
  <c r="EC91" i="20"/>
  <c r="EC68" i="20"/>
  <c r="EJ68" i="20"/>
  <c r="EC104" i="20"/>
  <c r="EJ104" i="20"/>
  <c r="B5" i="112"/>
  <c r="CD130" i="38"/>
  <c r="BA26" i="38"/>
  <c r="BA189" i="38"/>
  <c r="BA23" i="38"/>
  <c r="DR29" i="40"/>
  <c r="DO29" i="40"/>
  <c r="CX123" i="40"/>
  <c r="CX124" i="40" s="1"/>
  <c r="CF19" i="40"/>
  <c r="DX29" i="40"/>
  <c r="M28" i="40"/>
  <c r="P28" i="40"/>
  <c r="P13" i="40"/>
  <c r="M13" i="40"/>
  <c r="EF13" i="40"/>
  <c r="AG22" i="111"/>
  <c r="N26" i="22"/>
  <c r="F20" i="22"/>
  <c r="I20" i="22"/>
  <c r="N29" i="22"/>
  <c r="AC22" i="111"/>
  <c r="Y37" i="111"/>
  <c r="AF27" i="111"/>
  <c r="Y36" i="111"/>
  <c r="AH17" i="111"/>
  <c r="AI17" i="111"/>
  <c r="AB32" i="111"/>
  <c r="AE8" i="111"/>
  <c r="AB31" i="111"/>
  <c r="AY74" i="56"/>
  <c r="W77" i="56"/>
  <c r="AN74" i="56"/>
  <c r="X32" i="56"/>
  <c r="AJ32" i="56"/>
  <c r="Y54" i="113"/>
  <c r="BT70" i="56"/>
  <c r="BR70" i="56" s="1"/>
  <c r="BX70" i="56"/>
  <c r="BV70" i="56" s="1"/>
  <c r="BX47" i="56"/>
  <c r="BV47" i="56" s="1"/>
  <c r="BT47" i="56"/>
  <c r="BR47" i="56" s="1"/>
  <c r="AY72" i="56"/>
  <c r="BT59" i="56"/>
  <c r="BR59" i="56" s="1"/>
  <c r="BX59" i="56"/>
  <c r="BV59" i="56" s="1"/>
  <c r="A4" i="42"/>
  <c r="A7" i="42" s="1"/>
  <c r="A10" i="42" s="1"/>
  <c r="F26" i="50"/>
  <c r="C27" i="50" s="1"/>
  <c r="AH7" i="117"/>
  <c r="AH6" i="117"/>
  <c r="AH8" i="117" s="1"/>
  <c r="CS199" i="20"/>
  <c r="CR199" i="20"/>
  <c r="CP188" i="20"/>
  <c r="CO188" i="20"/>
  <c r="CQ188" i="20" s="1"/>
  <c r="DC194" i="20"/>
  <c r="DD194" i="20"/>
  <c r="DG199" i="20"/>
  <c r="DF199" i="20"/>
  <c r="DC183" i="20"/>
  <c r="DD183" i="20"/>
  <c r="AO7" i="116"/>
  <c r="AN7" i="116"/>
  <c r="AP7" i="116" s="1"/>
  <c r="AQ7" i="116" s="1"/>
  <c r="AR7" i="116" s="1"/>
  <c r="BP2" i="112"/>
  <c r="CX26" i="20"/>
  <c r="CW26" i="20"/>
  <c r="CV26" i="20"/>
  <c r="CU26" i="20"/>
  <c r="CN26" i="20"/>
  <c r="CP163" i="20"/>
  <c r="CO163" i="20"/>
  <c r="CQ163" i="20" s="1"/>
  <c r="DF176" i="20"/>
  <c r="DG176" i="20"/>
  <c r="DF134" i="20"/>
  <c r="DG134" i="20"/>
  <c r="CN54" i="20"/>
  <c r="CX54" i="20"/>
  <c r="CW54" i="20"/>
  <c r="CV54" i="20"/>
  <c r="CU54" i="20"/>
  <c r="DD169" i="20"/>
  <c r="DC169" i="20"/>
  <c r="CN65" i="20"/>
  <c r="CX65" i="20"/>
  <c r="CV65" i="20"/>
  <c r="CU65" i="20"/>
  <c r="CW65" i="20"/>
  <c r="CS183" i="20"/>
  <c r="CR183" i="20"/>
  <c r="DD159" i="20"/>
  <c r="DC159" i="20"/>
  <c r="DD151" i="20"/>
  <c r="DC151" i="20"/>
  <c r="DE151" i="20" s="1"/>
  <c r="DD143" i="20"/>
  <c r="DC143" i="20"/>
  <c r="DE143" i="20" s="1"/>
  <c r="DD135" i="20"/>
  <c r="DC135" i="20"/>
  <c r="AM8" i="116"/>
  <c r="AL8" i="116"/>
  <c r="CX63" i="20"/>
  <c r="CW63" i="20"/>
  <c r="CV63" i="20"/>
  <c r="CU63" i="20"/>
  <c r="CN63" i="20"/>
  <c r="CN86" i="20"/>
  <c r="CW86" i="20"/>
  <c r="CV86" i="20"/>
  <c r="CX86" i="20"/>
  <c r="CU86" i="20"/>
  <c r="CX87" i="20"/>
  <c r="CV87" i="20"/>
  <c r="CN87" i="20"/>
  <c r="CW87" i="20"/>
  <c r="CU87" i="20"/>
  <c r="CX136" i="20"/>
  <c r="CW136" i="20"/>
  <c r="EJ73" i="20"/>
  <c r="EC73" i="20"/>
  <c r="EJ58" i="20"/>
  <c r="EC58" i="20"/>
  <c r="EC35" i="20"/>
  <c r="EJ35" i="20"/>
  <c r="EJ103" i="20"/>
  <c r="EC103" i="20"/>
  <c r="EC72" i="20"/>
  <c r="EJ72" i="20"/>
  <c r="EC108" i="20"/>
  <c r="EJ108" i="20"/>
  <c r="CX132" i="20"/>
  <c r="CW132" i="20"/>
  <c r="CX144" i="20"/>
  <c r="CW144" i="20"/>
  <c r="CI130" i="38"/>
  <c r="BT130" i="38"/>
  <c r="BQ130" i="38"/>
  <c r="BA66" i="38"/>
  <c r="DW29" i="40"/>
  <c r="BA181" i="38"/>
  <c r="AV15" i="40"/>
  <c r="AV19" i="40"/>
  <c r="AV14" i="40"/>
  <c r="AV12" i="40"/>
  <c r="AV18" i="40"/>
  <c r="AV11" i="40"/>
  <c r="AV13" i="40"/>
  <c r="AV17" i="40"/>
  <c r="AV16" i="40"/>
  <c r="AH36" i="40"/>
  <c r="O36" i="40" s="1"/>
  <c r="P33" i="40"/>
  <c r="M33" i="40"/>
  <c r="M25" i="22"/>
  <c r="M29" i="22"/>
  <c r="N24" i="22"/>
  <c r="L26" i="22"/>
  <c r="AC38" i="111"/>
  <c r="AA14" i="111"/>
  <c r="K14" i="111" s="1"/>
  <c r="AH30" i="111"/>
  <c r="AB36" i="111"/>
  <c r="AD30" i="111"/>
  <c r="AB24" i="111"/>
  <c r="AE32" i="111"/>
  <c r="AE19" i="111"/>
  <c r="AE31" i="111"/>
  <c r="Y27" i="111"/>
  <c r="AI75" i="56"/>
  <c r="W72" i="56"/>
  <c r="AH74" i="56"/>
  <c r="AO75" i="56"/>
  <c r="BX21" i="56"/>
  <c r="BV21" i="56"/>
  <c r="V73" i="56"/>
  <c r="AP73" i="56"/>
  <c r="AC76" i="56"/>
  <c r="BX53" i="56"/>
  <c r="BV53" i="56" s="1"/>
  <c r="BT53" i="56"/>
  <c r="BR53" i="56" s="1"/>
  <c r="DC224" i="20"/>
  <c r="DD224" i="20"/>
  <c r="DC200" i="20"/>
  <c r="DD200" i="20"/>
  <c r="DH6" i="116"/>
  <c r="BP3" i="117" s="1"/>
  <c r="DC198" i="20"/>
  <c r="DD198" i="20"/>
  <c r="CW5" i="112"/>
  <c r="DG211" i="20"/>
  <c r="DF211" i="20"/>
  <c r="CX174" i="20"/>
  <c r="CW174" i="20"/>
  <c r="CN44" i="20"/>
  <c r="CX44" i="20"/>
  <c r="CW44" i="20"/>
  <c r="CV44" i="20"/>
  <c r="CU44" i="20"/>
  <c r="CN61" i="20"/>
  <c r="CX61" i="20"/>
  <c r="CV61" i="20"/>
  <c r="CU61" i="20"/>
  <c r="CW61" i="20"/>
  <c r="CP175" i="20"/>
  <c r="CO175" i="20"/>
  <c r="CQ175" i="20" s="1"/>
  <c r="CX59" i="20"/>
  <c r="CW59" i="20"/>
  <c r="CV59" i="20"/>
  <c r="CU59" i="20"/>
  <c r="CN59" i="20"/>
  <c r="CN90" i="20"/>
  <c r="CX90" i="20"/>
  <c r="CV90" i="20"/>
  <c r="CU90" i="20"/>
  <c r="CW90" i="20"/>
  <c r="CX91" i="20"/>
  <c r="CV91" i="20"/>
  <c r="CN91" i="20"/>
  <c r="CW91" i="20"/>
  <c r="CU91" i="20"/>
  <c r="DT39" i="20"/>
  <c r="DR39" i="20"/>
  <c r="DT13" i="20"/>
  <c r="DR13" i="20"/>
  <c r="EJ77" i="20"/>
  <c r="EC77" i="20"/>
  <c r="EJ62" i="20"/>
  <c r="EC62" i="20"/>
  <c r="EC55" i="20"/>
  <c r="EJ55" i="20"/>
  <c r="EC25" i="20"/>
  <c r="EJ25" i="20"/>
  <c r="EC76" i="20"/>
  <c r="EJ76" i="20"/>
  <c r="EJ81" i="20"/>
  <c r="EC81" i="20"/>
  <c r="CC105" i="38"/>
  <c r="BL130" i="38"/>
  <c r="CG130" i="38"/>
  <c r="CP123" i="40"/>
  <c r="CP124" i="40" s="1"/>
  <c r="CF15" i="40"/>
  <c r="U25" i="40"/>
  <c r="V25" i="40" s="1"/>
  <c r="R25" i="40"/>
  <c r="S25" i="40" s="1"/>
  <c r="AT25" i="40"/>
  <c r="AR25" i="40" s="1"/>
  <c r="AL25" i="40"/>
  <c r="N25" i="40"/>
  <c r="AP25" i="40"/>
  <c r="M18" i="40"/>
  <c r="P18" i="40"/>
  <c r="AC17" i="111"/>
  <c r="F21" i="22"/>
  <c r="M21" i="22"/>
  <c r="AC23" i="111"/>
  <c r="AF42" i="111"/>
  <c r="Y17" i="111"/>
  <c r="AG27" i="111"/>
  <c r="AH31" i="111"/>
  <c r="AH14" i="111"/>
  <c r="R14" i="111" s="1"/>
  <c r="Y30" i="111"/>
  <c r="AE23" i="111"/>
  <c r="AC73" i="56"/>
  <c r="AY75" i="56"/>
  <c r="AW74" i="56"/>
  <c r="AX74" i="56"/>
  <c r="AB74" i="56"/>
  <c r="CC9" i="56"/>
  <c r="BW9" i="56" s="1"/>
  <c r="Q54" i="113"/>
  <c r="A7" i="45"/>
  <c r="A13" i="45"/>
  <c r="BX74" i="56"/>
  <c r="BV74" i="56" s="1"/>
  <c r="BT74" i="56"/>
  <c r="BR74" i="56" s="1"/>
  <c r="C21" i="42"/>
  <c r="C24" i="42" s="1"/>
  <c r="C33" i="42"/>
  <c r="C36" i="42" s="1"/>
  <c r="D17" i="41" s="1"/>
  <c r="C30" i="42"/>
  <c r="D22" i="41" s="1"/>
  <c r="D21" i="41"/>
  <c r="C27" i="42"/>
  <c r="D19" i="41" s="1"/>
  <c r="D20" i="41" s="1"/>
  <c r="BV39" i="56"/>
  <c r="CC22" i="56"/>
  <c r="BW22" i="56" s="1"/>
  <c r="AI72" i="56"/>
  <c r="AW72" i="56"/>
  <c r="AW79" i="56" s="1"/>
  <c r="CC37" i="56"/>
  <c r="BW37" i="56" s="1"/>
  <c r="BL11" i="116"/>
  <c r="BK11" i="116"/>
  <c r="DE191" i="20"/>
  <c r="DC202" i="20"/>
  <c r="DD202" i="20"/>
  <c r="CX230" i="20"/>
  <c r="DG187" i="20"/>
  <c r="DF187" i="20"/>
  <c r="DE197" i="20"/>
  <c r="DC208" i="20"/>
  <c r="DD208" i="20"/>
  <c r="CZ110" i="116"/>
  <c r="CZ109" i="116"/>
  <c r="CZ108" i="116"/>
  <c r="CZ107" i="116"/>
  <c r="CZ106" i="116"/>
  <c r="CZ105" i="116"/>
  <c r="CZ104" i="116"/>
  <c r="CZ103" i="116"/>
  <c r="CZ102" i="116"/>
  <c r="CZ101" i="116"/>
  <c r="CZ100" i="116"/>
  <c r="CZ99" i="116"/>
  <c r="CZ98" i="116"/>
  <c r="CZ97" i="116"/>
  <c r="CZ96" i="116"/>
  <c r="CZ95" i="116"/>
  <c r="CZ94" i="116"/>
  <c r="CZ93" i="116"/>
  <c r="CZ92" i="116"/>
  <c r="CZ91" i="116"/>
  <c r="CZ90" i="116"/>
  <c r="CZ89" i="116"/>
  <c r="CZ88" i="116"/>
  <c r="CZ87" i="116"/>
  <c r="CZ86" i="116"/>
  <c r="CZ85" i="116"/>
  <c r="CZ84" i="116"/>
  <c r="CZ83" i="116"/>
  <c r="CZ82" i="116"/>
  <c r="CZ81" i="116"/>
  <c r="CZ80" i="116"/>
  <c r="CZ79" i="116"/>
  <c r="CZ78" i="116"/>
  <c r="CZ77" i="116"/>
  <c r="CZ76" i="116"/>
  <c r="CZ75" i="116"/>
  <c r="CZ74" i="116"/>
  <c r="CZ73" i="116"/>
  <c r="CZ72" i="116"/>
  <c r="CZ71" i="116"/>
  <c r="CZ70" i="116"/>
  <c r="CZ69" i="116"/>
  <c r="CZ68" i="116"/>
  <c r="CZ67" i="116"/>
  <c r="CZ66" i="116"/>
  <c r="CZ65" i="116"/>
  <c r="CZ64" i="116"/>
  <c r="CZ63" i="116"/>
  <c r="CZ62" i="116"/>
  <c r="CZ61" i="116"/>
  <c r="CZ60" i="116"/>
  <c r="CZ59" i="116"/>
  <c r="CZ58" i="116"/>
  <c r="CZ57" i="116"/>
  <c r="CZ56" i="116"/>
  <c r="CZ55" i="116"/>
  <c r="CZ54" i="116"/>
  <c r="CZ53" i="116"/>
  <c r="CZ52" i="116"/>
  <c r="CZ51" i="116"/>
  <c r="CZ37" i="116"/>
  <c r="CZ31" i="116"/>
  <c r="CZ20" i="116"/>
  <c r="CZ19" i="116"/>
  <c r="CZ18" i="116"/>
  <c r="CZ17" i="116"/>
  <c r="CZ16" i="116"/>
  <c r="CZ30" i="116"/>
  <c r="CZ23" i="116"/>
  <c r="CZ22" i="116"/>
  <c r="CZ29" i="116"/>
  <c r="CZ28" i="116"/>
  <c r="CZ15" i="116"/>
  <c r="CZ36" i="116"/>
  <c r="CZ35" i="116"/>
  <c r="CZ34" i="116"/>
  <c r="CZ14" i="116"/>
  <c r="CZ33" i="116"/>
  <c r="H23" i="116"/>
  <c r="CZ21" i="116"/>
  <c r="CZ25" i="116"/>
  <c r="CZ32" i="116"/>
  <c r="CZ39" i="116"/>
  <c r="CZ38" i="116"/>
  <c r="CZ24" i="116"/>
  <c r="CZ50" i="116"/>
  <c r="CZ48" i="116"/>
  <c r="CZ46" i="116"/>
  <c r="CZ44" i="116"/>
  <c r="CZ42" i="116"/>
  <c r="CZ40" i="116"/>
  <c r="CZ27" i="116"/>
  <c r="Q22" i="116"/>
  <c r="CZ26" i="116"/>
  <c r="F23" i="116"/>
  <c r="CZ13" i="116"/>
  <c r="CZ12" i="116"/>
  <c r="AG1" i="116"/>
  <c r="CZ11" i="116"/>
  <c r="CZ45" i="116"/>
  <c r="CZ41" i="116"/>
  <c r="CZ49" i="116"/>
  <c r="CZ47" i="116"/>
  <c r="CZ43" i="116"/>
  <c r="CQ218" i="20"/>
  <c r="CX117" i="20"/>
  <c r="CW117" i="20"/>
  <c r="CV117" i="20"/>
  <c r="CU117" i="20"/>
  <c r="CN117" i="20"/>
  <c r="CP165" i="20"/>
  <c r="CO165" i="20"/>
  <c r="CQ165" i="20" s="1"/>
  <c r="DR14" i="20"/>
  <c r="CN43" i="20"/>
  <c r="CX43" i="20"/>
  <c r="CW43" i="20"/>
  <c r="CV43" i="20"/>
  <c r="CU43" i="20"/>
  <c r="AN4" i="116"/>
  <c r="AO4" i="116"/>
  <c r="CN57" i="20"/>
  <c r="CX57" i="20"/>
  <c r="CV57" i="20"/>
  <c r="CU57" i="20"/>
  <c r="CW57" i="20"/>
  <c r="CP153" i="20"/>
  <c r="CO153" i="20"/>
  <c r="CP145" i="20"/>
  <c r="CO145" i="20"/>
  <c r="CP137" i="20"/>
  <c r="CO137" i="20"/>
  <c r="CQ137" i="20" s="1"/>
  <c r="CX52" i="20"/>
  <c r="CW52" i="20"/>
  <c r="CV52" i="20"/>
  <c r="CU52" i="20"/>
  <c r="CN52" i="20"/>
  <c r="CN94" i="20"/>
  <c r="CW94" i="20"/>
  <c r="CV94" i="20"/>
  <c r="CX94" i="20"/>
  <c r="CU94" i="20"/>
  <c r="CX95" i="20"/>
  <c r="CV95" i="20"/>
  <c r="CN95" i="20"/>
  <c r="CU95" i="20"/>
  <c r="CW95" i="20"/>
  <c r="EJ30" i="20"/>
  <c r="EC30" i="20"/>
  <c r="CX142" i="20"/>
  <c r="CW142" i="20"/>
  <c r="DT22" i="20"/>
  <c r="DR22" i="20"/>
  <c r="CX134" i="20"/>
  <c r="CW134" i="20"/>
  <c r="EJ106" i="20"/>
  <c r="EC106" i="20"/>
  <c r="EJ66" i="20"/>
  <c r="EC66" i="20"/>
  <c r="EJ86" i="20"/>
  <c r="EC86" i="20"/>
  <c r="EC28" i="20"/>
  <c r="EJ28" i="20"/>
  <c r="EC26" i="20"/>
  <c r="EJ26" i="20"/>
  <c r="EJ85" i="20"/>
  <c r="EC85" i="20"/>
  <c r="BX31" i="20"/>
  <c r="BT31" i="20"/>
  <c r="CJ31" i="20"/>
  <c r="BL31" i="20"/>
  <c r="CF31" i="20"/>
  <c r="CD32" i="20" s="1"/>
  <c r="BP31" i="20"/>
  <c r="BN32" i="20" s="1"/>
  <c r="CB31" i="20"/>
  <c r="ED41" i="20"/>
  <c r="EF41" i="20" s="1"/>
  <c r="EE41" i="20"/>
  <c r="CF105" i="38"/>
  <c r="BM105" i="38"/>
  <c r="BZ105" i="38"/>
  <c r="CK105" i="38"/>
  <c r="BA205" i="38"/>
  <c r="U19" i="40"/>
  <c r="V19" i="40" s="1"/>
  <c r="AP19" i="40"/>
  <c r="AT19" i="40"/>
  <c r="AR19" i="40" s="1"/>
  <c r="R19" i="40"/>
  <c r="S19" i="40" s="1"/>
  <c r="N19" i="40"/>
  <c r="AL19" i="40"/>
  <c r="AJ19" i="40" s="1"/>
  <c r="BA168" i="38"/>
  <c r="BA58" i="38"/>
  <c r="AH32" i="40"/>
  <c r="O32" i="40" s="1"/>
  <c r="AF20" i="111"/>
  <c r="F24" i="22"/>
  <c r="F29" i="22"/>
  <c r="N25" i="22"/>
  <c r="AF22" i="111"/>
  <c r="AG10" i="111"/>
  <c r="AA38" i="111"/>
  <c r="AB20" i="111"/>
  <c r="Z38" i="111"/>
  <c r="AH32" i="111"/>
  <c r="AH19" i="111"/>
  <c r="AB30" i="111"/>
  <c r="AB27" i="111"/>
  <c r="AH22" i="111"/>
  <c r="AI76" i="56"/>
  <c r="AN75" i="56"/>
  <c r="AH75" i="56"/>
  <c r="BT56" i="56"/>
  <c r="BR56" i="56" s="1"/>
  <c r="BX56" i="56"/>
  <c r="BV56" i="56" s="1"/>
  <c r="AB37" i="56"/>
  <c r="V37" i="56"/>
  <c r="AN73" i="56"/>
  <c r="AP72" i="56"/>
  <c r="CS221" i="20"/>
  <c r="CR221" i="20"/>
  <c r="BH13" i="116"/>
  <c r="BS12" i="116"/>
  <c r="BJ12" i="116"/>
  <c r="DC230" i="20"/>
  <c r="DD230" i="20"/>
  <c r="DC186" i="20"/>
  <c r="DE186" i="20" s="1"/>
  <c r="DD186" i="20"/>
  <c r="DG217" i="20"/>
  <c r="DF217" i="20"/>
  <c r="CX97" i="20"/>
  <c r="CW97" i="20"/>
  <c r="CU97" i="20"/>
  <c r="CN97" i="20"/>
  <c r="CV97" i="20"/>
  <c r="CX104" i="20"/>
  <c r="CW104" i="20"/>
  <c r="CV104" i="20"/>
  <c r="CU104" i="20"/>
  <c r="CN104" i="20"/>
  <c r="DR27" i="20"/>
  <c r="CN35" i="20"/>
  <c r="CX35" i="20"/>
  <c r="CV35" i="20"/>
  <c r="CU35" i="20"/>
  <c r="CW35" i="20"/>
  <c r="AH7" i="112"/>
  <c r="AH6" i="112"/>
  <c r="CN98" i="20"/>
  <c r="CX98" i="20"/>
  <c r="CU98" i="20"/>
  <c r="CW98" i="20"/>
  <c r="CV98" i="20"/>
  <c r="CX99" i="20"/>
  <c r="CV99" i="20"/>
  <c r="CW99" i="20"/>
  <c r="CU99" i="20"/>
  <c r="CN99" i="20"/>
  <c r="DT9" i="20"/>
  <c r="DR9" i="20"/>
  <c r="CX150" i="20"/>
  <c r="CW150" i="20"/>
  <c r="CZ10" i="20"/>
  <c r="DD10" i="20" s="1"/>
  <c r="DA10" i="20"/>
  <c r="DF10" i="20" s="1"/>
  <c r="EJ14" i="20"/>
  <c r="EC14" i="20"/>
  <c r="EJ70" i="20"/>
  <c r="EC70" i="20"/>
  <c r="EJ90" i="20"/>
  <c r="EC90" i="20"/>
  <c r="EC29" i="20"/>
  <c r="EJ29" i="20"/>
  <c r="EC32" i="20"/>
  <c r="EJ32" i="20"/>
  <c r="EJ89" i="20"/>
  <c r="EC89" i="20"/>
  <c r="BU105" i="38"/>
  <c r="CL83" i="38"/>
  <c r="CF14" i="40"/>
  <c r="CN123" i="40"/>
  <c r="CN124" i="40" s="1"/>
  <c r="DP29" i="40"/>
  <c r="E22" i="40"/>
  <c r="AJ25" i="40"/>
  <c r="M24" i="40"/>
  <c r="P24" i="40"/>
  <c r="Z19" i="111"/>
  <c r="M28" i="22"/>
  <c r="F25" i="22"/>
  <c r="AC37" i="111"/>
  <c r="AD42" i="111"/>
  <c r="AC42" i="111"/>
  <c r="AC24" i="111"/>
  <c r="AE27" i="111"/>
  <c r="AI30" i="111"/>
  <c r="AA41" i="111"/>
  <c r="AH23" i="111"/>
  <c r="AG38" i="111"/>
  <c r="AD17" i="111"/>
  <c r="V72" i="56"/>
  <c r="AB77" i="56"/>
  <c r="AW75" i="56"/>
  <c r="AX75" i="56"/>
  <c r="AD37" i="56"/>
  <c r="X37" i="56"/>
  <c r="AX72" i="56"/>
  <c r="AY73" i="56"/>
  <c r="J13" i="44"/>
  <c r="C14" i="44" s="1"/>
  <c r="BX52" i="56"/>
  <c r="BV52" i="56" s="1"/>
  <c r="BT52" i="56"/>
  <c r="BR52" i="56" s="1"/>
  <c r="AN8" i="116"/>
  <c r="CS197" i="20"/>
  <c r="CR197" i="20"/>
  <c r="DC196" i="20"/>
  <c r="DD196" i="20"/>
  <c r="CS220" i="20"/>
  <c r="CR220" i="20"/>
  <c r="DC214" i="20"/>
  <c r="DD214" i="20"/>
  <c r="DG225" i="20"/>
  <c r="DF225" i="20"/>
  <c r="CX88" i="20"/>
  <c r="CW88" i="20"/>
  <c r="CV88" i="20"/>
  <c r="CU88" i="20"/>
  <c r="CN88" i="20"/>
  <c r="DF158" i="20"/>
  <c r="DG158" i="20"/>
  <c r="CX92" i="20"/>
  <c r="CW92" i="20"/>
  <c r="CV92" i="20"/>
  <c r="CU92" i="20"/>
  <c r="CN92" i="20"/>
  <c r="CV13" i="20"/>
  <c r="CU13" i="20"/>
  <c r="CW13" i="20" s="1"/>
  <c r="CX13" i="20" s="1"/>
  <c r="CY13" i="20" s="1"/>
  <c r="DB13" i="20" s="1"/>
  <c r="DG13" i="20" s="1"/>
  <c r="B5" i="117"/>
  <c r="CP171" i="20"/>
  <c r="CO171" i="20"/>
  <c r="DD157" i="20"/>
  <c r="DC157" i="20"/>
  <c r="DD149" i="20"/>
  <c r="DC149" i="20"/>
  <c r="DD141" i="20"/>
  <c r="DC141" i="20"/>
  <c r="DD133" i="20"/>
  <c r="DC133" i="20"/>
  <c r="DG215" i="20"/>
  <c r="DF215" i="20"/>
  <c r="CN102" i="20"/>
  <c r="CX102" i="20"/>
  <c r="CV102" i="20"/>
  <c r="CU102" i="20"/>
  <c r="CW102" i="20"/>
  <c r="CX103" i="20"/>
  <c r="CV103" i="20"/>
  <c r="CW103" i="20"/>
  <c r="CU103" i="20"/>
  <c r="CN103" i="20"/>
  <c r="DY26" i="20"/>
  <c r="DS26" i="20" s="1"/>
  <c r="EJ94" i="20"/>
  <c r="EC94" i="20"/>
  <c r="CZ7" i="20"/>
  <c r="DD7" i="20" s="1"/>
  <c r="DA7" i="20"/>
  <c r="DF7" i="20" s="1"/>
  <c r="EJ39" i="20"/>
  <c r="EC39" i="20"/>
  <c r="EJ74" i="20"/>
  <c r="EC74" i="20"/>
  <c r="EC22" i="20"/>
  <c r="EJ22" i="20"/>
  <c r="EC46" i="20"/>
  <c r="EJ46" i="20"/>
  <c r="EC53" i="20"/>
  <c r="EJ53" i="20"/>
  <c r="EJ93" i="20"/>
  <c r="EC93" i="20"/>
  <c r="DR32" i="20"/>
  <c r="CF16" i="20"/>
  <c r="CD17" i="20" s="1"/>
  <c r="CB16" i="20"/>
  <c r="BX16" i="20"/>
  <c r="BT16" i="20"/>
  <c r="CJ16" i="20"/>
  <c r="BL16" i="20"/>
  <c r="BP16" i="20"/>
  <c r="BN17" i="20" s="1"/>
  <c r="BW130" i="38"/>
  <c r="CL123" i="40"/>
  <c r="CL124" i="40" s="1"/>
  <c r="CF13" i="40"/>
  <c r="U14" i="40"/>
  <c r="V14" i="40" s="1"/>
  <c r="AT14" i="40"/>
  <c r="AR14" i="40" s="1"/>
  <c r="R14" i="40"/>
  <c r="S14" i="40" s="1"/>
  <c r="N14" i="40"/>
  <c r="AL14" i="40"/>
  <c r="AJ14" i="40" s="1"/>
  <c r="AP14" i="40"/>
  <c r="AC14" i="111"/>
  <c r="M14" i="111" s="1"/>
  <c r="L28" i="22"/>
  <c r="M23" i="22"/>
  <c r="N23" i="22"/>
  <c r="F30" i="22"/>
  <c r="AB17" i="111"/>
  <c r="AI38" i="111"/>
  <c r="AF36" i="111"/>
  <c r="AA23" i="111"/>
  <c r="AG41" i="111"/>
  <c r="Y14" i="111"/>
  <c r="I14" i="111" s="1"/>
  <c r="AF41" i="111"/>
  <c r="AE30" i="111"/>
  <c r="AD32" i="111"/>
  <c r="AG17" i="111"/>
  <c r="AG37" i="111"/>
  <c r="AG20" i="111"/>
  <c r="AH30" i="56"/>
  <c r="V30" i="56"/>
  <c r="W38" i="56"/>
  <c r="AC38" i="56"/>
  <c r="AI77" i="56"/>
  <c r="AH76" i="56"/>
  <c r="CC12" i="56"/>
  <c r="BW12" i="56" s="1"/>
  <c r="AC35" i="56"/>
  <c r="W35" i="56"/>
  <c r="BX63" i="56"/>
  <c r="BV63" i="56" s="1"/>
  <c r="BT63" i="56"/>
  <c r="BR63" i="56" s="1"/>
  <c r="AB72" i="56"/>
  <c r="AC74" i="56"/>
  <c r="AW73" i="56"/>
  <c r="W7" i="117"/>
  <c r="W6" i="117"/>
  <c r="AO11" i="116"/>
  <c r="CS219" i="20"/>
  <c r="CR219" i="20"/>
  <c r="AI14" i="116"/>
  <c r="AJ14" i="116"/>
  <c r="CV190" i="20"/>
  <c r="DC222" i="20"/>
  <c r="DE222" i="20" s="1"/>
  <c r="DD222" i="20"/>
  <c r="CP161" i="20"/>
  <c r="CO161" i="20"/>
  <c r="CN80" i="20"/>
  <c r="CX80" i="20"/>
  <c r="CW80" i="20"/>
  <c r="CU80" i="20"/>
  <c r="CV80" i="20"/>
  <c r="CN78" i="20"/>
  <c r="CX78" i="20"/>
  <c r="CV78" i="20"/>
  <c r="CU78" i="20"/>
  <c r="CW78" i="20"/>
  <c r="DE231" i="20"/>
  <c r="CP169" i="20"/>
  <c r="CO169" i="20"/>
  <c r="CP208" i="20"/>
  <c r="CO208" i="20"/>
  <c r="DE227" i="20"/>
  <c r="CW76" i="20"/>
  <c r="CV76" i="20"/>
  <c r="CU76" i="20"/>
  <c r="CN76" i="20"/>
  <c r="CX76" i="20"/>
  <c r="DD161" i="20"/>
  <c r="DC161" i="20"/>
  <c r="CN106" i="20"/>
  <c r="CX106" i="20"/>
  <c r="CW106" i="20"/>
  <c r="CV106" i="20"/>
  <c r="CU106" i="20"/>
  <c r="CX107" i="20"/>
  <c r="CV107" i="20"/>
  <c r="CW107" i="20"/>
  <c r="CU107" i="20"/>
  <c r="CN107" i="20"/>
  <c r="EJ47" i="20"/>
  <c r="EC47" i="20"/>
  <c r="EJ40" i="20"/>
  <c r="EC40" i="20"/>
  <c r="EJ98" i="20"/>
  <c r="EC98" i="20"/>
  <c r="EC52" i="20"/>
  <c r="EJ52" i="20"/>
  <c r="EJ87" i="20"/>
  <c r="EC87" i="20"/>
  <c r="EJ82" i="20"/>
  <c r="EC82" i="20"/>
  <c r="EJ97" i="20"/>
  <c r="EC97" i="20"/>
  <c r="BA146" i="38"/>
  <c r="DV29" i="40"/>
  <c r="P7" i="40"/>
  <c r="M7" i="40"/>
  <c r="P11" i="40"/>
  <c r="M11" i="40"/>
  <c r="M22" i="40"/>
  <c r="L23" i="22"/>
  <c r="AD38" i="111"/>
  <c r="AE20" i="111"/>
  <c r="AD22" i="111"/>
  <c r="AA37" i="111"/>
  <c r="Z37" i="111"/>
  <c r="Z22" i="111"/>
  <c r="AG31" i="111"/>
  <c r="AD19" i="111"/>
  <c r="AF33" i="111"/>
  <c r="AA19" i="111"/>
  <c r="V81" i="56"/>
  <c r="Y81" i="56" s="1"/>
  <c r="I8" i="56" s="1"/>
  <c r="AI28" i="56"/>
  <c r="W28" i="56"/>
  <c r="AY77" i="56"/>
  <c r="AN76" i="56"/>
  <c r="AW76" i="56"/>
  <c r="AX76" i="56"/>
  <c r="W36" i="56"/>
  <c r="AC36" i="56"/>
  <c r="AC72" i="56"/>
  <c r="C13" i="45"/>
  <c r="C7" i="45"/>
  <c r="V29" i="56"/>
  <c r="AH29" i="56"/>
  <c r="H22" i="48"/>
  <c r="J22" i="48" s="1"/>
  <c r="C23" i="48" s="1"/>
  <c r="I22" i="48"/>
  <c r="I23" i="48"/>
  <c r="AE35" i="56"/>
  <c r="Y35" i="56"/>
  <c r="AP75" i="56"/>
  <c r="AI74" i="56"/>
  <c r="BL10" i="116"/>
  <c r="BK10" i="116"/>
  <c r="S33" i="116"/>
  <c r="O34" i="116" s="1"/>
  <c r="S37" i="116"/>
  <c r="F28" i="116"/>
  <c r="S11" i="116"/>
  <c r="S7" i="116"/>
  <c r="DC220" i="20"/>
  <c r="DE220" i="20" s="1"/>
  <c r="DD220" i="20"/>
  <c r="CS191" i="20"/>
  <c r="CR191" i="20"/>
  <c r="DG223" i="20"/>
  <c r="DF223" i="20"/>
  <c r="CP194" i="20"/>
  <c r="CO194" i="20"/>
  <c r="CS203" i="20"/>
  <c r="CR203" i="20"/>
  <c r="B32" i="116"/>
  <c r="AB7" i="116"/>
  <c r="AB13" i="116"/>
  <c r="CX193" i="20"/>
  <c r="CW193" i="20"/>
  <c r="DF154" i="20"/>
  <c r="DG154" i="20"/>
  <c r="CN74" i="20"/>
  <c r="CX74" i="20"/>
  <c r="CV74" i="20"/>
  <c r="CU74" i="20"/>
  <c r="CW74" i="20"/>
  <c r="DF132" i="20"/>
  <c r="DG132" i="20"/>
  <c r="CP167" i="20"/>
  <c r="CO167" i="20"/>
  <c r="CX101" i="20"/>
  <c r="CW101" i="20"/>
  <c r="CU101" i="20"/>
  <c r="CN101" i="20"/>
  <c r="CV101" i="20"/>
  <c r="CW72" i="20"/>
  <c r="CV72" i="20"/>
  <c r="CU72" i="20"/>
  <c r="CN72" i="20"/>
  <c r="CX72" i="20"/>
  <c r="CP159" i="20"/>
  <c r="CO159" i="20"/>
  <c r="CP151" i="20"/>
  <c r="CO151" i="20"/>
  <c r="CP143" i="20"/>
  <c r="CO143" i="20"/>
  <c r="CP135" i="20"/>
  <c r="CO135" i="20"/>
  <c r="DT23" i="20"/>
  <c r="DR23" i="20"/>
  <c r="CN110" i="20"/>
  <c r="CX110" i="20"/>
  <c r="CV110" i="20"/>
  <c r="CU110" i="20"/>
  <c r="CW110" i="20"/>
  <c r="EJ43" i="20"/>
  <c r="EC43" i="20"/>
  <c r="DF166" i="20"/>
  <c r="DG166" i="20"/>
  <c r="EJ42" i="20"/>
  <c r="EC42" i="20"/>
  <c r="EJ10" i="20"/>
  <c r="EC10" i="20"/>
  <c r="EC59" i="20"/>
  <c r="EJ59" i="20"/>
  <c r="EJ102" i="20"/>
  <c r="EC102" i="20"/>
  <c r="EC45" i="20"/>
  <c r="EJ45" i="20"/>
  <c r="EC101" i="20"/>
  <c r="EJ101" i="20"/>
  <c r="CF130" i="38"/>
  <c r="BU130" i="38"/>
  <c r="BA185" i="38"/>
  <c r="CT123" i="40"/>
  <c r="CT124" i="40" s="1"/>
  <c r="CF17" i="40"/>
  <c r="BA86" i="38"/>
  <c r="DU29" i="40"/>
  <c r="BA154" i="38"/>
  <c r="DS29" i="40"/>
  <c r="CJ105" i="38"/>
  <c r="AH21" i="40"/>
  <c r="O21" i="40" s="1"/>
  <c r="P20" i="40"/>
  <c r="M20" i="40"/>
  <c r="AH36" i="111"/>
  <c r="BL8" i="111"/>
  <c r="L30" i="22"/>
  <c r="L29" i="22"/>
  <c r="AG42" i="111"/>
  <c r="Y19" i="111"/>
  <c r="AB33" i="111"/>
  <c r="AD36" i="111"/>
  <c r="AI27" i="111"/>
  <c r="AC36" i="111"/>
  <c r="AI20" i="111"/>
  <c r="AA30" i="111"/>
  <c r="AG14" i="111"/>
  <c r="Q14" i="111" s="1"/>
  <c r="Z32" i="111"/>
  <c r="AD14" i="111"/>
  <c r="N14" i="111" s="1"/>
  <c r="AX73" i="56"/>
  <c r="W74" i="56"/>
  <c r="AH77" i="56"/>
  <c r="BX62" i="56"/>
  <c r="BV62" i="56" s="1"/>
  <c r="BT62" i="56"/>
  <c r="BR62" i="56" s="1"/>
  <c r="F10" i="50"/>
  <c r="C11" i="50" s="1"/>
  <c r="AI73" i="56"/>
  <c r="W80" i="56" s="1"/>
  <c r="Z80" i="56" s="1"/>
  <c r="J7" i="56" s="1"/>
  <c r="L7" i="56" s="1"/>
  <c r="V76" i="56"/>
  <c r="AB75" i="56"/>
  <c r="V82" i="56" s="1"/>
  <c r="Y82" i="56" s="1"/>
  <c r="I9" i="56" s="1"/>
  <c r="J59" i="52"/>
  <c r="C60" i="52" s="1"/>
  <c r="R25" i="116"/>
  <c r="R21" i="116"/>
  <c r="B23" i="116"/>
  <c r="R11" i="116"/>
  <c r="R7" i="116"/>
  <c r="CS217" i="20"/>
  <c r="CR217" i="20"/>
  <c r="CQ225" i="20"/>
  <c r="DC228" i="20"/>
  <c r="DD228" i="20"/>
  <c r="DE207" i="20"/>
  <c r="CS184" i="20"/>
  <c r="CR184" i="20"/>
  <c r="DC206" i="20"/>
  <c r="DD206" i="20"/>
  <c r="CQ179" i="20"/>
  <c r="CN70" i="20"/>
  <c r="CX70" i="20"/>
  <c r="CV70" i="20"/>
  <c r="CU70" i="20"/>
  <c r="CW70" i="20"/>
  <c r="CQ196" i="20"/>
  <c r="CX105" i="20"/>
  <c r="CW105" i="20"/>
  <c r="CU105" i="20"/>
  <c r="CN105" i="20"/>
  <c r="CV105" i="20"/>
  <c r="CV10" i="20"/>
  <c r="CU10" i="20"/>
  <c r="CV53" i="20"/>
  <c r="CU53" i="20"/>
  <c r="CX53" i="20"/>
  <c r="CW53" i="20"/>
  <c r="CN53" i="20"/>
  <c r="CW68" i="20"/>
  <c r="CV68" i="20"/>
  <c r="CU68" i="20"/>
  <c r="CN68" i="20"/>
  <c r="CX68" i="20"/>
  <c r="DD175" i="20"/>
  <c r="DC175" i="20"/>
  <c r="W7" i="112"/>
  <c r="W6" i="112"/>
  <c r="CN112" i="20"/>
  <c r="CX112" i="20"/>
  <c r="CW112" i="20"/>
  <c r="CV112" i="20"/>
  <c r="CU112" i="20"/>
  <c r="CX152" i="20"/>
  <c r="CW152" i="20"/>
  <c r="CR19" i="20"/>
  <c r="CS19" i="20" s="1"/>
  <c r="DE19" i="20" s="1"/>
  <c r="EJ37" i="20"/>
  <c r="EC37" i="20"/>
  <c r="EJ11" i="20"/>
  <c r="EC11" i="20"/>
  <c r="EC63" i="20"/>
  <c r="EJ63" i="20"/>
  <c r="EC17" i="20"/>
  <c r="EJ17" i="20"/>
  <c r="EJ50" i="20"/>
  <c r="EC50" i="20"/>
  <c r="EJ105" i="20"/>
  <c r="EC105" i="20"/>
  <c r="BL8" i="20"/>
  <c r="CF8" i="20"/>
  <c r="CD9" i="20" s="1"/>
  <c r="CB8" i="20"/>
  <c r="BX8" i="20"/>
  <c r="BT8" i="20"/>
  <c r="BP8" i="20"/>
  <c r="BN9" i="20" s="1"/>
  <c r="CJ8" i="20"/>
  <c r="BA128" i="38"/>
  <c r="BA170" i="38"/>
  <c r="CK130" i="38"/>
  <c r="BA122" i="38"/>
  <c r="AH10" i="40"/>
  <c r="O10" i="40" s="1"/>
  <c r="M26" i="40"/>
  <c r="P26" i="40"/>
  <c r="P30" i="40"/>
  <c r="M30" i="40"/>
  <c r="AB14" i="111"/>
  <c r="L14" i="111" s="1"/>
  <c r="Z17" i="111"/>
  <c r="BS29" i="111"/>
  <c r="Y33" i="111"/>
  <c r="AD24" i="111"/>
  <c r="AI41" i="111"/>
  <c r="AD27" i="111"/>
  <c r="AG8" i="111"/>
  <c r="AC31" i="111"/>
  <c r="AG11" i="111"/>
  <c r="AW77" i="56"/>
  <c r="AX77" i="56"/>
  <c r="V36" i="56"/>
  <c r="AB36" i="56"/>
  <c r="AD35" i="56"/>
  <c r="X35" i="56"/>
  <c r="O23" i="59"/>
  <c r="O19" i="59"/>
  <c r="BV15" i="56"/>
  <c r="AB39" i="56"/>
  <c r="V39" i="56"/>
  <c r="AP76" i="56"/>
  <c r="BV36" i="56"/>
  <c r="DG205" i="20"/>
  <c r="DF205" i="20"/>
  <c r="CS185" i="20"/>
  <c r="CR185" i="20"/>
  <c r="DC216" i="20"/>
  <c r="DD216" i="20"/>
  <c r="DC180" i="20"/>
  <c r="DD180" i="20"/>
  <c r="DG221" i="20"/>
  <c r="DF221" i="20"/>
  <c r="DG219" i="20"/>
  <c r="DF219" i="20"/>
  <c r="DG185" i="20"/>
  <c r="DF185" i="20"/>
  <c r="DF150" i="20"/>
  <c r="DG150" i="20"/>
  <c r="CN66" i="20"/>
  <c r="CX66" i="20"/>
  <c r="CV66" i="20"/>
  <c r="CU66" i="20"/>
  <c r="CW66" i="20"/>
  <c r="CX96" i="20"/>
  <c r="CW96" i="20"/>
  <c r="CV96" i="20"/>
  <c r="CU96" i="20"/>
  <c r="CN96" i="20"/>
  <c r="AJ5" i="116"/>
  <c r="AI5" i="116"/>
  <c r="CX84" i="20"/>
  <c r="CW84" i="20"/>
  <c r="CV84" i="20"/>
  <c r="CU84" i="20"/>
  <c r="CN84" i="20"/>
  <c r="CV38" i="20"/>
  <c r="CU38" i="20"/>
  <c r="CX38" i="20"/>
  <c r="CW38" i="20"/>
  <c r="CN38" i="20"/>
  <c r="CW64" i="20"/>
  <c r="CV64" i="20"/>
  <c r="CU64" i="20"/>
  <c r="CN64" i="20"/>
  <c r="CX64" i="20"/>
  <c r="DD155" i="20"/>
  <c r="DC155" i="20"/>
  <c r="DD147" i="20"/>
  <c r="DC147" i="20"/>
  <c r="DD139" i="20"/>
  <c r="DC139" i="20"/>
  <c r="DE139" i="20" s="1"/>
  <c r="DT36" i="20"/>
  <c r="DR36" i="20"/>
  <c r="CN114" i="20"/>
  <c r="CX114" i="20"/>
  <c r="CV114" i="20"/>
  <c r="CU114" i="20"/>
  <c r="CW114" i="20"/>
  <c r="EJ51" i="20"/>
  <c r="EC51" i="20"/>
  <c r="EJ13" i="20"/>
  <c r="EC13" i="20"/>
  <c r="EC67" i="20"/>
  <c r="EJ67" i="20"/>
  <c r="EC34" i="20"/>
  <c r="EJ34" i="20"/>
  <c r="EJ107" i="20"/>
  <c r="EC107" i="20"/>
  <c r="EJ109" i="20"/>
  <c r="EC109" i="20"/>
  <c r="CX138" i="20"/>
  <c r="CW138" i="20"/>
  <c r="CA105" i="38"/>
  <c r="BV130" i="38"/>
  <c r="EA29" i="40"/>
  <c r="DZ29" i="40"/>
  <c r="AH35" i="40"/>
  <c r="O35" i="40" s="1"/>
  <c r="AH23" i="40"/>
  <c r="O23" i="40" s="1"/>
  <c r="M16" i="40"/>
  <c r="AD33" i="111"/>
  <c r="M24" i="22"/>
  <c r="F28" i="22"/>
  <c r="L22" i="22"/>
  <c r="L27" i="22"/>
  <c r="M22" i="22"/>
  <c r="M27" i="22"/>
  <c r="AD37" i="111"/>
  <c r="AE11" i="111"/>
  <c r="Y31" i="111"/>
  <c r="AB38" i="111"/>
  <c r="AC20" i="111"/>
  <c r="Z33" i="111"/>
  <c r="AF30" i="111"/>
  <c r="AI23" i="111"/>
  <c r="Y20" i="111"/>
  <c r="Z24" i="111"/>
  <c r="Z27" i="111"/>
  <c r="AD8" i="111"/>
  <c r="AN77" i="56"/>
  <c r="AI33" i="56"/>
  <c r="W33" i="56"/>
  <c r="BV13" i="56"/>
  <c r="AP77" i="56"/>
  <c r="AC77" i="56"/>
  <c r="BX69" i="56"/>
  <c r="BV69" i="56" s="1"/>
  <c r="BT69" i="56"/>
  <c r="BR69" i="56" s="1"/>
  <c r="H11" i="116"/>
  <c r="CW5" i="116"/>
  <c r="CS215" i="20"/>
  <c r="CR215" i="20"/>
  <c r="CS223" i="20"/>
  <c r="CR223" i="20"/>
  <c r="DG195" i="20"/>
  <c r="DF195" i="20"/>
  <c r="M5" i="117"/>
  <c r="CS181" i="20"/>
  <c r="CR181" i="20"/>
  <c r="DG229" i="20"/>
  <c r="DF229" i="20"/>
  <c r="CP14" i="20"/>
  <c r="CQ14" i="20"/>
  <c r="CN62" i="20"/>
  <c r="CX62" i="20"/>
  <c r="CV62" i="20"/>
  <c r="CU62" i="20"/>
  <c r="CW62" i="20"/>
  <c r="CX85" i="20"/>
  <c r="CW85" i="20"/>
  <c r="CU85" i="20"/>
  <c r="CV85" i="20"/>
  <c r="CN85" i="20"/>
  <c r="CX81" i="20"/>
  <c r="CW81" i="20"/>
  <c r="CU81" i="20"/>
  <c r="CV81" i="20"/>
  <c r="CN81" i="20"/>
  <c r="DF164" i="20"/>
  <c r="DG164" i="20"/>
  <c r="CV7" i="20"/>
  <c r="CU7" i="20"/>
  <c r="CW7" i="20" s="1"/>
  <c r="CX7" i="20" s="1"/>
  <c r="CY7" i="20" s="1"/>
  <c r="DB7" i="20" s="1"/>
  <c r="CN47" i="20"/>
  <c r="CW47" i="20"/>
  <c r="CV47" i="20"/>
  <c r="CX47" i="20"/>
  <c r="CU47" i="20"/>
  <c r="DT35" i="20"/>
  <c r="DR35" i="20"/>
  <c r="CP198" i="20"/>
  <c r="CO198" i="20"/>
  <c r="CW60" i="20"/>
  <c r="CV60" i="20"/>
  <c r="CU60" i="20"/>
  <c r="CN60" i="20"/>
  <c r="CX60" i="20"/>
  <c r="DT33" i="20"/>
  <c r="DR33" i="20"/>
  <c r="CX201" i="20"/>
  <c r="CW201" i="20"/>
  <c r="CX109" i="20"/>
  <c r="CW109" i="20"/>
  <c r="CU109" i="20"/>
  <c r="CN109" i="20"/>
  <c r="CV109" i="20"/>
  <c r="L7" i="112"/>
  <c r="L6" i="112"/>
  <c r="CN116" i="20"/>
  <c r="CX116" i="20"/>
  <c r="CW116" i="20"/>
  <c r="CV116" i="20"/>
  <c r="CU116" i="20"/>
  <c r="CZ13" i="20"/>
  <c r="DD13" i="20" s="1"/>
  <c r="DI13" i="20" s="1"/>
  <c r="DA13" i="20"/>
  <c r="DF13" i="20" s="1"/>
  <c r="DK13" i="20" s="1"/>
  <c r="EJ78" i="20"/>
  <c r="EC78" i="20"/>
  <c r="EJ19" i="20"/>
  <c r="EC19" i="20"/>
  <c r="EC71" i="20"/>
  <c r="EJ71" i="20"/>
  <c r="EC15" i="20"/>
  <c r="EJ15" i="20"/>
  <c r="EJ80" i="20"/>
  <c r="EC80" i="20"/>
  <c r="BX130" i="38"/>
  <c r="DT29" i="40"/>
  <c r="CF20" i="40"/>
  <c r="CZ123" i="40"/>
  <c r="CZ124" i="40" s="1"/>
  <c r="AH39" i="40"/>
  <c r="O39" i="40" s="1"/>
  <c r="AH17" i="40"/>
  <c r="O17" i="40" s="1"/>
  <c r="AH27" i="40"/>
  <c r="O27" i="40" s="1"/>
  <c r="BT26" i="111"/>
  <c r="L20" i="22"/>
  <c r="L24" i="22"/>
  <c r="F32" i="22"/>
  <c r="AG36" i="111"/>
  <c r="AH10" i="111"/>
  <c r="AQ11" i="22"/>
  <c r="AR10" i="22"/>
  <c r="AP10" i="22" s="1"/>
  <c r="AE42" i="111"/>
  <c r="BP26" i="111"/>
  <c r="AE24" i="111"/>
  <c r="AA22" i="111"/>
  <c r="AA42" i="111"/>
  <c r="AF19" i="111"/>
  <c r="AI24" i="111"/>
  <c r="Z41" i="111"/>
  <c r="AF23" i="111"/>
  <c r="AI31" i="111"/>
  <c r="AM21" i="111"/>
  <c r="AO21" i="111"/>
  <c r="W75" i="56"/>
  <c r="Y32" i="56"/>
  <c r="AK32" i="56"/>
  <c r="F16" i="52"/>
  <c r="H16" i="52" s="1"/>
  <c r="G16" i="52"/>
  <c r="I16" i="52" s="1"/>
  <c r="G17" i="52"/>
  <c r="I17" i="52" s="1"/>
  <c r="H41" i="52"/>
  <c r="CC14" i="56"/>
  <c r="BW14" i="56" s="1"/>
  <c r="C18" i="43"/>
  <c r="C21" i="43" s="1"/>
  <c r="C27" i="43"/>
  <c r="C24" i="43"/>
  <c r="A18" i="43"/>
  <c r="A21" i="43" s="1"/>
  <c r="A24" i="43"/>
  <c r="A27" i="43"/>
  <c r="AO73" i="56"/>
  <c r="I41" i="52"/>
  <c r="H30" i="44"/>
  <c r="AO13" i="116"/>
  <c r="AN13" i="116"/>
  <c r="DC179" i="20"/>
  <c r="DD179" i="20"/>
  <c r="DE201" i="20"/>
  <c r="AK4" i="116"/>
  <c r="AL4" i="116" s="1"/>
  <c r="DC192" i="20"/>
  <c r="DD192" i="20"/>
  <c r="DC188" i="20"/>
  <c r="DD188" i="20"/>
  <c r="CP177" i="20"/>
  <c r="CO177" i="20"/>
  <c r="DD165" i="20"/>
  <c r="DC165" i="20"/>
  <c r="DF146" i="20"/>
  <c r="DG146" i="20"/>
  <c r="CN58" i="20"/>
  <c r="CX58" i="20"/>
  <c r="CV58" i="20"/>
  <c r="CU58" i="20"/>
  <c r="CW58" i="20"/>
  <c r="CN51" i="20"/>
  <c r="CW51" i="20"/>
  <c r="CV51" i="20"/>
  <c r="CU51" i="20"/>
  <c r="CX51" i="20"/>
  <c r="CX176" i="20"/>
  <c r="CW176" i="20"/>
  <c r="CN42" i="20"/>
  <c r="CX42" i="20"/>
  <c r="CW42" i="20"/>
  <c r="CU42" i="20"/>
  <c r="CV42" i="20"/>
  <c r="CN41" i="20"/>
  <c r="CW41" i="20"/>
  <c r="CV41" i="20"/>
  <c r="CU41" i="20"/>
  <c r="CX41" i="20"/>
  <c r="CQ195" i="20"/>
  <c r="DT20" i="20"/>
  <c r="DR20" i="20"/>
  <c r="CW56" i="20"/>
  <c r="CV56" i="20"/>
  <c r="CU56" i="20"/>
  <c r="CN56" i="20"/>
  <c r="CX56" i="20"/>
  <c r="DT31" i="20"/>
  <c r="DR31" i="20"/>
  <c r="CX49" i="20"/>
  <c r="CW49" i="20"/>
  <c r="CV49" i="20"/>
  <c r="CU49" i="20"/>
  <c r="CN49" i="20"/>
  <c r="DC212" i="20"/>
  <c r="DD212" i="20"/>
  <c r="CP157" i="20"/>
  <c r="CO157" i="20"/>
  <c r="CP149" i="20"/>
  <c r="CO149" i="20"/>
  <c r="CP141" i="20"/>
  <c r="CO141" i="20"/>
  <c r="CQ141" i="20" s="1"/>
  <c r="CP133" i="20"/>
  <c r="CO133" i="20"/>
  <c r="CQ133" i="20" s="1"/>
  <c r="CN118" i="20"/>
  <c r="CX118" i="20"/>
  <c r="CU118" i="20"/>
  <c r="CW118" i="20"/>
  <c r="CV118" i="20"/>
  <c r="CX154" i="20"/>
  <c r="CW154" i="20"/>
  <c r="DT18" i="20"/>
  <c r="DR18" i="20"/>
  <c r="EJ23" i="20"/>
  <c r="EC23" i="20"/>
  <c r="EJ79" i="20"/>
  <c r="EC79" i="20"/>
  <c r="EJ21" i="20"/>
  <c r="EC21" i="20"/>
  <c r="EC75" i="20"/>
  <c r="EJ75" i="20"/>
  <c r="EC18" i="20"/>
  <c r="EJ18" i="20"/>
  <c r="EC84" i="20"/>
  <c r="EJ84" i="20"/>
  <c r="CZ4" i="20"/>
  <c r="DD4" i="20" s="1"/>
  <c r="DI4" i="20" s="1"/>
  <c r="J8" i="20" s="1"/>
  <c r="DE170" i="20"/>
  <c r="CE105" i="38"/>
  <c r="BY130" i="38"/>
  <c r="BA53" i="38"/>
  <c r="DQ29" i="40"/>
  <c r="P6" i="38"/>
  <c r="AO12" i="38" s="1"/>
  <c r="CF23" i="40"/>
  <c r="DF123" i="40"/>
  <c r="DF124" i="40" s="1"/>
  <c r="BA87" i="38"/>
  <c r="CF16" i="40"/>
  <c r="CR123" i="40"/>
  <c r="CR124" i="40" s="1"/>
  <c r="AH29" i="40"/>
  <c r="O29" i="40" s="1"/>
  <c r="AH34" i="40"/>
  <c r="O34" i="40" s="1"/>
  <c r="AA31" i="111"/>
  <c r="N21" i="22"/>
  <c r="I18" i="22"/>
  <c r="AG30" i="111"/>
  <c r="Y23" i="111"/>
  <c r="Z42" i="111"/>
  <c r="AC32" i="111"/>
  <c r="AE17" i="111"/>
  <c r="BX10" i="56"/>
  <c r="BV10" i="56"/>
  <c r="AB73" i="56"/>
  <c r="BX28" i="56"/>
  <c r="BV28" i="56"/>
  <c r="BV24" i="56"/>
  <c r="AH72" i="56"/>
  <c r="AB76" i="56"/>
  <c r="CS213" i="20"/>
  <c r="CR213" i="20"/>
  <c r="CK6" i="112"/>
  <c r="CK8" i="112" s="1"/>
  <c r="CK17" i="112" s="1"/>
  <c r="CK7" i="112"/>
  <c r="DC218" i="20"/>
  <c r="DD218" i="20"/>
  <c r="CS214" i="20"/>
  <c r="CR214" i="20"/>
  <c r="DC190" i="20"/>
  <c r="DD190" i="20"/>
  <c r="DF174" i="20"/>
  <c r="DG174" i="20"/>
  <c r="CN48" i="20"/>
  <c r="CX48" i="20"/>
  <c r="CV48" i="20"/>
  <c r="CU48" i="20"/>
  <c r="CW48" i="20"/>
  <c r="CN29" i="20"/>
  <c r="CW29" i="20"/>
  <c r="CV29" i="20"/>
  <c r="CU29" i="20"/>
  <c r="CX29" i="20"/>
  <c r="W29" i="20"/>
  <c r="BE36" i="20"/>
  <c r="S12" i="20"/>
  <c r="CN40" i="20"/>
  <c r="CX40" i="20"/>
  <c r="CW40" i="20"/>
  <c r="CU40" i="20"/>
  <c r="CV40" i="20"/>
  <c r="CW37" i="20"/>
  <c r="CV37" i="20"/>
  <c r="CU37" i="20"/>
  <c r="CN37" i="20"/>
  <c r="CX37" i="20"/>
  <c r="CX30" i="20"/>
  <c r="CW30" i="20"/>
  <c r="CV30" i="20"/>
  <c r="CU30" i="20"/>
  <c r="CN30" i="20"/>
  <c r="DD177" i="20"/>
  <c r="DC177" i="20"/>
  <c r="DG193" i="20"/>
  <c r="DF193" i="20"/>
  <c r="CX119" i="20"/>
  <c r="CW119" i="20"/>
  <c r="CV119" i="20"/>
  <c r="CU119" i="20"/>
  <c r="CN119" i="20"/>
  <c r="CN120" i="20"/>
  <c r="CX120" i="20"/>
  <c r="CU120" i="20"/>
  <c r="CW120" i="20"/>
  <c r="CV120" i="20"/>
  <c r="CQ17" i="20"/>
  <c r="CP17" i="20"/>
  <c r="CX211" i="20"/>
  <c r="CW211" i="20"/>
  <c r="EJ27" i="20"/>
  <c r="EC27" i="20"/>
  <c r="EJ83" i="20"/>
  <c r="EC83" i="20"/>
  <c r="EJ31" i="20"/>
  <c r="EC31" i="20"/>
  <c r="EJ95" i="20"/>
  <c r="EC95" i="20"/>
  <c r="EC88" i="20"/>
  <c r="EJ88" i="20"/>
  <c r="BO105" i="38"/>
  <c r="BZ130" i="38"/>
  <c r="AN19" i="40"/>
  <c r="E28" i="40"/>
  <c r="AN25" i="40"/>
  <c r="AN14" i="40"/>
  <c r="CV123" i="40"/>
  <c r="CV124" i="40" s="1"/>
  <c r="CF18" i="40"/>
  <c r="AH15" i="40"/>
  <c r="O15" i="40" s="1"/>
  <c r="L25" i="22"/>
  <c r="M26" i="22"/>
  <c r="N27" i="22"/>
  <c r="AC33" i="111"/>
  <c r="AH24" i="111"/>
  <c r="AB37" i="111"/>
  <c r="AB22" i="111"/>
  <c r="Y11" i="111"/>
  <c r="AC41" i="111"/>
  <c r="AF31" i="111"/>
  <c r="AH20" i="111"/>
  <c r="AF38" i="111"/>
  <c r="AN72" i="56"/>
  <c r="AC37" i="56"/>
  <c r="W37" i="56"/>
  <c r="AB54" i="113"/>
  <c r="I30" i="44"/>
  <c r="CX209" i="20"/>
  <c r="CW209" i="20"/>
  <c r="CP200" i="20"/>
  <c r="CO200" i="20"/>
  <c r="CS231" i="20"/>
  <c r="CR231" i="20"/>
  <c r="CX172" i="20"/>
  <c r="CW172" i="20"/>
  <c r="DF142" i="20"/>
  <c r="DG142" i="20"/>
  <c r="CN34" i="20"/>
  <c r="CX34" i="20"/>
  <c r="CV34" i="20"/>
  <c r="CU34" i="20"/>
  <c r="CW34" i="20"/>
  <c r="DD167" i="20"/>
  <c r="DC167" i="20"/>
  <c r="CN28" i="20"/>
  <c r="CW28" i="20"/>
  <c r="CV28" i="20"/>
  <c r="CU28" i="20"/>
  <c r="CX28" i="20"/>
  <c r="AS4" i="116"/>
  <c r="CX113" i="20"/>
  <c r="CW113" i="20"/>
  <c r="CV113" i="20"/>
  <c r="CU113" i="20"/>
  <c r="CN113" i="20"/>
  <c r="CS180" i="20"/>
  <c r="CR180" i="20"/>
  <c r="DD153" i="20"/>
  <c r="DC153" i="20"/>
  <c r="DD145" i="20"/>
  <c r="DC145" i="20"/>
  <c r="DD137" i="20"/>
  <c r="DC137" i="20"/>
  <c r="CQ20" i="20"/>
  <c r="CP20" i="20"/>
  <c r="DY37" i="20"/>
  <c r="DS37" i="20" s="1"/>
  <c r="CX121" i="20"/>
  <c r="CW121" i="20"/>
  <c r="CV121" i="20"/>
  <c r="CU121" i="20"/>
  <c r="CN121" i="20"/>
  <c r="CN122" i="20"/>
  <c r="CX122" i="20"/>
  <c r="CU122" i="20"/>
  <c r="CW122" i="20"/>
  <c r="CV122" i="20"/>
  <c r="CV16" i="20"/>
  <c r="CU16" i="20"/>
  <c r="DT10" i="20"/>
  <c r="DR10" i="20"/>
  <c r="DY24" i="20"/>
  <c r="DS24" i="20" s="1"/>
  <c r="EJ57" i="20"/>
  <c r="EC57" i="20"/>
  <c r="EJ99" i="20"/>
  <c r="EC99" i="20"/>
  <c r="EJ33" i="20"/>
  <c r="EC33" i="20"/>
  <c r="EC12" i="20"/>
  <c r="EJ12" i="20"/>
  <c r="EC56" i="20"/>
  <c r="EJ56" i="20"/>
  <c r="EC92" i="20"/>
  <c r="EJ92" i="20"/>
  <c r="CX164" i="20"/>
  <c r="CW164" i="20"/>
  <c r="DC4" i="20"/>
  <c r="DH4" i="20" s="1"/>
  <c r="I8" i="20" s="1"/>
  <c r="U29" i="20" s="1"/>
  <c r="BO130" i="38"/>
  <c r="BM130" i="38"/>
  <c r="CF22" i="40"/>
  <c r="M20" i="22"/>
  <c r="BS26" i="111"/>
  <c r="AB23" i="111"/>
  <c r="AE36" i="111"/>
  <c r="AF10" i="111"/>
  <c r="BP22" i="111"/>
  <c r="AA20" i="111"/>
  <c r="Y38" i="111"/>
  <c r="Z20" i="111"/>
  <c r="AA36" i="111"/>
  <c r="Z36" i="111"/>
  <c r="Z30" i="111"/>
  <c r="AB19" i="111"/>
  <c r="AF37" i="111"/>
  <c r="AH73" i="56"/>
  <c r="V77" i="56"/>
  <c r="W76" i="56"/>
  <c r="R25" i="63"/>
  <c r="R23" i="63"/>
  <c r="R22" i="63"/>
  <c r="Q22" i="63"/>
  <c r="R24" i="63"/>
  <c r="P22" i="63"/>
  <c r="O22" i="63"/>
  <c r="N22" i="63"/>
  <c r="BV30" i="56"/>
  <c r="CC7" i="56"/>
  <c r="BW7" i="56" s="1"/>
  <c r="AO74" i="56"/>
  <c r="AM24" i="25"/>
  <c r="AM21" i="25"/>
  <c r="AM19" i="25"/>
  <c r="AM26" i="25"/>
  <c r="AM22" i="25"/>
  <c r="BJ10" i="25" s="1"/>
  <c r="C4" i="47"/>
  <c r="C7" i="47" s="1"/>
  <c r="DE209" i="20"/>
  <c r="CP204" i="20"/>
  <c r="CO204" i="20"/>
  <c r="DC226" i="20"/>
  <c r="DD226" i="20"/>
  <c r="CP202" i="20"/>
  <c r="CO202" i="20"/>
  <c r="O16" i="116"/>
  <c r="DE213" i="20"/>
  <c r="CX160" i="20"/>
  <c r="CW160" i="20"/>
  <c r="AO5" i="116"/>
  <c r="CN77" i="20"/>
  <c r="CX77" i="20"/>
  <c r="CV77" i="20"/>
  <c r="CU77" i="20"/>
  <c r="CW77" i="20"/>
  <c r="CQ192" i="20"/>
  <c r="DR28" i="20"/>
  <c r="CP173" i="20"/>
  <c r="CO173" i="20"/>
  <c r="CO182" i="20"/>
  <c r="CP182" i="20"/>
  <c r="CX75" i="20"/>
  <c r="CW75" i="20"/>
  <c r="CV75" i="20"/>
  <c r="CU75" i="20"/>
  <c r="CN75" i="20"/>
  <c r="CX123" i="20"/>
  <c r="CW123" i="20"/>
  <c r="CV123" i="20"/>
  <c r="CU123" i="20"/>
  <c r="CN123" i="20"/>
  <c r="CN124" i="20"/>
  <c r="CX124" i="20"/>
  <c r="CU124" i="20"/>
  <c r="CV124" i="20"/>
  <c r="CW124" i="20"/>
  <c r="CX156" i="20"/>
  <c r="CW156" i="20"/>
  <c r="DT8" i="20"/>
  <c r="DR8" i="20"/>
  <c r="CX140" i="20"/>
  <c r="CW140" i="20"/>
  <c r="EJ61" i="20"/>
  <c r="EC61" i="20"/>
  <c r="EJ16" i="20"/>
  <c r="EC16" i="20"/>
  <c r="EJ36" i="20"/>
  <c r="EC36" i="20"/>
  <c r="EC24" i="20"/>
  <c r="EJ24" i="20"/>
  <c r="EC60" i="20"/>
  <c r="EJ60" i="20"/>
  <c r="EC96" i="20"/>
  <c r="EJ96" i="20"/>
  <c r="CQ186" i="20"/>
  <c r="CV4" i="20"/>
  <c r="CU4" i="20"/>
  <c r="EE44" i="20"/>
  <c r="ED44" i="20"/>
  <c r="EF44" i="20" s="1"/>
  <c r="BA186" i="38"/>
  <c r="CH130" i="38"/>
  <c r="CB130" i="38"/>
  <c r="BA141" i="38"/>
  <c r="CC130" i="38"/>
  <c r="CF12" i="40"/>
  <c r="CJ123" i="40"/>
  <c r="CJ124" i="40" s="1"/>
  <c r="DN29" i="40"/>
  <c r="AI19" i="38"/>
  <c r="T12" i="38"/>
  <c r="P38" i="40"/>
  <c r="M38" i="40"/>
  <c r="AH8" i="40"/>
  <c r="O8" i="40" s="1"/>
  <c r="BA138" i="38"/>
  <c r="BA61" i="38"/>
  <c r="BA65" i="38"/>
  <c r="M12" i="40"/>
  <c r="AH9" i="40"/>
  <c r="O9" i="40" s="1"/>
  <c r="P37" i="40"/>
  <c r="M37" i="40"/>
  <c r="M31" i="40"/>
  <c r="AV22" i="40" l="1"/>
  <c r="CS166" i="20"/>
  <c r="CR166" i="20"/>
  <c r="CX89" i="20"/>
  <c r="CW89" i="20"/>
  <c r="CU89" i="20"/>
  <c r="CN89" i="20"/>
  <c r="CV89" i="20"/>
  <c r="AZ9" i="38"/>
  <c r="BA9" i="38" s="1"/>
  <c r="BA10" i="38" s="1"/>
  <c r="DE155" i="20"/>
  <c r="AW82" i="56"/>
  <c r="DE173" i="20"/>
  <c r="DG173" i="20" s="1"/>
  <c r="CV111" i="20"/>
  <c r="CU111" i="20"/>
  <c r="CN111" i="20"/>
  <c r="CX111" i="20"/>
  <c r="CW111" i="20"/>
  <c r="CS210" i="20"/>
  <c r="CR210" i="20"/>
  <c r="CU100" i="20"/>
  <c r="CN100" i="20"/>
  <c r="CX100" i="20"/>
  <c r="CW100" i="20"/>
  <c r="CV100" i="20"/>
  <c r="DE152" i="20"/>
  <c r="DE137" i="20"/>
  <c r="W82" i="56"/>
  <c r="Z82" i="56" s="1"/>
  <c r="J9" i="56" s="1"/>
  <c r="L9" i="56" s="1"/>
  <c r="CQ159" i="20"/>
  <c r="CS159" i="20" s="1"/>
  <c r="DE156" i="20"/>
  <c r="CX108" i="20"/>
  <c r="CW108" i="20"/>
  <c r="CV108" i="20"/>
  <c r="CU108" i="20"/>
  <c r="CN108" i="20"/>
  <c r="DE160" i="20"/>
  <c r="DE230" i="20"/>
  <c r="CS162" i="20"/>
  <c r="CR162" i="20"/>
  <c r="CV31" i="20"/>
  <c r="CU31" i="20"/>
  <c r="CN31" i="20"/>
  <c r="CX31" i="20"/>
  <c r="CW31" i="20"/>
  <c r="CJ127" i="40"/>
  <c r="CV36" i="20"/>
  <c r="CU36" i="20"/>
  <c r="CN36" i="20"/>
  <c r="CX36" i="20"/>
  <c r="CW36" i="20"/>
  <c r="AH22" i="25"/>
  <c r="CU33" i="20"/>
  <c r="CN33" i="20"/>
  <c r="CX33" i="20"/>
  <c r="CW33" i="20"/>
  <c r="CV33" i="20"/>
  <c r="DE226" i="20"/>
  <c r="DE153" i="20"/>
  <c r="DE141" i="20"/>
  <c r="DE202" i="20"/>
  <c r="DE163" i="20"/>
  <c r="CX55" i="20"/>
  <c r="CW55" i="20"/>
  <c r="CV55" i="20"/>
  <c r="CU55" i="20"/>
  <c r="CN55" i="20"/>
  <c r="CQ204" i="20"/>
  <c r="CQ161" i="20"/>
  <c r="BX19" i="56"/>
  <c r="BV19" i="56"/>
  <c r="CR8" i="20"/>
  <c r="CQ170" i="20"/>
  <c r="DE216" i="20"/>
  <c r="DE182" i="20"/>
  <c r="DE210" i="20"/>
  <c r="DE136" i="20"/>
  <c r="DE148" i="20"/>
  <c r="DE192" i="20"/>
  <c r="DE157" i="20"/>
  <c r="DE194" i="20"/>
  <c r="X8" i="116"/>
  <c r="CR187" i="20"/>
  <c r="CW226" i="20"/>
  <c r="CX226" i="20"/>
  <c r="CW224" i="20"/>
  <c r="CX224" i="20"/>
  <c r="DF178" i="20"/>
  <c r="DG178" i="20"/>
  <c r="CW222" i="20"/>
  <c r="CX222" i="20"/>
  <c r="CV39" i="20"/>
  <c r="CU39" i="20"/>
  <c r="CN39" i="20"/>
  <c r="CX39" i="20"/>
  <c r="CW39" i="20"/>
  <c r="CX46" i="20"/>
  <c r="CW46" i="20"/>
  <c r="CV46" i="20"/>
  <c r="CU46" i="20"/>
  <c r="CN46" i="20"/>
  <c r="CW4" i="20"/>
  <c r="CX4" i="20" s="1"/>
  <c r="CY4" i="20" s="1"/>
  <c r="DB4" i="20" s="1"/>
  <c r="DG4" i="20" s="1"/>
  <c r="K8" i="20" s="1"/>
  <c r="DE206" i="20"/>
  <c r="CR11" i="20"/>
  <c r="CT11" i="20" s="1"/>
  <c r="CW19" i="20"/>
  <c r="CX19" i="20" s="1"/>
  <c r="CS178" i="20"/>
  <c r="CR178" i="20"/>
  <c r="DJ13" i="20"/>
  <c r="DC13" i="20"/>
  <c r="DH13" i="20" s="1"/>
  <c r="AK11" i="116"/>
  <c r="DE140" i="20"/>
  <c r="CU50" i="20"/>
  <c r="CN50" i="20"/>
  <c r="CX50" i="20"/>
  <c r="CW50" i="20"/>
  <c r="CV50" i="20"/>
  <c r="DE144" i="20"/>
  <c r="DE179" i="20"/>
  <c r="CQ143" i="20"/>
  <c r="AW83" i="56"/>
  <c r="DE161" i="20"/>
  <c r="DE200" i="20"/>
  <c r="CQ148" i="20"/>
  <c r="CS212" i="20"/>
  <c r="CR212" i="20"/>
  <c r="CU45" i="20"/>
  <c r="CN45" i="20"/>
  <c r="CX45" i="20"/>
  <c r="CW45" i="20"/>
  <c r="CV45" i="20"/>
  <c r="AH30" i="25"/>
  <c r="AH25" i="25"/>
  <c r="AH26" i="25"/>
  <c r="BI10" i="25" s="1"/>
  <c r="AH28" i="25" s="1"/>
  <c r="AH23" i="25"/>
  <c r="EE80" i="20"/>
  <c r="ED80" i="20"/>
  <c r="EF80" i="20" s="1"/>
  <c r="EE107" i="20"/>
  <c r="ED107" i="20"/>
  <c r="CS225" i="20"/>
  <c r="CR225" i="20"/>
  <c r="DG155" i="20"/>
  <c r="DF155" i="20"/>
  <c r="EE39" i="20"/>
  <c r="ED39" i="20"/>
  <c r="CP123" i="20"/>
  <c r="CO123" i="20"/>
  <c r="CP41" i="20"/>
  <c r="CO41" i="20"/>
  <c r="ED15" i="20"/>
  <c r="EE15" i="20"/>
  <c r="EE38" i="20"/>
  <c r="ED38" i="20"/>
  <c r="EE92" i="20"/>
  <c r="ED92" i="20"/>
  <c r="DE145" i="20"/>
  <c r="CQ200" i="20"/>
  <c r="EE83" i="20"/>
  <c r="ED83" i="20"/>
  <c r="EF83" i="20" s="1"/>
  <c r="CW214" i="20"/>
  <c r="CX214" i="20"/>
  <c r="BT46" i="56"/>
  <c r="BR46" i="56" s="1"/>
  <c r="BX46" i="56"/>
  <c r="BV46" i="56" s="1"/>
  <c r="J41" i="52"/>
  <c r="C42" i="52" s="1"/>
  <c r="P17" i="40"/>
  <c r="M17" i="40"/>
  <c r="CV138" i="20"/>
  <c r="CT138" i="20"/>
  <c r="AK5" i="116"/>
  <c r="DL219" i="20"/>
  <c r="DK219" i="20"/>
  <c r="CP112" i="20"/>
  <c r="CO112" i="20"/>
  <c r="CW10" i="20"/>
  <c r="CX10" i="20" s="1"/>
  <c r="CY10" i="20" s="1"/>
  <c r="DB10" i="20" s="1"/>
  <c r="EE102" i="20"/>
  <c r="ED102" i="20"/>
  <c r="EF102" i="20" s="1"/>
  <c r="EE82" i="20"/>
  <c r="ED82" i="20"/>
  <c r="DG227" i="20"/>
  <c r="DF227" i="20"/>
  <c r="CQ171" i="20"/>
  <c r="EE29" i="20"/>
  <c r="ED29" i="20"/>
  <c r="CP98" i="20"/>
  <c r="CO98" i="20"/>
  <c r="CP43" i="20"/>
  <c r="CO43" i="20"/>
  <c r="CQ43" i="20" s="1"/>
  <c r="DM32" i="116"/>
  <c r="DI32" i="116" s="1"/>
  <c r="DL32" i="116"/>
  <c r="DK32" i="116"/>
  <c r="DJ32" i="116"/>
  <c r="DB32" i="116"/>
  <c r="DM17" i="116"/>
  <c r="DL17" i="116"/>
  <c r="DK17" i="116"/>
  <c r="DJ17" i="116"/>
  <c r="DB17" i="116"/>
  <c r="DB61" i="116"/>
  <c r="DM61" i="116"/>
  <c r="DL61" i="116"/>
  <c r="DJ61" i="116"/>
  <c r="DI61" i="116"/>
  <c r="DK61" i="116"/>
  <c r="DB77" i="116"/>
  <c r="DM77" i="116"/>
  <c r="DI77" i="116" s="1"/>
  <c r="DL77" i="116"/>
  <c r="DJ77" i="116"/>
  <c r="DK77" i="116"/>
  <c r="DM93" i="116"/>
  <c r="DI93" i="116" s="1"/>
  <c r="DL93" i="116"/>
  <c r="DK93" i="116"/>
  <c r="DJ93" i="116"/>
  <c r="DB93" i="116"/>
  <c r="DM109" i="116"/>
  <c r="DL109" i="116"/>
  <c r="DK109" i="116"/>
  <c r="DJ109" i="116"/>
  <c r="DI109" i="116"/>
  <c r="DB109" i="116"/>
  <c r="BX22" i="56"/>
  <c r="BV22" i="56"/>
  <c r="EE62" i="20"/>
  <c r="ED62" i="20"/>
  <c r="BX21" i="40"/>
  <c r="DW28" i="40"/>
  <c r="BX22" i="40"/>
  <c r="DX28" i="40"/>
  <c r="EE20" i="20"/>
  <c r="ED20" i="20"/>
  <c r="DL189" i="20"/>
  <c r="DK189" i="20"/>
  <c r="CP71" i="20"/>
  <c r="CO71" i="20"/>
  <c r="CQ147" i="20"/>
  <c r="CP60" i="20"/>
  <c r="CO60" i="20"/>
  <c r="CO92" i="20"/>
  <c r="CQ92" i="20" s="1"/>
  <c r="CP92" i="20"/>
  <c r="DB59" i="116"/>
  <c r="DM59" i="116"/>
  <c r="DI59" i="116" s="1"/>
  <c r="DL59" i="116"/>
  <c r="DJ59" i="116"/>
  <c r="DK59" i="116"/>
  <c r="EE34" i="20"/>
  <c r="ED34" i="20"/>
  <c r="BX9" i="20"/>
  <c r="BT9" i="20"/>
  <c r="BP9" i="20"/>
  <c r="BN10" i="20" s="1"/>
  <c r="CJ9" i="20"/>
  <c r="BL9" i="20"/>
  <c r="CF9" i="20"/>
  <c r="CD10" i="20" s="1"/>
  <c r="CB9" i="20"/>
  <c r="DG203" i="20"/>
  <c r="DF203" i="20"/>
  <c r="M8" i="40"/>
  <c r="P8" i="40"/>
  <c r="EE24" i="20"/>
  <c r="ED24" i="20"/>
  <c r="EF24" i="20" s="1"/>
  <c r="DG209" i="20"/>
  <c r="DF209" i="20"/>
  <c r="EE99" i="20"/>
  <c r="ED99" i="20"/>
  <c r="CP118" i="20"/>
  <c r="CO118" i="20"/>
  <c r="BT28" i="20"/>
  <c r="BP28" i="20"/>
  <c r="BN29" i="20" s="1"/>
  <c r="CJ28" i="20"/>
  <c r="BL28" i="20"/>
  <c r="CF28" i="20"/>
  <c r="CD29" i="20" s="1"/>
  <c r="CB28" i="20"/>
  <c r="BX28" i="20"/>
  <c r="DG179" i="20"/>
  <c r="DF179" i="20"/>
  <c r="P39" i="40"/>
  <c r="M39" i="40"/>
  <c r="L7" i="117"/>
  <c r="L6" i="117"/>
  <c r="BX49" i="56"/>
  <c r="BV49" i="56" s="1"/>
  <c r="BT49" i="56"/>
  <c r="BR49" i="56" s="1"/>
  <c r="EE109" i="20"/>
  <c r="ED109" i="20"/>
  <c r="EF109" i="20" s="1"/>
  <c r="CP64" i="20"/>
  <c r="CO64" i="20"/>
  <c r="W8" i="112"/>
  <c r="DG206" i="20"/>
  <c r="DF206" i="20"/>
  <c r="V83" i="56"/>
  <c r="Y83" i="56" s="1"/>
  <c r="I10" i="56" s="1"/>
  <c r="CP72" i="20"/>
  <c r="CO72" i="20"/>
  <c r="CX191" i="20"/>
  <c r="CW191" i="20"/>
  <c r="CQ208" i="20"/>
  <c r="CP80" i="20"/>
  <c r="CO80" i="20"/>
  <c r="W8" i="117"/>
  <c r="D14" i="44"/>
  <c r="F14" i="44" s="1"/>
  <c r="H14" i="44" s="1"/>
  <c r="B15" i="44"/>
  <c r="EE90" i="20"/>
  <c r="ED90" i="20"/>
  <c r="CQ145" i="20"/>
  <c r="BL11" i="20"/>
  <c r="CF11" i="20"/>
  <c r="CD12" i="20" s="1"/>
  <c r="CB11" i="20"/>
  <c r="BX11" i="20"/>
  <c r="BT11" i="20"/>
  <c r="BP11" i="20"/>
  <c r="BN12" i="20" s="1"/>
  <c r="CJ11" i="20"/>
  <c r="DK12" i="116"/>
  <c r="DJ12" i="116"/>
  <c r="DI12" i="116"/>
  <c r="DM12" i="116"/>
  <c r="DL12" i="116"/>
  <c r="DB12" i="116"/>
  <c r="DK25" i="116"/>
  <c r="DJ25" i="116"/>
  <c r="DM25" i="116"/>
  <c r="DL25" i="116"/>
  <c r="DB25" i="116"/>
  <c r="DM18" i="116"/>
  <c r="DI18" i="116" s="1"/>
  <c r="DL18" i="116"/>
  <c r="DK18" i="116"/>
  <c r="DJ18" i="116"/>
  <c r="DB18" i="116"/>
  <c r="DB62" i="116"/>
  <c r="DM62" i="116"/>
  <c r="DI62" i="116" s="1"/>
  <c r="DL62" i="116"/>
  <c r="DJ62" i="116"/>
  <c r="DK62" i="116"/>
  <c r="DB78" i="116"/>
  <c r="DM78" i="116"/>
  <c r="DL78" i="116"/>
  <c r="DJ78" i="116"/>
  <c r="DK78" i="116"/>
  <c r="DM94" i="116"/>
  <c r="DI94" i="116" s="1"/>
  <c r="DL94" i="116"/>
  <c r="DK94" i="116"/>
  <c r="DJ94" i="116"/>
  <c r="DB94" i="116"/>
  <c r="DM110" i="116"/>
  <c r="DI110" i="116" s="1"/>
  <c r="DL110" i="116"/>
  <c r="DK110" i="116"/>
  <c r="DJ110" i="116"/>
  <c r="DB110" i="116"/>
  <c r="BX75" i="56"/>
  <c r="BV75" i="56" s="1"/>
  <c r="BT75" i="56"/>
  <c r="BR75" i="56" s="1"/>
  <c r="CP91" i="20"/>
  <c r="CO91" i="20"/>
  <c r="DG151" i="20"/>
  <c r="DF151" i="20"/>
  <c r="EE104" i="20"/>
  <c r="ED104" i="20"/>
  <c r="CP83" i="20"/>
  <c r="CO83" i="20"/>
  <c r="CR5" i="20"/>
  <c r="DK181" i="20"/>
  <c r="DL181" i="20"/>
  <c r="DG216" i="20"/>
  <c r="DF216" i="20"/>
  <c r="CP124" i="20"/>
  <c r="CO124" i="20"/>
  <c r="DF226" i="20"/>
  <c r="DG226" i="20"/>
  <c r="CW231" i="20"/>
  <c r="CX231" i="20"/>
  <c r="EE53" i="20"/>
  <c r="ED53" i="20"/>
  <c r="DG230" i="20"/>
  <c r="DF230" i="20"/>
  <c r="EE26" i="20"/>
  <c r="ED26" i="20"/>
  <c r="EF26" i="20" s="1"/>
  <c r="DM45" i="116"/>
  <c r="DL45" i="116"/>
  <c r="DK45" i="116"/>
  <c r="DJ45" i="116"/>
  <c r="DB45" i="116"/>
  <c r="DM107" i="116"/>
  <c r="DL107" i="116"/>
  <c r="DK107" i="116"/>
  <c r="DJ107" i="116"/>
  <c r="DI107" i="116"/>
  <c r="DB107" i="116"/>
  <c r="CS175" i="20"/>
  <c r="CR175" i="20"/>
  <c r="EE58" i="20"/>
  <c r="ED58" i="20"/>
  <c r="V21" i="116"/>
  <c r="X22" i="116" s="1"/>
  <c r="V30" i="116"/>
  <c r="X31" i="116" s="1"/>
  <c r="V13" i="116"/>
  <c r="X14" i="116" s="1"/>
  <c r="CX207" i="20"/>
  <c r="CW207" i="20"/>
  <c r="DE190" i="20"/>
  <c r="CP107" i="20"/>
  <c r="CO107" i="20"/>
  <c r="BK12" i="116"/>
  <c r="BL12" i="116"/>
  <c r="DM16" i="116"/>
  <c r="DL16" i="116"/>
  <c r="DK16" i="116"/>
  <c r="DJ16" i="116"/>
  <c r="DI16" i="116"/>
  <c r="DB16" i="116"/>
  <c r="U18" i="40"/>
  <c r="V18" i="40" s="1"/>
  <c r="R18" i="40"/>
  <c r="S18" i="40" s="1"/>
  <c r="N18" i="40"/>
  <c r="AP18" i="40"/>
  <c r="AN18" i="40" s="1"/>
  <c r="AT18" i="40"/>
  <c r="AR18" i="40" s="1"/>
  <c r="AL18" i="40"/>
  <c r="AJ18" i="40" s="1"/>
  <c r="A21" i="42"/>
  <c r="A24" i="42" s="1"/>
  <c r="C18" i="41" s="1"/>
  <c r="A27" i="42"/>
  <c r="C19" i="41" s="1"/>
  <c r="C20" i="41" s="1"/>
  <c r="C21" i="41"/>
  <c r="A33" i="42"/>
  <c r="A36" i="42" s="1"/>
  <c r="C17" i="41" s="1"/>
  <c r="A30" i="42"/>
  <c r="C22" i="41" s="1"/>
  <c r="G31" i="44" s="1"/>
  <c r="I31" i="44" s="1"/>
  <c r="U38" i="40"/>
  <c r="V38" i="40" s="1"/>
  <c r="R38" i="40"/>
  <c r="S38" i="40" s="1"/>
  <c r="N38" i="40"/>
  <c r="AP38" i="40"/>
  <c r="AN38" i="40" s="1"/>
  <c r="AT38" i="40"/>
  <c r="AR38" i="40" s="1"/>
  <c r="AL38" i="40"/>
  <c r="AJ38" i="40" s="1"/>
  <c r="CS186" i="20"/>
  <c r="CR186" i="20"/>
  <c r="CV140" i="20"/>
  <c r="CT140" i="20"/>
  <c r="DG153" i="20"/>
  <c r="DF153" i="20"/>
  <c r="CP28" i="20"/>
  <c r="CO28" i="20"/>
  <c r="CQ28" i="20" s="1"/>
  <c r="BX15" i="40"/>
  <c r="DQ28" i="40"/>
  <c r="CS133" i="20"/>
  <c r="CR133" i="20"/>
  <c r="CP96" i="20"/>
  <c r="CO96" i="20"/>
  <c r="CQ96" i="20" s="1"/>
  <c r="DL221" i="20"/>
  <c r="DK221" i="20"/>
  <c r="BX51" i="56"/>
  <c r="BV51" i="56" s="1"/>
  <c r="BT51" i="56"/>
  <c r="BR51" i="56" s="1"/>
  <c r="CX184" i="20"/>
  <c r="CW184" i="20"/>
  <c r="CS161" i="20"/>
  <c r="CR161" i="20"/>
  <c r="A6" i="117"/>
  <c r="A7" i="117"/>
  <c r="EE89" i="20"/>
  <c r="ED89" i="20"/>
  <c r="CP95" i="20"/>
  <c r="CO95" i="20"/>
  <c r="CS165" i="20"/>
  <c r="CR165" i="20"/>
  <c r="DK13" i="116"/>
  <c r="DJ13" i="116"/>
  <c r="DM13" i="116"/>
  <c r="DL13" i="116"/>
  <c r="DB13" i="116"/>
  <c r="DB21" i="116"/>
  <c r="DM21" i="116"/>
  <c r="DK21" i="116"/>
  <c r="DJ21" i="116"/>
  <c r="DL21" i="116"/>
  <c r="DM19" i="116"/>
  <c r="DI19" i="116" s="1"/>
  <c r="DL19" i="116"/>
  <c r="DK19" i="116"/>
  <c r="DJ19" i="116"/>
  <c r="DB19" i="116"/>
  <c r="DB63" i="116"/>
  <c r="DM63" i="116"/>
  <c r="DL63" i="116"/>
  <c r="DJ63" i="116"/>
  <c r="DK63" i="116"/>
  <c r="DB79" i="116"/>
  <c r="DM79" i="116"/>
  <c r="DL79" i="116"/>
  <c r="DJ79" i="116"/>
  <c r="DI79" i="116"/>
  <c r="DK79" i="116"/>
  <c r="DM95" i="116"/>
  <c r="DI95" i="116" s="1"/>
  <c r="DL95" i="116"/>
  <c r="DK95" i="116"/>
  <c r="DJ95" i="116"/>
  <c r="DB95" i="116"/>
  <c r="DE198" i="20"/>
  <c r="W79" i="56"/>
  <c r="Z79" i="56" s="1"/>
  <c r="J6" i="56" s="1"/>
  <c r="L6" i="56" s="1"/>
  <c r="AL33" i="40"/>
  <c r="AJ33" i="40" s="1"/>
  <c r="U33" i="40"/>
  <c r="V33" i="40" s="1"/>
  <c r="AT33" i="40"/>
  <c r="AR33" i="40" s="1"/>
  <c r="R33" i="40"/>
  <c r="S33" i="40" s="1"/>
  <c r="N33" i="40"/>
  <c r="AP33" i="40"/>
  <c r="AN33" i="40" s="1"/>
  <c r="ED72" i="20"/>
  <c r="EE72" i="20"/>
  <c r="EE73" i="20"/>
  <c r="ED73" i="20"/>
  <c r="CP54" i="20"/>
  <c r="CO54" i="20"/>
  <c r="DE183" i="20"/>
  <c r="EE48" i="20"/>
  <c r="ED48" i="20"/>
  <c r="ED64" i="20"/>
  <c r="EE64" i="20"/>
  <c r="CF12" i="20"/>
  <c r="CD13" i="20" s="1"/>
  <c r="CB12" i="20"/>
  <c r="BX12" i="20"/>
  <c r="BT12" i="20"/>
  <c r="CJ12" i="20"/>
  <c r="BL12" i="20"/>
  <c r="BP12" i="20"/>
  <c r="BN13" i="20" s="1"/>
  <c r="DL166" i="20"/>
  <c r="DK166" i="20"/>
  <c r="EH44" i="20"/>
  <c r="EG44" i="20"/>
  <c r="CS192" i="20"/>
  <c r="CR192" i="20"/>
  <c r="DG137" i="20"/>
  <c r="DF137" i="20"/>
  <c r="CP51" i="20"/>
  <c r="CO51" i="20"/>
  <c r="CP109" i="20"/>
  <c r="CO109" i="20"/>
  <c r="CQ109" i="20" s="1"/>
  <c r="BX72" i="56"/>
  <c r="BV72" i="56" s="1"/>
  <c r="BT72" i="56"/>
  <c r="BR72" i="56" s="1"/>
  <c r="EE98" i="20"/>
  <c r="ED98" i="20"/>
  <c r="AN82" i="56"/>
  <c r="AQ90" i="56" s="1"/>
  <c r="AS90" i="56" s="1"/>
  <c r="K9" i="56" s="1"/>
  <c r="M9" i="56" s="1"/>
  <c r="EE106" i="20"/>
  <c r="ED106" i="20"/>
  <c r="DM38" i="116"/>
  <c r="DI38" i="116" s="1"/>
  <c r="DL38" i="116"/>
  <c r="DK38" i="116"/>
  <c r="DJ38" i="116"/>
  <c r="DB38" i="116"/>
  <c r="DM91" i="116"/>
  <c r="DI91" i="116" s="1"/>
  <c r="DL91" i="116"/>
  <c r="DK91" i="116"/>
  <c r="DJ91" i="116"/>
  <c r="DB91" i="116"/>
  <c r="CP87" i="20"/>
  <c r="CO87" i="20"/>
  <c r="EE84" i="20"/>
  <c r="ED84" i="20"/>
  <c r="EF84" i="20" s="1"/>
  <c r="DG201" i="20"/>
  <c r="DF201" i="20"/>
  <c r="DM39" i="116"/>
  <c r="DI39" i="116" s="1"/>
  <c r="DL39" i="116"/>
  <c r="DK39" i="116"/>
  <c r="DJ39" i="116"/>
  <c r="DB39" i="116"/>
  <c r="DB76" i="116"/>
  <c r="DM76" i="116"/>
  <c r="DL76" i="116"/>
  <c r="DJ76" i="116"/>
  <c r="DK76" i="116"/>
  <c r="DM108" i="116"/>
  <c r="DL108" i="116"/>
  <c r="DK108" i="116"/>
  <c r="DJ108" i="116"/>
  <c r="DI108" i="116"/>
  <c r="DB108" i="116"/>
  <c r="DG143" i="20"/>
  <c r="DF143" i="20"/>
  <c r="AT28" i="40"/>
  <c r="AR28" i="40" s="1"/>
  <c r="AP28" i="40"/>
  <c r="AN28" i="40" s="1"/>
  <c r="N28" i="40"/>
  <c r="AL28" i="40"/>
  <c r="AJ28" i="40" s="1"/>
  <c r="U28" i="40"/>
  <c r="V28" i="40" s="1"/>
  <c r="R28" i="40"/>
  <c r="S28" i="40" s="1"/>
  <c r="EE36" i="20"/>
  <c r="ED36" i="20"/>
  <c r="CP77" i="20"/>
  <c r="CO77" i="20"/>
  <c r="CQ77" i="20" s="1"/>
  <c r="I38" i="48"/>
  <c r="H38" i="48"/>
  <c r="I39" i="48"/>
  <c r="DE167" i="20"/>
  <c r="CT209" i="20"/>
  <c r="CV209" i="20"/>
  <c r="CP120" i="20"/>
  <c r="CO120" i="20"/>
  <c r="CQ120" i="20" s="1"/>
  <c r="CP37" i="20"/>
  <c r="CO37" i="20"/>
  <c r="CQ37" i="20" s="1"/>
  <c r="DE218" i="20"/>
  <c r="CO58" i="20"/>
  <c r="CP58" i="20"/>
  <c r="AP13" i="116"/>
  <c r="AQ13" i="116" s="1"/>
  <c r="AR13" i="116" s="1"/>
  <c r="CT201" i="20"/>
  <c r="CV201" i="20"/>
  <c r="CP47" i="20"/>
  <c r="CO47" i="20"/>
  <c r="DK195" i="20"/>
  <c r="DL195" i="20"/>
  <c r="DE175" i="20"/>
  <c r="CP105" i="20"/>
  <c r="CO105" i="20"/>
  <c r="CO74" i="20"/>
  <c r="CP74" i="20"/>
  <c r="AN83" i="56"/>
  <c r="AQ91" i="56" s="1"/>
  <c r="AS91" i="56" s="1"/>
  <c r="K10" i="56" s="1"/>
  <c r="M10" i="56" s="1"/>
  <c r="AT22" i="40"/>
  <c r="AR22" i="40" s="1"/>
  <c r="N22" i="40"/>
  <c r="AP22" i="40"/>
  <c r="AN22" i="40" s="1"/>
  <c r="AL22" i="40"/>
  <c r="AJ22" i="40" s="1"/>
  <c r="U22" i="40"/>
  <c r="V22" i="40" s="1"/>
  <c r="R22" i="40"/>
  <c r="S22" i="40" s="1"/>
  <c r="EE40" i="20"/>
  <c r="ED40" i="20"/>
  <c r="CQ169" i="20"/>
  <c r="AW80" i="56"/>
  <c r="BT29" i="20"/>
  <c r="BP29" i="20"/>
  <c r="BN30" i="20" s="1"/>
  <c r="CJ29" i="20"/>
  <c r="BL29" i="20"/>
  <c r="CF29" i="20"/>
  <c r="CD30" i="20" s="1"/>
  <c r="CB29" i="20"/>
  <c r="BX29" i="20"/>
  <c r="EE46" i="20"/>
  <c r="ED46" i="20"/>
  <c r="EF46" i="20" s="1"/>
  <c r="DL225" i="20"/>
  <c r="DK225" i="20"/>
  <c r="AH8" i="112"/>
  <c r="EE28" i="20"/>
  <c r="ED28" i="20"/>
  <c r="CQ153" i="20"/>
  <c r="DM20" i="116"/>
  <c r="DL20" i="116"/>
  <c r="DK20" i="116"/>
  <c r="DJ20" i="116"/>
  <c r="DI20" i="116"/>
  <c r="DB20" i="116"/>
  <c r="DB64" i="116"/>
  <c r="DM64" i="116"/>
  <c r="DI64" i="116" s="1"/>
  <c r="DL64" i="116"/>
  <c r="DJ64" i="116"/>
  <c r="DK64" i="116"/>
  <c r="DB80" i="116"/>
  <c r="DM80" i="116"/>
  <c r="DI80" i="116" s="1"/>
  <c r="DL80" i="116"/>
  <c r="DJ80" i="116"/>
  <c r="DK80" i="116"/>
  <c r="DM96" i="116"/>
  <c r="DL96" i="116"/>
  <c r="DK96" i="116"/>
  <c r="DJ96" i="116"/>
  <c r="DI96" i="116"/>
  <c r="DB96" i="116"/>
  <c r="DE208" i="20"/>
  <c r="DE159" i="20"/>
  <c r="DL199" i="20"/>
  <c r="DK199" i="20"/>
  <c r="BX13" i="40"/>
  <c r="DO28" i="40"/>
  <c r="BD8" i="112"/>
  <c r="DE204" i="20"/>
  <c r="EE65" i="20"/>
  <c r="ED65" i="20"/>
  <c r="DG157" i="20"/>
  <c r="DF157" i="20"/>
  <c r="DB75" i="116"/>
  <c r="DM75" i="116"/>
  <c r="DL75" i="116"/>
  <c r="DJ75" i="116"/>
  <c r="DK75" i="116"/>
  <c r="EE55" i="20"/>
  <c r="ED55" i="20"/>
  <c r="EF55" i="20" s="1"/>
  <c r="BX57" i="56"/>
  <c r="BV57" i="56" s="1"/>
  <c r="BT57" i="56"/>
  <c r="BR57" i="56" s="1"/>
  <c r="BP5" i="112"/>
  <c r="ED79" i="20"/>
  <c r="EE79" i="20"/>
  <c r="P27" i="40"/>
  <c r="M27" i="40"/>
  <c r="D60" i="52"/>
  <c r="F60" i="52" s="1"/>
  <c r="H60" i="52" s="1"/>
  <c r="J60" i="52" s="1"/>
  <c r="C61" i="52" s="1"/>
  <c r="B61" i="52"/>
  <c r="E61" i="52" s="1"/>
  <c r="G61" i="52" s="1"/>
  <c r="I61" i="52" s="1"/>
  <c r="EE42" i="20"/>
  <c r="ED42" i="20"/>
  <c r="EF42" i="20" s="1"/>
  <c r="DL223" i="20"/>
  <c r="DK223" i="20"/>
  <c r="BP2" i="117"/>
  <c r="DL11" i="116"/>
  <c r="DK11" i="116"/>
  <c r="DJ11" i="116"/>
  <c r="DB11" i="116"/>
  <c r="DM11" i="116"/>
  <c r="AW81" i="56"/>
  <c r="W83" i="56"/>
  <c r="Z83" i="56" s="1"/>
  <c r="J10" i="56" s="1"/>
  <c r="L10" i="56" s="1"/>
  <c r="CW180" i="20"/>
  <c r="CX180" i="20"/>
  <c r="EE88" i="20"/>
  <c r="ED88" i="20"/>
  <c r="EE27" i="20"/>
  <c r="ED27" i="20"/>
  <c r="EF27" i="20" s="1"/>
  <c r="CP119" i="20"/>
  <c r="CO119" i="20"/>
  <c r="CQ119" i="20" s="1"/>
  <c r="CP29" i="20"/>
  <c r="CO29" i="20"/>
  <c r="ED18" i="20"/>
  <c r="EE18" i="20"/>
  <c r="EE23" i="20"/>
  <c r="ED23" i="20"/>
  <c r="CS141" i="20"/>
  <c r="CR141" i="20"/>
  <c r="CP56" i="20"/>
  <c r="CO56" i="20"/>
  <c r="CQ56" i="20" s="1"/>
  <c r="BX18" i="40"/>
  <c r="DT28" i="40"/>
  <c r="EE71" i="20"/>
  <c r="ED71" i="20"/>
  <c r="EF71" i="20" s="1"/>
  <c r="CB30" i="20"/>
  <c r="BX30" i="20"/>
  <c r="BP30" i="20"/>
  <c r="BN31" i="20" s="1"/>
  <c r="BL30" i="20"/>
  <c r="CF30" i="20"/>
  <c r="CD31" i="20" s="1"/>
  <c r="BT30" i="20"/>
  <c r="CJ30" i="20"/>
  <c r="AN84" i="56"/>
  <c r="EE67" i="20"/>
  <c r="ED67" i="20"/>
  <c r="EF67" i="20" s="1"/>
  <c r="EE17" i="20"/>
  <c r="ED17" i="20"/>
  <c r="CZ19" i="20"/>
  <c r="DD19" i="20" s="1"/>
  <c r="CY19" i="20"/>
  <c r="DB19" i="20" s="1"/>
  <c r="DA19" i="20"/>
  <c r="DF19" i="20" s="1"/>
  <c r="DC19" i="20"/>
  <c r="DG207" i="20"/>
  <c r="DF207" i="20"/>
  <c r="B12" i="50"/>
  <c r="E12" i="50" s="1"/>
  <c r="D11" i="50"/>
  <c r="DG220" i="20"/>
  <c r="DF220" i="20"/>
  <c r="U11" i="40"/>
  <c r="V11" i="40" s="1"/>
  <c r="R11" i="40"/>
  <c r="S11" i="40" s="1"/>
  <c r="N11" i="40"/>
  <c r="AP11" i="40"/>
  <c r="AN11" i="40" s="1"/>
  <c r="AT11" i="40"/>
  <c r="AR11" i="40" s="1"/>
  <c r="AL11" i="40"/>
  <c r="AJ11" i="40" s="1"/>
  <c r="DO110" i="116"/>
  <c r="DO109" i="116"/>
  <c r="DO108" i="116"/>
  <c r="DO107" i="116"/>
  <c r="DO106" i="116"/>
  <c r="DO105" i="116"/>
  <c r="DO104" i="116"/>
  <c r="DO103" i="116"/>
  <c r="DO102" i="116"/>
  <c r="DO101" i="116"/>
  <c r="DO100" i="116"/>
  <c r="DO99" i="116"/>
  <c r="DO98" i="116"/>
  <c r="DO97" i="116"/>
  <c r="DO96" i="116"/>
  <c r="DO95" i="116"/>
  <c r="DO94" i="116"/>
  <c r="DO93" i="116"/>
  <c r="DO92" i="116"/>
  <c r="DO91" i="116"/>
  <c r="DO90" i="116"/>
  <c r="DO89" i="116"/>
  <c r="DO88" i="116"/>
  <c r="DO87" i="116"/>
  <c r="DO86" i="116"/>
  <c r="DO85" i="116"/>
  <c r="DO84" i="116"/>
  <c r="DO83" i="116"/>
  <c r="DO82" i="116"/>
  <c r="DO81" i="116"/>
  <c r="DO80" i="116"/>
  <c r="DO79" i="116"/>
  <c r="DO78" i="116"/>
  <c r="DO77" i="116"/>
  <c r="DO76" i="116"/>
  <c r="DO75" i="116"/>
  <c r="DO74" i="116"/>
  <c r="DO73" i="116"/>
  <c r="DO72" i="116"/>
  <c r="DO71" i="116"/>
  <c r="DO70" i="116"/>
  <c r="DO69" i="116"/>
  <c r="DO68" i="116"/>
  <c r="DO67" i="116"/>
  <c r="DO66" i="116"/>
  <c r="DO65" i="116"/>
  <c r="DO64" i="116"/>
  <c r="DO63" i="116"/>
  <c r="DO62" i="116"/>
  <c r="DO61" i="116"/>
  <c r="DO60" i="116"/>
  <c r="DO59" i="116"/>
  <c r="DO58" i="116"/>
  <c r="DO57" i="116"/>
  <c r="DO56" i="116"/>
  <c r="DO55" i="116"/>
  <c r="DO54" i="116"/>
  <c r="DO53" i="116"/>
  <c r="DO52" i="116"/>
  <c r="DO51" i="116"/>
  <c r="DO50" i="116"/>
  <c r="DO49" i="116"/>
  <c r="DO48" i="116"/>
  <c r="DO47" i="116"/>
  <c r="DO46" i="116"/>
  <c r="DO45" i="116"/>
  <c r="DO44" i="116"/>
  <c r="DO43" i="116"/>
  <c r="DO42" i="116"/>
  <c r="DO41" i="116"/>
  <c r="DO40" i="116"/>
  <c r="DO32" i="116"/>
  <c r="DO39" i="116"/>
  <c r="DO38" i="116"/>
  <c r="DO24" i="116"/>
  <c r="DO37" i="116"/>
  <c r="DO31" i="116"/>
  <c r="DO20" i="116"/>
  <c r="DO19" i="116"/>
  <c r="DO18" i="116"/>
  <c r="DO17" i="116"/>
  <c r="DO16" i="116"/>
  <c r="DO30" i="116"/>
  <c r="DO23" i="116"/>
  <c r="DO22" i="116"/>
  <c r="DO29" i="116"/>
  <c r="DO28" i="116"/>
  <c r="DO15" i="116"/>
  <c r="DO35" i="116"/>
  <c r="DO34" i="116"/>
  <c r="DO14" i="116"/>
  <c r="DO33" i="116"/>
  <c r="DO21" i="116"/>
  <c r="DO27" i="116"/>
  <c r="DO26" i="116"/>
  <c r="B28" i="116"/>
  <c r="DO25" i="116"/>
  <c r="DO36" i="116"/>
  <c r="DO11" i="116"/>
  <c r="DO13" i="116"/>
  <c r="DO12" i="116"/>
  <c r="CV150" i="20"/>
  <c r="CT150" i="20"/>
  <c r="BH14" i="116"/>
  <c r="BS13" i="116"/>
  <c r="BJ13" i="116"/>
  <c r="EE86" i="20"/>
  <c r="ED86" i="20"/>
  <c r="CV134" i="20"/>
  <c r="CT134" i="20"/>
  <c r="CP117" i="20"/>
  <c r="CO117" i="20"/>
  <c r="DJ26" i="116"/>
  <c r="DI26" i="116"/>
  <c r="DB26" i="116"/>
  <c r="DL26" i="116"/>
  <c r="DK26" i="116"/>
  <c r="DM26" i="116"/>
  <c r="DI33" i="116"/>
  <c r="DB33" i="116"/>
  <c r="DM33" i="116"/>
  <c r="DK33" i="116"/>
  <c r="DJ33" i="116"/>
  <c r="DL33" i="116"/>
  <c r="DM31" i="116"/>
  <c r="DI31" i="116" s="1"/>
  <c r="DL31" i="116"/>
  <c r="DK31" i="116"/>
  <c r="DJ31" i="116"/>
  <c r="DB31" i="116"/>
  <c r="DB65" i="116"/>
  <c r="DM65" i="116"/>
  <c r="DI65" i="116" s="1"/>
  <c r="DL65" i="116"/>
  <c r="DJ65" i="116"/>
  <c r="DK65" i="116"/>
  <c r="DB81" i="116"/>
  <c r="DM81" i="116"/>
  <c r="DI81" i="116" s="1"/>
  <c r="DL81" i="116"/>
  <c r="DJ81" i="116"/>
  <c r="DK81" i="116"/>
  <c r="DM97" i="116"/>
  <c r="DL97" i="116"/>
  <c r="DK97" i="116"/>
  <c r="DJ97" i="116"/>
  <c r="DB97" i="116"/>
  <c r="DG197" i="20"/>
  <c r="DF197" i="20"/>
  <c r="ED76" i="20"/>
  <c r="EE76" i="20"/>
  <c r="EE77" i="20"/>
  <c r="ED77" i="20"/>
  <c r="CP61" i="20"/>
  <c r="CO61" i="20"/>
  <c r="P36" i="40"/>
  <c r="M36" i="40"/>
  <c r="EE103" i="20"/>
  <c r="ED103" i="20"/>
  <c r="DL134" i="20"/>
  <c r="DK134" i="20"/>
  <c r="BX16" i="40"/>
  <c r="DR28" i="40"/>
  <c r="DE171" i="20"/>
  <c r="CP32" i="20"/>
  <c r="CO32" i="20"/>
  <c r="CX227" i="20"/>
  <c r="CW227" i="20"/>
  <c r="DE184" i="20"/>
  <c r="CW229" i="20"/>
  <c r="CX229" i="20"/>
  <c r="DL172" i="20"/>
  <c r="DK172" i="20"/>
  <c r="CV156" i="20"/>
  <c r="CT156" i="20"/>
  <c r="CW223" i="20"/>
  <c r="CX223" i="20"/>
  <c r="BX14" i="56"/>
  <c r="BV14" i="56"/>
  <c r="DL185" i="20"/>
  <c r="DK185" i="20"/>
  <c r="CP88" i="20"/>
  <c r="CO88" i="20"/>
  <c r="P32" i="40"/>
  <c r="M32" i="40"/>
  <c r="DB30" i="116"/>
  <c r="DM30" i="116"/>
  <c r="DL30" i="116"/>
  <c r="DK30" i="116"/>
  <c r="DJ30" i="116"/>
  <c r="B28" i="50"/>
  <c r="E28" i="50" s="1"/>
  <c r="D27" i="50"/>
  <c r="CV158" i="20"/>
  <c r="CT158" i="20"/>
  <c r="CS204" i="20"/>
  <c r="CR204" i="20"/>
  <c r="ED37" i="20"/>
  <c r="EE37" i="20"/>
  <c r="BX19" i="40"/>
  <c r="DU28" i="40"/>
  <c r="CS137" i="20"/>
  <c r="CR137" i="20"/>
  <c r="DB60" i="116"/>
  <c r="DM60" i="116"/>
  <c r="DI60" i="116" s="1"/>
  <c r="DL60" i="116"/>
  <c r="DJ60" i="116"/>
  <c r="DK60" i="116"/>
  <c r="DM92" i="116"/>
  <c r="DI92" i="116" s="1"/>
  <c r="DL92" i="116"/>
  <c r="DK92" i="116"/>
  <c r="DJ92" i="116"/>
  <c r="DB92" i="116"/>
  <c r="CV6" i="112"/>
  <c r="CV7" i="112"/>
  <c r="CX187" i="20"/>
  <c r="CW187" i="20"/>
  <c r="BL5" i="20"/>
  <c r="CJ5" i="20"/>
  <c r="CF5" i="20"/>
  <c r="CD6" i="20" s="1"/>
  <c r="BX5" i="20"/>
  <c r="CB5" i="20"/>
  <c r="BT5" i="20"/>
  <c r="BP5" i="20"/>
  <c r="BN6" i="20" s="1"/>
  <c r="CP75" i="20"/>
  <c r="CO75" i="20"/>
  <c r="AI20" i="38"/>
  <c r="T14" i="38" s="1"/>
  <c r="T13" i="38"/>
  <c r="V84" i="56"/>
  <c r="Y84" i="56" s="1"/>
  <c r="I11" i="56" s="1"/>
  <c r="ED56" i="20"/>
  <c r="EE56" i="20"/>
  <c r="EE57" i="20"/>
  <c r="ED57" i="20"/>
  <c r="EF57" i="20" s="1"/>
  <c r="DL146" i="20"/>
  <c r="DK146" i="20"/>
  <c r="J30" i="44"/>
  <c r="C31" i="44" s="1"/>
  <c r="EE19" i="20"/>
  <c r="ED19" i="20"/>
  <c r="EF19" i="20" s="1"/>
  <c r="EE13" i="20"/>
  <c r="ED13" i="20"/>
  <c r="CP38" i="20"/>
  <c r="CO38" i="20"/>
  <c r="DE180" i="20"/>
  <c r="R30" i="40"/>
  <c r="S30" i="40" s="1"/>
  <c r="U30" i="40"/>
  <c r="V30" i="40" s="1"/>
  <c r="AT30" i="40"/>
  <c r="AR30" i="40" s="1"/>
  <c r="N30" i="40"/>
  <c r="AP30" i="40"/>
  <c r="AN30" i="40" s="1"/>
  <c r="AL30" i="40"/>
  <c r="AJ30" i="40" s="1"/>
  <c r="CP110" i="20"/>
  <c r="CO110" i="20"/>
  <c r="DL154" i="20"/>
  <c r="DK154" i="20"/>
  <c r="EE87" i="20"/>
  <c r="ED87" i="20"/>
  <c r="EF87" i="20" s="1"/>
  <c r="DG231" i="20"/>
  <c r="DF231" i="20"/>
  <c r="EE93" i="20"/>
  <c r="ED93" i="20"/>
  <c r="CP102" i="20"/>
  <c r="CO102" i="20"/>
  <c r="CQ102" i="20" s="1"/>
  <c r="BP6" i="20"/>
  <c r="BN7" i="20" s="1"/>
  <c r="CJ6" i="20"/>
  <c r="BL6" i="20"/>
  <c r="CF6" i="20"/>
  <c r="CD7" i="20" s="1"/>
  <c r="CB6" i="20"/>
  <c r="BT6" i="20"/>
  <c r="BX6" i="20"/>
  <c r="CP97" i="20"/>
  <c r="CO97" i="20"/>
  <c r="CQ97" i="20" s="1"/>
  <c r="CX221" i="20"/>
  <c r="CW221" i="20"/>
  <c r="EE85" i="20"/>
  <c r="ED85" i="20"/>
  <c r="EF85" i="20" s="1"/>
  <c r="CB19" i="20"/>
  <c r="BX19" i="20"/>
  <c r="BP19" i="20"/>
  <c r="BN20" i="20" s="1"/>
  <c r="BL19" i="20"/>
  <c r="CJ19" i="20"/>
  <c r="CF19" i="20"/>
  <c r="CD20" i="20" s="1"/>
  <c r="BT19" i="20"/>
  <c r="DB14" i="116"/>
  <c r="DM14" i="116"/>
  <c r="DL14" i="116"/>
  <c r="DJ14" i="116"/>
  <c r="DI14" i="116"/>
  <c r="DK14" i="116"/>
  <c r="DM37" i="116"/>
  <c r="DL37" i="116"/>
  <c r="DK37" i="116"/>
  <c r="DJ37" i="116"/>
  <c r="DB37" i="116"/>
  <c r="DB66" i="116"/>
  <c r="DM66" i="116"/>
  <c r="DI66" i="116" s="1"/>
  <c r="DL66" i="116"/>
  <c r="DJ66" i="116"/>
  <c r="DK66" i="116"/>
  <c r="DB82" i="116"/>
  <c r="DM82" i="116"/>
  <c r="DI82" i="116" s="1"/>
  <c r="DL82" i="116"/>
  <c r="DJ82" i="116"/>
  <c r="DK82" i="116"/>
  <c r="DM98" i="116"/>
  <c r="DL98" i="116"/>
  <c r="DK98" i="116"/>
  <c r="DJ98" i="116"/>
  <c r="DB98" i="116"/>
  <c r="DL187" i="20"/>
  <c r="DK187" i="20"/>
  <c r="CP86" i="20"/>
  <c r="CO86" i="20"/>
  <c r="CX183" i="20"/>
  <c r="CW183" i="20"/>
  <c r="CP73" i="20"/>
  <c r="CO73" i="20"/>
  <c r="BP14" i="20"/>
  <c r="BN15" i="20" s="1"/>
  <c r="CJ14" i="20"/>
  <c r="BL14" i="20"/>
  <c r="CF14" i="20"/>
  <c r="CD15" i="20" s="1"/>
  <c r="BX14" i="20"/>
  <c r="BT14" i="20"/>
  <c r="CB14" i="20"/>
  <c r="DL132" i="20"/>
  <c r="DK132" i="20"/>
  <c r="CS179" i="20"/>
  <c r="CR179" i="20"/>
  <c r="P20" i="38"/>
  <c r="AU15" i="38"/>
  <c r="CP122" i="20"/>
  <c r="CO122" i="20"/>
  <c r="CQ122" i="20" s="1"/>
  <c r="BX12" i="40"/>
  <c r="DN28" i="40"/>
  <c r="CV160" i="20"/>
  <c r="CT160" i="20"/>
  <c r="CP121" i="20"/>
  <c r="CO121" i="20"/>
  <c r="CP113" i="20"/>
  <c r="CO113" i="20"/>
  <c r="AA27" i="113"/>
  <c r="AA17" i="113"/>
  <c r="AA16" i="113"/>
  <c r="AA25" i="113"/>
  <c r="AA14" i="113"/>
  <c r="AA13" i="113"/>
  <c r="AA24" i="113"/>
  <c r="AA12" i="113"/>
  <c r="AA11" i="113"/>
  <c r="AA10" i="113"/>
  <c r="AA19" i="113"/>
  <c r="AA28" i="113"/>
  <c r="AA18" i="113"/>
  <c r="AA15" i="113"/>
  <c r="AA7" i="113"/>
  <c r="AA23" i="113"/>
  <c r="AA9" i="113"/>
  <c r="AA26" i="113"/>
  <c r="AA20" i="113"/>
  <c r="AA22" i="113"/>
  <c r="AA21" i="113"/>
  <c r="AA8" i="113"/>
  <c r="P15" i="40"/>
  <c r="M15" i="40"/>
  <c r="EE95" i="20"/>
  <c r="ED95" i="20"/>
  <c r="CX213" i="20"/>
  <c r="CW213" i="20"/>
  <c r="DF170" i="20"/>
  <c r="DG170" i="20"/>
  <c r="CQ149" i="20"/>
  <c r="CP42" i="20"/>
  <c r="CO42" i="20"/>
  <c r="CQ42" i="20" s="1"/>
  <c r="DE165" i="20"/>
  <c r="J16" i="52"/>
  <c r="C17" i="52" s="1"/>
  <c r="CO62" i="20"/>
  <c r="CP62" i="20"/>
  <c r="EE105" i="20"/>
  <c r="ED105" i="20"/>
  <c r="EF105" i="20" s="1"/>
  <c r="CV152" i="20"/>
  <c r="CT152" i="20"/>
  <c r="CP68" i="20"/>
  <c r="CO68" i="20"/>
  <c r="DE228" i="20"/>
  <c r="CB20" i="20"/>
  <c r="BX20" i="20"/>
  <c r="BP20" i="20"/>
  <c r="BN21" i="20" s="1"/>
  <c r="BL20" i="20"/>
  <c r="CJ20" i="20"/>
  <c r="CF20" i="20"/>
  <c r="CD21" i="20" s="1"/>
  <c r="BT20" i="20"/>
  <c r="CP101" i="20"/>
  <c r="CO101" i="20"/>
  <c r="AL7" i="40"/>
  <c r="AJ7" i="40" s="1"/>
  <c r="R7" i="40"/>
  <c r="S7" i="40" s="1"/>
  <c r="U7" i="40"/>
  <c r="V7" i="40" s="1"/>
  <c r="AT7" i="40"/>
  <c r="AR7" i="40" s="1"/>
  <c r="N7" i="40"/>
  <c r="AP7" i="40"/>
  <c r="AN7" i="40" s="1"/>
  <c r="EE94" i="20"/>
  <c r="ED94" i="20"/>
  <c r="DK215" i="20"/>
  <c r="DL215" i="20"/>
  <c r="DE214" i="20"/>
  <c r="DJ27" i="116"/>
  <c r="DB27" i="116"/>
  <c r="DL27" i="116"/>
  <c r="DK27" i="116"/>
  <c r="DM27" i="116"/>
  <c r="DB34" i="116"/>
  <c r="DM34" i="116"/>
  <c r="DI34" i="116" s="1"/>
  <c r="DL34" i="116"/>
  <c r="DJ34" i="116"/>
  <c r="DK34" i="116"/>
  <c r="DB51" i="116"/>
  <c r="DM51" i="116"/>
  <c r="DI51" i="116" s="1"/>
  <c r="DL51" i="116"/>
  <c r="DJ51" i="116"/>
  <c r="DK51" i="116"/>
  <c r="DB67" i="116"/>
  <c r="DM67" i="116"/>
  <c r="DL67" i="116"/>
  <c r="DJ67" i="116"/>
  <c r="DI67" i="116"/>
  <c r="DK67" i="116"/>
  <c r="DB83" i="116"/>
  <c r="DM83" i="116"/>
  <c r="DI83" i="116" s="1"/>
  <c r="DL83" i="116"/>
  <c r="DJ83" i="116"/>
  <c r="DK83" i="116"/>
  <c r="DM99" i="116"/>
  <c r="DI99" i="116" s="1"/>
  <c r="DL99" i="116"/>
  <c r="DK99" i="116"/>
  <c r="DJ99" i="116"/>
  <c r="DB99" i="116"/>
  <c r="DG200" i="20"/>
  <c r="DF200" i="20"/>
  <c r="CV144" i="20"/>
  <c r="CT144" i="20"/>
  <c r="CP63" i="20"/>
  <c r="CO63" i="20"/>
  <c r="DL176" i="20"/>
  <c r="DK176" i="20"/>
  <c r="DG194" i="20"/>
  <c r="DF194" i="20"/>
  <c r="ED68" i="20"/>
  <c r="EE68" i="20"/>
  <c r="EE69" i="20"/>
  <c r="ED69" i="20"/>
  <c r="BX35" i="56"/>
  <c r="BV35" i="56"/>
  <c r="EF54" i="20"/>
  <c r="DL138" i="20"/>
  <c r="DK138" i="20"/>
  <c r="DL162" i="20"/>
  <c r="DK162" i="20"/>
  <c r="CX206" i="20"/>
  <c r="CW206" i="20"/>
  <c r="BX61" i="56"/>
  <c r="BV61" i="56" s="1"/>
  <c r="BT61" i="56"/>
  <c r="BR61" i="56" s="1"/>
  <c r="CS196" i="20"/>
  <c r="CR196" i="20"/>
  <c r="EE16" i="20"/>
  <c r="ED16" i="20"/>
  <c r="S9" i="20"/>
  <c r="AV12" i="20"/>
  <c r="AY21" i="20"/>
  <c r="AY7" i="20"/>
  <c r="BC36" i="20"/>
  <c r="Z6" i="20"/>
  <c r="CQ157" i="20"/>
  <c r="BX17" i="20"/>
  <c r="BT17" i="20"/>
  <c r="BP17" i="20"/>
  <c r="BN18" i="20" s="1"/>
  <c r="BL17" i="20"/>
  <c r="CF17" i="20"/>
  <c r="CD18" i="20" s="1"/>
  <c r="CB17" i="20"/>
  <c r="CJ17" i="20"/>
  <c r="CQ177" i="20"/>
  <c r="AQ12" i="22"/>
  <c r="AR11" i="22"/>
  <c r="AP11" i="22" s="1"/>
  <c r="CP81" i="20"/>
  <c r="CO81" i="20"/>
  <c r="AT16" i="40"/>
  <c r="AR16" i="40" s="1"/>
  <c r="AP16" i="40"/>
  <c r="AN16" i="40" s="1"/>
  <c r="AL16" i="40"/>
  <c r="AJ16" i="40" s="1"/>
  <c r="U16" i="40"/>
  <c r="V16" i="40" s="1"/>
  <c r="R16" i="40"/>
  <c r="S16" i="40" s="1"/>
  <c r="N16" i="40"/>
  <c r="BX33" i="20"/>
  <c r="BT33" i="20"/>
  <c r="CJ33" i="20"/>
  <c r="BL33" i="20"/>
  <c r="CB33" i="20"/>
  <c r="CF33" i="20"/>
  <c r="CD34" i="20" s="1"/>
  <c r="BP33" i="20"/>
  <c r="BN34" i="20" s="1"/>
  <c r="CX185" i="20"/>
  <c r="CW185" i="20"/>
  <c r="N26" i="40"/>
  <c r="AL26" i="40"/>
  <c r="AJ26" i="40" s="1"/>
  <c r="U26" i="40"/>
  <c r="V26" i="40" s="1"/>
  <c r="R26" i="40"/>
  <c r="S26" i="40" s="1"/>
  <c r="AP26" i="40"/>
  <c r="AN26" i="40" s="1"/>
  <c r="AT26" i="40"/>
  <c r="AR26" i="40" s="1"/>
  <c r="CX217" i="20"/>
  <c r="CW217" i="20"/>
  <c r="W81" i="56"/>
  <c r="Z81" i="56" s="1"/>
  <c r="J8" i="56" s="1"/>
  <c r="L8" i="56" s="1"/>
  <c r="EE101" i="20"/>
  <c r="ED101" i="20"/>
  <c r="EE43" i="20"/>
  <c r="ED43" i="20"/>
  <c r="CQ135" i="20"/>
  <c r="D23" i="48"/>
  <c r="F23" i="48" s="1"/>
  <c r="H23" i="48" s="1"/>
  <c r="B24" i="48"/>
  <c r="BX20" i="40"/>
  <c r="DV28" i="40"/>
  <c r="CP106" i="20"/>
  <c r="CO106" i="20"/>
  <c r="EE22" i="20"/>
  <c r="ED22" i="20"/>
  <c r="DE133" i="20"/>
  <c r="AN80" i="56"/>
  <c r="AQ88" i="56" s="1"/>
  <c r="AS88" i="56" s="1"/>
  <c r="K7" i="56" s="1"/>
  <c r="M7" i="56" s="1"/>
  <c r="DM42" i="116"/>
  <c r="DL42" i="116"/>
  <c r="DK42" i="116"/>
  <c r="DJ42" i="116"/>
  <c r="DI42" i="116"/>
  <c r="DB42" i="116"/>
  <c r="DB36" i="116"/>
  <c r="DM36" i="116"/>
  <c r="DI36" i="116" s="1"/>
  <c r="DL36" i="116"/>
  <c r="DK36" i="116"/>
  <c r="DJ36" i="116"/>
  <c r="DB53" i="116"/>
  <c r="DM53" i="116"/>
  <c r="DI53" i="116" s="1"/>
  <c r="DL53" i="116"/>
  <c r="DJ53" i="116"/>
  <c r="DK53" i="116"/>
  <c r="DB69" i="116"/>
  <c r="DM69" i="116"/>
  <c r="DL69" i="116"/>
  <c r="DJ69" i="116"/>
  <c r="DK69" i="116"/>
  <c r="DB85" i="116"/>
  <c r="DM85" i="116"/>
  <c r="DI85" i="116" s="1"/>
  <c r="DL85" i="116"/>
  <c r="DJ85" i="116"/>
  <c r="DK85" i="116"/>
  <c r="DM101" i="116"/>
  <c r="DI101" i="116" s="1"/>
  <c r="DL101" i="116"/>
  <c r="DK101" i="116"/>
  <c r="DJ101" i="116"/>
  <c r="DB101" i="116"/>
  <c r="CP90" i="20"/>
  <c r="CO90" i="20"/>
  <c r="DE224" i="20"/>
  <c r="CV132" i="20"/>
  <c r="CT132" i="20"/>
  <c r="CV136" i="20"/>
  <c r="CT136" i="20"/>
  <c r="EE91" i="20"/>
  <c r="ED91" i="20"/>
  <c r="EF91" i="20" s="1"/>
  <c r="CX189" i="20"/>
  <c r="CW189" i="20"/>
  <c r="CQ139" i="20"/>
  <c r="CB18" i="20"/>
  <c r="BX18" i="20"/>
  <c r="BT18" i="20"/>
  <c r="BP18" i="20"/>
  <c r="BN19" i="20" s="1"/>
  <c r="CJ18" i="20"/>
  <c r="CF18" i="20"/>
  <c r="CD19" i="20" s="1"/>
  <c r="BL18" i="20"/>
  <c r="CV168" i="20"/>
  <c r="CT168" i="20"/>
  <c r="CO34" i="20"/>
  <c r="CQ34" i="20" s="1"/>
  <c r="CP34" i="20"/>
  <c r="DL193" i="20"/>
  <c r="DK193" i="20"/>
  <c r="CO48" i="20"/>
  <c r="CP48" i="20"/>
  <c r="EE75" i="20"/>
  <c r="ED75" i="20"/>
  <c r="CX215" i="20"/>
  <c r="CW215" i="20"/>
  <c r="EE59" i="20"/>
  <c r="ED59" i="20"/>
  <c r="CP94" i="20"/>
  <c r="CO94" i="20"/>
  <c r="DM44" i="116"/>
  <c r="DL44" i="116"/>
  <c r="DK44" i="116"/>
  <c r="DJ44" i="116"/>
  <c r="DI44" i="116"/>
  <c r="DB44" i="116"/>
  <c r="DB86" i="116"/>
  <c r="DM86" i="116"/>
  <c r="DL86" i="116"/>
  <c r="DJ86" i="116"/>
  <c r="DK86" i="116"/>
  <c r="BK132" i="38"/>
  <c r="Q29" i="38" s="1"/>
  <c r="EE25" i="20"/>
  <c r="ED25" i="20"/>
  <c r="CP59" i="20"/>
  <c r="CO59" i="20"/>
  <c r="CX199" i="20"/>
  <c r="CW199" i="20"/>
  <c r="U37" i="40"/>
  <c r="V37" i="40" s="1"/>
  <c r="R37" i="40"/>
  <c r="S37" i="40" s="1"/>
  <c r="AT37" i="40"/>
  <c r="AR37" i="40" s="1"/>
  <c r="N37" i="40"/>
  <c r="AL37" i="40"/>
  <c r="AJ37" i="40" s="1"/>
  <c r="AP37" i="40"/>
  <c r="AN37" i="40" s="1"/>
  <c r="CQ182" i="20"/>
  <c r="BX7" i="56"/>
  <c r="BV7" i="56"/>
  <c r="CV164" i="20"/>
  <c r="CT164" i="20"/>
  <c r="EE12" i="20"/>
  <c r="ED12" i="20"/>
  <c r="EF12" i="20" s="1"/>
  <c r="DT24" i="20"/>
  <c r="DR24" i="20"/>
  <c r="EE31" i="20"/>
  <c r="ED31" i="20"/>
  <c r="CT211" i="20"/>
  <c r="CV211" i="20"/>
  <c r="BX60" i="56"/>
  <c r="BV60" i="56" s="1"/>
  <c r="BT60" i="56"/>
  <c r="BR60" i="56" s="1"/>
  <c r="P34" i="40"/>
  <c r="M34" i="40"/>
  <c r="CS195" i="20"/>
  <c r="CR195" i="20"/>
  <c r="ED78" i="20"/>
  <c r="EF78" i="20" s="1"/>
  <c r="EE78" i="20"/>
  <c r="CP116" i="20"/>
  <c r="CO116" i="20"/>
  <c r="CR14" i="20"/>
  <c r="P35" i="40"/>
  <c r="M35" i="40"/>
  <c r="ED51" i="20"/>
  <c r="EF51" i="20" s="1"/>
  <c r="EE51" i="20"/>
  <c r="DG139" i="20"/>
  <c r="DF139" i="20"/>
  <c r="CP84" i="20"/>
  <c r="CO84" i="20"/>
  <c r="DL205" i="20"/>
  <c r="DK205" i="20"/>
  <c r="AW84" i="56"/>
  <c r="EE11" i="20"/>
  <c r="ED11" i="20"/>
  <c r="CP53" i="20"/>
  <c r="CO53" i="20"/>
  <c r="CQ53" i="20" s="1"/>
  <c r="CS143" i="20"/>
  <c r="CR143" i="20"/>
  <c r="EE97" i="20"/>
  <c r="ED97" i="20"/>
  <c r="ED47" i="20"/>
  <c r="EE47" i="20"/>
  <c r="CO78" i="20"/>
  <c r="CP78" i="20"/>
  <c r="EE74" i="20"/>
  <c r="ED74" i="20"/>
  <c r="EF74" i="20" s="1"/>
  <c r="DG141" i="20"/>
  <c r="DF141" i="20"/>
  <c r="DE196" i="20"/>
  <c r="V79" i="56"/>
  <c r="Y79" i="56" s="1"/>
  <c r="I6" i="56" s="1"/>
  <c r="EE66" i="20"/>
  <c r="ED66" i="20"/>
  <c r="CV142" i="20"/>
  <c r="CT142" i="20"/>
  <c r="CP52" i="20"/>
  <c r="CO52" i="20"/>
  <c r="DM43" i="116"/>
  <c r="DI43" i="116" s="1"/>
  <c r="DL43" i="116"/>
  <c r="DK43" i="116"/>
  <c r="DJ43" i="116"/>
  <c r="DB43" i="116"/>
  <c r="DM46" i="116"/>
  <c r="DI46" i="116" s="1"/>
  <c r="DL46" i="116"/>
  <c r="DK46" i="116"/>
  <c r="DJ46" i="116"/>
  <c r="DB46" i="116"/>
  <c r="DB28" i="116"/>
  <c r="DL28" i="116"/>
  <c r="DK28" i="116"/>
  <c r="DJ28" i="116"/>
  <c r="DM28" i="116"/>
  <c r="DI28" i="116" s="1"/>
  <c r="DB55" i="116"/>
  <c r="DM55" i="116"/>
  <c r="DL55" i="116"/>
  <c r="DJ55" i="116"/>
  <c r="DI55" i="116"/>
  <c r="DK55" i="116"/>
  <c r="DB71" i="116"/>
  <c r="DM71" i="116"/>
  <c r="DL71" i="116"/>
  <c r="DJ71" i="116"/>
  <c r="DK71" i="116"/>
  <c r="DM87" i="116"/>
  <c r="DL87" i="116"/>
  <c r="DB87" i="116"/>
  <c r="DJ87" i="116"/>
  <c r="DI87" i="116"/>
  <c r="DK87" i="116"/>
  <c r="DM103" i="116"/>
  <c r="DI103" i="116" s="1"/>
  <c r="DL103" i="116"/>
  <c r="DK103" i="116"/>
  <c r="DJ103" i="116"/>
  <c r="DB103" i="116"/>
  <c r="DG191" i="20"/>
  <c r="DF191" i="20"/>
  <c r="A25" i="45"/>
  <c r="A10" i="45"/>
  <c r="AN81" i="56"/>
  <c r="AQ89" i="56" s="1"/>
  <c r="AS89" i="56" s="1"/>
  <c r="K8" i="56" s="1"/>
  <c r="M8" i="56" s="1"/>
  <c r="A6" i="112"/>
  <c r="A7" i="112"/>
  <c r="CP69" i="20"/>
  <c r="CO69" i="20"/>
  <c r="CQ155" i="20"/>
  <c r="CP27" i="20"/>
  <c r="CO27" i="20"/>
  <c r="CQ27" i="20" s="1"/>
  <c r="CO79" i="20"/>
  <c r="CP79" i="20"/>
  <c r="BP26" i="20"/>
  <c r="BN27" i="20" s="1"/>
  <c r="CJ26" i="20"/>
  <c r="BL26" i="20"/>
  <c r="CF26" i="20"/>
  <c r="CD27" i="20" s="1"/>
  <c r="CB26" i="20"/>
  <c r="BX26" i="20"/>
  <c r="BT26" i="20"/>
  <c r="EE96" i="20"/>
  <c r="ED96" i="20"/>
  <c r="CP114" i="20"/>
  <c r="CO114" i="20"/>
  <c r="CX220" i="20"/>
  <c r="CW220" i="20"/>
  <c r="EE70" i="20"/>
  <c r="ED70" i="20"/>
  <c r="DB35" i="116"/>
  <c r="DM35" i="116"/>
  <c r="DL35" i="116"/>
  <c r="DJ35" i="116"/>
  <c r="DI35" i="116"/>
  <c r="DK35" i="116"/>
  <c r="DB68" i="116"/>
  <c r="DM68" i="116"/>
  <c r="DI68" i="116" s="1"/>
  <c r="DL68" i="116"/>
  <c r="DJ68" i="116"/>
  <c r="DK68" i="116"/>
  <c r="DM100" i="116"/>
  <c r="DI100" i="116" s="1"/>
  <c r="DL100" i="116"/>
  <c r="DK100" i="116"/>
  <c r="DJ100" i="116"/>
  <c r="DB100" i="116"/>
  <c r="CS163" i="20"/>
  <c r="CR163" i="20"/>
  <c r="X19" i="113"/>
  <c r="X28" i="113"/>
  <c r="X18" i="113"/>
  <c r="X16" i="113"/>
  <c r="X26" i="113"/>
  <c r="X15" i="113"/>
  <c r="X25" i="113"/>
  <c r="X14" i="113"/>
  <c r="X13" i="113"/>
  <c r="X24" i="113"/>
  <c r="X12" i="113"/>
  <c r="X21" i="113"/>
  <c r="X20" i="113"/>
  <c r="X17" i="113"/>
  <c r="X27" i="113"/>
  <c r="X7" i="113"/>
  <c r="X23" i="113"/>
  <c r="X10" i="113"/>
  <c r="X9" i="113"/>
  <c r="X8" i="113"/>
  <c r="X11" i="113"/>
  <c r="X22" i="113"/>
  <c r="AN79" i="56"/>
  <c r="AQ87" i="56" s="1"/>
  <c r="AS87" i="56" s="1"/>
  <c r="K6" i="56" s="1"/>
  <c r="M6" i="56" s="1"/>
  <c r="CB15" i="20"/>
  <c r="BX15" i="20"/>
  <c r="BT15" i="20"/>
  <c r="BP15" i="20"/>
  <c r="BN16" i="20" s="1"/>
  <c r="CJ15" i="20"/>
  <c r="CF15" i="20"/>
  <c r="CD16" i="20" s="1"/>
  <c r="BL15" i="20"/>
  <c r="CV176" i="20"/>
  <c r="CT176" i="20"/>
  <c r="P23" i="40"/>
  <c r="M23" i="40"/>
  <c r="AT24" i="40"/>
  <c r="AR24" i="40" s="1"/>
  <c r="AP24" i="40"/>
  <c r="AN24" i="40" s="1"/>
  <c r="AL24" i="40"/>
  <c r="AJ24" i="40" s="1"/>
  <c r="U24" i="40"/>
  <c r="V24" i="40" s="1"/>
  <c r="R24" i="40"/>
  <c r="S24" i="40" s="1"/>
  <c r="N24" i="40"/>
  <c r="DK217" i="20"/>
  <c r="DL217" i="20"/>
  <c r="CS218" i="20"/>
  <c r="CR218" i="20"/>
  <c r="DB54" i="116"/>
  <c r="DM54" i="116"/>
  <c r="DI54" i="116" s="1"/>
  <c r="DL54" i="116"/>
  <c r="DJ54" i="116"/>
  <c r="DK54" i="116"/>
  <c r="DG202" i="20"/>
  <c r="DF202" i="20"/>
  <c r="CP44" i="20"/>
  <c r="CO44" i="20"/>
  <c r="CP26" i="20"/>
  <c r="CO26" i="20"/>
  <c r="CQ173" i="20"/>
  <c r="CQ202" i="20"/>
  <c r="BX66" i="56"/>
  <c r="BV66" i="56" s="1"/>
  <c r="BT66" i="56"/>
  <c r="BR66" i="56" s="1"/>
  <c r="BL7" i="20"/>
  <c r="CF7" i="20"/>
  <c r="CD8" i="20" s="1"/>
  <c r="CB7" i="20"/>
  <c r="BP7" i="20"/>
  <c r="BN8" i="20" s="1"/>
  <c r="BX7" i="20"/>
  <c r="BT7" i="20"/>
  <c r="CJ7" i="20"/>
  <c r="DR37" i="20"/>
  <c r="DT37" i="20"/>
  <c r="DL142" i="20"/>
  <c r="DK142" i="20"/>
  <c r="DE177" i="20"/>
  <c r="CP40" i="20"/>
  <c r="CO40" i="20"/>
  <c r="CQ40" i="20" s="1"/>
  <c r="P29" i="40"/>
  <c r="M29" i="40"/>
  <c r="EE21" i="20"/>
  <c r="ED21" i="20"/>
  <c r="DE212" i="20"/>
  <c r="DE188" i="20"/>
  <c r="L8" i="112"/>
  <c r="CQ198" i="20"/>
  <c r="DL229" i="20"/>
  <c r="DK229" i="20"/>
  <c r="BX24" i="40"/>
  <c r="DZ28" i="40"/>
  <c r="CO66" i="20"/>
  <c r="CP66" i="20"/>
  <c r="EE50" i="20"/>
  <c r="ED50" i="20"/>
  <c r="M21" i="40"/>
  <c r="P21" i="40"/>
  <c r="EE10" i="20"/>
  <c r="ED10" i="20"/>
  <c r="CQ167" i="20"/>
  <c r="CX203" i="20"/>
  <c r="CW203" i="20"/>
  <c r="BM10" i="116"/>
  <c r="AK14" i="116"/>
  <c r="BX12" i="56"/>
  <c r="BV12" i="56"/>
  <c r="DT26" i="20"/>
  <c r="DR26" i="20"/>
  <c r="CX197" i="20"/>
  <c r="CW197" i="20"/>
  <c r="EE32" i="20"/>
  <c r="ED32" i="20"/>
  <c r="EE14" i="20"/>
  <c r="ED14" i="20"/>
  <c r="EF14" i="20" s="1"/>
  <c r="CP35" i="20"/>
  <c r="CO35" i="20"/>
  <c r="EE30" i="20"/>
  <c r="ED30" i="20"/>
  <c r="AP4" i="116"/>
  <c r="AQ4" i="116" s="1"/>
  <c r="AR4" i="116" s="1"/>
  <c r="DM47" i="116"/>
  <c r="DI47" i="116" s="1"/>
  <c r="DL47" i="116"/>
  <c r="DK47" i="116"/>
  <c r="DJ47" i="116"/>
  <c r="DB47" i="116"/>
  <c r="DM48" i="116"/>
  <c r="DL48" i="116"/>
  <c r="DK48" i="116"/>
  <c r="DJ48" i="116"/>
  <c r="DB48" i="116"/>
  <c r="DB29" i="116"/>
  <c r="DL29" i="116"/>
  <c r="DK29" i="116"/>
  <c r="DJ29" i="116"/>
  <c r="DM29" i="116"/>
  <c r="DB56" i="116"/>
  <c r="DM56" i="116"/>
  <c r="DI56" i="116" s="1"/>
  <c r="DL56" i="116"/>
  <c r="DJ56" i="116"/>
  <c r="DK56" i="116"/>
  <c r="DB72" i="116"/>
  <c r="DM72" i="116"/>
  <c r="DL72" i="116"/>
  <c r="DJ72" i="116"/>
  <c r="DK72" i="116"/>
  <c r="DM88" i="116"/>
  <c r="DI88" i="116" s="1"/>
  <c r="DL88" i="116"/>
  <c r="DK88" i="116"/>
  <c r="DJ88" i="116"/>
  <c r="DB88" i="116"/>
  <c r="DM104" i="116"/>
  <c r="DI104" i="116" s="1"/>
  <c r="DL104" i="116"/>
  <c r="DK104" i="116"/>
  <c r="DJ104" i="116"/>
  <c r="DB104" i="116"/>
  <c r="BM11" i="116"/>
  <c r="P21" i="113"/>
  <c r="P19" i="113"/>
  <c r="P28" i="113"/>
  <c r="P18" i="113"/>
  <c r="P27" i="113"/>
  <c r="P17" i="113"/>
  <c r="P16" i="113"/>
  <c r="P26" i="113"/>
  <c r="P15" i="113"/>
  <c r="P8" i="113"/>
  <c r="P22" i="113"/>
  <c r="P7" i="113"/>
  <c r="P11" i="113"/>
  <c r="P12" i="113"/>
  <c r="P13" i="113"/>
  <c r="P14" i="113"/>
  <c r="P20" i="113"/>
  <c r="P25" i="113"/>
  <c r="P23" i="113"/>
  <c r="P10" i="113"/>
  <c r="P9" i="113"/>
  <c r="P24" i="113"/>
  <c r="CB10" i="20"/>
  <c r="BX10" i="20"/>
  <c r="BP10" i="20"/>
  <c r="BN11" i="20" s="1"/>
  <c r="BL10" i="20"/>
  <c r="CJ10" i="20"/>
  <c r="CF10" i="20"/>
  <c r="CD11" i="20" s="1"/>
  <c r="BT10" i="20"/>
  <c r="CV174" i="20"/>
  <c r="CT174" i="20"/>
  <c r="CP65" i="20"/>
  <c r="CO65" i="20"/>
  <c r="AH17" i="117"/>
  <c r="AH11" i="117"/>
  <c r="W84" i="56"/>
  <c r="Z84" i="56" s="1"/>
  <c r="J11" i="56" s="1"/>
  <c r="L11" i="56" s="1"/>
  <c r="CP67" i="20"/>
  <c r="CO67" i="20"/>
  <c r="CP115" i="20"/>
  <c r="CO115" i="20"/>
  <c r="DL168" i="20"/>
  <c r="DK168" i="20"/>
  <c r="AS6" i="112"/>
  <c r="AS7" i="112"/>
  <c r="DL164" i="20"/>
  <c r="DK164" i="20"/>
  <c r="CT193" i="20"/>
  <c r="CV193" i="20"/>
  <c r="DF222" i="20"/>
  <c r="DG222" i="20"/>
  <c r="CP99" i="20"/>
  <c r="CO99" i="20"/>
  <c r="DM40" i="116"/>
  <c r="DI40" i="116" s="1"/>
  <c r="DL40" i="116"/>
  <c r="DK40" i="116"/>
  <c r="DJ40" i="116"/>
  <c r="DB40" i="116"/>
  <c r="DB52" i="116"/>
  <c r="DM52" i="116"/>
  <c r="DL52" i="116"/>
  <c r="DJ52" i="116"/>
  <c r="DK52" i="116"/>
  <c r="DB84" i="116"/>
  <c r="DM84" i="116"/>
  <c r="DI84" i="116" s="1"/>
  <c r="DL84" i="116"/>
  <c r="DJ84" i="116"/>
  <c r="DK84" i="116"/>
  <c r="CT230" i="20"/>
  <c r="CV230" i="20"/>
  <c r="CS188" i="20"/>
  <c r="CR188" i="20"/>
  <c r="CP82" i="20"/>
  <c r="CO82" i="20"/>
  <c r="R31" i="40"/>
  <c r="S31" i="40" s="1"/>
  <c r="AT31" i="40"/>
  <c r="AR31" i="40" s="1"/>
  <c r="N31" i="40"/>
  <c r="AP31" i="40"/>
  <c r="AN31" i="40" s="1"/>
  <c r="AL31" i="40"/>
  <c r="AJ31" i="40" s="1"/>
  <c r="U31" i="40"/>
  <c r="V31" i="40" s="1"/>
  <c r="DG213" i="20"/>
  <c r="DF213" i="20"/>
  <c r="M10" i="40"/>
  <c r="P10" i="40"/>
  <c r="EE63" i="20"/>
  <c r="ED63" i="20"/>
  <c r="AT20" i="40"/>
  <c r="AR20" i="40" s="1"/>
  <c r="U20" i="40"/>
  <c r="V20" i="40" s="1"/>
  <c r="R20" i="40"/>
  <c r="S20" i="40" s="1"/>
  <c r="N20" i="40"/>
  <c r="AP20" i="40"/>
  <c r="AN20" i="40" s="1"/>
  <c r="AL20" i="40"/>
  <c r="AJ20" i="40" s="1"/>
  <c r="DG161" i="20"/>
  <c r="DF161" i="20"/>
  <c r="CP57" i="20"/>
  <c r="CO57" i="20"/>
  <c r="DB15" i="116"/>
  <c r="DL15" i="116"/>
  <c r="DK15" i="116"/>
  <c r="DJ15" i="116"/>
  <c r="DM15" i="116"/>
  <c r="DI15" i="116" s="1"/>
  <c r="DB70" i="116"/>
  <c r="DM70" i="116"/>
  <c r="DL70" i="116"/>
  <c r="DJ70" i="116"/>
  <c r="DI70" i="116"/>
  <c r="DK70" i="116"/>
  <c r="DM102" i="116"/>
  <c r="DI102" i="116" s="1"/>
  <c r="DL102" i="116"/>
  <c r="DK102" i="116"/>
  <c r="DJ102" i="116"/>
  <c r="DB102" i="116"/>
  <c r="DG163" i="20"/>
  <c r="DF163" i="20"/>
  <c r="P9" i="40"/>
  <c r="M9" i="40"/>
  <c r="ED60" i="20"/>
  <c r="EE60" i="20"/>
  <c r="EE61" i="20"/>
  <c r="ED61" i="20"/>
  <c r="EE33" i="20"/>
  <c r="ED33" i="20"/>
  <c r="CR20" i="20"/>
  <c r="CV154" i="20"/>
  <c r="CT154" i="20"/>
  <c r="CP49" i="20"/>
  <c r="CO49" i="20"/>
  <c r="CQ49" i="20" s="1"/>
  <c r="BX25" i="40"/>
  <c r="EA28" i="40"/>
  <c r="DE147" i="20"/>
  <c r="CO70" i="20"/>
  <c r="CP70" i="20"/>
  <c r="EE45" i="20"/>
  <c r="ED45" i="20"/>
  <c r="CQ151" i="20"/>
  <c r="C25" i="45"/>
  <c r="C10" i="45"/>
  <c r="CP76" i="20"/>
  <c r="CO76" i="20"/>
  <c r="CQ76" i="20" s="1"/>
  <c r="CP103" i="20"/>
  <c r="CO103" i="20"/>
  <c r="DE149" i="20"/>
  <c r="CF24" i="20"/>
  <c r="CD25" i="20" s="1"/>
  <c r="CB24" i="20"/>
  <c r="BX24" i="20"/>
  <c r="BT24" i="20"/>
  <c r="CJ24" i="20"/>
  <c r="BP24" i="20"/>
  <c r="BN25" i="20" s="1"/>
  <c r="BL24" i="20"/>
  <c r="DG186" i="20"/>
  <c r="DF186" i="20"/>
  <c r="DM49" i="116"/>
  <c r="DI49" i="116" s="1"/>
  <c r="DL49" i="116"/>
  <c r="DK49" i="116"/>
  <c r="DJ49" i="116"/>
  <c r="DB49" i="116"/>
  <c r="DM50" i="116"/>
  <c r="DI50" i="116" s="1"/>
  <c r="DJ50" i="116"/>
  <c r="DL50" i="116"/>
  <c r="DK50" i="116"/>
  <c r="DB50" i="116"/>
  <c r="DB22" i="116"/>
  <c r="DM22" i="116"/>
  <c r="DI22" i="116" s="1"/>
  <c r="DK22" i="116"/>
  <c r="DJ22" i="116"/>
  <c r="DL22" i="116"/>
  <c r="DB57" i="116"/>
  <c r="DM57" i="116"/>
  <c r="DI57" i="116" s="1"/>
  <c r="DL57" i="116"/>
  <c r="DJ57" i="116"/>
  <c r="DK57" i="116"/>
  <c r="DB73" i="116"/>
  <c r="DM73" i="116"/>
  <c r="DL73" i="116"/>
  <c r="DJ73" i="116"/>
  <c r="DK73" i="116"/>
  <c r="DM89" i="116"/>
  <c r="DI89" i="116" s="1"/>
  <c r="DL89" i="116"/>
  <c r="DK89" i="116"/>
  <c r="DJ89" i="116"/>
  <c r="DB89" i="116"/>
  <c r="DM105" i="116"/>
  <c r="DI105" i="116" s="1"/>
  <c r="DL105" i="116"/>
  <c r="DK105" i="116"/>
  <c r="DJ105" i="116"/>
  <c r="DB105" i="116"/>
  <c r="BX9" i="56"/>
  <c r="BV9" i="56"/>
  <c r="DK211" i="20"/>
  <c r="DL211" i="20"/>
  <c r="EE35" i="20"/>
  <c r="ED35" i="20"/>
  <c r="EF35" i="20" s="1"/>
  <c r="DE169" i="20"/>
  <c r="AL13" i="40"/>
  <c r="AJ13" i="40" s="1"/>
  <c r="AT13" i="40"/>
  <c r="AR13" i="40" s="1"/>
  <c r="U13" i="40"/>
  <c r="V13" i="40" s="1"/>
  <c r="R13" i="40"/>
  <c r="S13" i="40" s="1"/>
  <c r="N13" i="40"/>
  <c r="AP13" i="40"/>
  <c r="AN13" i="40" s="1"/>
  <c r="CV146" i="20"/>
  <c r="CT146" i="20"/>
  <c r="DG182" i="20"/>
  <c r="DF182" i="20"/>
  <c r="BX44" i="56"/>
  <c r="BV44" i="56" s="1"/>
  <c r="BT44" i="56"/>
  <c r="BR44" i="56" s="1"/>
  <c r="R12" i="40"/>
  <c r="S12" i="40" s="1"/>
  <c r="U12" i="40"/>
  <c r="V12" i="40" s="1"/>
  <c r="AT12" i="40"/>
  <c r="AR12" i="40" s="1"/>
  <c r="AL12" i="40"/>
  <c r="AJ12" i="40" s="1"/>
  <c r="N12" i="40"/>
  <c r="AP12" i="40"/>
  <c r="AN12" i="40" s="1"/>
  <c r="CB25" i="20"/>
  <c r="BX25" i="20"/>
  <c r="BP25" i="20"/>
  <c r="BN26" i="20" s="1"/>
  <c r="BL25" i="20"/>
  <c r="CJ25" i="20"/>
  <c r="BT25" i="20"/>
  <c r="CF25" i="20"/>
  <c r="CD26" i="20" s="1"/>
  <c r="CW16" i="20"/>
  <c r="CX16" i="20" s="1"/>
  <c r="CY16" i="20" s="1"/>
  <c r="DB16" i="20" s="1"/>
  <c r="CV172" i="20"/>
  <c r="CT172" i="20"/>
  <c r="CR17" i="20"/>
  <c r="CO30" i="20"/>
  <c r="CP30" i="20"/>
  <c r="DL174" i="20"/>
  <c r="DK174" i="20"/>
  <c r="BT64" i="56"/>
  <c r="BR64" i="56" s="1"/>
  <c r="BX64" i="56"/>
  <c r="BV64" i="56" s="1"/>
  <c r="DG192" i="20"/>
  <c r="DF192" i="20"/>
  <c r="BP32" i="20"/>
  <c r="BN33" i="20" s="1"/>
  <c r="CJ32" i="20"/>
  <c r="BL32" i="20"/>
  <c r="CF32" i="20"/>
  <c r="CD33" i="20" s="1"/>
  <c r="CB32" i="20"/>
  <c r="BX32" i="20"/>
  <c r="BT32" i="20"/>
  <c r="CP85" i="20"/>
  <c r="CO85" i="20"/>
  <c r="CX181" i="20"/>
  <c r="CW181" i="20"/>
  <c r="DL150" i="20"/>
  <c r="DK150" i="20"/>
  <c r="BX17" i="40"/>
  <c r="DS28" i="40"/>
  <c r="CQ194" i="20"/>
  <c r="EE52" i="20"/>
  <c r="ED52" i="20"/>
  <c r="CX219" i="20"/>
  <c r="CW219" i="20"/>
  <c r="DL158" i="20"/>
  <c r="DK158" i="20"/>
  <c r="BX14" i="40"/>
  <c r="DP28" i="40"/>
  <c r="CP104" i="20"/>
  <c r="CO104" i="20"/>
  <c r="CQ104" i="20" s="1"/>
  <c r="EH41" i="20"/>
  <c r="EG41" i="20"/>
  <c r="DM41" i="116"/>
  <c r="DL41" i="116"/>
  <c r="DK41" i="116"/>
  <c r="DJ41" i="116"/>
  <c r="DB41" i="116"/>
  <c r="DM24" i="116"/>
  <c r="DL24" i="116"/>
  <c r="DK24" i="116"/>
  <c r="DJ24" i="116"/>
  <c r="DI24" i="116"/>
  <c r="DB24" i="116"/>
  <c r="DB23" i="116"/>
  <c r="DM23" i="116"/>
  <c r="DI23" i="116" s="1"/>
  <c r="DL23" i="116"/>
  <c r="DK23" i="116"/>
  <c r="DJ23" i="116"/>
  <c r="DB58" i="116"/>
  <c r="DM58" i="116"/>
  <c r="DL58" i="116"/>
  <c r="DJ58" i="116"/>
  <c r="DK58" i="116"/>
  <c r="DB74" i="116"/>
  <c r="DM74" i="116"/>
  <c r="DI74" i="116" s="1"/>
  <c r="DL74" i="116"/>
  <c r="DJ74" i="116"/>
  <c r="DK74" i="116"/>
  <c r="DM90" i="116"/>
  <c r="DL90" i="116"/>
  <c r="DK90" i="116"/>
  <c r="DJ90" i="116"/>
  <c r="DI90" i="116"/>
  <c r="DB90" i="116"/>
  <c r="DM106" i="116"/>
  <c r="DI106" i="116" s="1"/>
  <c r="DL106" i="116"/>
  <c r="DK106" i="116"/>
  <c r="DJ106" i="116"/>
  <c r="DB106" i="116"/>
  <c r="BX37" i="56"/>
  <c r="BV37" i="56"/>
  <c r="EE81" i="20"/>
  <c r="ED81" i="20"/>
  <c r="EF81" i="20" s="1"/>
  <c r="V80" i="56"/>
  <c r="Y80" i="56" s="1"/>
  <c r="I7" i="56" s="1"/>
  <c r="EE108" i="20"/>
  <c r="ED108" i="20"/>
  <c r="DE135" i="20"/>
  <c r="CS205" i="20"/>
  <c r="CR205" i="20"/>
  <c r="DF210" i="20"/>
  <c r="DG210" i="20"/>
  <c r="EE49" i="20"/>
  <c r="ED49" i="20"/>
  <c r="EE100" i="20"/>
  <c r="ED100" i="20"/>
  <c r="EF100" i="20" s="1"/>
  <c r="CG5" i="116"/>
  <c r="H9" i="116"/>
  <c r="CP125" i="20"/>
  <c r="CO125" i="20"/>
  <c r="CQ125" i="20" s="1"/>
  <c r="CP93" i="20"/>
  <c r="CO93" i="20"/>
  <c r="CQ59" i="20" l="1"/>
  <c r="CQ94" i="20"/>
  <c r="CP50" i="20"/>
  <c r="CO50" i="20"/>
  <c r="CQ50" i="20" s="1"/>
  <c r="CO36" i="20"/>
  <c r="CP36" i="20"/>
  <c r="CO111" i="20"/>
  <c r="CP111" i="20"/>
  <c r="CR159" i="20"/>
  <c r="EF49" i="20"/>
  <c r="CQ57" i="20"/>
  <c r="EF40" i="20"/>
  <c r="EH40" i="20" s="1"/>
  <c r="CQ47" i="20"/>
  <c r="EF106" i="20"/>
  <c r="EF48" i="20"/>
  <c r="CQ80" i="20"/>
  <c r="CS80" i="20" s="1"/>
  <c r="CT80" i="20" s="1"/>
  <c r="CQ71" i="20"/>
  <c r="CP45" i="20"/>
  <c r="CO45" i="20"/>
  <c r="CQ45" i="20" s="1"/>
  <c r="DF140" i="20"/>
  <c r="DG140" i="20"/>
  <c r="DF156" i="20"/>
  <c r="DG156" i="20"/>
  <c r="AL11" i="116"/>
  <c r="AM11" i="116"/>
  <c r="AN11" i="116" s="1"/>
  <c r="CP39" i="20"/>
  <c r="CO39" i="20"/>
  <c r="CQ39" i="20" s="1"/>
  <c r="DF148" i="20"/>
  <c r="DG148" i="20"/>
  <c r="EF94" i="20"/>
  <c r="EF37" i="20"/>
  <c r="CX212" i="20"/>
  <c r="CW212" i="20"/>
  <c r="DF136" i="20"/>
  <c r="DG136" i="20"/>
  <c r="CQ79" i="20"/>
  <c r="EF93" i="20"/>
  <c r="EF76" i="20"/>
  <c r="CQ87" i="20"/>
  <c r="CQ54" i="20"/>
  <c r="EF58" i="20"/>
  <c r="CQ83" i="20"/>
  <c r="EF99" i="20"/>
  <c r="CS11" i="20"/>
  <c r="DD11" i="20" s="1"/>
  <c r="DI10" i="20" s="1"/>
  <c r="J10" i="20" s="1"/>
  <c r="CR148" i="20"/>
  <c r="CS148" i="20"/>
  <c r="CX178" i="20"/>
  <c r="CW178" i="20"/>
  <c r="CT222" i="20"/>
  <c r="CV222" i="20"/>
  <c r="CP31" i="20"/>
  <c r="CO31" i="20"/>
  <c r="DF152" i="20"/>
  <c r="DG152" i="20"/>
  <c r="CQ84" i="20"/>
  <c r="CQ63" i="20"/>
  <c r="EF95" i="20"/>
  <c r="EF104" i="20"/>
  <c r="CQ72" i="20"/>
  <c r="EF107" i="20"/>
  <c r="EH107" i="20" s="1"/>
  <c r="CQ82" i="20"/>
  <c r="AS8" i="112"/>
  <c r="CQ48" i="20"/>
  <c r="EF13" i="20"/>
  <c r="EH13" i="20" s="1"/>
  <c r="EF88" i="20"/>
  <c r="CQ58" i="20"/>
  <c r="EF89" i="20"/>
  <c r="CS170" i="20"/>
  <c r="CR170" i="20"/>
  <c r="CP89" i="20"/>
  <c r="CO89" i="20"/>
  <c r="DL178" i="20"/>
  <c r="DJ178" i="20" s="1"/>
  <c r="DK178" i="20"/>
  <c r="CT8" i="20"/>
  <c r="CS8" i="20"/>
  <c r="CX162" i="20"/>
  <c r="CW162" i="20"/>
  <c r="EF97" i="20"/>
  <c r="DF173" i="20"/>
  <c r="DL173" i="20" s="1"/>
  <c r="CT224" i="20"/>
  <c r="CV224" i="20"/>
  <c r="BX55" i="56"/>
  <c r="BV55" i="56" s="1"/>
  <c r="BT55" i="56"/>
  <c r="BR55" i="56" s="1"/>
  <c r="CP100" i="20"/>
  <c r="CO100" i="20"/>
  <c r="CQ115" i="20"/>
  <c r="EF30" i="20"/>
  <c r="CQ81" i="20"/>
  <c r="A8" i="117"/>
  <c r="CQ91" i="20"/>
  <c r="CQ41" i="20"/>
  <c r="CS41" i="20" s="1"/>
  <c r="CT41" i="20" s="1"/>
  <c r="CP33" i="20"/>
  <c r="CO33" i="20"/>
  <c r="CQ33" i="20" s="1"/>
  <c r="EF103" i="20"/>
  <c r="EH103" i="20" s="1"/>
  <c r="BM12" i="116"/>
  <c r="BO12" i="116" s="1"/>
  <c r="DF144" i="20"/>
  <c r="DG144" i="20"/>
  <c r="CP46" i="20"/>
  <c r="CO46" i="20"/>
  <c r="CT226" i="20"/>
  <c r="CV226" i="20"/>
  <c r="DF160" i="20"/>
  <c r="DG160" i="20"/>
  <c r="CW210" i="20"/>
  <c r="CX210" i="20"/>
  <c r="CW166" i="20"/>
  <c r="CX166" i="20"/>
  <c r="CQ67" i="20"/>
  <c r="CQ62" i="20"/>
  <c r="EF79" i="20"/>
  <c r="EH79" i="20" s="1"/>
  <c r="CQ105" i="20"/>
  <c r="CS105" i="20" s="1"/>
  <c r="CT105" i="20" s="1"/>
  <c r="CQ51" i="20"/>
  <c r="CQ64" i="20"/>
  <c r="CP108" i="20"/>
  <c r="CO108" i="20"/>
  <c r="EF10" i="20"/>
  <c r="EF86" i="20"/>
  <c r="CO55" i="20"/>
  <c r="CP55" i="20"/>
  <c r="J14" i="44"/>
  <c r="C15" i="44" s="1"/>
  <c r="DL182" i="20"/>
  <c r="DK182" i="20"/>
  <c r="DC104" i="116"/>
  <c r="DE104" i="116" s="1"/>
  <c r="DD104" i="116"/>
  <c r="EH14" i="20"/>
  <c r="EG14" i="20"/>
  <c r="CS167" i="20"/>
  <c r="CR167" i="20"/>
  <c r="CS198" i="20"/>
  <c r="CR198" i="20"/>
  <c r="CT220" i="20"/>
  <c r="CV220" i="20"/>
  <c r="CS79" i="20"/>
  <c r="CT79" i="20" s="1"/>
  <c r="CR79" i="20"/>
  <c r="DL191" i="20"/>
  <c r="DK191" i="20"/>
  <c r="DD46" i="116"/>
  <c r="DC46" i="116"/>
  <c r="DE46" i="116" s="1"/>
  <c r="EF66" i="20"/>
  <c r="EH51" i="20"/>
  <c r="EG51" i="20"/>
  <c r="EF75" i="20"/>
  <c r="E24" i="48"/>
  <c r="G24" i="48" s="1"/>
  <c r="I24" i="48" s="1"/>
  <c r="AL15" i="40"/>
  <c r="AJ15" i="40" s="1"/>
  <c r="AT15" i="40"/>
  <c r="AR15" i="40" s="1"/>
  <c r="N15" i="40"/>
  <c r="AP15" i="40"/>
  <c r="AN15" i="40" s="1"/>
  <c r="U15" i="40"/>
  <c r="V15" i="40" s="1"/>
  <c r="R15" i="40"/>
  <c r="S15" i="40" s="1"/>
  <c r="CS122" i="20"/>
  <c r="CT122" i="20" s="1"/>
  <c r="CR122" i="20"/>
  <c r="EH93" i="20"/>
  <c r="EG93" i="20"/>
  <c r="DJ134" i="20"/>
  <c r="DH134" i="20"/>
  <c r="DC31" i="116"/>
  <c r="DD31" i="116"/>
  <c r="EB12" i="116"/>
  <c r="DX12" i="116" s="1"/>
  <c r="EA12" i="116"/>
  <c r="DZ12" i="116"/>
  <c r="DY12" i="116"/>
  <c r="DQ12" i="116"/>
  <c r="DQ22" i="116"/>
  <c r="EB22" i="116"/>
  <c r="DX22" i="116" s="1"/>
  <c r="EA22" i="116"/>
  <c r="DY22" i="116"/>
  <c r="DZ22" i="116"/>
  <c r="EB42" i="116"/>
  <c r="EA42" i="116"/>
  <c r="DZ42" i="116"/>
  <c r="DY42" i="116"/>
  <c r="DQ42" i="116"/>
  <c r="DQ58" i="116"/>
  <c r="EB58" i="116"/>
  <c r="DX58" i="116" s="1"/>
  <c r="EA58" i="116"/>
  <c r="DZ58" i="116"/>
  <c r="DY58" i="116"/>
  <c r="DQ74" i="116"/>
  <c r="EB74" i="116"/>
  <c r="EA74" i="116"/>
  <c r="DZ74" i="116"/>
  <c r="DX74" i="116"/>
  <c r="DY74" i="116"/>
  <c r="DQ90" i="116"/>
  <c r="EB90" i="116"/>
  <c r="EA90" i="116"/>
  <c r="DY90" i="116"/>
  <c r="DZ90" i="116"/>
  <c r="DQ106" i="116"/>
  <c r="EB106" i="116"/>
  <c r="EA106" i="116"/>
  <c r="DY106" i="116"/>
  <c r="DX106" i="116"/>
  <c r="DZ106" i="116"/>
  <c r="F11" i="50"/>
  <c r="C12" i="50" s="1"/>
  <c r="DG159" i="20"/>
  <c r="DF159" i="20"/>
  <c r="DG167" i="20"/>
  <c r="DF167" i="20"/>
  <c r="DC91" i="116"/>
  <c r="DD91" i="116"/>
  <c r="DG183" i="20"/>
  <c r="DF183" i="20"/>
  <c r="DC95" i="116"/>
  <c r="DD95" i="116"/>
  <c r="CX161" i="20"/>
  <c r="CW161" i="20"/>
  <c r="DC16" i="116"/>
  <c r="DD16" i="116"/>
  <c r="Z33" i="116"/>
  <c r="BR7" i="116"/>
  <c r="DL216" i="20"/>
  <c r="DK216" i="20"/>
  <c r="DC110" i="116"/>
  <c r="DD110" i="116"/>
  <c r="CS72" i="20"/>
  <c r="CT72" i="20" s="1"/>
  <c r="CR72" i="20"/>
  <c r="EF62" i="20"/>
  <c r="DH219" i="20"/>
  <c r="DJ219" i="20"/>
  <c r="EH83" i="20"/>
  <c r="EG83" i="20"/>
  <c r="DG135" i="20"/>
  <c r="DF135" i="20"/>
  <c r="DL192" i="20"/>
  <c r="DK192" i="20"/>
  <c r="DC105" i="116"/>
  <c r="DD105" i="116"/>
  <c r="CQ70" i="20"/>
  <c r="EF60" i="20"/>
  <c r="CS82" i="20"/>
  <c r="CT82" i="20" s="1"/>
  <c r="CR82" i="20"/>
  <c r="DD72" i="116"/>
  <c r="DC72" i="116"/>
  <c r="DE72" i="116" s="1"/>
  <c r="EH10" i="20"/>
  <c r="EG10" i="20"/>
  <c r="L17" i="112"/>
  <c r="L11" i="112"/>
  <c r="BP34" i="20"/>
  <c r="BN35" i="20" s="1"/>
  <c r="CJ34" i="20"/>
  <c r="BL34" i="20"/>
  <c r="CF34" i="20"/>
  <c r="CD35" i="20" s="1"/>
  <c r="CB34" i="20"/>
  <c r="BX34" i="20"/>
  <c r="BT34" i="20"/>
  <c r="DL202" i="20"/>
  <c r="DK202" i="20"/>
  <c r="CS27" i="20"/>
  <c r="CT27" i="20" s="1"/>
  <c r="CR27" i="20"/>
  <c r="CS53" i="20"/>
  <c r="CT53" i="20" s="1"/>
  <c r="CR53" i="20"/>
  <c r="U35" i="40"/>
  <c r="V35" i="40" s="1"/>
  <c r="R35" i="40"/>
  <c r="S35" i="40" s="1"/>
  <c r="AL35" i="40"/>
  <c r="AJ35" i="40" s="1"/>
  <c r="AT35" i="40"/>
  <c r="AR35" i="40" s="1"/>
  <c r="N35" i="40"/>
  <c r="AP35" i="40"/>
  <c r="AN35" i="40" s="1"/>
  <c r="DC101" i="116"/>
  <c r="DD101" i="116"/>
  <c r="J23" i="48"/>
  <c r="C24" i="48" s="1"/>
  <c r="CT185" i="20"/>
  <c r="CV185" i="20"/>
  <c r="CS81" i="20"/>
  <c r="CT81" i="20" s="1"/>
  <c r="CR81" i="20"/>
  <c r="CX196" i="20"/>
  <c r="CW196" i="20"/>
  <c r="EH85" i="20"/>
  <c r="EG85" i="20"/>
  <c r="DG180" i="20"/>
  <c r="DF180" i="20"/>
  <c r="EF56" i="20"/>
  <c r="EB13" i="116"/>
  <c r="EA13" i="116"/>
  <c r="DZ13" i="116"/>
  <c r="DY13" i="116"/>
  <c r="DQ13" i="116"/>
  <c r="DQ23" i="116"/>
  <c r="EB23" i="116"/>
  <c r="DX23" i="116" s="1"/>
  <c r="DZ23" i="116"/>
  <c r="DY23" i="116"/>
  <c r="EA23" i="116"/>
  <c r="EB43" i="116"/>
  <c r="EA43" i="116"/>
  <c r="DZ43" i="116"/>
  <c r="DY43" i="116"/>
  <c r="DX43" i="116"/>
  <c r="DQ43" i="116"/>
  <c r="DQ59" i="116"/>
  <c r="EB59" i="116"/>
  <c r="DX59" i="116" s="1"/>
  <c r="EA59" i="116"/>
  <c r="DZ59" i="116"/>
  <c r="DY59" i="116"/>
  <c r="DQ75" i="116"/>
  <c r="EB75" i="116"/>
  <c r="EA75" i="116"/>
  <c r="DZ75" i="116"/>
  <c r="DX75" i="116"/>
  <c r="DY75" i="116"/>
  <c r="DQ91" i="116"/>
  <c r="EB91" i="116"/>
  <c r="EA91" i="116"/>
  <c r="DY91" i="116"/>
  <c r="DX91" i="116"/>
  <c r="DZ91" i="116"/>
  <c r="DQ107" i="116"/>
  <c r="EB107" i="116"/>
  <c r="EA107" i="116"/>
  <c r="DY107" i="116"/>
  <c r="DX107" i="116"/>
  <c r="DZ107" i="116"/>
  <c r="DD11" i="116"/>
  <c r="DC11" i="116"/>
  <c r="DE11" i="116" s="1"/>
  <c r="CS47" i="20"/>
  <c r="CT47" i="20" s="1"/>
  <c r="CR47" i="20"/>
  <c r="CS54" i="20"/>
  <c r="CT54" i="20" s="1"/>
  <c r="CR54" i="20"/>
  <c r="DD63" i="116"/>
  <c r="DC63" i="116"/>
  <c r="DI13" i="116"/>
  <c r="CK87" i="116"/>
  <c r="CK86" i="116"/>
  <c r="CK85" i="116"/>
  <c r="CK84" i="116"/>
  <c r="CK83" i="116"/>
  <c r="CK82" i="116"/>
  <c r="CK81" i="116"/>
  <c r="CK80" i="116"/>
  <c r="CK79" i="116"/>
  <c r="CK78" i="116"/>
  <c r="CK77" i="116"/>
  <c r="CK76" i="116"/>
  <c r="CK75" i="116"/>
  <c r="CK74" i="116"/>
  <c r="CK73" i="116"/>
  <c r="CK72" i="116"/>
  <c r="CK71" i="116"/>
  <c r="CK70" i="116"/>
  <c r="CK69" i="116"/>
  <c r="CK68" i="116"/>
  <c r="CK67" i="116"/>
  <c r="CK66" i="116"/>
  <c r="CK65" i="116"/>
  <c r="CK64" i="116"/>
  <c r="CK63" i="116"/>
  <c r="CK62" i="116"/>
  <c r="CK61" i="116"/>
  <c r="CK60" i="116"/>
  <c r="CK59" i="116"/>
  <c r="CK58" i="116"/>
  <c r="CK57" i="116"/>
  <c r="CK56" i="116"/>
  <c r="CK55" i="116"/>
  <c r="CK54" i="116"/>
  <c r="CK53" i="116"/>
  <c r="CK52" i="116"/>
  <c r="CK51" i="116"/>
  <c r="CK110" i="116"/>
  <c r="CK108" i="116"/>
  <c r="CK106" i="116"/>
  <c r="CK104" i="116"/>
  <c r="CK102" i="116"/>
  <c r="CK100" i="116"/>
  <c r="CK98" i="116"/>
  <c r="CK96" i="116"/>
  <c r="CK94" i="116"/>
  <c r="CK92" i="116"/>
  <c r="CK90" i="116"/>
  <c r="CK88" i="116"/>
  <c r="CK109" i="116"/>
  <c r="CK107" i="116"/>
  <c r="CK105" i="116"/>
  <c r="CK103" i="116"/>
  <c r="CK101" i="116"/>
  <c r="CK99" i="116"/>
  <c r="CK97" i="116"/>
  <c r="CK95" i="116"/>
  <c r="CK93" i="116"/>
  <c r="CK91" i="116"/>
  <c r="CK89" i="116"/>
  <c r="V25" i="116"/>
  <c r="CK22" i="116"/>
  <c r="CK29" i="116"/>
  <c r="CK28" i="116"/>
  <c r="CK15" i="116"/>
  <c r="CK36" i="116"/>
  <c r="CK35" i="116"/>
  <c r="CK34" i="116"/>
  <c r="CK33" i="116"/>
  <c r="CK21" i="116"/>
  <c r="CK27" i="116"/>
  <c r="CK26" i="116"/>
  <c r="CK25" i="116"/>
  <c r="X24" i="116"/>
  <c r="Z24" i="116" s="1"/>
  <c r="CK50" i="116"/>
  <c r="CK49" i="116"/>
  <c r="CK48" i="116"/>
  <c r="CK47" i="116"/>
  <c r="CK46" i="116"/>
  <c r="CK45" i="116"/>
  <c r="CK44" i="116"/>
  <c r="CK43" i="116"/>
  <c r="CK42" i="116"/>
  <c r="CK41" i="116"/>
  <c r="CK40" i="116"/>
  <c r="CK32" i="116"/>
  <c r="Z22" i="116"/>
  <c r="CK39" i="116"/>
  <c r="CK38" i="116"/>
  <c r="B37" i="116"/>
  <c r="CK24" i="116"/>
  <c r="CK30" i="116"/>
  <c r="CK23" i="116"/>
  <c r="CK31" i="116"/>
  <c r="CK20" i="116"/>
  <c r="CK18" i="116"/>
  <c r="CK16" i="116"/>
  <c r="CK13" i="116"/>
  <c r="CK12" i="116"/>
  <c r="CK11" i="116"/>
  <c r="CK37" i="116"/>
  <c r="CK19" i="116"/>
  <c r="CK17" i="116"/>
  <c r="CK14" i="116"/>
  <c r="H36" i="116"/>
  <c r="DD78" i="116"/>
  <c r="DC78" i="116"/>
  <c r="DI25" i="116"/>
  <c r="CS145" i="20"/>
  <c r="CR145" i="20"/>
  <c r="CS147" i="20"/>
  <c r="CR147" i="20"/>
  <c r="AM5" i="116"/>
  <c r="AN5" i="116" s="1"/>
  <c r="AL5" i="116"/>
  <c r="CX159" i="20"/>
  <c r="CW159" i="20"/>
  <c r="CR125" i="20"/>
  <c r="CS125" i="20"/>
  <c r="CT125" i="20" s="1"/>
  <c r="DD58" i="116"/>
  <c r="DC58" i="116"/>
  <c r="CS194" i="20"/>
  <c r="CR194" i="20"/>
  <c r="EF108" i="20"/>
  <c r="DD73" i="116"/>
  <c r="DC73" i="116"/>
  <c r="AT9" i="40"/>
  <c r="AR9" i="40" s="1"/>
  <c r="AP9" i="40"/>
  <c r="AN9" i="40" s="1"/>
  <c r="N9" i="40"/>
  <c r="AL9" i="40"/>
  <c r="AJ9" i="40" s="1"/>
  <c r="U9" i="40"/>
  <c r="V9" i="40" s="1"/>
  <c r="R9" i="40"/>
  <c r="S9" i="40" s="1"/>
  <c r="DJ164" i="20"/>
  <c r="DH164" i="20"/>
  <c r="EF32" i="20"/>
  <c r="DG188" i="20"/>
  <c r="DF188" i="20"/>
  <c r="DC103" i="116"/>
  <c r="DD103" i="116"/>
  <c r="EF31" i="20"/>
  <c r="DD86" i="116"/>
  <c r="DC86" i="116"/>
  <c r="DD69" i="116"/>
  <c r="DC69" i="116"/>
  <c r="CS135" i="20"/>
  <c r="CR135" i="20"/>
  <c r="EF68" i="20"/>
  <c r="BD3008" i="38"/>
  <c r="BE3008" i="38" s="1"/>
  <c r="BF3008" i="38" s="1"/>
  <c r="BG3008" i="38" s="1"/>
  <c r="BH3008" i="38" s="1"/>
  <c r="BD2992" i="38"/>
  <c r="BE2992" i="38" s="1"/>
  <c r="BF2992" i="38" s="1"/>
  <c r="BG2992" i="38" s="1"/>
  <c r="BH2992" i="38" s="1"/>
  <c r="BD2976" i="38"/>
  <c r="BE2976" i="38" s="1"/>
  <c r="BF2976" i="38" s="1"/>
  <c r="BG2976" i="38" s="1"/>
  <c r="BH2976" i="38" s="1"/>
  <c r="BD2960" i="38"/>
  <c r="BE2960" i="38" s="1"/>
  <c r="BF2960" i="38" s="1"/>
  <c r="BG2960" i="38" s="1"/>
  <c r="BH2960" i="38" s="1"/>
  <c r="BD2944" i="38"/>
  <c r="BE2944" i="38" s="1"/>
  <c r="BF2944" i="38" s="1"/>
  <c r="BG2944" i="38" s="1"/>
  <c r="BH2944" i="38" s="1"/>
  <c r="BD2928" i="38"/>
  <c r="BE2928" i="38" s="1"/>
  <c r="BF2928" i="38" s="1"/>
  <c r="BG2928" i="38" s="1"/>
  <c r="BH2928" i="38" s="1"/>
  <c r="BD2912" i="38"/>
  <c r="BE2912" i="38" s="1"/>
  <c r="BF2912" i="38" s="1"/>
  <c r="BG2912" i="38" s="1"/>
  <c r="BH2912" i="38" s="1"/>
  <c r="BD2896" i="38"/>
  <c r="BE2896" i="38" s="1"/>
  <c r="BF2896" i="38" s="1"/>
  <c r="BG2896" i="38" s="1"/>
  <c r="BH2896" i="38" s="1"/>
  <c r="BD2880" i="38"/>
  <c r="BE2880" i="38" s="1"/>
  <c r="BF2880" i="38" s="1"/>
  <c r="BG2880" i="38" s="1"/>
  <c r="BH2880" i="38" s="1"/>
  <c r="BD2864" i="38"/>
  <c r="BE2864" i="38" s="1"/>
  <c r="BF2864" i="38" s="1"/>
  <c r="BG2864" i="38" s="1"/>
  <c r="BH2864" i="38" s="1"/>
  <c r="BD2848" i="38"/>
  <c r="BE2848" i="38" s="1"/>
  <c r="BF2848" i="38" s="1"/>
  <c r="BG2848" i="38" s="1"/>
  <c r="BH2848" i="38" s="1"/>
  <c r="BD2832" i="38"/>
  <c r="BE2832" i="38" s="1"/>
  <c r="BF2832" i="38" s="1"/>
  <c r="BG2832" i="38" s="1"/>
  <c r="BH2832" i="38" s="1"/>
  <c r="BD2816" i="38"/>
  <c r="BE2816" i="38" s="1"/>
  <c r="BF2816" i="38" s="1"/>
  <c r="BG2816" i="38" s="1"/>
  <c r="BH2816" i="38" s="1"/>
  <c r="BD2800" i="38"/>
  <c r="BE2800" i="38" s="1"/>
  <c r="BF2800" i="38" s="1"/>
  <c r="BG2800" i="38" s="1"/>
  <c r="BH2800" i="38" s="1"/>
  <c r="BD2784" i="38"/>
  <c r="BE2784" i="38" s="1"/>
  <c r="BF2784" i="38" s="1"/>
  <c r="BG2784" i="38" s="1"/>
  <c r="BH2784" i="38" s="1"/>
  <c r="BD2768" i="38"/>
  <c r="BE2768" i="38" s="1"/>
  <c r="BF2768" i="38" s="1"/>
  <c r="BG2768" i="38" s="1"/>
  <c r="BH2768" i="38" s="1"/>
  <c r="BD3011" i="38"/>
  <c r="BE3011" i="38" s="1"/>
  <c r="BF3011" i="38" s="1"/>
  <c r="BG3011" i="38" s="1"/>
  <c r="BH3011" i="38" s="1"/>
  <c r="BD2995" i="38"/>
  <c r="BE2995" i="38" s="1"/>
  <c r="BF2995" i="38" s="1"/>
  <c r="BG2995" i="38" s="1"/>
  <c r="BH2995" i="38" s="1"/>
  <c r="BD2979" i="38"/>
  <c r="BE2979" i="38" s="1"/>
  <c r="BF2979" i="38" s="1"/>
  <c r="BG2979" i="38" s="1"/>
  <c r="BH2979" i="38" s="1"/>
  <c r="BD2963" i="38"/>
  <c r="BE2963" i="38" s="1"/>
  <c r="BF2963" i="38" s="1"/>
  <c r="BG2963" i="38" s="1"/>
  <c r="BH2963" i="38" s="1"/>
  <c r="BD2947" i="38"/>
  <c r="BE2947" i="38" s="1"/>
  <c r="BF2947" i="38" s="1"/>
  <c r="BG2947" i="38" s="1"/>
  <c r="BH2947" i="38" s="1"/>
  <c r="BD2931" i="38"/>
  <c r="BE2931" i="38" s="1"/>
  <c r="BF2931" i="38" s="1"/>
  <c r="BG2931" i="38" s="1"/>
  <c r="BH2931" i="38" s="1"/>
  <c r="BD2915" i="38"/>
  <c r="BE2915" i="38" s="1"/>
  <c r="BF2915" i="38" s="1"/>
  <c r="BG2915" i="38" s="1"/>
  <c r="BH2915" i="38" s="1"/>
  <c r="BD2899" i="38"/>
  <c r="BE2899" i="38" s="1"/>
  <c r="BF2899" i="38" s="1"/>
  <c r="BG2899" i="38" s="1"/>
  <c r="BH2899" i="38" s="1"/>
  <c r="BD2883" i="38"/>
  <c r="BE2883" i="38" s="1"/>
  <c r="BF2883" i="38" s="1"/>
  <c r="BG2883" i="38" s="1"/>
  <c r="BH2883" i="38" s="1"/>
  <c r="BD2867" i="38"/>
  <c r="BE2867" i="38" s="1"/>
  <c r="BF2867" i="38" s="1"/>
  <c r="BG2867" i="38" s="1"/>
  <c r="BH2867" i="38" s="1"/>
  <c r="BD2851" i="38"/>
  <c r="BE2851" i="38" s="1"/>
  <c r="BF2851" i="38" s="1"/>
  <c r="BG2851" i="38" s="1"/>
  <c r="BH2851" i="38" s="1"/>
  <c r="BD2835" i="38"/>
  <c r="BE2835" i="38" s="1"/>
  <c r="BF2835" i="38" s="1"/>
  <c r="BG2835" i="38" s="1"/>
  <c r="BH2835" i="38" s="1"/>
  <c r="BD2819" i="38"/>
  <c r="BE2819" i="38" s="1"/>
  <c r="BF2819" i="38" s="1"/>
  <c r="BG2819" i="38" s="1"/>
  <c r="BH2819" i="38" s="1"/>
  <c r="BD2803" i="38"/>
  <c r="BE2803" i="38" s="1"/>
  <c r="BF2803" i="38" s="1"/>
  <c r="BG2803" i="38" s="1"/>
  <c r="BH2803" i="38" s="1"/>
  <c r="BD2787" i="38"/>
  <c r="BE2787" i="38" s="1"/>
  <c r="BF2787" i="38" s="1"/>
  <c r="BG2787" i="38" s="1"/>
  <c r="BH2787" i="38" s="1"/>
  <c r="BD2998" i="38"/>
  <c r="BE2998" i="38" s="1"/>
  <c r="BF2998" i="38" s="1"/>
  <c r="BG2998" i="38" s="1"/>
  <c r="BH2998" i="38" s="1"/>
  <c r="BD2982" i="38"/>
  <c r="BE2982" i="38" s="1"/>
  <c r="BF2982" i="38" s="1"/>
  <c r="BG2982" i="38" s="1"/>
  <c r="BH2982" i="38" s="1"/>
  <c r="BD2966" i="38"/>
  <c r="BE2966" i="38" s="1"/>
  <c r="BF2966" i="38" s="1"/>
  <c r="BG2966" i="38" s="1"/>
  <c r="BH2966" i="38" s="1"/>
  <c r="BD2950" i="38"/>
  <c r="BE2950" i="38" s="1"/>
  <c r="BF2950" i="38" s="1"/>
  <c r="BG2950" i="38" s="1"/>
  <c r="BH2950" i="38" s="1"/>
  <c r="BD2934" i="38"/>
  <c r="BE2934" i="38" s="1"/>
  <c r="BF2934" i="38" s="1"/>
  <c r="BG2934" i="38" s="1"/>
  <c r="BH2934" i="38" s="1"/>
  <c r="BD2918" i="38"/>
  <c r="BE2918" i="38" s="1"/>
  <c r="BF2918" i="38" s="1"/>
  <c r="BG2918" i="38" s="1"/>
  <c r="BH2918" i="38" s="1"/>
  <c r="BD2902" i="38"/>
  <c r="BE2902" i="38" s="1"/>
  <c r="BF2902" i="38" s="1"/>
  <c r="BG2902" i="38" s="1"/>
  <c r="BH2902" i="38" s="1"/>
  <c r="BD2886" i="38"/>
  <c r="BE2886" i="38" s="1"/>
  <c r="BF2886" i="38" s="1"/>
  <c r="BG2886" i="38" s="1"/>
  <c r="BH2886" i="38" s="1"/>
  <c r="BD2870" i="38"/>
  <c r="BE2870" i="38" s="1"/>
  <c r="BF2870" i="38" s="1"/>
  <c r="BG2870" i="38" s="1"/>
  <c r="BH2870" i="38" s="1"/>
  <c r="BD2854" i="38"/>
  <c r="BE2854" i="38" s="1"/>
  <c r="BF2854" i="38" s="1"/>
  <c r="BG2854" i="38" s="1"/>
  <c r="BH2854" i="38" s="1"/>
  <c r="BD2838" i="38"/>
  <c r="BE2838" i="38" s="1"/>
  <c r="BF2838" i="38" s="1"/>
  <c r="BG2838" i="38" s="1"/>
  <c r="BH2838" i="38" s="1"/>
  <c r="BD2822" i="38"/>
  <c r="BE2822" i="38" s="1"/>
  <c r="BF2822" i="38" s="1"/>
  <c r="BG2822" i="38" s="1"/>
  <c r="BH2822" i="38" s="1"/>
  <c r="BD2806" i="38"/>
  <c r="BE2806" i="38" s="1"/>
  <c r="BF2806" i="38" s="1"/>
  <c r="BG2806" i="38" s="1"/>
  <c r="BH2806" i="38" s="1"/>
  <c r="BD2790" i="38"/>
  <c r="BE2790" i="38" s="1"/>
  <c r="BF2790" i="38" s="1"/>
  <c r="BG2790" i="38" s="1"/>
  <c r="BH2790" i="38" s="1"/>
  <c r="BD2774" i="38"/>
  <c r="BE2774" i="38" s="1"/>
  <c r="BF2774" i="38" s="1"/>
  <c r="BG2774" i="38" s="1"/>
  <c r="BH2774" i="38" s="1"/>
  <c r="BD3001" i="38"/>
  <c r="BE3001" i="38" s="1"/>
  <c r="BF3001" i="38" s="1"/>
  <c r="BG3001" i="38" s="1"/>
  <c r="BH3001" i="38" s="1"/>
  <c r="BD2985" i="38"/>
  <c r="BE2985" i="38" s="1"/>
  <c r="BF2985" i="38" s="1"/>
  <c r="BG2985" i="38" s="1"/>
  <c r="BH2985" i="38" s="1"/>
  <c r="BD2969" i="38"/>
  <c r="BE2969" i="38" s="1"/>
  <c r="BF2969" i="38" s="1"/>
  <c r="BG2969" i="38" s="1"/>
  <c r="BH2969" i="38" s="1"/>
  <c r="BD2953" i="38"/>
  <c r="BE2953" i="38" s="1"/>
  <c r="BF2953" i="38" s="1"/>
  <c r="BG2953" i="38" s="1"/>
  <c r="BH2953" i="38" s="1"/>
  <c r="BD2937" i="38"/>
  <c r="BE2937" i="38" s="1"/>
  <c r="BF2937" i="38" s="1"/>
  <c r="BG2937" i="38" s="1"/>
  <c r="BH2937" i="38" s="1"/>
  <c r="BD2921" i="38"/>
  <c r="BE2921" i="38" s="1"/>
  <c r="BF2921" i="38" s="1"/>
  <c r="BG2921" i="38" s="1"/>
  <c r="BH2921" i="38" s="1"/>
  <c r="BD2905" i="38"/>
  <c r="BE2905" i="38" s="1"/>
  <c r="BF2905" i="38" s="1"/>
  <c r="BG2905" i="38" s="1"/>
  <c r="BH2905" i="38" s="1"/>
  <c r="BD2889" i="38"/>
  <c r="BE2889" i="38" s="1"/>
  <c r="BF2889" i="38" s="1"/>
  <c r="BG2889" i="38" s="1"/>
  <c r="BH2889" i="38" s="1"/>
  <c r="BD2873" i="38"/>
  <c r="BE2873" i="38" s="1"/>
  <c r="BF2873" i="38" s="1"/>
  <c r="BG2873" i="38" s="1"/>
  <c r="BH2873" i="38" s="1"/>
  <c r="BD2857" i="38"/>
  <c r="BE2857" i="38" s="1"/>
  <c r="BF2857" i="38" s="1"/>
  <c r="BG2857" i="38" s="1"/>
  <c r="BH2857" i="38" s="1"/>
  <c r="BD2841" i="38"/>
  <c r="BE2841" i="38" s="1"/>
  <c r="BF2841" i="38" s="1"/>
  <c r="BG2841" i="38" s="1"/>
  <c r="BH2841" i="38" s="1"/>
  <c r="BD2825" i="38"/>
  <c r="BE2825" i="38" s="1"/>
  <c r="BF2825" i="38" s="1"/>
  <c r="BG2825" i="38" s="1"/>
  <c r="BH2825" i="38" s="1"/>
  <c r="BD2809" i="38"/>
  <c r="BE2809" i="38" s="1"/>
  <c r="BF2809" i="38" s="1"/>
  <c r="BG2809" i="38" s="1"/>
  <c r="BH2809" i="38" s="1"/>
  <c r="BD2793" i="38"/>
  <c r="BE2793" i="38" s="1"/>
  <c r="BF2793" i="38" s="1"/>
  <c r="BG2793" i="38" s="1"/>
  <c r="BH2793" i="38" s="1"/>
  <c r="BD2777" i="38"/>
  <c r="BE2777" i="38" s="1"/>
  <c r="BF2777" i="38" s="1"/>
  <c r="BG2777" i="38" s="1"/>
  <c r="BH2777" i="38" s="1"/>
  <c r="BD3004" i="38"/>
  <c r="BE3004" i="38" s="1"/>
  <c r="BF3004" i="38" s="1"/>
  <c r="BG3004" i="38" s="1"/>
  <c r="BH3004" i="38" s="1"/>
  <c r="BD2988" i="38"/>
  <c r="BE2988" i="38" s="1"/>
  <c r="BF2988" i="38" s="1"/>
  <c r="BG2988" i="38" s="1"/>
  <c r="BH2988" i="38" s="1"/>
  <c r="BD2972" i="38"/>
  <c r="BE2972" i="38" s="1"/>
  <c r="BF2972" i="38" s="1"/>
  <c r="BG2972" i="38" s="1"/>
  <c r="BH2972" i="38" s="1"/>
  <c r="BD2956" i="38"/>
  <c r="BE2956" i="38" s="1"/>
  <c r="BF2956" i="38" s="1"/>
  <c r="BG2956" i="38" s="1"/>
  <c r="BH2956" i="38" s="1"/>
  <c r="BD2940" i="38"/>
  <c r="BE2940" i="38" s="1"/>
  <c r="BF2940" i="38" s="1"/>
  <c r="BG2940" i="38" s="1"/>
  <c r="BH2940" i="38" s="1"/>
  <c r="BD2924" i="38"/>
  <c r="BE2924" i="38" s="1"/>
  <c r="BF2924" i="38" s="1"/>
  <c r="BG2924" i="38" s="1"/>
  <c r="BH2924" i="38" s="1"/>
  <c r="BD2908" i="38"/>
  <c r="BE2908" i="38" s="1"/>
  <c r="BF2908" i="38" s="1"/>
  <c r="BG2908" i="38" s="1"/>
  <c r="BH2908" i="38" s="1"/>
  <c r="BD2892" i="38"/>
  <c r="BE2892" i="38" s="1"/>
  <c r="BF2892" i="38" s="1"/>
  <c r="BG2892" i="38" s="1"/>
  <c r="BH2892" i="38" s="1"/>
  <c r="BD2876" i="38"/>
  <c r="BE2876" i="38" s="1"/>
  <c r="BF2876" i="38" s="1"/>
  <c r="BG2876" i="38" s="1"/>
  <c r="BH2876" i="38" s="1"/>
  <c r="BD2860" i="38"/>
  <c r="BE2860" i="38" s="1"/>
  <c r="BF2860" i="38" s="1"/>
  <c r="BG2860" i="38" s="1"/>
  <c r="BH2860" i="38" s="1"/>
  <c r="BD2844" i="38"/>
  <c r="BE2844" i="38" s="1"/>
  <c r="BF2844" i="38" s="1"/>
  <c r="BG2844" i="38" s="1"/>
  <c r="BH2844" i="38" s="1"/>
  <c r="BD2828" i="38"/>
  <c r="BE2828" i="38" s="1"/>
  <c r="BF2828" i="38" s="1"/>
  <c r="BG2828" i="38" s="1"/>
  <c r="BH2828" i="38" s="1"/>
  <c r="BD2812" i="38"/>
  <c r="BE2812" i="38" s="1"/>
  <c r="BF2812" i="38" s="1"/>
  <c r="BG2812" i="38" s="1"/>
  <c r="BH2812" i="38" s="1"/>
  <c r="BD2796" i="38"/>
  <c r="BE2796" i="38" s="1"/>
  <c r="BF2796" i="38" s="1"/>
  <c r="BG2796" i="38" s="1"/>
  <c r="BH2796" i="38" s="1"/>
  <c r="BD2780" i="38"/>
  <c r="BE2780" i="38" s="1"/>
  <c r="BF2780" i="38" s="1"/>
  <c r="BG2780" i="38" s="1"/>
  <c r="BH2780" i="38" s="1"/>
  <c r="BD3007" i="38"/>
  <c r="BE3007" i="38" s="1"/>
  <c r="BF3007" i="38" s="1"/>
  <c r="BG3007" i="38" s="1"/>
  <c r="BH3007" i="38" s="1"/>
  <c r="BD2991" i="38"/>
  <c r="BE2991" i="38" s="1"/>
  <c r="BF2991" i="38" s="1"/>
  <c r="BG2991" i="38" s="1"/>
  <c r="BH2991" i="38" s="1"/>
  <c r="BD2975" i="38"/>
  <c r="BE2975" i="38" s="1"/>
  <c r="BF2975" i="38" s="1"/>
  <c r="BG2975" i="38" s="1"/>
  <c r="BH2975" i="38" s="1"/>
  <c r="BD2959" i="38"/>
  <c r="BE2959" i="38" s="1"/>
  <c r="BF2959" i="38" s="1"/>
  <c r="BG2959" i="38" s="1"/>
  <c r="BH2959" i="38" s="1"/>
  <c r="BD2943" i="38"/>
  <c r="BE2943" i="38" s="1"/>
  <c r="BF2943" i="38" s="1"/>
  <c r="BG2943" i="38" s="1"/>
  <c r="BH2943" i="38" s="1"/>
  <c r="BD2927" i="38"/>
  <c r="BE2927" i="38" s="1"/>
  <c r="BF2927" i="38" s="1"/>
  <c r="BG2927" i="38" s="1"/>
  <c r="BH2927" i="38" s="1"/>
  <c r="BD2911" i="38"/>
  <c r="BE2911" i="38" s="1"/>
  <c r="BF2911" i="38" s="1"/>
  <c r="BG2911" i="38" s="1"/>
  <c r="BH2911" i="38" s="1"/>
  <c r="BD2895" i="38"/>
  <c r="BE2895" i="38" s="1"/>
  <c r="BF2895" i="38" s="1"/>
  <c r="BG2895" i="38" s="1"/>
  <c r="BH2895" i="38" s="1"/>
  <c r="BD2879" i="38"/>
  <c r="BE2879" i="38" s="1"/>
  <c r="BF2879" i="38" s="1"/>
  <c r="BG2879" i="38" s="1"/>
  <c r="BH2879" i="38" s="1"/>
  <c r="BD2863" i="38"/>
  <c r="BE2863" i="38" s="1"/>
  <c r="BF2863" i="38" s="1"/>
  <c r="BG2863" i="38" s="1"/>
  <c r="BH2863" i="38" s="1"/>
  <c r="BD2847" i="38"/>
  <c r="BE2847" i="38" s="1"/>
  <c r="BF2847" i="38" s="1"/>
  <c r="BG2847" i="38" s="1"/>
  <c r="BH2847" i="38" s="1"/>
  <c r="BD2831" i="38"/>
  <c r="BE2831" i="38" s="1"/>
  <c r="BF2831" i="38" s="1"/>
  <c r="BG2831" i="38" s="1"/>
  <c r="BH2831" i="38" s="1"/>
  <c r="BD2815" i="38"/>
  <c r="BE2815" i="38" s="1"/>
  <c r="BF2815" i="38" s="1"/>
  <c r="BG2815" i="38" s="1"/>
  <c r="BH2815" i="38" s="1"/>
  <c r="BD2799" i="38"/>
  <c r="BE2799" i="38" s="1"/>
  <c r="BF2799" i="38" s="1"/>
  <c r="BG2799" i="38" s="1"/>
  <c r="BH2799" i="38" s="1"/>
  <c r="BD2783" i="38"/>
  <c r="BE2783" i="38" s="1"/>
  <c r="BF2783" i="38" s="1"/>
  <c r="BG2783" i="38" s="1"/>
  <c r="BH2783" i="38" s="1"/>
  <c r="BD2767" i="38"/>
  <c r="BE2767" i="38" s="1"/>
  <c r="BF2767" i="38" s="1"/>
  <c r="BG2767" i="38" s="1"/>
  <c r="BH2767" i="38" s="1"/>
  <c r="BD3010" i="38"/>
  <c r="BE3010" i="38" s="1"/>
  <c r="BF3010" i="38" s="1"/>
  <c r="BG3010" i="38" s="1"/>
  <c r="BH3010" i="38" s="1"/>
  <c r="BD2994" i="38"/>
  <c r="BE2994" i="38" s="1"/>
  <c r="BF2994" i="38" s="1"/>
  <c r="BG2994" i="38" s="1"/>
  <c r="BH2994" i="38" s="1"/>
  <c r="BD2978" i="38"/>
  <c r="BE2978" i="38" s="1"/>
  <c r="BF2978" i="38" s="1"/>
  <c r="BG2978" i="38" s="1"/>
  <c r="BH2978" i="38" s="1"/>
  <c r="BD2962" i="38"/>
  <c r="BE2962" i="38" s="1"/>
  <c r="BF2962" i="38" s="1"/>
  <c r="BG2962" i="38" s="1"/>
  <c r="BH2962" i="38" s="1"/>
  <c r="BD2946" i="38"/>
  <c r="BE2946" i="38" s="1"/>
  <c r="BF2946" i="38" s="1"/>
  <c r="BG2946" i="38" s="1"/>
  <c r="BH2946" i="38" s="1"/>
  <c r="BD2930" i="38"/>
  <c r="BE2930" i="38" s="1"/>
  <c r="BF2930" i="38" s="1"/>
  <c r="BG2930" i="38" s="1"/>
  <c r="BH2930" i="38" s="1"/>
  <c r="BD2914" i="38"/>
  <c r="BE2914" i="38" s="1"/>
  <c r="BF2914" i="38" s="1"/>
  <c r="BG2914" i="38" s="1"/>
  <c r="BH2914" i="38" s="1"/>
  <c r="BD2898" i="38"/>
  <c r="BE2898" i="38" s="1"/>
  <c r="BF2898" i="38" s="1"/>
  <c r="BG2898" i="38" s="1"/>
  <c r="BH2898" i="38" s="1"/>
  <c r="BD2882" i="38"/>
  <c r="BE2882" i="38" s="1"/>
  <c r="BF2882" i="38" s="1"/>
  <c r="BG2882" i="38" s="1"/>
  <c r="BH2882" i="38" s="1"/>
  <c r="BD2866" i="38"/>
  <c r="BE2866" i="38" s="1"/>
  <c r="BF2866" i="38" s="1"/>
  <c r="BG2866" i="38" s="1"/>
  <c r="BH2866" i="38" s="1"/>
  <c r="BD2850" i="38"/>
  <c r="BE2850" i="38" s="1"/>
  <c r="BF2850" i="38" s="1"/>
  <c r="BG2850" i="38" s="1"/>
  <c r="BH2850" i="38" s="1"/>
  <c r="BD2834" i="38"/>
  <c r="BE2834" i="38" s="1"/>
  <c r="BF2834" i="38" s="1"/>
  <c r="BG2834" i="38" s="1"/>
  <c r="BH2834" i="38" s="1"/>
  <c r="BD2818" i="38"/>
  <c r="BE2818" i="38" s="1"/>
  <c r="BF2818" i="38" s="1"/>
  <c r="BG2818" i="38" s="1"/>
  <c r="BH2818" i="38" s="1"/>
  <c r="BD2802" i="38"/>
  <c r="BE2802" i="38" s="1"/>
  <c r="BF2802" i="38" s="1"/>
  <c r="BG2802" i="38" s="1"/>
  <c r="BH2802" i="38" s="1"/>
  <c r="BD2786" i="38"/>
  <c r="BE2786" i="38" s="1"/>
  <c r="BF2786" i="38" s="1"/>
  <c r="BG2786" i="38" s="1"/>
  <c r="BH2786" i="38" s="1"/>
  <c r="BD2770" i="38"/>
  <c r="BE2770" i="38" s="1"/>
  <c r="BF2770" i="38" s="1"/>
  <c r="BG2770" i="38" s="1"/>
  <c r="BH2770" i="38" s="1"/>
  <c r="BD2997" i="38"/>
  <c r="BE2997" i="38" s="1"/>
  <c r="BF2997" i="38" s="1"/>
  <c r="BG2997" i="38" s="1"/>
  <c r="BH2997" i="38" s="1"/>
  <c r="BD2981" i="38"/>
  <c r="BE2981" i="38" s="1"/>
  <c r="BF2981" i="38" s="1"/>
  <c r="BG2981" i="38" s="1"/>
  <c r="BH2981" i="38" s="1"/>
  <c r="BD2965" i="38"/>
  <c r="BE2965" i="38" s="1"/>
  <c r="BF2965" i="38" s="1"/>
  <c r="BG2965" i="38" s="1"/>
  <c r="BH2965" i="38" s="1"/>
  <c r="BD2949" i="38"/>
  <c r="BE2949" i="38" s="1"/>
  <c r="BF2949" i="38" s="1"/>
  <c r="BG2949" i="38" s="1"/>
  <c r="BH2949" i="38" s="1"/>
  <c r="BD2933" i="38"/>
  <c r="BE2933" i="38" s="1"/>
  <c r="BF2933" i="38" s="1"/>
  <c r="BG2933" i="38" s="1"/>
  <c r="BH2933" i="38" s="1"/>
  <c r="BD2917" i="38"/>
  <c r="BE2917" i="38" s="1"/>
  <c r="BF2917" i="38" s="1"/>
  <c r="BG2917" i="38" s="1"/>
  <c r="BH2917" i="38" s="1"/>
  <c r="BD2901" i="38"/>
  <c r="BE2901" i="38" s="1"/>
  <c r="BF2901" i="38" s="1"/>
  <c r="BG2901" i="38" s="1"/>
  <c r="BH2901" i="38" s="1"/>
  <c r="BD2885" i="38"/>
  <c r="BE2885" i="38" s="1"/>
  <c r="BF2885" i="38" s="1"/>
  <c r="BG2885" i="38" s="1"/>
  <c r="BH2885" i="38" s="1"/>
  <c r="BD2869" i="38"/>
  <c r="BE2869" i="38" s="1"/>
  <c r="BF2869" i="38" s="1"/>
  <c r="BG2869" i="38" s="1"/>
  <c r="BH2869" i="38" s="1"/>
  <c r="BD2853" i="38"/>
  <c r="BE2853" i="38" s="1"/>
  <c r="BF2853" i="38" s="1"/>
  <c r="BG2853" i="38" s="1"/>
  <c r="BH2853" i="38" s="1"/>
  <c r="BD2837" i="38"/>
  <c r="BE2837" i="38" s="1"/>
  <c r="BF2837" i="38" s="1"/>
  <c r="BG2837" i="38" s="1"/>
  <c r="BH2837" i="38" s="1"/>
  <c r="BD2821" i="38"/>
  <c r="BE2821" i="38" s="1"/>
  <c r="BF2821" i="38" s="1"/>
  <c r="BG2821" i="38" s="1"/>
  <c r="BH2821" i="38" s="1"/>
  <c r="BD2805" i="38"/>
  <c r="BE2805" i="38" s="1"/>
  <c r="BF2805" i="38" s="1"/>
  <c r="BG2805" i="38" s="1"/>
  <c r="BH2805" i="38" s="1"/>
  <c r="BD2789" i="38"/>
  <c r="BE2789" i="38" s="1"/>
  <c r="BF2789" i="38" s="1"/>
  <c r="BG2789" i="38" s="1"/>
  <c r="BH2789" i="38" s="1"/>
  <c r="BD2773" i="38"/>
  <c r="BE2773" i="38" s="1"/>
  <c r="BF2773" i="38" s="1"/>
  <c r="BG2773" i="38" s="1"/>
  <c r="BH2773" i="38" s="1"/>
  <c r="BD3003" i="38"/>
  <c r="BE3003" i="38" s="1"/>
  <c r="BF3003" i="38" s="1"/>
  <c r="BG3003" i="38" s="1"/>
  <c r="BH3003" i="38" s="1"/>
  <c r="BD2987" i="38"/>
  <c r="BE2987" i="38" s="1"/>
  <c r="BF2987" i="38" s="1"/>
  <c r="BG2987" i="38" s="1"/>
  <c r="BH2987" i="38" s="1"/>
  <c r="BD2971" i="38"/>
  <c r="BE2971" i="38" s="1"/>
  <c r="BF2971" i="38" s="1"/>
  <c r="BG2971" i="38" s="1"/>
  <c r="BH2971" i="38" s="1"/>
  <c r="BD2955" i="38"/>
  <c r="BE2955" i="38" s="1"/>
  <c r="BF2955" i="38" s="1"/>
  <c r="BG2955" i="38" s="1"/>
  <c r="BH2955" i="38" s="1"/>
  <c r="BD2939" i="38"/>
  <c r="BE2939" i="38" s="1"/>
  <c r="BF2939" i="38" s="1"/>
  <c r="BG2939" i="38" s="1"/>
  <c r="BH2939" i="38" s="1"/>
  <c r="BD2923" i="38"/>
  <c r="BE2923" i="38" s="1"/>
  <c r="BF2923" i="38" s="1"/>
  <c r="BG2923" i="38" s="1"/>
  <c r="BH2923" i="38" s="1"/>
  <c r="BD2907" i="38"/>
  <c r="BE2907" i="38" s="1"/>
  <c r="BF2907" i="38" s="1"/>
  <c r="BG2907" i="38" s="1"/>
  <c r="BH2907" i="38" s="1"/>
  <c r="BD2891" i="38"/>
  <c r="BE2891" i="38" s="1"/>
  <c r="BF2891" i="38" s="1"/>
  <c r="BG2891" i="38" s="1"/>
  <c r="BH2891" i="38" s="1"/>
  <c r="BD2875" i="38"/>
  <c r="BE2875" i="38" s="1"/>
  <c r="BF2875" i="38" s="1"/>
  <c r="BG2875" i="38" s="1"/>
  <c r="BH2875" i="38" s="1"/>
  <c r="BD3006" i="38"/>
  <c r="BE3006" i="38" s="1"/>
  <c r="BF3006" i="38" s="1"/>
  <c r="BG3006" i="38" s="1"/>
  <c r="BH3006" i="38" s="1"/>
  <c r="BD2990" i="38"/>
  <c r="BE2990" i="38" s="1"/>
  <c r="BF2990" i="38" s="1"/>
  <c r="BG2990" i="38" s="1"/>
  <c r="BH2990" i="38" s="1"/>
  <c r="BD2974" i="38"/>
  <c r="BE2974" i="38" s="1"/>
  <c r="BF2974" i="38" s="1"/>
  <c r="BG2974" i="38" s="1"/>
  <c r="BH2974" i="38" s="1"/>
  <c r="BD2958" i="38"/>
  <c r="BE2958" i="38" s="1"/>
  <c r="BF2958" i="38" s="1"/>
  <c r="BG2958" i="38" s="1"/>
  <c r="BH2958" i="38" s="1"/>
  <c r="BD2942" i="38"/>
  <c r="BE2942" i="38" s="1"/>
  <c r="BF2942" i="38" s="1"/>
  <c r="BG2942" i="38" s="1"/>
  <c r="BH2942" i="38" s="1"/>
  <c r="BD2926" i="38"/>
  <c r="BE2926" i="38" s="1"/>
  <c r="BF2926" i="38" s="1"/>
  <c r="BG2926" i="38" s="1"/>
  <c r="BH2926" i="38" s="1"/>
  <c r="BD2910" i="38"/>
  <c r="BE2910" i="38" s="1"/>
  <c r="BF2910" i="38" s="1"/>
  <c r="BG2910" i="38" s="1"/>
  <c r="BH2910" i="38" s="1"/>
  <c r="BD2894" i="38"/>
  <c r="BE2894" i="38" s="1"/>
  <c r="BF2894" i="38" s="1"/>
  <c r="BG2894" i="38" s="1"/>
  <c r="BH2894" i="38" s="1"/>
  <c r="BD2878" i="38"/>
  <c r="BE2878" i="38" s="1"/>
  <c r="BF2878" i="38" s="1"/>
  <c r="BG2878" i="38" s="1"/>
  <c r="BH2878" i="38" s="1"/>
  <c r="BD2862" i="38"/>
  <c r="BE2862" i="38" s="1"/>
  <c r="BF2862" i="38" s="1"/>
  <c r="BG2862" i="38" s="1"/>
  <c r="BH2862" i="38" s="1"/>
  <c r="BD2846" i="38"/>
  <c r="BE2846" i="38" s="1"/>
  <c r="BF2846" i="38" s="1"/>
  <c r="BG2846" i="38" s="1"/>
  <c r="BH2846" i="38" s="1"/>
  <c r="BD2830" i="38"/>
  <c r="BE2830" i="38" s="1"/>
  <c r="BF2830" i="38" s="1"/>
  <c r="BG2830" i="38" s="1"/>
  <c r="BH2830" i="38" s="1"/>
  <c r="BD2814" i="38"/>
  <c r="BE2814" i="38" s="1"/>
  <c r="BF2814" i="38" s="1"/>
  <c r="BG2814" i="38" s="1"/>
  <c r="BH2814" i="38" s="1"/>
  <c r="BD2999" i="38"/>
  <c r="BE2999" i="38" s="1"/>
  <c r="BF2999" i="38" s="1"/>
  <c r="BG2999" i="38" s="1"/>
  <c r="BH2999" i="38" s="1"/>
  <c r="BD2983" i="38"/>
  <c r="BE2983" i="38" s="1"/>
  <c r="BF2983" i="38" s="1"/>
  <c r="BG2983" i="38" s="1"/>
  <c r="BH2983" i="38" s="1"/>
  <c r="BD2967" i="38"/>
  <c r="BE2967" i="38" s="1"/>
  <c r="BF2967" i="38" s="1"/>
  <c r="BG2967" i="38" s="1"/>
  <c r="BH2967" i="38" s="1"/>
  <c r="BD2951" i="38"/>
  <c r="BE2951" i="38" s="1"/>
  <c r="BF2951" i="38" s="1"/>
  <c r="BG2951" i="38" s="1"/>
  <c r="BH2951" i="38" s="1"/>
  <c r="BD2935" i="38"/>
  <c r="BE2935" i="38" s="1"/>
  <c r="BF2935" i="38" s="1"/>
  <c r="BG2935" i="38" s="1"/>
  <c r="BH2935" i="38" s="1"/>
  <c r="BD2919" i="38"/>
  <c r="BE2919" i="38" s="1"/>
  <c r="BF2919" i="38" s="1"/>
  <c r="BG2919" i="38" s="1"/>
  <c r="BH2919" i="38" s="1"/>
  <c r="BD2903" i="38"/>
  <c r="BE2903" i="38" s="1"/>
  <c r="BF2903" i="38" s="1"/>
  <c r="BG2903" i="38" s="1"/>
  <c r="BH2903" i="38" s="1"/>
  <c r="BD2913" i="38"/>
  <c r="BE2913" i="38" s="1"/>
  <c r="BF2913" i="38" s="1"/>
  <c r="BG2913" i="38" s="1"/>
  <c r="BH2913" i="38" s="1"/>
  <c r="BD2884" i="38"/>
  <c r="BE2884" i="38" s="1"/>
  <c r="BF2884" i="38" s="1"/>
  <c r="BG2884" i="38" s="1"/>
  <c r="BH2884" i="38" s="1"/>
  <c r="BD2808" i="38"/>
  <c r="BE2808" i="38" s="1"/>
  <c r="BF2808" i="38" s="1"/>
  <c r="BG2808" i="38" s="1"/>
  <c r="BH2808" i="38" s="1"/>
  <c r="BD2795" i="38"/>
  <c r="BE2795" i="38" s="1"/>
  <c r="BF2795" i="38" s="1"/>
  <c r="BG2795" i="38" s="1"/>
  <c r="BH2795" i="38" s="1"/>
  <c r="BD2766" i="38"/>
  <c r="BE2766" i="38" s="1"/>
  <c r="BF2766" i="38" s="1"/>
  <c r="BG2766" i="38" s="1"/>
  <c r="BH2766" i="38" s="1"/>
  <c r="BD2753" i="38"/>
  <c r="BE2753" i="38" s="1"/>
  <c r="BF2753" i="38" s="1"/>
  <c r="BG2753" i="38" s="1"/>
  <c r="BH2753" i="38" s="1"/>
  <c r="BD2737" i="38"/>
  <c r="BE2737" i="38" s="1"/>
  <c r="BF2737" i="38" s="1"/>
  <c r="BG2737" i="38" s="1"/>
  <c r="BH2737" i="38" s="1"/>
  <c r="BD2721" i="38"/>
  <c r="BE2721" i="38" s="1"/>
  <c r="BF2721" i="38" s="1"/>
  <c r="BG2721" i="38" s="1"/>
  <c r="BH2721" i="38" s="1"/>
  <c r="BD2705" i="38"/>
  <c r="BE2705" i="38" s="1"/>
  <c r="BF2705" i="38" s="1"/>
  <c r="BG2705" i="38" s="1"/>
  <c r="BH2705" i="38" s="1"/>
  <c r="BD2689" i="38"/>
  <c r="BE2689" i="38" s="1"/>
  <c r="BF2689" i="38" s="1"/>
  <c r="BG2689" i="38" s="1"/>
  <c r="BH2689" i="38" s="1"/>
  <c r="BD2673" i="38"/>
  <c r="BE2673" i="38" s="1"/>
  <c r="BF2673" i="38" s="1"/>
  <c r="BG2673" i="38" s="1"/>
  <c r="BH2673" i="38" s="1"/>
  <c r="BD2657" i="38"/>
  <c r="BE2657" i="38" s="1"/>
  <c r="BF2657" i="38" s="1"/>
  <c r="BG2657" i="38" s="1"/>
  <c r="BH2657" i="38" s="1"/>
  <c r="BD2641" i="38"/>
  <c r="BE2641" i="38" s="1"/>
  <c r="BF2641" i="38" s="1"/>
  <c r="BG2641" i="38" s="1"/>
  <c r="BH2641" i="38" s="1"/>
  <c r="BD2625" i="38"/>
  <c r="BE2625" i="38" s="1"/>
  <c r="BF2625" i="38" s="1"/>
  <c r="BG2625" i="38" s="1"/>
  <c r="BH2625" i="38" s="1"/>
  <c r="BD2609" i="38"/>
  <c r="BE2609" i="38" s="1"/>
  <c r="BF2609" i="38" s="1"/>
  <c r="BG2609" i="38" s="1"/>
  <c r="BH2609" i="38" s="1"/>
  <c r="BD2593" i="38"/>
  <c r="BE2593" i="38" s="1"/>
  <c r="BF2593" i="38" s="1"/>
  <c r="BG2593" i="38" s="1"/>
  <c r="BH2593" i="38" s="1"/>
  <c r="BD2577" i="38"/>
  <c r="BE2577" i="38" s="1"/>
  <c r="BF2577" i="38" s="1"/>
  <c r="BG2577" i="38" s="1"/>
  <c r="BH2577" i="38" s="1"/>
  <c r="BD2561" i="38"/>
  <c r="BE2561" i="38" s="1"/>
  <c r="BF2561" i="38" s="1"/>
  <c r="BG2561" i="38" s="1"/>
  <c r="BH2561" i="38" s="1"/>
  <c r="BD2545" i="38"/>
  <c r="BE2545" i="38" s="1"/>
  <c r="BF2545" i="38" s="1"/>
  <c r="BG2545" i="38" s="1"/>
  <c r="BH2545" i="38" s="1"/>
  <c r="BD2529" i="38"/>
  <c r="BE2529" i="38" s="1"/>
  <c r="BF2529" i="38" s="1"/>
  <c r="BG2529" i="38" s="1"/>
  <c r="BH2529" i="38" s="1"/>
  <c r="BD2513" i="38"/>
  <c r="BE2513" i="38" s="1"/>
  <c r="BF2513" i="38" s="1"/>
  <c r="BG2513" i="38" s="1"/>
  <c r="BH2513" i="38" s="1"/>
  <c r="BD2497" i="38"/>
  <c r="BE2497" i="38" s="1"/>
  <c r="BF2497" i="38" s="1"/>
  <c r="BG2497" i="38" s="1"/>
  <c r="BH2497" i="38" s="1"/>
  <c r="BD2481" i="38"/>
  <c r="BE2481" i="38" s="1"/>
  <c r="BF2481" i="38" s="1"/>
  <c r="BG2481" i="38" s="1"/>
  <c r="BH2481" i="38" s="1"/>
  <c r="BD2465" i="38"/>
  <c r="BE2465" i="38" s="1"/>
  <c r="BF2465" i="38" s="1"/>
  <c r="BG2465" i="38" s="1"/>
  <c r="BH2465" i="38" s="1"/>
  <c r="BD2449" i="38"/>
  <c r="BE2449" i="38" s="1"/>
  <c r="BF2449" i="38" s="1"/>
  <c r="BG2449" i="38" s="1"/>
  <c r="BH2449" i="38" s="1"/>
  <c r="BD2433" i="38"/>
  <c r="BE2433" i="38" s="1"/>
  <c r="BF2433" i="38" s="1"/>
  <c r="BG2433" i="38" s="1"/>
  <c r="BH2433" i="38" s="1"/>
  <c r="BD2417" i="38"/>
  <c r="BE2417" i="38" s="1"/>
  <c r="BF2417" i="38" s="1"/>
  <c r="BG2417" i="38" s="1"/>
  <c r="BH2417" i="38" s="1"/>
  <c r="BD2401" i="38"/>
  <c r="BE2401" i="38" s="1"/>
  <c r="BF2401" i="38" s="1"/>
  <c r="BG2401" i="38" s="1"/>
  <c r="BH2401" i="38" s="1"/>
  <c r="BD2385" i="38"/>
  <c r="BE2385" i="38" s="1"/>
  <c r="BF2385" i="38" s="1"/>
  <c r="BG2385" i="38" s="1"/>
  <c r="BH2385" i="38" s="1"/>
  <c r="BD2369" i="38"/>
  <c r="BE2369" i="38" s="1"/>
  <c r="BF2369" i="38" s="1"/>
  <c r="BG2369" i="38" s="1"/>
  <c r="BH2369" i="38" s="1"/>
  <c r="BD2984" i="38"/>
  <c r="BE2984" i="38" s="1"/>
  <c r="BF2984" i="38" s="1"/>
  <c r="BG2984" i="38" s="1"/>
  <c r="BH2984" i="38" s="1"/>
  <c r="BD2964" i="38"/>
  <c r="BE2964" i="38" s="1"/>
  <c r="BF2964" i="38" s="1"/>
  <c r="BG2964" i="38" s="1"/>
  <c r="BH2964" i="38" s="1"/>
  <c r="BD2954" i="38"/>
  <c r="BE2954" i="38" s="1"/>
  <c r="BF2954" i="38" s="1"/>
  <c r="BG2954" i="38" s="1"/>
  <c r="BH2954" i="38" s="1"/>
  <c r="BD2893" i="38"/>
  <c r="BE2893" i="38" s="1"/>
  <c r="BF2893" i="38" s="1"/>
  <c r="BG2893" i="38" s="1"/>
  <c r="BH2893" i="38" s="1"/>
  <c r="BD2859" i="38"/>
  <c r="BE2859" i="38" s="1"/>
  <c r="BF2859" i="38" s="1"/>
  <c r="BG2859" i="38" s="1"/>
  <c r="BH2859" i="38" s="1"/>
  <c r="BD2852" i="38"/>
  <c r="BE2852" i="38" s="1"/>
  <c r="BF2852" i="38" s="1"/>
  <c r="BG2852" i="38" s="1"/>
  <c r="BH2852" i="38" s="1"/>
  <c r="BD2823" i="38"/>
  <c r="BE2823" i="38" s="1"/>
  <c r="BF2823" i="38" s="1"/>
  <c r="BG2823" i="38" s="1"/>
  <c r="BH2823" i="38" s="1"/>
  <c r="BD2756" i="38"/>
  <c r="BE2756" i="38" s="1"/>
  <c r="BF2756" i="38" s="1"/>
  <c r="BG2756" i="38" s="1"/>
  <c r="BH2756" i="38" s="1"/>
  <c r="BD2740" i="38"/>
  <c r="BE2740" i="38" s="1"/>
  <c r="BF2740" i="38" s="1"/>
  <c r="BG2740" i="38" s="1"/>
  <c r="BH2740" i="38" s="1"/>
  <c r="BD2724" i="38"/>
  <c r="BE2724" i="38" s="1"/>
  <c r="BF2724" i="38" s="1"/>
  <c r="BG2724" i="38" s="1"/>
  <c r="BH2724" i="38" s="1"/>
  <c r="BD2708" i="38"/>
  <c r="BE2708" i="38" s="1"/>
  <c r="BF2708" i="38" s="1"/>
  <c r="BG2708" i="38" s="1"/>
  <c r="BH2708" i="38" s="1"/>
  <c r="BD2692" i="38"/>
  <c r="BE2692" i="38" s="1"/>
  <c r="BF2692" i="38" s="1"/>
  <c r="BG2692" i="38" s="1"/>
  <c r="BH2692" i="38" s="1"/>
  <c r="BD2676" i="38"/>
  <c r="BE2676" i="38" s="1"/>
  <c r="BF2676" i="38" s="1"/>
  <c r="BG2676" i="38" s="1"/>
  <c r="BH2676" i="38" s="1"/>
  <c r="BD2660" i="38"/>
  <c r="BE2660" i="38" s="1"/>
  <c r="BF2660" i="38" s="1"/>
  <c r="BG2660" i="38" s="1"/>
  <c r="BH2660" i="38" s="1"/>
  <c r="BD2644" i="38"/>
  <c r="BE2644" i="38" s="1"/>
  <c r="BF2644" i="38" s="1"/>
  <c r="BG2644" i="38" s="1"/>
  <c r="BH2644" i="38" s="1"/>
  <c r="BD2628" i="38"/>
  <c r="BE2628" i="38" s="1"/>
  <c r="BF2628" i="38" s="1"/>
  <c r="BG2628" i="38" s="1"/>
  <c r="BH2628" i="38" s="1"/>
  <c r="BD2612" i="38"/>
  <c r="BE2612" i="38" s="1"/>
  <c r="BF2612" i="38" s="1"/>
  <c r="BG2612" i="38" s="1"/>
  <c r="BH2612" i="38" s="1"/>
  <c r="BD2596" i="38"/>
  <c r="BE2596" i="38" s="1"/>
  <c r="BF2596" i="38" s="1"/>
  <c r="BG2596" i="38" s="1"/>
  <c r="BH2596" i="38" s="1"/>
  <c r="BD2580" i="38"/>
  <c r="BE2580" i="38" s="1"/>
  <c r="BF2580" i="38" s="1"/>
  <c r="BG2580" i="38" s="1"/>
  <c r="BH2580" i="38" s="1"/>
  <c r="BD2564" i="38"/>
  <c r="BE2564" i="38" s="1"/>
  <c r="BF2564" i="38" s="1"/>
  <c r="BG2564" i="38" s="1"/>
  <c r="BH2564" i="38" s="1"/>
  <c r="BD2548" i="38"/>
  <c r="BE2548" i="38" s="1"/>
  <c r="BF2548" i="38" s="1"/>
  <c r="BG2548" i="38" s="1"/>
  <c r="BH2548" i="38" s="1"/>
  <c r="BD2532" i="38"/>
  <c r="BE2532" i="38" s="1"/>
  <c r="BF2532" i="38" s="1"/>
  <c r="BG2532" i="38" s="1"/>
  <c r="BH2532" i="38" s="1"/>
  <c r="BD2516" i="38"/>
  <c r="BE2516" i="38" s="1"/>
  <c r="BF2516" i="38" s="1"/>
  <c r="BG2516" i="38" s="1"/>
  <c r="BH2516" i="38" s="1"/>
  <c r="BD2500" i="38"/>
  <c r="BE2500" i="38" s="1"/>
  <c r="BF2500" i="38" s="1"/>
  <c r="BG2500" i="38" s="1"/>
  <c r="BH2500" i="38" s="1"/>
  <c r="BD2484" i="38"/>
  <c r="BE2484" i="38" s="1"/>
  <c r="BF2484" i="38" s="1"/>
  <c r="BG2484" i="38" s="1"/>
  <c r="BH2484" i="38" s="1"/>
  <c r="BD2468" i="38"/>
  <c r="BE2468" i="38" s="1"/>
  <c r="BF2468" i="38" s="1"/>
  <c r="BG2468" i="38" s="1"/>
  <c r="BH2468" i="38" s="1"/>
  <c r="BD2452" i="38"/>
  <c r="BE2452" i="38" s="1"/>
  <c r="BF2452" i="38" s="1"/>
  <c r="BG2452" i="38" s="1"/>
  <c r="BH2452" i="38" s="1"/>
  <c r="BD2436" i="38"/>
  <c r="BE2436" i="38" s="1"/>
  <c r="BF2436" i="38" s="1"/>
  <c r="BG2436" i="38" s="1"/>
  <c r="BH2436" i="38" s="1"/>
  <c r="BD2420" i="38"/>
  <c r="BE2420" i="38" s="1"/>
  <c r="BF2420" i="38" s="1"/>
  <c r="BG2420" i="38" s="1"/>
  <c r="BH2420" i="38" s="1"/>
  <c r="BD2404" i="38"/>
  <c r="BE2404" i="38" s="1"/>
  <c r="BF2404" i="38" s="1"/>
  <c r="BG2404" i="38" s="1"/>
  <c r="BH2404" i="38" s="1"/>
  <c r="BD2388" i="38"/>
  <c r="BE2388" i="38" s="1"/>
  <c r="BF2388" i="38" s="1"/>
  <c r="BG2388" i="38" s="1"/>
  <c r="BH2388" i="38" s="1"/>
  <c r="BD2372" i="38"/>
  <c r="BE2372" i="38" s="1"/>
  <c r="BF2372" i="38" s="1"/>
  <c r="BG2372" i="38" s="1"/>
  <c r="BH2372" i="38" s="1"/>
  <c r="BD3005" i="38"/>
  <c r="BE3005" i="38" s="1"/>
  <c r="BF3005" i="38" s="1"/>
  <c r="BG3005" i="38" s="1"/>
  <c r="BH3005" i="38" s="1"/>
  <c r="BD2845" i="38"/>
  <c r="BE2845" i="38" s="1"/>
  <c r="BF2845" i="38" s="1"/>
  <c r="BG2845" i="38" s="1"/>
  <c r="BH2845" i="38" s="1"/>
  <c r="BD2801" i="38"/>
  <c r="BE2801" i="38" s="1"/>
  <c r="BF2801" i="38" s="1"/>
  <c r="BG2801" i="38" s="1"/>
  <c r="BH2801" i="38" s="1"/>
  <c r="BD2782" i="38"/>
  <c r="BE2782" i="38" s="1"/>
  <c r="BF2782" i="38" s="1"/>
  <c r="BG2782" i="38" s="1"/>
  <c r="BH2782" i="38" s="1"/>
  <c r="BD2776" i="38"/>
  <c r="BE2776" i="38" s="1"/>
  <c r="BF2776" i="38" s="1"/>
  <c r="BG2776" i="38" s="1"/>
  <c r="BH2776" i="38" s="1"/>
  <c r="BD2759" i="38"/>
  <c r="BE2759" i="38" s="1"/>
  <c r="BF2759" i="38" s="1"/>
  <c r="BG2759" i="38" s="1"/>
  <c r="BH2759" i="38" s="1"/>
  <c r="BD2743" i="38"/>
  <c r="BE2743" i="38" s="1"/>
  <c r="BF2743" i="38" s="1"/>
  <c r="BG2743" i="38" s="1"/>
  <c r="BH2743" i="38" s="1"/>
  <c r="BD2727" i="38"/>
  <c r="BE2727" i="38" s="1"/>
  <c r="BF2727" i="38" s="1"/>
  <c r="BG2727" i="38" s="1"/>
  <c r="BH2727" i="38" s="1"/>
  <c r="BD2711" i="38"/>
  <c r="BE2711" i="38" s="1"/>
  <c r="BF2711" i="38" s="1"/>
  <c r="BG2711" i="38" s="1"/>
  <c r="BH2711" i="38" s="1"/>
  <c r="BD2695" i="38"/>
  <c r="BE2695" i="38" s="1"/>
  <c r="BF2695" i="38" s="1"/>
  <c r="BG2695" i="38" s="1"/>
  <c r="BH2695" i="38" s="1"/>
  <c r="BD2679" i="38"/>
  <c r="BE2679" i="38" s="1"/>
  <c r="BF2679" i="38" s="1"/>
  <c r="BG2679" i="38" s="1"/>
  <c r="BH2679" i="38" s="1"/>
  <c r="BD2663" i="38"/>
  <c r="BE2663" i="38" s="1"/>
  <c r="BF2663" i="38" s="1"/>
  <c r="BG2663" i="38" s="1"/>
  <c r="BH2663" i="38" s="1"/>
  <c r="BD2647" i="38"/>
  <c r="BE2647" i="38" s="1"/>
  <c r="BF2647" i="38" s="1"/>
  <c r="BG2647" i="38" s="1"/>
  <c r="BH2647" i="38" s="1"/>
  <c r="BD2631" i="38"/>
  <c r="BE2631" i="38" s="1"/>
  <c r="BF2631" i="38" s="1"/>
  <c r="BG2631" i="38" s="1"/>
  <c r="BH2631" i="38" s="1"/>
  <c r="BD2615" i="38"/>
  <c r="BE2615" i="38" s="1"/>
  <c r="BF2615" i="38" s="1"/>
  <c r="BG2615" i="38" s="1"/>
  <c r="BH2615" i="38" s="1"/>
  <c r="BD2599" i="38"/>
  <c r="BE2599" i="38" s="1"/>
  <c r="BF2599" i="38" s="1"/>
  <c r="BG2599" i="38" s="1"/>
  <c r="BH2599" i="38" s="1"/>
  <c r="BD2583" i="38"/>
  <c r="BE2583" i="38" s="1"/>
  <c r="BF2583" i="38" s="1"/>
  <c r="BG2583" i="38" s="1"/>
  <c r="BH2583" i="38" s="1"/>
  <c r="BD2567" i="38"/>
  <c r="BE2567" i="38" s="1"/>
  <c r="BF2567" i="38" s="1"/>
  <c r="BG2567" i="38" s="1"/>
  <c r="BH2567" i="38" s="1"/>
  <c r="BD2551" i="38"/>
  <c r="BE2551" i="38" s="1"/>
  <c r="BF2551" i="38" s="1"/>
  <c r="BG2551" i="38" s="1"/>
  <c r="BH2551" i="38" s="1"/>
  <c r="BD2535" i="38"/>
  <c r="BE2535" i="38" s="1"/>
  <c r="BF2535" i="38" s="1"/>
  <c r="BG2535" i="38" s="1"/>
  <c r="BH2535" i="38" s="1"/>
  <c r="BD2519" i="38"/>
  <c r="BE2519" i="38" s="1"/>
  <c r="BF2519" i="38" s="1"/>
  <c r="BG2519" i="38" s="1"/>
  <c r="BH2519" i="38" s="1"/>
  <c r="BD2503" i="38"/>
  <c r="BE2503" i="38" s="1"/>
  <c r="BF2503" i="38" s="1"/>
  <c r="BG2503" i="38" s="1"/>
  <c r="BH2503" i="38" s="1"/>
  <c r="BD2487" i="38"/>
  <c r="BE2487" i="38" s="1"/>
  <c r="BF2487" i="38" s="1"/>
  <c r="BG2487" i="38" s="1"/>
  <c r="BH2487" i="38" s="1"/>
  <c r="BD2471" i="38"/>
  <c r="BE2471" i="38" s="1"/>
  <c r="BF2471" i="38" s="1"/>
  <c r="BG2471" i="38" s="1"/>
  <c r="BH2471" i="38" s="1"/>
  <c r="BD2455" i="38"/>
  <c r="BE2455" i="38" s="1"/>
  <c r="BF2455" i="38" s="1"/>
  <c r="BG2455" i="38" s="1"/>
  <c r="BH2455" i="38" s="1"/>
  <c r="BD2439" i="38"/>
  <c r="BE2439" i="38" s="1"/>
  <c r="BF2439" i="38" s="1"/>
  <c r="BG2439" i="38" s="1"/>
  <c r="BH2439" i="38" s="1"/>
  <c r="BD2423" i="38"/>
  <c r="BE2423" i="38" s="1"/>
  <c r="BF2423" i="38" s="1"/>
  <c r="BG2423" i="38" s="1"/>
  <c r="BH2423" i="38" s="1"/>
  <c r="BD2407" i="38"/>
  <c r="BE2407" i="38" s="1"/>
  <c r="BF2407" i="38" s="1"/>
  <c r="BG2407" i="38" s="1"/>
  <c r="BH2407" i="38" s="1"/>
  <c r="BD2391" i="38"/>
  <c r="BE2391" i="38" s="1"/>
  <c r="BF2391" i="38" s="1"/>
  <c r="BG2391" i="38" s="1"/>
  <c r="BH2391" i="38" s="1"/>
  <c r="BD2973" i="38"/>
  <c r="BE2973" i="38" s="1"/>
  <c r="BF2973" i="38" s="1"/>
  <c r="BG2973" i="38" s="1"/>
  <c r="BH2973" i="38" s="1"/>
  <c r="BD2874" i="38"/>
  <c r="BE2874" i="38" s="1"/>
  <c r="BF2874" i="38" s="1"/>
  <c r="BG2874" i="38" s="1"/>
  <c r="BH2874" i="38" s="1"/>
  <c r="BD2865" i="38"/>
  <c r="BE2865" i="38" s="1"/>
  <c r="BF2865" i="38" s="1"/>
  <c r="BG2865" i="38" s="1"/>
  <c r="BH2865" i="38" s="1"/>
  <c r="BD2843" i="38"/>
  <c r="BE2843" i="38" s="1"/>
  <c r="BF2843" i="38" s="1"/>
  <c r="BG2843" i="38" s="1"/>
  <c r="BH2843" i="38" s="1"/>
  <c r="BD2836" i="38"/>
  <c r="BE2836" i="38" s="1"/>
  <c r="BF2836" i="38" s="1"/>
  <c r="BG2836" i="38" s="1"/>
  <c r="BH2836" i="38" s="1"/>
  <c r="BD2807" i="38"/>
  <c r="BE2807" i="38" s="1"/>
  <c r="BF2807" i="38" s="1"/>
  <c r="BG2807" i="38" s="1"/>
  <c r="BH2807" i="38" s="1"/>
  <c r="BD2749" i="38"/>
  <c r="BE2749" i="38" s="1"/>
  <c r="BF2749" i="38" s="1"/>
  <c r="BG2749" i="38" s="1"/>
  <c r="BH2749" i="38" s="1"/>
  <c r="BD2733" i="38"/>
  <c r="BE2733" i="38" s="1"/>
  <c r="BF2733" i="38" s="1"/>
  <c r="BG2733" i="38" s="1"/>
  <c r="BH2733" i="38" s="1"/>
  <c r="BD2717" i="38"/>
  <c r="BE2717" i="38" s="1"/>
  <c r="BF2717" i="38" s="1"/>
  <c r="BG2717" i="38" s="1"/>
  <c r="BH2717" i="38" s="1"/>
  <c r="BD2701" i="38"/>
  <c r="BE2701" i="38" s="1"/>
  <c r="BF2701" i="38" s="1"/>
  <c r="BG2701" i="38" s="1"/>
  <c r="BH2701" i="38" s="1"/>
  <c r="BD2685" i="38"/>
  <c r="BE2685" i="38" s="1"/>
  <c r="BF2685" i="38" s="1"/>
  <c r="BG2685" i="38" s="1"/>
  <c r="BH2685" i="38" s="1"/>
  <c r="BD2669" i="38"/>
  <c r="BE2669" i="38" s="1"/>
  <c r="BF2669" i="38" s="1"/>
  <c r="BG2669" i="38" s="1"/>
  <c r="BH2669" i="38" s="1"/>
  <c r="BD2653" i="38"/>
  <c r="BE2653" i="38" s="1"/>
  <c r="BF2653" i="38" s="1"/>
  <c r="BG2653" i="38" s="1"/>
  <c r="BH2653" i="38" s="1"/>
  <c r="BD2637" i="38"/>
  <c r="BE2637" i="38" s="1"/>
  <c r="BF2637" i="38" s="1"/>
  <c r="BG2637" i="38" s="1"/>
  <c r="BH2637" i="38" s="1"/>
  <c r="BD2621" i="38"/>
  <c r="BE2621" i="38" s="1"/>
  <c r="BF2621" i="38" s="1"/>
  <c r="BG2621" i="38" s="1"/>
  <c r="BH2621" i="38" s="1"/>
  <c r="BD2605" i="38"/>
  <c r="BE2605" i="38" s="1"/>
  <c r="BF2605" i="38" s="1"/>
  <c r="BG2605" i="38" s="1"/>
  <c r="BH2605" i="38" s="1"/>
  <c r="BD2589" i="38"/>
  <c r="BE2589" i="38" s="1"/>
  <c r="BF2589" i="38" s="1"/>
  <c r="BG2589" i="38" s="1"/>
  <c r="BH2589" i="38" s="1"/>
  <c r="BD2573" i="38"/>
  <c r="BE2573" i="38" s="1"/>
  <c r="BF2573" i="38" s="1"/>
  <c r="BG2573" i="38" s="1"/>
  <c r="BH2573" i="38" s="1"/>
  <c r="BD2557" i="38"/>
  <c r="BE2557" i="38" s="1"/>
  <c r="BF2557" i="38" s="1"/>
  <c r="BG2557" i="38" s="1"/>
  <c r="BH2557" i="38" s="1"/>
  <c r="BD2541" i="38"/>
  <c r="BE2541" i="38" s="1"/>
  <c r="BF2541" i="38" s="1"/>
  <c r="BG2541" i="38" s="1"/>
  <c r="BH2541" i="38" s="1"/>
  <c r="BD2525" i="38"/>
  <c r="BE2525" i="38" s="1"/>
  <c r="BF2525" i="38" s="1"/>
  <c r="BG2525" i="38" s="1"/>
  <c r="BH2525" i="38" s="1"/>
  <c r="BD2509" i="38"/>
  <c r="BE2509" i="38" s="1"/>
  <c r="BF2509" i="38" s="1"/>
  <c r="BG2509" i="38" s="1"/>
  <c r="BH2509" i="38" s="1"/>
  <c r="BD2493" i="38"/>
  <c r="BE2493" i="38" s="1"/>
  <c r="BF2493" i="38" s="1"/>
  <c r="BG2493" i="38" s="1"/>
  <c r="BH2493" i="38" s="1"/>
  <c r="BD2477" i="38"/>
  <c r="BE2477" i="38" s="1"/>
  <c r="BF2477" i="38" s="1"/>
  <c r="BG2477" i="38" s="1"/>
  <c r="BH2477" i="38" s="1"/>
  <c r="BD2461" i="38"/>
  <c r="BE2461" i="38" s="1"/>
  <c r="BF2461" i="38" s="1"/>
  <c r="BG2461" i="38" s="1"/>
  <c r="BH2461" i="38" s="1"/>
  <c r="BD2445" i="38"/>
  <c r="BE2445" i="38" s="1"/>
  <c r="BF2445" i="38" s="1"/>
  <c r="BG2445" i="38" s="1"/>
  <c r="BH2445" i="38" s="1"/>
  <c r="BD2429" i="38"/>
  <c r="BE2429" i="38" s="1"/>
  <c r="BF2429" i="38" s="1"/>
  <c r="BG2429" i="38" s="1"/>
  <c r="BH2429" i="38" s="1"/>
  <c r="BD2413" i="38"/>
  <c r="BE2413" i="38" s="1"/>
  <c r="BF2413" i="38" s="1"/>
  <c r="BG2413" i="38" s="1"/>
  <c r="BH2413" i="38" s="1"/>
  <c r="BD2397" i="38"/>
  <c r="BE2397" i="38" s="1"/>
  <c r="BF2397" i="38" s="1"/>
  <c r="BG2397" i="38" s="1"/>
  <c r="BH2397" i="38" s="1"/>
  <c r="BD2961" i="38"/>
  <c r="BE2961" i="38" s="1"/>
  <c r="BF2961" i="38" s="1"/>
  <c r="BG2961" i="38" s="1"/>
  <c r="BH2961" i="38" s="1"/>
  <c r="BD2920" i="38"/>
  <c r="BE2920" i="38" s="1"/>
  <c r="BF2920" i="38" s="1"/>
  <c r="BG2920" i="38" s="1"/>
  <c r="BH2920" i="38" s="1"/>
  <c r="BD2900" i="38"/>
  <c r="BE2900" i="38" s="1"/>
  <c r="BF2900" i="38" s="1"/>
  <c r="BG2900" i="38" s="1"/>
  <c r="BH2900" i="38" s="1"/>
  <c r="BD2881" i="38"/>
  <c r="BE2881" i="38" s="1"/>
  <c r="BF2881" i="38" s="1"/>
  <c r="BG2881" i="38" s="1"/>
  <c r="BH2881" i="38" s="1"/>
  <c r="BD2858" i="38"/>
  <c r="BE2858" i="38" s="1"/>
  <c r="BF2858" i="38" s="1"/>
  <c r="BG2858" i="38" s="1"/>
  <c r="BH2858" i="38" s="1"/>
  <c r="BD2829" i="38"/>
  <c r="BE2829" i="38" s="1"/>
  <c r="BF2829" i="38" s="1"/>
  <c r="BG2829" i="38" s="1"/>
  <c r="BH2829" i="38" s="1"/>
  <c r="BD2794" i="38"/>
  <c r="BE2794" i="38" s="1"/>
  <c r="BF2794" i="38" s="1"/>
  <c r="BG2794" i="38" s="1"/>
  <c r="BH2794" i="38" s="1"/>
  <c r="BD2765" i="38"/>
  <c r="BE2765" i="38" s="1"/>
  <c r="BF2765" i="38" s="1"/>
  <c r="BG2765" i="38" s="1"/>
  <c r="BH2765" i="38" s="1"/>
  <c r="BD2752" i="38"/>
  <c r="BE2752" i="38" s="1"/>
  <c r="BF2752" i="38" s="1"/>
  <c r="BG2752" i="38" s="1"/>
  <c r="BH2752" i="38" s="1"/>
  <c r="BD2736" i="38"/>
  <c r="BE2736" i="38" s="1"/>
  <c r="BF2736" i="38" s="1"/>
  <c r="BG2736" i="38" s="1"/>
  <c r="BH2736" i="38" s="1"/>
  <c r="BD2720" i="38"/>
  <c r="BE2720" i="38" s="1"/>
  <c r="BF2720" i="38" s="1"/>
  <c r="BG2720" i="38" s="1"/>
  <c r="BH2720" i="38" s="1"/>
  <c r="BD2704" i="38"/>
  <c r="BE2704" i="38" s="1"/>
  <c r="BF2704" i="38" s="1"/>
  <c r="BG2704" i="38" s="1"/>
  <c r="BH2704" i="38" s="1"/>
  <c r="BD2688" i="38"/>
  <c r="BE2688" i="38" s="1"/>
  <c r="BF2688" i="38" s="1"/>
  <c r="BG2688" i="38" s="1"/>
  <c r="BH2688" i="38" s="1"/>
  <c r="BD2672" i="38"/>
  <c r="BE2672" i="38" s="1"/>
  <c r="BF2672" i="38" s="1"/>
  <c r="BG2672" i="38" s="1"/>
  <c r="BH2672" i="38" s="1"/>
  <c r="BD2656" i="38"/>
  <c r="BE2656" i="38" s="1"/>
  <c r="BF2656" i="38" s="1"/>
  <c r="BG2656" i="38" s="1"/>
  <c r="BH2656" i="38" s="1"/>
  <c r="BD2640" i="38"/>
  <c r="BE2640" i="38" s="1"/>
  <c r="BF2640" i="38" s="1"/>
  <c r="BG2640" i="38" s="1"/>
  <c r="BH2640" i="38" s="1"/>
  <c r="BD2624" i="38"/>
  <c r="BE2624" i="38" s="1"/>
  <c r="BF2624" i="38" s="1"/>
  <c r="BG2624" i="38" s="1"/>
  <c r="BH2624" i="38" s="1"/>
  <c r="BD2608" i="38"/>
  <c r="BE2608" i="38" s="1"/>
  <c r="BF2608" i="38" s="1"/>
  <c r="BG2608" i="38" s="1"/>
  <c r="BH2608" i="38" s="1"/>
  <c r="BD2592" i="38"/>
  <c r="BE2592" i="38" s="1"/>
  <c r="BF2592" i="38" s="1"/>
  <c r="BG2592" i="38" s="1"/>
  <c r="BH2592" i="38" s="1"/>
  <c r="BD2576" i="38"/>
  <c r="BE2576" i="38" s="1"/>
  <c r="BF2576" i="38" s="1"/>
  <c r="BG2576" i="38" s="1"/>
  <c r="BH2576" i="38" s="1"/>
  <c r="BD2560" i="38"/>
  <c r="BE2560" i="38" s="1"/>
  <c r="BF2560" i="38" s="1"/>
  <c r="BG2560" i="38" s="1"/>
  <c r="BH2560" i="38" s="1"/>
  <c r="BD2544" i="38"/>
  <c r="BE2544" i="38" s="1"/>
  <c r="BF2544" i="38" s="1"/>
  <c r="BG2544" i="38" s="1"/>
  <c r="BH2544" i="38" s="1"/>
  <c r="BD2528" i="38"/>
  <c r="BE2528" i="38" s="1"/>
  <c r="BF2528" i="38" s="1"/>
  <c r="BG2528" i="38" s="1"/>
  <c r="BH2528" i="38" s="1"/>
  <c r="BD2512" i="38"/>
  <c r="BE2512" i="38" s="1"/>
  <c r="BF2512" i="38" s="1"/>
  <c r="BG2512" i="38" s="1"/>
  <c r="BH2512" i="38" s="1"/>
  <c r="BD2496" i="38"/>
  <c r="BE2496" i="38" s="1"/>
  <c r="BF2496" i="38" s="1"/>
  <c r="BG2496" i="38" s="1"/>
  <c r="BH2496" i="38" s="1"/>
  <c r="BD2480" i="38"/>
  <c r="BE2480" i="38" s="1"/>
  <c r="BF2480" i="38" s="1"/>
  <c r="BG2480" i="38" s="1"/>
  <c r="BH2480" i="38" s="1"/>
  <c r="BD2464" i="38"/>
  <c r="BE2464" i="38" s="1"/>
  <c r="BF2464" i="38" s="1"/>
  <c r="BG2464" i="38" s="1"/>
  <c r="BH2464" i="38" s="1"/>
  <c r="BD2448" i="38"/>
  <c r="BE2448" i="38" s="1"/>
  <c r="BF2448" i="38" s="1"/>
  <c r="BG2448" i="38" s="1"/>
  <c r="BH2448" i="38" s="1"/>
  <c r="BD2432" i="38"/>
  <c r="BE2432" i="38" s="1"/>
  <c r="BF2432" i="38" s="1"/>
  <c r="BG2432" i="38" s="1"/>
  <c r="BH2432" i="38" s="1"/>
  <c r="BD2416" i="38"/>
  <c r="BE2416" i="38" s="1"/>
  <c r="BF2416" i="38" s="1"/>
  <c r="BG2416" i="38" s="1"/>
  <c r="BH2416" i="38" s="1"/>
  <c r="BD2400" i="38"/>
  <c r="BE2400" i="38" s="1"/>
  <c r="BF2400" i="38" s="1"/>
  <c r="BG2400" i="38" s="1"/>
  <c r="BH2400" i="38" s="1"/>
  <c r="BD2897" i="38"/>
  <c r="BE2897" i="38" s="1"/>
  <c r="BF2897" i="38" s="1"/>
  <c r="BG2897" i="38" s="1"/>
  <c r="BH2897" i="38" s="1"/>
  <c r="BD2871" i="38"/>
  <c r="BE2871" i="38" s="1"/>
  <c r="BF2871" i="38" s="1"/>
  <c r="BG2871" i="38" s="1"/>
  <c r="BH2871" i="38" s="1"/>
  <c r="BD2798" i="38"/>
  <c r="BE2798" i="38" s="1"/>
  <c r="BF2798" i="38" s="1"/>
  <c r="BG2798" i="38" s="1"/>
  <c r="BH2798" i="38" s="1"/>
  <c r="BD2748" i="38"/>
  <c r="BE2748" i="38" s="1"/>
  <c r="BF2748" i="38" s="1"/>
  <c r="BG2748" i="38" s="1"/>
  <c r="BH2748" i="38" s="1"/>
  <c r="BD2732" i="38"/>
  <c r="BE2732" i="38" s="1"/>
  <c r="BF2732" i="38" s="1"/>
  <c r="BG2732" i="38" s="1"/>
  <c r="BH2732" i="38" s="1"/>
  <c r="BD2716" i="38"/>
  <c r="BE2716" i="38" s="1"/>
  <c r="BF2716" i="38" s="1"/>
  <c r="BG2716" i="38" s="1"/>
  <c r="BH2716" i="38" s="1"/>
  <c r="BD2700" i="38"/>
  <c r="BE2700" i="38" s="1"/>
  <c r="BF2700" i="38" s="1"/>
  <c r="BG2700" i="38" s="1"/>
  <c r="BH2700" i="38" s="1"/>
  <c r="BD2684" i="38"/>
  <c r="BE2684" i="38" s="1"/>
  <c r="BF2684" i="38" s="1"/>
  <c r="BG2684" i="38" s="1"/>
  <c r="BH2684" i="38" s="1"/>
  <c r="BD2668" i="38"/>
  <c r="BE2668" i="38" s="1"/>
  <c r="BF2668" i="38" s="1"/>
  <c r="BG2668" i="38" s="1"/>
  <c r="BH2668" i="38" s="1"/>
  <c r="BD2652" i="38"/>
  <c r="BE2652" i="38" s="1"/>
  <c r="BF2652" i="38" s="1"/>
  <c r="BG2652" i="38" s="1"/>
  <c r="BH2652" i="38" s="1"/>
  <c r="BD2636" i="38"/>
  <c r="BE2636" i="38" s="1"/>
  <c r="BF2636" i="38" s="1"/>
  <c r="BG2636" i="38" s="1"/>
  <c r="BH2636" i="38" s="1"/>
  <c r="BD2620" i="38"/>
  <c r="BE2620" i="38" s="1"/>
  <c r="BF2620" i="38" s="1"/>
  <c r="BG2620" i="38" s="1"/>
  <c r="BH2620" i="38" s="1"/>
  <c r="BD2604" i="38"/>
  <c r="BE2604" i="38" s="1"/>
  <c r="BF2604" i="38" s="1"/>
  <c r="BG2604" i="38" s="1"/>
  <c r="BH2604" i="38" s="1"/>
  <c r="BD2588" i="38"/>
  <c r="BE2588" i="38" s="1"/>
  <c r="BF2588" i="38" s="1"/>
  <c r="BG2588" i="38" s="1"/>
  <c r="BH2588" i="38" s="1"/>
  <c r="BD2572" i="38"/>
  <c r="BE2572" i="38" s="1"/>
  <c r="BF2572" i="38" s="1"/>
  <c r="BG2572" i="38" s="1"/>
  <c r="BH2572" i="38" s="1"/>
  <c r="BD2556" i="38"/>
  <c r="BE2556" i="38" s="1"/>
  <c r="BF2556" i="38" s="1"/>
  <c r="BG2556" i="38" s="1"/>
  <c r="BH2556" i="38" s="1"/>
  <c r="BD2540" i="38"/>
  <c r="BE2540" i="38" s="1"/>
  <c r="BF2540" i="38" s="1"/>
  <c r="BG2540" i="38" s="1"/>
  <c r="BH2540" i="38" s="1"/>
  <c r="BD2524" i="38"/>
  <c r="BE2524" i="38" s="1"/>
  <c r="BF2524" i="38" s="1"/>
  <c r="BG2524" i="38" s="1"/>
  <c r="BH2524" i="38" s="1"/>
  <c r="BD2508" i="38"/>
  <c r="BE2508" i="38" s="1"/>
  <c r="BF2508" i="38" s="1"/>
  <c r="BG2508" i="38" s="1"/>
  <c r="BH2508" i="38" s="1"/>
  <c r="BD2492" i="38"/>
  <c r="BE2492" i="38" s="1"/>
  <c r="BF2492" i="38" s="1"/>
  <c r="BG2492" i="38" s="1"/>
  <c r="BH2492" i="38" s="1"/>
  <c r="BD2476" i="38"/>
  <c r="BE2476" i="38" s="1"/>
  <c r="BF2476" i="38" s="1"/>
  <c r="BG2476" i="38" s="1"/>
  <c r="BH2476" i="38" s="1"/>
  <c r="BD2460" i="38"/>
  <c r="BE2460" i="38" s="1"/>
  <c r="BF2460" i="38" s="1"/>
  <c r="BG2460" i="38" s="1"/>
  <c r="BH2460" i="38" s="1"/>
  <c r="BD2444" i="38"/>
  <c r="BE2444" i="38" s="1"/>
  <c r="BF2444" i="38" s="1"/>
  <c r="BG2444" i="38" s="1"/>
  <c r="BH2444" i="38" s="1"/>
  <c r="BD2428" i="38"/>
  <c r="BE2428" i="38" s="1"/>
  <c r="BF2428" i="38" s="1"/>
  <c r="BG2428" i="38" s="1"/>
  <c r="BH2428" i="38" s="1"/>
  <c r="BD2412" i="38"/>
  <c r="BE2412" i="38" s="1"/>
  <c r="BF2412" i="38" s="1"/>
  <c r="BG2412" i="38" s="1"/>
  <c r="BH2412" i="38" s="1"/>
  <c r="BD2396" i="38"/>
  <c r="BE2396" i="38" s="1"/>
  <c r="BF2396" i="38" s="1"/>
  <c r="BG2396" i="38" s="1"/>
  <c r="BH2396" i="38" s="1"/>
  <c r="BD2380" i="38"/>
  <c r="BE2380" i="38" s="1"/>
  <c r="BF2380" i="38" s="1"/>
  <c r="BG2380" i="38" s="1"/>
  <c r="BH2380" i="38" s="1"/>
  <c r="BD3009" i="38"/>
  <c r="BE3009" i="38" s="1"/>
  <c r="BF3009" i="38" s="1"/>
  <c r="BG3009" i="38" s="1"/>
  <c r="BH3009" i="38" s="1"/>
  <c r="BD2968" i="38"/>
  <c r="BE2968" i="38" s="1"/>
  <c r="BF2968" i="38" s="1"/>
  <c r="BG2968" i="38" s="1"/>
  <c r="BH2968" i="38" s="1"/>
  <c r="BD2948" i="38"/>
  <c r="BE2948" i="38" s="1"/>
  <c r="BF2948" i="38" s="1"/>
  <c r="BG2948" i="38" s="1"/>
  <c r="BH2948" i="38" s="1"/>
  <c r="BD2938" i="38"/>
  <c r="BE2938" i="38" s="1"/>
  <c r="BF2938" i="38" s="1"/>
  <c r="BG2938" i="38" s="1"/>
  <c r="BH2938" i="38" s="1"/>
  <c r="BD2840" i="38"/>
  <c r="BE2840" i="38" s="1"/>
  <c r="BF2840" i="38" s="1"/>
  <c r="BG2840" i="38" s="1"/>
  <c r="BH2840" i="38" s="1"/>
  <c r="BD2833" i="38"/>
  <c r="BE2833" i="38" s="1"/>
  <c r="BF2833" i="38" s="1"/>
  <c r="BG2833" i="38" s="1"/>
  <c r="BH2833" i="38" s="1"/>
  <c r="BD2811" i="38"/>
  <c r="BE2811" i="38" s="1"/>
  <c r="BF2811" i="38" s="1"/>
  <c r="BG2811" i="38" s="1"/>
  <c r="BH2811" i="38" s="1"/>
  <c r="BD2785" i="38"/>
  <c r="BE2785" i="38" s="1"/>
  <c r="BF2785" i="38" s="1"/>
  <c r="BG2785" i="38" s="1"/>
  <c r="BH2785" i="38" s="1"/>
  <c r="BD2779" i="38"/>
  <c r="BE2779" i="38" s="1"/>
  <c r="BF2779" i="38" s="1"/>
  <c r="BG2779" i="38" s="1"/>
  <c r="BH2779" i="38" s="1"/>
  <c r="BD2764" i="38"/>
  <c r="BE2764" i="38" s="1"/>
  <c r="BF2764" i="38" s="1"/>
  <c r="BG2764" i="38" s="1"/>
  <c r="BH2764" i="38" s="1"/>
  <c r="BD2751" i="38"/>
  <c r="BE2751" i="38" s="1"/>
  <c r="BF2751" i="38" s="1"/>
  <c r="BG2751" i="38" s="1"/>
  <c r="BH2751" i="38" s="1"/>
  <c r="BD2735" i="38"/>
  <c r="BE2735" i="38" s="1"/>
  <c r="BF2735" i="38" s="1"/>
  <c r="BG2735" i="38" s="1"/>
  <c r="BH2735" i="38" s="1"/>
  <c r="BD2719" i="38"/>
  <c r="BE2719" i="38" s="1"/>
  <c r="BF2719" i="38" s="1"/>
  <c r="BG2719" i="38" s="1"/>
  <c r="BH2719" i="38" s="1"/>
  <c r="BD2703" i="38"/>
  <c r="BE2703" i="38" s="1"/>
  <c r="BF2703" i="38" s="1"/>
  <c r="BG2703" i="38" s="1"/>
  <c r="BH2703" i="38" s="1"/>
  <c r="BD2687" i="38"/>
  <c r="BE2687" i="38" s="1"/>
  <c r="BF2687" i="38" s="1"/>
  <c r="BG2687" i="38" s="1"/>
  <c r="BH2687" i="38" s="1"/>
  <c r="BD2671" i="38"/>
  <c r="BE2671" i="38" s="1"/>
  <c r="BF2671" i="38" s="1"/>
  <c r="BG2671" i="38" s="1"/>
  <c r="BH2671" i="38" s="1"/>
  <c r="BD2655" i="38"/>
  <c r="BE2655" i="38" s="1"/>
  <c r="BF2655" i="38" s="1"/>
  <c r="BG2655" i="38" s="1"/>
  <c r="BH2655" i="38" s="1"/>
  <c r="BD2639" i="38"/>
  <c r="BE2639" i="38" s="1"/>
  <c r="BF2639" i="38" s="1"/>
  <c r="BG2639" i="38" s="1"/>
  <c r="BH2639" i="38" s="1"/>
  <c r="BD2623" i="38"/>
  <c r="BE2623" i="38" s="1"/>
  <c r="BF2623" i="38" s="1"/>
  <c r="BG2623" i="38" s="1"/>
  <c r="BH2623" i="38" s="1"/>
  <c r="BD2607" i="38"/>
  <c r="BE2607" i="38" s="1"/>
  <c r="BF2607" i="38" s="1"/>
  <c r="BG2607" i="38" s="1"/>
  <c r="BH2607" i="38" s="1"/>
  <c r="BD2591" i="38"/>
  <c r="BE2591" i="38" s="1"/>
  <c r="BF2591" i="38" s="1"/>
  <c r="BG2591" i="38" s="1"/>
  <c r="BH2591" i="38" s="1"/>
  <c r="BD2575" i="38"/>
  <c r="BE2575" i="38" s="1"/>
  <c r="BF2575" i="38" s="1"/>
  <c r="BG2575" i="38" s="1"/>
  <c r="BH2575" i="38" s="1"/>
  <c r="BD2559" i="38"/>
  <c r="BE2559" i="38" s="1"/>
  <c r="BF2559" i="38" s="1"/>
  <c r="BG2559" i="38" s="1"/>
  <c r="BH2559" i="38" s="1"/>
  <c r="BD2543" i="38"/>
  <c r="BE2543" i="38" s="1"/>
  <c r="BF2543" i="38" s="1"/>
  <c r="BG2543" i="38" s="1"/>
  <c r="BH2543" i="38" s="1"/>
  <c r="BD2527" i="38"/>
  <c r="BE2527" i="38" s="1"/>
  <c r="BF2527" i="38" s="1"/>
  <c r="BG2527" i="38" s="1"/>
  <c r="BH2527" i="38" s="1"/>
  <c r="BD2511" i="38"/>
  <c r="BE2511" i="38" s="1"/>
  <c r="BF2511" i="38" s="1"/>
  <c r="BG2511" i="38" s="1"/>
  <c r="BH2511" i="38" s="1"/>
  <c r="BD2495" i="38"/>
  <c r="BE2495" i="38" s="1"/>
  <c r="BF2495" i="38" s="1"/>
  <c r="BG2495" i="38" s="1"/>
  <c r="BH2495" i="38" s="1"/>
  <c r="BD2479" i="38"/>
  <c r="BE2479" i="38" s="1"/>
  <c r="BF2479" i="38" s="1"/>
  <c r="BG2479" i="38" s="1"/>
  <c r="BH2479" i="38" s="1"/>
  <c r="BD2463" i="38"/>
  <c r="BE2463" i="38" s="1"/>
  <c r="BF2463" i="38" s="1"/>
  <c r="BG2463" i="38" s="1"/>
  <c r="BH2463" i="38" s="1"/>
  <c r="BD2447" i="38"/>
  <c r="BE2447" i="38" s="1"/>
  <c r="BF2447" i="38" s="1"/>
  <c r="BG2447" i="38" s="1"/>
  <c r="BH2447" i="38" s="1"/>
  <c r="BD2431" i="38"/>
  <c r="BE2431" i="38" s="1"/>
  <c r="BF2431" i="38" s="1"/>
  <c r="BG2431" i="38" s="1"/>
  <c r="BH2431" i="38" s="1"/>
  <c r="BD2415" i="38"/>
  <c r="BE2415" i="38" s="1"/>
  <c r="BF2415" i="38" s="1"/>
  <c r="BG2415" i="38" s="1"/>
  <c r="BH2415" i="38" s="1"/>
  <c r="BD2399" i="38"/>
  <c r="BE2399" i="38" s="1"/>
  <c r="BF2399" i="38" s="1"/>
  <c r="BG2399" i="38" s="1"/>
  <c r="BH2399" i="38" s="1"/>
  <c r="BD2383" i="38"/>
  <c r="BE2383" i="38" s="1"/>
  <c r="BF2383" i="38" s="1"/>
  <c r="BG2383" i="38" s="1"/>
  <c r="BH2383" i="38" s="1"/>
  <c r="BD2989" i="38"/>
  <c r="BE2989" i="38" s="1"/>
  <c r="BF2989" i="38" s="1"/>
  <c r="BG2989" i="38" s="1"/>
  <c r="BH2989" i="38" s="1"/>
  <c r="BD2887" i="38"/>
  <c r="BE2887" i="38" s="1"/>
  <c r="BF2887" i="38" s="1"/>
  <c r="BG2887" i="38" s="1"/>
  <c r="BH2887" i="38" s="1"/>
  <c r="BD2855" i="38"/>
  <c r="BE2855" i="38" s="1"/>
  <c r="BF2855" i="38" s="1"/>
  <c r="BG2855" i="38" s="1"/>
  <c r="BH2855" i="38" s="1"/>
  <c r="BD2826" i="38"/>
  <c r="BE2826" i="38" s="1"/>
  <c r="BF2826" i="38" s="1"/>
  <c r="BG2826" i="38" s="1"/>
  <c r="BH2826" i="38" s="1"/>
  <c r="BD2804" i="38"/>
  <c r="BE2804" i="38" s="1"/>
  <c r="BF2804" i="38" s="1"/>
  <c r="BG2804" i="38" s="1"/>
  <c r="BH2804" i="38" s="1"/>
  <c r="BD2754" i="38"/>
  <c r="BE2754" i="38" s="1"/>
  <c r="BF2754" i="38" s="1"/>
  <c r="BG2754" i="38" s="1"/>
  <c r="BH2754" i="38" s="1"/>
  <c r="BD2738" i="38"/>
  <c r="BE2738" i="38" s="1"/>
  <c r="BF2738" i="38" s="1"/>
  <c r="BG2738" i="38" s="1"/>
  <c r="BH2738" i="38" s="1"/>
  <c r="BD2977" i="38"/>
  <c r="BE2977" i="38" s="1"/>
  <c r="BF2977" i="38" s="1"/>
  <c r="BG2977" i="38" s="1"/>
  <c r="BH2977" i="38" s="1"/>
  <c r="BD2936" i="38"/>
  <c r="BE2936" i="38" s="1"/>
  <c r="BF2936" i="38" s="1"/>
  <c r="BG2936" i="38" s="1"/>
  <c r="BH2936" i="38" s="1"/>
  <c r="BD2916" i="38"/>
  <c r="BE2916" i="38" s="1"/>
  <c r="BF2916" i="38" s="1"/>
  <c r="BG2916" i="38" s="1"/>
  <c r="BH2916" i="38" s="1"/>
  <c r="BD2906" i="38"/>
  <c r="BE2906" i="38" s="1"/>
  <c r="BF2906" i="38" s="1"/>
  <c r="BG2906" i="38" s="1"/>
  <c r="BH2906" i="38" s="1"/>
  <c r="BD2791" i="38"/>
  <c r="BE2791" i="38" s="1"/>
  <c r="BF2791" i="38" s="1"/>
  <c r="BG2791" i="38" s="1"/>
  <c r="BH2791" i="38" s="1"/>
  <c r="BD2757" i="38"/>
  <c r="BE2757" i="38" s="1"/>
  <c r="BF2757" i="38" s="1"/>
  <c r="BG2757" i="38" s="1"/>
  <c r="BH2757" i="38" s="1"/>
  <c r="BD2741" i="38"/>
  <c r="BE2741" i="38" s="1"/>
  <c r="BF2741" i="38" s="1"/>
  <c r="BG2741" i="38" s="1"/>
  <c r="BH2741" i="38" s="1"/>
  <c r="BD2725" i="38"/>
  <c r="BE2725" i="38" s="1"/>
  <c r="BF2725" i="38" s="1"/>
  <c r="BG2725" i="38" s="1"/>
  <c r="BH2725" i="38" s="1"/>
  <c r="BD2709" i="38"/>
  <c r="BE2709" i="38" s="1"/>
  <c r="BF2709" i="38" s="1"/>
  <c r="BG2709" i="38" s="1"/>
  <c r="BH2709" i="38" s="1"/>
  <c r="BD2693" i="38"/>
  <c r="BE2693" i="38" s="1"/>
  <c r="BF2693" i="38" s="1"/>
  <c r="BG2693" i="38" s="1"/>
  <c r="BH2693" i="38" s="1"/>
  <c r="BD2677" i="38"/>
  <c r="BE2677" i="38" s="1"/>
  <c r="BF2677" i="38" s="1"/>
  <c r="BG2677" i="38" s="1"/>
  <c r="BH2677" i="38" s="1"/>
  <c r="BD2661" i="38"/>
  <c r="BE2661" i="38" s="1"/>
  <c r="BF2661" i="38" s="1"/>
  <c r="BG2661" i="38" s="1"/>
  <c r="BH2661" i="38" s="1"/>
  <c r="BD2645" i="38"/>
  <c r="BE2645" i="38" s="1"/>
  <c r="BF2645" i="38" s="1"/>
  <c r="BG2645" i="38" s="1"/>
  <c r="BH2645" i="38" s="1"/>
  <c r="BD2629" i="38"/>
  <c r="BE2629" i="38" s="1"/>
  <c r="BF2629" i="38" s="1"/>
  <c r="BG2629" i="38" s="1"/>
  <c r="BH2629" i="38" s="1"/>
  <c r="BD2613" i="38"/>
  <c r="BE2613" i="38" s="1"/>
  <c r="BF2613" i="38" s="1"/>
  <c r="BG2613" i="38" s="1"/>
  <c r="BH2613" i="38" s="1"/>
  <c r="BD2597" i="38"/>
  <c r="BE2597" i="38" s="1"/>
  <c r="BF2597" i="38" s="1"/>
  <c r="BG2597" i="38" s="1"/>
  <c r="BH2597" i="38" s="1"/>
  <c r="BD2581" i="38"/>
  <c r="BE2581" i="38" s="1"/>
  <c r="BF2581" i="38" s="1"/>
  <c r="BG2581" i="38" s="1"/>
  <c r="BH2581" i="38" s="1"/>
  <c r="BD2565" i="38"/>
  <c r="BE2565" i="38" s="1"/>
  <c r="BF2565" i="38" s="1"/>
  <c r="BG2565" i="38" s="1"/>
  <c r="BH2565" i="38" s="1"/>
  <c r="BD2549" i="38"/>
  <c r="BE2549" i="38" s="1"/>
  <c r="BF2549" i="38" s="1"/>
  <c r="BG2549" i="38" s="1"/>
  <c r="BH2549" i="38" s="1"/>
  <c r="BD2533" i="38"/>
  <c r="BE2533" i="38" s="1"/>
  <c r="BF2533" i="38" s="1"/>
  <c r="BG2533" i="38" s="1"/>
  <c r="BH2533" i="38" s="1"/>
  <c r="BD2957" i="38"/>
  <c r="BE2957" i="38" s="1"/>
  <c r="BF2957" i="38" s="1"/>
  <c r="BG2957" i="38" s="1"/>
  <c r="BH2957" i="38" s="1"/>
  <c r="BD2824" i="38"/>
  <c r="BE2824" i="38" s="1"/>
  <c r="BF2824" i="38" s="1"/>
  <c r="BG2824" i="38" s="1"/>
  <c r="BH2824" i="38" s="1"/>
  <c r="BD2817" i="38"/>
  <c r="BE2817" i="38" s="1"/>
  <c r="BF2817" i="38" s="1"/>
  <c r="BG2817" i="38" s="1"/>
  <c r="BH2817" i="38" s="1"/>
  <c r="BD2760" i="38"/>
  <c r="BE2760" i="38" s="1"/>
  <c r="BF2760" i="38" s="1"/>
  <c r="BG2760" i="38" s="1"/>
  <c r="BH2760" i="38" s="1"/>
  <c r="BD2744" i="38"/>
  <c r="BE2744" i="38" s="1"/>
  <c r="BF2744" i="38" s="1"/>
  <c r="BG2744" i="38" s="1"/>
  <c r="BH2744" i="38" s="1"/>
  <c r="BD2728" i="38"/>
  <c r="BE2728" i="38" s="1"/>
  <c r="BF2728" i="38" s="1"/>
  <c r="BG2728" i="38" s="1"/>
  <c r="BH2728" i="38" s="1"/>
  <c r="BD2712" i="38"/>
  <c r="BE2712" i="38" s="1"/>
  <c r="BF2712" i="38" s="1"/>
  <c r="BG2712" i="38" s="1"/>
  <c r="BH2712" i="38" s="1"/>
  <c r="BD2696" i="38"/>
  <c r="BE2696" i="38" s="1"/>
  <c r="BF2696" i="38" s="1"/>
  <c r="BG2696" i="38" s="1"/>
  <c r="BH2696" i="38" s="1"/>
  <c r="BD2680" i="38"/>
  <c r="BE2680" i="38" s="1"/>
  <c r="BF2680" i="38" s="1"/>
  <c r="BG2680" i="38" s="1"/>
  <c r="BH2680" i="38" s="1"/>
  <c r="BD2664" i="38"/>
  <c r="BE2664" i="38" s="1"/>
  <c r="BF2664" i="38" s="1"/>
  <c r="BG2664" i="38" s="1"/>
  <c r="BH2664" i="38" s="1"/>
  <c r="BD2648" i="38"/>
  <c r="BE2648" i="38" s="1"/>
  <c r="BF2648" i="38" s="1"/>
  <c r="BG2648" i="38" s="1"/>
  <c r="BH2648" i="38" s="1"/>
  <c r="BD2632" i="38"/>
  <c r="BE2632" i="38" s="1"/>
  <c r="BF2632" i="38" s="1"/>
  <c r="BG2632" i="38" s="1"/>
  <c r="BH2632" i="38" s="1"/>
  <c r="BD2616" i="38"/>
  <c r="BE2616" i="38" s="1"/>
  <c r="BF2616" i="38" s="1"/>
  <c r="BG2616" i="38" s="1"/>
  <c r="BH2616" i="38" s="1"/>
  <c r="BD2600" i="38"/>
  <c r="BE2600" i="38" s="1"/>
  <c r="BF2600" i="38" s="1"/>
  <c r="BG2600" i="38" s="1"/>
  <c r="BH2600" i="38" s="1"/>
  <c r="BD2584" i="38"/>
  <c r="BE2584" i="38" s="1"/>
  <c r="BF2584" i="38" s="1"/>
  <c r="BG2584" i="38" s="1"/>
  <c r="BH2584" i="38" s="1"/>
  <c r="BD2568" i="38"/>
  <c r="BE2568" i="38" s="1"/>
  <c r="BF2568" i="38" s="1"/>
  <c r="BG2568" i="38" s="1"/>
  <c r="BH2568" i="38" s="1"/>
  <c r="BD2552" i="38"/>
  <c r="BE2552" i="38" s="1"/>
  <c r="BF2552" i="38" s="1"/>
  <c r="BG2552" i="38" s="1"/>
  <c r="BH2552" i="38" s="1"/>
  <c r="BD2536" i="38"/>
  <c r="BE2536" i="38" s="1"/>
  <c r="BF2536" i="38" s="1"/>
  <c r="BG2536" i="38" s="1"/>
  <c r="BH2536" i="38" s="1"/>
  <c r="BD2771" i="38"/>
  <c r="BE2771" i="38" s="1"/>
  <c r="BF2771" i="38" s="1"/>
  <c r="BG2771" i="38" s="1"/>
  <c r="BH2771" i="38" s="1"/>
  <c r="BD2726" i="38"/>
  <c r="BE2726" i="38" s="1"/>
  <c r="BF2726" i="38" s="1"/>
  <c r="BG2726" i="38" s="1"/>
  <c r="BH2726" i="38" s="1"/>
  <c r="BD2697" i="38"/>
  <c r="BE2697" i="38" s="1"/>
  <c r="BF2697" i="38" s="1"/>
  <c r="BG2697" i="38" s="1"/>
  <c r="BH2697" i="38" s="1"/>
  <c r="BD2682" i="38"/>
  <c r="BE2682" i="38" s="1"/>
  <c r="BF2682" i="38" s="1"/>
  <c r="BG2682" i="38" s="1"/>
  <c r="BH2682" i="38" s="1"/>
  <c r="BD2587" i="38"/>
  <c r="BE2587" i="38" s="1"/>
  <c r="BF2587" i="38" s="1"/>
  <c r="BG2587" i="38" s="1"/>
  <c r="BH2587" i="38" s="1"/>
  <c r="BD2558" i="38"/>
  <c r="BE2558" i="38" s="1"/>
  <c r="BF2558" i="38" s="1"/>
  <c r="BG2558" i="38" s="1"/>
  <c r="BH2558" i="38" s="1"/>
  <c r="BD2523" i="38"/>
  <c r="BE2523" i="38" s="1"/>
  <c r="BF2523" i="38" s="1"/>
  <c r="BG2523" i="38" s="1"/>
  <c r="BH2523" i="38" s="1"/>
  <c r="BD2517" i="38"/>
  <c r="BE2517" i="38" s="1"/>
  <c r="BF2517" i="38" s="1"/>
  <c r="BG2517" i="38" s="1"/>
  <c r="BH2517" i="38" s="1"/>
  <c r="BD2426" i="38"/>
  <c r="BE2426" i="38" s="1"/>
  <c r="BF2426" i="38" s="1"/>
  <c r="BG2426" i="38" s="1"/>
  <c r="BH2426" i="38" s="1"/>
  <c r="BD2409" i="38"/>
  <c r="BE2409" i="38" s="1"/>
  <c r="BF2409" i="38" s="1"/>
  <c r="BG2409" i="38" s="1"/>
  <c r="BH2409" i="38" s="1"/>
  <c r="BD2403" i="38"/>
  <c r="BE2403" i="38" s="1"/>
  <c r="BF2403" i="38" s="1"/>
  <c r="BG2403" i="38" s="1"/>
  <c r="BH2403" i="38" s="1"/>
  <c r="BD2398" i="38"/>
  <c r="BE2398" i="38" s="1"/>
  <c r="BF2398" i="38" s="1"/>
  <c r="BG2398" i="38" s="1"/>
  <c r="BH2398" i="38" s="1"/>
  <c r="BD2392" i="38"/>
  <c r="BE2392" i="38" s="1"/>
  <c r="BF2392" i="38" s="1"/>
  <c r="BG2392" i="38" s="1"/>
  <c r="BH2392" i="38" s="1"/>
  <c r="BD2370" i="38"/>
  <c r="BE2370" i="38" s="1"/>
  <c r="BF2370" i="38" s="1"/>
  <c r="BG2370" i="38" s="1"/>
  <c r="BH2370" i="38" s="1"/>
  <c r="BD2359" i="38"/>
  <c r="BE2359" i="38" s="1"/>
  <c r="BF2359" i="38" s="1"/>
  <c r="BG2359" i="38" s="1"/>
  <c r="BH2359" i="38" s="1"/>
  <c r="BD2343" i="38"/>
  <c r="BE2343" i="38" s="1"/>
  <c r="BF2343" i="38" s="1"/>
  <c r="BG2343" i="38" s="1"/>
  <c r="BH2343" i="38" s="1"/>
  <c r="BD2327" i="38"/>
  <c r="BE2327" i="38" s="1"/>
  <c r="BF2327" i="38" s="1"/>
  <c r="BG2327" i="38" s="1"/>
  <c r="BH2327" i="38" s="1"/>
  <c r="BD2311" i="38"/>
  <c r="BE2311" i="38" s="1"/>
  <c r="BF2311" i="38" s="1"/>
  <c r="BG2311" i="38" s="1"/>
  <c r="BH2311" i="38" s="1"/>
  <c r="BD2295" i="38"/>
  <c r="BE2295" i="38" s="1"/>
  <c r="BF2295" i="38" s="1"/>
  <c r="BG2295" i="38" s="1"/>
  <c r="BH2295" i="38" s="1"/>
  <c r="BD2279" i="38"/>
  <c r="BE2279" i="38" s="1"/>
  <c r="BF2279" i="38" s="1"/>
  <c r="BG2279" i="38" s="1"/>
  <c r="BH2279" i="38" s="1"/>
  <c r="BD2263" i="38"/>
  <c r="BE2263" i="38" s="1"/>
  <c r="BF2263" i="38" s="1"/>
  <c r="BG2263" i="38" s="1"/>
  <c r="BH2263" i="38" s="1"/>
  <c r="BD2247" i="38"/>
  <c r="BE2247" i="38" s="1"/>
  <c r="BF2247" i="38" s="1"/>
  <c r="BG2247" i="38" s="1"/>
  <c r="BH2247" i="38" s="1"/>
  <c r="BD2231" i="38"/>
  <c r="BE2231" i="38" s="1"/>
  <c r="BF2231" i="38" s="1"/>
  <c r="BG2231" i="38" s="1"/>
  <c r="BH2231" i="38" s="1"/>
  <c r="BD2215" i="38"/>
  <c r="BE2215" i="38" s="1"/>
  <c r="BF2215" i="38" s="1"/>
  <c r="BG2215" i="38" s="1"/>
  <c r="BH2215" i="38" s="1"/>
  <c r="BD2199" i="38"/>
  <c r="BE2199" i="38" s="1"/>
  <c r="BF2199" i="38" s="1"/>
  <c r="BG2199" i="38" s="1"/>
  <c r="BH2199" i="38" s="1"/>
  <c r="BD2183" i="38"/>
  <c r="BE2183" i="38" s="1"/>
  <c r="BF2183" i="38" s="1"/>
  <c r="BG2183" i="38" s="1"/>
  <c r="BH2183" i="38" s="1"/>
  <c r="BD2167" i="38"/>
  <c r="BE2167" i="38" s="1"/>
  <c r="BF2167" i="38" s="1"/>
  <c r="BG2167" i="38" s="1"/>
  <c r="BH2167" i="38" s="1"/>
  <c r="BD2151" i="38"/>
  <c r="BE2151" i="38" s="1"/>
  <c r="BF2151" i="38" s="1"/>
  <c r="BG2151" i="38" s="1"/>
  <c r="BH2151" i="38" s="1"/>
  <c r="BD2135" i="38"/>
  <c r="BE2135" i="38" s="1"/>
  <c r="BF2135" i="38" s="1"/>
  <c r="BG2135" i="38" s="1"/>
  <c r="BH2135" i="38" s="1"/>
  <c r="BD2119" i="38"/>
  <c r="BE2119" i="38" s="1"/>
  <c r="BF2119" i="38" s="1"/>
  <c r="BG2119" i="38" s="1"/>
  <c r="BH2119" i="38" s="1"/>
  <c r="BD2103" i="38"/>
  <c r="BE2103" i="38" s="1"/>
  <c r="BF2103" i="38" s="1"/>
  <c r="BG2103" i="38" s="1"/>
  <c r="BH2103" i="38" s="1"/>
  <c r="BD2087" i="38"/>
  <c r="BE2087" i="38" s="1"/>
  <c r="BF2087" i="38" s="1"/>
  <c r="BG2087" i="38" s="1"/>
  <c r="BH2087" i="38" s="1"/>
  <c r="BD2071" i="38"/>
  <c r="BE2071" i="38" s="1"/>
  <c r="BF2071" i="38" s="1"/>
  <c r="BG2071" i="38" s="1"/>
  <c r="BH2071" i="38" s="1"/>
  <c r="BD2055" i="38"/>
  <c r="BE2055" i="38" s="1"/>
  <c r="BF2055" i="38" s="1"/>
  <c r="BG2055" i="38" s="1"/>
  <c r="BH2055" i="38" s="1"/>
  <c r="BD2039" i="38"/>
  <c r="BE2039" i="38" s="1"/>
  <c r="BF2039" i="38" s="1"/>
  <c r="BG2039" i="38" s="1"/>
  <c r="BH2039" i="38" s="1"/>
  <c r="BD2023" i="38"/>
  <c r="BE2023" i="38" s="1"/>
  <c r="BF2023" i="38" s="1"/>
  <c r="BG2023" i="38" s="1"/>
  <c r="BH2023" i="38" s="1"/>
  <c r="BD2007" i="38"/>
  <c r="BE2007" i="38" s="1"/>
  <c r="BF2007" i="38" s="1"/>
  <c r="BG2007" i="38" s="1"/>
  <c r="BH2007" i="38" s="1"/>
  <c r="BD1991" i="38"/>
  <c r="BE1991" i="38" s="1"/>
  <c r="BF1991" i="38" s="1"/>
  <c r="BG1991" i="38" s="1"/>
  <c r="BH1991" i="38" s="1"/>
  <c r="BD1975" i="38"/>
  <c r="BE1975" i="38" s="1"/>
  <c r="BF1975" i="38" s="1"/>
  <c r="BG1975" i="38" s="1"/>
  <c r="BH1975" i="38" s="1"/>
  <c r="BD1959" i="38"/>
  <c r="BE1959" i="38" s="1"/>
  <c r="BF1959" i="38" s="1"/>
  <c r="BG1959" i="38" s="1"/>
  <c r="BH1959" i="38" s="1"/>
  <c r="BD1943" i="38"/>
  <c r="BE1943" i="38" s="1"/>
  <c r="BF1943" i="38" s="1"/>
  <c r="BG1943" i="38" s="1"/>
  <c r="BH1943" i="38" s="1"/>
  <c r="BD1927" i="38"/>
  <c r="BE1927" i="38" s="1"/>
  <c r="BF1927" i="38" s="1"/>
  <c r="BG1927" i="38" s="1"/>
  <c r="BH1927" i="38" s="1"/>
  <c r="BD1911" i="38"/>
  <c r="BE1911" i="38" s="1"/>
  <c r="BF1911" i="38" s="1"/>
  <c r="BG1911" i="38" s="1"/>
  <c r="BH1911" i="38" s="1"/>
  <c r="BD1895" i="38"/>
  <c r="BE1895" i="38" s="1"/>
  <c r="BF1895" i="38" s="1"/>
  <c r="BG1895" i="38" s="1"/>
  <c r="BH1895" i="38" s="1"/>
  <c r="BD1879" i="38"/>
  <c r="BE1879" i="38" s="1"/>
  <c r="BF1879" i="38" s="1"/>
  <c r="BG1879" i="38" s="1"/>
  <c r="BH1879" i="38" s="1"/>
  <c r="BD1863" i="38"/>
  <c r="BE1863" i="38" s="1"/>
  <c r="BF1863" i="38" s="1"/>
  <c r="BG1863" i="38" s="1"/>
  <c r="BH1863" i="38" s="1"/>
  <c r="BD1847" i="38"/>
  <c r="BE1847" i="38" s="1"/>
  <c r="BF1847" i="38" s="1"/>
  <c r="BG1847" i="38" s="1"/>
  <c r="BH1847" i="38" s="1"/>
  <c r="BD1831" i="38"/>
  <c r="BE1831" i="38" s="1"/>
  <c r="BF1831" i="38" s="1"/>
  <c r="BG1831" i="38" s="1"/>
  <c r="BH1831" i="38" s="1"/>
  <c r="BD1815" i="38"/>
  <c r="BE1815" i="38" s="1"/>
  <c r="BF1815" i="38" s="1"/>
  <c r="BG1815" i="38" s="1"/>
  <c r="BH1815" i="38" s="1"/>
  <c r="BD1799" i="38"/>
  <c r="BE1799" i="38" s="1"/>
  <c r="BF1799" i="38" s="1"/>
  <c r="BG1799" i="38" s="1"/>
  <c r="BH1799" i="38" s="1"/>
  <c r="BD1783" i="38"/>
  <c r="BE1783" i="38" s="1"/>
  <c r="BF1783" i="38" s="1"/>
  <c r="BG1783" i="38" s="1"/>
  <c r="BH1783" i="38" s="1"/>
  <c r="BD1767" i="38"/>
  <c r="BE1767" i="38" s="1"/>
  <c r="BF1767" i="38" s="1"/>
  <c r="BG1767" i="38" s="1"/>
  <c r="BH1767" i="38" s="1"/>
  <c r="BD1751" i="38"/>
  <c r="BE1751" i="38" s="1"/>
  <c r="BF1751" i="38" s="1"/>
  <c r="BG1751" i="38" s="1"/>
  <c r="BH1751" i="38" s="1"/>
  <c r="BD1735" i="38"/>
  <c r="BE1735" i="38" s="1"/>
  <c r="BF1735" i="38" s="1"/>
  <c r="BG1735" i="38" s="1"/>
  <c r="BH1735" i="38" s="1"/>
  <c r="BD1719" i="38"/>
  <c r="BE1719" i="38" s="1"/>
  <c r="BF1719" i="38" s="1"/>
  <c r="BG1719" i="38" s="1"/>
  <c r="BH1719" i="38" s="1"/>
  <c r="BD1703" i="38"/>
  <c r="BE1703" i="38" s="1"/>
  <c r="BF1703" i="38" s="1"/>
  <c r="BG1703" i="38" s="1"/>
  <c r="BH1703" i="38" s="1"/>
  <c r="BD1687" i="38"/>
  <c r="BE1687" i="38" s="1"/>
  <c r="BF1687" i="38" s="1"/>
  <c r="BG1687" i="38" s="1"/>
  <c r="BH1687" i="38" s="1"/>
  <c r="BD1671" i="38"/>
  <c r="BE1671" i="38" s="1"/>
  <c r="BF1671" i="38" s="1"/>
  <c r="BG1671" i="38" s="1"/>
  <c r="BH1671" i="38" s="1"/>
  <c r="BD1655" i="38"/>
  <c r="BE1655" i="38" s="1"/>
  <c r="BF1655" i="38" s="1"/>
  <c r="BG1655" i="38" s="1"/>
  <c r="BH1655" i="38" s="1"/>
  <c r="BD1639" i="38"/>
  <c r="BE1639" i="38" s="1"/>
  <c r="BF1639" i="38" s="1"/>
  <c r="BG1639" i="38" s="1"/>
  <c r="BH1639" i="38" s="1"/>
  <c r="BD1623" i="38"/>
  <c r="BE1623" i="38" s="1"/>
  <c r="BF1623" i="38" s="1"/>
  <c r="BG1623" i="38" s="1"/>
  <c r="BH1623" i="38" s="1"/>
  <c r="BD2909" i="38"/>
  <c r="BE2909" i="38" s="1"/>
  <c r="BF2909" i="38" s="1"/>
  <c r="BG2909" i="38" s="1"/>
  <c r="BH2909" i="38" s="1"/>
  <c r="BD2861" i="38"/>
  <c r="BE2861" i="38" s="1"/>
  <c r="BF2861" i="38" s="1"/>
  <c r="BG2861" i="38" s="1"/>
  <c r="BH2861" i="38" s="1"/>
  <c r="BD2842" i="38"/>
  <c r="BE2842" i="38" s="1"/>
  <c r="BF2842" i="38" s="1"/>
  <c r="BG2842" i="38" s="1"/>
  <c r="BH2842" i="38" s="1"/>
  <c r="BD2734" i="38"/>
  <c r="BE2734" i="38" s="1"/>
  <c r="BF2734" i="38" s="1"/>
  <c r="BG2734" i="38" s="1"/>
  <c r="BH2734" i="38" s="1"/>
  <c r="BD2667" i="38"/>
  <c r="BE2667" i="38" s="1"/>
  <c r="BF2667" i="38" s="1"/>
  <c r="BG2667" i="38" s="1"/>
  <c r="BH2667" i="38" s="1"/>
  <c r="BD2638" i="38"/>
  <c r="BE2638" i="38" s="1"/>
  <c r="BF2638" i="38" s="1"/>
  <c r="BG2638" i="38" s="1"/>
  <c r="BH2638" i="38" s="1"/>
  <c r="BD2594" i="38"/>
  <c r="BE2594" i="38" s="1"/>
  <c r="BF2594" i="38" s="1"/>
  <c r="BG2594" i="38" s="1"/>
  <c r="BH2594" i="38" s="1"/>
  <c r="BD2579" i="38"/>
  <c r="BE2579" i="38" s="1"/>
  <c r="BF2579" i="38" s="1"/>
  <c r="BG2579" i="38" s="1"/>
  <c r="BH2579" i="38" s="1"/>
  <c r="BD2550" i="38"/>
  <c r="BE2550" i="38" s="1"/>
  <c r="BF2550" i="38" s="1"/>
  <c r="BG2550" i="38" s="1"/>
  <c r="BH2550" i="38" s="1"/>
  <c r="BD2454" i="38"/>
  <c r="BE2454" i="38" s="1"/>
  <c r="BF2454" i="38" s="1"/>
  <c r="BG2454" i="38" s="1"/>
  <c r="BH2454" i="38" s="1"/>
  <c r="BD2443" i="38"/>
  <c r="BE2443" i="38" s="1"/>
  <c r="BF2443" i="38" s="1"/>
  <c r="BG2443" i="38" s="1"/>
  <c r="BH2443" i="38" s="1"/>
  <c r="BD2437" i="38"/>
  <c r="BE2437" i="38" s="1"/>
  <c r="BF2437" i="38" s="1"/>
  <c r="BG2437" i="38" s="1"/>
  <c r="BH2437" i="38" s="1"/>
  <c r="BD2382" i="38"/>
  <c r="BE2382" i="38" s="1"/>
  <c r="BF2382" i="38" s="1"/>
  <c r="BG2382" i="38" s="1"/>
  <c r="BH2382" i="38" s="1"/>
  <c r="BD2346" i="38"/>
  <c r="BE2346" i="38" s="1"/>
  <c r="BF2346" i="38" s="1"/>
  <c r="BG2346" i="38" s="1"/>
  <c r="BH2346" i="38" s="1"/>
  <c r="BD2330" i="38"/>
  <c r="BE2330" i="38" s="1"/>
  <c r="BF2330" i="38" s="1"/>
  <c r="BG2330" i="38" s="1"/>
  <c r="BH2330" i="38" s="1"/>
  <c r="BD2314" i="38"/>
  <c r="BE2314" i="38" s="1"/>
  <c r="BF2314" i="38" s="1"/>
  <c r="BG2314" i="38" s="1"/>
  <c r="BH2314" i="38" s="1"/>
  <c r="BD2298" i="38"/>
  <c r="BE2298" i="38" s="1"/>
  <c r="BF2298" i="38" s="1"/>
  <c r="BG2298" i="38" s="1"/>
  <c r="BH2298" i="38" s="1"/>
  <c r="BD2282" i="38"/>
  <c r="BE2282" i="38" s="1"/>
  <c r="BF2282" i="38" s="1"/>
  <c r="BG2282" i="38" s="1"/>
  <c r="BH2282" i="38" s="1"/>
  <c r="BD2266" i="38"/>
  <c r="BE2266" i="38" s="1"/>
  <c r="BF2266" i="38" s="1"/>
  <c r="BG2266" i="38" s="1"/>
  <c r="BH2266" i="38" s="1"/>
  <c r="BD2250" i="38"/>
  <c r="BE2250" i="38" s="1"/>
  <c r="BF2250" i="38" s="1"/>
  <c r="BG2250" i="38" s="1"/>
  <c r="BH2250" i="38" s="1"/>
  <c r="BD2234" i="38"/>
  <c r="BE2234" i="38" s="1"/>
  <c r="BF2234" i="38" s="1"/>
  <c r="BG2234" i="38" s="1"/>
  <c r="BH2234" i="38" s="1"/>
  <c r="BD2218" i="38"/>
  <c r="BE2218" i="38" s="1"/>
  <c r="BF2218" i="38" s="1"/>
  <c r="BG2218" i="38" s="1"/>
  <c r="BH2218" i="38" s="1"/>
  <c r="BD2202" i="38"/>
  <c r="BE2202" i="38" s="1"/>
  <c r="BF2202" i="38" s="1"/>
  <c r="BG2202" i="38" s="1"/>
  <c r="BH2202" i="38" s="1"/>
  <c r="BD2186" i="38"/>
  <c r="BE2186" i="38" s="1"/>
  <c r="BF2186" i="38" s="1"/>
  <c r="BG2186" i="38" s="1"/>
  <c r="BH2186" i="38" s="1"/>
  <c r="BD2170" i="38"/>
  <c r="BE2170" i="38" s="1"/>
  <c r="BF2170" i="38" s="1"/>
  <c r="BG2170" i="38" s="1"/>
  <c r="BH2170" i="38" s="1"/>
  <c r="BD2154" i="38"/>
  <c r="BE2154" i="38" s="1"/>
  <c r="BF2154" i="38" s="1"/>
  <c r="BG2154" i="38" s="1"/>
  <c r="BH2154" i="38" s="1"/>
  <c r="BD2138" i="38"/>
  <c r="BE2138" i="38" s="1"/>
  <c r="BF2138" i="38" s="1"/>
  <c r="BG2138" i="38" s="1"/>
  <c r="BH2138" i="38" s="1"/>
  <c r="BD2122" i="38"/>
  <c r="BE2122" i="38" s="1"/>
  <c r="BF2122" i="38" s="1"/>
  <c r="BG2122" i="38" s="1"/>
  <c r="BH2122" i="38" s="1"/>
  <c r="BD2106" i="38"/>
  <c r="BE2106" i="38" s="1"/>
  <c r="BF2106" i="38" s="1"/>
  <c r="BG2106" i="38" s="1"/>
  <c r="BH2106" i="38" s="1"/>
  <c r="BD2090" i="38"/>
  <c r="BE2090" i="38" s="1"/>
  <c r="BF2090" i="38" s="1"/>
  <c r="BG2090" i="38" s="1"/>
  <c r="BH2090" i="38" s="1"/>
  <c r="BD2074" i="38"/>
  <c r="BE2074" i="38" s="1"/>
  <c r="BF2074" i="38" s="1"/>
  <c r="BG2074" i="38" s="1"/>
  <c r="BH2074" i="38" s="1"/>
  <c r="BD2058" i="38"/>
  <c r="BE2058" i="38" s="1"/>
  <c r="BF2058" i="38" s="1"/>
  <c r="BG2058" i="38" s="1"/>
  <c r="BH2058" i="38" s="1"/>
  <c r="BD2042" i="38"/>
  <c r="BE2042" i="38" s="1"/>
  <c r="BF2042" i="38" s="1"/>
  <c r="BG2042" i="38" s="1"/>
  <c r="BH2042" i="38" s="1"/>
  <c r="BD2026" i="38"/>
  <c r="BE2026" i="38" s="1"/>
  <c r="BF2026" i="38" s="1"/>
  <c r="BG2026" i="38" s="1"/>
  <c r="BH2026" i="38" s="1"/>
  <c r="BD2010" i="38"/>
  <c r="BE2010" i="38" s="1"/>
  <c r="BF2010" i="38" s="1"/>
  <c r="BG2010" i="38" s="1"/>
  <c r="BH2010" i="38" s="1"/>
  <c r="BD1994" i="38"/>
  <c r="BE1994" i="38" s="1"/>
  <c r="BF1994" i="38" s="1"/>
  <c r="BG1994" i="38" s="1"/>
  <c r="BH1994" i="38" s="1"/>
  <c r="BD1978" i="38"/>
  <c r="BE1978" i="38" s="1"/>
  <c r="BF1978" i="38" s="1"/>
  <c r="BG1978" i="38" s="1"/>
  <c r="BH1978" i="38" s="1"/>
  <c r="BD1962" i="38"/>
  <c r="BE1962" i="38" s="1"/>
  <c r="BF1962" i="38" s="1"/>
  <c r="BG1962" i="38" s="1"/>
  <c r="BH1962" i="38" s="1"/>
  <c r="BD1946" i="38"/>
  <c r="BE1946" i="38" s="1"/>
  <c r="BF1946" i="38" s="1"/>
  <c r="BG1946" i="38" s="1"/>
  <c r="BH1946" i="38" s="1"/>
  <c r="BD1930" i="38"/>
  <c r="BE1930" i="38" s="1"/>
  <c r="BF1930" i="38" s="1"/>
  <c r="BG1930" i="38" s="1"/>
  <c r="BH1930" i="38" s="1"/>
  <c r="BD1914" i="38"/>
  <c r="BE1914" i="38" s="1"/>
  <c r="BF1914" i="38" s="1"/>
  <c r="BG1914" i="38" s="1"/>
  <c r="BH1914" i="38" s="1"/>
  <c r="BD1898" i="38"/>
  <c r="BE1898" i="38" s="1"/>
  <c r="BF1898" i="38" s="1"/>
  <c r="BG1898" i="38" s="1"/>
  <c r="BH1898" i="38" s="1"/>
  <c r="BD1882" i="38"/>
  <c r="BE1882" i="38" s="1"/>
  <c r="BF1882" i="38" s="1"/>
  <c r="BG1882" i="38" s="1"/>
  <c r="BH1882" i="38" s="1"/>
  <c r="BD1866" i="38"/>
  <c r="BE1866" i="38" s="1"/>
  <c r="BF1866" i="38" s="1"/>
  <c r="BG1866" i="38" s="1"/>
  <c r="BH1866" i="38" s="1"/>
  <c r="BD1850" i="38"/>
  <c r="BE1850" i="38" s="1"/>
  <c r="BF1850" i="38" s="1"/>
  <c r="BG1850" i="38" s="1"/>
  <c r="BH1850" i="38" s="1"/>
  <c r="BD1834" i="38"/>
  <c r="BE1834" i="38" s="1"/>
  <c r="BF1834" i="38" s="1"/>
  <c r="BG1834" i="38" s="1"/>
  <c r="BH1834" i="38" s="1"/>
  <c r="BD1818" i="38"/>
  <c r="BE1818" i="38" s="1"/>
  <c r="BF1818" i="38" s="1"/>
  <c r="BG1818" i="38" s="1"/>
  <c r="BH1818" i="38" s="1"/>
  <c r="BD1802" i="38"/>
  <c r="BE1802" i="38" s="1"/>
  <c r="BF1802" i="38" s="1"/>
  <c r="BG1802" i="38" s="1"/>
  <c r="BH1802" i="38" s="1"/>
  <c r="BD1786" i="38"/>
  <c r="BE1786" i="38" s="1"/>
  <c r="BF1786" i="38" s="1"/>
  <c r="BG1786" i="38" s="1"/>
  <c r="BH1786" i="38" s="1"/>
  <c r="BD1770" i="38"/>
  <c r="BE1770" i="38" s="1"/>
  <c r="BF1770" i="38" s="1"/>
  <c r="BG1770" i="38" s="1"/>
  <c r="BH1770" i="38" s="1"/>
  <c r="BD1754" i="38"/>
  <c r="BE1754" i="38" s="1"/>
  <c r="BF1754" i="38" s="1"/>
  <c r="BG1754" i="38" s="1"/>
  <c r="BH1754" i="38" s="1"/>
  <c r="BD1738" i="38"/>
  <c r="BE1738" i="38" s="1"/>
  <c r="BF1738" i="38" s="1"/>
  <c r="BG1738" i="38" s="1"/>
  <c r="BH1738" i="38" s="1"/>
  <c r="BD1722" i="38"/>
  <c r="BE1722" i="38" s="1"/>
  <c r="BF1722" i="38" s="1"/>
  <c r="BG1722" i="38" s="1"/>
  <c r="BH1722" i="38" s="1"/>
  <c r="BD1706" i="38"/>
  <c r="BE1706" i="38" s="1"/>
  <c r="BF1706" i="38" s="1"/>
  <c r="BG1706" i="38" s="1"/>
  <c r="BH1706" i="38" s="1"/>
  <c r="BD1690" i="38"/>
  <c r="BE1690" i="38" s="1"/>
  <c r="BF1690" i="38" s="1"/>
  <c r="BG1690" i="38" s="1"/>
  <c r="BH1690" i="38" s="1"/>
  <c r="BD1674" i="38"/>
  <c r="BE1674" i="38" s="1"/>
  <c r="BF1674" i="38" s="1"/>
  <c r="BG1674" i="38" s="1"/>
  <c r="BH1674" i="38" s="1"/>
  <c r="BD1658" i="38"/>
  <c r="BE1658" i="38" s="1"/>
  <c r="BF1658" i="38" s="1"/>
  <c r="BG1658" i="38" s="1"/>
  <c r="BH1658" i="38" s="1"/>
  <c r="BD1642" i="38"/>
  <c r="BE1642" i="38" s="1"/>
  <c r="BF1642" i="38" s="1"/>
  <c r="BG1642" i="38" s="1"/>
  <c r="BH1642" i="38" s="1"/>
  <c r="BD1626" i="38"/>
  <c r="BE1626" i="38" s="1"/>
  <c r="BF1626" i="38" s="1"/>
  <c r="BG1626" i="38" s="1"/>
  <c r="BH1626" i="38" s="1"/>
  <c r="BD2932" i="38"/>
  <c r="BE2932" i="38" s="1"/>
  <c r="BF2932" i="38" s="1"/>
  <c r="BG2932" i="38" s="1"/>
  <c r="BH2932" i="38" s="1"/>
  <c r="BD2904" i="38"/>
  <c r="BE2904" i="38" s="1"/>
  <c r="BF2904" i="38" s="1"/>
  <c r="BG2904" i="38" s="1"/>
  <c r="BH2904" i="38" s="1"/>
  <c r="BD2839" i="38"/>
  <c r="BE2839" i="38" s="1"/>
  <c r="BF2839" i="38" s="1"/>
  <c r="BG2839" i="38" s="1"/>
  <c r="BH2839" i="38" s="1"/>
  <c r="BD2820" i="38"/>
  <c r="BE2820" i="38" s="1"/>
  <c r="BF2820" i="38" s="1"/>
  <c r="BG2820" i="38" s="1"/>
  <c r="BH2820" i="38" s="1"/>
  <c r="BD2769" i="38"/>
  <c r="BE2769" i="38" s="1"/>
  <c r="BF2769" i="38" s="1"/>
  <c r="BG2769" i="38" s="1"/>
  <c r="BH2769" i="38" s="1"/>
  <c r="BD2742" i="38"/>
  <c r="BE2742" i="38" s="1"/>
  <c r="BF2742" i="38" s="1"/>
  <c r="BG2742" i="38" s="1"/>
  <c r="BH2742" i="38" s="1"/>
  <c r="BD2718" i="38"/>
  <c r="BE2718" i="38" s="1"/>
  <c r="BF2718" i="38" s="1"/>
  <c r="BG2718" i="38" s="1"/>
  <c r="BH2718" i="38" s="1"/>
  <c r="BD2674" i="38"/>
  <c r="BE2674" i="38" s="1"/>
  <c r="BF2674" i="38" s="1"/>
  <c r="BG2674" i="38" s="1"/>
  <c r="BH2674" i="38" s="1"/>
  <c r="BD2659" i="38"/>
  <c r="BE2659" i="38" s="1"/>
  <c r="BF2659" i="38" s="1"/>
  <c r="BG2659" i="38" s="1"/>
  <c r="BH2659" i="38" s="1"/>
  <c r="BD2630" i="38"/>
  <c r="BE2630" i="38" s="1"/>
  <c r="BF2630" i="38" s="1"/>
  <c r="BG2630" i="38" s="1"/>
  <c r="BH2630" i="38" s="1"/>
  <c r="BD2601" i="38"/>
  <c r="BE2601" i="38" s="1"/>
  <c r="BF2601" i="38" s="1"/>
  <c r="BG2601" i="38" s="1"/>
  <c r="BH2601" i="38" s="1"/>
  <c r="BD2586" i="38"/>
  <c r="BE2586" i="38" s="1"/>
  <c r="BF2586" i="38" s="1"/>
  <c r="BG2586" i="38" s="1"/>
  <c r="BH2586" i="38" s="1"/>
  <c r="BD2522" i="38"/>
  <c r="BE2522" i="38" s="1"/>
  <c r="BF2522" i="38" s="1"/>
  <c r="BG2522" i="38" s="1"/>
  <c r="BH2522" i="38" s="1"/>
  <c r="BD2505" i="38"/>
  <c r="BE2505" i="38" s="1"/>
  <c r="BF2505" i="38" s="1"/>
  <c r="BG2505" i="38" s="1"/>
  <c r="BH2505" i="38" s="1"/>
  <c r="BD2499" i="38"/>
  <c r="BE2499" i="38" s="1"/>
  <c r="BF2499" i="38" s="1"/>
  <c r="BG2499" i="38" s="1"/>
  <c r="BH2499" i="38" s="1"/>
  <c r="BD2494" i="38"/>
  <c r="BE2494" i="38" s="1"/>
  <c r="BF2494" i="38" s="1"/>
  <c r="BG2494" i="38" s="1"/>
  <c r="BH2494" i="38" s="1"/>
  <c r="BD2488" i="38"/>
  <c r="BE2488" i="38" s="1"/>
  <c r="BF2488" i="38" s="1"/>
  <c r="BG2488" i="38" s="1"/>
  <c r="BH2488" i="38" s="1"/>
  <c r="BD2482" i="38"/>
  <c r="BE2482" i="38" s="1"/>
  <c r="BF2482" i="38" s="1"/>
  <c r="BG2482" i="38" s="1"/>
  <c r="BH2482" i="38" s="1"/>
  <c r="BD2386" i="38"/>
  <c r="BE2386" i="38" s="1"/>
  <c r="BF2386" i="38" s="1"/>
  <c r="BG2386" i="38" s="1"/>
  <c r="BH2386" i="38" s="1"/>
  <c r="BD2377" i="38"/>
  <c r="BE2377" i="38" s="1"/>
  <c r="BF2377" i="38" s="1"/>
  <c r="BG2377" i="38" s="1"/>
  <c r="BH2377" i="38" s="1"/>
  <c r="BD2366" i="38"/>
  <c r="BE2366" i="38" s="1"/>
  <c r="BF2366" i="38" s="1"/>
  <c r="BG2366" i="38" s="1"/>
  <c r="BH2366" i="38" s="1"/>
  <c r="BD2362" i="38"/>
  <c r="BE2362" i="38" s="1"/>
  <c r="BF2362" i="38" s="1"/>
  <c r="BG2362" i="38" s="1"/>
  <c r="BH2362" i="38" s="1"/>
  <c r="BD2349" i="38"/>
  <c r="BE2349" i="38" s="1"/>
  <c r="BF2349" i="38" s="1"/>
  <c r="BG2349" i="38" s="1"/>
  <c r="BH2349" i="38" s="1"/>
  <c r="BD2333" i="38"/>
  <c r="BE2333" i="38" s="1"/>
  <c r="BF2333" i="38" s="1"/>
  <c r="BG2333" i="38" s="1"/>
  <c r="BH2333" i="38" s="1"/>
  <c r="BD2317" i="38"/>
  <c r="BE2317" i="38" s="1"/>
  <c r="BF2317" i="38" s="1"/>
  <c r="BG2317" i="38" s="1"/>
  <c r="BH2317" i="38" s="1"/>
  <c r="BD2301" i="38"/>
  <c r="BE2301" i="38" s="1"/>
  <c r="BF2301" i="38" s="1"/>
  <c r="BG2301" i="38" s="1"/>
  <c r="BH2301" i="38" s="1"/>
  <c r="BD2285" i="38"/>
  <c r="BE2285" i="38" s="1"/>
  <c r="BF2285" i="38" s="1"/>
  <c r="BG2285" i="38" s="1"/>
  <c r="BH2285" i="38" s="1"/>
  <c r="BD2269" i="38"/>
  <c r="BE2269" i="38" s="1"/>
  <c r="BF2269" i="38" s="1"/>
  <c r="BG2269" i="38" s="1"/>
  <c r="BH2269" i="38" s="1"/>
  <c r="BD2253" i="38"/>
  <c r="BE2253" i="38" s="1"/>
  <c r="BF2253" i="38" s="1"/>
  <c r="BG2253" i="38" s="1"/>
  <c r="BH2253" i="38" s="1"/>
  <c r="BD2237" i="38"/>
  <c r="BE2237" i="38" s="1"/>
  <c r="BF2237" i="38" s="1"/>
  <c r="BG2237" i="38" s="1"/>
  <c r="BH2237" i="38" s="1"/>
  <c r="BD2221" i="38"/>
  <c r="BE2221" i="38" s="1"/>
  <c r="BF2221" i="38" s="1"/>
  <c r="BG2221" i="38" s="1"/>
  <c r="BH2221" i="38" s="1"/>
  <c r="BD2205" i="38"/>
  <c r="BE2205" i="38" s="1"/>
  <c r="BF2205" i="38" s="1"/>
  <c r="BG2205" i="38" s="1"/>
  <c r="BH2205" i="38" s="1"/>
  <c r="BD2189" i="38"/>
  <c r="BE2189" i="38" s="1"/>
  <c r="BF2189" i="38" s="1"/>
  <c r="BG2189" i="38" s="1"/>
  <c r="BH2189" i="38" s="1"/>
  <c r="BD2173" i="38"/>
  <c r="BE2173" i="38" s="1"/>
  <c r="BF2173" i="38" s="1"/>
  <c r="BG2173" i="38" s="1"/>
  <c r="BH2173" i="38" s="1"/>
  <c r="BD2157" i="38"/>
  <c r="BE2157" i="38" s="1"/>
  <c r="BF2157" i="38" s="1"/>
  <c r="BG2157" i="38" s="1"/>
  <c r="BH2157" i="38" s="1"/>
  <c r="BD2141" i="38"/>
  <c r="BE2141" i="38" s="1"/>
  <c r="BF2141" i="38" s="1"/>
  <c r="BG2141" i="38" s="1"/>
  <c r="BH2141" i="38" s="1"/>
  <c r="BD2125" i="38"/>
  <c r="BE2125" i="38" s="1"/>
  <c r="BF2125" i="38" s="1"/>
  <c r="BG2125" i="38" s="1"/>
  <c r="BH2125" i="38" s="1"/>
  <c r="BD2109" i="38"/>
  <c r="BE2109" i="38" s="1"/>
  <c r="BF2109" i="38" s="1"/>
  <c r="BG2109" i="38" s="1"/>
  <c r="BH2109" i="38" s="1"/>
  <c r="BD2093" i="38"/>
  <c r="BE2093" i="38" s="1"/>
  <c r="BF2093" i="38" s="1"/>
  <c r="BG2093" i="38" s="1"/>
  <c r="BH2093" i="38" s="1"/>
  <c r="BD2077" i="38"/>
  <c r="BE2077" i="38" s="1"/>
  <c r="BF2077" i="38" s="1"/>
  <c r="BG2077" i="38" s="1"/>
  <c r="BH2077" i="38" s="1"/>
  <c r="BD2061" i="38"/>
  <c r="BE2061" i="38" s="1"/>
  <c r="BF2061" i="38" s="1"/>
  <c r="BG2061" i="38" s="1"/>
  <c r="BH2061" i="38" s="1"/>
  <c r="BD2045" i="38"/>
  <c r="BE2045" i="38" s="1"/>
  <c r="BF2045" i="38" s="1"/>
  <c r="BG2045" i="38" s="1"/>
  <c r="BH2045" i="38" s="1"/>
  <c r="BD2029" i="38"/>
  <c r="BE2029" i="38" s="1"/>
  <c r="BF2029" i="38" s="1"/>
  <c r="BG2029" i="38" s="1"/>
  <c r="BH2029" i="38" s="1"/>
  <c r="BD2013" i="38"/>
  <c r="BE2013" i="38" s="1"/>
  <c r="BF2013" i="38" s="1"/>
  <c r="BG2013" i="38" s="1"/>
  <c r="BH2013" i="38" s="1"/>
  <c r="BD1997" i="38"/>
  <c r="BE1997" i="38" s="1"/>
  <c r="BF1997" i="38" s="1"/>
  <c r="BG1997" i="38" s="1"/>
  <c r="BH1997" i="38" s="1"/>
  <c r="BD1981" i="38"/>
  <c r="BE1981" i="38" s="1"/>
  <c r="BF1981" i="38" s="1"/>
  <c r="BG1981" i="38" s="1"/>
  <c r="BH1981" i="38" s="1"/>
  <c r="BD1965" i="38"/>
  <c r="BE1965" i="38" s="1"/>
  <c r="BF1965" i="38" s="1"/>
  <c r="BG1965" i="38" s="1"/>
  <c r="BH1965" i="38" s="1"/>
  <c r="BD1949" i="38"/>
  <c r="BE1949" i="38" s="1"/>
  <c r="BF1949" i="38" s="1"/>
  <c r="BG1949" i="38" s="1"/>
  <c r="BH1949" i="38" s="1"/>
  <c r="BD1933" i="38"/>
  <c r="BE1933" i="38" s="1"/>
  <c r="BF1933" i="38" s="1"/>
  <c r="BG1933" i="38" s="1"/>
  <c r="BH1933" i="38" s="1"/>
  <c r="BD1917" i="38"/>
  <c r="BE1917" i="38" s="1"/>
  <c r="BF1917" i="38" s="1"/>
  <c r="BG1917" i="38" s="1"/>
  <c r="BH1917" i="38" s="1"/>
  <c r="BD1901" i="38"/>
  <c r="BE1901" i="38" s="1"/>
  <c r="BF1901" i="38" s="1"/>
  <c r="BG1901" i="38" s="1"/>
  <c r="BH1901" i="38" s="1"/>
  <c r="BD1885" i="38"/>
  <c r="BE1885" i="38" s="1"/>
  <c r="BF1885" i="38" s="1"/>
  <c r="BG1885" i="38" s="1"/>
  <c r="BH1885" i="38" s="1"/>
  <c r="BD1869" i="38"/>
  <c r="BE1869" i="38" s="1"/>
  <c r="BF1869" i="38" s="1"/>
  <c r="BG1869" i="38" s="1"/>
  <c r="BH1869" i="38" s="1"/>
  <c r="BD1853" i="38"/>
  <c r="BE1853" i="38" s="1"/>
  <c r="BF1853" i="38" s="1"/>
  <c r="BG1853" i="38" s="1"/>
  <c r="BH1853" i="38" s="1"/>
  <c r="BD1837" i="38"/>
  <c r="BE1837" i="38" s="1"/>
  <c r="BF1837" i="38" s="1"/>
  <c r="BG1837" i="38" s="1"/>
  <c r="BH1837" i="38" s="1"/>
  <c r="BD1821" i="38"/>
  <c r="BE1821" i="38" s="1"/>
  <c r="BF1821" i="38" s="1"/>
  <c r="BG1821" i="38" s="1"/>
  <c r="BH1821" i="38" s="1"/>
  <c r="BD1805" i="38"/>
  <c r="BE1805" i="38" s="1"/>
  <c r="BF1805" i="38" s="1"/>
  <c r="BG1805" i="38" s="1"/>
  <c r="BH1805" i="38" s="1"/>
  <c r="BD1789" i="38"/>
  <c r="BE1789" i="38" s="1"/>
  <c r="BF1789" i="38" s="1"/>
  <c r="BG1789" i="38" s="1"/>
  <c r="BH1789" i="38" s="1"/>
  <c r="BD1773" i="38"/>
  <c r="BE1773" i="38" s="1"/>
  <c r="BF1773" i="38" s="1"/>
  <c r="BG1773" i="38" s="1"/>
  <c r="BH1773" i="38" s="1"/>
  <c r="BD1757" i="38"/>
  <c r="BE1757" i="38" s="1"/>
  <c r="BF1757" i="38" s="1"/>
  <c r="BG1757" i="38" s="1"/>
  <c r="BH1757" i="38" s="1"/>
  <c r="BD1741" i="38"/>
  <c r="BE1741" i="38" s="1"/>
  <c r="BF1741" i="38" s="1"/>
  <c r="BG1741" i="38" s="1"/>
  <c r="BH1741" i="38" s="1"/>
  <c r="BD1725" i="38"/>
  <c r="BE1725" i="38" s="1"/>
  <c r="BF1725" i="38" s="1"/>
  <c r="BG1725" i="38" s="1"/>
  <c r="BH1725" i="38" s="1"/>
  <c r="BD1709" i="38"/>
  <c r="BE1709" i="38" s="1"/>
  <c r="BF1709" i="38" s="1"/>
  <c r="BG1709" i="38" s="1"/>
  <c r="BH1709" i="38" s="1"/>
  <c r="BD1693" i="38"/>
  <c r="BE1693" i="38" s="1"/>
  <c r="BF1693" i="38" s="1"/>
  <c r="BG1693" i="38" s="1"/>
  <c r="BH1693" i="38" s="1"/>
  <c r="BD1677" i="38"/>
  <c r="BE1677" i="38" s="1"/>
  <c r="BF1677" i="38" s="1"/>
  <c r="BG1677" i="38" s="1"/>
  <c r="BH1677" i="38" s="1"/>
  <c r="BD1661" i="38"/>
  <c r="BE1661" i="38" s="1"/>
  <c r="BF1661" i="38" s="1"/>
  <c r="BG1661" i="38" s="1"/>
  <c r="BH1661" i="38" s="1"/>
  <c r="BD1645" i="38"/>
  <c r="BE1645" i="38" s="1"/>
  <c r="BF1645" i="38" s="1"/>
  <c r="BG1645" i="38" s="1"/>
  <c r="BH1645" i="38" s="1"/>
  <c r="BD1629" i="38"/>
  <c r="BE1629" i="38" s="1"/>
  <c r="BF1629" i="38" s="1"/>
  <c r="BG1629" i="38" s="1"/>
  <c r="BH1629" i="38" s="1"/>
  <c r="BD2986" i="38"/>
  <c r="BE2986" i="38" s="1"/>
  <c r="BF2986" i="38" s="1"/>
  <c r="BG2986" i="38" s="1"/>
  <c r="BH2986" i="38" s="1"/>
  <c r="BD2750" i="38"/>
  <c r="BE2750" i="38" s="1"/>
  <c r="BF2750" i="38" s="1"/>
  <c r="BG2750" i="38" s="1"/>
  <c r="BH2750" i="38" s="1"/>
  <c r="BD2710" i="38"/>
  <c r="BE2710" i="38" s="1"/>
  <c r="BF2710" i="38" s="1"/>
  <c r="BG2710" i="38" s="1"/>
  <c r="BH2710" i="38" s="1"/>
  <c r="BD2681" i="38"/>
  <c r="BE2681" i="38" s="1"/>
  <c r="BF2681" i="38" s="1"/>
  <c r="BG2681" i="38" s="1"/>
  <c r="BH2681" i="38" s="1"/>
  <c r="BD2666" i="38"/>
  <c r="BE2666" i="38" s="1"/>
  <c r="BF2666" i="38" s="1"/>
  <c r="BG2666" i="38" s="1"/>
  <c r="BH2666" i="38" s="1"/>
  <c r="BD2571" i="38"/>
  <c r="BE2571" i="38" s="1"/>
  <c r="BF2571" i="38" s="1"/>
  <c r="BG2571" i="38" s="1"/>
  <c r="BH2571" i="38" s="1"/>
  <c r="BD2542" i="38"/>
  <c r="BE2542" i="38" s="1"/>
  <c r="BF2542" i="38" s="1"/>
  <c r="BG2542" i="38" s="1"/>
  <c r="BH2542" i="38" s="1"/>
  <c r="BD2442" i="38"/>
  <c r="BE2442" i="38" s="1"/>
  <c r="BF2442" i="38" s="1"/>
  <c r="BG2442" i="38" s="1"/>
  <c r="BH2442" i="38" s="1"/>
  <c r="BD2425" i="38"/>
  <c r="BE2425" i="38" s="1"/>
  <c r="BF2425" i="38" s="1"/>
  <c r="BG2425" i="38" s="1"/>
  <c r="BH2425" i="38" s="1"/>
  <c r="BD2419" i="38"/>
  <c r="BE2419" i="38" s="1"/>
  <c r="BF2419" i="38" s="1"/>
  <c r="BG2419" i="38" s="1"/>
  <c r="BH2419" i="38" s="1"/>
  <c r="BD2414" i="38"/>
  <c r="BE2414" i="38" s="1"/>
  <c r="BF2414" i="38" s="1"/>
  <c r="BG2414" i="38" s="1"/>
  <c r="BH2414" i="38" s="1"/>
  <c r="BD2408" i="38"/>
  <c r="BE2408" i="38" s="1"/>
  <c r="BF2408" i="38" s="1"/>
  <c r="BG2408" i="38" s="1"/>
  <c r="BH2408" i="38" s="1"/>
  <c r="BD2402" i="38"/>
  <c r="BE2402" i="38" s="1"/>
  <c r="BF2402" i="38" s="1"/>
  <c r="BG2402" i="38" s="1"/>
  <c r="BH2402" i="38" s="1"/>
  <c r="BD2381" i="38"/>
  <c r="BE2381" i="38" s="1"/>
  <c r="BF2381" i="38" s="1"/>
  <c r="BG2381" i="38" s="1"/>
  <c r="BH2381" i="38" s="1"/>
  <c r="BD2373" i="38"/>
  <c r="BE2373" i="38" s="1"/>
  <c r="BF2373" i="38" s="1"/>
  <c r="BG2373" i="38" s="1"/>
  <c r="BH2373" i="38" s="1"/>
  <c r="BD2352" i="38"/>
  <c r="BE2352" i="38" s="1"/>
  <c r="BF2352" i="38" s="1"/>
  <c r="BG2352" i="38" s="1"/>
  <c r="BH2352" i="38" s="1"/>
  <c r="BD2336" i="38"/>
  <c r="BE2336" i="38" s="1"/>
  <c r="BF2336" i="38" s="1"/>
  <c r="BG2336" i="38" s="1"/>
  <c r="BH2336" i="38" s="1"/>
  <c r="BD2320" i="38"/>
  <c r="BE2320" i="38" s="1"/>
  <c r="BF2320" i="38" s="1"/>
  <c r="BG2320" i="38" s="1"/>
  <c r="BH2320" i="38" s="1"/>
  <c r="BD2304" i="38"/>
  <c r="BE2304" i="38" s="1"/>
  <c r="BF2304" i="38" s="1"/>
  <c r="BG2304" i="38" s="1"/>
  <c r="BH2304" i="38" s="1"/>
  <c r="BD2288" i="38"/>
  <c r="BE2288" i="38" s="1"/>
  <c r="BF2288" i="38" s="1"/>
  <c r="BG2288" i="38" s="1"/>
  <c r="BH2288" i="38" s="1"/>
  <c r="BD2272" i="38"/>
  <c r="BE2272" i="38" s="1"/>
  <c r="BF2272" i="38" s="1"/>
  <c r="BG2272" i="38" s="1"/>
  <c r="BH2272" i="38" s="1"/>
  <c r="BD2256" i="38"/>
  <c r="BE2256" i="38" s="1"/>
  <c r="BF2256" i="38" s="1"/>
  <c r="BG2256" i="38" s="1"/>
  <c r="BH2256" i="38" s="1"/>
  <c r="BD2240" i="38"/>
  <c r="BE2240" i="38" s="1"/>
  <c r="BF2240" i="38" s="1"/>
  <c r="BG2240" i="38" s="1"/>
  <c r="BH2240" i="38" s="1"/>
  <c r="BD2224" i="38"/>
  <c r="BE2224" i="38" s="1"/>
  <c r="BF2224" i="38" s="1"/>
  <c r="BG2224" i="38" s="1"/>
  <c r="BH2224" i="38" s="1"/>
  <c r="BD2208" i="38"/>
  <c r="BE2208" i="38" s="1"/>
  <c r="BF2208" i="38" s="1"/>
  <c r="BG2208" i="38" s="1"/>
  <c r="BH2208" i="38" s="1"/>
  <c r="BD2192" i="38"/>
  <c r="BE2192" i="38" s="1"/>
  <c r="BF2192" i="38" s="1"/>
  <c r="BG2192" i="38" s="1"/>
  <c r="BH2192" i="38" s="1"/>
  <c r="BD2176" i="38"/>
  <c r="BE2176" i="38" s="1"/>
  <c r="BF2176" i="38" s="1"/>
  <c r="BG2176" i="38" s="1"/>
  <c r="BH2176" i="38" s="1"/>
  <c r="BD2160" i="38"/>
  <c r="BE2160" i="38" s="1"/>
  <c r="BF2160" i="38" s="1"/>
  <c r="BG2160" i="38" s="1"/>
  <c r="BH2160" i="38" s="1"/>
  <c r="BD2144" i="38"/>
  <c r="BE2144" i="38" s="1"/>
  <c r="BF2144" i="38" s="1"/>
  <c r="BG2144" i="38" s="1"/>
  <c r="BH2144" i="38" s="1"/>
  <c r="BD2128" i="38"/>
  <c r="BE2128" i="38" s="1"/>
  <c r="BF2128" i="38" s="1"/>
  <c r="BG2128" i="38" s="1"/>
  <c r="BH2128" i="38" s="1"/>
  <c r="BD2112" i="38"/>
  <c r="BE2112" i="38" s="1"/>
  <c r="BF2112" i="38" s="1"/>
  <c r="BG2112" i="38" s="1"/>
  <c r="BH2112" i="38" s="1"/>
  <c r="BD2096" i="38"/>
  <c r="BE2096" i="38" s="1"/>
  <c r="BF2096" i="38" s="1"/>
  <c r="BG2096" i="38" s="1"/>
  <c r="BH2096" i="38" s="1"/>
  <c r="BD2080" i="38"/>
  <c r="BE2080" i="38" s="1"/>
  <c r="BF2080" i="38" s="1"/>
  <c r="BG2080" i="38" s="1"/>
  <c r="BH2080" i="38" s="1"/>
  <c r="BD2064" i="38"/>
  <c r="BE2064" i="38" s="1"/>
  <c r="BF2064" i="38" s="1"/>
  <c r="BG2064" i="38" s="1"/>
  <c r="BH2064" i="38" s="1"/>
  <c r="BD2048" i="38"/>
  <c r="BE2048" i="38" s="1"/>
  <c r="BF2048" i="38" s="1"/>
  <c r="BG2048" i="38" s="1"/>
  <c r="BH2048" i="38" s="1"/>
  <c r="BD2032" i="38"/>
  <c r="BE2032" i="38" s="1"/>
  <c r="BF2032" i="38" s="1"/>
  <c r="BG2032" i="38" s="1"/>
  <c r="BH2032" i="38" s="1"/>
  <c r="BD2016" i="38"/>
  <c r="BE2016" i="38" s="1"/>
  <c r="BF2016" i="38" s="1"/>
  <c r="BG2016" i="38" s="1"/>
  <c r="BH2016" i="38" s="1"/>
  <c r="BD2000" i="38"/>
  <c r="BE2000" i="38" s="1"/>
  <c r="BF2000" i="38" s="1"/>
  <c r="BG2000" i="38" s="1"/>
  <c r="BH2000" i="38" s="1"/>
  <c r="BD1984" i="38"/>
  <c r="BE1984" i="38" s="1"/>
  <c r="BF1984" i="38" s="1"/>
  <c r="BG1984" i="38" s="1"/>
  <c r="BH1984" i="38" s="1"/>
  <c r="BD1968" i="38"/>
  <c r="BE1968" i="38" s="1"/>
  <c r="BF1968" i="38" s="1"/>
  <c r="BG1968" i="38" s="1"/>
  <c r="BH1968" i="38" s="1"/>
  <c r="BD1952" i="38"/>
  <c r="BE1952" i="38" s="1"/>
  <c r="BF1952" i="38" s="1"/>
  <c r="BG1952" i="38" s="1"/>
  <c r="BH1952" i="38" s="1"/>
  <c r="BD1936" i="38"/>
  <c r="BE1936" i="38" s="1"/>
  <c r="BF1936" i="38" s="1"/>
  <c r="BG1936" i="38" s="1"/>
  <c r="BH1936" i="38" s="1"/>
  <c r="BD1920" i="38"/>
  <c r="BE1920" i="38" s="1"/>
  <c r="BF1920" i="38" s="1"/>
  <c r="BG1920" i="38" s="1"/>
  <c r="BH1920" i="38" s="1"/>
  <c r="BD1904" i="38"/>
  <c r="BE1904" i="38" s="1"/>
  <c r="BF1904" i="38" s="1"/>
  <c r="BG1904" i="38" s="1"/>
  <c r="BH1904" i="38" s="1"/>
  <c r="BD1888" i="38"/>
  <c r="BE1888" i="38" s="1"/>
  <c r="BF1888" i="38" s="1"/>
  <c r="BG1888" i="38" s="1"/>
  <c r="BH1888" i="38" s="1"/>
  <c r="BD1872" i="38"/>
  <c r="BE1872" i="38" s="1"/>
  <c r="BF1872" i="38" s="1"/>
  <c r="BG1872" i="38" s="1"/>
  <c r="BH1872" i="38" s="1"/>
  <c r="BD1856" i="38"/>
  <c r="BE1856" i="38" s="1"/>
  <c r="BF1856" i="38" s="1"/>
  <c r="BG1856" i="38" s="1"/>
  <c r="BH1856" i="38" s="1"/>
  <c r="BD1840" i="38"/>
  <c r="BE1840" i="38" s="1"/>
  <c r="BF1840" i="38" s="1"/>
  <c r="BG1840" i="38" s="1"/>
  <c r="BH1840" i="38" s="1"/>
  <c r="BD1824" i="38"/>
  <c r="BE1824" i="38" s="1"/>
  <c r="BF1824" i="38" s="1"/>
  <c r="BG1824" i="38" s="1"/>
  <c r="BH1824" i="38" s="1"/>
  <c r="BD1808" i="38"/>
  <c r="BE1808" i="38" s="1"/>
  <c r="BF1808" i="38" s="1"/>
  <c r="BG1808" i="38" s="1"/>
  <c r="BH1808" i="38" s="1"/>
  <c r="BD1792" i="38"/>
  <c r="BE1792" i="38" s="1"/>
  <c r="BF1792" i="38" s="1"/>
  <c r="BG1792" i="38" s="1"/>
  <c r="BH1792" i="38" s="1"/>
  <c r="BD1776" i="38"/>
  <c r="BE1776" i="38" s="1"/>
  <c r="BF1776" i="38" s="1"/>
  <c r="BG1776" i="38" s="1"/>
  <c r="BH1776" i="38" s="1"/>
  <c r="BD1760" i="38"/>
  <c r="BE1760" i="38" s="1"/>
  <c r="BF1760" i="38" s="1"/>
  <c r="BG1760" i="38" s="1"/>
  <c r="BH1760" i="38" s="1"/>
  <c r="BD1744" i="38"/>
  <c r="BE1744" i="38" s="1"/>
  <c r="BF1744" i="38" s="1"/>
  <c r="BG1744" i="38" s="1"/>
  <c r="BH1744" i="38" s="1"/>
  <c r="BD1728" i="38"/>
  <c r="BE1728" i="38" s="1"/>
  <c r="BF1728" i="38" s="1"/>
  <c r="BG1728" i="38" s="1"/>
  <c r="BH1728" i="38" s="1"/>
  <c r="BD1712" i="38"/>
  <c r="BE1712" i="38" s="1"/>
  <c r="BF1712" i="38" s="1"/>
  <c r="BG1712" i="38" s="1"/>
  <c r="BH1712" i="38" s="1"/>
  <c r="BD1696" i="38"/>
  <c r="BE1696" i="38" s="1"/>
  <c r="BF1696" i="38" s="1"/>
  <c r="BG1696" i="38" s="1"/>
  <c r="BH1696" i="38" s="1"/>
  <c r="BD1680" i="38"/>
  <c r="BE1680" i="38" s="1"/>
  <c r="BF1680" i="38" s="1"/>
  <c r="BG1680" i="38" s="1"/>
  <c r="BH1680" i="38" s="1"/>
  <c r="BD1664" i="38"/>
  <c r="BE1664" i="38" s="1"/>
  <c r="BF1664" i="38" s="1"/>
  <c r="BG1664" i="38" s="1"/>
  <c r="BH1664" i="38" s="1"/>
  <c r="BD1648" i="38"/>
  <c r="BE1648" i="38" s="1"/>
  <c r="BF1648" i="38" s="1"/>
  <c r="BG1648" i="38" s="1"/>
  <c r="BH1648" i="38" s="1"/>
  <c r="BD1632" i="38"/>
  <c r="BE1632" i="38" s="1"/>
  <c r="BF1632" i="38" s="1"/>
  <c r="BG1632" i="38" s="1"/>
  <c r="BH1632" i="38" s="1"/>
  <c r="BD2929" i="38"/>
  <c r="BE2929" i="38" s="1"/>
  <c r="BF2929" i="38" s="1"/>
  <c r="BG2929" i="38" s="1"/>
  <c r="BH2929" i="38" s="1"/>
  <c r="BD2856" i="38"/>
  <c r="BE2856" i="38" s="1"/>
  <c r="BF2856" i="38" s="1"/>
  <c r="BG2856" i="38" s="1"/>
  <c r="BH2856" i="38" s="1"/>
  <c r="BD2758" i="38"/>
  <c r="BE2758" i="38" s="1"/>
  <c r="BF2758" i="38" s="1"/>
  <c r="BG2758" i="38" s="1"/>
  <c r="BH2758" i="38" s="1"/>
  <c r="BD2651" i="38"/>
  <c r="BE2651" i="38" s="1"/>
  <c r="BF2651" i="38" s="1"/>
  <c r="BG2651" i="38" s="1"/>
  <c r="BH2651" i="38" s="1"/>
  <c r="BD2622" i="38"/>
  <c r="BE2622" i="38" s="1"/>
  <c r="BF2622" i="38" s="1"/>
  <c r="BG2622" i="38" s="1"/>
  <c r="BH2622" i="38" s="1"/>
  <c r="BD2578" i="38"/>
  <c r="BE2578" i="38" s="1"/>
  <c r="BF2578" i="38" s="1"/>
  <c r="BG2578" i="38" s="1"/>
  <c r="BH2578" i="38" s="1"/>
  <c r="BD2563" i="38"/>
  <c r="BE2563" i="38" s="1"/>
  <c r="BF2563" i="38" s="1"/>
  <c r="BG2563" i="38" s="1"/>
  <c r="BH2563" i="38" s="1"/>
  <c r="BD2534" i="38"/>
  <c r="BE2534" i="38" s="1"/>
  <c r="BF2534" i="38" s="1"/>
  <c r="BG2534" i="38" s="1"/>
  <c r="BH2534" i="38" s="1"/>
  <c r="BD2470" i="38"/>
  <c r="BE2470" i="38" s="1"/>
  <c r="BF2470" i="38" s="1"/>
  <c r="BG2470" i="38" s="1"/>
  <c r="BH2470" i="38" s="1"/>
  <c r="BD2459" i="38"/>
  <c r="BE2459" i="38" s="1"/>
  <c r="BF2459" i="38" s="1"/>
  <c r="BG2459" i="38" s="1"/>
  <c r="BH2459" i="38" s="1"/>
  <c r="BD2453" i="38"/>
  <c r="BE2453" i="38" s="1"/>
  <c r="BF2453" i="38" s="1"/>
  <c r="BG2453" i="38" s="1"/>
  <c r="BH2453" i="38" s="1"/>
  <c r="BD2355" i="38"/>
  <c r="BE2355" i="38" s="1"/>
  <c r="BF2355" i="38" s="1"/>
  <c r="BG2355" i="38" s="1"/>
  <c r="BH2355" i="38" s="1"/>
  <c r="BD2339" i="38"/>
  <c r="BE2339" i="38" s="1"/>
  <c r="BF2339" i="38" s="1"/>
  <c r="BG2339" i="38" s="1"/>
  <c r="BH2339" i="38" s="1"/>
  <c r="BD2323" i="38"/>
  <c r="BE2323" i="38" s="1"/>
  <c r="BF2323" i="38" s="1"/>
  <c r="BG2323" i="38" s="1"/>
  <c r="BH2323" i="38" s="1"/>
  <c r="BD2307" i="38"/>
  <c r="BE2307" i="38" s="1"/>
  <c r="BF2307" i="38" s="1"/>
  <c r="BG2307" i="38" s="1"/>
  <c r="BH2307" i="38" s="1"/>
  <c r="BD2291" i="38"/>
  <c r="BE2291" i="38" s="1"/>
  <c r="BF2291" i="38" s="1"/>
  <c r="BG2291" i="38" s="1"/>
  <c r="BH2291" i="38" s="1"/>
  <c r="BD2275" i="38"/>
  <c r="BE2275" i="38" s="1"/>
  <c r="BF2275" i="38" s="1"/>
  <c r="BG2275" i="38" s="1"/>
  <c r="BH2275" i="38" s="1"/>
  <c r="BD2259" i="38"/>
  <c r="BE2259" i="38" s="1"/>
  <c r="BF2259" i="38" s="1"/>
  <c r="BG2259" i="38" s="1"/>
  <c r="BH2259" i="38" s="1"/>
  <c r="BD2243" i="38"/>
  <c r="BE2243" i="38" s="1"/>
  <c r="BF2243" i="38" s="1"/>
  <c r="BG2243" i="38" s="1"/>
  <c r="BH2243" i="38" s="1"/>
  <c r="BD2227" i="38"/>
  <c r="BE2227" i="38" s="1"/>
  <c r="BF2227" i="38" s="1"/>
  <c r="BG2227" i="38" s="1"/>
  <c r="BH2227" i="38" s="1"/>
  <c r="BD2211" i="38"/>
  <c r="BE2211" i="38" s="1"/>
  <c r="BF2211" i="38" s="1"/>
  <c r="BG2211" i="38" s="1"/>
  <c r="BH2211" i="38" s="1"/>
  <c r="BD2195" i="38"/>
  <c r="BE2195" i="38" s="1"/>
  <c r="BF2195" i="38" s="1"/>
  <c r="BG2195" i="38" s="1"/>
  <c r="BH2195" i="38" s="1"/>
  <c r="BD2179" i="38"/>
  <c r="BE2179" i="38" s="1"/>
  <c r="BF2179" i="38" s="1"/>
  <c r="BG2179" i="38" s="1"/>
  <c r="BH2179" i="38" s="1"/>
  <c r="BD2163" i="38"/>
  <c r="BE2163" i="38" s="1"/>
  <c r="BF2163" i="38" s="1"/>
  <c r="BG2163" i="38" s="1"/>
  <c r="BH2163" i="38" s="1"/>
  <c r="BD2147" i="38"/>
  <c r="BE2147" i="38" s="1"/>
  <c r="BF2147" i="38" s="1"/>
  <c r="BG2147" i="38" s="1"/>
  <c r="BH2147" i="38" s="1"/>
  <c r="BD2131" i="38"/>
  <c r="BE2131" i="38" s="1"/>
  <c r="BF2131" i="38" s="1"/>
  <c r="BG2131" i="38" s="1"/>
  <c r="BH2131" i="38" s="1"/>
  <c r="BD2115" i="38"/>
  <c r="BE2115" i="38" s="1"/>
  <c r="BF2115" i="38" s="1"/>
  <c r="BG2115" i="38" s="1"/>
  <c r="BH2115" i="38" s="1"/>
  <c r="BD2099" i="38"/>
  <c r="BE2099" i="38" s="1"/>
  <c r="BF2099" i="38" s="1"/>
  <c r="BG2099" i="38" s="1"/>
  <c r="BH2099" i="38" s="1"/>
  <c r="BD2083" i="38"/>
  <c r="BE2083" i="38" s="1"/>
  <c r="BF2083" i="38" s="1"/>
  <c r="BG2083" i="38" s="1"/>
  <c r="BH2083" i="38" s="1"/>
  <c r="BD2067" i="38"/>
  <c r="BE2067" i="38" s="1"/>
  <c r="BF2067" i="38" s="1"/>
  <c r="BG2067" i="38" s="1"/>
  <c r="BH2067" i="38" s="1"/>
  <c r="BD2051" i="38"/>
  <c r="BE2051" i="38" s="1"/>
  <c r="BF2051" i="38" s="1"/>
  <c r="BG2051" i="38" s="1"/>
  <c r="BH2051" i="38" s="1"/>
  <c r="BD2035" i="38"/>
  <c r="BE2035" i="38" s="1"/>
  <c r="BF2035" i="38" s="1"/>
  <c r="BG2035" i="38" s="1"/>
  <c r="BH2035" i="38" s="1"/>
  <c r="BD2019" i="38"/>
  <c r="BE2019" i="38" s="1"/>
  <c r="BF2019" i="38" s="1"/>
  <c r="BG2019" i="38" s="1"/>
  <c r="BH2019" i="38" s="1"/>
  <c r="BD2003" i="38"/>
  <c r="BE2003" i="38" s="1"/>
  <c r="BF2003" i="38" s="1"/>
  <c r="BG2003" i="38" s="1"/>
  <c r="BH2003" i="38" s="1"/>
  <c r="BD1987" i="38"/>
  <c r="BE1987" i="38" s="1"/>
  <c r="BF1987" i="38" s="1"/>
  <c r="BG1987" i="38" s="1"/>
  <c r="BH1987" i="38" s="1"/>
  <c r="BD1971" i="38"/>
  <c r="BE1971" i="38" s="1"/>
  <c r="BF1971" i="38" s="1"/>
  <c r="BG1971" i="38" s="1"/>
  <c r="BH1971" i="38" s="1"/>
  <c r="BD1955" i="38"/>
  <c r="BE1955" i="38" s="1"/>
  <c r="BF1955" i="38" s="1"/>
  <c r="BG1955" i="38" s="1"/>
  <c r="BH1955" i="38" s="1"/>
  <c r="BD1939" i="38"/>
  <c r="BE1939" i="38" s="1"/>
  <c r="BF1939" i="38" s="1"/>
  <c r="BG1939" i="38" s="1"/>
  <c r="BH1939" i="38" s="1"/>
  <c r="BD1923" i="38"/>
  <c r="BE1923" i="38" s="1"/>
  <c r="BF1923" i="38" s="1"/>
  <c r="BG1923" i="38" s="1"/>
  <c r="BH1923" i="38" s="1"/>
  <c r="BD1907" i="38"/>
  <c r="BE1907" i="38" s="1"/>
  <c r="BF1907" i="38" s="1"/>
  <c r="BG1907" i="38" s="1"/>
  <c r="BH1907" i="38" s="1"/>
  <c r="BD1891" i="38"/>
  <c r="BE1891" i="38" s="1"/>
  <c r="BF1891" i="38" s="1"/>
  <c r="BG1891" i="38" s="1"/>
  <c r="BH1891" i="38" s="1"/>
  <c r="BD1875" i="38"/>
  <c r="BE1875" i="38" s="1"/>
  <c r="BF1875" i="38" s="1"/>
  <c r="BG1875" i="38" s="1"/>
  <c r="BH1875" i="38" s="1"/>
  <c r="BD1859" i="38"/>
  <c r="BE1859" i="38" s="1"/>
  <c r="BF1859" i="38" s="1"/>
  <c r="BG1859" i="38" s="1"/>
  <c r="BH1859" i="38" s="1"/>
  <c r="BD1843" i="38"/>
  <c r="BE1843" i="38" s="1"/>
  <c r="BF1843" i="38" s="1"/>
  <c r="BG1843" i="38" s="1"/>
  <c r="BH1843" i="38" s="1"/>
  <c r="BD1827" i="38"/>
  <c r="BE1827" i="38" s="1"/>
  <c r="BF1827" i="38" s="1"/>
  <c r="BG1827" i="38" s="1"/>
  <c r="BH1827" i="38" s="1"/>
  <c r="BD1811" i="38"/>
  <c r="BE1811" i="38" s="1"/>
  <c r="BF1811" i="38" s="1"/>
  <c r="BG1811" i="38" s="1"/>
  <c r="BH1811" i="38" s="1"/>
  <c r="BD1795" i="38"/>
  <c r="BE1795" i="38" s="1"/>
  <c r="BF1795" i="38" s="1"/>
  <c r="BG1795" i="38" s="1"/>
  <c r="BH1795" i="38" s="1"/>
  <c r="BD1779" i="38"/>
  <c r="BE1779" i="38" s="1"/>
  <c r="BF1779" i="38" s="1"/>
  <c r="BG1779" i="38" s="1"/>
  <c r="BH1779" i="38" s="1"/>
  <c r="BD1763" i="38"/>
  <c r="BE1763" i="38" s="1"/>
  <c r="BF1763" i="38" s="1"/>
  <c r="BG1763" i="38" s="1"/>
  <c r="BH1763" i="38" s="1"/>
  <c r="BD1747" i="38"/>
  <c r="BE1747" i="38" s="1"/>
  <c r="BF1747" i="38" s="1"/>
  <c r="BG1747" i="38" s="1"/>
  <c r="BH1747" i="38" s="1"/>
  <c r="BD1731" i="38"/>
  <c r="BE1731" i="38" s="1"/>
  <c r="BF1731" i="38" s="1"/>
  <c r="BG1731" i="38" s="1"/>
  <c r="BH1731" i="38" s="1"/>
  <c r="BD1715" i="38"/>
  <c r="BE1715" i="38" s="1"/>
  <c r="BF1715" i="38" s="1"/>
  <c r="BG1715" i="38" s="1"/>
  <c r="BH1715" i="38" s="1"/>
  <c r="BD1699" i="38"/>
  <c r="BE1699" i="38" s="1"/>
  <c r="BF1699" i="38" s="1"/>
  <c r="BG1699" i="38" s="1"/>
  <c r="BH1699" i="38" s="1"/>
  <c r="BD1683" i="38"/>
  <c r="BE1683" i="38" s="1"/>
  <c r="BF1683" i="38" s="1"/>
  <c r="BG1683" i="38" s="1"/>
  <c r="BH1683" i="38" s="1"/>
  <c r="BD1667" i="38"/>
  <c r="BE1667" i="38" s="1"/>
  <c r="BF1667" i="38" s="1"/>
  <c r="BG1667" i="38" s="1"/>
  <c r="BH1667" i="38" s="1"/>
  <c r="BD1651" i="38"/>
  <c r="BE1651" i="38" s="1"/>
  <c r="BF1651" i="38" s="1"/>
  <c r="BG1651" i="38" s="1"/>
  <c r="BH1651" i="38" s="1"/>
  <c r="BD1635" i="38"/>
  <c r="BE1635" i="38" s="1"/>
  <c r="BF1635" i="38" s="1"/>
  <c r="BG1635" i="38" s="1"/>
  <c r="BH1635" i="38" s="1"/>
  <c r="BD2877" i="38"/>
  <c r="BE2877" i="38" s="1"/>
  <c r="BF2877" i="38" s="1"/>
  <c r="BG2877" i="38" s="1"/>
  <c r="BH2877" i="38" s="1"/>
  <c r="BD2702" i="38"/>
  <c r="BE2702" i="38" s="1"/>
  <c r="BF2702" i="38" s="1"/>
  <c r="BG2702" i="38" s="1"/>
  <c r="BH2702" i="38" s="1"/>
  <c r="BD2658" i="38"/>
  <c r="BE2658" i="38" s="1"/>
  <c r="BF2658" i="38" s="1"/>
  <c r="BG2658" i="38" s="1"/>
  <c r="BH2658" i="38" s="1"/>
  <c r="BD2643" i="38"/>
  <c r="BE2643" i="38" s="1"/>
  <c r="BF2643" i="38" s="1"/>
  <c r="BG2643" i="38" s="1"/>
  <c r="BH2643" i="38" s="1"/>
  <c r="BD2614" i="38"/>
  <c r="BE2614" i="38" s="1"/>
  <c r="BF2614" i="38" s="1"/>
  <c r="BG2614" i="38" s="1"/>
  <c r="BH2614" i="38" s="1"/>
  <c r="BD2585" i="38"/>
  <c r="BE2585" i="38" s="1"/>
  <c r="BF2585" i="38" s="1"/>
  <c r="BG2585" i="38" s="1"/>
  <c r="BH2585" i="38" s="1"/>
  <c r="BD2570" i="38"/>
  <c r="BE2570" i="38" s="1"/>
  <c r="BF2570" i="38" s="1"/>
  <c r="BG2570" i="38" s="1"/>
  <c r="BH2570" i="38" s="1"/>
  <c r="BD2521" i="38"/>
  <c r="BE2521" i="38" s="1"/>
  <c r="BF2521" i="38" s="1"/>
  <c r="BG2521" i="38" s="1"/>
  <c r="BH2521" i="38" s="1"/>
  <c r="BD2515" i="38"/>
  <c r="BE2515" i="38" s="1"/>
  <c r="BF2515" i="38" s="1"/>
  <c r="BG2515" i="38" s="1"/>
  <c r="BH2515" i="38" s="1"/>
  <c r="BD2510" i="38"/>
  <c r="BE2510" i="38" s="1"/>
  <c r="BF2510" i="38" s="1"/>
  <c r="BG2510" i="38" s="1"/>
  <c r="BH2510" i="38" s="1"/>
  <c r="BD2504" i="38"/>
  <c r="BE2504" i="38" s="1"/>
  <c r="BF2504" i="38" s="1"/>
  <c r="BG2504" i="38" s="1"/>
  <c r="BH2504" i="38" s="1"/>
  <c r="BD2498" i="38"/>
  <c r="BE2498" i="38" s="1"/>
  <c r="BF2498" i="38" s="1"/>
  <c r="BG2498" i="38" s="1"/>
  <c r="BH2498" i="38" s="1"/>
  <c r="BD2390" i="38"/>
  <c r="BE2390" i="38" s="1"/>
  <c r="BF2390" i="38" s="1"/>
  <c r="BG2390" i="38" s="1"/>
  <c r="BH2390" i="38" s="1"/>
  <c r="BD2365" i="38"/>
  <c r="BE2365" i="38" s="1"/>
  <c r="BF2365" i="38" s="1"/>
  <c r="BG2365" i="38" s="1"/>
  <c r="BH2365" i="38" s="1"/>
  <c r="BD2358" i="38"/>
  <c r="BE2358" i="38" s="1"/>
  <c r="BF2358" i="38" s="1"/>
  <c r="BG2358" i="38" s="1"/>
  <c r="BH2358" i="38" s="1"/>
  <c r="BD2342" i="38"/>
  <c r="BE2342" i="38" s="1"/>
  <c r="BF2342" i="38" s="1"/>
  <c r="BG2342" i="38" s="1"/>
  <c r="BH2342" i="38" s="1"/>
  <c r="BD2326" i="38"/>
  <c r="BE2326" i="38" s="1"/>
  <c r="BF2326" i="38" s="1"/>
  <c r="BG2326" i="38" s="1"/>
  <c r="BH2326" i="38" s="1"/>
  <c r="BD2310" i="38"/>
  <c r="BE2310" i="38" s="1"/>
  <c r="BF2310" i="38" s="1"/>
  <c r="BG2310" i="38" s="1"/>
  <c r="BH2310" i="38" s="1"/>
  <c r="BD2294" i="38"/>
  <c r="BE2294" i="38" s="1"/>
  <c r="BF2294" i="38" s="1"/>
  <c r="BG2294" i="38" s="1"/>
  <c r="BH2294" i="38" s="1"/>
  <c r="BD2278" i="38"/>
  <c r="BE2278" i="38" s="1"/>
  <c r="BF2278" i="38" s="1"/>
  <c r="BG2278" i="38" s="1"/>
  <c r="BH2278" i="38" s="1"/>
  <c r="BD2262" i="38"/>
  <c r="BE2262" i="38" s="1"/>
  <c r="BF2262" i="38" s="1"/>
  <c r="BG2262" i="38" s="1"/>
  <c r="BH2262" i="38" s="1"/>
  <c r="BD2246" i="38"/>
  <c r="BE2246" i="38" s="1"/>
  <c r="BF2246" i="38" s="1"/>
  <c r="BG2246" i="38" s="1"/>
  <c r="BH2246" i="38" s="1"/>
  <c r="BD2230" i="38"/>
  <c r="BE2230" i="38" s="1"/>
  <c r="BF2230" i="38" s="1"/>
  <c r="BG2230" i="38" s="1"/>
  <c r="BH2230" i="38" s="1"/>
  <c r="BD2214" i="38"/>
  <c r="BE2214" i="38" s="1"/>
  <c r="BF2214" i="38" s="1"/>
  <c r="BG2214" i="38" s="1"/>
  <c r="BH2214" i="38" s="1"/>
  <c r="BD2198" i="38"/>
  <c r="BE2198" i="38" s="1"/>
  <c r="BF2198" i="38" s="1"/>
  <c r="BG2198" i="38" s="1"/>
  <c r="BH2198" i="38" s="1"/>
  <c r="BD2182" i="38"/>
  <c r="BE2182" i="38" s="1"/>
  <c r="BF2182" i="38" s="1"/>
  <c r="BG2182" i="38" s="1"/>
  <c r="BH2182" i="38" s="1"/>
  <c r="BD2166" i="38"/>
  <c r="BE2166" i="38" s="1"/>
  <c r="BF2166" i="38" s="1"/>
  <c r="BG2166" i="38" s="1"/>
  <c r="BH2166" i="38" s="1"/>
  <c r="BD2150" i="38"/>
  <c r="BE2150" i="38" s="1"/>
  <c r="BF2150" i="38" s="1"/>
  <c r="BG2150" i="38" s="1"/>
  <c r="BH2150" i="38" s="1"/>
  <c r="BD2134" i="38"/>
  <c r="BE2134" i="38" s="1"/>
  <c r="BF2134" i="38" s="1"/>
  <c r="BG2134" i="38" s="1"/>
  <c r="BH2134" i="38" s="1"/>
  <c r="BD2118" i="38"/>
  <c r="BE2118" i="38" s="1"/>
  <c r="BF2118" i="38" s="1"/>
  <c r="BG2118" i="38" s="1"/>
  <c r="BH2118" i="38" s="1"/>
  <c r="BD2102" i="38"/>
  <c r="BE2102" i="38" s="1"/>
  <c r="BF2102" i="38" s="1"/>
  <c r="BG2102" i="38" s="1"/>
  <c r="BH2102" i="38" s="1"/>
  <c r="BD2086" i="38"/>
  <c r="BE2086" i="38" s="1"/>
  <c r="BF2086" i="38" s="1"/>
  <c r="BG2086" i="38" s="1"/>
  <c r="BH2086" i="38" s="1"/>
  <c r="BD2070" i="38"/>
  <c r="BE2070" i="38" s="1"/>
  <c r="BF2070" i="38" s="1"/>
  <c r="BG2070" i="38" s="1"/>
  <c r="BH2070" i="38" s="1"/>
  <c r="BD2054" i="38"/>
  <c r="BE2054" i="38" s="1"/>
  <c r="BF2054" i="38" s="1"/>
  <c r="BG2054" i="38" s="1"/>
  <c r="BH2054" i="38" s="1"/>
  <c r="BD2038" i="38"/>
  <c r="BE2038" i="38" s="1"/>
  <c r="BF2038" i="38" s="1"/>
  <c r="BG2038" i="38" s="1"/>
  <c r="BH2038" i="38" s="1"/>
  <c r="BD2022" i="38"/>
  <c r="BE2022" i="38" s="1"/>
  <c r="BF2022" i="38" s="1"/>
  <c r="BG2022" i="38" s="1"/>
  <c r="BH2022" i="38" s="1"/>
  <c r="BD2006" i="38"/>
  <c r="BE2006" i="38" s="1"/>
  <c r="BF2006" i="38" s="1"/>
  <c r="BG2006" i="38" s="1"/>
  <c r="BH2006" i="38" s="1"/>
  <c r="BD1990" i="38"/>
  <c r="BE1990" i="38" s="1"/>
  <c r="BF1990" i="38" s="1"/>
  <c r="BG1990" i="38" s="1"/>
  <c r="BH1990" i="38" s="1"/>
  <c r="BD1974" i="38"/>
  <c r="BE1974" i="38" s="1"/>
  <c r="BF1974" i="38" s="1"/>
  <c r="BG1974" i="38" s="1"/>
  <c r="BH1974" i="38" s="1"/>
  <c r="BD1958" i="38"/>
  <c r="BE1958" i="38" s="1"/>
  <c r="BF1958" i="38" s="1"/>
  <c r="BG1958" i="38" s="1"/>
  <c r="BH1958" i="38" s="1"/>
  <c r="BD1942" i="38"/>
  <c r="BE1942" i="38" s="1"/>
  <c r="BF1942" i="38" s="1"/>
  <c r="BG1942" i="38" s="1"/>
  <c r="BH1942" i="38" s="1"/>
  <c r="BD1926" i="38"/>
  <c r="BE1926" i="38" s="1"/>
  <c r="BF1926" i="38" s="1"/>
  <c r="BG1926" i="38" s="1"/>
  <c r="BH1926" i="38" s="1"/>
  <c r="BD1910" i="38"/>
  <c r="BE1910" i="38" s="1"/>
  <c r="BF1910" i="38" s="1"/>
  <c r="BG1910" i="38" s="1"/>
  <c r="BH1910" i="38" s="1"/>
  <c r="BD1894" i="38"/>
  <c r="BE1894" i="38" s="1"/>
  <c r="BF1894" i="38" s="1"/>
  <c r="BG1894" i="38" s="1"/>
  <c r="BH1894" i="38" s="1"/>
  <c r="BD1878" i="38"/>
  <c r="BE1878" i="38" s="1"/>
  <c r="BF1878" i="38" s="1"/>
  <c r="BG1878" i="38" s="1"/>
  <c r="BH1878" i="38" s="1"/>
  <c r="BD1862" i="38"/>
  <c r="BE1862" i="38" s="1"/>
  <c r="BF1862" i="38" s="1"/>
  <c r="BG1862" i="38" s="1"/>
  <c r="BH1862" i="38" s="1"/>
  <c r="BD1846" i="38"/>
  <c r="BE1846" i="38" s="1"/>
  <c r="BF1846" i="38" s="1"/>
  <c r="BG1846" i="38" s="1"/>
  <c r="BH1846" i="38" s="1"/>
  <c r="BD1830" i="38"/>
  <c r="BE1830" i="38" s="1"/>
  <c r="BF1830" i="38" s="1"/>
  <c r="BG1830" i="38" s="1"/>
  <c r="BH1830" i="38" s="1"/>
  <c r="BD1814" i="38"/>
  <c r="BE1814" i="38" s="1"/>
  <c r="BF1814" i="38" s="1"/>
  <c r="BG1814" i="38" s="1"/>
  <c r="BH1814" i="38" s="1"/>
  <c r="BD1798" i="38"/>
  <c r="BE1798" i="38" s="1"/>
  <c r="BF1798" i="38" s="1"/>
  <c r="BG1798" i="38" s="1"/>
  <c r="BH1798" i="38" s="1"/>
  <c r="BD1782" i="38"/>
  <c r="BE1782" i="38" s="1"/>
  <c r="BF1782" i="38" s="1"/>
  <c r="BG1782" i="38" s="1"/>
  <c r="BH1782" i="38" s="1"/>
  <c r="BD1766" i="38"/>
  <c r="BE1766" i="38" s="1"/>
  <c r="BF1766" i="38" s="1"/>
  <c r="BG1766" i="38" s="1"/>
  <c r="BH1766" i="38" s="1"/>
  <c r="BD1750" i="38"/>
  <c r="BE1750" i="38" s="1"/>
  <c r="BF1750" i="38" s="1"/>
  <c r="BG1750" i="38" s="1"/>
  <c r="BH1750" i="38" s="1"/>
  <c r="BD1734" i="38"/>
  <c r="BE1734" i="38" s="1"/>
  <c r="BF1734" i="38" s="1"/>
  <c r="BG1734" i="38" s="1"/>
  <c r="BH1734" i="38" s="1"/>
  <c r="BD1718" i="38"/>
  <c r="BE1718" i="38" s="1"/>
  <c r="BF1718" i="38" s="1"/>
  <c r="BG1718" i="38" s="1"/>
  <c r="BH1718" i="38" s="1"/>
  <c r="BD1702" i="38"/>
  <c r="BE1702" i="38" s="1"/>
  <c r="BF1702" i="38" s="1"/>
  <c r="BG1702" i="38" s="1"/>
  <c r="BH1702" i="38" s="1"/>
  <c r="BD1686" i="38"/>
  <c r="BE1686" i="38" s="1"/>
  <c r="BF1686" i="38" s="1"/>
  <c r="BG1686" i="38" s="1"/>
  <c r="BH1686" i="38" s="1"/>
  <c r="BD1670" i="38"/>
  <c r="BE1670" i="38" s="1"/>
  <c r="BF1670" i="38" s="1"/>
  <c r="BG1670" i="38" s="1"/>
  <c r="BH1670" i="38" s="1"/>
  <c r="BD1654" i="38"/>
  <c r="BE1654" i="38" s="1"/>
  <c r="BF1654" i="38" s="1"/>
  <c r="BG1654" i="38" s="1"/>
  <c r="BH1654" i="38" s="1"/>
  <c r="BD1638" i="38"/>
  <c r="BE1638" i="38" s="1"/>
  <c r="BF1638" i="38" s="1"/>
  <c r="BG1638" i="38" s="1"/>
  <c r="BH1638" i="38" s="1"/>
  <c r="BD1622" i="38"/>
  <c r="BE1622" i="38" s="1"/>
  <c r="BF1622" i="38" s="1"/>
  <c r="BG1622" i="38" s="1"/>
  <c r="BH1622" i="38" s="1"/>
  <c r="BD2952" i="38"/>
  <c r="BE2952" i="38" s="1"/>
  <c r="BF2952" i="38" s="1"/>
  <c r="BG2952" i="38" s="1"/>
  <c r="BH2952" i="38" s="1"/>
  <c r="BD2797" i="38"/>
  <c r="BE2797" i="38" s="1"/>
  <c r="BF2797" i="38" s="1"/>
  <c r="BG2797" i="38" s="1"/>
  <c r="BH2797" i="38" s="1"/>
  <c r="BD2781" i="38"/>
  <c r="BE2781" i="38" s="1"/>
  <c r="BF2781" i="38" s="1"/>
  <c r="BG2781" i="38" s="1"/>
  <c r="BH2781" i="38" s="1"/>
  <c r="BD2731" i="38"/>
  <c r="BE2731" i="38" s="1"/>
  <c r="BF2731" i="38" s="1"/>
  <c r="BG2731" i="38" s="1"/>
  <c r="BH2731" i="38" s="1"/>
  <c r="BD2723" i="38"/>
  <c r="BE2723" i="38" s="1"/>
  <c r="BF2723" i="38" s="1"/>
  <c r="BG2723" i="38" s="1"/>
  <c r="BH2723" i="38" s="1"/>
  <c r="BD2694" i="38"/>
  <c r="BE2694" i="38" s="1"/>
  <c r="BF2694" i="38" s="1"/>
  <c r="BG2694" i="38" s="1"/>
  <c r="BH2694" i="38" s="1"/>
  <c r="BD2665" i="38"/>
  <c r="BE2665" i="38" s="1"/>
  <c r="BF2665" i="38" s="1"/>
  <c r="BG2665" i="38" s="1"/>
  <c r="BH2665" i="38" s="1"/>
  <c r="BD2650" i="38"/>
  <c r="BE2650" i="38" s="1"/>
  <c r="BF2650" i="38" s="1"/>
  <c r="BG2650" i="38" s="1"/>
  <c r="BH2650" i="38" s="1"/>
  <c r="BD2555" i="38"/>
  <c r="BE2555" i="38" s="1"/>
  <c r="BF2555" i="38" s="1"/>
  <c r="BG2555" i="38" s="1"/>
  <c r="BH2555" i="38" s="1"/>
  <c r="BD2458" i="38"/>
  <c r="BE2458" i="38" s="1"/>
  <c r="BF2458" i="38" s="1"/>
  <c r="BG2458" i="38" s="1"/>
  <c r="BH2458" i="38" s="1"/>
  <c r="BD2441" i="38"/>
  <c r="BE2441" i="38" s="1"/>
  <c r="BF2441" i="38" s="1"/>
  <c r="BG2441" i="38" s="1"/>
  <c r="BH2441" i="38" s="1"/>
  <c r="BD2435" i="38"/>
  <c r="BE2435" i="38" s="1"/>
  <c r="BF2435" i="38" s="1"/>
  <c r="BG2435" i="38" s="1"/>
  <c r="BH2435" i="38" s="1"/>
  <c r="BD2430" i="38"/>
  <c r="BE2430" i="38" s="1"/>
  <c r="BF2430" i="38" s="1"/>
  <c r="BG2430" i="38" s="1"/>
  <c r="BH2430" i="38" s="1"/>
  <c r="BD2424" i="38"/>
  <c r="BE2424" i="38" s="1"/>
  <c r="BF2424" i="38" s="1"/>
  <c r="BG2424" i="38" s="1"/>
  <c r="BH2424" i="38" s="1"/>
  <c r="BD2418" i="38"/>
  <c r="BE2418" i="38" s="1"/>
  <c r="BF2418" i="38" s="1"/>
  <c r="BG2418" i="38" s="1"/>
  <c r="BH2418" i="38" s="1"/>
  <c r="BD2376" i="38"/>
  <c r="BE2376" i="38" s="1"/>
  <c r="BF2376" i="38" s="1"/>
  <c r="BG2376" i="38" s="1"/>
  <c r="BH2376" i="38" s="1"/>
  <c r="BD2345" i="38"/>
  <c r="BE2345" i="38" s="1"/>
  <c r="BF2345" i="38" s="1"/>
  <c r="BG2345" i="38" s="1"/>
  <c r="BH2345" i="38" s="1"/>
  <c r="BD2329" i="38"/>
  <c r="BE2329" i="38" s="1"/>
  <c r="BF2329" i="38" s="1"/>
  <c r="BG2329" i="38" s="1"/>
  <c r="BH2329" i="38" s="1"/>
  <c r="BD2313" i="38"/>
  <c r="BE2313" i="38" s="1"/>
  <c r="BF2313" i="38" s="1"/>
  <c r="BG2313" i="38" s="1"/>
  <c r="BH2313" i="38" s="1"/>
  <c r="BD2297" i="38"/>
  <c r="BE2297" i="38" s="1"/>
  <c r="BF2297" i="38" s="1"/>
  <c r="BG2297" i="38" s="1"/>
  <c r="BH2297" i="38" s="1"/>
  <c r="BD2281" i="38"/>
  <c r="BE2281" i="38" s="1"/>
  <c r="BF2281" i="38" s="1"/>
  <c r="BG2281" i="38" s="1"/>
  <c r="BH2281" i="38" s="1"/>
  <c r="BD2265" i="38"/>
  <c r="BE2265" i="38" s="1"/>
  <c r="BF2265" i="38" s="1"/>
  <c r="BG2265" i="38" s="1"/>
  <c r="BH2265" i="38" s="1"/>
  <c r="BD2249" i="38"/>
  <c r="BE2249" i="38" s="1"/>
  <c r="BF2249" i="38" s="1"/>
  <c r="BG2249" i="38" s="1"/>
  <c r="BH2249" i="38" s="1"/>
  <c r="BD2233" i="38"/>
  <c r="BE2233" i="38" s="1"/>
  <c r="BF2233" i="38" s="1"/>
  <c r="BG2233" i="38" s="1"/>
  <c r="BH2233" i="38" s="1"/>
  <c r="BD2217" i="38"/>
  <c r="BE2217" i="38" s="1"/>
  <c r="BF2217" i="38" s="1"/>
  <c r="BG2217" i="38" s="1"/>
  <c r="BH2217" i="38" s="1"/>
  <c r="BD2201" i="38"/>
  <c r="BE2201" i="38" s="1"/>
  <c r="BF2201" i="38" s="1"/>
  <c r="BG2201" i="38" s="1"/>
  <c r="BH2201" i="38" s="1"/>
  <c r="BD2185" i="38"/>
  <c r="BE2185" i="38" s="1"/>
  <c r="BF2185" i="38" s="1"/>
  <c r="BG2185" i="38" s="1"/>
  <c r="BH2185" i="38" s="1"/>
  <c r="BD2169" i="38"/>
  <c r="BE2169" i="38" s="1"/>
  <c r="BF2169" i="38" s="1"/>
  <c r="BG2169" i="38" s="1"/>
  <c r="BH2169" i="38" s="1"/>
  <c r="BD2153" i="38"/>
  <c r="BE2153" i="38" s="1"/>
  <c r="BF2153" i="38" s="1"/>
  <c r="BG2153" i="38" s="1"/>
  <c r="BH2153" i="38" s="1"/>
  <c r="BD2137" i="38"/>
  <c r="BE2137" i="38" s="1"/>
  <c r="BF2137" i="38" s="1"/>
  <c r="BG2137" i="38" s="1"/>
  <c r="BH2137" i="38" s="1"/>
  <c r="BD2121" i="38"/>
  <c r="BE2121" i="38" s="1"/>
  <c r="BF2121" i="38" s="1"/>
  <c r="BG2121" i="38" s="1"/>
  <c r="BH2121" i="38" s="1"/>
  <c r="BD2105" i="38"/>
  <c r="BE2105" i="38" s="1"/>
  <c r="BF2105" i="38" s="1"/>
  <c r="BG2105" i="38" s="1"/>
  <c r="BH2105" i="38" s="1"/>
  <c r="BD2089" i="38"/>
  <c r="BE2089" i="38" s="1"/>
  <c r="BF2089" i="38" s="1"/>
  <c r="BG2089" i="38" s="1"/>
  <c r="BH2089" i="38" s="1"/>
  <c r="BD2073" i="38"/>
  <c r="BE2073" i="38" s="1"/>
  <c r="BF2073" i="38" s="1"/>
  <c r="BG2073" i="38" s="1"/>
  <c r="BH2073" i="38" s="1"/>
  <c r="BD2057" i="38"/>
  <c r="BE2057" i="38" s="1"/>
  <c r="BF2057" i="38" s="1"/>
  <c r="BG2057" i="38" s="1"/>
  <c r="BH2057" i="38" s="1"/>
  <c r="BD2041" i="38"/>
  <c r="BE2041" i="38" s="1"/>
  <c r="BF2041" i="38" s="1"/>
  <c r="BG2041" i="38" s="1"/>
  <c r="BH2041" i="38" s="1"/>
  <c r="BD2025" i="38"/>
  <c r="BE2025" i="38" s="1"/>
  <c r="BF2025" i="38" s="1"/>
  <c r="BG2025" i="38" s="1"/>
  <c r="BH2025" i="38" s="1"/>
  <c r="BD2009" i="38"/>
  <c r="BE2009" i="38" s="1"/>
  <c r="BF2009" i="38" s="1"/>
  <c r="BG2009" i="38" s="1"/>
  <c r="BH2009" i="38" s="1"/>
  <c r="BD1993" i="38"/>
  <c r="BE1993" i="38" s="1"/>
  <c r="BF1993" i="38" s="1"/>
  <c r="BG1993" i="38" s="1"/>
  <c r="BH1993" i="38" s="1"/>
  <c r="BD1977" i="38"/>
  <c r="BE1977" i="38" s="1"/>
  <c r="BF1977" i="38" s="1"/>
  <c r="BG1977" i="38" s="1"/>
  <c r="BH1977" i="38" s="1"/>
  <c r="BD1961" i="38"/>
  <c r="BE1961" i="38" s="1"/>
  <c r="BF1961" i="38" s="1"/>
  <c r="BG1961" i="38" s="1"/>
  <c r="BH1961" i="38" s="1"/>
  <c r="BD1945" i="38"/>
  <c r="BE1945" i="38" s="1"/>
  <c r="BF1945" i="38" s="1"/>
  <c r="BG1945" i="38" s="1"/>
  <c r="BH1945" i="38" s="1"/>
  <c r="BD1929" i="38"/>
  <c r="BE1929" i="38" s="1"/>
  <c r="BF1929" i="38" s="1"/>
  <c r="BG1929" i="38" s="1"/>
  <c r="BH1929" i="38" s="1"/>
  <c r="BD1913" i="38"/>
  <c r="BE1913" i="38" s="1"/>
  <c r="BF1913" i="38" s="1"/>
  <c r="BG1913" i="38" s="1"/>
  <c r="BH1913" i="38" s="1"/>
  <c r="BD1897" i="38"/>
  <c r="BE1897" i="38" s="1"/>
  <c r="BF1897" i="38" s="1"/>
  <c r="BG1897" i="38" s="1"/>
  <c r="BH1897" i="38" s="1"/>
  <c r="BD1881" i="38"/>
  <c r="BE1881" i="38" s="1"/>
  <c r="BF1881" i="38" s="1"/>
  <c r="BG1881" i="38" s="1"/>
  <c r="BH1881" i="38" s="1"/>
  <c r="BD1865" i="38"/>
  <c r="BE1865" i="38" s="1"/>
  <c r="BF1865" i="38" s="1"/>
  <c r="BG1865" i="38" s="1"/>
  <c r="BH1865" i="38" s="1"/>
  <c r="BD1849" i="38"/>
  <c r="BE1849" i="38" s="1"/>
  <c r="BF1849" i="38" s="1"/>
  <c r="BG1849" i="38" s="1"/>
  <c r="BH1849" i="38" s="1"/>
  <c r="BD1833" i="38"/>
  <c r="BE1833" i="38" s="1"/>
  <c r="BF1833" i="38" s="1"/>
  <c r="BG1833" i="38" s="1"/>
  <c r="BH1833" i="38" s="1"/>
  <c r="BD1817" i="38"/>
  <c r="BE1817" i="38" s="1"/>
  <c r="BF1817" i="38" s="1"/>
  <c r="BG1817" i="38" s="1"/>
  <c r="BH1817" i="38" s="1"/>
  <c r="BD1801" i="38"/>
  <c r="BE1801" i="38" s="1"/>
  <c r="BF1801" i="38" s="1"/>
  <c r="BG1801" i="38" s="1"/>
  <c r="BH1801" i="38" s="1"/>
  <c r="BD1785" i="38"/>
  <c r="BE1785" i="38" s="1"/>
  <c r="BF1785" i="38" s="1"/>
  <c r="BG1785" i="38" s="1"/>
  <c r="BH1785" i="38" s="1"/>
  <c r="BD1769" i="38"/>
  <c r="BE1769" i="38" s="1"/>
  <c r="BF1769" i="38" s="1"/>
  <c r="BG1769" i="38" s="1"/>
  <c r="BH1769" i="38" s="1"/>
  <c r="BD1753" i="38"/>
  <c r="BE1753" i="38" s="1"/>
  <c r="BF1753" i="38" s="1"/>
  <c r="BG1753" i="38" s="1"/>
  <c r="BH1753" i="38" s="1"/>
  <c r="BD1737" i="38"/>
  <c r="BE1737" i="38" s="1"/>
  <c r="BF1737" i="38" s="1"/>
  <c r="BG1737" i="38" s="1"/>
  <c r="BH1737" i="38" s="1"/>
  <c r="BD1721" i="38"/>
  <c r="BE1721" i="38" s="1"/>
  <c r="BF1721" i="38" s="1"/>
  <c r="BG1721" i="38" s="1"/>
  <c r="BH1721" i="38" s="1"/>
  <c r="BD1705" i="38"/>
  <c r="BE1705" i="38" s="1"/>
  <c r="BF1705" i="38" s="1"/>
  <c r="BG1705" i="38" s="1"/>
  <c r="BH1705" i="38" s="1"/>
  <c r="BD1689" i="38"/>
  <c r="BE1689" i="38" s="1"/>
  <c r="BF1689" i="38" s="1"/>
  <c r="BG1689" i="38" s="1"/>
  <c r="BH1689" i="38" s="1"/>
  <c r="BD1673" i="38"/>
  <c r="BE1673" i="38" s="1"/>
  <c r="BF1673" i="38" s="1"/>
  <c r="BG1673" i="38" s="1"/>
  <c r="BH1673" i="38" s="1"/>
  <c r="BD1657" i="38"/>
  <c r="BE1657" i="38" s="1"/>
  <c r="BF1657" i="38" s="1"/>
  <c r="BG1657" i="38" s="1"/>
  <c r="BH1657" i="38" s="1"/>
  <c r="BD1641" i="38"/>
  <c r="BE1641" i="38" s="1"/>
  <c r="BF1641" i="38" s="1"/>
  <c r="BG1641" i="38" s="1"/>
  <c r="BH1641" i="38" s="1"/>
  <c r="BD1625" i="38"/>
  <c r="BE1625" i="38" s="1"/>
  <c r="BF1625" i="38" s="1"/>
  <c r="BG1625" i="38" s="1"/>
  <c r="BH1625" i="38" s="1"/>
  <c r="BD2980" i="38"/>
  <c r="BE2980" i="38" s="1"/>
  <c r="BF2980" i="38" s="1"/>
  <c r="BG2980" i="38" s="1"/>
  <c r="BH2980" i="38" s="1"/>
  <c r="BD2925" i="38"/>
  <c r="BE2925" i="38" s="1"/>
  <c r="BF2925" i="38" s="1"/>
  <c r="BG2925" i="38" s="1"/>
  <c r="BH2925" i="38" s="1"/>
  <c r="BD2872" i="38"/>
  <c r="BE2872" i="38" s="1"/>
  <c r="BF2872" i="38" s="1"/>
  <c r="BG2872" i="38" s="1"/>
  <c r="BH2872" i="38" s="1"/>
  <c r="BD2739" i="38"/>
  <c r="BE2739" i="38" s="1"/>
  <c r="BF2739" i="38" s="1"/>
  <c r="BG2739" i="38" s="1"/>
  <c r="BH2739" i="38" s="1"/>
  <c r="BD2635" i="38"/>
  <c r="BE2635" i="38" s="1"/>
  <c r="BF2635" i="38" s="1"/>
  <c r="BG2635" i="38" s="1"/>
  <c r="BH2635" i="38" s="1"/>
  <c r="BD2606" i="38"/>
  <c r="BE2606" i="38" s="1"/>
  <c r="BF2606" i="38" s="1"/>
  <c r="BG2606" i="38" s="1"/>
  <c r="BH2606" i="38" s="1"/>
  <c r="BD2562" i="38"/>
  <c r="BE2562" i="38" s="1"/>
  <c r="BF2562" i="38" s="1"/>
  <c r="BG2562" i="38" s="1"/>
  <c r="BH2562" i="38" s="1"/>
  <c r="BD2547" i="38"/>
  <c r="BE2547" i="38" s="1"/>
  <c r="BF2547" i="38" s="1"/>
  <c r="BG2547" i="38" s="1"/>
  <c r="BH2547" i="38" s="1"/>
  <c r="BD2486" i="38"/>
  <c r="BE2486" i="38" s="1"/>
  <c r="BF2486" i="38" s="1"/>
  <c r="BG2486" i="38" s="1"/>
  <c r="BH2486" i="38" s="1"/>
  <c r="BD2475" i="38"/>
  <c r="BE2475" i="38" s="1"/>
  <c r="BF2475" i="38" s="1"/>
  <c r="BG2475" i="38" s="1"/>
  <c r="BH2475" i="38" s="1"/>
  <c r="BD2469" i="38"/>
  <c r="BE2469" i="38" s="1"/>
  <c r="BF2469" i="38" s="1"/>
  <c r="BG2469" i="38" s="1"/>
  <c r="BH2469" i="38" s="1"/>
  <c r="BD2361" i="38"/>
  <c r="BE2361" i="38" s="1"/>
  <c r="BF2361" i="38" s="1"/>
  <c r="BG2361" i="38" s="1"/>
  <c r="BH2361" i="38" s="1"/>
  <c r="BD2348" i="38"/>
  <c r="BE2348" i="38" s="1"/>
  <c r="BF2348" i="38" s="1"/>
  <c r="BG2348" i="38" s="1"/>
  <c r="BH2348" i="38" s="1"/>
  <c r="BD2332" i="38"/>
  <c r="BE2332" i="38" s="1"/>
  <c r="BF2332" i="38" s="1"/>
  <c r="BG2332" i="38" s="1"/>
  <c r="BH2332" i="38" s="1"/>
  <c r="BD2316" i="38"/>
  <c r="BE2316" i="38" s="1"/>
  <c r="BF2316" i="38" s="1"/>
  <c r="BG2316" i="38" s="1"/>
  <c r="BH2316" i="38" s="1"/>
  <c r="BD2300" i="38"/>
  <c r="BE2300" i="38" s="1"/>
  <c r="BF2300" i="38" s="1"/>
  <c r="BG2300" i="38" s="1"/>
  <c r="BH2300" i="38" s="1"/>
  <c r="BD2284" i="38"/>
  <c r="BE2284" i="38" s="1"/>
  <c r="BF2284" i="38" s="1"/>
  <c r="BG2284" i="38" s="1"/>
  <c r="BH2284" i="38" s="1"/>
  <c r="BD2268" i="38"/>
  <c r="BE2268" i="38" s="1"/>
  <c r="BF2268" i="38" s="1"/>
  <c r="BG2268" i="38" s="1"/>
  <c r="BH2268" i="38" s="1"/>
  <c r="BD2252" i="38"/>
  <c r="BE2252" i="38" s="1"/>
  <c r="BF2252" i="38" s="1"/>
  <c r="BG2252" i="38" s="1"/>
  <c r="BH2252" i="38" s="1"/>
  <c r="BD2236" i="38"/>
  <c r="BE2236" i="38" s="1"/>
  <c r="BF2236" i="38" s="1"/>
  <c r="BG2236" i="38" s="1"/>
  <c r="BH2236" i="38" s="1"/>
  <c r="BD2220" i="38"/>
  <c r="BE2220" i="38" s="1"/>
  <c r="BF2220" i="38" s="1"/>
  <c r="BG2220" i="38" s="1"/>
  <c r="BH2220" i="38" s="1"/>
  <c r="BD2204" i="38"/>
  <c r="BE2204" i="38" s="1"/>
  <c r="BF2204" i="38" s="1"/>
  <c r="BG2204" i="38" s="1"/>
  <c r="BH2204" i="38" s="1"/>
  <c r="BD2188" i="38"/>
  <c r="BE2188" i="38" s="1"/>
  <c r="BF2188" i="38" s="1"/>
  <c r="BG2188" i="38" s="1"/>
  <c r="BH2188" i="38" s="1"/>
  <c r="BD2172" i="38"/>
  <c r="BE2172" i="38" s="1"/>
  <c r="BF2172" i="38" s="1"/>
  <c r="BG2172" i="38" s="1"/>
  <c r="BH2172" i="38" s="1"/>
  <c r="BD2156" i="38"/>
  <c r="BE2156" i="38" s="1"/>
  <c r="BF2156" i="38" s="1"/>
  <c r="BG2156" i="38" s="1"/>
  <c r="BH2156" i="38" s="1"/>
  <c r="BD2140" i="38"/>
  <c r="BE2140" i="38" s="1"/>
  <c r="BF2140" i="38" s="1"/>
  <c r="BG2140" i="38" s="1"/>
  <c r="BH2140" i="38" s="1"/>
  <c r="BD2124" i="38"/>
  <c r="BE2124" i="38" s="1"/>
  <c r="BF2124" i="38" s="1"/>
  <c r="BG2124" i="38" s="1"/>
  <c r="BH2124" i="38" s="1"/>
  <c r="BD2108" i="38"/>
  <c r="BE2108" i="38" s="1"/>
  <c r="BF2108" i="38" s="1"/>
  <c r="BG2108" i="38" s="1"/>
  <c r="BH2108" i="38" s="1"/>
  <c r="BD2092" i="38"/>
  <c r="BE2092" i="38" s="1"/>
  <c r="BF2092" i="38" s="1"/>
  <c r="BG2092" i="38" s="1"/>
  <c r="BH2092" i="38" s="1"/>
  <c r="BD2076" i="38"/>
  <c r="BE2076" i="38" s="1"/>
  <c r="BF2076" i="38" s="1"/>
  <c r="BG2076" i="38" s="1"/>
  <c r="BH2076" i="38" s="1"/>
  <c r="BD2060" i="38"/>
  <c r="BE2060" i="38" s="1"/>
  <c r="BF2060" i="38" s="1"/>
  <c r="BG2060" i="38" s="1"/>
  <c r="BH2060" i="38" s="1"/>
  <c r="BD2044" i="38"/>
  <c r="BE2044" i="38" s="1"/>
  <c r="BF2044" i="38" s="1"/>
  <c r="BG2044" i="38" s="1"/>
  <c r="BH2044" i="38" s="1"/>
  <c r="BD2028" i="38"/>
  <c r="BE2028" i="38" s="1"/>
  <c r="BF2028" i="38" s="1"/>
  <c r="BG2028" i="38" s="1"/>
  <c r="BH2028" i="38" s="1"/>
  <c r="BD2012" i="38"/>
  <c r="BE2012" i="38" s="1"/>
  <c r="BF2012" i="38" s="1"/>
  <c r="BG2012" i="38" s="1"/>
  <c r="BH2012" i="38" s="1"/>
  <c r="BD1996" i="38"/>
  <c r="BE1996" i="38" s="1"/>
  <c r="BF1996" i="38" s="1"/>
  <c r="BG1996" i="38" s="1"/>
  <c r="BH1996" i="38" s="1"/>
  <c r="BD1980" i="38"/>
  <c r="BE1980" i="38" s="1"/>
  <c r="BF1980" i="38" s="1"/>
  <c r="BG1980" i="38" s="1"/>
  <c r="BH1980" i="38" s="1"/>
  <c r="BD1964" i="38"/>
  <c r="BE1964" i="38" s="1"/>
  <c r="BF1964" i="38" s="1"/>
  <c r="BG1964" i="38" s="1"/>
  <c r="BH1964" i="38" s="1"/>
  <c r="BD1948" i="38"/>
  <c r="BE1948" i="38" s="1"/>
  <c r="BF1948" i="38" s="1"/>
  <c r="BG1948" i="38" s="1"/>
  <c r="BH1948" i="38" s="1"/>
  <c r="BD1932" i="38"/>
  <c r="BE1932" i="38" s="1"/>
  <c r="BF1932" i="38" s="1"/>
  <c r="BG1932" i="38" s="1"/>
  <c r="BH1932" i="38" s="1"/>
  <c r="BD1916" i="38"/>
  <c r="BE1916" i="38" s="1"/>
  <c r="BF1916" i="38" s="1"/>
  <c r="BG1916" i="38" s="1"/>
  <c r="BH1916" i="38" s="1"/>
  <c r="BD1900" i="38"/>
  <c r="BE1900" i="38" s="1"/>
  <c r="BF1900" i="38" s="1"/>
  <c r="BG1900" i="38" s="1"/>
  <c r="BH1900" i="38" s="1"/>
  <c r="BD1884" i="38"/>
  <c r="BE1884" i="38" s="1"/>
  <c r="BF1884" i="38" s="1"/>
  <c r="BG1884" i="38" s="1"/>
  <c r="BH1884" i="38" s="1"/>
  <c r="BD1868" i="38"/>
  <c r="BE1868" i="38" s="1"/>
  <c r="BF1868" i="38" s="1"/>
  <c r="BG1868" i="38" s="1"/>
  <c r="BH1868" i="38" s="1"/>
  <c r="BD1852" i="38"/>
  <c r="BE1852" i="38" s="1"/>
  <c r="BF1852" i="38" s="1"/>
  <c r="BG1852" i="38" s="1"/>
  <c r="BH1852" i="38" s="1"/>
  <c r="BD1836" i="38"/>
  <c r="BE1836" i="38" s="1"/>
  <c r="BF1836" i="38" s="1"/>
  <c r="BG1836" i="38" s="1"/>
  <c r="BH1836" i="38" s="1"/>
  <c r="BD1820" i="38"/>
  <c r="BE1820" i="38" s="1"/>
  <c r="BF1820" i="38" s="1"/>
  <c r="BG1820" i="38" s="1"/>
  <c r="BH1820" i="38" s="1"/>
  <c r="BD1804" i="38"/>
  <c r="BE1804" i="38" s="1"/>
  <c r="BF1804" i="38" s="1"/>
  <c r="BG1804" i="38" s="1"/>
  <c r="BH1804" i="38" s="1"/>
  <c r="BD1788" i="38"/>
  <c r="BE1788" i="38" s="1"/>
  <c r="BF1788" i="38" s="1"/>
  <c r="BG1788" i="38" s="1"/>
  <c r="BH1788" i="38" s="1"/>
  <c r="BD1772" i="38"/>
  <c r="BE1772" i="38" s="1"/>
  <c r="BF1772" i="38" s="1"/>
  <c r="BG1772" i="38" s="1"/>
  <c r="BH1772" i="38" s="1"/>
  <c r="BD1756" i="38"/>
  <c r="BE1756" i="38" s="1"/>
  <c r="BF1756" i="38" s="1"/>
  <c r="BG1756" i="38" s="1"/>
  <c r="BH1756" i="38" s="1"/>
  <c r="BD1740" i="38"/>
  <c r="BE1740" i="38" s="1"/>
  <c r="BF1740" i="38" s="1"/>
  <c r="BG1740" i="38" s="1"/>
  <c r="BH1740" i="38" s="1"/>
  <c r="BD1724" i="38"/>
  <c r="BE1724" i="38" s="1"/>
  <c r="BF1724" i="38" s="1"/>
  <c r="BG1724" i="38" s="1"/>
  <c r="BH1724" i="38" s="1"/>
  <c r="BD1708" i="38"/>
  <c r="BE1708" i="38" s="1"/>
  <c r="BF1708" i="38" s="1"/>
  <c r="BG1708" i="38" s="1"/>
  <c r="BH1708" i="38" s="1"/>
  <c r="BD1692" i="38"/>
  <c r="BE1692" i="38" s="1"/>
  <c r="BF1692" i="38" s="1"/>
  <c r="BG1692" i="38" s="1"/>
  <c r="BH1692" i="38" s="1"/>
  <c r="BD1676" i="38"/>
  <c r="BE1676" i="38" s="1"/>
  <c r="BF1676" i="38" s="1"/>
  <c r="BG1676" i="38" s="1"/>
  <c r="BH1676" i="38" s="1"/>
  <c r="BD1660" i="38"/>
  <c r="BE1660" i="38" s="1"/>
  <c r="BF1660" i="38" s="1"/>
  <c r="BG1660" i="38" s="1"/>
  <c r="BH1660" i="38" s="1"/>
  <c r="BD1644" i="38"/>
  <c r="BE1644" i="38" s="1"/>
  <c r="BF1644" i="38" s="1"/>
  <c r="BG1644" i="38" s="1"/>
  <c r="BH1644" i="38" s="1"/>
  <c r="BD1628" i="38"/>
  <c r="BE1628" i="38" s="1"/>
  <c r="BF1628" i="38" s="1"/>
  <c r="BG1628" i="38" s="1"/>
  <c r="BH1628" i="38" s="1"/>
  <c r="BD2922" i="38"/>
  <c r="BE2922" i="38" s="1"/>
  <c r="BF2922" i="38" s="1"/>
  <c r="BG2922" i="38" s="1"/>
  <c r="BH2922" i="38" s="1"/>
  <c r="BD2747" i="38"/>
  <c r="BE2747" i="38" s="1"/>
  <c r="BF2747" i="38" s="1"/>
  <c r="BG2747" i="38" s="1"/>
  <c r="BH2747" i="38" s="1"/>
  <c r="BD2730" i="38"/>
  <c r="BE2730" i="38" s="1"/>
  <c r="BF2730" i="38" s="1"/>
  <c r="BG2730" i="38" s="1"/>
  <c r="BH2730" i="38" s="1"/>
  <c r="BD2715" i="38"/>
  <c r="BE2715" i="38" s="1"/>
  <c r="BF2715" i="38" s="1"/>
  <c r="BG2715" i="38" s="1"/>
  <c r="BH2715" i="38" s="1"/>
  <c r="BD2686" i="38"/>
  <c r="BE2686" i="38" s="1"/>
  <c r="BF2686" i="38" s="1"/>
  <c r="BG2686" i="38" s="1"/>
  <c r="BH2686" i="38" s="1"/>
  <c r="BD2642" i="38"/>
  <c r="BE2642" i="38" s="1"/>
  <c r="BF2642" i="38" s="1"/>
  <c r="BG2642" i="38" s="1"/>
  <c r="BH2642" i="38" s="1"/>
  <c r="BD2627" i="38"/>
  <c r="BE2627" i="38" s="1"/>
  <c r="BF2627" i="38" s="1"/>
  <c r="BG2627" i="38" s="1"/>
  <c r="BH2627" i="38" s="1"/>
  <c r="BD2598" i="38"/>
  <c r="BE2598" i="38" s="1"/>
  <c r="BF2598" i="38" s="1"/>
  <c r="BG2598" i="38" s="1"/>
  <c r="BH2598" i="38" s="1"/>
  <c r="BD2569" i="38"/>
  <c r="BE2569" i="38" s="1"/>
  <c r="BF2569" i="38" s="1"/>
  <c r="BG2569" i="38" s="1"/>
  <c r="BH2569" i="38" s="1"/>
  <c r="BD2554" i="38"/>
  <c r="BE2554" i="38" s="1"/>
  <c r="BF2554" i="38" s="1"/>
  <c r="BG2554" i="38" s="1"/>
  <c r="BH2554" i="38" s="1"/>
  <c r="BD2526" i="38"/>
  <c r="BE2526" i="38" s="1"/>
  <c r="BF2526" i="38" s="1"/>
  <c r="BG2526" i="38" s="1"/>
  <c r="BH2526" i="38" s="1"/>
  <c r="BD2520" i="38"/>
  <c r="BE2520" i="38" s="1"/>
  <c r="BF2520" i="38" s="1"/>
  <c r="BG2520" i="38" s="1"/>
  <c r="BH2520" i="38" s="1"/>
  <c r="BD2514" i="38"/>
  <c r="BE2514" i="38" s="1"/>
  <c r="BF2514" i="38" s="1"/>
  <c r="BG2514" i="38" s="1"/>
  <c r="BH2514" i="38" s="1"/>
  <c r="BD2406" i="38"/>
  <c r="BE2406" i="38" s="1"/>
  <c r="BF2406" i="38" s="1"/>
  <c r="BG2406" i="38" s="1"/>
  <c r="BH2406" i="38" s="1"/>
  <c r="BD2395" i="38"/>
  <c r="BE2395" i="38" s="1"/>
  <c r="BF2395" i="38" s="1"/>
  <c r="BG2395" i="38" s="1"/>
  <c r="BH2395" i="38" s="1"/>
  <c r="BD2389" i="38"/>
  <c r="BE2389" i="38" s="1"/>
  <c r="BF2389" i="38" s="1"/>
  <c r="BG2389" i="38" s="1"/>
  <c r="BH2389" i="38" s="1"/>
  <c r="BD2368" i="38"/>
  <c r="BE2368" i="38" s="1"/>
  <c r="BF2368" i="38" s="1"/>
  <c r="BG2368" i="38" s="1"/>
  <c r="BH2368" i="38" s="1"/>
  <c r="BD2351" i="38"/>
  <c r="BE2351" i="38" s="1"/>
  <c r="BF2351" i="38" s="1"/>
  <c r="BG2351" i="38" s="1"/>
  <c r="BH2351" i="38" s="1"/>
  <c r="BD2335" i="38"/>
  <c r="BE2335" i="38" s="1"/>
  <c r="BF2335" i="38" s="1"/>
  <c r="BG2335" i="38" s="1"/>
  <c r="BH2335" i="38" s="1"/>
  <c r="BD2319" i="38"/>
  <c r="BE2319" i="38" s="1"/>
  <c r="BF2319" i="38" s="1"/>
  <c r="BG2319" i="38" s="1"/>
  <c r="BH2319" i="38" s="1"/>
  <c r="BD2303" i="38"/>
  <c r="BE2303" i="38" s="1"/>
  <c r="BF2303" i="38" s="1"/>
  <c r="BG2303" i="38" s="1"/>
  <c r="BH2303" i="38" s="1"/>
  <c r="BD2287" i="38"/>
  <c r="BE2287" i="38" s="1"/>
  <c r="BF2287" i="38" s="1"/>
  <c r="BG2287" i="38" s="1"/>
  <c r="BH2287" i="38" s="1"/>
  <c r="BD2271" i="38"/>
  <c r="BE2271" i="38" s="1"/>
  <c r="BF2271" i="38" s="1"/>
  <c r="BG2271" i="38" s="1"/>
  <c r="BH2271" i="38" s="1"/>
  <c r="BD2255" i="38"/>
  <c r="BE2255" i="38" s="1"/>
  <c r="BF2255" i="38" s="1"/>
  <c r="BG2255" i="38" s="1"/>
  <c r="BH2255" i="38" s="1"/>
  <c r="BD2239" i="38"/>
  <c r="BE2239" i="38" s="1"/>
  <c r="BF2239" i="38" s="1"/>
  <c r="BG2239" i="38" s="1"/>
  <c r="BH2239" i="38" s="1"/>
  <c r="BD2223" i="38"/>
  <c r="BE2223" i="38" s="1"/>
  <c r="BF2223" i="38" s="1"/>
  <c r="BG2223" i="38" s="1"/>
  <c r="BH2223" i="38" s="1"/>
  <c r="BD2207" i="38"/>
  <c r="BE2207" i="38" s="1"/>
  <c r="BF2207" i="38" s="1"/>
  <c r="BG2207" i="38" s="1"/>
  <c r="BH2207" i="38" s="1"/>
  <c r="BD2191" i="38"/>
  <c r="BE2191" i="38" s="1"/>
  <c r="BF2191" i="38" s="1"/>
  <c r="BG2191" i="38" s="1"/>
  <c r="BH2191" i="38" s="1"/>
  <c r="BD2175" i="38"/>
  <c r="BE2175" i="38" s="1"/>
  <c r="BF2175" i="38" s="1"/>
  <c r="BG2175" i="38" s="1"/>
  <c r="BH2175" i="38" s="1"/>
  <c r="BD2159" i="38"/>
  <c r="BE2159" i="38" s="1"/>
  <c r="BF2159" i="38" s="1"/>
  <c r="BG2159" i="38" s="1"/>
  <c r="BH2159" i="38" s="1"/>
  <c r="BD2143" i="38"/>
  <c r="BE2143" i="38" s="1"/>
  <c r="BF2143" i="38" s="1"/>
  <c r="BG2143" i="38" s="1"/>
  <c r="BH2143" i="38" s="1"/>
  <c r="BD2127" i="38"/>
  <c r="BE2127" i="38" s="1"/>
  <c r="BF2127" i="38" s="1"/>
  <c r="BG2127" i="38" s="1"/>
  <c r="BH2127" i="38" s="1"/>
  <c r="BD2111" i="38"/>
  <c r="BE2111" i="38" s="1"/>
  <c r="BF2111" i="38" s="1"/>
  <c r="BG2111" i="38" s="1"/>
  <c r="BH2111" i="38" s="1"/>
  <c r="BD2095" i="38"/>
  <c r="BE2095" i="38" s="1"/>
  <c r="BF2095" i="38" s="1"/>
  <c r="BG2095" i="38" s="1"/>
  <c r="BH2095" i="38" s="1"/>
  <c r="BD2079" i="38"/>
  <c r="BE2079" i="38" s="1"/>
  <c r="BF2079" i="38" s="1"/>
  <c r="BG2079" i="38" s="1"/>
  <c r="BH2079" i="38" s="1"/>
  <c r="BD2063" i="38"/>
  <c r="BE2063" i="38" s="1"/>
  <c r="BF2063" i="38" s="1"/>
  <c r="BG2063" i="38" s="1"/>
  <c r="BH2063" i="38" s="1"/>
  <c r="BD2047" i="38"/>
  <c r="BE2047" i="38" s="1"/>
  <c r="BF2047" i="38" s="1"/>
  <c r="BG2047" i="38" s="1"/>
  <c r="BH2047" i="38" s="1"/>
  <c r="BD2031" i="38"/>
  <c r="BE2031" i="38" s="1"/>
  <c r="BF2031" i="38" s="1"/>
  <c r="BG2031" i="38" s="1"/>
  <c r="BH2031" i="38" s="1"/>
  <c r="BD2015" i="38"/>
  <c r="BE2015" i="38" s="1"/>
  <c r="BF2015" i="38" s="1"/>
  <c r="BG2015" i="38" s="1"/>
  <c r="BH2015" i="38" s="1"/>
  <c r="BD1999" i="38"/>
  <c r="BE1999" i="38" s="1"/>
  <c r="BF1999" i="38" s="1"/>
  <c r="BG1999" i="38" s="1"/>
  <c r="BH1999" i="38" s="1"/>
  <c r="BD1983" i="38"/>
  <c r="BE1983" i="38" s="1"/>
  <c r="BF1983" i="38" s="1"/>
  <c r="BG1983" i="38" s="1"/>
  <c r="BH1983" i="38" s="1"/>
  <c r="BD1967" i="38"/>
  <c r="BE1967" i="38" s="1"/>
  <c r="BF1967" i="38" s="1"/>
  <c r="BG1967" i="38" s="1"/>
  <c r="BH1967" i="38" s="1"/>
  <c r="BD1951" i="38"/>
  <c r="BE1951" i="38" s="1"/>
  <c r="BF1951" i="38" s="1"/>
  <c r="BG1951" i="38" s="1"/>
  <c r="BH1951" i="38" s="1"/>
  <c r="BD1935" i="38"/>
  <c r="BE1935" i="38" s="1"/>
  <c r="BF1935" i="38" s="1"/>
  <c r="BG1935" i="38" s="1"/>
  <c r="BH1935" i="38" s="1"/>
  <c r="BD1919" i="38"/>
  <c r="BE1919" i="38" s="1"/>
  <c r="BF1919" i="38" s="1"/>
  <c r="BG1919" i="38" s="1"/>
  <c r="BH1919" i="38" s="1"/>
  <c r="BD1903" i="38"/>
  <c r="BE1903" i="38" s="1"/>
  <c r="BF1903" i="38" s="1"/>
  <c r="BG1903" i="38" s="1"/>
  <c r="BH1903" i="38" s="1"/>
  <c r="BD1887" i="38"/>
  <c r="BE1887" i="38" s="1"/>
  <c r="BF1887" i="38" s="1"/>
  <c r="BG1887" i="38" s="1"/>
  <c r="BH1887" i="38" s="1"/>
  <c r="BD1871" i="38"/>
  <c r="BE1871" i="38" s="1"/>
  <c r="BF1871" i="38" s="1"/>
  <c r="BG1871" i="38" s="1"/>
  <c r="BH1871" i="38" s="1"/>
  <c r="BD1855" i="38"/>
  <c r="BE1855" i="38" s="1"/>
  <c r="BF1855" i="38" s="1"/>
  <c r="BG1855" i="38" s="1"/>
  <c r="BH1855" i="38" s="1"/>
  <c r="BD1839" i="38"/>
  <c r="BE1839" i="38" s="1"/>
  <c r="BF1839" i="38" s="1"/>
  <c r="BG1839" i="38" s="1"/>
  <c r="BH1839" i="38" s="1"/>
  <c r="BD1823" i="38"/>
  <c r="BE1823" i="38" s="1"/>
  <c r="BF1823" i="38" s="1"/>
  <c r="BG1823" i="38" s="1"/>
  <c r="BH1823" i="38" s="1"/>
  <c r="BD1807" i="38"/>
  <c r="BE1807" i="38" s="1"/>
  <c r="BF1807" i="38" s="1"/>
  <c r="BG1807" i="38" s="1"/>
  <c r="BH1807" i="38" s="1"/>
  <c r="BD1791" i="38"/>
  <c r="BE1791" i="38" s="1"/>
  <c r="BF1791" i="38" s="1"/>
  <c r="BG1791" i="38" s="1"/>
  <c r="BH1791" i="38" s="1"/>
  <c r="BD1775" i="38"/>
  <c r="BE1775" i="38" s="1"/>
  <c r="BF1775" i="38" s="1"/>
  <c r="BG1775" i="38" s="1"/>
  <c r="BH1775" i="38" s="1"/>
  <c r="BD1759" i="38"/>
  <c r="BE1759" i="38" s="1"/>
  <c r="BF1759" i="38" s="1"/>
  <c r="BG1759" i="38" s="1"/>
  <c r="BH1759" i="38" s="1"/>
  <c r="BD1743" i="38"/>
  <c r="BE1743" i="38" s="1"/>
  <c r="BF1743" i="38" s="1"/>
  <c r="BG1743" i="38" s="1"/>
  <c r="BH1743" i="38" s="1"/>
  <c r="BD1727" i="38"/>
  <c r="BE1727" i="38" s="1"/>
  <c r="BF1727" i="38" s="1"/>
  <c r="BG1727" i="38" s="1"/>
  <c r="BH1727" i="38" s="1"/>
  <c r="BD1711" i="38"/>
  <c r="BE1711" i="38" s="1"/>
  <c r="BF1711" i="38" s="1"/>
  <c r="BG1711" i="38" s="1"/>
  <c r="BH1711" i="38" s="1"/>
  <c r="BD1695" i="38"/>
  <c r="BE1695" i="38" s="1"/>
  <c r="BF1695" i="38" s="1"/>
  <c r="BG1695" i="38" s="1"/>
  <c r="BH1695" i="38" s="1"/>
  <c r="BD1679" i="38"/>
  <c r="BE1679" i="38" s="1"/>
  <c r="BF1679" i="38" s="1"/>
  <c r="BG1679" i="38" s="1"/>
  <c r="BH1679" i="38" s="1"/>
  <c r="BD1663" i="38"/>
  <c r="BE1663" i="38" s="1"/>
  <c r="BF1663" i="38" s="1"/>
  <c r="BG1663" i="38" s="1"/>
  <c r="BH1663" i="38" s="1"/>
  <c r="BD1647" i="38"/>
  <c r="BE1647" i="38" s="1"/>
  <c r="BF1647" i="38" s="1"/>
  <c r="BG1647" i="38" s="1"/>
  <c r="BH1647" i="38" s="1"/>
  <c r="BD1631" i="38"/>
  <c r="BE1631" i="38" s="1"/>
  <c r="BF1631" i="38" s="1"/>
  <c r="BG1631" i="38" s="1"/>
  <c r="BH1631" i="38" s="1"/>
  <c r="BD3002" i="38"/>
  <c r="BE3002" i="38" s="1"/>
  <c r="BF3002" i="38" s="1"/>
  <c r="BG3002" i="38" s="1"/>
  <c r="BH3002" i="38" s="1"/>
  <c r="BD2813" i="38"/>
  <c r="BE2813" i="38" s="1"/>
  <c r="BF2813" i="38" s="1"/>
  <c r="BG2813" i="38" s="1"/>
  <c r="BH2813" i="38" s="1"/>
  <c r="BD2778" i="38"/>
  <c r="BE2778" i="38" s="1"/>
  <c r="BF2778" i="38" s="1"/>
  <c r="BG2778" i="38" s="1"/>
  <c r="BH2778" i="38" s="1"/>
  <c r="BD2755" i="38"/>
  <c r="BE2755" i="38" s="1"/>
  <c r="BF2755" i="38" s="1"/>
  <c r="BG2755" i="38" s="1"/>
  <c r="BH2755" i="38" s="1"/>
  <c r="BD2722" i="38"/>
  <c r="BE2722" i="38" s="1"/>
  <c r="BF2722" i="38" s="1"/>
  <c r="BG2722" i="38" s="1"/>
  <c r="BH2722" i="38" s="1"/>
  <c r="BD2707" i="38"/>
  <c r="BE2707" i="38" s="1"/>
  <c r="BF2707" i="38" s="1"/>
  <c r="BG2707" i="38" s="1"/>
  <c r="BH2707" i="38" s="1"/>
  <c r="BD2678" i="38"/>
  <c r="BE2678" i="38" s="1"/>
  <c r="BF2678" i="38" s="1"/>
  <c r="BG2678" i="38" s="1"/>
  <c r="BH2678" i="38" s="1"/>
  <c r="BD2649" i="38"/>
  <c r="BE2649" i="38" s="1"/>
  <c r="BF2649" i="38" s="1"/>
  <c r="BG2649" i="38" s="1"/>
  <c r="BH2649" i="38" s="1"/>
  <c r="BD2634" i="38"/>
  <c r="BE2634" i="38" s="1"/>
  <c r="BF2634" i="38" s="1"/>
  <c r="BG2634" i="38" s="1"/>
  <c r="BH2634" i="38" s="1"/>
  <c r="BD2539" i="38"/>
  <c r="BE2539" i="38" s="1"/>
  <c r="BF2539" i="38" s="1"/>
  <c r="BG2539" i="38" s="1"/>
  <c r="BH2539" i="38" s="1"/>
  <c r="BD2474" i="38"/>
  <c r="BE2474" i="38" s="1"/>
  <c r="BF2474" i="38" s="1"/>
  <c r="BG2474" i="38" s="1"/>
  <c r="BH2474" i="38" s="1"/>
  <c r="BD2457" i="38"/>
  <c r="BE2457" i="38" s="1"/>
  <c r="BF2457" i="38" s="1"/>
  <c r="BG2457" i="38" s="1"/>
  <c r="BH2457" i="38" s="1"/>
  <c r="BD2451" i="38"/>
  <c r="BE2451" i="38" s="1"/>
  <c r="BF2451" i="38" s="1"/>
  <c r="BG2451" i="38" s="1"/>
  <c r="BH2451" i="38" s="1"/>
  <c r="BD2446" i="38"/>
  <c r="BE2446" i="38" s="1"/>
  <c r="BF2446" i="38" s="1"/>
  <c r="BG2446" i="38" s="1"/>
  <c r="BH2446" i="38" s="1"/>
  <c r="BD2440" i="38"/>
  <c r="BE2440" i="38" s="1"/>
  <c r="BF2440" i="38" s="1"/>
  <c r="BG2440" i="38" s="1"/>
  <c r="BH2440" i="38" s="1"/>
  <c r="BD2434" i="38"/>
  <c r="BE2434" i="38" s="1"/>
  <c r="BF2434" i="38" s="1"/>
  <c r="BG2434" i="38" s="1"/>
  <c r="BH2434" i="38" s="1"/>
  <c r="BD2384" i="38"/>
  <c r="BE2384" i="38" s="1"/>
  <c r="BF2384" i="38" s="1"/>
  <c r="BG2384" i="38" s="1"/>
  <c r="BH2384" i="38" s="1"/>
  <c r="BD2375" i="38"/>
  <c r="BE2375" i="38" s="1"/>
  <c r="BF2375" i="38" s="1"/>
  <c r="BG2375" i="38" s="1"/>
  <c r="BH2375" i="38" s="1"/>
  <c r="BD2945" i="38"/>
  <c r="BE2945" i="38" s="1"/>
  <c r="BF2945" i="38" s="1"/>
  <c r="BG2945" i="38" s="1"/>
  <c r="BH2945" i="38" s="1"/>
  <c r="BD2868" i="38"/>
  <c r="BE2868" i="38" s="1"/>
  <c r="BF2868" i="38" s="1"/>
  <c r="BG2868" i="38" s="1"/>
  <c r="BH2868" i="38" s="1"/>
  <c r="BD2849" i="38"/>
  <c r="BE2849" i="38" s="1"/>
  <c r="BF2849" i="38" s="1"/>
  <c r="BG2849" i="38" s="1"/>
  <c r="BH2849" i="38" s="1"/>
  <c r="BD2810" i="38"/>
  <c r="BE2810" i="38" s="1"/>
  <c r="BF2810" i="38" s="1"/>
  <c r="BG2810" i="38" s="1"/>
  <c r="BH2810" i="38" s="1"/>
  <c r="BD2792" i="38"/>
  <c r="BE2792" i="38" s="1"/>
  <c r="BF2792" i="38" s="1"/>
  <c r="BG2792" i="38" s="1"/>
  <c r="BH2792" i="38" s="1"/>
  <c r="BD2763" i="38"/>
  <c r="BE2763" i="38" s="1"/>
  <c r="BF2763" i="38" s="1"/>
  <c r="BG2763" i="38" s="1"/>
  <c r="BH2763" i="38" s="1"/>
  <c r="BD2746" i="38"/>
  <c r="BE2746" i="38" s="1"/>
  <c r="BF2746" i="38" s="1"/>
  <c r="BG2746" i="38" s="1"/>
  <c r="BH2746" i="38" s="1"/>
  <c r="BD2714" i="38"/>
  <c r="BE2714" i="38" s="1"/>
  <c r="BF2714" i="38" s="1"/>
  <c r="BG2714" i="38" s="1"/>
  <c r="BH2714" i="38" s="1"/>
  <c r="BD2619" i="38"/>
  <c r="BE2619" i="38" s="1"/>
  <c r="BF2619" i="38" s="1"/>
  <c r="BG2619" i="38" s="1"/>
  <c r="BH2619" i="38" s="1"/>
  <c r="BD2590" i="38"/>
  <c r="BE2590" i="38" s="1"/>
  <c r="BF2590" i="38" s="1"/>
  <c r="BG2590" i="38" s="1"/>
  <c r="BH2590" i="38" s="1"/>
  <c r="BD2546" i="38"/>
  <c r="BE2546" i="38" s="1"/>
  <c r="BF2546" i="38" s="1"/>
  <c r="BG2546" i="38" s="1"/>
  <c r="BH2546" i="38" s="1"/>
  <c r="BD2531" i="38"/>
  <c r="BE2531" i="38" s="1"/>
  <c r="BF2531" i="38" s="1"/>
  <c r="BG2531" i="38" s="1"/>
  <c r="BH2531" i="38" s="1"/>
  <c r="BD2502" i="38"/>
  <c r="BE2502" i="38" s="1"/>
  <c r="BF2502" i="38" s="1"/>
  <c r="BG2502" i="38" s="1"/>
  <c r="BH2502" i="38" s="1"/>
  <c r="BD2491" i="38"/>
  <c r="BE2491" i="38" s="1"/>
  <c r="BF2491" i="38" s="1"/>
  <c r="BG2491" i="38" s="1"/>
  <c r="BH2491" i="38" s="1"/>
  <c r="BD2485" i="38"/>
  <c r="BE2485" i="38" s="1"/>
  <c r="BF2485" i="38" s="1"/>
  <c r="BG2485" i="38" s="1"/>
  <c r="BH2485" i="38" s="1"/>
  <c r="BD2394" i="38"/>
  <c r="BE2394" i="38" s="1"/>
  <c r="BF2394" i="38" s="1"/>
  <c r="BG2394" i="38" s="1"/>
  <c r="BH2394" i="38" s="1"/>
  <c r="BD2364" i="38"/>
  <c r="BE2364" i="38" s="1"/>
  <c r="BF2364" i="38" s="1"/>
  <c r="BG2364" i="38" s="1"/>
  <c r="BH2364" i="38" s="1"/>
  <c r="BD2357" i="38"/>
  <c r="BE2357" i="38" s="1"/>
  <c r="BF2357" i="38" s="1"/>
  <c r="BG2357" i="38" s="1"/>
  <c r="BH2357" i="38" s="1"/>
  <c r="BD2341" i="38"/>
  <c r="BE2341" i="38" s="1"/>
  <c r="BF2341" i="38" s="1"/>
  <c r="BG2341" i="38" s="1"/>
  <c r="BH2341" i="38" s="1"/>
  <c r="BD2325" i="38"/>
  <c r="BE2325" i="38" s="1"/>
  <c r="BF2325" i="38" s="1"/>
  <c r="BG2325" i="38" s="1"/>
  <c r="BH2325" i="38" s="1"/>
  <c r="BD2309" i="38"/>
  <c r="BE2309" i="38" s="1"/>
  <c r="BF2309" i="38" s="1"/>
  <c r="BG2309" i="38" s="1"/>
  <c r="BH2309" i="38" s="1"/>
  <c r="BD2293" i="38"/>
  <c r="BE2293" i="38" s="1"/>
  <c r="BF2293" i="38" s="1"/>
  <c r="BG2293" i="38" s="1"/>
  <c r="BH2293" i="38" s="1"/>
  <c r="BD2277" i="38"/>
  <c r="BE2277" i="38" s="1"/>
  <c r="BF2277" i="38" s="1"/>
  <c r="BG2277" i="38" s="1"/>
  <c r="BH2277" i="38" s="1"/>
  <c r="BD2261" i="38"/>
  <c r="BE2261" i="38" s="1"/>
  <c r="BF2261" i="38" s="1"/>
  <c r="BG2261" i="38" s="1"/>
  <c r="BH2261" i="38" s="1"/>
  <c r="BD2245" i="38"/>
  <c r="BE2245" i="38" s="1"/>
  <c r="BF2245" i="38" s="1"/>
  <c r="BG2245" i="38" s="1"/>
  <c r="BH2245" i="38" s="1"/>
  <c r="BD2229" i="38"/>
  <c r="BE2229" i="38" s="1"/>
  <c r="BF2229" i="38" s="1"/>
  <c r="BG2229" i="38" s="1"/>
  <c r="BH2229" i="38" s="1"/>
  <c r="BD2213" i="38"/>
  <c r="BE2213" i="38" s="1"/>
  <c r="BF2213" i="38" s="1"/>
  <c r="BG2213" i="38" s="1"/>
  <c r="BH2213" i="38" s="1"/>
  <c r="BD2197" i="38"/>
  <c r="BE2197" i="38" s="1"/>
  <c r="BF2197" i="38" s="1"/>
  <c r="BG2197" i="38" s="1"/>
  <c r="BH2197" i="38" s="1"/>
  <c r="BD2181" i="38"/>
  <c r="BE2181" i="38" s="1"/>
  <c r="BF2181" i="38" s="1"/>
  <c r="BG2181" i="38" s="1"/>
  <c r="BH2181" i="38" s="1"/>
  <c r="BD2165" i="38"/>
  <c r="BE2165" i="38" s="1"/>
  <c r="BF2165" i="38" s="1"/>
  <c r="BG2165" i="38" s="1"/>
  <c r="BH2165" i="38" s="1"/>
  <c r="BD2149" i="38"/>
  <c r="BE2149" i="38" s="1"/>
  <c r="BF2149" i="38" s="1"/>
  <c r="BG2149" i="38" s="1"/>
  <c r="BH2149" i="38" s="1"/>
  <c r="BD2133" i="38"/>
  <c r="BE2133" i="38" s="1"/>
  <c r="BF2133" i="38" s="1"/>
  <c r="BG2133" i="38" s="1"/>
  <c r="BH2133" i="38" s="1"/>
  <c r="BD2117" i="38"/>
  <c r="BE2117" i="38" s="1"/>
  <c r="BF2117" i="38" s="1"/>
  <c r="BG2117" i="38" s="1"/>
  <c r="BH2117" i="38" s="1"/>
  <c r="BD2101" i="38"/>
  <c r="BE2101" i="38" s="1"/>
  <c r="BF2101" i="38" s="1"/>
  <c r="BG2101" i="38" s="1"/>
  <c r="BH2101" i="38" s="1"/>
  <c r="BD2085" i="38"/>
  <c r="BE2085" i="38" s="1"/>
  <c r="BF2085" i="38" s="1"/>
  <c r="BG2085" i="38" s="1"/>
  <c r="BH2085" i="38" s="1"/>
  <c r="BD2069" i="38"/>
  <c r="BE2069" i="38" s="1"/>
  <c r="BF2069" i="38" s="1"/>
  <c r="BG2069" i="38" s="1"/>
  <c r="BH2069" i="38" s="1"/>
  <c r="BD2053" i="38"/>
  <c r="BE2053" i="38" s="1"/>
  <c r="BF2053" i="38" s="1"/>
  <c r="BG2053" i="38" s="1"/>
  <c r="BH2053" i="38" s="1"/>
  <c r="BD2037" i="38"/>
  <c r="BE2037" i="38" s="1"/>
  <c r="BF2037" i="38" s="1"/>
  <c r="BG2037" i="38" s="1"/>
  <c r="BH2037" i="38" s="1"/>
  <c r="BD2021" i="38"/>
  <c r="BE2021" i="38" s="1"/>
  <c r="BF2021" i="38" s="1"/>
  <c r="BG2021" i="38" s="1"/>
  <c r="BH2021" i="38" s="1"/>
  <c r="BD2005" i="38"/>
  <c r="BE2005" i="38" s="1"/>
  <c r="BF2005" i="38" s="1"/>
  <c r="BG2005" i="38" s="1"/>
  <c r="BH2005" i="38" s="1"/>
  <c r="BD1989" i="38"/>
  <c r="BE1989" i="38" s="1"/>
  <c r="BF1989" i="38" s="1"/>
  <c r="BG1989" i="38" s="1"/>
  <c r="BH1989" i="38" s="1"/>
  <c r="BD1973" i="38"/>
  <c r="BE1973" i="38" s="1"/>
  <c r="BF1973" i="38" s="1"/>
  <c r="BG1973" i="38" s="1"/>
  <c r="BH1973" i="38" s="1"/>
  <c r="BD1957" i="38"/>
  <c r="BE1957" i="38" s="1"/>
  <c r="BF1957" i="38" s="1"/>
  <c r="BG1957" i="38" s="1"/>
  <c r="BH1957" i="38" s="1"/>
  <c r="BD1941" i="38"/>
  <c r="BE1941" i="38" s="1"/>
  <c r="BF1941" i="38" s="1"/>
  <c r="BG1941" i="38" s="1"/>
  <c r="BH1941" i="38" s="1"/>
  <c r="BD1925" i="38"/>
  <c r="BE1925" i="38" s="1"/>
  <c r="BF1925" i="38" s="1"/>
  <c r="BG1925" i="38" s="1"/>
  <c r="BH1925" i="38" s="1"/>
  <c r="BD1909" i="38"/>
  <c r="BE1909" i="38" s="1"/>
  <c r="BF1909" i="38" s="1"/>
  <c r="BG1909" i="38" s="1"/>
  <c r="BH1909" i="38" s="1"/>
  <c r="BD1893" i="38"/>
  <c r="BE1893" i="38" s="1"/>
  <c r="BF1893" i="38" s="1"/>
  <c r="BG1893" i="38" s="1"/>
  <c r="BH1893" i="38" s="1"/>
  <c r="BD1877" i="38"/>
  <c r="BE1877" i="38" s="1"/>
  <c r="BF1877" i="38" s="1"/>
  <c r="BG1877" i="38" s="1"/>
  <c r="BH1877" i="38" s="1"/>
  <c r="BD1861" i="38"/>
  <c r="BE1861" i="38" s="1"/>
  <c r="BF1861" i="38" s="1"/>
  <c r="BG1861" i="38" s="1"/>
  <c r="BH1861" i="38" s="1"/>
  <c r="BD1845" i="38"/>
  <c r="BE1845" i="38" s="1"/>
  <c r="BF1845" i="38" s="1"/>
  <c r="BG1845" i="38" s="1"/>
  <c r="BH1845" i="38" s="1"/>
  <c r="BD1829" i="38"/>
  <c r="BE1829" i="38" s="1"/>
  <c r="BF1829" i="38" s="1"/>
  <c r="BG1829" i="38" s="1"/>
  <c r="BH1829" i="38" s="1"/>
  <c r="BD1813" i="38"/>
  <c r="BE1813" i="38" s="1"/>
  <c r="BF1813" i="38" s="1"/>
  <c r="BG1813" i="38" s="1"/>
  <c r="BH1813" i="38" s="1"/>
  <c r="BD1797" i="38"/>
  <c r="BE1797" i="38" s="1"/>
  <c r="BF1797" i="38" s="1"/>
  <c r="BG1797" i="38" s="1"/>
  <c r="BH1797" i="38" s="1"/>
  <c r="BD1781" i="38"/>
  <c r="BE1781" i="38" s="1"/>
  <c r="BF1781" i="38" s="1"/>
  <c r="BG1781" i="38" s="1"/>
  <c r="BH1781" i="38" s="1"/>
  <c r="BD1765" i="38"/>
  <c r="BE1765" i="38" s="1"/>
  <c r="BF1765" i="38" s="1"/>
  <c r="BG1765" i="38" s="1"/>
  <c r="BH1765" i="38" s="1"/>
  <c r="BD1749" i="38"/>
  <c r="BE1749" i="38" s="1"/>
  <c r="BF1749" i="38" s="1"/>
  <c r="BG1749" i="38" s="1"/>
  <c r="BH1749" i="38" s="1"/>
  <c r="BD1733" i="38"/>
  <c r="BE1733" i="38" s="1"/>
  <c r="BF1733" i="38" s="1"/>
  <c r="BG1733" i="38" s="1"/>
  <c r="BH1733" i="38" s="1"/>
  <c r="BD1717" i="38"/>
  <c r="BE1717" i="38" s="1"/>
  <c r="BF1717" i="38" s="1"/>
  <c r="BG1717" i="38" s="1"/>
  <c r="BH1717" i="38" s="1"/>
  <c r="BD1701" i="38"/>
  <c r="BE1701" i="38" s="1"/>
  <c r="BF1701" i="38" s="1"/>
  <c r="BG1701" i="38" s="1"/>
  <c r="BH1701" i="38" s="1"/>
  <c r="BD1685" i="38"/>
  <c r="BE1685" i="38" s="1"/>
  <c r="BF1685" i="38" s="1"/>
  <c r="BG1685" i="38" s="1"/>
  <c r="BH1685" i="38" s="1"/>
  <c r="BD1669" i="38"/>
  <c r="BE1669" i="38" s="1"/>
  <c r="BF1669" i="38" s="1"/>
  <c r="BG1669" i="38" s="1"/>
  <c r="BH1669" i="38" s="1"/>
  <c r="BD1653" i="38"/>
  <c r="BE1653" i="38" s="1"/>
  <c r="BF1653" i="38" s="1"/>
  <c r="BG1653" i="38" s="1"/>
  <c r="BH1653" i="38" s="1"/>
  <c r="BD1637" i="38"/>
  <c r="BE1637" i="38" s="1"/>
  <c r="BF1637" i="38" s="1"/>
  <c r="BG1637" i="38" s="1"/>
  <c r="BH1637" i="38" s="1"/>
  <c r="BD3000" i="38"/>
  <c r="BE3000" i="38" s="1"/>
  <c r="BF3000" i="38" s="1"/>
  <c r="BG3000" i="38" s="1"/>
  <c r="BH3000" i="38" s="1"/>
  <c r="BD2890" i="38"/>
  <c r="BE2890" i="38" s="1"/>
  <c r="BF2890" i="38" s="1"/>
  <c r="BG2890" i="38" s="1"/>
  <c r="BH2890" i="38" s="1"/>
  <c r="BD2729" i="38"/>
  <c r="BE2729" i="38" s="1"/>
  <c r="BF2729" i="38" s="1"/>
  <c r="BG2729" i="38" s="1"/>
  <c r="BH2729" i="38" s="1"/>
  <c r="BD2699" i="38"/>
  <c r="BE2699" i="38" s="1"/>
  <c r="BF2699" i="38" s="1"/>
  <c r="BG2699" i="38" s="1"/>
  <c r="BH2699" i="38" s="1"/>
  <c r="BD2670" i="38"/>
  <c r="BE2670" i="38" s="1"/>
  <c r="BF2670" i="38" s="1"/>
  <c r="BG2670" i="38" s="1"/>
  <c r="BH2670" i="38" s="1"/>
  <c r="BD2626" i="38"/>
  <c r="BE2626" i="38" s="1"/>
  <c r="BF2626" i="38" s="1"/>
  <c r="BG2626" i="38" s="1"/>
  <c r="BH2626" i="38" s="1"/>
  <c r="BD2611" i="38"/>
  <c r="BE2611" i="38" s="1"/>
  <c r="BF2611" i="38" s="1"/>
  <c r="BG2611" i="38" s="1"/>
  <c r="BH2611" i="38" s="1"/>
  <c r="BD2582" i="38"/>
  <c r="BE2582" i="38" s="1"/>
  <c r="BF2582" i="38" s="1"/>
  <c r="BG2582" i="38" s="1"/>
  <c r="BH2582" i="38" s="1"/>
  <c r="BD2553" i="38"/>
  <c r="BE2553" i="38" s="1"/>
  <c r="BF2553" i="38" s="1"/>
  <c r="BG2553" i="38" s="1"/>
  <c r="BH2553" i="38" s="1"/>
  <c r="BD2538" i="38"/>
  <c r="BE2538" i="38" s="1"/>
  <c r="BF2538" i="38" s="1"/>
  <c r="BG2538" i="38" s="1"/>
  <c r="BH2538" i="38" s="1"/>
  <c r="BD2422" i="38"/>
  <c r="BE2422" i="38" s="1"/>
  <c r="BF2422" i="38" s="1"/>
  <c r="BG2422" i="38" s="1"/>
  <c r="BH2422" i="38" s="1"/>
  <c r="BD2411" i="38"/>
  <c r="BE2411" i="38" s="1"/>
  <c r="BF2411" i="38" s="1"/>
  <c r="BG2411" i="38" s="1"/>
  <c r="BH2411" i="38" s="1"/>
  <c r="BD2405" i="38"/>
  <c r="BE2405" i="38" s="1"/>
  <c r="BF2405" i="38" s="1"/>
  <c r="BG2405" i="38" s="1"/>
  <c r="BH2405" i="38" s="1"/>
  <c r="BD2379" i="38"/>
  <c r="BE2379" i="38" s="1"/>
  <c r="BF2379" i="38" s="1"/>
  <c r="BG2379" i="38" s="1"/>
  <c r="BH2379" i="38" s="1"/>
  <c r="BD2371" i="38"/>
  <c r="BE2371" i="38" s="1"/>
  <c r="BF2371" i="38" s="1"/>
  <c r="BG2371" i="38" s="1"/>
  <c r="BH2371" i="38" s="1"/>
  <c r="BD2344" i="38"/>
  <c r="BE2344" i="38" s="1"/>
  <c r="BF2344" i="38" s="1"/>
  <c r="BG2344" i="38" s="1"/>
  <c r="BH2344" i="38" s="1"/>
  <c r="BD2328" i="38"/>
  <c r="BE2328" i="38" s="1"/>
  <c r="BF2328" i="38" s="1"/>
  <c r="BG2328" i="38" s="1"/>
  <c r="BH2328" i="38" s="1"/>
  <c r="BD2312" i="38"/>
  <c r="BE2312" i="38" s="1"/>
  <c r="BF2312" i="38" s="1"/>
  <c r="BG2312" i="38" s="1"/>
  <c r="BH2312" i="38" s="1"/>
  <c r="BD2296" i="38"/>
  <c r="BE2296" i="38" s="1"/>
  <c r="BF2296" i="38" s="1"/>
  <c r="BG2296" i="38" s="1"/>
  <c r="BH2296" i="38" s="1"/>
  <c r="BD2280" i="38"/>
  <c r="BE2280" i="38" s="1"/>
  <c r="BF2280" i="38" s="1"/>
  <c r="BG2280" i="38" s="1"/>
  <c r="BH2280" i="38" s="1"/>
  <c r="BD2264" i="38"/>
  <c r="BE2264" i="38" s="1"/>
  <c r="BF2264" i="38" s="1"/>
  <c r="BG2264" i="38" s="1"/>
  <c r="BH2264" i="38" s="1"/>
  <c r="BD2248" i="38"/>
  <c r="BE2248" i="38" s="1"/>
  <c r="BF2248" i="38" s="1"/>
  <c r="BG2248" i="38" s="1"/>
  <c r="BH2248" i="38" s="1"/>
  <c r="BD2827" i="38"/>
  <c r="BE2827" i="38" s="1"/>
  <c r="BF2827" i="38" s="1"/>
  <c r="BG2827" i="38" s="1"/>
  <c r="BH2827" i="38" s="1"/>
  <c r="BD2775" i="38"/>
  <c r="BE2775" i="38" s="1"/>
  <c r="BF2775" i="38" s="1"/>
  <c r="BG2775" i="38" s="1"/>
  <c r="BH2775" i="38" s="1"/>
  <c r="BD2762" i="38"/>
  <c r="BE2762" i="38" s="1"/>
  <c r="BF2762" i="38" s="1"/>
  <c r="BG2762" i="38" s="1"/>
  <c r="BH2762" i="38" s="1"/>
  <c r="BD2706" i="38"/>
  <c r="BE2706" i="38" s="1"/>
  <c r="BF2706" i="38" s="1"/>
  <c r="BG2706" i="38" s="1"/>
  <c r="BH2706" i="38" s="1"/>
  <c r="BD2691" i="38"/>
  <c r="BE2691" i="38" s="1"/>
  <c r="BF2691" i="38" s="1"/>
  <c r="BG2691" i="38" s="1"/>
  <c r="BH2691" i="38" s="1"/>
  <c r="BD2662" i="38"/>
  <c r="BE2662" i="38" s="1"/>
  <c r="BF2662" i="38" s="1"/>
  <c r="BG2662" i="38" s="1"/>
  <c r="BH2662" i="38" s="1"/>
  <c r="BD2633" i="38"/>
  <c r="BE2633" i="38" s="1"/>
  <c r="BF2633" i="38" s="1"/>
  <c r="BG2633" i="38" s="1"/>
  <c r="BH2633" i="38" s="1"/>
  <c r="BD2618" i="38"/>
  <c r="BE2618" i="38" s="1"/>
  <c r="BF2618" i="38" s="1"/>
  <c r="BG2618" i="38" s="1"/>
  <c r="BH2618" i="38" s="1"/>
  <c r="BD2490" i="38"/>
  <c r="BE2490" i="38" s="1"/>
  <c r="BF2490" i="38" s="1"/>
  <c r="BG2490" i="38" s="1"/>
  <c r="BH2490" i="38" s="1"/>
  <c r="BD2473" i="38"/>
  <c r="BE2473" i="38" s="1"/>
  <c r="BF2473" i="38" s="1"/>
  <c r="BG2473" i="38" s="1"/>
  <c r="BH2473" i="38" s="1"/>
  <c r="BD2467" i="38"/>
  <c r="BE2467" i="38" s="1"/>
  <c r="BF2467" i="38" s="1"/>
  <c r="BG2467" i="38" s="1"/>
  <c r="BH2467" i="38" s="1"/>
  <c r="BD2462" i="38"/>
  <c r="BE2462" i="38" s="1"/>
  <c r="BF2462" i="38" s="1"/>
  <c r="BG2462" i="38" s="1"/>
  <c r="BH2462" i="38" s="1"/>
  <c r="BD2456" i="38"/>
  <c r="BE2456" i="38" s="1"/>
  <c r="BF2456" i="38" s="1"/>
  <c r="BG2456" i="38" s="1"/>
  <c r="BH2456" i="38" s="1"/>
  <c r="BD2450" i="38"/>
  <c r="BE2450" i="38" s="1"/>
  <c r="BF2450" i="38" s="1"/>
  <c r="BG2450" i="38" s="1"/>
  <c r="BH2450" i="38" s="1"/>
  <c r="BD2360" i="38"/>
  <c r="BE2360" i="38" s="1"/>
  <c r="BF2360" i="38" s="1"/>
  <c r="BG2360" i="38" s="1"/>
  <c r="BH2360" i="38" s="1"/>
  <c r="BD2347" i="38"/>
  <c r="BE2347" i="38" s="1"/>
  <c r="BF2347" i="38" s="1"/>
  <c r="BG2347" i="38" s="1"/>
  <c r="BH2347" i="38" s="1"/>
  <c r="BD2331" i="38"/>
  <c r="BE2331" i="38" s="1"/>
  <c r="BF2331" i="38" s="1"/>
  <c r="BG2331" i="38" s="1"/>
  <c r="BH2331" i="38" s="1"/>
  <c r="BD2315" i="38"/>
  <c r="BE2315" i="38" s="1"/>
  <c r="BF2315" i="38" s="1"/>
  <c r="BG2315" i="38" s="1"/>
  <c r="BH2315" i="38" s="1"/>
  <c r="BD2299" i="38"/>
  <c r="BE2299" i="38" s="1"/>
  <c r="BF2299" i="38" s="1"/>
  <c r="BG2299" i="38" s="1"/>
  <c r="BH2299" i="38" s="1"/>
  <c r="BD2283" i="38"/>
  <c r="BE2283" i="38" s="1"/>
  <c r="BF2283" i="38" s="1"/>
  <c r="BG2283" i="38" s="1"/>
  <c r="BH2283" i="38" s="1"/>
  <c r="BD2267" i="38"/>
  <c r="BE2267" i="38" s="1"/>
  <c r="BF2267" i="38" s="1"/>
  <c r="BG2267" i="38" s="1"/>
  <c r="BH2267" i="38" s="1"/>
  <c r="BD2251" i="38"/>
  <c r="BE2251" i="38" s="1"/>
  <c r="BF2251" i="38" s="1"/>
  <c r="BG2251" i="38" s="1"/>
  <c r="BH2251" i="38" s="1"/>
  <c r="BD2235" i="38"/>
  <c r="BE2235" i="38" s="1"/>
  <c r="BF2235" i="38" s="1"/>
  <c r="BG2235" i="38" s="1"/>
  <c r="BH2235" i="38" s="1"/>
  <c r="BD2219" i="38"/>
  <c r="BE2219" i="38" s="1"/>
  <c r="BF2219" i="38" s="1"/>
  <c r="BG2219" i="38" s="1"/>
  <c r="BH2219" i="38" s="1"/>
  <c r="BD2203" i="38"/>
  <c r="BE2203" i="38" s="1"/>
  <c r="BF2203" i="38" s="1"/>
  <c r="BG2203" i="38" s="1"/>
  <c r="BH2203" i="38" s="1"/>
  <c r="BD2187" i="38"/>
  <c r="BE2187" i="38" s="1"/>
  <c r="BF2187" i="38" s="1"/>
  <c r="BG2187" i="38" s="1"/>
  <c r="BH2187" i="38" s="1"/>
  <c r="BD2171" i="38"/>
  <c r="BE2171" i="38" s="1"/>
  <c r="BF2171" i="38" s="1"/>
  <c r="BG2171" i="38" s="1"/>
  <c r="BH2171" i="38" s="1"/>
  <c r="BD2155" i="38"/>
  <c r="BE2155" i="38" s="1"/>
  <c r="BF2155" i="38" s="1"/>
  <c r="BG2155" i="38" s="1"/>
  <c r="BH2155" i="38" s="1"/>
  <c r="BD2139" i="38"/>
  <c r="BE2139" i="38" s="1"/>
  <c r="BF2139" i="38" s="1"/>
  <c r="BG2139" i="38" s="1"/>
  <c r="BH2139" i="38" s="1"/>
  <c r="BD2123" i="38"/>
  <c r="BE2123" i="38" s="1"/>
  <c r="BF2123" i="38" s="1"/>
  <c r="BG2123" i="38" s="1"/>
  <c r="BH2123" i="38" s="1"/>
  <c r="BD2107" i="38"/>
  <c r="BE2107" i="38" s="1"/>
  <c r="BF2107" i="38" s="1"/>
  <c r="BG2107" i="38" s="1"/>
  <c r="BH2107" i="38" s="1"/>
  <c r="BD2091" i="38"/>
  <c r="BE2091" i="38" s="1"/>
  <c r="BF2091" i="38" s="1"/>
  <c r="BG2091" i="38" s="1"/>
  <c r="BH2091" i="38" s="1"/>
  <c r="BD2075" i="38"/>
  <c r="BE2075" i="38" s="1"/>
  <c r="BF2075" i="38" s="1"/>
  <c r="BG2075" i="38" s="1"/>
  <c r="BH2075" i="38" s="1"/>
  <c r="BD2059" i="38"/>
  <c r="BE2059" i="38" s="1"/>
  <c r="BF2059" i="38" s="1"/>
  <c r="BG2059" i="38" s="1"/>
  <c r="BH2059" i="38" s="1"/>
  <c r="BD2043" i="38"/>
  <c r="BE2043" i="38" s="1"/>
  <c r="BF2043" i="38" s="1"/>
  <c r="BG2043" i="38" s="1"/>
  <c r="BH2043" i="38" s="1"/>
  <c r="BD2027" i="38"/>
  <c r="BE2027" i="38" s="1"/>
  <c r="BF2027" i="38" s="1"/>
  <c r="BG2027" i="38" s="1"/>
  <c r="BH2027" i="38" s="1"/>
  <c r="BD2011" i="38"/>
  <c r="BE2011" i="38" s="1"/>
  <c r="BF2011" i="38" s="1"/>
  <c r="BG2011" i="38" s="1"/>
  <c r="BH2011" i="38" s="1"/>
  <c r="BD1995" i="38"/>
  <c r="BE1995" i="38" s="1"/>
  <c r="BF1995" i="38" s="1"/>
  <c r="BG1995" i="38" s="1"/>
  <c r="BH1995" i="38" s="1"/>
  <c r="BD1979" i="38"/>
  <c r="BE1979" i="38" s="1"/>
  <c r="BF1979" i="38" s="1"/>
  <c r="BG1979" i="38" s="1"/>
  <c r="BH1979" i="38" s="1"/>
  <c r="BD1963" i="38"/>
  <c r="BE1963" i="38" s="1"/>
  <c r="BF1963" i="38" s="1"/>
  <c r="BG1963" i="38" s="1"/>
  <c r="BH1963" i="38" s="1"/>
  <c r="BD1947" i="38"/>
  <c r="BE1947" i="38" s="1"/>
  <c r="BF1947" i="38" s="1"/>
  <c r="BG1947" i="38" s="1"/>
  <c r="BH1947" i="38" s="1"/>
  <c r="BD1931" i="38"/>
  <c r="BE1931" i="38" s="1"/>
  <c r="BF1931" i="38" s="1"/>
  <c r="BG1931" i="38" s="1"/>
  <c r="BH1931" i="38" s="1"/>
  <c r="BD1915" i="38"/>
  <c r="BE1915" i="38" s="1"/>
  <c r="BF1915" i="38" s="1"/>
  <c r="BG1915" i="38" s="1"/>
  <c r="BH1915" i="38" s="1"/>
  <c r="BD1899" i="38"/>
  <c r="BE1899" i="38" s="1"/>
  <c r="BF1899" i="38" s="1"/>
  <c r="BG1899" i="38" s="1"/>
  <c r="BH1899" i="38" s="1"/>
  <c r="BD1883" i="38"/>
  <c r="BE1883" i="38" s="1"/>
  <c r="BF1883" i="38" s="1"/>
  <c r="BG1883" i="38" s="1"/>
  <c r="BH1883" i="38" s="1"/>
  <c r="BD1867" i="38"/>
  <c r="BE1867" i="38" s="1"/>
  <c r="BF1867" i="38" s="1"/>
  <c r="BG1867" i="38" s="1"/>
  <c r="BH1867" i="38" s="1"/>
  <c r="BD1851" i="38"/>
  <c r="BE1851" i="38" s="1"/>
  <c r="BF1851" i="38" s="1"/>
  <c r="BG1851" i="38" s="1"/>
  <c r="BH1851" i="38" s="1"/>
  <c r="BD1835" i="38"/>
  <c r="BE1835" i="38" s="1"/>
  <c r="BF1835" i="38" s="1"/>
  <c r="BG1835" i="38" s="1"/>
  <c r="BH1835" i="38" s="1"/>
  <c r="BD1819" i="38"/>
  <c r="BE1819" i="38" s="1"/>
  <c r="BF1819" i="38" s="1"/>
  <c r="BG1819" i="38" s="1"/>
  <c r="BH1819" i="38" s="1"/>
  <c r="BD1803" i="38"/>
  <c r="BE1803" i="38" s="1"/>
  <c r="BF1803" i="38" s="1"/>
  <c r="BG1803" i="38" s="1"/>
  <c r="BH1803" i="38" s="1"/>
  <c r="BD1787" i="38"/>
  <c r="BE1787" i="38" s="1"/>
  <c r="BF1787" i="38" s="1"/>
  <c r="BG1787" i="38" s="1"/>
  <c r="BH1787" i="38" s="1"/>
  <c r="BD1771" i="38"/>
  <c r="BE1771" i="38" s="1"/>
  <c r="BF1771" i="38" s="1"/>
  <c r="BG1771" i="38" s="1"/>
  <c r="BH1771" i="38" s="1"/>
  <c r="BD1755" i="38"/>
  <c r="BE1755" i="38" s="1"/>
  <c r="BF1755" i="38" s="1"/>
  <c r="BG1755" i="38" s="1"/>
  <c r="BH1755" i="38" s="1"/>
  <c r="BD2993" i="38"/>
  <c r="BE2993" i="38" s="1"/>
  <c r="BF2993" i="38" s="1"/>
  <c r="BG2993" i="38" s="1"/>
  <c r="BH2993" i="38" s="1"/>
  <c r="BD2788" i="38"/>
  <c r="BE2788" i="38" s="1"/>
  <c r="BF2788" i="38" s="1"/>
  <c r="BG2788" i="38" s="1"/>
  <c r="BH2788" i="38" s="1"/>
  <c r="BD2683" i="38"/>
  <c r="BE2683" i="38" s="1"/>
  <c r="BF2683" i="38" s="1"/>
  <c r="BG2683" i="38" s="1"/>
  <c r="BH2683" i="38" s="1"/>
  <c r="BD2654" i="38"/>
  <c r="BE2654" i="38" s="1"/>
  <c r="BF2654" i="38" s="1"/>
  <c r="BG2654" i="38" s="1"/>
  <c r="BH2654" i="38" s="1"/>
  <c r="BD2610" i="38"/>
  <c r="BE2610" i="38" s="1"/>
  <c r="BF2610" i="38" s="1"/>
  <c r="BG2610" i="38" s="1"/>
  <c r="BH2610" i="38" s="1"/>
  <c r="BD2595" i="38"/>
  <c r="BE2595" i="38" s="1"/>
  <c r="BF2595" i="38" s="1"/>
  <c r="BG2595" i="38" s="1"/>
  <c r="BH2595" i="38" s="1"/>
  <c r="BD2566" i="38"/>
  <c r="BE2566" i="38" s="1"/>
  <c r="BF2566" i="38" s="1"/>
  <c r="BG2566" i="38" s="1"/>
  <c r="BH2566" i="38" s="1"/>
  <c r="BD2537" i="38"/>
  <c r="BE2537" i="38" s="1"/>
  <c r="BF2537" i="38" s="1"/>
  <c r="BG2537" i="38" s="1"/>
  <c r="BH2537" i="38" s="1"/>
  <c r="BD2438" i="38"/>
  <c r="BE2438" i="38" s="1"/>
  <c r="BF2438" i="38" s="1"/>
  <c r="BG2438" i="38" s="1"/>
  <c r="BH2438" i="38" s="1"/>
  <c r="BD2427" i="38"/>
  <c r="BE2427" i="38" s="1"/>
  <c r="BF2427" i="38" s="1"/>
  <c r="BG2427" i="38" s="1"/>
  <c r="BH2427" i="38" s="1"/>
  <c r="BD2421" i="38"/>
  <c r="BE2421" i="38" s="1"/>
  <c r="BF2421" i="38" s="1"/>
  <c r="BG2421" i="38" s="1"/>
  <c r="BH2421" i="38" s="1"/>
  <c r="BD2374" i="38"/>
  <c r="BE2374" i="38" s="1"/>
  <c r="BF2374" i="38" s="1"/>
  <c r="BG2374" i="38" s="1"/>
  <c r="BH2374" i="38" s="1"/>
  <c r="BD2353" i="38"/>
  <c r="BE2353" i="38" s="1"/>
  <c r="BF2353" i="38" s="1"/>
  <c r="BG2353" i="38" s="1"/>
  <c r="BH2353" i="38" s="1"/>
  <c r="BD2337" i="38"/>
  <c r="BE2337" i="38" s="1"/>
  <c r="BF2337" i="38" s="1"/>
  <c r="BG2337" i="38" s="1"/>
  <c r="BH2337" i="38" s="1"/>
  <c r="BD2321" i="38"/>
  <c r="BE2321" i="38" s="1"/>
  <c r="BF2321" i="38" s="1"/>
  <c r="BG2321" i="38" s="1"/>
  <c r="BH2321" i="38" s="1"/>
  <c r="BD2305" i="38"/>
  <c r="BE2305" i="38" s="1"/>
  <c r="BF2305" i="38" s="1"/>
  <c r="BG2305" i="38" s="1"/>
  <c r="BH2305" i="38" s="1"/>
  <c r="BD2289" i="38"/>
  <c r="BE2289" i="38" s="1"/>
  <c r="BF2289" i="38" s="1"/>
  <c r="BG2289" i="38" s="1"/>
  <c r="BH2289" i="38" s="1"/>
  <c r="BD2273" i="38"/>
  <c r="BE2273" i="38" s="1"/>
  <c r="BF2273" i="38" s="1"/>
  <c r="BG2273" i="38" s="1"/>
  <c r="BH2273" i="38" s="1"/>
  <c r="BD2257" i="38"/>
  <c r="BE2257" i="38" s="1"/>
  <c r="BF2257" i="38" s="1"/>
  <c r="BG2257" i="38" s="1"/>
  <c r="BH2257" i="38" s="1"/>
  <c r="BD2241" i="38"/>
  <c r="BE2241" i="38" s="1"/>
  <c r="BF2241" i="38" s="1"/>
  <c r="BG2241" i="38" s="1"/>
  <c r="BH2241" i="38" s="1"/>
  <c r="BD2225" i="38"/>
  <c r="BE2225" i="38" s="1"/>
  <c r="BF2225" i="38" s="1"/>
  <c r="BG2225" i="38" s="1"/>
  <c r="BH2225" i="38" s="1"/>
  <c r="BD2209" i="38"/>
  <c r="BE2209" i="38" s="1"/>
  <c r="BF2209" i="38" s="1"/>
  <c r="BG2209" i="38" s="1"/>
  <c r="BH2209" i="38" s="1"/>
  <c r="BD2193" i="38"/>
  <c r="BE2193" i="38" s="1"/>
  <c r="BF2193" i="38" s="1"/>
  <c r="BG2193" i="38" s="1"/>
  <c r="BH2193" i="38" s="1"/>
  <c r="BD2177" i="38"/>
  <c r="BE2177" i="38" s="1"/>
  <c r="BF2177" i="38" s="1"/>
  <c r="BG2177" i="38" s="1"/>
  <c r="BH2177" i="38" s="1"/>
  <c r="BD2161" i="38"/>
  <c r="BE2161" i="38" s="1"/>
  <c r="BF2161" i="38" s="1"/>
  <c r="BG2161" i="38" s="1"/>
  <c r="BH2161" i="38" s="1"/>
  <c r="BD2145" i="38"/>
  <c r="BE2145" i="38" s="1"/>
  <c r="BF2145" i="38" s="1"/>
  <c r="BG2145" i="38" s="1"/>
  <c r="BH2145" i="38" s="1"/>
  <c r="BD2129" i="38"/>
  <c r="BE2129" i="38" s="1"/>
  <c r="BF2129" i="38" s="1"/>
  <c r="BG2129" i="38" s="1"/>
  <c r="BH2129" i="38" s="1"/>
  <c r="BD2113" i="38"/>
  <c r="BE2113" i="38" s="1"/>
  <c r="BF2113" i="38" s="1"/>
  <c r="BG2113" i="38" s="1"/>
  <c r="BH2113" i="38" s="1"/>
  <c r="BD2097" i="38"/>
  <c r="BE2097" i="38" s="1"/>
  <c r="BF2097" i="38" s="1"/>
  <c r="BG2097" i="38" s="1"/>
  <c r="BH2097" i="38" s="1"/>
  <c r="BD2081" i="38"/>
  <c r="BE2081" i="38" s="1"/>
  <c r="BF2081" i="38" s="1"/>
  <c r="BG2081" i="38" s="1"/>
  <c r="BH2081" i="38" s="1"/>
  <c r="BD2065" i="38"/>
  <c r="BE2065" i="38" s="1"/>
  <c r="BF2065" i="38" s="1"/>
  <c r="BG2065" i="38" s="1"/>
  <c r="BH2065" i="38" s="1"/>
  <c r="BD2049" i="38"/>
  <c r="BE2049" i="38" s="1"/>
  <c r="BF2049" i="38" s="1"/>
  <c r="BG2049" i="38" s="1"/>
  <c r="BH2049" i="38" s="1"/>
  <c r="BD2033" i="38"/>
  <c r="BE2033" i="38" s="1"/>
  <c r="BF2033" i="38" s="1"/>
  <c r="BG2033" i="38" s="1"/>
  <c r="BH2033" i="38" s="1"/>
  <c r="BD2017" i="38"/>
  <c r="BE2017" i="38" s="1"/>
  <c r="BF2017" i="38" s="1"/>
  <c r="BG2017" i="38" s="1"/>
  <c r="BH2017" i="38" s="1"/>
  <c r="BD2001" i="38"/>
  <c r="BE2001" i="38" s="1"/>
  <c r="BF2001" i="38" s="1"/>
  <c r="BG2001" i="38" s="1"/>
  <c r="BH2001" i="38" s="1"/>
  <c r="BD1985" i="38"/>
  <c r="BE1985" i="38" s="1"/>
  <c r="BF1985" i="38" s="1"/>
  <c r="BG1985" i="38" s="1"/>
  <c r="BH1985" i="38" s="1"/>
  <c r="BD1969" i="38"/>
  <c r="BE1969" i="38" s="1"/>
  <c r="BF1969" i="38" s="1"/>
  <c r="BG1969" i="38" s="1"/>
  <c r="BH1969" i="38" s="1"/>
  <c r="BD1953" i="38"/>
  <c r="BE1953" i="38" s="1"/>
  <c r="BF1953" i="38" s="1"/>
  <c r="BG1953" i="38" s="1"/>
  <c r="BH1953" i="38" s="1"/>
  <c r="BD1937" i="38"/>
  <c r="BE1937" i="38" s="1"/>
  <c r="BF1937" i="38" s="1"/>
  <c r="BG1937" i="38" s="1"/>
  <c r="BH1937" i="38" s="1"/>
  <c r="BD1921" i="38"/>
  <c r="BE1921" i="38" s="1"/>
  <c r="BF1921" i="38" s="1"/>
  <c r="BG1921" i="38" s="1"/>
  <c r="BH1921" i="38" s="1"/>
  <c r="BD1905" i="38"/>
  <c r="BE1905" i="38" s="1"/>
  <c r="BF1905" i="38" s="1"/>
  <c r="BG1905" i="38" s="1"/>
  <c r="BH1905" i="38" s="1"/>
  <c r="BD1889" i="38"/>
  <c r="BE1889" i="38" s="1"/>
  <c r="BF1889" i="38" s="1"/>
  <c r="BG1889" i="38" s="1"/>
  <c r="BH1889" i="38" s="1"/>
  <c r="BD1873" i="38"/>
  <c r="BE1873" i="38" s="1"/>
  <c r="BF1873" i="38" s="1"/>
  <c r="BG1873" i="38" s="1"/>
  <c r="BH1873" i="38" s="1"/>
  <c r="BD1857" i="38"/>
  <c r="BE1857" i="38" s="1"/>
  <c r="BF1857" i="38" s="1"/>
  <c r="BG1857" i="38" s="1"/>
  <c r="BH1857" i="38" s="1"/>
  <c r="BD1841" i="38"/>
  <c r="BE1841" i="38" s="1"/>
  <c r="BF1841" i="38" s="1"/>
  <c r="BG1841" i="38" s="1"/>
  <c r="BH1841" i="38" s="1"/>
  <c r="BD1825" i="38"/>
  <c r="BE1825" i="38" s="1"/>
  <c r="BF1825" i="38" s="1"/>
  <c r="BG1825" i="38" s="1"/>
  <c r="BH1825" i="38" s="1"/>
  <c r="BD1809" i="38"/>
  <c r="BE1809" i="38" s="1"/>
  <c r="BF1809" i="38" s="1"/>
  <c r="BG1809" i="38" s="1"/>
  <c r="BH1809" i="38" s="1"/>
  <c r="BD1793" i="38"/>
  <c r="BE1793" i="38" s="1"/>
  <c r="BF1793" i="38" s="1"/>
  <c r="BG1793" i="38" s="1"/>
  <c r="BH1793" i="38" s="1"/>
  <c r="BD1777" i="38"/>
  <c r="BE1777" i="38" s="1"/>
  <c r="BF1777" i="38" s="1"/>
  <c r="BG1777" i="38" s="1"/>
  <c r="BH1777" i="38" s="1"/>
  <c r="BD1761" i="38"/>
  <c r="BE1761" i="38" s="1"/>
  <c r="BF1761" i="38" s="1"/>
  <c r="BG1761" i="38" s="1"/>
  <c r="BH1761" i="38" s="1"/>
  <c r="BD1745" i="38"/>
  <c r="BE1745" i="38" s="1"/>
  <c r="BF1745" i="38" s="1"/>
  <c r="BG1745" i="38" s="1"/>
  <c r="BH1745" i="38" s="1"/>
  <c r="BD1729" i="38"/>
  <c r="BE1729" i="38" s="1"/>
  <c r="BF1729" i="38" s="1"/>
  <c r="BG1729" i="38" s="1"/>
  <c r="BH1729" i="38" s="1"/>
  <c r="BD1713" i="38"/>
  <c r="BE1713" i="38" s="1"/>
  <c r="BF1713" i="38" s="1"/>
  <c r="BG1713" i="38" s="1"/>
  <c r="BH1713" i="38" s="1"/>
  <c r="BD1697" i="38"/>
  <c r="BE1697" i="38" s="1"/>
  <c r="BF1697" i="38" s="1"/>
  <c r="BG1697" i="38" s="1"/>
  <c r="BH1697" i="38" s="1"/>
  <c r="BD1681" i="38"/>
  <c r="BE1681" i="38" s="1"/>
  <c r="BF1681" i="38" s="1"/>
  <c r="BG1681" i="38" s="1"/>
  <c r="BH1681" i="38" s="1"/>
  <c r="BD1665" i="38"/>
  <c r="BE1665" i="38" s="1"/>
  <c r="BF1665" i="38" s="1"/>
  <c r="BG1665" i="38" s="1"/>
  <c r="BH1665" i="38" s="1"/>
  <c r="BD1649" i="38"/>
  <c r="BE1649" i="38" s="1"/>
  <c r="BF1649" i="38" s="1"/>
  <c r="BG1649" i="38" s="1"/>
  <c r="BH1649" i="38" s="1"/>
  <c r="BD1633" i="38"/>
  <c r="BE1633" i="38" s="1"/>
  <c r="BF1633" i="38" s="1"/>
  <c r="BG1633" i="38" s="1"/>
  <c r="BH1633" i="38" s="1"/>
  <c r="BD2772" i="38"/>
  <c r="BE2772" i="38" s="1"/>
  <c r="BF2772" i="38" s="1"/>
  <c r="BG2772" i="38" s="1"/>
  <c r="BH2772" i="38" s="1"/>
  <c r="BD2761" i="38"/>
  <c r="BE2761" i="38" s="1"/>
  <c r="BF2761" i="38" s="1"/>
  <c r="BG2761" i="38" s="1"/>
  <c r="BH2761" i="38" s="1"/>
  <c r="BD2690" i="38"/>
  <c r="BE2690" i="38" s="1"/>
  <c r="BF2690" i="38" s="1"/>
  <c r="BG2690" i="38" s="1"/>
  <c r="BH2690" i="38" s="1"/>
  <c r="BD2675" i="38"/>
  <c r="BE2675" i="38" s="1"/>
  <c r="BF2675" i="38" s="1"/>
  <c r="BG2675" i="38" s="1"/>
  <c r="BH2675" i="38" s="1"/>
  <c r="BD2646" i="38"/>
  <c r="BE2646" i="38" s="1"/>
  <c r="BF2646" i="38" s="1"/>
  <c r="BG2646" i="38" s="1"/>
  <c r="BH2646" i="38" s="1"/>
  <c r="BD2617" i="38"/>
  <c r="BE2617" i="38" s="1"/>
  <c r="BF2617" i="38" s="1"/>
  <c r="BG2617" i="38" s="1"/>
  <c r="BH2617" i="38" s="1"/>
  <c r="BD2602" i="38"/>
  <c r="BE2602" i="38" s="1"/>
  <c r="BF2602" i="38" s="1"/>
  <c r="BG2602" i="38" s="1"/>
  <c r="BH2602" i="38" s="1"/>
  <c r="BD2506" i="38"/>
  <c r="BE2506" i="38" s="1"/>
  <c r="BF2506" i="38" s="1"/>
  <c r="BG2506" i="38" s="1"/>
  <c r="BH2506" i="38" s="1"/>
  <c r="BD2489" i="38"/>
  <c r="BE2489" i="38" s="1"/>
  <c r="BF2489" i="38" s="1"/>
  <c r="BG2489" i="38" s="1"/>
  <c r="BH2489" i="38" s="1"/>
  <c r="BD2483" i="38"/>
  <c r="BE2483" i="38" s="1"/>
  <c r="BF2483" i="38" s="1"/>
  <c r="BG2483" i="38" s="1"/>
  <c r="BH2483" i="38" s="1"/>
  <c r="BD2478" i="38"/>
  <c r="BE2478" i="38" s="1"/>
  <c r="BF2478" i="38" s="1"/>
  <c r="BG2478" i="38" s="1"/>
  <c r="BH2478" i="38" s="1"/>
  <c r="BD2472" i="38"/>
  <c r="BE2472" i="38" s="1"/>
  <c r="BF2472" i="38" s="1"/>
  <c r="BG2472" i="38" s="1"/>
  <c r="BH2472" i="38" s="1"/>
  <c r="BD2466" i="38"/>
  <c r="BE2466" i="38" s="1"/>
  <c r="BF2466" i="38" s="1"/>
  <c r="BG2466" i="38" s="1"/>
  <c r="BH2466" i="38" s="1"/>
  <c r="BD2387" i="38"/>
  <c r="BE2387" i="38" s="1"/>
  <c r="BF2387" i="38" s="1"/>
  <c r="BG2387" i="38" s="1"/>
  <c r="BH2387" i="38" s="1"/>
  <c r="BD2363" i="38"/>
  <c r="BE2363" i="38" s="1"/>
  <c r="BF2363" i="38" s="1"/>
  <c r="BG2363" i="38" s="1"/>
  <c r="BH2363" i="38" s="1"/>
  <c r="BD2356" i="38"/>
  <c r="BE2356" i="38" s="1"/>
  <c r="BF2356" i="38" s="1"/>
  <c r="BG2356" i="38" s="1"/>
  <c r="BH2356" i="38" s="1"/>
  <c r="BD2340" i="38"/>
  <c r="BE2340" i="38" s="1"/>
  <c r="BF2340" i="38" s="1"/>
  <c r="BG2340" i="38" s="1"/>
  <c r="BH2340" i="38" s="1"/>
  <c r="BD2324" i="38"/>
  <c r="BE2324" i="38" s="1"/>
  <c r="BF2324" i="38" s="1"/>
  <c r="BG2324" i="38" s="1"/>
  <c r="BH2324" i="38" s="1"/>
  <c r="BD2308" i="38"/>
  <c r="BE2308" i="38" s="1"/>
  <c r="BF2308" i="38" s="1"/>
  <c r="BG2308" i="38" s="1"/>
  <c r="BH2308" i="38" s="1"/>
  <c r="BD2292" i="38"/>
  <c r="BE2292" i="38" s="1"/>
  <c r="BF2292" i="38" s="1"/>
  <c r="BG2292" i="38" s="1"/>
  <c r="BH2292" i="38" s="1"/>
  <c r="BD2276" i="38"/>
  <c r="BE2276" i="38" s="1"/>
  <c r="BF2276" i="38" s="1"/>
  <c r="BG2276" i="38" s="1"/>
  <c r="BH2276" i="38" s="1"/>
  <c r="BD2260" i="38"/>
  <c r="BE2260" i="38" s="1"/>
  <c r="BF2260" i="38" s="1"/>
  <c r="BG2260" i="38" s="1"/>
  <c r="BH2260" i="38" s="1"/>
  <c r="BD2244" i="38"/>
  <c r="BE2244" i="38" s="1"/>
  <c r="BF2244" i="38" s="1"/>
  <c r="BG2244" i="38" s="1"/>
  <c r="BH2244" i="38" s="1"/>
  <c r="BD2228" i="38"/>
  <c r="BE2228" i="38" s="1"/>
  <c r="BF2228" i="38" s="1"/>
  <c r="BG2228" i="38" s="1"/>
  <c r="BH2228" i="38" s="1"/>
  <c r="BD2212" i="38"/>
  <c r="BE2212" i="38" s="1"/>
  <c r="BF2212" i="38" s="1"/>
  <c r="BG2212" i="38" s="1"/>
  <c r="BH2212" i="38" s="1"/>
  <c r="BD2196" i="38"/>
  <c r="BE2196" i="38" s="1"/>
  <c r="BF2196" i="38" s="1"/>
  <c r="BG2196" i="38" s="1"/>
  <c r="BH2196" i="38" s="1"/>
  <c r="BD2180" i="38"/>
  <c r="BE2180" i="38" s="1"/>
  <c r="BF2180" i="38" s="1"/>
  <c r="BG2180" i="38" s="1"/>
  <c r="BH2180" i="38" s="1"/>
  <c r="BD2164" i="38"/>
  <c r="BE2164" i="38" s="1"/>
  <c r="BF2164" i="38" s="1"/>
  <c r="BG2164" i="38" s="1"/>
  <c r="BH2164" i="38" s="1"/>
  <c r="BD2148" i="38"/>
  <c r="BE2148" i="38" s="1"/>
  <c r="BF2148" i="38" s="1"/>
  <c r="BG2148" i="38" s="1"/>
  <c r="BH2148" i="38" s="1"/>
  <c r="BD2132" i="38"/>
  <c r="BE2132" i="38" s="1"/>
  <c r="BF2132" i="38" s="1"/>
  <c r="BG2132" i="38" s="1"/>
  <c r="BH2132" i="38" s="1"/>
  <c r="BD2116" i="38"/>
  <c r="BE2116" i="38" s="1"/>
  <c r="BF2116" i="38" s="1"/>
  <c r="BG2116" i="38" s="1"/>
  <c r="BH2116" i="38" s="1"/>
  <c r="BD2100" i="38"/>
  <c r="BE2100" i="38" s="1"/>
  <c r="BF2100" i="38" s="1"/>
  <c r="BG2100" i="38" s="1"/>
  <c r="BH2100" i="38" s="1"/>
  <c r="BD2084" i="38"/>
  <c r="BE2084" i="38" s="1"/>
  <c r="BF2084" i="38" s="1"/>
  <c r="BG2084" i="38" s="1"/>
  <c r="BH2084" i="38" s="1"/>
  <c r="BD2068" i="38"/>
  <c r="BE2068" i="38" s="1"/>
  <c r="BF2068" i="38" s="1"/>
  <c r="BG2068" i="38" s="1"/>
  <c r="BH2068" i="38" s="1"/>
  <c r="BD2052" i="38"/>
  <c r="BE2052" i="38" s="1"/>
  <c r="BF2052" i="38" s="1"/>
  <c r="BG2052" i="38" s="1"/>
  <c r="BH2052" i="38" s="1"/>
  <c r="BD2036" i="38"/>
  <c r="BE2036" i="38" s="1"/>
  <c r="BF2036" i="38" s="1"/>
  <c r="BG2036" i="38" s="1"/>
  <c r="BH2036" i="38" s="1"/>
  <c r="BD2020" i="38"/>
  <c r="BE2020" i="38" s="1"/>
  <c r="BF2020" i="38" s="1"/>
  <c r="BG2020" i="38" s="1"/>
  <c r="BH2020" i="38" s="1"/>
  <c r="BD2004" i="38"/>
  <c r="BE2004" i="38" s="1"/>
  <c r="BF2004" i="38" s="1"/>
  <c r="BG2004" i="38" s="1"/>
  <c r="BH2004" i="38" s="1"/>
  <c r="BD1988" i="38"/>
  <c r="BE1988" i="38" s="1"/>
  <c r="BF1988" i="38" s="1"/>
  <c r="BG1988" i="38" s="1"/>
  <c r="BH1988" i="38" s="1"/>
  <c r="BD1972" i="38"/>
  <c r="BE1972" i="38" s="1"/>
  <c r="BF1972" i="38" s="1"/>
  <c r="BG1972" i="38" s="1"/>
  <c r="BH1972" i="38" s="1"/>
  <c r="BD1956" i="38"/>
  <c r="BE1956" i="38" s="1"/>
  <c r="BF1956" i="38" s="1"/>
  <c r="BG1956" i="38" s="1"/>
  <c r="BH1956" i="38" s="1"/>
  <c r="BD1940" i="38"/>
  <c r="BE1940" i="38" s="1"/>
  <c r="BF1940" i="38" s="1"/>
  <c r="BG1940" i="38" s="1"/>
  <c r="BH1940" i="38" s="1"/>
  <c r="BD1924" i="38"/>
  <c r="BE1924" i="38" s="1"/>
  <c r="BF1924" i="38" s="1"/>
  <c r="BG1924" i="38" s="1"/>
  <c r="BH1924" i="38" s="1"/>
  <c r="BD1908" i="38"/>
  <c r="BE1908" i="38" s="1"/>
  <c r="BF1908" i="38" s="1"/>
  <c r="BG1908" i="38" s="1"/>
  <c r="BH1908" i="38" s="1"/>
  <c r="BD1892" i="38"/>
  <c r="BE1892" i="38" s="1"/>
  <c r="BF1892" i="38" s="1"/>
  <c r="BG1892" i="38" s="1"/>
  <c r="BH1892" i="38" s="1"/>
  <c r="BD1876" i="38"/>
  <c r="BE1876" i="38" s="1"/>
  <c r="BF1876" i="38" s="1"/>
  <c r="BG1876" i="38" s="1"/>
  <c r="BH1876" i="38" s="1"/>
  <c r="BD1860" i="38"/>
  <c r="BE1860" i="38" s="1"/>
  <c r="BF1860" i="38" s="1"/>
  <c r="BG1860" i="38" s="1"/>
  <c r="BH1860" i="38" s="1"/>
  <c r="BD1844" i="38"/>
  <c r="BE1844" i="38" s="1"/>
  <c r="BF1844" i="38" s="1"/>
  <c r="BG1844" i="38" s="1"/>
  <c r="BH1844" i="38" s="1"/>
  <c r="BD1828" i="38"/>
  <c r="BE1828" i="38" s="1"/>
  <c r="BF1828" i="38" s="1"/>
  <c r="BG1828" i="38" s="1"/>
  <c r="BH1828" i="38" s="1"/>
  <c r="BD1812" i="38"/>
  <c r="BE1812" i="38" s="1"/>
  <c r="BF1812" i="38" s="1"/>
  <c r="BG1812" i="38" s="1"/>
  <c r="BH1812" i="38" s="1"/>
  <c r="BD1796" i="38"/>
  <c r="BE1796" i="38" s="1"/>
  <c r="BF1796" i="38" s="1"/>
  <c r="BG1796" i="38" s="1"/>
  <c r="BH1796" i="38" s="1"/>
  <c r="BD1780" i="38"/>
  <c r="BE1780" i="38" s="1"/>
  <c r="BF1780" i="38" s="1"/>
  <c r="BG1780" i="38" s="1"/>
  <c r="BH1780" i="38" s="1"/>
  <c r="BD1764" i="38"/>
  <c r="BE1764" i="38" s="1"/>
  <c r="BF1764" i="38" s="1"/>
  <c r="BG1764" i="38" s="1"/>
  <c r="BH1764" i="38" s="1"/>
  <c r="BD1748" i="38"/>
  <c r="BE1748" i="38" s="1"/>
  <c r="BF1748" i="38" s="1"/>
  <c r="BG1748" i="38" s="1"/>
  <c r="BH1748" i="38" s="1"/>
  <c r="BD1732" i="38"/>
  <c r="BE1732" i="38" s="1"/>
  <c r="BF1732" i="38" s="1"/>
  <c r="BG1732" i="38" s="1"/>
  <c r="BH1732" i="38" s="1"/>
  <c r="BD1716" i="38"/>
  <c r="BE1716" i="38" s="1"/>
  <c r="BF1716" i="38" s="1"/>
  <c r="BG1716" i="38" s="1"/>
  <c r="BH1716" i="38" s="1"/>
  <c r="BD1700" i="38"/>
  <c r="BE1700" i="38" s="1"/>
  <c r="BF1700" i="38" s="1"/>
  <c r="BG1700" i="38" s="1"/>
  <c r="BH1700" i="38" s="1"/>
  <c r="BD1684" i="38"/>
  <c r="BE1684" i="38" s="1"/>
  <c r="BF1684" i="38" s="1"/>
  <c r="BG1684" i="38" s="1"/>
  <c r="BH1684" i="38" s="1"/>
  <c r="BD1668" i="38"/>
  <c r="BE1668" i="38" s="1"/>
  <c r="BF1668" i="38" s="1"/>
  <c r="BG1668" i="38" s="1"/>
  <c r="BH1668" i="38" s="1"/>
  <c r="BD1652" i="38"/>
  <c r="BE1652" i="38" s="1"/>
  <c r="BF1652" i="38" s="1"/>
  <c r="BG1652" i="38" s="1"/>
  <c r="BH1652" i="38" s="1"/>
  <c r="BD1636" i="38"/>
  <c r="BE1636" i="38" s="1"/>
  <c r="BF1636" i="38" s="1"/>
  <c r="BG1636" i="38" s="1"/>
  <c r="BH1636" i="38" s="1"/>
  <c r="BD2290" i="38"/>
  <c r="BE2290" i="38" s="1"/>
  <c r="BF2290" i="38" s="1"/>
  <c r="BG2290" i="38" s="1"/>
  <c r="BH2290" i="38" s="1"/>
  <c r="BD2206" i="38"/>
  <c r="BE2206" i="38" s="1"/>
  <c r="BF2206" i="38" s="1"/>
  <c r="BG2206" i="38" s="1"/>
  <c r="BH2206" i="38" s="1"/>
  <c r="BD2120" i="38"/>
  <c r="BE2120" i="38" s="1"/>
  <c r="BF2120" i="38" s="1"/>
  <c r="BG2120" i="38" s="1"/>
  <c r="BH2120" i="38" s="1"/>
  <c r="BD2034" i="38"/>
  <c r="BE2034" i="38" s="1"/>
  <c r="BF2034" i="38" s="1"/>
  <c r="BG2034" i="38" s="1"/>
  <c r="BH2034" i="38" s="1"/>
  <c r="BD1950" i="38"/>
  <c r="BE1950" i="38" s="1"/>
  <c r="BF1950" i="38" s="1"/>
  <c r="BG1950" i="38" s="1"/>
  <c r="BH1950" i="38" s="1"/>
  <c r="BD1864" i="38"/>
  <c r="BE1864" i="38" s="1"/>
  <c r="BF1864" i="38" s="1"/>
  <c r="BG1864" i="38" s="1"/>
  <c r="BH1864" i="38" s="1"/>
  <c r="BD1778" i="38"/>
  <c r="BE1778" i="38" s="1"/>
  <c r="BF1778" i="38" s="1"/>
  <c r="BG1778" i="38" s="1"/>
  <c r="BH1778" i="38" s="1"/>
  <c r="BD1730" i="38"/>
  <c r="BE1730" i="38" s="1"/>
  <c r="BF1730" i="38" s="1"/>
  <c r="BG1730" i="38" s="1"/>
  <c r="BH1730" i="38" s="1"/>
  <c r="BD1666" i="38"/>
  <c r="BE1666" i="38" s="1"/>
  <c r="BF1666" i="38" s="1"/>
  <c r="BG1666" i="38" s="1"/>
  <c r="BH1666" i="38" s="1"/>
  <c r="BD1613" i="38"/>
  <c r="BE1613" i="38" s="1"/>
  <c r="BF1613" i="38" s="1"/>
  <c r="BG1613" i="38" s="1"/>
  <c r="BH1613" i="38" s="1"/>
  <c r="BD1597" i="38"/>
  <c r="BE1597" i="38" s="1"/>
  <c r="BF1597" i="38" s="1"/>
  <c r="BG1597" i="38" s="1"/>
  <c r="BH1597" i="38" s="1"/>
  <c r="BD1581" i="38"/>
  <c r="BE1581" i="38" s="1"/>
  <c r="BF1581" i="38" s="1"/>
  <c r="BG1581" i="38" s="1"/>
  <c r="BH1581" i="38" s="1"/>
  <c r="BD1565" i="38"/>
  <c r="BE1565" i="38" s="1"/>
  <c r="BF1565" i="38" s="1"/>
  <c r="BG1565" i="38" s="1"/>
  <c r="BH1565" i="38" s="1"/>
  <c r="BD1549" i="38"/>
  <c r="BE1549" i="38" s="1"/>
  <c r="BF1549" i="38" s="1"/>
  <c r="BG1549" i="38" s="1"/>
  <c r="BH1549" i="38" s="1"/>
  <c r="BD1533" i="38"/>
  <c r="BE1533" i="38" s="1"/>
  <c r="BF1533" i="38" s="1"/>
  <c r="BG1533" i="38" s="1"/>
  <c r="BH1533" i="38" s="1"/>
  <c r="BD1517" i="38"/>
  <c r="BE1517" i="38" s="1"/>
  <c r="BF1517" i="38" s="1"/>
  <c r="BG1517" i="38" s="1"/>
  <c r="BH1517" i="38" s="1"/>
  <c r="BD1501" i="38"/>
  <c r="BE1501" i="38" s="1"/>
  <c r="BF1501" i="38" s="1"/>
  <c r="BG1501" i="38" s="1"/>
  <c r="BH1501" i="38" s="1"/>
  <c r="BD1485" i="38"/>
  <c r="BE1485" i="38" s="1"/>
  <c r="BF1485" i="38" s="1"/>
  <c r="BG1485" i="38" s="1"/>
  <c r="BH1485" i="38" s="1"/>
  <c r="BD1469" i="38"/>
  <c r="BE1469" i="38" s="1"/>
  <c r="BF1469" i="38" s="1"/>
  <c r="BG1469" i="38" s="1"/>
  <c r="BH1469" i="38" s="1"/>
  <c r="BD1453" i="38"/>
  <c r="BE1453" i="38" s="1"/>
  <c r="BF1453" i="38" s="1"/>
  <c r="BG1453" i="38" s="1"/>
  <c r="BH1453" i="38" s="1"/>
  <c r="BD1437" i="38"/>
  <c r="BE1437" i="38" s="1"/>
  <c r="BF1437" i="38" s="1"/>
  <c r="BG1437" i="38" s="1"/>
  <c r="BH1437" i="38" s="1"/>
  <c r="BD1421" i="38"/>
  <c r="BE1421" i="38" s="1"/>
  <c r="BF1421" i="38" s="1"/>
  <c r="BG1421" i="38" s="1"/>
  <c r="BH1421" i="38" s="1"/>
  <c r="BD1405" i="38"/>
  <c r="BE1405" i="38" s="1"/>
  <c r="BF1405" i="38" s="1"/>
  <c r="BG1405" i="38" s="1"/>
  <c r="BH1405" i="38" s="1"/>
  <c r="BD1389" i="38"/>
  <c r="BE1389" i="38" s="1"/>
  <c r="BF1389" i="38" s="1"/>
  <c r="BG1389" i="38" s="1"/>
  <c r="BH1389" i="38" s="1"/>
  <c r="BD1373" i="38"/>
  <c r="BE1373" i="38" s="1"/>
  <c r="BF1373" i="38" s="1"/>
  <c r="BG1373" i="38" s="1"/>
  <c r="BH1373" i="38" s="1"/>
  <c r="BD1357" i="38"/>
  <c r="BE1357" i="38" s="1"/>
  <c r="BF1357" i="38" s="1"/>
  <c r="BG1357" i="38" s="1"/>
  <c r="BH1357" i="38" s="1"/>
  <c r="BD1341" i="38"/>
  <c r="BE1341" i="38" s="1"/>
  <c r="BF1341" i="38" s="1"/>
  <c r="BG1341" i="38" s="1"/>
  <c r="BH1341" i="38" s="1"/>
  <c r="BD1325" i="38"/>
  <c r="BE1325" i="38" s="1"/>
  <c r="BF1325" i="38" s="1"/>
  <c r="BG1325" i="38" s="1"/>
  <c r="BH1325" i="38" s="1"/>
  <c r="BD1309" i="38"/>
  <c r="BE1309" i="38" s="1"/>
  <c r="BF1309" i="38" s="1"/>
  <c r="BG1309" i="38" s="1"/>
  <c r="BH1309" i="38" s="1"/>
  <c r="BD1293" i="38"/>
  <c r="BE1293" i="38" s="1"/>
  <c r="BF1293" i="38" s="1"/>
  <c r="BG1293" i="38" s="1"/>
  <c r="BH1293" i="38" s="1"/>
  <c r="BD1277" i="38"/>
  <c r="BE1277" i="38" s="1"/>
  <c r="BF1277" i="38" s="1"/>
  <c r="BG1277" i="38" s="1"/>
  <c r="BH1277" i="38" s="1"/>
  <c r="BD1261" i="38"/>
  <c r="BE1261" i="38" s="1"/>
  <c r="BF1261" i="38" s="1"/>
  <c r="BG1261" i="38" s="1"/>
  <c r="BH1261" i="38" s="1"/>
  <c r="BD1245" i="38"/>
  <c r="BE1245" i="38" s="1"/>
  <c r="BF1245" i="38" s="1"/>
  <c r="BG1245" i="38" s="1"/>
  <c r="BH1245" i="38" s="1"/>
  <c r="BD1229" i="38"/>
  <c r="BE1229" i="38" s="1"/>
  <c r="BF1229" i="38" s="1"/>
  <c r="BG1229" i="38" s="1"/>
  <c r="BH1229" i="38" s="1"/>
  <c r="BD1213" i="38"/>
  <c r="BE1213" i="38" s="1"/>
  <c r="BF1213" i="38" s="1"/>
  <c r="BG1213" i="38" s="1"/>
  <c r="BH1213" i="38" s="1"/>
  <c r="BD1197" i="38"/>
  <c r="BE1197" i="38" s="1"/>
  <c r="BF1197" i="38" s="1"/>
  <c r="BG1197" i="38" s="1"/>
  <c r="BH1197" i="38" s="1"/>
  <c r="BD1181" i="38"/>
  <c r="BE1181" i="38" s="1"/>
  <c r="BF1181" i="38" s="1"/>
  <c r="BG1181" i="38" s="1"/>
  <c r="BH1181" i="38" s="1"/>
  <c r="BD1165" i="38"/>
  <c r="BE1165" i="38" s="1"/>
  <c r="BF1165" i="38" s="1"/>
  <c r="BG1165" i="38" s="1"/>
  <c r="BH1165" i="38" s="1"/>
  <c r="BD1149" i="38"/>
  <c r="BE1149" i="38" s="1"/>
  <c r="BF1149" i="38" s="1"/>
  <c r="BG1149" i="38" s="1"/>
  <c r="BH1149" i="38" s="1"/>
  <c r="BD1133" i="38"/>
  <c r="BE1133" i="38" s="1"/>
  <c r="BF1133" i="38" s="1"/>
  <c r="BG1133" i="38" s="1"/>
  <c r="BH1133" i="38" s="1"/>
  <c r="BD1117" i="38"/>
  <c r="BE1117" i="38" s="1"/>
  <c r="BF1117" i="38" s="1"/>
  <c r="BG1117" i="38" s="1"/>
  <c r="BH1117" i="38" s="1"/>
  <c r="BD1101" i="38"/>
  <c r="BE1101" i="38" s="1"/>
  <c r="BF1101" i="38" s="1"/>
  <c r="BG1101" i="38" s="1"/>
  <c r="BH1101" i="38" s="1"/>
  <c r="BD1085" i="38"/>
  <c r="BE1085" i="38" s="1"/>
  <c r="BF1085" i="38" s="1"/>
  <c r="BG1085" i="38" s="1"/>
  <c r="BH1085" i="38" s="1"/>
  <c r="BD1069" i="38"/>
  <c r="BE1069" i="38" s="1"/>
  <c r="BF1069" i="38" s="1"/>
  <c r="BG1069" i="38" s="1"/>
  <c r="BH1069" i="38" s="1"/>
  <c r="BD1053" i="38"/>
  <c r="BE1053" i="38" s="1"/>
  <c r="BF1053" i="38" s="1"/>
  <c r="BG1053" i="38" s="1"/>
  <c r="BH1053" i="38" s="1"/>
  <c r="BD1037" i="38"/>
  <c r="BE1037" i="38" s="1"/>
  <c r="BF1037" i="38" s="1"/>
  <c r="BG1037" i="38" s="1"/>
  <c r="BH1037" i="38" s="1"/>
  <c r="BD1021" i="38"/>
  <c r="BE1021" i="38" s="1"/>
  <c r="BF1021" i="38" s="1"/>
  <c r="BG1021" i="38" s="1"/>
  <c r="BH1021" i="38" s="1"/>
  <c r="BD1005" i="38"/>
  <c r="BE1005" i="38" s="1"/>
  <c r="BF1005" i="38" s="1"/>
  <c r="BG1005" i="38" s="1"/>
  <c r="BH1005" i="38" s="1"/>
  <c r="BD989" i="38"/>
  <c r="BE989" i="38" s="1"/>
  <c r="BF989" i="38" s="1"/>
  <c r="BG989" i="38" s="1"/>
  <c r="BH989" i="38" s="1"/>
  <c r="BD973" i="38"/>
  <c r="BE973" i="38" s="1"/>
  <c r="BF973" i="38" s="1"/>
  <c r="BG973" i="38" s="1"/>
  <c r="BH973" i="38" s="1"/>
  <c r="BD957" i="38"/>
  <c r="BE957" i="38" s="1"/>
  <c r="BF957" i="38" s="1"/>
  <c r="BG957" i="38" s="1"/>
  <c r="BH957" i="38" s="1"/>
  <c r="BD941" i="38"/>
  <c r="BE941" i="38" s="1"/>
  <c r="BF941" i="38" s="1"/>
  <c r="BG941" i="38" s="1"/>
  <c r="BH941" i="38" s="1"/>
  <c r="BD925" i="38"/>
  <c r="BE925" i="38" s="1"/>
  <c r="BF925" i="38" s="1"/>
  <c r="BG925" i="38" s="1"/>
  <c r="BH925" i="38" s="1"/>
  <c r="BD909" i="38"/>
  <c r="BE909" i="38" s="1"/>
  <c r="BF909" i="38" s="1"/>
  <c r="BG909" i="38" s="1"/>
  <c r="BH909" i="38" s="1"/>
  <c r="BD893" i="38"/>
  <c r="BE893" i="38" s="1"/>
  <c r="BF893" i="38" s="1"/>
  <c r="BG893" i="38" s="1"/>
  <c r="BH893" i="38" s="1"/>
  <c r="BD877" i="38"/>
  <c r="BE877" i="38" s="1"/>
  <c r="BF877" i="38" s="1"/>
  <c r="BG877" i="38" s="1"/>
  <c r="BH877" i="38" s="1"/>
  <c r="BD861" i="38"/>
  <c r="BE861" i="38" s="1"/>
  <c r="BF861" i="38" s="1"/>
  <c r="BG861" i="38" s="1"/>
  <c r="BH861" i="38" s="1"/>
  <c r="BD845" i="38"/>
  <c r="BE845" i="38" s="1"/>
  <c r="BF845" i="38" s="1"/>
  <c r="BG845" i="38" s="1"/>
  <c r="BH845" i="38" s="1"/>
  <c r="BD829" i="38"/>
  <c r="BE829" i="38" s="1"/>
  <c r="BF829" i="38" s="1"/>
  <c r="BG829" i="38" s="1"/>
  <c r="BH829" i="38" s="1"/>
  <c r="BD813" i="38"/>
  <c r="BE813" i="38" s="1"/>
  <c r="BF813" i="38" s="1"/>
  <c r="BG813" i="38" s="1"/>
  <c r="BH813" i="38" s="1"/>
  <c r="BD797" i="38"/>
  <c r="BE797" i="38" s="1"/>
  <c r="BF797" i="38" s="1"/>
  <c r="BG797" i="38" s="1"/>
  <c r="BH797" i="38" s="1"/>
  <c r="BD781" i="38"/>
  <c r="BE781" i="38" s="1"/>
  <c r="BF781" i="38" s="1"/>
  <c r="BG781" i="38" s="1"/>
  <c r="BH781" i="38" s="1"/>
  <c r="BD765" i="38"/>
  <c r="BE765" i="38" s="1"/>
  <c r="BF765" i="38" s="1"/>
  <c r="BG765" i="38" s="1"/>
  <c r="BH765" i="38" s="1"/>
  <c r="BD749" i="38"/>
  <c r="BE749" i="38" s="1"/>
  <c r="BF749" i="38" s="1"/>
  <c r="BG749" i="38" s="1"/>
  <c r="BH749" i="38" s="1"/>
  <c r="BD733" i="38"/>
  <c r="BE733" i="38" s="1"/>
  <c r="BF733" i="38" s="1"/>
  <c r="BG733" i="38" s="1"/>
  <c r="BH733" i="38" s="1"/>
  <c r="BD2367" i="38"/>
  <c r="BE2367" i="38" s="1"/>
  <c r="BF2367" i="38" s="1"/>
  <c r="BG2367" i="38" s="1"/>
  <c r="BH2367" i="38" s="1"/>
  <c r="BD2222" i="38"/>
  <c r="BE2222" i="38" s="1"/>
  <c r="BF2222" i="38" s="1"/>
  <c r="BG2222" i="38" s="1"/>
  <c r="BH2222" i="38" s="1"/>
  <c r="BD2136" i="38"/>
  <c r="BE2136" i="38" s="1"/>
  <c r="BF2136" i="38" s="1"/>
  <c r="BG2136" i="38" s="1"/>
  <c r="BH2136" i="38" s="1"/>
  <c r="BD2050" i="38"/>
  <c r="BE2050" i="38" s="1"/>
  <c r="BF2050" i="38" s="1"/>
  <c r="BG2050" i="38" s="1"/>
  <c r="BH2050" i="38" s="1"/>
  <c r="BD1966" i="38"/>
  <c r="BE1966" i="38" s="1"/>
  <c r="BF1966" i="38" s="1"/>
  <c r="BG1966" i="38" s="1"/>
  <c r="BH1966" i="38" s="1"/>
  <c r="BD1880" i="38"/>
  <c r="BE1880" i="38" s="1"/>
  <c r="BF1880" i="38" s="1"/>
  <c r="BG1880" i="38" s="1"/>
  <c r="BH1880" i="38" s="1"/>
  <c r="BD1794" i="38"/>
  <c r="BE1794" i="38" s="1"/>
  <c r="BF1794" i="38" s="1"/>
  <c r="BG1794" i="38" s="1"/>
  <c r="BH1794" i="38" s="1"/>
  <c r="BD1704" i="38"/>
  <c r="BE1704" i="38" s="1"/>
  <c r="BF1704" i="38" s="1"/>
  <c r="BG1704" i="38" s="1"/>
  <c r="BH1704" i="38" s="1"/>
  <c r="BD1640" i="38"/>
  <c r="BE1640" i="38" s="1"/>
  <c r="BF1640" i="38" s="1"/>
  <c r="BG1640" i="38" s="1"/>
  <c r="BH1640" i="38" s="1"/>
  <c r="BD1616" i="38"/>
  <c r="BE1616" i="38" s="1"/>
  <c r="BF1616" i="38" s="1"/>
  <c r="BG1616" i="38" s="1"/>
  <c r="BH1616" i="38" s="1"/>
  <c r="BD1600" i="38"/>
  <c r="BE1600" i="38" s="1"/>
  <c r="BF1600" i="38" s="1"/>
  <c r="BG1600" i="38" s="1"/>
  <c r="BH1600" i="38" s="1"/>
  <c r="BD1584" i="38"/>
  <c r="BE1584" i="38" s="1"/>
  <c r="BF1584" i="38" s="1"/>
  <c r="BG1584" i="38" s="1"/>
  <c r="BH1584" i="38" s="1"/>
  <c r="BD1568" i="38"/>
  <c r="BE1568" i="38" s="1"/>
  <c r="BF1568" i="38" s="1"/>
  <c r="BG1568" i="38" s="1"/>
  <c r="BH1568" i="38" s="1"/>
  <c r="BD1552" i="38"/>
  <c r="BE1552" i="38" s="1"/>
  <c r="BF1552" i="38" s="1"/>
  <c r="BG1552" i="38" s="1"/>
  <c r="BH1552" i="38" s="1"/>
  <c r="BD1536" i="38"/>
  <c r="BE1536" i="38" s="1"/>
  <c r="BF1536" i="38" s="1"/>
  <c r="BG1536" i="38" s="1"/>
  <c r="BH1536" i="38" s="1"/>
  <c r="BD1520" i="38"/>
  <c r="BE1520" i="38" s="1"/>
  <c r="BF1520" i="38" s="1"/>
  <c r="BG1520" i="38" s="1"/>
  <c r="BH1520" i="38" s="1"/>
  <c r="BD1504" i="38"/>
  <c r="BE1504" i="38" s="1"/>
  <c r="BF1504" i="38" s="1"/>
  <c r="BG1504" i="38" s="1"/>
  <c r="BH1504" i="38" s="1"/>
  <c r="BD1488" i="38"/>
  <c r="BE1488" i="38" s="1"/>
  <c r="BF1488" i="38" s="1"/>
  <c r="BG1488" i="38" s="1"/>
  <c r="BH1488" i="38" s="1"/>
  <c r="BD1472" i="38"/>
  <c r="BE1472" i="38" s="1"/>
  <c r="BF1472" i="38" s="1"/>
  <c r="BG1472" i="38" s="1"/>
  <c r="BH1472" i="38" s="1"/>
  <c r="BD1456" i="38"/>
  <c r="BE1456" i="38" s="1"/>
  <c r="BF1456" i="38" s="1"/>
  <c r="BG1456" i="38" s="1"/>
  <c r="BH1456" i="38" s="1"/>
  <c r="BD1440" i="38"/>
  <c r="BE1440" i="38" s="1"/>
  <c r="BF1440" i="38" s="1"/>
  <c r="BG1440" i="38" s="1"/>
  <c r="BH1440" i="38" s="1"/>
  <c r="BD1424" i="38"/>
  <c r="BE1424" i="38" s="1"/>
  <c r="BF1424" i="38" s="1"/>
  <c r="BG1424" i="38" s="1"/>
  <c r="BH1424" i="38" s="1"/>
  <c r="BD1408" i="38"/>
  <c r="BE1408" i="38" s="1"/>
  <c r="BF1408" i="38" s="1"/>
  <c r="BG1408" i="38" s="1"/>
  <c r="BH1408" i="38" s="1"/>
  <c r="BD1392" i="38"/>
  <c r="BE1392" i="38" s="1"/>
  <c r="BF1392" i="38" s="1"/>
  <c r="BG1392" i="38" s="1"/>
  <c r="BH1392" i="38" s="1"/>
  <c r="BD1376" i="38"/>
  <c r="BE1376" i="38" s="1"/>
  <c r="BF1376" i="38" s="1"/>
  <c r="BG1376" i="38" s="1"/>
  <c r="BH1376" i="38" s="1"/>
  <c r="BD1360" i="38"/>
  <c r="BE1360" i="38" s="1"/>
  <c r="BF1360" i="38" s="1"/>
  <c r="BG1360" i="38" s="1"/>
  <c r="BH1360" i="38" s="1"/>
  <c r="BD1344" i="38"/>
  <c r="BE1344" i="38" s="1"/>
  <c r="BF1344" i="38" s="1"/>
  <c r="BG1344" i="38" s="1"/>
  <c r="BH1344" i="38" s="1"/>
  <c r="BD1328" i="38"/>
  <c r="BE1328" i="38" s="1"/>
  <c r="BF1328" i="38" s="1"/>
  <c r="BG1328" i="38" s="1"/>
  <c r="BH1328" i="38" s="1"/>
  <c r="BD1312" i="38"/>
  <c r="BE1312" i="38" s="1"/>
  <c r="BF1312" i="38" s="1"/>
  <c r="BG1312" i="38" s="1"/>
  <c r="BH1312" i="38" s="1"/>
  <c r="BD1296" i="38"/>
  <c r="BE1296" i="38" s="1"/>
  <c r="BF1296" i="38" s="1"/>
  <c r="BG1296" i="38" s="1"/>
  <c r="BH1296" i="38" s="1"/>
  <c r="BD1280" i="38"/>
  <c r="BE1280" i="38" s="1"/>
  <c r="BF1280" i="38" s="1"/>
  <c r="BG1280" i="38" s="1"/>
  <c r="BH1280" i="38" s="1"/>
  <c r="BD1264" i="38"/>
  <c r="BE1264" i="38" s="1"/>
  <c r="BF1264" i="38" s="1"/>
  <c r="BG1264" i="38" s="1"/>
  <c r="BH1264" i="38" s="1"/>
  <c r="BD1248" i="38"/>
  <c r="BE1248" i="38" s="1"/>
  <c r="BF1248" i="38" s="1"/>
  <c r="BG1248" i="38" s="1"/>
  <c r="BH1248" i="38" s="1"/>
  <c r="BD1232" i="38"/>
  <c r="BE1232" i="38" s="1"/>
  <c r="BF1232" i="38" s="1"/>
  <c r="BG1232" i="38" s="1"/>
  <c r="BH1232" i="38" s="1"/>
  <c r="BD1216" i="38"/>
  <c r="BE1216" i="38" s="1"/>
  <c r="BF1216" i="38" s="1"/>
  <c r="BG1216" i="38" s="1"/>
  <c r="BH1216" i="38" s="1"/>
  <c r="BD1200" i="38"/>
  <c r="BE1200" i="38" s="1"/>
  <c r="BF1200" i="38" s="1"/>
  <c r="BG1200" i="38" s="1"/>
  <c r="BH1200" i="38" s="1"/>
  <c r="BD1184" i="38"/>
  <c r="BE1184" i="38" s="1"/>
  <c r="BF1184" i="38" s="1"/>
  <c r="BG1184" i="38" s="1"/>
  <c r="BH1184" i="38" s="1"/>
  <c r="BD1168" i="38"/>
  <c r="BE1168" i="38" s="1"/>
  <c r="BF1168" i="38" s="1"/>
  <c r="BG1168" i="38" s="1"/>
  <c r="BH1168" i="38" s="1"/>
  <c r="BD1152" i="38"/>
  <c r="BE1152" i="38" s="1"/>
  <c r="BF1152" i="38" s="1"/>
  <c r="BG1152" i="38" s="1"/>
  <c r="BH1152" i="38" s="1"/>
  <c r="BD1136" i="38"/>
  <c r="BE1136" i="38" s="1"/>
  <c r="BF1136" i="38" s="1"/>
  <c r="BG1136" i="38" s="1"/>
  <c r="BH1136" i="38" s="1"/>
  <c r="BD1120" i="38"/>
  <c r="BE1120" i="38" s="1"/>
  <c r="BF1120" i="38" s="1"/>
  <c r="BG1120" i="38" s="1"/>
  <c r="BH1120" i="38" s="1"/>
  <c r="BD1104" i="38"/>
  <c r="BE1104" i="38" s="1"/>
  <c r="BF1104" i="38" s="1"/>
  <c r="BG1104" i="38" s="1"/>
  <c r="BH1104" i="38" s="1"/>
  <c r="BD1088" i="38"/>
  <c r="BE1088" i="38" s="1"/>
  <c r="BF1088" i="38" s="1"/>
  <c r="BG1088" i="38" s="1"/>
  <c r="BH1088" i="38" s="1"/>
  <c r="BD1072" i="38"/>
  <c r="BE1072" i="38" s="1"/>
  <c r="BF1072" i="38" s="1"/>
  <c r="BG1072" i="38" s="1"/>
  <c r="BH1072" i="38" s="1"/>
  <c r="BD1056" i="38"/>
  <c r="BE1056" i="38" s="1"/>
  <c r="BF1056" i="38" s="1"/>
  <c r="BG1056" i="38" s="1"/>
  <c r="BH1056" i="38" s="1"/>
  <c r="BD1040" i="38"/>
  <c r="BE1040" i="38" s="1"/>
  <c r="BF1040" i="38" s="1"/>
  <c r="BG1040" i="38" s="1"/>
  <c r="BH1040" i="38" s="1"/>
  <c r="BD1024" i="38"/>
  <c r="BE1024" i="38" s="1"/>
  <c r="BF1024" i="38" s="1"/>
  <c r="BG1024" i="38" s="1"/>
  <c r="BH1024" i="38" s="1"/>
  <c r="BD1008" i="38"/>
  <c r="BE1008" i="38" s="1"/>
  <c r="BF1008" i="38" s="1"/>
  <c r="BG1008" i="38" s="1"/>
  <c r="BH1008" i="38" s="1"/>
  <c r="BD992" i="38"/>
  <c r="BE992" i="38" s="1"/>
  <c r="BF992" i="38" s="1"/>
  <c r="BG992" i="38" s="1"/>
  <c r="BH992" i="38" s="1"/>
  <c r="BD976" i="38"/>
  <c r="BE976" i="38" s="1"/>
  <c r="BF976" i="38" s="1"/>
  <c r="BG976" i="38" s="1"/>
  <c r="BH976" i="38" s="1"/>
  <c r="BD960" i="38"/>
  <c r="BE960" i="38" s="1"/>
  <c r="BF960" i="38" s="1"/>
  <c r="BG960" i="38" s="1"/>
  <c r="BH960" i="38" s="1"/>
  <c r="BD944" i="38"/>
  <c r="BE944" i="38" s="1"/>
  <c r="BF944" i="38" s="1"/>
  <c r="BG944" i="38" s="1"/>
  <c r="BH944" i="38" s="1"/>
  <c r="BD928" i="38"/>
  <c r="BE928" i="38" s="1"/>
  <c r="BF928" i="38" s="1"/>
  <c r="BG928" i="38" s="1"/>
  <c r="BH928" i="38" s="1"/>
  <c r="BD912" i="38"/>
  <c r="BE912" i="38" s="1"/>
  <c r="BF912" i="38" s="1"/>
  <c r="BG912" i="38" s="1"/>
  <c r="BH912" i="38" s="1"/>
  <c r="BD896" i="38"/>
  <c r="BE896" i="38" s="1"/>
  <c r="BF896" i="38" s="1"/>
  <c r="BG896" i="38" s="1"/>
  <c r="BH896" i="38" s="1"/>
  <c r="BD880" i="38"/>
  <c r="BE880" i="38" s="1"/>
  <c r="BF880" i="38" s="1"/>
  <c r="BG880" i="38" s="1"/>
  <c r="BH880" i="38" s="1"/>
  <c r="BD864" i="38"/>
  <c r="BE864" i="38" s="1"/>
  <c r="BF864" i="38" s="1"/>
  <c r="BG864" i="38" s="1"/>
  <c r="BH864" i="38" s="1"/>
  <c r="BD848" i="38"/>
  <c r="BE848" i="38" s="1"/>
  <c r="BF848" i="38" s="1"/>
  <c r="BG848" i="38" s="1"/>
  <c r="BH848" i="38" s="1"/>
  <c r="BD832" i="38"/>
  <c r="BE832" i="38" s="1"/>
  <c r="BF832" i="38" s="1"/>
  <c r="BG832" i="38" s="1"/>
  <c r="BH832" i="38" s="1"/>
  <c r="BD816" i="38"/>
  <c r="BE816" i="38" s="1"/>
  <c r="BF816" i="38" s="1"/>
  <c r="BG816" i="38" s="1"/>
  <c r="BH816" i="38" s="1"/>
  <c r="BD800" i="38"/>
  <c r="BE800" i="38" s="1"/>
  <c r="BF800" i="38" s="1"/>
  <c r="BG800" i="38" s="1"/>
  <c r="BH800" i="38" s="1"/>
  <c r="BD784" i="38"/>
  <c r="BE784" i="38" s="1"/>
  <c r="BF784" i="38" s="1"/>
  <c r="BG784" i="38" s="1"/>
  <c r="BH784" i="38" s="1"/>
  <c r="BD768" i="38"/>
  <c r="BE768" i="38" s="1"/>
  <c r="BF768" i="38" s="1"/>
  <c r="BG768" i="38" s="1"/>
  <c r="BH768" i="38" s="1"/>
  <c r="BD752" i="38"/>
  <c r="BE752" i="38" s="1"/>
  <c r="BF752" i="38" s="1"/>
  <c r="BG752" i="38" s="1"/>
  <c r="BH752" i="38" s="1"/>
  <c r="BD736" i="38"/>
  <c r="BE736" i="38" s="1"/>
  <c r="BF736" i="38" s="1"/>
  <c r="BG736" i="38" s="1"/>
  <c r="BH736" i="38" s="1"/>
  <c r="BD720" i="38"/>
  <c r="BE720" i="38" s="1"/>
  <c r="BF720" i="38" s="1"/>
  <c r="BG720" i="38" s="1"/>
  <c r="BH720" i="38" s="1"/>
  <c r="BD2530" i="38"/>
  <c r="BE2530" i="38" s="1"/>
  <c r="BF2530" i="38" s="1"/>
  <c r="BG2530" i="38" s="1"/>
  <c r="BH2530" i="38" s="1"/>
  <c r="BD2338" i="38"/>
  <c r="BE2338" i="38" s="1"/>
  <c r="BF2338" i="38" s="1"/>
  <c r="BG2338" i="38" s="1"/>
  <c r="BH2338" i="38" s="1"/>
  <c r="BD2238" i="38"/>
  <c r="BE2238" i="38" s="1"/>
  <c r="BF2238" i="38" s="1"/>
  <c r="BG2238" i="38" s="1"/>
  <c r="BH2238" i="38" s="1"/>
  <c r="BD2152" i="38"/>
  <c r="BE2152" i="38" s="1"/>
  <c r="BF2152" i="38" s="1"/>
  <c r="BG2152" i="38" s="1"/>
  <c r="BH2152" i="38" s="1"/>
  <c r="BD2066" i="38"/>
  <c r="BE2066" i="38" s="1"/>
  <c r="BF2066" i="38" s="1"/>
  <c r="BG2066" i="38" s="1"/>
  <c r="BH2066" i="38" s="1"/>
  <c r="BD1982" i="38"/>
  <c r="BE1982" i="38" s="1"/>
  <c r="BF1982" i="38" s="1"/>
  <c r="BG1982" i="38" s="1"/>
  <c r="BH1982" i="38" s="1"/>
  <c r="BD1896" i="38"/>
  <c r="BE1896" i="38" s="1"/>
  <c r="BF1896" i="38" s="1"/>
  <c r="BG1896" i="38" s="1"/>
  <c r="BH1896" i="38" s="1"/>
  <c r="BD1810" i="38"/>
  <c r="BE1810" i="38" s="1"/>
  <c r="BF1810" i="38" s="1"/>
  <c r="BG1810" i="38" s="1"/>
  <c r="BH1810" i="38" s="1"/>
  <c r="BD1691" i="38"/>
  <c r="BE1691" i="38" s="1"/>
  <c r="BF1691" i="38" s="1"/>
  <c r="BG1691" i="38" s="1"/>
  <c r="BH1691" i="38" s="1"/>
  <c r="BD1627" i="38"/>
  <c r="BE1627" i="38" s="1"/>
  <c r="BF1627" i="38" s="1"/>
  <c r="BG1627" i="38" s="1"/>
  <c r="BH1627" i="38" s="1"/>
  <c r="BD1603" i="38"/>
  <c r="BE1603" i="38" s="1"/>
  <c r="BF1603" i="38" s="1"/>
  <c r="BG1603" i="38" s="1"/>
  <c r="BH1603" i="38" s="1"/>
  <c r="BD1587" i="38"/>
  <c r="BE1587" i="38" s="1"/>
  <c r="BF1587" i="38" s="1"/>
  <c r="BG1587" i="38" s="1"/>
  <c r="BH1587" i="38" s="1"/>
  <c r="BD1571" i="38"/>
  <c r="BE1571" i="38" s="1"/>
  <c r="BF1571" i="38" s="1"/>
  <c r="BG1571" i="38" s="1"/>
  <c r="BH1571" i="38" s="1"/>
  <c r="BD1555" i="38"/>
  <c r="BE1555" i="38" s="1"/>
  <c r="BF1555" i="38" s="1"/>
  <c r="BG1555" i="38" s="1"/>
  <c r="BH1555" i="38" s="1"/>
  <c r="BD1539" i="38"/>
  <c r="BE1539" i="38" s="1"/>
  <c r="BF1539" i="38" s="1"/>
  <c r="BG1539" i="38" s="1"/>
  <c r="BH1539" i="38" s="1"/>
  <c r="BD1523" i="38"/>
  <c r="BE1523" i="38" s="1"/>
  <c r="BF1523" i="38" s="1"/>
  <c r="BG1523" i="38" s="1"/>
  <c r="BH1523" i="38" s="1"/>
  <c r="BD1507" i="38"/>
  <c r="BE1507" i="38" s="1"/>
  <c r="BF1507" i="38" s="1"/>
  <c r="BG1507" i="38" s="1"/>
  <c r="BH1507" i="38" s="1"/>
  <c r="BD1491" i="38"/>
  <c r="BE1491" i="38" s="1"/>
  <c r="BF1491" i="38" s="1"/>
  <c r="BG1491" i="38" s="1"/>
  <c r="BH1491" i="38" s="1"/>
  <c r="BD1475" i="38"/>
  <c r="BE1475" i="38" s="1"/>
  <c r="BF1475" i="38" s="1"/>
  <c r="BG1475" i="38" s="1"/>
  <c r="BH1475" i="38" s="1"/>
  <c r="BD1459" i="38"/>
  <c r="BE1459" i="38" s="1"/>
  <c r="BF1459" i="38" s="1"/>
  <c r="BG1459" i="38" s="1"/>
  <c r="BH1459" i="38" s="1"/>
  <c r="BD1443" i="38"/>
  <c r="BE1443" i="38" s="1"/>
  <c r="BF1443" i="38" s="1"/>
  <c r="BG1443" i="38" s="1"/>
  <c r="BH1443" i="38" s="1"/>
  <c r="BD1427" i="38"/>
  <c r="BE1427" i="38" s="1"/>
  <c r="BF1427" i="38" s="1"/>
  <c r="BG1427" i="38" s="1"/>
  <c r="BH1427" i="38" s="1"/>
  <c r="BD1411" i="38"/>
  <c r="BE1411" i="38" s="1"/>
  <c r="BF1411" i="38" s="1"/>
  <c r="BG1411" i="38" s="1"/>
  <c r="BH1411" i="38" s="1"/>
  <c r="BD1395" i="38"/>
  <c r="BE1395" i="38" s="1"/>
  <c r="BF1395" i="38" s="1"/>
  <c r="BG1395" i="38" s="1"/>
  <c r="BH1395" i="38" s="1"/>
  <c r="BD1379" i="38"/>
  <c r="BE1379" i="38" s="1"/>
  <c r="BF1379" i="38" s="1"/>
  <c r="BG1379" i="38" s="1"/>
  <c r="BH1379" i="38" s="1"/>
  <c r="BD1363" i="38"/>
  <c r="BE1363" i="38" s="1"/>
  <c r="BF1363" i="38" s="1"/>
  <c r="BG1363" i="38" s="1"/>
  <c r="BH1363" i="38" s="1"/>
  <c r="BD1347" i="38"/>
  <c r="BE1347" i="38" s="1"/>
  <c r="BF1347" i="38" s="1"/>
  <c r="BG1347" i="38" s="1"/>
  <c r="BH1347" i="38" s="1"/>
  <c r="BD1331" i="38"/>
  <c r="BE1331" i="38" s="1"/>
  <c r="BF1331" i="38" s="1"/>
  <c r="BG1331" i="38" s="1"/>
  <c r="BH1331" i="38" s="1"/>
  <c r="BD1315" i="38"/>
  <c r="BE1315" i="38" s="1"/>
  <c r="BF1315" i="38" s="1"/>
  <c r="BG1315" i="38" s="1"/>
  <c r="BH1315" i="38" s="1"/>
  <c r="BD1299" i="38"/>
  <c r="BE1299" i="38" s="1"/>
  <c r="BF1299" i="38" s="1"/>
  <c r="BG1299" i="38" s="1"/>
  <c r="BH1299" i="38" s="1"/>
  <c r="BD1283" i="38"/>
  <c r="BE1283" i="38" s="1"/>
  <c r="BF1283" i="38" s="1"/>
  <c r="BG1283" i="38" s="1"/>
  <c r="BH1283" i="38" s="1"/>
  <c r="BD1267" i="38"/>
  <c r="BE1267" i="38" s="1"/>
  <c r="BF1267" i="38" s="1"/>
  <c r="BG1267" i="38" s="1"/>
  <c r="BH1267" i="38" s="1"/>
  <c r="BD1251" i="38"/>
  <c r="BE1251" i="38" s="1"/>
  <c r="BF1251" i="38" s="1"/>
  <c r="BG1251" i="38" s="1"/>
  <c r="BH1251" i="38" s="1"/>
  <c r="BD1235" i="38"/>
  <c r="BE1235" i="38" s="1"/>
  <c r="BF1235" i="38" s="1"/>
  <c r="BG1235" i="38" s="1"/>
  <c r="BH1235" i="38" s="1"/>
  <c r="BD1219" i="38"/>
  <c r="BE1219" i="38" s="1"/>
  <c r="BF1219" i="38" s="1"/>
  <c r="BG1219" i="38" s="1"/>
  <c r="BH1219" i="38" s="1"/>
  <c r="BD1203" i="38"/>
  <c r="BE1203" i="38" s="1"/>
  <c r="BF1203" i="38" s="1"/>
  <c r="BG1203" i="38" s="1"/>
  <c r="BH1203" i="38" s="1"/>
  <c r="BD1187" i="38"/>
  <c r="BE1187" i="38" s="1"/>
  <c r="BF1187" i="38" s="1"/>
  <c r="BG1187" i="38" s="1"/>
  <c r="BH1187" i="38" s="1"/>
  <c r="BD1171" i="38"/>
  <c r="BE1171" i="38" s="1"/>
  <c r="BF1171" i="38" s="1"/>
  <c r="BG1171" i="38" s="1"/>
  <c r="BH1171" i="38" s="1"/>
  <c r="BD1155" i="38"/>
  <c r="BE1155" i="38" s="1"/>
  <c r="BF1155" i="38" s="1"/>
  <c r="BG1155" i="38" s="1"/>
  <c r="BH1155" i="38" s="1"/>
  <c r="BD1139" i="38"/>
  <c r="BE1139" i="38" s="1"/>
  <c r="BF1139" i="38" s="1"/>
  <c r="BG1139" i="38" s="1"/>
  <c r="BH1139" i="38" s="1"/>
  <c r="BD1123" i="38"/>
  <c r="BE1123" i="38" s="1"/>
  <c r="BF1123" i="38" s="1"/>
  <c r="BG1123" i="38" s="1"/>
  <c r="BH1123" i="38" s="1"/>
  <c r="BD1107" i="38"/>
  <c r="BE1107" i="38" s="1"/>
  <c r="BF1107" i="38" s="1"/>
  <c r="BG1107" i="38" s="1"/>
  <c r="BH1107" i="38" s="1"/>
  <c r="BD1091" i="38"/>
  <c r="BE1091" i="38" s="1"/>
  <c r="BF1091" i="38" s="1"/>
  <c r="BG1091" i="38" s="1"/>
  <c r="BH1091" i="38" s="1"/>
  <c r="BD1075" i="38"/>
  <c r="BE1075" i="38" s="1"/>
  <c r="BF1075" i="38" s="1"/>
  <c r="BG1075" i="38" s="1"/>
  <c r="BH1075" i="38" s="1"/>
  <c r="BD1059" i="38"/>
  <c r="BE1059" i="38" s="1"/>
  <c r="BF1059" i="38" s="1"/>
  <c r="BG1059" i="38" s="1"/>
  <c r="BH1059" i="38" s="1"/>
  <c r="BD1043" i="38"/>
  <c r="BE1043" i="38" s="1"/>
  <c r="BF1043" i="38" s="1"/>
  <c r="BG1043" i="38" s="1"/>
  <c r="BH1043" i="38" s="1"/>
  <c r="BD1027" i="38"/>
  <c r="BE1027" i="38" s="1"/>
  <c r="BF1027" i="38" s="1"/>
  <c r="BG1027" i="38" s="1"/>
  <c r="BH1027" i="38" s="1"/>
  <c r="BD1011" i="38"/>
  <c r="BE1011" i="38" s="1"/>
  <c r="BF1011" i="38" s="1"/>
  <c r="BG1011" i="38" s="1"/>
  <c r="BH1011" i="38" s="1"/>
  <c r="BD995" i="38"/>
  <c r="BE995" i="38" s="1"/>
  <c r="BF995" i="38" s="1"/>
  <c r="BG995" i="38" s="1"/>
  <c r="BH995" i="38" s="1"/>
  <c r="BD979" i="38"/>
  <c r="BE979" i="38" s="1"/>
  <c r="BF979" i="38" s="1"/>
  <c r="BG979" i="38" s="1"/>
  <c r="BH979" i="38" s="1"/>
  <c r="BD963" i="38"/>
  <c r="BE963" i="38" s="1"/>
  <c r="BF963" i="38" s="1"/>
  <c r="BG963" i="38" s="1"/>
  <c r="BH963" i="38" s="1"/>
  <c r="BD947" i="38"/>
  <c r="BE947" i="38" s="1"/>
  <c r="BF947" i="38" s="1"/>
  <c r="BG947" i="38" s="1"/>
  <c r="BH947" i="38" s="1"/>
  <c r="BD931" i="38"/>
  <c r="BE931" i="38" s="1"/>
  <c r="BF931" i="38" s="1"/>
  <c r="BG931" i="38" s="1"/>
  <c r="BH931" i="38" s="1"/>
  <c r="BD915" i="38"/>
  <c r="BE915" i="38" s="1"/>
  <c r="BF915" i="38" s="1"/>
  <c r="BG915" i="38" s="1"/>
  <c r="BH915" i="38" s="1"/>
  <c r="BD899" i="38"/>
  <c r="BE899" i="38" s="1"/>
  <c r="BF899" i="38" s="1"/>
  <c r="BG899" i="38" s="1"/>
  <c r="BH899" i="38" s="1"/>
  <c r="BD883" i="38"/>
  <c r="BE883" i="38" s="1"/>
  <c r="BF883" i="38" s="1"/>
  <c r="BG883" i="38" s="1"/>
  <c r="BH883" i="38" s="1"/>
  <c r="BD867" i="38"/>
  <c r="BE867" i="38" s="1"/>
  <c r="BF867" i="38" s="1"/>
  <c r="BG867" i="38" s="1"/>
  <c r="BH867" i="38" s="1"/>
  <c r="BD851" i="38"/>
  <c r="BE851" i="38" s="1"/>
  <c r="BF851" i="38" s="1"/>
  <c r="BG851" i="38" s="1"/>
  <c r="BH851" i="38" s="1"/>
  <c r="BD835" i="38"/>
  <c r="BE835" i="38" s="1"/>
  <c r="BF835" i="38" s="1"/>
  <c r="BG835" i="38" s="1"/>
  <c r="BH835" i="38" s="1"/>
  <c r="BD819" i="38"/>
  <c r="BE819" i="38" s="1"/>
  <c r="BF819" i="38" s="1"/>
  <c r="BG819" i="38" s="1"/>
  <c r="BH819" i="38" s="1"/>
  <c r="BD803" i="38"/>
  <c r="BE803" i="38" s="1"/>
  <c r="BF803" i="38" s="1"/>
  <c r="BG803" i="38" s="1"/>
  <c r="BH803" i="38" s="1"/>
  <c r="BD787" i="38"/>
  <c r="BE787" i="38" s="1"/>
  <c r="BF787" i="38" s="1"/>
  <c r="BG787" i="38" s="1"/>
  <c r="BH787" i="38" s="1"/>
  <c r="BD771" i="38"/>
  <c r="BE771" i="38" s="1"/>
  <c r="BF771" i="38" s="1"/>
  <c r="BG771" i="38" s="1"/>
  <c r="BH771" i="38" s="1"/>
  <c r="BD755" i="38"/>
  <c r="BE755" i="38" s="1"/>
  <c r="BF755" i="38" s="1"/>
  <c r="BG755" i="38" s="1"/>
  <c r="BH755" i="38" s="1"/>
  <c r="BD739" i="38"/>
  <c r="BE739" i="38" s="1"/>
  <c r="BF739" i="38" s="1"/>
  <c r="BG739" i="38" s="1"/>
  <c r="BH739" i="38" s="1"/>
  <c r="BD2286" i="38"/>
  <c r="BE2286" i="38" s="1"/>
  <c r="BF2286" i="38" s="1"/>
  <c r="BG2286" i="38" s="1"/>
  <c r="BH2286" i="38" s="1"/>
  <c r="BD2168" i="38"/>
  <c r="BE2168" i="38" s="1"/>
  <c r="BF2168" i="38" s="1"/>
  <c r="BG2168" i="38" s="1"/>
  <c r="BH2168" i="38" s="1"/>
  <c r="BD2082" i="38"/>
  <c r="BE2082" i="38" s="1"/>
  <c r="BF2082" i="38" s="1"/>
  <c r="BG2082" i="38" s="1"/>
  <c r="BH2082" i="38" s="1"/>
  <c r="BD1998" i="38"/>
  <c r="BE1998" i="38" s="1"/>
  <c r="BF1998" i="38" s="1"/>
  <c r="BG1998" i="38" s="1"/>
  <c r="BH1998" i="38" s="1"/>
  <c r="BD1912" i="38"/>
  <c r="BE1912" i="38" s="1"/>
  <c r="BF1912" i="38" s="1"/>
  <c r="BG1912" i="38" s="1"/>
  <c r="BH1912" i="38" s="1"/>
  <c r="BD1826" i="38"/>
  <c r="BE1826" i="38" s="1"/>
  <c r="BF1826" i="38" s="1"/>
  <c r="BG1826" i="38" s="1"/>
  <c r="BH1826" i="38" s="1"/>
  <c r="BD1742" i="38"/>
  <c r="BE1742" i="38" s="1"/>
  <c r="BF1742" i="38" s="1"/>
  <c r="BG1742" i="38" s="1"/>
  <c r="BH1742" i="38" s="1"/>
  <c r="BD1678" i="38"/>
  <c r="BE1678" i="38" s="1"/>
  <c r="BF1678" i="38" s="1"/>
  <c r="BG1678" i="38" s="1"/>
  <c r="BH1678" i="38" s="1"/>
  <c r="BD1619" i="38"/>
  <c r="BE1619" i="38" s="1"/>
  <c r="BF1619" i="38" s="1"/>
  <c r="BG1619" i="38" s="1"/>
  <c r="BH1619" i="38" s="1"/>
  <c r="BD1606" i="38"/>
  <c r="BE1606" i="38" s="1"/>
  <c r="BF1606" i="38" s="1"/>
  <c r="BG1606" i="38" s="1"/>
  <c r="BH1606" i="38" s="1"/>
  <c r="BD1590" i="38"/>
  <c r="BE1590" i="38" s="1"/>
  <c r="BF1590" i="38" s="1"/>
  <c r="BG1590" i="38" s="1"/>
  <c r="BH1590" i="38" s="1"/>
  <c r="BD1574" i="38"/>
  <c r="BE1574" i="38" s="1"/>
  <c r="BF1574" i="38" s="1"/>
  <c r="BG1574" i="38" s="1"/>
  <c r="BH1574" i="38" s="1"/>
  <c r="BD1558" i="38"/>
  <c r="BE1558" i="38" s="1"/>
  <c r="BF1558" i="38" s="1"/>
  <c r="BG1558" i="38" s="1"/>
  <c r="BH1558" i="38" s="1"/>
  <c r="BD1542" i="38"/>
  <c r="BE1542" i="38" s="1"/>
  <c r="BF1542" i="38" s="1"/>
  <c r="BG1542" i="38" s="1"/>
  <c r="BH1542" i="38" s="1"/>
  <c r="BD1526" i="38"/>
  <c r="BE1526" i="38" s="1"/>
  <c r="BF1526" i="38" s="1"/>
  <c r="BG1526" i="38" s="1"/>
  <c r="BH1526" i="38" s="1"/>
  <c r="BD1510" i="38"/>
  <c r="BE1510" i="38" s="1"/>
  <c r="BF1510" i="38" s="1"/>
  <c r="BG1510" i="38" s="1"/>
  <c r="BH1510" i="38" s="1"/>
  <c r="BD1494" i="38"/>
  <c r="BE1494" i="38" s="1"/>
  <c r="BF1494" i="38" s="1"/>
  <c r="BG1494" i="38" s="1"/>
  <c r="BH1494" i="38" s="1"/>
  <c r="BD1478" i="38"/>
  <c r="BE1478" i="38" s="1"/>
  <c r="BF1478" i="38" s="1"/>
  <c r="BG1478" i="38" s="1"/>
  <c r="BH1478" i="38" s="1"/>
  <c r="BD1462" i="38"/>
  <c r="BE1462" i="38" s="1"/>
  <c r="BF1462" i="38" s="1"/>
  <c r="BG1462" i="38" s="1"/>
  <c r="BH1462" i="38" s="1"/>
  <c r="BD1446" i="38"/>
  <c r="BE1446" i="38" s="1"/>
  <c r="BF1446" i="38" s="1"/>
  <c r="BG1446" i="38" s="1"/>
  <c r="BH1446" i="38" s="1"/>
  <c r="BD1430" i="38"/>
  <c r="BE1430" i="38" s="1"/>
  <c r="BF1430" i="38" s="1"/>
  <c r="BG1430" i="38" s="1"/>
  <c r="BH1430" i="38" s="1"/>
  <c r="BD1414" i="38"/>
  <c r="BE1414" i="38" s="1"/>
  <c r="BF1414" i="38" s="1"/>
  <c r="BG1414" i="38" s="1"/>
  <c r="BH1414" i="38" s="1"/>
  <c r="BD1398" i="38"/>
  <c r="BE1398" i="38" s="1"/>
  <c r="BF1398" i="38" s="1"/>
  <c r="BG1398" i="38" s="1"/>
  <c r="BH1398" i="38" s="1"/>
  <c r="BD1382" i="38"/>
  <c r="BE1382" i="38" s="1"/>
  <c r="BF1382" i="38" s="1"/>
  <c r="BG1382" i="38" s="1"/>
  <c r="BH1382" i="38" s="1"/>
  <c r="BD1366" i="38"/>
  <c r="BE1366" i="38" s="1"/>
  <c r="BF1366" i="38" s="1"/>
  <c r="BG1366" i="38" s="1"/>
  <c r="BH1366" i="38" s="1"/>
  <c r="BD1350" i="38"/>
  <c r="BE1350" i="38" s="1"/>
  <c r="BF1350" i="38" s="1"/>
  <c r="BG1350" i="38" s="1"/>
  <c r="BH1350" i="38" s="1"/>
  <c r="BD1334" i="38"/>
  <c r="BE1334" i="38" s="1"/>
  <c r="BF1334" i="38" s="1"/>
  <c r="BG1334" i="38" s="1"/>
  <c r="BH1334" i="38" s="1"/>
  <c r="BD1318" i="38"/>
  <c r="BE1318" i="38" s="1"/>
  <c r="BF1318" i="38" s="1"/>
  <c r="BG1318" i="38" s="1"/>
  <c r="BH1318" i="38" s="1"/>
  <c r="BD1302" i="38"/>
  <c r="BE1302" i="38" s="1"/>
  <c r="BF1302" i="38" s="1"/>
  <c r="BG1302" i="38" s="1"/>
  <c r="BH1302" i="38" s="1"/>
  <c r="BD1286" i="38"/>
  <c r="BE1286" i="38" s="1"/>
  <c r="BF1286" i="38" s="1"/>
  <c r="BG1286" i="38" s="1"/>
  <c r="BH1286" i="38" s="1"/>
  <c r="BD1270" i="38"/>
  <c r="BE1270" i="38" s="1"/>
  <c r="BF1270" i="38" s="1"/>
  <c r="BG1270" i="38" s="1"/>
  <c r="BH1270" i="38" s="1"/>
  <c r="BD1254" i="38"/>
  <c r="BE1254" i="38" s="1"/>
  <c r="BF1254" i="38" s="1"/>
  <c r="BG1254" i="38" s="1"/>
  <c r="BH1254" i="38" s="1"/>
  <c r="BD1238" i="38"/>
  <c r="BE1238" i="38" s="1"/>
  <c r="BF1238" i="38" s="1"/>
  <c r="BG1238" i="38" s="1"/>
  <c r="BH1238" i="38" s="1"/>
  <c r="BD1222" i="38"/>
  <c r="BE1222" i="38" s="1"/>
  <c r="BF1222" i="38" s="1"/>
  <c r="BG1222" i="38" s="1"/>
  <c r="BH1222" i="38" s="1"/>
  <c r="BD1206" i="38"/>
  <c r="BE1206" i="38" s="1"/>
  <c r="BF1206" i="38" s="1"/>
  <c r="BG1206" i="38" s="1"/>
  <c r="BH1206" i="38" s="1"/>
  <c r="BD1190" i="38"/>
  <c r="BE1190" i="38" s="1"/>
  <c r="BF1190" i="38" s="1"/>
  <c r="BG1190" i="38" s="1"/>
  <c r="BH1190" i="38" s="1"/>
  <c r="BD1174" i="38"/>
  <c r="BE1174" i="38" s="1"/>
  <c r="BF1174" i="38" s="1"/>
  <c r="BG1174" i="38" s="1"/>
  <c r="BH1174" i="38" s="1"/>
  <c r="BD1158" i="38"/>
  <c r="BE1158" i="38" s="1"/>
  <c r="BF1158" i="38" s="1"/>
  <c r="BG1158" i="38" s="1"/>
  <c r="BH1158" i="38" s="1"/>
  <c r="BD1142" i="38"/>
  <c r="BE1142" i="38" s="1"/>
  <c r="BF1142" i="38" s="1"/>
  <c r="BG1142" i="38" s="1"/>
  <c r="BH1142" i="38" s="1"/>
  <c r="BD1126" i="38"/>
  <c r="BE1126" i="38" s="1"/>
  <c r="BF1126" i="38" s="1"/>
  <c r="BG1126" i="38" s="1"/>
  <c r="BH1126" i="38" s="1"/>
  <c r="BD1110" i="38"/>
  <c r="BE1110" i="38" s="1"/>
  <c r="BF1110" i="38" s="1"/>
  <c r="BG1110" i="38" s="1"/>
  <c r="BH1110" i="38" s="1"/>
  <c r="BD1094" i="38"/>
  <c r="BE1094" i="38" s="1"/>
  <c r="BF1094" i="38" s="1"/>
  <c r="BG1094" i="38" s="1"/>
  <c r="BH1094" i="38" s="1"/>
  <c r="BD1078" i="38"/>
  <c r="BE1078" i="38" s="1"/>
  <c r="BF1078" i="38" s="1"/>
  <c r="BG1078" i="38" s="1"/>
  <c r="BH1078" i="38" s="1"/>
  <c r="BD1062" i="38"/>
  <c r="BE1062" i="38" s="1"/>
  <c r="BF1062" i="38" s="1"/>
  <c r="BG1062" i="38" s="1"/>
  <c r="BH1062" i="38" s="1"/>
  <c r="BD1046" i="38"/>
  <c r="BE1046" i="38" s="1"/>
  <c r="BF1046" i="38" s="1"/>
  <c r="BG1046" i="38" s="1"/>
  <c r="BH1046" i="38" s="1"/>
  <c r="BD1030" i="38"/>
  <c r="BE1030" i="38" s="1"/>
  <c r="BF1030" i="38" s="1"/>
  <c r="BG1030" i="38" s="1"/>
  <c r="BH1030" i="38" s="1"/>
  <c r="BD1014" i="38"/>
  <c r="BE1014" i="38" s="1"/>
  <c r="BF1014" i="38" s="1"/>
  <c r="BG1014" i="38" s="1"/>
  <c r="BH1014" i="38" s="1"/>
  <c r="BD998" i="38"/>
  <c r="BE998" i="38" s="1"/>
  <c r="BF998" i="38" s="1"/>
  <c r="BG998" i="38" s="1"/>
  <c r="BH998" i="38" s="1"/>
  <c r="BD982" i="38"/>
  <c r="BE982" i="38" s="1"/>
  <c r="BF982" i="38" s="1"/>
  <c r="BG982" i="38" s="1"/>
  <c r="BH982" i="38" s="1"/>
  <c r="BD966" i="38"/>
  <c r="BE966" i="38" s="1"/>
  <c r="BF966" i="38" s="1"/>
  <c r="BG966" i="38" s="1"/>
  <c r="BH966" i="38" s="1"/>
  <c r="BD950" i="38"/>
  <c r="BE950" i="38" s="1"/>
  <c r="BF950" i="38" s="1"/>
  <c r="BG950" i="38" s="1"/>
  <c r="BH950" i="38" s="1"/>
  <c r="BD934" i="38"/>
  <c r="BE934" i="38" s="1"/>
  <c r="BF934" i="38" s="1"/>
  <c r="BG934" i="38" s="1"/>
  <c r="BH934" i="38" s="1"/>
  <c r="BD2518" i="38"/>
  <c r="BE2518" i="38" s="1"/>
  <c r="BF2518" i="38" s="1"/>
  <c r="BG2518" i="38" s="1"/>
  <c r="BH2518" i="38" s="1"/>
  <c r="BD2258" i="38"/>
  <c r="BE2258" i="38" s="1"/>
  <c r="BF2258" i="38" s="1"/>
  <c r="BG2258" i="38" s="1"/>
  <c r="BH2258" i="38" s="1"/>
  <c r="BD2184" i="38"/>
  <c r="BE2184" i="38" s="1"/>
  <c r="BF2184" i="38" s="1"/>
  <c r="BG2184" i="38" s="1"/>
  <c r="BH2184" i="38" s="1"/>
  <c r="BD2098" i="38"/>
  <c r="BE2098" i="38" s="1"/>
  <c r="BF2098" i="38" s="1"/>
  <c r="BG2098" i="38" s="1"/>
  <c r="BH2098" i="38" s="1"/>
  <c r="BD2014" i="38"/>
  <c r="BE2014" i="38" s="1"/>
  <c r="BF2014" i="38" s="1"/>
  <c r="BG2014" i="38" s="1"/>
  <c r="BH2014" i="38" s="1"/>
  <c r="BD1928" i="38"/>
  <c r="BE1928" i="38" s="1"/>
  <c r="BF1928" i="38" s="1"/>
  <c r="BG1928" i="38" s="1"/>
  <c r="BH1928" i="38" s="1"/>
  <c r="BD1842" i="38"/>
  <c r="BE1842" i="38" s="1"/>
  <c r="BF1842" i="38" s="1"/>
  <c r="BG1842" i="38" s="1"/>
  <c r="BH1842" i="38" s="1"/>
  <c r="BD1758" i="38"/>
  <c r="BE1758" i="38" s="1"/>
  <c r="BF1758" i="38" s="1"/>
  <c r="BG1758" i="38" s="1"/>
  <c r="BH1758" i="38" s="1"/>
  <c r="BD1714" i="38"/>
  <c r="BE1714" i="38" s="1"/>
  <c r="BF1714" i="38" s="1"/>
  <c r="BG1714" i="38" s="1"/>
  <c r="BH1714" i="38" s="1"/>
  <c r="BD1650" i="38"/>
  <c r="BE1650" i="38" s="1"/>
  <c r="BF1650" i="38" s="1"/>
  <c r="BG1650" i="38" s="1"/>
  <c r="BH1650" i="38" s="1"/>
  <c r="BD1609" i="38"/>
  <c r="BE1609" i="38" s="1"/>
  <c r="BF1609" i="38" s="1"/>
  <c r="BG1609" i="38" s="1"/>
  <c r="BH1609" i="38" s="1"/>
  <c r="BD1593" i="38"/>
  <c r="BE1593" i="38" s="1"/>
  <c r="BF1593" i="38" s="1"/>
  <c r="BG1593" i="38" s="1"/>
  <c r="BH1593" i="38" s="1"/>
  <c r="BD1577" i="38"/>
  <c r="BE1577" i="38" s="1"/>
  <c r="BF1577" i="38" s="1"/>
  <c r="BG1577" i="38" s="1"/>
  <c r="BH1577" i="38" s="1"/>
  <c r="BD1561" i="38"/>
  <c r="BE1561" i="38" s="1"/>
  <c r="BF1561" i="38" s="1"/>
  <c r="BG1561" i="38" s="1"/>
  <c r="BH1561" i="38" s="1"/>
  <c r="BD1545" i="38"/>
  <c r="BE1545" i="38" s="1"/>
  <c r="BF1545" i="38" s="1"/>
  <c r="BG1545" i="38" s="1"/>
  <c r="BH1545" i="38" s="1"/>
  <c r="BD1529" i="38"/>
  <c r="BE1529" i="38" s="1"/>
  <c r="BF1529" i="38" s="1"/>
  <c r="BG1529" i="38" s="1"/>
  <c r="BH1529" i="38" s="1"/>
  <c r="BD1513" i="38"/>
  <c r="BE1513" i="38" s="1"/>
  <c r="BF1513" i="38" s="1"/>
  <c r="BG1513" i="38" s="1"/>
  <c r="BH1513" i="38" s="1"/>
  <c r="BD1497" i="38"/>
  <c r="BE1497" i="38" s="1"/>
  <c r="BF1497" i="38" s="1"/>
  <c r="BG1497" i="38" s="1"/>
  <c r="BH1497" i="38" s="1"/>
  <c r="BD1481" i="38"/>
  <c r="BE1481" i="38" s="1"/>
  <c r="BF1481" i="38" s="1"/>
  <c r="BG1481" i="38" s="1"/>
  <c r="BH1481" i="38" s="1"/>
  <c r="BD1465" i="38"/>
  <c r="BE1465" i="38" s="1"/>
  <c r="BF1465" i="38" s="1"/>
  <c r="BG1465" i="38" s="1"/>
  <c r="BH1465" i="38" s="1"/>
  <c r="BD1449" i="38"/>
  <c r="BE1449" i="38" s="1"/>
  <c r="BF1449" i="38" s="1"/>
  <c r="BG1449" i="38" s="1"/>
  <c r="BH1449" i="38" s="1"/>
  <c r="BD1433" i="38"/>
  <c r="BE1433" i="38" s="1"/>
  <c r="BF1433" i="38" s="1"/>
  <c r="BG1433" i="38" s="1"/>
  <c r="BH1433" i="38" s="1"/>
  <c r="BD1417" i="38"/>
  <c r="BE1417" i="38" s="1"/>
  <c r="BF1417" i="38" s="1"/>
  <c r="BG1417" i="38" s="1"/>
  <c r="BH1417" i="38" s="1"/>
  <c r="BD1401" i="38"/>
  <c r="BE1401" i="38" s="1"/>
  <c r="BF1401" i="38" s="1"/>
  <c r="BG1401" i="38" s="1"/>
  <c r="BH1401" i="38" s="1"/>
  <c r="BD1385" i="38"/>
  <c r="BE1385" i="38" s="1"/>
  <c r="BF1385" i="38" s="1"/>
  <c r="BG1385" i="38" s="1"/>
  <c r="BH1385" i="38" s="1"/>
  <c r="BD1369" i="38"/>
  <c r="BE1369" i="38" s="1"/>
  <c r="BF1369" i="38" s="1"/>
  <c r="BG1369" i="38" s="1"/>
  <c r="BH1369" i="38" s="1"/>
  <c r="BD1353" i="38"/>
  <c r="BE1353" i="38" s="1"/>
  <c r="BF1353" i="38" s="1"/>
  <c r="BG1353" i="38" s="1"/>
  <c r="BH1353" i="38" s="1"/>
  <c r="BD1337" i="38"/>
  <c r="BE1337" i="38" s="1"/>
  <c r="BF1337" i="38" s="1"/>
  <c r="BG1337" i="38" s="1"/>
  <c r="BH1337" i="38" s="1"/>
  <c r="BD1321" i="38"/>
  <c r="BE1321" i="38" s="1"/>
  <c r="BF1321" i="38" s="1"/>
  <c r="BG1321" i="38" s="1"/>
  <c r="BH1321" i="38" s="1"/>
  <c r="BD1305" i="38"/>
  <c r="BE1305" i="38" s="1"/>
  <c r="BF1305" i="38" s="1"/>
  <c r="BG1305" i="38" s="1"/>
  <c r="BH1305" i="38" s="1"/>
  <c r="BD1289" i="38"/>
  <c r="BE1289" i="38" s="1"/>
  <c r="BF1289" i="38" s="1"/>
  <c r="BG1289" i="38" s="1"/>
  <c r="BH1289" i="38" s="1"/>
  <c r="BD1273" i="38"/>
  <c r="BE1273" i="38" s="1"/>
  <c r="BF1273" i="38" s="1"/>
  <c r="BG1273" i="38" s="1"/>
  <c r="BH1273" i="38" s="1"/>
  <c r="BD1257" i="38"/>
  <c r="BE1257" i="38" s="1"/>
  <c r="BF1257" i="38" s="1"/>
  <c r="BG1257" i="38" s="1"/>
  <c r="BH1257" i="38" s="1"/>
  <c r="BD1241" i="38"/>
  <c r="BE1241" i="38" s="1"/>
  <c r="BF1241" i="38" s="1"/>
  <c r="BG1241" i="38" s="1"/>
  <c r="BH1241" i="38" s="1"/>
  <c r="BD1225" i="38"/>
  <c r="BE1225" i="38" s="1"/>
  <c r="BF1225" i="38" s="1"/>
  <c r="BG1225" i="38" s="1"/>
  <c r="BH1225" i="38" s="1"/>
  <c r="BD1209" i="38"/>
  <c r="BE1209" i="38" s="1"/>
  <c r="BF1209" i="38" s="1"/>
  <c r="BG1209" i="38" s="1"/>
  <c r="BH1209" i="38" s="1"/>
  <c r="BD1193" i="38"/>
  <c r="BE1193" i="38" s="1"/>
  <c r="BF1193" i="38" s="1"/>
  <c r="BG1193" i="38" s="1"/>
  <c r="BH1193" i="38" s="1"/>
  <c r="BD1177" i="38"/>
  <c r="BE1177" i="38" s="1"/>
  <c r="BF1177" i="38" s="1"/>
  <c r="BG1177" i="38" s="1"/>
  <c r="BH1177" i="38" s="1"/>
  <c r="BD1161" i="38"/>
  <c r="BE1161" i="38" s="1"/>
  <c r="BF1161" i="38" s="1"/>
  <c r="BG1161" i="38" s="1"/>
  <c r="BH1161" i="38" s="1"/>
  <c r="BD1145" i="38"/>
  <c r="BE1145" i="38" s="1"/>
  <c r="BF1145" i="38" s="1"/>
  <c r="BG1145" i="38" s="1"/>
  <c r="BH1145" i="38" s="1"/>
  <c r="BD1129" i="38"/>
  <c r="BE1129" i="38" s="1"/>
  <c r="BF1129" i="38" s="1"/>
  <c r="BG1129" i="38" s="1"/>
  <c r="BH1129" i="38" s="1"/>
  <c r="BD1113" i="38"/>
  <c r="BE1113" i="38" s="1"/>
  <c r="BF1113" i="38" s="1"/>
  <c r="BG1113" i="38" s="1"/>
  <c r="BH1113" i="38" s="1"/>
  <c r="BD1097" i="38"/>
  <c r="BE1097" i="38" s="1"/>
  <c r="BF1097" i="38" s="1"/>
  <c r="BG1097" i="38" s="1"/>
  <c r="BH1097" i="38" s="1"/>
  <c r="BD1081" i="38"/>
  <c r="BE1081" i="38" s="1"/>
  <c r="BF1081" i="38" s="1"/>
  <c r="BG1081" i="38" s="1"/>
  <c r="BH1081" i="38" s="1"/>
  <c r="BD1065" i="38"/>
  <c r="BE1065" i="38" s="1"/>
  <c r="BF1065" i="38" s="1"/>
  <c r="BG1065" i="38" s="1"/>
  <c r="BH1065" i="38" s="1"/>
  <c r="BD1049" i="38"/>
  <c r="BE1049" i="38" s="1"/>
  <c r="BF1049" i="38" s="1"/>
  <c r="BG1049" i="38" s="1"/>
  <c r="BH1049" i="38" s="1"/>
  <c r="BD1033" i="38"/>
  <c r="BE1033" i="38" s="1"/>
  <c r="BF1033" i="38" s="1"/>
  <c r="BG1033" i="38" s="1"/>
  <c r="BH1033" i="38" s="1"/>
  <c r="BD1017" i="38"/>
  <c r="BE1017" i="38" s="1"/>
  <c r="BF1017" i="38" s="1"/>
  <c r="BG1017" i="38" s="1"/>
  <c r="BH1017" i="38" s="1"/>
  <c r="BD1001" i="38"/>
  <c r="BE1001" i="38" s="1"/>
  <c r="BF1001" i="38" s="1"/>
  <c r="BG1001" i="38" s="1"/>
  <c r="BH1001" i="38" s="1"/>
  <c r="BD985" i="38"/>
  <c r="BE985" i="38" s="1"/>
  <c r="BF985" i="38" s="1"/>
  <c r="BG985" i="38" s="1"/>
  <c r="BH985" i="38" s="1"/>
  <c r="BD969" i="38"/>
  <c r="BE969" i="38" s="1"/>
  <c r="BF969" i="38" s="1"/>
  <c r="BG969" i="38" s="1"/>
  <c r="BH969" i="38" s="1"/>
  <c r="BD953" i="38"/>
  <c r="BE953" i="38" s="1"/>
  <c r="BF953" i="38" s="1"/>
  <c r="BG953" i="38" s="1"/>
  <c r="BH953" i="38" s="1"/>
  <c r="BD937" i="38"/>
  <c r="BE937" i="38" s="1"/>
  <c r="BF937" i="38" s="1"/>
  <c r="BG937" i="38" s="1"/>
  <c r="BH937" i="38" s="1"/>
  <c r="BD921" i="38"/>
  <c r="BE921" i="38" s="1"/>
  <c r="BF921" i="38" s="1"/>
  <c r="BG921" i="38" s="1"/>
  <c r="BH921" i="38" s="1"/>
  <c r="BD905" i="38"/>
  <c r="BE905" i="38" s="1"/>
  <c r="BF905" i="38" s="1"/>
  <c r="BG905" i="38" s="1"/>
  <c r="BH905" i="38" s="1"/>
  <c r="BD889" i="38"/>
  <c r="BE889" i="38" s="1"/>
  <c r="BF889" i="38" s="1"/>
  <c r="BG889" i="38" s="1"/>
  <c r="BH889" i="38" s="1"/>
  <c r="BD873" i="38"/>
  <c r="BE873" i="38" s="1"/>
  <c r="BF873" i="38" s="1"/>
  <c r="BG873" i="38" s="1"/>
  <c r="BH873" i="38" s="1"/>
  <c r="BD857" i="38"/>
  <c r="BE857" i="38" s="1"/>
  <c r="BF857" i="38" s="1"/>
  <c r="BG857" i="38" s="1"/>
  <c r="BH857" i="38" s="1"/>
  <c r="BD841" i="38"/>
  <c r="BE841" i="38" s="1"/>
  <c r="BF841" i="38" s="1"/>
  <c r="BG841" i="38" s="1"/>
  <c r="BH841" i="38" s="1"/>
  <c r="BD825" i="38"/>
  <c r="BE825" i="38" s="1"/>
  <c r="BF825" i="38" s="1"/>
  <c r="BG825" i="38" s="1"/>
  <c r="BH825" i="38" s="1"/>
  <c r="BD809" i="38"/>
  <c r="BE809" i="38" s="1"/>
  <c r="BF809" i="38" s="1"/>
  <c r="BG809" i="38" s="1"/>
  <c r="BH809" i="38" s="1"/>
  <c r="BD793" i="38"/>
  <c r="BE793" i="38" s="1"/>
  <c r="BF793" i="38" s="1"/>
  <c r="BG793" i="38" s="1"/>
  <c r="BH793" i="38" s="1"/>
  <c r="BD777" i="38"/>
  <c r="BE777" i="38" s="1"/>
  <c r="BF777" i="38" s="1"/>
  <c r="BG777" i="38" s="1"/>
  <c r="BH777" i="38" s="1"/>
  <c r="BD761" i="38"/>
  <c r="BE761" i="38" s="1"/>
  <c r="BF761" i="38" s="1"/>
  <c r="BG761" i="38" s="1"/>
  <c r="BH761" i="38" s="1"/>
  <c r="BD745" i="38"/>
  <c r="BE745" i="38" s="1"/>
  <c r="BF745" i="38" s="1"/>
  <c r="BG745" i="38" s="1"/>
  <c r="BH745" i="38" s="1"/>
  <c r="BD729" i="38"/>
  <c r="BE729" i="38" s="1"/>
  <c r="BF729" i="38" s="1"/>
  <c r="BG729" i="38" s="1"/>
  <c r="BH729" i="38" s="1"/>
  <c r="BD2745" i="38"/>
  <c r="BE2745" i="38" s="1"/>
  <c r="BF2745" i="38" s="1"/>
  <c r="BG2745" i="38" s="1"/>
  <c r="BH2745" i="38" s="1"/>
  <c r="BD2334" i="38"/>
  <c r="BE2334" i="38" s="1"/>
  <c r="BF2334" i="38" s="1"/>
  <c r="BG2334" i="38" s="1"/>
  <c r="BH2334" i="38" s="1"/>
  <c r="BD2200" i="38"/>
  <c r="BE2200" i="38" s="1"/>
  <c r="BF2200" i="38" s="1"/>
  <c r="BG2200" i="38" s="1"/>
  <c r="BH2200" i="38" s="1"/>
  <c r="BD2114" i="38"/>
  <c r="BE2114" i="38" s="1"/>
  <c r="BF2114" i="38" s="1"/>
  <c r="BG2114" i="38" s="1"/>
  <c r="BH2114" i="38" s="1"/>
  <c r="BD2030" i="38"/>
  <c r="BE2030" i="38" s="1"/>
  <c r="BF2030" i="38" s="1"/>
  <c r="BG2030" i="38" s="1"/>
  <c r="BH2030" i="38" s="1"/>
  <c r="BD1944" i="38"/>
  <c r="BE1944" i="38" s="1"/>
  <c r="BF1944" i="38" s="1"/>
  <c r="BG1944" i="38" s="1"/>
  <c r="BH1944" i="38" s="1"/>
  <c r="BD1858" i="38"/>
  <c r="BE1858" i="38" s="1"/>
  <c r="BF1858" i="38" s="1"/>
  <c r="BG1858" i="38" s="1"/>
  <c r="BH1858" i="38" s="1"/>
  <c r="BD1774" i="38"/>
  <c r="BE1774" i="38" s="1"/>
  <c r="BF1774" i="38" s="1"/>
  <c r="BG1774" i="38" s="1"/>
  <c r="BH1774" i="38" s="1"/>
  <c r="BD1688" i="38"/>
  <c r="BE1688" i="38" s="1"/>
  <c r="BF1688" i="38" s="1"/>
  <c r="BG1688" i="38" s="1"/>
  <c r="BH1688" i="38" s="1"/>
  <c r="BD1624" i="38"/>
  <c r="BE1624" i="38" s="1"/>
  <c r="BF1624" i="38" s="1"/>
  <c r="BG1624" i="38" s="1"/>
  <c r="BH1624" i="38" s="1"/>
  <c r="BD1612" i="38"/>
  <c r="BE1612" i="38" s="1"/>
  <c r="BF1612" i="38" s="1"/>
  <c r="BG1612" i="38" s="1"/>
  <c r="BH1612" i="38" s="1"/>
  <c r="BD1596" i="38"/>
  <c r="BE1596" i="38" s="1"/>
  <c r="BF1596" i="38" s="1"/>
  <c r="BG1596" i="38" s="1"/>
  <c r="BH1596" i="38" s="1"/>
  <c r="BD1580" i="38"/>
  <c r="BE1580" i="38" s="1"/>
  <c r="BF1580" i="38" s="1"/>
  <c r="BG1580" i="38" s="1"/>
  <c r="BH1580" i="38" s="1"/>
  <c r="BD1564" i="38"/>
  <c r="BE1564" i="38" s="1"/>
  <c r="BF1564" i="38" s="1"/>
  <c r="BG1564" i="38" s="1"/>
  <c r="BH1564" i="38" s="1"/>
  <c r="BD1548" i="38"/>
  <c r="BE1548" i="38" s="1"/>
  <c r="BF1548" i="38" s="1"/>
  <c r="BG1548" i="38" s="1"/>
  <c r="BH1548" i="38" s="1"/>
  <c r="BD1532" i="38"/>
  <c r="BE1532" i="38" s="1"/>
  <c r="BF1532" i="38" s="1"/>
  <c r="BG1532" i="38" s="1"/>
  <c r="BH1532" i="38" s="1"/>
  <c r="BD1516" i="38"/>
  <c r="BE1516" i="38" s="1"/>
  <c r="BF1516" i="38" s="1"/>
  <c r="BG1516" i="38" s="1"/>
  <c r="BH1516" i="38" s="1"/>
  <c r="BD1500" i="38"/>
  <c r="BE1500" i="38" s="1"/>
  <c r="BF1500" i="38" s="1"/>
  <c r="BG1500" i="38" s="1"/>
  <c r="BH1500" i="38" s="1"/>
  <c r="BD1484" i="38"/>
  <c r="BE1484" i="38" s="1"/>
  <c r="BF1484" i="38" s="1"/>
  <c r="BG1484" i="38" s="1"/>
  <c r="BH1484" i="38" s="1"/>
  <c r="BD1468" i="38"/>
  <c r="BE1468" i="38" s="1"/>
  <c r="BF1468" i="38" s="1"/>
  <c r="BG1468" i="38" s="1"/>
  <c r="BH1468" i="38" s="1"/>
  <c r="BD1452" i="38"/>
  <c r="BE1452" i="38" s="1"/>
  <c r="BF1452" i="38" s="1"/>
  <c r="BG1452" i="38" s="1"/>
  <c r="BH1452" i="38" s="1"/>
  <c r="BD1436" i="38"/>
  <c r="BE1436" i="38" s="1"/>
  <c r="BF1436" i="38" s="1"/>
  <c r="BG1436" i="38" s="1"/>
  <c r="BH1436" i="38" s="1"/>
  <c r="BD1420" i="38"/>
  <c r="BE1420" i="38" s="1"/>
  <c r="BF1420" i="38" s="1"/>
  <c r="BG1420" i="38" s="1"/>
  <c r="BH1420" i="38" s="1"/>
  <c r="BD1404" i="38"/>
  <c r="BE1404" i="38" s="1"/>
  <c r="BF1404" i="38" s="1"/>
  <c r="BG1404" i="38" s="1"/>
  <c r="BH1404" i="38" s="1"/>
  <c r="BD1388" i="38"/>
  <c r="BE1388" i="38" s="1"/>
  <c r="BF1388" i="38" s="1"/>
  <c r="BG1388" i="38" s="1"/>
  <c r="BH1388" i="38" s="1"/>
  <c r="BD1372" i="38"/>
  <c r="BE1372" i="38" s="1"/>
  <c r="BF1372" i="38" s="1"/>
  <c r="BG1372" i="38" s="1"/>
  <c r="BH1372" i="38" s="1"/>
  <c r="BD1356" i="38"/>
  <c r="BE1356" i="38" s="1"/>
  <c r="BF1356" i="38" s="1"/>
  <c r="BG1356" i="38" s="1"/>
  <c r="BH1356" i="38" s="1"/>
  <c r="BD1340" i="38"/>
  <c r="BE1340" i="38" s="1"/>
  <c r="BF1340" i="38" s="1"/>
  <c r="BG1340" i="38" s="1"/>
  <c r="BH1340" i="38" s="1"/>
  <c r="BD1324" i="38"/>
  <c r="BE1324" i="38" s="1"/>
  <c r="BF1324" i="38" s="1"/>
  <c r="BG1324" i="38" s="1"/>
  <c r="BH1324" i="38" s="1"/>
  <c r="BD1308" i="38"/>
  <c r="BE1308" i="38" s="1"/>
  <c r="BF1308" i="38" s="1"/>
  <c r="BG1308" i="38" s="1"/>
  <c r="BH1308" i="38" s="1"/>
  <c r="BD1292" i="38"/>
  <c r="BE1292" i="38" s="1"/>
  <c r="BF1292" i="38" s="1"/>
  <c r="BG1292" i="38" s="1"/>
  <c r="BH1292" i="38" s="1"/>
  <c r="BD1276" i="38"/>
  <c r="BE1276" i="38" s="1"/>
  <c r="BF1276" i="38" s="1"/>
  <c r="BG1276" i="38" s="1"/>
  <c r="BH1276" i="38" s="1"/>
  <c r="BD1260" i="38"/>
  <c r="BE1260" i="38" s="1"/>
  <c r="BF1260" i="38" s="1"/>
  <c r="BG1260" i="38" s="1"/>
  <c r="BH1260" i="38" s="1"/>
  <c r="BD1244" i="38"/>
  <c r="BE1244" i="38" s="1"/>
  <c r="BF1244" i="38" s="1"/>
  <c r="BG1244" i="38" s="1"/>
  <c r="BH1244" i="38" s="1"/>
  <c r="BD1228" i="38"/>
  <c r="BE1228" i="38" s="1"/>
  <c r="BF1228" i="38" s="1"/>
  <c r="BG1228" i="38" s="1"/>
  <c r="BH1228" i="38" s="1"/>
  <c r="BD1212" i="38"/>
  <c r="BE1212" i="38" s="1"/>
  <c r="BF1212" i="38" s="1"/>
  <c r="BG1212" i="38" s="1"/>
  <c r="BH1212" i="38" s="1"/>
  <c r="BD1196" i="38"/>
  <c r="BE1196" i="38" s="1"/>
  <c r="BF1196" i="38" s="1"/>
  <c r="BG1196" i="38" s="1"/>
  <c r="BH1196" i="38" s="1"/>
  <c r="BD1180" i="38"/>
  <c r="BE1180" i="38" s="1"/>
  <c r="BF1180" i="38" s="1"/>
  <c r="BG1180" i="38" s="1"/>
  <c r="BH1180" i="38" s="1"/>
  <c r="BD1164" i="38"/>
  <c r="BE1164" i="38" s="1"/>
  <c r="BF1164" i="38" s="1"/>
  <c r="BG1164" i="38" s="1"/>
  <c r="BH1164" i="38" s="1"/>
  <c r="BD1148" i="38"/>
  <c r="BE1148" i="38" s="1"/>
  <c r="BF1148" i="38" s="1"/>
  <c r="BG1148" i="38" s="1"/>
  <c r="BH1148" i="38" s="1"/>
  <c r="BD1132" i="38"/>
  <c r="BE1132" i="38" s="1"/>
  <c r="BF1132" i="38" s="1"/>
  <c r="BG1132" i="38" s="1"/>
  <c r="BH1132" i="38" s="1"/>
  <c r="BD1116" i="38"/>
  <c r="BE1116" i="38" s="1"/>
  <c r="BF1116" i="38" s="1"/>
  <c r="BG1116" i="38" s="1"/>
  <c r="BH1116" i="38" s="1"/>
  <c r="BD1100" i="38"/>
  <c r="BE1100" i="38" s="1"/>
  <c r="BF1100" i="38" s="1"/>
  <c r="BG1100" i="38" s="1"/>
  <c r="BH1100" i="38" s="1"/>
  <c r="BD1084" i="38"/>
  <c r="BE1084" i="38" s="1"/>
  <c r="BF1084" i="38" s="1"/>
  <c r="BG1084" i="38" s="1"/>
  <c r="BH1084" i="38" s="1"/>
  <c r="BD1068" i="38"/>
  <c r="BE1068" i="38" s="1"/>
  <c r="BF1068" i="38" s="1"/>
  <c r="BG1068" i="38" s="1"/>
  <c r="BH1068" i="38" s="1"/>
  <c r="BD1052" i="38"/>
  <c r="BE1052" i="38" s="1"/>
  <c r="BF1052" i="38" s="1"/>
  <c r="BG1052" i="38" s="1"/>
  <c r="BH1052" i="38" s="1"/>
  <c r="BD1036" i="38"/>
  <c r="BE1036" i="38" s="1"/>
  <c r="BF1036" i="38" s="1"/>
  <c r="BG1036" i="38" s="1"/>
  <c r="BH1036" i="38" s="1"/>
  <c r="BD1020" i="38"/>
  <c r="BE1020" i="38" s="1"/>
  <c r="BF1020" i="38" s="1"/>
  <c r="BG1020" i="38" s="1"/>
  <c r="BH1020" i="38" s="1"/>
  <c r="BD1004" i="38"/>
  <c r="BE1004" i="38" s="1"/>
  <c r="BF1004" i="38" s="1"/>
  <c r="BG1004" i="38" s="1"/>
  <c r="BH1004" i="38" s="1"/>
  <c r="BD988" i="38"/>
  <c r="BE988" i="38" s="1"/>
  <c r="BF988" i="38" s="1"/>
  <c r="BG988" i="38" s="1"/>
  <c r="BH988" i="38" s="1"/>
  <c r="BD972" i="38"/>
  <c r="BE972" i="38" s="1"/>
  <c r="BF972" i="38" s="1"/>
  <c r="BG972" i="38" s="1"/>
  <c r="BH972" i="38" s="1"/>
  <c r="BD956" i="38"/>
  <c r="BE956" i="38" s="1"/>
  <c r="BF956" i="38" s="1"/>
  <c r="BG956" i="38" s="1"/>
  <c r="BH956" i="38" s="1"/>
  <c r="BD940" i="38"/>
  <c r="BE940" i="38" s="1"/>
  <c r="BF940" i="38" s="1"/>
  <c r="BG940" i="38" s="1"/>
  <c r="BH940" i="38" s="1"/>
  <c r="BD924" i="38"/>
  <c r="BE924" i="38" s="1"/>
  <c r="BF924" i="38" s="1"/>
  <c r="BG924" i="38" s="1"/>
  <c r="BH924" i="38" s="1"/>
  <c r="BD908" i="38"/>
  <c r="BE908" i="38" s="1"/>
  <c r="BF908" i="38" s="1"/>
  <c r="BG908" i="38" s="1"/>
  <c r="BH908" i="38" s="1"/>
  <c r="BD892" i="38"/>
  <c r="BE892" i="38" s="1"/>
  <c r="BF892" i="38" s="1"/>
  <c r="BG892" i="38" s="1"/>
  <c r="BH892" i="38" s="1"/>
  <c r="BD876" i="38"/>
  <c r="BE876" i="38" s="1"/>
  <c r="BF876" i="38" s="1"/>
  <c r="BG876" i="38" s="1"/>
  <c r="BH876" i="38" s="1"/>
  <c r="BD2507" i="38"/>
  <c r="BE2507" i="38" s="1"/>
  <c r="BF2507" i="38" s="1"/>
  <c r="BG2507" i="38" s="1"/>
  <c r="BH2507" i="38" s="1"/>
  <c r="BD2306" i="38"/>
  <c r="BE2306" i="38" s="1"/>
  <c r="BF2306" i="38" s="1"/>
  <c r="BG2306" i="38" s="1"/>
  <c r="BH2306" i="38" s="1"/>
  <c r="BD2216" i="38"/>
  <c r="BE2216" i="38" s="1"/>
  <c r="BF2216" i="38" s="1"/>
  <c r="BG2216" i="38" s="1"/>
  <c r="BH2216" i="38" s="1"/>
  <c r="BD2130" i="38"/>
  <c r="BE2130" i="38" s="1"/>
  <c r="BF2130" i="38" s="1"/>
  <c r="BG2130" i="38" s="1"/>
  <c r="BH2130" i="38" s="1"/>
  <c r="BD2046" i="38"/>
  <c r="BE2046" i="38" s="1"/>
  <c r="BF2046" i="38" s="1"/>
  <c r="BG2046" i="38" s="1"/>
  <c r="BH2046" i="38" s="1"/>
  <c r="BD1960" i="38"/>
  <c r="BE1960" i="38" s="1"/>
  <c r="BF1960" i="38" s="1"/>
  <c r="BG1960" i="38" s="1"/>
  <c r="BH1960" i="38" s="1"/>
  <c r="BD1874" i="38"/>
  <c r="BE1874" i="38" s="1"/>
  <c r="BF1874" i="38" s="1"/>
  <c r="BG1874" i="38" s="1"/>
  <c r="BH1874" i="38" s="1"/>
  <c r="BD1790" i="38"/>
  <c r="BE1790" i="38" s="1"/>
  <c r="BF1790" i="38" s="1"/>
  <c r="BG1790" i="38" s="1"/>
  <c r="BH1790" i="38" s="1"/>
  <c r="BD1739" i="38"/>
  <c r="BE1739" i="38" s="1"/>
  <c r="BF1739" i="38" s="1"/>
  <c r="BG1739" i="38" s="1"/>
  <c r="BH1739" i="38" s="1"/>
  <c r="BD1675" i="38"/>
  <c r="BE1675" i="38" s="1"/>
  <c r="BF1675" i="38" s="1"/>
  <c r="BG1675" i="38" s="1"/>
  <c r="BH1675" i="38" s="1"/>
  <c r="BD1615" i="38"/>
  <c r="BE1615" i="38" s="1"/>
  <c r="BF1615" i="38" s="1"/>
  <c r="BG1615" i="38" s="1"/>
  <c r="BH1615" i="38" s="1"/>
  <c r="BD1599" i="38"/>
  <c r="BE1599" i="38" s="1"/>
  <c r="BF1599" i="38" s="1"/>
  <c r="BG1599" i="38" s="1"/>
  <c r="BH1599" i="38" s="1"/>
  <c r="BD1583" i="38"/>
  <c r="BE1583" i="38" s="1"/>
  <c r="BF1583" i="38" s="1"/>
  <c r="BG1583" i="38" s="1"/>
  <c r="BH1583" i="38" s="1"/>
  <c r="BD1567" i="38"/>
  <c r="BE1567" i="38" s="1"/>
  <c r="BF1567" i="38" s="1"/>
  <c r="BG1567" i="38" s="1"/>
  <c r="BH1567" i="38" s="1"/>
  <c r="BD1551" i="38"/>
  <c r="BE1551" i="38" s="1"/>
  <c r="BF1551" i="38" s="1"/>
  <c r="BG1551" i="38" s="1"/>
  <c r="BH1551" i="38" s="1"/>
  <c r="BD1535" i="38"/>
  <c r="BE1535" i="38" s="1"/>
  <c r="BF1535" i="38" s="1"/>
  <c r="BG1535" i="38" s="1"/>
  <c r="BH1535" i="38" s="1"/>
  <c r="BD1519" i="38"/>
  <c r="BE1519" i="38" s="1"/>
  <c r="BF1519" i="38" s="1"/>
  <c r="BG1519" i="38" s="1"/>
  <c r="BH1519" i="38" s="1"/>
  <c r="BD1503" i="38"/>
  <c r="BE1503" i="38" s="1"/>
  <c r="BF1503" i="38" s="1"/>
  <c r="BG1503" i="38" s="1"/>
  <c r="BH1503" i="38" s="1"/>
  <c r="BD1487" i="38"/>
  <c r="BE1487" i="38" s="1"/>
  <c r="BF1487" i="38" s="1"/>
  <c r="BG1487" i="38" s="1"/>
  <c r="BH1487" i="38" s="1"/>
  <c r="BD1471" i="38"/>
  <c r="BE1471" i="38" s="1"/>
  <c r="BF1471" i="38" s="1"/>
  <c r="BG1471" i="38" s="1"/>
  <c r="BH1471" i="38" s="1"/>
  <c r="BD1455" i="38"/>
  <c r="BE1455" i="38" s="1"/>
  <c r="BF1455" i="38" s="1"/>
  <c r="BG1455" i="38" s="1"/>
  <c r="BH1455" i="38" s="1"/>
  <c r="BD1439" i="38"/>
  <c r="BE1439" i="38" s="1"/>
  <c r="BF1439" i="38" s="1"/>
  <c r="BG1439" i="38" s="1"/>
  <c r="BH1439" i="38" s="1"/>
  <c r="BD1423" i="38"/>
  <c r="BE1423" i="38" s="1"/>
  <c r="BF1423" i="38" s="1"/>
  <c r="BG1423" i="38" s="1"/>
  <c r="BH1423" i="38" s="1"/>
  <c r="BD1407" i="38"/>
  <c r="BE1407" i="38" s="1"/>
  <c r="BF1407" i="38" s="1"/>
  <c r="BG1407" i="38" s="1"/>
  <c r="BH1407" i="38" s="1"/>
  <c r="BD1391" i="38"/>
  <c r="BE1391" i="38" s="1"/>
  <c r="BF1391" i="38" s="1"/>
  <c r="BG1391" i="38" s="1"/>
  <c r="BH1391" i="38" s="1"/>
  <c r="BD1375" i="38"/>
  <c r="BE1375" i="38" s="1"/>
  <c r="BF1375" i="38" s="1"/>
  <c r="BG1375" i="38" s="1"/>
  <c r="BH1375" i="38" s="1"/>
  <c r="BD1359" i="38"/>
  <c r="BE1359" i="38" s="1"/>
  <c r="BF1359" i="38" s="1"/>
  <c r="BG1359" i="38" s="1"/>
  <c r="BH1359" i="38" s="1"/>
  <c r="BD1343" i="38"/>
  <c r="BE1343" i="38" s="1"/>
  <c r="BF1343" i="38" s="1"/>
  <c r="BG1343" i="38" s="1"/>
  <c r="BH1343" i="38" s="1"/>
  <c r="BD1327" i="38"/>
  <c r="BE1327" i="38" s="1"/>
  <c r="BF1327" i="38" s="1"/>
  <c r="BG1327" i="38" s="1"/>
  <c r="BH1327" i="38" s="1"/>
  <c r="BD1311" i="38"/>
  <c r="BE1311" i="38" s="1"/>
  <c r="BF1311" i="38" s="1"/>
  <c r="BG1311" i="38" s="1"/>
  <c r="BH1311" i="38" s="1"/>
  <c r="BD1295" i="38"/>
  <c r="BE1295" i="38" s="1"/>
  <c r="BF1295" i="38" s="1"/>
  <c r="BG1295" i="38" s="1"/>
  <c r="BH1295" i="38" s="1"/>
  <c r="BD1279" i="38"/>
  <c r="BE1279" i="38" s="1"/>
  <c r="BF1279" i="38" s="1"/>
  <c r="BG1279" i="38" s="1"/>
  <c r="BH1279" i="38" s="1"/>
  <c r="BD1263" i="38"/>
  <c r="BE1263" i="38" s="1"/>
  <c r="BF1263" i="38" s="1"/>
  <c r="BG1263" i="38" s="1"/>
  <c r="BH1263" i="38" s="1"/>
  <c r="BD1247" i="38"/>
  <c r="BE1247" i="38" s="1"/>
  <c r="BF1247" i="38" s="1"/>
  <c r="BG1247" i="38" s="1"/>
  <c r="BH1247" i="38" s="1"/>
  <c r="BD1231" i="38"/>
  <c r="BE1231" i="38" s="1"/>
  <c r="BF1231" i="38" s="1"/>
  <c r="BG1231" i="38" s="1"/>
  <c r="BH1231" i="38" s="1"/>
  <c r="BD1215" i="38"/>
  <c r="BE1215" i="38" s="1"/>
  <c r="BF1215" i="38" s="1"/>
  <c r="BG1215" i="38" s="1"/>
  <c r="BH1215" i="38" s="1"/>
  <c r="BD1199" i="38"/>
  <c r="BE1199" i="38" s="1"/>
  <c r="BF1199" i="38" s="1"/>
  <c r="BG1199" i="38" s="1"/>
  <c r="BH1199" i="38" s="1"/>
  <c r="BD1183" i="38"/>
  <c r="BE1183" i="38" s="1"/>
  <c r="BF1183" i="38" s="1"/>
  <c r="BG1183" i="38" s="1"/>
  <c r="BH1183" i="38" s="1"/>
  <c r="BD1167" i="38"/>
  <c r="BE1167" i="38" s="1"/>
  <c r="BF1167" i="38" s="1"/>
  <c r="BG1167" i="38" s="1"/>
  <c r="BH1167" i="38" s="1"/>
  <c r="BD1151" i="38"/>
  <c r="BE1151" i="38" s="1"/>
  <c r="BF1151" i="38" s="1"/>
  <c r="BG1151" i="38" s="1"/>
  <c r="BH1151" i="38" s="1"/>
  <c r="BD1135" i="38"/>
  <c r="BE1135" i="38" s="1"/>
  <c r="BF1135" i="38" s="1"/>
  <c r="BG1135" i="38" s="1"/>
  <c r="BH1135" i="38" s="1"/>
  <c r="BD1119" i="38"/>
  <c r="BE1119" i="38" s="1"/>
  <c r="BF1119" i="38" s="1"/>
  <c r="BG1119" i="38" s="1"/>
  <c r="BH1119" i="38" s="1"/>
  <c r="BD1103" i="38"/>
  <c r="BE1103" i="38" s="1"/>
  <c r="BF1103" i="38" s="1"/>
  <c r="BG1103" i="38" s="1"/>
  <c r="BH1103" i="38" s="1"/>
  <c r="BD1087" i="38"/>
  <c r="BE1087" i="38" s="1"/>
  <c r="BF1087" i="38" s="1"/>
  <c r="BG1087" i="38" s="1"/>
  <c r="BH1087" i="38" s="1"/>
  <c r="BD1071" i="38"/>
  <c r="BE1071" i="38" s="1"/>
  <c r="BF1071" i="38" s="1"/>
  <c r="BG1071" i="38" s="1"/>
  <c r="BH1071" i="38" s="1"/>
  <c r="BD1055" i="38"/>
  <c r="BE1055" i="38" s="1"/>
  <c r="BF1055" i="38" s="1"/>
  <c r="BG1055" i="38" s="1"/>
  <c r="BH1055" i="38" s="1"/>
  <c r="BD1039" i="38"/>
  <c r="BE1039" i="38" s="1"/>
  <c r="BF1039" i="38" s="1"/>
  <c r="BG1039" i="38" s="1"/>
  <c r="BH1039" i="38" s="1"/>
  <c r="BD1023" i="38"/>
  <c r="BE1023" i="38" s="1"/>
  <c r="BF1023" i="38" s="1"/>
  <c r="BG1023" i="38" s="1"/>
  <c r="BH1023" i="38" s="1"/>
  <c r="BD1007" i="38"/>
  <c r="BE1007" i="38" s="1"/>
  <c r="BF1007" i="38" s="1"/>
  <c r="BG1007" i="38" s="1"/>
  <c r="BH1007" i="38" s="1"/>
  <c r="BD991" i="38"/>
  <c r="BE991" i="38" s="1"/>
  <c r="BF991" i="38" s="1"/>
  <c r="BG991" i="38" s="1"/>
  <c r="BH991" i="38" s="1"/>
  <c r="BD975" i="38"/>
  <c r="BE975" i="38" s="1"/>
  <c r="BF975" i="38" s="1"/>
  <c r="BG975" i="38" s="1"/>
  <c r="BH975" i="38" s="1"/>
  <c r="BD959" i="38"/>
  <c r="BE959" i="38" s="1"/>
  <c r="BF959" i="38" s="1"/>
  <c r="BG959" i="38" s="1"/>
  <c r="BH959" i="38" s="1"/>
  <c r="BD943" i="38"/>
  <c r="BE943" i="38" s="1"/>
  <c r="BF943" i="38" s="1"/>
  <c r="BG943" i="38" s="1"/>
  <c r="BH943" i="38" s="1"/>
  <c r="BD927" i="38"/>
  <c r="BE927" i="38" s="1"/>
  <c r="BF927" i="38" s="1"/>
  <c r="BG927" i="38" s="1"/>
  <c r="BH927" i="38" s="1"/>
  <c r="BD911" i="38"/>
  <c r="BE911" i="38" s="1"/>
  <c r="BF911" i="38" s="1"/>
  <c r="BG911" i="38" s="1"/>
  <c r="BH911" i="38" s="1"/>
  <c r="BD895" i="38"/>
  <c r="BE895" i="38" s="1"/>
  <c r="BF895" i="38" s="1"/>
  <c r="BG895" i="38" s="1"/>
  <c r="BH895" i="38" s="1"/>
  <c r="BD879" i="38"/>
  <c r="BE879" i="38" s="1"/>
  <c r="BF879" i="38" s="1"/>
  <c r="BG879" i="38" s="1"/>
  <c r="BH879" i="38" s="1"/>
  <c r="BD863" i="38"/>
  <c r="BE863" i="38" s="1"/>
  <c r="BF863" i="38" s="1"/>
  <c r="BG863" i="38" s="1"/>
  <c r="BH863" i="38" s="1"/>
  <c r="BD847" i="38"/>
  <c r="BE847" i="38" s="1"/>
  <c r="BF847" i="38" s="1"/>
  <c r="BG847" i="38" s="1"/>
  <c r="BH847" i="38" s="1"/>
  <c r="BD2501" i="38"/>
  <c r="BE2501" i="38" s="1"/>
  <c r="BF2501" i="38" s="1"/>
  <c r="BG2501" i="38" s="1"/>
  <c r="BH2501" i="38" s="1"/>
  <c r="BD2410" i="38"/>
  <c r="BE2410" i="38" s="1"/>
  <c r="BF2410" i="38" s="1"/>
  <c r="BG2410" i="38" s="1"/>
  <c r="BH2410" i="38" s="1"/>
  <c r="BD2254" i="38"/>
  <c r="BE2254" i="38" s="1"/>
  <c r="BF2254" i="38" s="1"/>
  <c r="BG2254" i="38" s="1"/>
  <c r="BH2254" i="38" s="1"/>
  <c r="BD2232" i="38"/>
  <c r="BE2232" i="38" s="1"/>
  <c r="BF2232" i="38" s="1"/>
  <c r="BG2232" i="38" s="1"/>
  <c r="BH2232" i="38" s="1"/>
  <c r="BD2146" i="38"/>
  <c r="BE2146" i="38" s="1"/>
  <c r="BF2146" i="38" s="1"/>
  <c r="BG2146" i="38" s="1"/>
  <c r="BH2146" i="38" s="1"/>
  <c r="BD2062" i="38"/>
  <c r="BE2062" i="38" s="1"/>
  <c r="BF2062" i="38" s="1"/>
  <c r="BG2062" i="38" s="1"/>
  <c r="BH2062" i="38" s="1"/>
  <c r="BD1976" i="38"/>
  <c r="BE1976" i="38" s="1"/>
  <c r="BF1976" i="38" s="1"/>
  <c r="BG1976" i="38" s="1"/>
  <c r="BH1976" i="38" s="1"/>
  <c r="BD1890" i="38"/>
  <c r="BE1890" i="38" s="1"/>
  <c r="BF1890" i="38" s="1"/>
  <c r="BG1890" i="38" s="1"/>
  <c r="BH1890" i="38" s="1"/>
  <c r="BD1806" i="38"/>
  <c r="BE1806" i="38" s="1"/>
  <c r="BF1806" i="38" s="1"/>
  <c r="BG1806" i="38" s="1"/>
  <c r="BH1806" i="38" s="1"/>
  <c r="BD1726" i="38"/>
  <c r="BE1726" i="38" s="1"/>
  <c r="BF1726" i="38" s="1"/>
  <c r="BG1726" i="38" s="1"/>
  <c r="BH1726" i="38" s="1"/>
  <c r="BD1662" i="38"/>
  <c r="BE1662" i="38" s="1"/>
  <c r="BF1662" i="38" s="1"/>
  <c r="BG1662" i="38" s="1"/>
  <c r="BH1662" i="38" s="1"/>
  <c r="BD1618" i="38"/>
  <c r="BE1618" i="38" s="1"/>
  <c r="BF1618" i="38" s="1"/>
  <c r="BG1618" i="38" s="1"/>
  <c r="BH1618" i="38" s="1"/>
  <c r="BD1602" i="38"/>
  <c r="BE1602" i="38" s="1"/>
  <c r="BF1602" i="38" s="1"/>
  <c r="BG1602" i="38" s="1"/>
  <c r="BH1602" i="38" s="1"/>
  <c r="BD1586" i="38"/>
  <c r="BE1586" i="38" s="1"/>
  <c r="BF1586" i="38" s="1"/>
  <c r="BG1586" i="38" s="1"/>
  <c r="BH1586" i="38" s="1"/>
  <c r="BD1570" i="38"/>
  <c r="BE1570" i="38" s="1"/>
  <c r="BF1570" i="38" s="1"/>
  <c r="BG1570" i="38" s="1"/>
  <c r="BH1570" i="38" s="1"/>
  <c r="BD1554" i="38"/>
  <c r="BE1554" i="38" s="1"/>
  <c r="BF1554" i="38" s="1"/>
  <c r="BG1554" i="38" s="1"/>
  <c r="BH1554" i="38" s="1"/>
  <c r="BD1538" i="38"/>
  <c r="BE1538" i="38" s="1"/>
  <c r="BF1538" i="38" s="1"/>
  <c r="BG1538" i="38" s="1"/>
  <c r="BH1538" i="38" s="1"/>
  <c r="BD1522" i="38"/>
  <c r="BE1522" i="38" s="1"/>
  <c r="BF1522" i="38" s="1"/>
  <c r="BG1522" i="38" s="1"/>
  <c r="BH1522" i="38" s="1"/>
  <c r="BD1506" i="38"/>
  <c r="BE1506" i="38" s="1"/>
  <c r="BF1506" i="38" s="1"/>
  <c r="BG1506" i="38" s="1"/>
  <c r="BH1506" i="38" s="1"/>
  <c r="BD1490" i="38"/>
  <c r="BE1490" i="38" s="1"/>
  <c r="BF1490" i="38" s="1"/>
  <c r="BG1490" i="38" s="1"/>
  <c r="BH1490" i="38" s="1"/>
  <c r="BD1474" i="38"/>
  <c r="BE1474" i="38" s="1"/>
  <c r="BF1474" i="38" s="1"/>
  <c r="BG1474" i="38" s="1"/>
  <c r="BH1474" i="38" s="1"/>
  <c r="BD1458" i="38"/>
  <c r="BE1458" i="38" s="1"/>
  <c r="BF1458" i="38" s="1"/>
  <c r="BG1458" i="38" s="1"/>
  <c r="BH1458" i="38" s="1"/>
  <c r="BD1442" i="38"/>
  <c r="BE1442" i="38" s="1"/>
  <c r="BF1442" i="38" s="1"/>
  <c r="BG1442" i="38" s="1"/>
  <c r="BH1442" i="38" s="1"/>
  <c r="BD1426" i="38"/>
  <c r="BE1426" i="38" s="1"/>
  <c r="BF1426" i="38" s="1"/>
  <c r="BG1426" i="38" s="1"/>
  <c r="BH1426" i="38" s="1"/>
  <c r="BD1410" i="38"/>
  <c r="BE1410" i="38" s="1"/>
  <c r="BF1410" i="38" s="1"/>
  <c r="BG1410" i="38" s="1"/>
  <c r="BH1410" i="38" s="1"/>
  <c r="BD1394" i="38"/>
  <c r="BE1394" i="38" s="1"/>
  <c r="BF1394" i="38" s="1"/>
  <c r="BG1394" i="38" s="1"/>
  <c r="BH1394" i="38" s="1"/>
  <c r="BD1378" i="38"/>
  <c r="BE1378" i="38" s="1"/>
  <c r="BF1378" i="38" s="1"/>
  <c r="BG1378" i="38" s="1"/>
  <c r="BH1378" i="38" s="1"/>
  <c r="BD1362" i="38"/>
  <c r="BE1362" i="38" s="1"/>
  <c r="BF1362" i="38" s="1"/>
  <c r="BG1362" i="38" s="1"/>
  <c r="BH1362" i="38" s="1"/>
  <c r="BD1346" i="38"/>
  <c r="BE1346" i="38" s="1"/>
  <c r="BF1346" i="38" s="1"/>
  <c r="BG1346" i="38" s="1"/>
  <c r="BH1346" i="38" s="1"/>
  <c r="BD1330" i="38"/>
  <c r="BE1330" i="38" s="1"/>
  <c r="BF1330" i="38" s="1"/>
  <c r="BG1330" i="38" s="1"/>
  <c r="BH1330" i="38" s="1"/>
  <c r="BD1314" i="38"/>
  <c r="BE1314" i="38" s="1"/>
  <c r="BF1314" i="38" s="1"/>
  <c r="BG1314" i="38" s="1"/>
  <c r="BH1314" i="38" s="1"/>
  <c r="BD1298" i="38"/>
  <c r="BE1298" i="38" s="1"/>
  <c r="BF1298" i="38" s="1"/>
  <c r="BG1298" i="38" s="1"/>
  <c r="BH1298" i="38" s="1"/>
  <c r="BD1282" i="38"/>
  <c r="BE1282" i="38" s="1"/>
  <c r="BF1282" i="38" s="1"/>
  <c r="BG1282" i="38" s="1"/>
  <c r="BH1282" i="38" s="1"/>
  <c r="BD1266" i="38"/>
  <c r="BE1266" i="38" s="1"/>
  <c r="BF1266" i="38" s="1"/>
  <c r="BG1266" i="38" s="1"/>
  <c r="BH1266" i="38" s="1"/>
  <c r="BD1250" i="38"/>
  <c r="BE1250" i="38" s="1"/>
  <c r="BF1250" i="38" s="1"/>
  <c r="BG1250" i="38" s="1"/>
  <c r="BH1250" i="38" s="1"/>
  <c r="BD1234" i="38"/>
  <c r="BE1234" i="38" s="1"/>
  <c r="BF1234" i="38" s="1"/>
  <c r="BG1234" i="38" s="1"/>
  <c r="BH1234" i="38" s="1"/>
  <c r="BD1218" i="38"/>
  <c r="BE1218" i="38" s="1"/>
  <c r="BF1218" i="38" s="1"/>
  <c r="BG1218" i="38" s="1"/>
  <c r="BH1218" i="38" s="1"/>
  <c r="BD1202" i="38"/>
  <c r="BE1202" i="38" s="1"/>
  <c r="BF1202" i="38" s="1"/>
  <c r="BG1202" i="38" s="1"/>
  <c r="BH1202" i="38" s="1"/>
  <c r="BD1186" i="38"/>
  <c r="BE1186" i="38" s="1"/>
  <c r="BF1186" i="38" s="1"/>
  <c r="BG1186" i="38" s="1"/>
  <c r="BH1186" i="38" s="1"/>
  <c r="BD1170" i="38"/>
  <c r="BE1170" i="38" s="1"/>
  <c r="BF1170" i="38" s="1"/>
  <c r="BG1170" i="38" s="1"/>
  <c r="BH1170" i="38" s="1"/>
  <c r="BD1154" i="38"/>
  <c r="BE1154" i="38" s="1"/>
  <c r="BF1154" i="38" s="1"/>
  <c r="BG1154" i="38" s="1"/>
  <c r="BH1154" i="38" s="1"/>
  <c r="BD1138" i="38"/>
  <c r="BE1138" i="38" s="1"/>
  <c r="BF1138" i="38" s="1"/>
  <c r="BG1138" i="38" s="1"/>
  <c r="BH1138" i="38" s="1"/>
  <c r="BD1122" i="38"/>
  <c r="BE1122" i="38" s="1"/>
  <c r="BF1122" i="38" s="1"/>
  <c r="BG1122" i="38" s="1"/>
  <c r="BH1122" i="38" s="1"/>
  <c r="BD1106" i="38"/>
  <c r="BE1106" i="38" s="1"/>
  <c r="BF1106" i="38" s="1"/>
  <c r="BG1106" i="38" s="1"/>
  <c r="BH1106" i="38" s="1"/>
  <c r="BD1090" i="38"/>
  <c r="BE1090" i="38" s="1"/>
  <c r="BF1090" i="38" s="1"/>
  <c r="BG1090" i="38" s="1"/>
  <c r="BH1090" i="38" s="1"/>
  <c r="BD1074" i="38"/>
  <c r="BE1074" i="38" s="1"/>
  <c r="BF1074" i="38" s="1"/>
  <c r="BG1074" i="38" s="1"/>
  <c r="BH1074" i="38" s="1"/>
  <c r="BD1058" i="38"/>
  <c r="BE1058" i="38" s="1"/>
  <c r="BF1058" i="38" s="1"/>
  <c r="BG1058" i="38" s="1"/>
  <c r="BH1058" i="38" s="1"/>
  <c r="BD1042" i="38"/>
  <c r="BE1042" i="38" s="1"/>
  <c r="BF1042" i="38" s="1"/>
  <c r="BG1042" i="38" s="1"/>
  <c r="BH1042" i="38" s="1"/>
  <c r="BD1026" i="38"/>
  <c r="BE1026" i="38" s="1"/>
  <c r="BF1026" i="38" s="1"/>
  <c r="BG1026" i="38" s="1"/>
  <c r="BH1026" i="38" s="1"/>
  <c r="BD1010" i="38"/>
  <c r="BE1010" i="38" s="1"/>
  <c r="BF1010" i="38" s="1"/>
  <c r="BG1010" i="38" s="1"/>
  <c r="BH1010" i="38" s="1"/>
  <c r="BD994" i="38"/>
  <c r="BE994" i="38" s="1"/>
  <c r="BF994" i="38" s="1"/>
  <c r="BG994" i="38" s="1"/>
  <c r="BH994" i="38" s="1"/>
  <c r="BD978" i="38"/>
  <c r="BE978" i="38" s="1"/>
  <c r="BF978" i="38" s="1"/>
  <c r="BG978" i="38" s="1"/>
  <c r="BH978" i="38" s="1"/>
  <c r="BD962" i="38"/>
  <c r="BE962" i="38" s="1"/>
  <c r="BF962" i="38" s="1"/>
  <c r="BG962" i="38" s="1"/>
  <c r="BH962" i="38" s="1"/>
  <c r="BD946" i="38"/>
  <c r="BE946" i="38" s="1"/>
  <c r="BF946" i="38" s="1"/>
  <c r="BG946" i="38" s="1"/>
  <c r="BH946" i="38" s="1"/>
  <c r="BD930" i="38"/>
  <c r="BE930" i="38" s="1"/>
  <c r="BF930" i="38" s="1"/>
  <c r="BG930" i="38" s="1"/>
  <c r="BH930" i="38" s="1"/>
  <c r="BD914" i="38"/>
  <c r="BE914" i="38" s="1"/>
  <c r="BF914" i="38" s="1"/>
  <c r="BG914" i="38" s="1"/>
  <c r="BH914" i="38" s="1"/>
  <c r="BD898" i="38"/>
  <c r="BE898" i="38" s="1"/>
  <c r="BF898" i="38" s="1"/>
  <c r="BG898" i="38" s="1"/>
  <c r="BH898" i="38" s="1"/>
  <c r="BD882" i="38"/>
  <c r="BE882" i="38" s="1"/>
  <c r="BF882" i="38" s="1"/>
  <c r="BG882" i="38" s="1"/>
  <c r="BH882" i="38" s="1"/>
  <c r="BD866" i="38"/>
  <c r="BE866" i="38" s="1"/>
  <c r="BF866" i="38" s="1"/>
  <c r="BG866" i="38" s="1"/>
  <c r="BH866" i="38" s="1"/>
  <c r="BD850" i="38"/>
  <c r="BE850" i="38" s="1"/>
  <c r="BF850" i="38" s="1"/>
  <c r="BG850" i="38" s="1"/>
  <c r="BH850" i="38" s="1"/>
  <c r="BD834" i="38"/>
  <c r="BE834" i="38" s="1"/>
  <c r="BF834" i="38" s="1"/>
  <c r="BG834" i="38" s="1"/>
  <c r="BH834" i="38" s="1"/>
  <c r="BD818" i="38"/>
  <c r="BE818" i="38" s="1"/>
  <c r="BF818" i="38" s="1"/>
  <c r="BG818" i="38" s="1"/>
  <c r="BH818" i="38" s="1"/>
  <c r="BD802" i="38"/>
  <c r="BE802" i="38" s="1"/>
  <c r="BF802" i="38" s="1"/>
  <c r="BG802" i="38" s="1"/>
  <c r="BH802" i="38" s="1"/>
  <c r="BD786" i="38"/>
  <c r="BE786" i="38" s="1"/>
  <c r="BF786" i="38" s="1"/>
  <c r="BG786" i="38" s="1"/>
  <c r="BH786" i="38" s="1"/>
  <c r="BD770" i="38"/>
  <c r="BE770" i="38" s="1"/>
  <c r="BF770" i="38" s="1"/>
  <c r="BG770" i="38" s="1"/>
  <c r="BH770" i="38" s="1"/>
  <c r="BD754" i="38"/>
  <c r="BE754" i="38" s="1"/>
  <c r="BF754" i="38" s="1"/>
  <c r="BG754" i="38" s="1"/>
  <c r="BH754" i="38" s="1"/>
  <c r="BD738" i="38"/>
  <c r="BE738" i="38" s="1"/>
  <c r="BF738" i="38" s="1"/>
  <c r="BG738" i="38" s="1"/>
  <c r="BH738" i="38" s="1"/>
  <c r="BD2996" i="38"/>
  <c r="BE2996" i="38" s="1"/>
  <c r="BF2996" i="38" s="1"/>
  <c r="BG2996" i="38" s="1"/>
  <c r="BH2996" i="38" s="1"/>
  <c r="BD2603" i="38"/>
  <c r="BE2603" i="38" s="1"/>
  <c r="BF2603" i="38" s="1"/>
  <c r="BG2603" i="38" s="1"/>
  <c r="BH2603" i="38" s="1"/>
  <c r="BD2354" i="38"/>
  <c r="BE2354" i="38" s="1"/>
  <c r="BF2354" i="38" s="1"/>
  <c r="BG2354" i="38" s="1"/>
  <c r="BH2354" i="38" s="1"/>
  <c r="BD2162" i="38"/>
  <c r="BE2162" i="38" s="1"/>
  <c r="BF2162" i="38" s="1"/>
  <c r="BG2162" i="38" s="1"/>
  <c r="BH2162" i="38" s="1"/>
  <c r="BD2078" i="38"/>
  <c r="BE2078" i="38" s="1"/>
  <c r="BF2078" i="38" s="1"/>
  <c r="BG2078" i="38" s="1"/>
  <c r="BH2078" i="38" s="1"/>
  <c r="BD1992" i="38"/>
  <c r="BE1992" i="38" s="1"/>
  <c r="BF1992" i="38" s="1"/>
  <c r="BG1992" i="38" s="1"/>
  <c r="BH1992" i="38" s="1"/>
  <c r="BD1906" i="38"/>
  <c r="BE1906" i="38" s="1"/>
  <c r="BF1906" i="38" s="1"/>
  <c r="BG1906" i="38" s="1"/>
  <c r="BH1906" i="38" s="1"/>
  <c r="BD1822" i="38"/>
  <c r="BE1822" i="38" s="1"/>
  <c r="BF1822" i="38" s="1"/>
  <c r="BG1822" i="38" s="1"/>
  <c r="BH1822" i="38" s="1"/>
  <c r="BD1698" i="38"/>
  <c r="BE1698" i="38" s="1"/>
  <c r="BF1698" i="38" s="1"/>
  <c r="BG1698" i="38" s="1"/>
  <c r="BH1698" i="38" s="1"/>
  <c r="BD1634" i="38"/>
  <c r="BE1634" i="38" s="1"/>
  <c r="BF1634" i="38" s="1"/>
  <c r="BG1634" i="38" s="1"/>
  <c r="BH1634" i="38" s="1"/>
  <c r="BD1605" i="38"/>
  <c r="BE1605" i="38" s="1"/>
  <c r="BF1605" i="38" s="1"/>
  <c r="BG1605" i="38" s="1"/>
  <c r="BH1605" i="38" s="1"/>
  <c r="BD1589" i="38"/>
  <c r="BE1589" i="38" s="1"/>
  <c r="BF1589" i="38" s="1"/>
  <c r="BG1589" i="38" s="1"/>
  <c r="BH1589" i="38" s="1"/>
  <c r="BD1573" i="38"/>
  <c r="BE1573" i="38" s="1"/>
  <c r="BF1573" i="38" s="1"/>
  <c r="BG1573" i="38" s="1"/>
  <c r="BH1573" i="38" s="1"/>
  <c r="BD1557" i="38"/>
  <c r="BE1557" i="38" s="1"/>
  <c r="BF1557" i="38" s="1"/>
  <c r="BG1557" i="38" s="1"/>
  <c r="BH1557" i="38" s="1"/>
  <c r="BD1541" i="38"/>
  <c r="BE1541" i="38" s="1"/>
  <c r="BF1541" i="38" s="1"/>
  <c r="BG1541" i="38" s="1"/>
  <c r="BH1541" i="38" s="1"/>
  <c r="BD1525" i="38"/>
  <c r="BE1525" i="38" s="1"/>
  <c r="BF1525" i="38" s="1"/>
  <c r="BG1525" i="38" s="1"/>
  <c r="BH1525" i="38" s="1"/>
  <c r="BD1509" i="38"/>
  <c r="BE1509" i="38" s="1"/>
  <c r="BF1509" i="38" s="1"/>
  <c r="BG1509" i="38" s="1"/>
  <c r="BH1509" i="38" s="1"/>
  <c r="BD1493" i="38"/>
  <c r="BE1493" i="38" s="1"/>
  <c r="BF1493" i="38" s="1"/>
  <c r="BG1493" i="38" s="1"/>
  <c r="BH1493" i="38" s="1"/>
  <c r="BD1477" i="38"/>
  <c r="BE1477" i="38" s="1"/>
  <c r="BF1477" i="38" s="1"/>
  <c r="BG1477" i="38" s="1"/>
  <c r="BH1477" i="38" s="1"/>
  <c r="BD1461" i="38"/>
  <c r="BE1461" i="38" s="1"/>
  <c r="BF1461" i="38" s="1"/>
  <c r="BG1461" i="38" s="1"/>
  <c r="BH1461" i="38" s="1"/>
  <c r="BD1445" i="38"/>
  <c r="BE1445" i="38" s="1"/>
  <c r="BF1445" i="38" s="1"/>
  <c r="BG1445" i="38" s="1"/>
  <c r="BH1445" i="38" s="1"/>
  <c r="BD1429" i="38"/>
  <c r="BE1429" i="38" s="1"/>
  <c r="BF1429" i="38" s="1"/>
  <c r="BG1429" i="38" s="1"/>
  <c r="BH1429" i="38" s="1"/>
  <c r="BD1413" i="38"/>
  <c r="BE1413" i="38" s="1"/>
  <c r="BF1413" i="38" s="1"/>
  <c r="BG1413" i="38" s="1"/>
  <c r="BH1413" i="38" s="1"/>
  <c r="BD1397" i="38"/>
  <c r="BE1397" i="38" s="1"/>
  <c r="BF1397" i="38" s="1"/>
  <c r="BG1397" i="38" s="1"/>
  <c r="BH1397" i="38" s="1"/>
  <c r="BD1381" i="38"/>
  <c r="BE1381" i="38" s="1"/>
  <c r="BF1381" i="38" s="1"/>
  <c r="BG1381" i="38" s="1"/>
  <c r="BH1381" i="38" s="1"/>
  <c r="BD1365" i="38"/>
  <c r="BE1365" i="38" s="1"/>
  <c r="BF1365" i="38" s="1"/>
  <c r="BG1365" i="38" s="1"/>
  <c r="BH1365" i="38" s="1"/>
  <c r="BD1349" i="38"/>
  <c r="BE1349" i="38" s="1"/>
  <c r="BF1349" i="38" s="1"/>
  <c r="BG1349" i="38" s="1"/>
  <c r="BH1349" i="38" s="1"/>
  <c r="BD1333" i="38"/>
  <c r="BE1333" i="38" s="1"/>
  <c r="BF1333" i="38" s="1"/>
  <c r="BG1333" i="38" s="1"/>
  <c r="BH1333" i="38" s="1"/>
  <c r="BD1317" i="38"/>
  <c r="BE1317" i="38" s="1"/>
  <c r="BF1317" i="38" s="1"/>
  <c r="BG1317" i="38" s="1"/>
  <c r="BH1317" i="38" s="1"/>
  <c r="BD1301" i="38"/>
  <c r="BE1301" i="38" s="1"/>
  <c r="BF1301" i="38" s="1"/>
  <c r="BG1301" i="38" s="1"/>
  <c r="BH1301" i="38" s="1"/>
  <c r="BD1285" i="38"/>
  <c r="BE1285" i="38" s="1"/>
  <c r="BF1285" i="38" s="1"/>
  <c r="BG1285" i="38" s="1"/>
  <c r="BH1285" i="38" s="1"/>
  <c r="BD1269" i="38"/>
  <c r="BE1269" i="38" s="1"/>
  <c r="BF1269" i="38" s="1"/>
  <c r="BG1269" i="38" s="1"/>
  <c r="BH1269" i="38" s="1"/>
  <c r="BD1253" i="38"/>
  <c r="BE1253" i="38" s="1"/>
  <c r="BF1253" i="38" s="1"/>
  <c r="BG1253" i="38" s="1"/>
  <c r="BH1253" i="38" s="1"/>
  <c r="BD1237" i="38"/>
  <c r="BE1237" i="38" s="1"/>
  <c r="BF1237" i="38" s="1"/>
  <c r="BG1237" i="38" s="1"/>
  <c r="BH1237" i="38" s="1"/>
  <c r="BD1221" i="38"/>
  <c r="BE1221" i="38" s="1"/>
  <c r="BF1221" i="38" s="1"/>
  <c r="BG1221" i="38" s="1"/>
  <c r="BH1221" i="38" s="1"/>
  <c r="BD1205" i="38"/>
  <c r="BE1205" i="38" s="1"/>
  <c r="BF1205" i="38" s="1"/>
  <c r="BG1205" i="38" s="1"/>
  <c r="BH1205" i="38" s="1"/>
  <c r="BD1189" i="38"/>
  <c r="BE1189" i="38" s="1"/>
  <c r="BF1189" i="38" s="1"/>
  <c r="BG1189" i="38" s="1"/>
  <c r="BH1189" i="38" s="1"/>
  <c r="BD1173" i="38"/>
  <c r="BE1173" i="38" s="1"/>
  <c r="BF1173" i="38" s="1"/>
  <c r="BG1173" i="38" s="1"/>
  <c r="BH1173" i="38" s="1"/>
  <c r="BD1157" i="38"/>
  <c r="BE1157" i="38" s="1"/>
  <c r="BF1157" i="38" s="1"/>
  <c r="BG1157" i="38" s="1"/>
  <c r="BH1157" i="38" s="1"/>
  <c r="BD1141" i="38"/>
  <c r="BE1141" i="38" s="1"/>
  <c r="BF1141" i="38" s="1"/>
  <c r="BG1141" i="38" s="1"/>
  <c r="BH1141" i="38" s="1"/>
  <c r="BD1125" i="38"/>
  <c r="BE1125" i="38" s="1"/>
  <c r="BF1125" i="38" s="1"/>
  <c r="BG1125" i="38" s="1"/>
  <c r="BH1125" i="38" s="1"/>
  <c r="BD1109" i="38"/>
  <c r="BE1109" i="38" s="1"/>
  <c r="BF1109" i="38" s="1"/>
  <c r="BG1109" i="38" s="1"/>
  <c r="BH1109" i="38" s="1"/>
  <c r="BD1093" i="38"/>
  <c r="BE1093" i="38" s="1"/>
  <c r="BF1093" i="38" s="1"/>
  <c r="BG1093" i="38" s="1"/>
  <c r="BH1093" i="38" s="1"/>
  <c r="BD1077" i="38"/>
  <c r="BE1077" i="38" s="1"/>
  <c r="BF1077" i="38" s="1"/>
  <c r="BG1077" i="38" s="1"/>
  <c r="BH1077" i="38" s="1"/>
  <c r="BD1061" i="38"/>
  <c r="BE1061" i="38" s="1"/>
  <c r="BF1061" i="38" s="1"/>
  <c r="BG1061" i="38" s="1"/>
  <c r="BH1061" i="38" s="1"/>
  <c r="BD1045" i="38"/>
  <c r="BE1045" i="38" s="1"/>
  <c r="BF1045" i="38" s="1"/>
  <c r="BG1045" i="38" s="1"/>
  <c r="BH1045" i="38" s="1"/>
  <c r="BD1029" i="38"/>
  <c r="BE1029" i="38" s="1"/>
  <c r="BF1029" i="38" s="1"/>
  <c r="BG1029" i="38" s="1"/>
  <c r="BH1029" i="38" s="1"/>
  <c r="BD1013" i="38"/>
  <c r="BE1013" i="38" s="1"/>
  <c r="BF1013" i="38" s="1"/>
  <c r="BG1013" i="38" s="1"/>
  <c r="BH1013" i="38" s="1"/>
  <c r="BD997" i="38"/>
  <c r="BE997" i="38" s="1"/>
  <c r="BF997" i="38" s="1"/>
  <c r="BG997" i="38" s="1"/>
  <c r="BH997" i="38" s="1"/>
  <c r="BD981" i="38"/>
  <c r="BE981" i="38" s="1"/>
  <c r="BF981" i="38" s="1"/>
  <c r="BG981" i="38" s="1"/>
  <c r="BH981" i="38" s="1"/>
  <c r="BD965" i="38"/>
  <c r="BE965" i="38" s="1"/>
  <c r="BF965" i="38" s="1"/>
  <c r="BG965" i="38" s="1"/>
  <c r="BH965" i="38" s="1"/>
  <c r="BD949" i="38"/>
  <c r="BE949" i="38" s="1"/>
  <c r="BF949" i="38" s="1"/>
  <c r="BG949" i="38" s="1"/>
  <c r="BH949" i="38" s="1"/>
  <c r="BD933" i="38"/>
  <c r="BE933" i="38" s="1"/>
  <c r="BF933" i="38" s="1"/>
  <c r="BG933" i="38" s="1"/>
  <c r="BH933" i="38" s="1"/>
  <c r="BD917" i="38"/>
  <c r="BE917" i="38" s="1"/>
  <c r="BF917" i="38" s="1"/>
  <c r="BG917" i="38" s="1"/>
  <c r="BH917" i="38" s="1"/>
  <c r="BD901" i="38"/>
  <c r="BE901" i="38" s="1"/>
  <c r="BF901" i="38" s="1"/>
  <c r="BG901" i="38" s="1"/>
  <c r="BH901" i="38" s="1"/>
  <c r="BD885" i="38"/>
  <c r="BE885" i="38" s="1"/>
  <c r="BF885" i="38" s="1"/>
  <c r="BG885" i="38" s="1"/>
  <c r="BH885" i="38" s="1"/>
  <c r="BD869" i="38"/>
  <c r="BE869" i="38" s="1"/>
  <c r="BF869" i="38" s="1"/>
  <c r="BG869" i="38" s="1"/>
  <c r="BH869" i="38" s="1"/>
  <c r="BD853" i="38"/>
  <c r="BE853" i="38" s="1"/>
  <c r="BF853" i="38" s="1"/>
  <c r="BG853" i="38" s="1"/>
  <c r="BH853" i="38" s="1"/>
  <c r="BD837" i="38"/>
  <c r="BE837" i="38" s="1"/>
  <c r="BF837" i="38" s="1"/>
  <c r="BG837" i="38" s="1"/>
  <c r="BH837" i="38" s="1"/>
  <c r="BD821" i="38"/>
  <c r="BE821" i="38" s="1"/>
  <c r="BF821" i="38" s="1"/>
  <c r="BG821" i="38" s="1"/>
  <c r="BH821" i="38" s="1"/>
  <c r="BD805" i="38"/>
  <c r="BE805" i="38" s="1"/>
  <c r="BF805" i="38" s="1"/>
  <c r="BG805" i="38" s="1"/>
  <c r="BH805" i="38" s="1"/>
  <c r="BD789" i="38"/>
  <c r="BE789" i="38" s="1"/>
  <c r="BF789" i="38" s="1"/>
  <c r="BG789" i="38" s="1"/>
  <c r="BH789" i="38" s="1"/>
  <c r="BD773" i="38"/>
  <c r="BE773" i="38" s="1"/>
  <c r="BF773" i="38" s="1"/>
  <c r="BG773" i="38" s="1"/>
  <c r="BH773" i="38" s="1"/>
  <c r="BD757" i="38"/>
  <c r="BE757" i="38" s="1"/>
  <c r="BF757" i="38" s="1"/>
  <c r="BG757" i="38" s="1"/>
  <c r="BH757" i="38" s="1"/>
  <c r="BD741" i="38"/>
  <c r="BE741" i="38" s="1"/>
  <c r="BF741" i="38" s="1"/>
  <c r="BG741" i="38" s="1"/>
  <c r="BH741" i="38" s="1"/>
  <c r="BD725" i="38"/>
  <c r="BE725" i="38" s="1"/>
  <c r="BF725" i="38" s="1"/>
  <c r="BG725" i="38" s="1"/>
  <c r="BH725" i="38" s="1"/>
  <c r="BD2970" i="38"/>
  <c r="BE2970" i="38" s="1"/>
  <c r="BF2970" i="38" s="1"/>
  <c r="BG2970" i="38" s="1"/>
  <c r="BH2970" i="38" s="1"/>
  <c r="BD2713" i="38"/>
  <c r="BE2713" i="38" s="1"/>
  <c r="BF2713" i="38" s="1"/>
  <c r="BG2713" i="38" s="1"/>
  <c r="BH2713" i="38" s="1"/>
  <c r="BD2302" i="38"/>
  <c r="BE2302" i="38" s="1"/>
  <c r="BF2302" i="38" s="1"/>
  <c r="BG2302" i="38" s="1"/>
  <c r="BH2302" i="38" s="1"/>
  <c r="BD2178" i="38"/>
  <c r="BE2178" i="38" s="1"/>
  <c r="BF2178" i="38" s="1"/>
  <c r="BG2178" i="38" s="1"/>
  <c r="BH2178" i="38" s="1"/>
  <c r="BD2094" i="38"/>
  <c r="BE2094" i="38" s="1"/>
  <c r="BF2094" i="38" s="1"/>
  <c r="BG2094" i="38" s="1"/>
  <c r="BH2094" i="38" s="1"/>
  <c r="BD2008" i="38"/>
  <c r="BE2008" i="38" s="1"/>
  <c r="BF2008" i="38" s="1"/>
  <c r="BG2008" i="38" s="1"/>
  <c r="BH2008" i="38" s="1"/>
  <c r="BD1922" i="38"/>
  <c r="BE1922" i="38" s="1"/>
  <c r="BF1922" i="38" s="1"/>
  <c r="BG1922" i="38" s="1"/>
  <c r="BH1922" i="38" s="1"/>
  <c r="BD1838" i="38"/>
  <c r="BE1838" i="38" s="1"/>
  <c r="BF1838" i="38" s="1"/>
  <c r="BG1838" i="38" s="1"/>
  <c r="BH1838" i="38" s="1"/>
  <c r="BD1752" i="38"/>
  <c r="BE1752" i="38" s="1"/>
  <c r="BF1752" i="38" s="1"/>
  <c r="BG1752" i="38" s="1"/>
  <c r="BH1752" i="38" s="1"/>
  <c r="BD1736" i="38"/>
  <c r="BE1736" i="38" s="1"/>
  <c r="BF1736" i="38" s="1"/>
  <c r="BG1736" i="38" s="1"/>
  <c r="BH1736" i="38" s="1"/>
  <c r="BD1672" i="38"/>
  <c r="BE1672" i="38" s="1"/>
  <c r="BF1672" i="38" s="1"/>
  <c r="BG1672" i="38" s="1"/>
  <c r="BH1672" i="38" s="1"/>
  <c r="BD1608" i="38"/>
  <c r="BE1608" i="38" s="1"/>
  <c r="BF1608" i="38" s="1"/>
  <c r="BG1608" i="38" s="1"/>
  <c r="BH1608" i="38" s="1"/>
  <c r="BD1592" i="38"/>
  <c r="BE1592" i="38" s="1"/>
  <c r="BF1592" i="38" s="1"/>
  <c r="BG1592" i="38" s="1"/>
  <c r="BH1592" i="38" s="1"/>
  <c r="BD1576" i="38"/>
  <c r="BE1576" i="38" s="1"/>
  <c r="BF1576" i="38" s="1"/>
  <c r="BG1576" i="38" s="1"/>
  <c r="BH1576" i="38" s="1"/>
  <c r="BD1560" i="38"/>
  <c r="BE1560" i="38" s="1"/>
  <c r="BF1560" i="38" s="1"/>
  <c r="BG1560" i="38" s="1"/>
  <c r="BH1560" i="38" s="1"/>
  <c r="BD1544" i="38"/>
  <c r="BE1544" i="38" s="1"/>
  <c r="BF1544" i="38" s="1"/>
  <c r="BG1544" i="38" s="1"/>
  <c r="BH1544" i="38" s="1"/>
  <c r="BD1528" i="38"/>
  <c r="BE1528" i="38" s="1"/>
  <c r="BF1528" i="38" s="1"/>
  <c r="BG1528" i="38" s="1"/>
  <c r="BH1528" i="38" s="1"/>
  <c r="BD1512" i="38"/>
  <c r="BE1512" i="38" s="1"/>
  <c r="BF1512" i="38" s="1"/>
  <c r="BG1512" i="38" s="1"/>
  <c r="BH1512" i="38" s="1"/>
  <c r="BD1496" i="38"/>
  <c r="BE1496" i="38" s="1"/>
  <c r="BF1496" i="38" s="1"/>
  <c r="BG1496" i="38" s="1"/>
  <c r="BH1496" i="38" s="1"/>
  <c r="BD1480" i="38"/>
  <c r="BE1480" i="38" s="1"/>
  <c r="BF1480" i="38" s="1"/>
  <c r="BG1480" i="38" s="1"/>
  <c r="BH1480" i="38" s="1"/>
  <c r="BD1464" i="38"/>
  <c r="BE1464" i="38" s="1"/>
  <c r="BF1464" i="38" s="1"/>
  <c r="BG1464" i="38" s="1"/>
  <c r="BH1464" i="38" s="1"/>
  <c r="BD1448" i="38"/>
  <c r="BE1448" i="38" s="1"/>
  <c r="BF1448" i="38" s="1"/>
  <c r="BG1448" i="38" s="1"/>
  <c r="BH1448" i="38" s="1"/>
  <c r="BD1432" i="38"/>
  <c r="BE1432" i="38" s="1"/>
  <c r="BF1432" i="38" s="1"/>
  <c r="BG1432" i="38" s="1"/>
  <c r="BH1432" i="38" s="1"/>
  <c r="BD1416" i="38"/>
  <c r="BE1416" i="38" s="1"/>
  <c r="BF1416" i="38" s="1"/>
  <c r="BG1416" i="38" s="1"/>
  <c r="BH1416" i="38" s="1"/>
  <c r="BD1400" i="38"/>
  <c r="BE1400" i="38" s="1"/>
  <c r="BF1400" i="38" s="1"/>
  <c r="BG1400" i="38" s="1"/>
  <c r="BH1400" i="38" s="1"/>
  <c r="BD1384" i="38"/>
  <c r="BE1384" i="38" s="1"/>
  <c r="BF1384" i="38" s="1"/>
  <c r="BG1384" i="38" s="1"/>
  <c r="BH1384" i="38" s="1"/>
  <c r="BD1368" i="38"/>
  <c r="BE1368" i="38" s="1"/>
  <c r="BF1368" i="38" s="1"/>
  <c r="BG1368" i="38" s="1"/>
  <c r="BH1368" i="38" s="1"/>
  <c r="BD1352" i="38"/>
  <c r="BE1352" i="38" s="1"/>
  <c r="BF1352" i="38" s="1"/>
  <c r="BG1352" i="38" s="1"/>
  <c r="BH1352" i="38" s="1"/>
  <c r="BD1336" i="38"/>
  <c r="BE1336" i="38" s="1"/>
  <c r="BF1336" i="38" s="1"/>
  <c r="BG1336" i="38" s="1"/>
  <c r="BH1336" i="38" s="1"/>
  <c r="BD1320" i="38"/>
  <c r="BE1320" i="38" s="1"/>
  <c r="BF1320" i="38" s="1"/>
  <c r="BG1320" i="38" s="1"/>
  <c r="BH1320" i="38" s="1"/>
  <c r="BD1304" i="38"/>
  <c r="BE1304" i="38" s="1"/>
  <c r="BF1304" i="38" s="1"/>
  <c r="BG1304" i="38" s="1"/>
  <c r="BH1304" i="38" s="1"/>
  <c r="BD1288" i="38"/>
  <c r="BE1288" i="38" s="1"/>
  <c r="BF1288" i="38" s="1"/>
  <c r="BG1288" i="38" s="1"/>
  <c r="BH1288" i="38" s="1"/>
  <c r="BD1272" i="38"/>
  <c r="BE1272" i="38" s="1"/>
  <c r="BF1272" i="38" s="1"/>
  <c r="BG1272" i="38" s="1"/>
  <c r="BH1272" i="38" s="1"/>
  <c r="BD1256" i="38"/>
  <c r="BE1256" i="38" s="1"/>
  <c r="BF1256" i="38" s="1"/>
  <c r="BG1256" i="38" s="1"/>
  <c r="BH1256" i="38" s="1"/>
  <c r="BD1240" i="38"/>
  <c r="BE1240" i="38" s="1"/>
  <c r="BF1240" i="38" s="1"/>
  <c r="BG1240" i="38" s="1"/>
  <c r="BH1240" i="38" s="1"/>
  <c r="BD2941" i="38"/>
  <c r="BE2941" i="38" s="1"/>
  <c r="BF2941" i="38" s="1"/>
  <c r="BG2941" i="38" s="1"/>
  <c r="BH2941" i="38" s="1"/>
  <c r="BD2393" i="38"/>
  <c r="BE2393" i="38" s="1"/>
  <c r="BF2393" i="38" s="1"/>
  <c r="BG2393" i="38" s="1"/>
  <c r="BH2393" i="38" s="1"/>
  <c r="BD2274" i="38"/>
  <c r="BE2274" i="38" s="1"/>
  <c r="BF2274" i="38" s="1"/>
  <c r="BG2274" i="38" s="1"/>
  <c r="BH2274" i="38" s="1"/>
  <c r="BD2194" i="38"/>
  <c r="BE2194" i="38" s="1"/>
  <c r="BF2194" i="38" s="1"/>
  <c r="BG2194" i="38" s="1"/>
  <c r="BH2194" i="38" s="1"/>
  <c r="BD2110" i="38"/>
  <c r="BE2110" i="38" s="1"/>
  <c r="BF2110" i="38" s="1"/>
  <c r="BG2110" i="38" s="1"/>
  <c r="BH2110" i="38" s="1"/>
  <c r="BD2024" i="38"/>
  <c r="BE2024" i="38" s="1"/>
  <c r="BF2024" i="38" s="1"/>
  <c r="BG2024" i="38" s="1"/>
  <c r="BH2024" i="38" s="1"/>
  <c r="BD1938" i="38"/>
  <c r="BE1938" i="38" s="1"/>
  <c r="BF1938" i="38" s="1"/>
  <c r="BG1938" i="38" s="1"/>
  <c r="BH1938" i="38" s="1"/>
  <c r="BD1854" i="38"/>
  <c r="BE1854" i="38" s="1"/>
  <c r="BF1854" i="38" s="1"/>
  <c r="BG1854" i="38" s="1"/>
  <c r="BH1854" i="38" s="1"/>
  <c r="BD1768" i="38"/>
  <c r="BE1768" i="38" s="1"/>
  <c r="BF1768" i="38" s="1"/>
  <c r="BG1768" i="38" s="1"/>
  <c r="BH1768" i="38" s="1"/>
  <c r="BD1723" i="38"/>
  <c r="BE1723" i="38" s="1"/>
  <c r="BF1723" i="38" s="1"/>
  <c r="BG1723" i="38" s="1"/>
  <c r="BH1723" i="38" s="1"/>
  <c r="BD1659" i="38"/>
  <c r="BE1659" i="38" s="1"/>
  <c r="BF1659" i="38" s="1"/>
  <c r="BG1659" i="38" s="1"/>
  <c r="BH1659" i="38" s="1"/>
  <c r="BD1621" i="38"/>
  <c r="BE1621" i="38" s="1"/>
  <c r="BF1621" i="38" s="1"/>
  <c r="BG1621" i="38" s="1"/>
  <c r="BH1621" i="38" s="1"/>
  <c r="BD1611" i="38"/>
  <c r="BE1611" i="38" s="1"/>
  <c r="BF1611" i="38" s="1"/>
  <c r="BG1611" i="38" s="1"/>
  <c r="BH1611" i="38" s="1"/>
  <c r="BD1595" i="38"/>
  <c r="BE1595" i="38" s="1"/>
  <c r="BF1595" i="38" s="1"/>
  <c r="BG1595" i="38" s="1"/>
  <c r="BH1595" i="38" s="1"/>
  <c r="BD1579" i="38"/>
  <c r="BE1579" i="38" s="1"/>
  <c r="BF1579" i="38" s="1"/>
  <c r="BG1579" i="38" s="1"/>
  <c r="BH1579" i="38" s="1"/>
  <c r="BD1563" i="38"/>
  <c r="BE1563" i="38" s="1"/>
  <c r="BF1563" i="38" s="1"/>
  <c r="BG1563" i="38" s="1"/>
  <c r="BH1563" i="38" s="1"/>
  <c r="BD1547" i="38"/>
  <c r="BE1547" i="38" s="1"/>
  <c r="BF1547" i="38" s="1"/>
  <c r="BG1547" i="38" s="1"/>
  <c r="BH1547" i="38" s="1"/>
  <c r="BD1531" i="38"/>
  <c r="BE1531" i="38" s="1"/>
  <c r="BF1531" i="38" s="1"/>
  <c r="BG1531" i="38" s="1"/>
  <c r="BH1531" i="38" s="1"/>
  <c r="BD1515" i="38"/>
  <c r="BE1515" i="38" s="1"/>
  <c r="BF1515" i="38" s="1"/>
  <c r="BG1515" i="38" s="1"/>
  <c r="BH1515" i="38" s="1"/>
  <c r="BD1499" i="38"/>
  <c r="BE1499" i="38" s="1"/>
  <c r="BF1499" i="38" s="1"/>
  <c r="BG1499" i="38" s="1"/>
  <c r="BH1499" i="38" s="1"/>
  <c r="BD1483" i="38"/>
  <c r="BE1483" i="38" s="1"/>
  <c r="BF1483" i="38" s="1"/>
  <c r="BG1483" i="38" s="1"/>
  <c r="BH1483" i="38" s="1"/>
  <c r="BD1467" i="38"/>
  <c r="BE1467" i="38" s="1"/>
  <c r="BF1467" i="38" s="1"/>
  <c r="BG1467" i="38" s="1"/>
  <c r="BH1467" i="38" s="1"/>
  <c r="BD1451" i="38"/>
  <c r="BE1451" i="38" s="1"/>
  <c r="BF1451" i="38" s="1"/>
  <c r="BG1451" i="38" s="1"/>
  <c r="BH1451" i="38" s="1"/>
  <c r="BD1435" i="38"/>
  <c r="BE1435" i="38" s="1"/>
  <c r="BF1435" i="38" s="1"/>
  <c r="BG1435" i="38" s="1"/>
  <c r="BH1435" i="38" s="1"/>
  <c r="BD1419" i="38"/>
  <c r="BE1419" i="38" s="1"/>
  <c r="BF1419" i="38" s="1"/>
  <c r="BG1419" i="38" s="1"/>
  <c r="BH1419" i="38" s="1"/>
  <c r="BD1403" i="38"/>
  <c r="BE1403" i="38" s="1"/>
  <c r="BF1403" i="38" s="1"/>
  <c r="BG1403" i="38" s="1"/>
  <c r="BH1403" i="38" s="1"/>
  <c r="BD1387" i="38"/>
  <c r="BE1387" i="38" s="1"/>
  <c r="BF1387" i="38" s="1"/>
  <c r="BG1387" i="38" s="1"/>
  <c r="BH1387" i="38" s="1"/>
  <c r="BD1371" i="38"/>
  <c r="BE1371" i="38" s="1"/>
  <c r="BF1371" i="38" s="1"/>
  <c r="BG1371" i="38" s="1"/>
  <c r="BH1371" i="38" s="1"/>
  <c r="BD1355" i="38"/>
  <c r="BE1355" i="38" s="1"/>
  <c r="BF1355" i="38" s="1"/>
  <c r="BG1355" i="38" s="1"/>
  <c r="BH1355" i="38" s="1"/>
  <c r="BD1339" i="38"/>
  <c r="BE1339" i="38" s="1"/>
  <c r="BF1339" i="38" s="1"/>
  <c r="BG1339" i="38" s="1"/>
  <c r="BH1339" i="38" s="1"/>
  <c r="BD1323" i="38"/>
  <c r="BE1323" i="38" s="1"/>
  <c r="BF1323" i="38" s="1"/>
  <c r="BG1323" i="38" s="1"/>
  <c r="BH1323" i="38" s="1"/>
  <c r="BD1307" i="38"/>
  <c r="BE1307" i="38" s="1"/>
  <c r="BF1307" i="38" s="1"/>
  <c r="BG1307" i="38" s="1"/>
  <c r="BH1307" i="38" s="1"/>
  <c r="BD1291" i="38"/>
  <c r="BE1291" i="38" s="1"/>
  <c r="BF1291" i="38" s="1"/>
  <c r="BG1291" i="38" s="1"/>
  <c r="BH1291" i="38" s="1"/>
  <c r="BD1275" i="38"/>
  <c r="BE1275" i="38" s="1"/>
  <c r="BF1275" i="38" s="1"/>
  <c r="BG1275" i="38" s="1"/>
  <c r="BH1275" i="38" s="1"/>
  <c r="BD1259" i="38"/>
  <c r="BE1259" i="38" s="1"/>
  <c r="BF1259" i="38" s="1"/>
  <c r="BG1259" i="38" s="1"/>
  <c r="BH1259" i="38" s="1"/>
  <c r="BD1243" i="38"/>
  <c r="BE1243" i="38" s="1"/>
  <c r="BF1243" i="38" s="1"/>
  <c r="BG1243" i="38" s="1"/>
  <c r="BH1243" i="38" s="1"/>
  <c r="BD1227" i="38"/>
  <c r="BE1227" i="38" s="1"/>
  <c r="BF1227" i="38" s="1"/>
  <c r="BG1227" i="38" s="1"/>
  <c r="BH1227" i="38" s="1"/>
  <c r="BD1211" i="38"/>
  <c r="BE1211" i="38" s="1"/>
  <c r="BF1211" i="38" s="1"/>
  <c r="BG1211" i="38" s="1"/>
  <c r="BH1211" i="38" s="1"/>
  <c r="BD1195" i="38"/>
  <c r="BE1195" i="38" s="1"/>
  <c r="BF1195" i="38" s="1"/>
  <c r="BG1195" i="38" s="1"/>
  <c r="BH1195" i="38" s="1"/>
  <c r="BD1179" i="38"/>
  <c r="BE1179" i="38" s="1"/>
  <c r="BF1179" i="38" s="1"/>
  <c r="BG1179" i="38" s="1"/>
  <c r="BH1179" i="38" s="1"/>
  <c r="BD1163" i="38"/>
  <c r="BE1163" i="38" s="1"/>
  <c r="BF1163" i="38" s="1"/>
  <c r="BG1163" i="38" s="1"/>
  <c r="BH1163" i="38" s="1"/>
  <c r="BD1147" i="38"/>
  <c r="BE1147" i="38" s="1"/>
  <c r="BF1147" i="38" s="1"/>
  <c r="BG1147" i="38" s="1"/>
  <c r="BH1147" i="38" s="1"/>
  <c r="BD1131" i="38"/>
  <c r="BE1131" i="38" s="1"/>
  <c r="BF1131" i="38" s="1"/>
  <c r="BG1131" i="38" s="1"/>
  <c r="BH1131" i="38" s="1"/>
  <c r="BD1115" i="38"/>
  <c r="BE1115" i="38" s="1"/>
  <c r="BF1115" i="38" s="1"/>
  <c r="BG1115" i="38" s="1"/>
  <c r="BH1115" i="38" s="1"/>
  <c r="BD1099" i="38"/>
  <c r="BE1099" i="38" s="1"/>
  <c r="BF1099" i="38" s="1"/>
  <c r="BG1099" i="38" s="1"/>
  <c r="BH1099" i="38" s="1"/>
  <c r="BD1083" i="38"/>
  <c r="BE1083" i="38" s="1"/>
  <c r="BF1083" i="38" s="1"/>
  <c r="BG1083" i="38" s="1"/>
  <c r="BH1083" i="38" s="1"/>
  <c r="BD1067" i="38"/>
  <c r="BE1067" i="38" s="1"/>
  <c r="BF1067" i="38" s="1"/>
  <c r="BG1067" i="38" s="1"/>
  <c r="BH1067" i="38" s="1"/>
  <c r="BD1051" i="38"/>
  <c r="BE1051" i="38" s="1"/>
  <c r="BF1051" i="38" s="1"/>
  <c r="BG1051" i="38" s="1"/>
  <c r="BH1051" i="38" s="1"/>
  <c r="BD1035" i="38"/>
  <c r="BE1035" i="38" s="1"/>
  <c r="BF1035" i="38" s="1"/>
  <c r="BG1035" i="38" s="1"/>
  <c r="BH1035" i="38" s="1"/>
  <c r="BD1019" i="38"/>
  <c r="BE1019" i="38" s="1"/>
  <c r="BF1019" i="38" s="1"/>
  <c r="BG1019" i="38" s="1"/>
  <c r="BH1019" i="38" s="1"/>
  <c r="BD1003" i="38"/>
  <c r="BE1003" i="38" s="1"/>
  <c r="BF1003" i="38" s="1"/>
  <c r="BG1003" i="38" s="1"/>
  <c r="BH1003" i="38" s="1"/>
  <c r="BD987" i="38"/>
  <c r="BE987" i="38" s="1"/>
  <c r="BF987" i="38" s="1"/>
  <c r="BG987" i="38" s="1"/>
  <c r="BH987" i="38" s="1"/>
  <c r="BD971" i="38"/>
  <c r="BE971" i="38" s="1"/>
  <c r="BF971" i="38" s="1"/>
  <c r="BG971" i="38" s="1"/>
  <c r="BH971" i="38" s="1"/>
  <c r="BD2698" i="38"/>
  <c r="BE2698" i="38" s="1"/>
  <c r="BF2698" i="38" s="1"/>
  <c r="BG2698" i="38" s="1"/>
  <c r="BH2698" i="38" s="1"/>
  <c r="BD2350" i="38"/>
  <c r="BE2350" i="38" s="1"/>
  <c r="BF2350" i="38" s="1"/>
  <c r="BG2350" i="38" s="1"/>
  <c r="BH2350" i="38" s="1"/>
  <c r="BD2210" i="38"/>
  <c r="BE2210" i="38" s="1"/>
  <c r="BF2210" i="38" s="1"/>
  <c r="BG2210" i="38" s="1"/>
  <c r="BH2210" i="38" s="1"/>
  <c r="BD2126" i="38"/>
  <c r="BE2126" i="38" s="1"/>
  <c r="BF2126" i="38" s="1"/>
  <c r="BG2126" i="38" s="1"/>
  <c r="BH2126" i="38" s="1"/>
  <c r="BD2040" i="38"/>
  <c r="BE2040" i="38" s="1"/>
  <c r="BF2040" i="38" s="1"/>
  <c r="BG2040" i="38" s="1"/>
  <c r="BH2040" i="38" s="1"/>
  <c r="BD1954" i="38"/>
  <c r="BE1954" i="38" s="1"/>
  <c r="BF1954" i="38" s="1"/>
  <c r="BG1954" i="38" s="1"/>
  <c r="BH1954" i="38" s="1"/>
  <c r="BD1870" i="38"/>
  <c r="BE1870" i="38" s="1"/>
  <c r="BF1870" i="38" s="1"/>
  <c r="BG1870" i="38" s="1"/>
  <c r="BH1870" i="38" s="1"/>
  <c r="BD1784" i="38"/>
  <c r="BE1784" i="38" s="1"/>
  <c r="BF1784" i="38" s="1"/>
  <c r="BG1784" i="38" s="1"/>
  <c r="BH1784" i="38" s="1"/>
  <c r="BD1710" i="38"/>
  <c r="BE1710" i="38" s="1"/>
  <c r="BF1710" i="38" s="1"/>
  <c r="BG1710" i="38" s="1"/>
  <c r="BH1710" i="38" s="1"/>
  <c r="BD1646" i="38"/>
  <c r="BE1646" i="38" s="1"/>
  <c r="BF1646" i="38" s="1"/>
  <c r="BG1646" i="38" s="1"/>
  <c r="BH1646" i="38" s="1"/>
  <c r="BD1614" i="38"/>
  <c r="BE1614" i="38" s="1"/>
  <c r="BF1614" i="38" s="1"/>
  <c r="BG1614" i="38" s="1"/>
  <c r="BH1614" i="38" s="1"/>
  <c r="BD2888" i="38"/>
  <c r="BE2888" i="38" s="1"/>
  <c r="BF2888" i="38" s="1"/>
  <c r="BG2888" i="38" s="1"/>
  <c r="BH2888" i="38" s="1"/>
  <c r="BD2574" i="38"/>
  <c r="BE2574" i="38" s="1"/>
  <c r="BF2574" i="38" s="1"/>
  <c r="BG2574" i="38" s="1"/>
  <c r="BH2574" i="38" s="1"/>
  <c r="BD2322" i="38"/>
  <c r="BE2322" i="38" s="1"/>
  <c r="BF2322" i="38" s="1"/>
  <c r="BG2322" i="38" s="1"/>
  <c r="BH2322" i="38" s="1"/>
  <c r="BD2226" i="38"/>
  <c r="BE2226" i="38" s="1"/>
  <c r="BF2226" i="38" s="1"/>
  <c r="BG2226" i="38" s="1"/>
  <c r="BH2226" i="38" s="1"/>
  <c r="BD2142" i="38"/>
  <c r="BE2142" i="38" s="1"/>
  <c r="BF2142" i="38" s="1"/>
  <c r="BG2142" i="38" s="1"/>
  <c r="BH2142" i="38" s="1"/>
  <c r="BD2056" i="38"/>
  <c r="BE2056" i="38" s="1"/>
  <c r="BF2056" i="38" s="1"/>
  <c r="BG2056" i="38" s="1"/>
  <c r="BH2056" i="38" s="1"/>
  <c r="BD1970" i="38"/>
  <c r="BE1970" i="38" s="1"/>
  <c r="BF1970" i="38" s="1"/>
  <c r="BG1970" i="38" s="1"/>
  <c r="BH1970" i="38" s="1"/>
  <c r="BD1886" i="38"/>
  <c r="BE1886" i="38" s="1"/>
  <c r="BF1886" i="38" s="1"/>
  <c r="BG1886" i="38" s="1"/>
  <c r="BH1886" i="38" s="1"/>
  <c r="BD1800" i="38"/>
  <c r="BE1800" i="38" s="1"/>
  <c r="BF1800" i="38" s="1"/>
  <c r="BG1800" i="38" s="1"/>
  <c r="BH1800" i="38" s="1"/>
  <c r="BD1682" i="38"/>
  <c r="BE1682" i="38" s="1"/>
  <c r="BF1682" i="38" s="1"/>
  <c r="BG1682" i="38" s="1"/>
  <c r="BH1682" i="38" s="1"/>
  <c r="BD1617" i="38"/>
  <c r="BE1617" i="38" s="1"/>
  <c r="BF1617" i="38" s="1"/>
  <c r="BG1617" i="38" s="1"/>
  <c r="BH1617" i="38" s="1"/>
  <c r="BD1601" i="38"/>
  <c r="BE1601" i="38" s="1"/>
  <c r="BF1601" i="38" s="1"/>
  <c r="BG1601" i="38" s="1"/>
  <c r="BH1601" i="38" s="1"/>
  <c r="BD1585" i="38"/>
  <c r="BE1585" i="38" s="1"/>
  <c r="BF1585" i="38" s="1"/>
  <c r="BG1585" i="38" s="1"/>
  <c r="BH1585" i="38" s="1"/>
  <c r="BD1569" i="38"/>
  <c r="BE1569" i="38" s="1"/>
  <c r="BF1569" i="38" s="1"/>
  <c r="BG1569" i="38" s="1"/>
  <c r="BH1569" i="38" s="1"/>
  <c r="BD1553" i="38"/>
  <c r="BE1553" i="38" s="1"/>
  <c r="BF1553" i="38" s="1"/>
  <c r="BG1553" i="38" s="1"/>
  <c r="BH1553" i="38" s="1"/>
  <c r="BD1537" i="38"/>
  <c r="BE1537" i="38" s="1"/>
  <c r="BF1537" i="38" s="1"/>
  <c r="BG1537" i="38" s="1"/>
  <c r="BH1537" i="38" s="1"/>
  <c r="BD1521" i="38"/>
  <c r="BE1521" i="38" s="1"/>
  <c r="BF1521" i="38" s="1"/>
  <c r="BG1521" i="38" s="1"/>
  <c r="BH1521" i="38" s="1"/>
  <c r="BD1505" i="38"/>
  <c r="BE1505" i="38" s="1"/>
  <c r="BF1505" i="38" s="1"/>
  <c r="BG1505" i="38" s="1"/>
  <c r="BH1505" i="38" s="1"/>
  <c r="BD1489" i="38"/>
  <c r="BE1489" i="38" s="1"/>
  <c r="BF1489" i="38" s="1"/>
  <c r="BG1489" i="38" s="1"/>
  <c r="BH1489" i="38" s="1"/>
  <c r="BD1473" i="38"/>
  <c r="BE1473" i="38" s="1"/>
  <c r="BF1473" i="38" s="1"/>
  <c r="BG1473" i="38" s="1"/>
  <c r="BH1473" i="38" s="1"/>
  <c r="BD1457" i="38"/>
  <c r="BE1457" i="38" s="1"/>
  <c r="BF1457" i="38" s="1"/>
  <c r="BG1457" i="38" s="1"/>
  <c r="BH1457" i="38" s="1"/>
  <c r="BD1441" i="38"/>
  <c r="BE1441" i="38" s="1"/>
  <c r="BF1441" i="38" s="1"/>
  <c r="BG1441" i="38" s="1"/>
  <c r="BH1441" i="38" s="1"/>
  <c r="BD1425" i="38"/>
  <c r="BE1425" i="38" s="1"/>
  <c r="BF1425" i="38" s="1"/>
  <c r="BG1425" i="38" s="1"/>
  <c r="BH1425" i="38" s="1"/>
  <c r="BD1409" i="38"/>
  <c r="BE1409" i="38" s="1"/>
  <c r="BF1409" i="38" s="1"/>
  <c r="BG1409" i="38" s="1"/>
  <c r="BH1409" i="38" s="1"/>
  <c r="BD1393" i="38"/>
  <c r="BE1393" i="38" s="1"/>
  <c r="BF1393" i="38" s="1"/>
  <c r="BG1393" i="38" s="1"/>
  <c r="BH1393" i="38" s="1"/>
  <c r="BD1377" i="38"/>
  <c r="BE1377" i="38" s="1"/>
  <c r="BF1377" i="38" s="1"/>
  <c r="BG1377" i="38" s="1"/>
  <c r="BH1377" i="38" s="1"/>
  <c r="BD1361" i="38"/>
  <c r="BE1361" i="38" s="1"/>
  <c r="BF1361" i="38" s="1"/>
  <c r="BG1361" i="38" s="1"/>
  <c r="BH1361" i="38" s="1"/>
  <c r="BD1345" i="38"/>
  <c r="BE1345" i="38" s="1"/>
  <c r="BF1345" i="38" s="1"/>
  <c r="BG1345" i="38" s="1"/>
  <c r="BH1345" i="38" s="1"/>
  <c r="BD1329" i="38"/>
  <c r="BE1329" i="38" s="1"/>
  <c r="BF1329" i="38" s="1"/>
  <c r="BG1329" i="38" s="1"/>
  <c r="BH1329" i="38" s="1"/>
  <c r="BD1313" i="38"/>
  <c r="BE1313" i="38" s="1"/>
  <c r="BF1313" i="38" s="1"/>
  <c r="BG1313" i="38" s="1"/>
  <c r="BH1313" i="38" s="1"/>
  <c r="BD1297" i="38"/>
  <c r="BE1297" i="38" s="1"/>
  <c r="BF1297" i="38" s="1"/>
  <c r="BG1297" i="38" s="1"/>
  <c r="BH1297" i="38" s="1"/>
  <c r="BD1281" i="38"/>
  <c r="BE1281" i="38" s="1"/>
  <c r="BF1281" i="38" s="1"/>
  <c r="BG1281" i="38" s="1"/>
  <c r="BH1281" i="38" s="1"/>
  <c r="BD1265" i="38"/>
  <c r="BE1265" i="38" s="1"/>
  <c r="BF1265" i="38" s="1"/>
  <c r="BG1265" i="38" s="1"/>
  <c r="BH1265" i="38" s="1"/>
  <c r="BD1249" i="38"/>
  <c r="BE1249" i="38" s="1"/>
  <c r="BF1249" i="38" s="1"/>
  <c r="BG1249" i="38" s="1"/>
  <c r="BH1249" i="38" s="1"/>
  <c r="BD1233" i="38"/>
  <c r="BE1233" i="38" s="1"/>
  <c r="BF1233" i="38" s="1"/>
  <c r="BG1233" i="38" s="1"/>
  <c r="BH1233" i="38" s="1"/>
  <c r="BD1217" i="38"/>
  <c r="BE1217" i="38" s="1"/>
  <c r="BF1217" i="38" s="1"/>
  <c r="BG1217" i="38" s="1"/>
  <c r="BH1217" i="38" s="1"/>
  <c r="BD1201" i="38"/>
  <c r="BE1201" i="38" s="1"/>
  <c r="BF1201" i="38" s="1"/>
  <c r="BG1201" i="38" s="1"/>
  <c r="BH1201" i="38" s="1"/>
  <c r="BD1185" i="38"/>
  <c r="BE1185" i="38" s="1"/>
  <c r="BF1185" i="38" s="1"/>
  <c r="BG1185" i="38" s="1"/>
  <c r="BH1185" i="38" s="1"/>
  <c r="BD1169" i="38"/>
  <c r="BE1169" i="38" s="1"/>
  <c r="BF1169" i="38" s="1"/>
  <c r="BG1169" i="38" s="1"/>
  <c r="BH1169" i="38" s="1"/>
  <c r="BD1153" i="38"/>
  <c r="BE1153" i="38" s="1"/>
  <c r="BF1153" i="38" s="1"/>
  <c r="BG1153" i="38" s="1"/>
  <c r="BH1153" i="38" s="1"/>
  <c r="BD1137" i="38"/>
  <c r="BE1137" i="38" s="1"/>
  <c r="BF1137" i="38" s="1"/>
  <c r="BG1137" i="38" s="1"/>
  <c r="BH1137" i="38" s="1"/>
  <c r="BD1121" i="38"/>
  <c r="BE1121" i="38" s="1"/>
  <c r="BF1121" i="38" s="1"/>
  <c r="BG1121" i="38" s="1"/>
  <c r="BH1121" i="38" s="1"/>
  <c r="BD1105" i="38"/>
  <c r="BE1105" i="38" s="1"/>
  <c r="BF1105" i="38" s="1"/>
  <c r="BG1105" i="38" s="1"/>
  <c r="BH1105" i="38" s="1"/>
  <c r="BD1089" i="38"/>
  <c r="BE1089" i="38" s="1"/>
  <c r="BF1089" i="38" s="1"/>
  <c r="BG1089" i="38" s="1"/>
  <c r="BH1089" i="38" s="1"/>
  <c r="BD1073" i="38"/>
  <c r="BE1073" i="38" s="1"/>
  <c r="BF1073" i="38" s="1"/>
  <c r="BG1073" i="38" s="1"/>
  <c r="BH1073" i="38" s="1"/>
  <c r="BD1057" i="38"/>
  <c r="BE1057" i="38" s="1"/>
  <c r="BF1057" i="38" s="1"/>
  <c r="BG1057" i="38" s="1"/>
  <c r="BH1057" i="38" s="1"/>
  <c r="BD1041" i="38"/>
  <c r="BE1041" i="38" s="1"/>
  <c r="BF1041" i="38" s="1"/>
  <c r="BG1041" i="38" s="1"/>
  <c r="BH1041" i="38" s="1"/>
  <c r="BD1025" i="38"/>
  <c r="BE1025" i="38" s="1"/>
  <c r="BF1025" i="38" s="1"/>
  <c r="BG1025" i="38" s="1"/>
  <c r="BH1025" i="38" s="1"/>
  <c r="BD1009" i="38"/>
  <c r="BE1009" i="38" s="1"/>
  <c r="BF1009" i="38" s="1"/>
  <c r="BG1009" i="38" s="1"/>
  <c r="BH1009" i="38" s="1"/>
  <c r="BD993" i="38"/>
  <c r="BE993" i="38" s="1"/>
  <c r="BF993" i="38" s="1"/>
  <c r="BG993" i="38" s="1"/>
  <c r="BH993" i="38" s="1"/>
  <c r="BD977" i="38"/>
  <c r="BE977" i="38" s="1"/>
  <c r="BF977" i="38" s="1"/>
  <c r="BG977" i="38" s="1"/>
  <c r="BH977" i="38" s="1"/>
  <c r="BD961" i="38"/>
  <c r="BE961" i="38" s="1"/>
  <c r="BF961" i="38" s="1"/>
  <c r="BG961" i="38" s="1"/>
  <c r="BH961" i="38" s="1"/>
  <c r="BD945" i="38"/>
  <c r="BE945" i="38" s="1"/>
  <c r="BF945" i="38" s="1"/>
  <c r="BG945" i="38" s="1"/>
  <c r="BH945" i="38" s="1"/>
  <c r="BD929" i="38"/>
  <c r="BE929" i="38" s="1"/>
  <c r="BF929" i="38" s="1"/>
  <c r="BG929" i="38" s="1"/>
  <c r="BH929" i="38" s="1"/>
  <c r="BD913" i="38"/>
  <c r="BE913" i="38" s="1"/>
  <c r="BF913" i="38" s="1"/>
  <c r="BG913" i="38" s="1"/>
  <c r="BH913" i="38" s="1"/>
  <c r="BD897" i="38"/>
  <c r="BE897" i="38" s="1"/>
  <c r="BF897" i="38" s="1"/>
  <c r="BG897" i="38" s="1"/>
  <c r="BH897" i="38" s="1"/>
  <c r="BD2242" i="38"/>
  <c r="BE2242" i="38" s="1"/>
  <c r="BF2242" i="38" s="1"/>
  <c r="BG2242" i="38" s="1"/>
  <c r="BH2242" i="38" s="1"/>
  <c r="BD2174" i="38"/>
  <c r="BE2174" i="38" s="1"/>
  <c r="BF2174" i="38" s="1"/>
  <c r="BG2174" i="38" s="1"/>
  <c r="BH2174" i="38" s="1"/>
  <c r="BD2088" i="38"/>
  <c r="BE2088" i="38" s="1"/>
  <c r="BF2088" i="38" s="1"/>
  <c r="BG2088" i="38" s="1"/>
  <c r="BH2088" i="38" s="1"/>
  <c r="BD2002" i="38"/>
  <c r="BE2002" i="38" s="1"/>
  <c r="BF2002" i="38" s="1"/>
  <c r="BG2002" i="38" s="1"/>
  <c r="BH2002" i="38" s="1"/>
  <c r="BD1918" i="38"/>
  <c r="BE1918" i="38" s="1"/>
  <c r="BF1918" i="38" s="1"/>
  <c r="BG1918" i="38" s="1"/>
  <c r="BH1918" i="38" s="1"/>
  <c r="BD1832" i="38"/>
  <c r="BE1832" i="38" s="1"/>
  <c r="BF1832" i="38" s="1"/>
  <c r="BG1832" i="38" s="1"/>
  <c r="BH1832" i="38" s="1"/>
  <c r="BD1746" i="38"/>
  <c r="BE1746" i="38" s="1"/>
  <c r="BF1746" i="38" s="1"/>
  <c r="BG1746" i="38" s="1"/>
  <c r="BH1746" i="38" s="1"/>
  <c r="BD1707" i="38"/>
  <c r="BE1707" i="38" s="1"/>
  <c r="BF1707" i="38" s="1"/>
  <c r="BG1707" i="38" s="1"/>
  <c r="BH1707" i="38" s="1"/>
  <c r="BD1643" i="38"/>
  <c r="BE1643" i="38" s="1"/>
  <c r="BF1643" i="38" s="1"/>
  <c r="BG1643" i="38" s="1"/>
  <c r="BH1643" i="38" s="1"/>
  <c r="BD1607" i="38"/>
  <c r="BE1607" i="38" s="1"/>
  <c r="BF1607" i="38" s="1"/>
  <c r="BG1607" i="38" s="1"/>
  <c r="BH1607" i="38" s="1"/>
  <c r="BD1591" i="38"/>
  <c r="BE1591" i="38" s="1"/>
  <c r="BF1591" i="38" s="1"/>
  <c r="BG1591" i="38" s="1"/>
  <c r="BH1591" i="38" s="1"/>
  <c r="BD1575" i="38"/>
  <c r="BE1575" i="38" s="1"/>
  <c r="BF1575" i="38" s="1"/>
  <c r="BG1575" i="38" s="1"/>
  <c r="BH1575" i="38" s="1"/>
  <c r="BD1559" i="38"/>
  <c r="BE1559" i="38" s="1"/>
  <c r="BF1559" i="38" s="1"/>
  <c r="BG1559" i="38" s="1"/>
  <c r="BH1559" i="38" s="1"/>
  <c r="BD1543" i="38"/>
  <c r="BE1543" i="38" s="1"/>
  <c r="BF1543" i="38" s="1"/>
  <c r="BG1543" i="38" s="1"/>
  <c r="BH1543" i="38" s="1"/>
  <c r="BD1527" i="38"/>
  <c r="BE1527" i="38" s="1"/>
  <c r="BF1527" i="38" s="1"/>
  <c r="BG1527" i="38" s="1"/>
  <c r="BH1527" i="38" s="1"/>
  <c r="BD1511" i="38"/>
  <c r="BE1511" i="38" s="1"/>
  <c r="BF1511" i="38" s="1"/>
  <c r="BG1511" i="38" s="1"/>
  <c r="BH1511" i="38" s="1"/>
  <c r="BD1495" i="38"/>
  <c r="BE1495" i="38" s="1"/>
  <c r="BF1495" i="38" s="1"/>
  <c r="BG1495" i="38" s="1"/>
  <c r="BH1495" i="38" s="1"/>
  <c r="BD1479" i="38"/>
  <c r="BE1479" i="38" s="1"/>
  <c r="BF1479" i="38" s="1"/>
  <c r="BG1479" i="38" s="1"/>
  <c r="BH1479" i="38" s="1"/>
  <c r="BD1463" i="38"/>
  <c r="BE1463" i="38" s="1"/>
  <c r="BF1463" i="38" s="1"/>
  <c r="BG1463" i="38" s="1"/>
  <c r="BH1463" i="38" s="1"/>
  <c r="BD1447" i="38"/>
  <c r="BE1447" i="38" s="1"/>
  <c r="BF1447" i="38" s="1"/>
  <c r="BG1447" i="38" s="1"/>
  <c r="BH1447" i="38" s="1"/>
  <c r="BD1431" i="38"/>
  <c r="BE1431" i="38" s="1"/>
  <c r="BF1431" i="38" s="1"/>
  <c r="BG1431" i="38" s="1"/>
  <c r="BH1431" i="38" s="1"/>
  <c r="BD1415" i="38"/>
  <c r="BE1415" i="38" s="1"/>
  <c r="BF1415" i="38" s="1"/>
  <c r="BG1415" i="38" s="1"/>
  <c r="BH1415" i="38" s="1"/>
  <c r="BD1399" i="38"/>
  <c r="BE1399" i="38" s="1"/>
  <c r="BF1399" i="38" s="1"/>
  <c r="BG1399" i="38" s="1"/>
  <c r="BH1399" i="38" s="1"/>
  <c r="BD1383" i="38"/>
  <c r="BE1383" i="38" s="1"/>
  <c r="BF1383" i="38" s="1"/>
  <c r="BG1383" i="38" s="1"/>
  <c r="BH1383" i="38" s="1"/>
  <c r="BD1367" i="38"/>
  <c r="BE1367" i="38" s="1"/>
  <c r="BF1367" i="38" s="1"/>
  <c r="BG1367" i="38" s="1"/>
  <c r="BH1367" i="38" s="1"/>
  <c r="BD1351" i="38"/>
  <c r="BE1351" i="38" s="1"/>
  <c r="BF1351" i="38" s="1"/>
  <c r="BG1351" i="38" s="1"/>
  <c r="BH1351" i="38" s="1"/>
  <c r="BD1335" i="38"/>
  <c r="BE1335" i="38" s="1"/>
  <c r="BF1335" i="38" s="1"/>
  <c r="BG1335" i="38" s="1"/>
  <c r="BH1335" i="38" s="1"/>
  <c r="BD1319" i="38"/>
  <c r="BE1319" i="38" s="1"/>
  <c r="BF1319" i="38" s="1"/>
  <c r="BG1319" i="38" s="1"/>
  <c r="BH1319" i="38" s="1"/>
  <c r="BD1303" i="38"/>
  <c r="BE1303" i="38" s="1"/>
  <c r="BF1303" i="38" s="1"/>
  <c r="BG1303" i="38" s="1"/>
  <c r="BH1303" i="38" s="1"/>
  <c r="BD1287" i="38"/>
  <c r="BE1287" i="38" s="1"/>
  <c r="BF1287" i="38" s="1"/>
  <c r="BG1287" i="38" s="1"/>
  <c r="BH1287" i="38" s="1"/>
  <c r="BD1271" i="38"/>
  <c r="BE1271" i="38" s="1"/>
  <c r="BF1271" i="38" s="1"/>
  <c r="BG1271" i="38" s="1"/>
  <c r="BH1271" i="38" s="1"/>
  <c r="BD1255" i="38"/>
  <c r="BE1255" i="38" s="1"/>
  <c r="BF1255" i="38" s="1"/>
  <c r="BG1255" i="38" s="1"/>
  <c r="BH1255" i="38" s="1"/>
  <c r="BD1239" i="38"/>
  <c r="BE1239" i="38" s="1"/>
  <c r="BF1239" i="38" s="1"/>
  <c r="BG1239" i="38" s="1"/>
  <c r="BH1239" i="38" s="1"/>
  <c r="BD1223" i="38"/>
  <c r="BE1223" i="38" s="1"/>
  <c r="BF1223" i="38" s="1"/>
  <c r="BG1223" i="38" s="1"/>
  <c r="BH1223" i="38" s="1"/>
  <c r="BD1207" i="38"/>
  <c r="BE1207" i="38" s="1"/>
  <c r="BF1207" i="38" s="1"/>
  <c r="BG1207" i="38" s="1"/>
  <c r="BH1207" i="38" s="1"/>
  <c r="BD1191" i="38"/>
  <c r="BE1191" i="38" s="1"/>
  <c r="BF1191" i="38" s="1"/>
  <c r="BG1191" i="38" s="1"/>
  <c r="BH1191" i="38" s="1"/>
  <c r="BD1175" i="38"/>
  <c r="BE1175" i="38" s="1"/>
  <c r="BF1175" i="38" s="1"/>
  <c r="BG1175" i="38" s="1"/>
  <c r="BH1175" i="38" s="1"/>
  <c r="BD1159" i="38"/>
  <c r="BE1159" i="38" s="1"/>
  <c r="BF1159" i="38" s="1"/>
  <c r="BG1159" i="38" s="1"/>
  <c r="BH1159" i="38" s="1"/>
  <c r="BD1143" i="38"/>
  <c r="BE1143" i="38" s="1"/>
  <c r="BF1143" i="38" s="1"/>
  <c r="BG1143" i="38" s="1"/>
  <c r="BH1143" i="38" s="1"/>
  <c r="BD1127" i="38"/>
  <c r="BE1127" i="38" s="1"/>
  <c r="BF1127" i="38" s="1"/>
  <c r="BG1127" i="38" s="1"/>
  <c r="BH1127" i="38" s="1"/>
  <c r="BD1111" i="38"/>
  <c r="BE1111" i="38" s="1"/>
  <c r="BF1111" i="38" s="1"/>
  <c r="BG1111" i="38" s="1"/>
  <c r="BH1111" i="38" s="1"/>
  <c r="BD1095" i="38"/>
  <c r="BE1095" i="38" s="1"/>
  <c r="BF1095" i="38" s="1"/>
  <c r="BG1095" i="38" s="1"/>
  <c r="BH1095" i="38" s="1"/>
  <c r="BD1079" i="38"/>
  <c r="BE1079" i="38" s="1"/>
  <c r="BF1079" i="38" s="1"/>
  <c r="BG1079" i="38" s="1"/>
  <c r="BH1079" i="38" s="1"/>
  <c r="BD1063" i="38"/>
  <c r="BE1063" i="38" s="1"/>
  <c r="BF1063" i="38" s="1"/>
  <c r="BG1063" i="38" s="1"/>
  <c r="BH1063" i="38" s="1"/>
  <c r="BD1047" i="38"/>
  <c r="BE1047" i="38" s="1"/>
  <c r="BF1047" i="38" s="1"/>
  <c r="BG1047" i="38" s="1"/>
  <c r="BH1047" i="38" s="1"/>
  <c r="BD1031" i="38"/>
  <c r="BE1031" i="38" s="1"/>
  <c r="BF1031" i="38" s="1"/>
  <c r="BG1031" i="38" s="1"/>
  <c r="BH1031" i="38" s="1"/>
  <c r="BD1015" i="38"/>
  <c r="BE1015" i="38" s="1"/>
  <c r="BF1015" i="38" s="1"/>
  <c r="BG1015" i="38" s="1"/>
  <c r="BH1015" i="38" s="1"/>
  <c r="BD999" i="38"/>
  <c r="BE999" i="38" s="1"/>
  <c r="BF999" i="38" s="1"/>
  <c r="BG999" i="38" s="1"/>
  <c r="BH999" i="38" s="1"/>
  <c r="BD983" i="38"/>
  <c r="BE983" i="38" s="1"/>
  <c r="BF983" i="38" s="1"/>
  <c r="BG983" i="38" s="1"/>
  <c r="BH983" i="38" s="1"/>
  <c r="BD967" i="38"/>
  <c r="BE967" i="38" s="1"/>
  <c r="BF967" i="38" s="1"/>
  <c r="BG967" i="38" s="1"/>
  <c r="BH967" i="38" s="1"/>
  <c r="BD951" i="38"/>
  <c r="BE951" i="38" s="1"/>
  <c r="BF951" i="38" s="1"/>
  <c r="BG951" i="38" s="1"/>
  <c r="BH951" i="38" s="1"/>
  <c r="BD935" i="38"/>
  <c r="BE935" i="38" s="1"/>
  <c r="BF935" i="38" s="1"/>
  <c r="BG935" i="38" s="1"/>
  <c r="BH935" i="38" s="1"/>
  <c r="BD919" i="38"/>
  <c r="BE919" i="38" s="1"/>
  <c r="BF919" i="38" s="1"/>
  <c r="BG919" i="38" s="1"/>
  <c r="BH919" i="38" s="1"/>
  <c r="BD903" i="38"/>
  <c r="BE903" i="38" s="1"/>
  <c r="BF903" i="38" s="1"/>
  <c r="BG903" i="38" s="1"/>
  <c r="BH903" i="38" s="1"/>
  <c r="BD887" i="38"/>
  <c r="BE887" i="38" s="1"/>
  <c r="BF887" i="38" s="1"/>
  <c r="BG887" i="38" s="1"/>
  <c r="BH887" i="38" s="1"/>
  <c r="BD871" i="38"/>
  <c r="BE871" i="38" s="1"/>
  <c r="BF871" i="38" s="1"/>
  <c r="BG871" i="38" s="1"/>
  <c r="BH871" i="38" s="1"/>
  <c r="BD855" i="38"/>
  <c r="BE855" i="38" s="1"/>
  <c r="BF855" i="38" s="1"/>
  <c r="BG855" i="38" s="1"/>
  <c r="BH855" i="38" s="1"/>
  <c r="BD839" i="38"/>
  <c r="BE839" i="38" s="1"/>
  <c r="BF839" i="38" s="1"/>
  <c r="BG839" i="38" s="1"/>
  <c r="BH839" i="38" s="1"/>
  <c r="BD823" i="38"/>
  <c r="BE823" i="38" s="1"/>
  <c r="BF823" i="38" s="1"/>
  <c r="BG823" i="38" s="1"/>
  <c r="BH823" i="38" s="1"/>
  <c r="BD807" i="38"/>
  <c r="BE807" i="38" s="1"/>
  <c r="BF807" i="38" s="1"/>
  <c r="BG807" i="38" s="1"/>
  <c r="BH807" i="38" s="1"/>
  <c r="BD791" i="38"/>
  <c r="BE791" i="38" s="1"/>
  <c r="BF791" i="38" s="1"/>
  <c r="BG791" i="38" s="1"/>
  <c r="BH791" i="38" s="1"/>
  <c r="BD775" i="38"/>
  <c r="BE775" i="38" s="1"/>
  <c r="BF775" i="38" s="1"/>
  <c r="BG775" i="38" s="1"/>
  <c r="BH775" i="38" s="1"/>
  <c r="BD759" i="38"/>
  <c r="BE759" i="38" s="1"/>
  <c r="BF759" i="38" s="1"/>
  <c r="BG759" i="38" s="1"/>
  <c r="BH759" i="38" s="1"/>
  <c r="BD743" i="38"/>
  <c r="BE743" i="38" s="1"/>
  <c r="BF743" i="38" s="1"/>
  <c r="BG743" i="38" s="1"/>
  <c r="BH743" i="38" s="1"/>
  <c r="BD727" i="38"/>
  <c r="BE727" i="38" s="1"/>
  <c r="BF727" i="38" s="1"/>
  <c r="BG727" i="38" s="1"/>
  <c r="BH727" i="38" s="1"/>
  <c r="BD2318" i="38"/>
  <c r="BE2318" i="38" s="1"/>
  <c r="BF2318" i="38" s="1"/>
  <c r="BG2318" i="38" s="1"/>
  <c r="BH2318" i="38" s="1"/>
  <c r="BD2190" i="38"/>
  <c r="BE2190" i="38" s="1"/>
  <c r="BF2190" i="38" s="1"/>
  <c r="BG2190" i="38" s="1"/>
  <c r="BH2190" i="38" s="1"/>
  <c r="BD2104" i="38"/>
  <c r="BE2104" i="38" s="1"/>
  <c r="BF2104" i="38" s="1"/>
  <c r="BG2104" i="38" s="1"/>
  <c r="BH2104" i="38" s="1"/>
  <c r="BD2018" i="38"/>
  <c r="BE2018" i="38" s="1"/>
  <c r="BF2018" i="38" s="1"/>
  <c r="BG2018" i="38" s="1"/>
  <c r="BH2018" i="38" s="1"/>
  <c r="BD1934" i="38"/>
  <c r="BE1934" i="38" s="1"/>
  <c r="BF1934" i="38" s="1"/>
  <c r="BG1934" i="38" s="1"/>
  <c r="BH1934" i="38" s="1"/>
  <c r="BD1848" i="38"/>
  <c r="BE1848" i="38" s="1"/>
  <c r="BF1848" i="38" s="1"/>
  <c r="BG1848" i="38" s="1"/>
  <c r="BH1848" i="38" s="1"/>
  <c r="BD1762" i="38"/>
  <c r="BE1762" i="38" s="1"/>
  <c r="BF1762" i="38" s="1"/>
  <c r="BG1762" i="38" s="1"/>
  <c r="BH1762" i="38" s="1"/>
  <c r="BD1694" i="38"/>
  <c r="BE1694" i="38" s="1"/>
  <c r="BF1694" i="38" s="1"/>
  <c r="BG1694" i="38" s="1"/>
  <c r="BH1694" i="38" s="1"/>
  <c r="BD1630" i="38"/>
  <c r="BE1630" i="38" s="1"/>
  <c r="BF1630" i="38" s="1"/>
  <c r="BG1630" i="38" s="1"/>
  <c r="BH1630" i="38" s="1"/>
  <c r="BD1620" i="38"/>
  <c r="BE1620" i="38" s="1"/>
  <c r="BF1620" i="38" s="1"/>
  <c r="BG1620" i="38" s="1"/>
  <c r="BH1620" i="38" s="1"/>
  <c r="BD1610" i="38"/>
  <c r="BE1610" i="38" s="1"/>
  <c r="BF1610" i="38" s="1"/>
  <c r="BG1610" i="38" s="1"/>
  <c r="BH1610" i="38" s="1"/>
  <c r="BD1594" i="38"/>
  <c r="BE1594" i="38" s="1"/>
  <c r="BF1594" i="38" s="1"/>
  <c r="BG1594" i="38" s="1"/>
  <c r="BH1594" i="38" s="1"/>
  <c r="BD1578" i="38"/>
  <c r="BE1578" i="38" s="1"/>
  <c r="BF1578" i="38" s="1"/>
  <c r="BG1578" i="38" s="1"/>
  <c r="BH1578" i="38" s="1"/>
  <c r="BD1562" i="38"/>
  <c r="BE1562" i="38" s="1"/>
  <c r="BF1562" i="38" s="1"/>
  <c r="BG1562" i="38" s="1"/>
  <c r="BH1562" i="38" s="1"/>
  <c r="BD1546" i="38"/>
  <c r="BE1546" i="38" s="1"/>
  <c r="BF1546" i="38" s="1"/>
  <c r="BG1546" i="38" s="1"/>
  <c r="BH1546" i="38" s="1"/>
  <c r="BD1530" i="38"/>
  <c r="BE1530" i="38" s="1"/>
  <c r="BF1530" i="38" s="1"/>
  <c r="BG1530" i="38" s="1"/>
  <c r="BH1530" i="38" s="1"/>
  <c r="BD1514" i="38"/>
  <c r="BE1514" i="38" s="1"/>
  <c r="BF1514" i="38" s="1"/>
  <c r="BG1514" i="38" s="1"/>
  <c r="BH1514" i="38" s="1"/>
  <c r="BD1498" i="38"/>
  <c r="BE1498" i="38" s="1"/>
  <c r="BF1498" i="38" s="1"/>
  <c r="BG1498" i="38" s="1"/>
  <c r="BH1498" i="38" s="1"/>
  <c r="BD1482" i="38"/>
  <c r="BE1482" i="38" s="1"/>
  <c r="BF1482" i="38" s="1"/>
  <c r="BG1482" i="38" s="1"/>
  <c r="BH1482" i="38" s="1"/>
  <c r="BD1466" i="38"/>
  <c r="BE1466" i="38" s="1"/>
  <c r="BF1466" i="38" s="1"/>
  <c r="BG1466" i="38" s="1"/>
  <c r="BH1466" i="38" s="1"/>
  <c r="BD1450" i="38"/>
  <c r="BE1450" i="38" s="1"/>
  <c r="BF1450" i="38" s="1"/>
  <c r="BG1450" i="38" s="1"/>
  <c r="BH1450" i="38" s="1"/>
  <c r="BD1434" i="38"/>
  <c r="BE1434" i="38" s="1"/>
  <c r="BF1434" i="38" s="1"/>
  <c r="BG1434" i="38" s="1"/>
  <c r="BH1434" i="38" s="1"/>
  <c r="BD1418" i="38"/>
  <c r="BE1418" i="38" s="1"/>
  <c r="BF1418" i="38" s="1"/>
  <c r="BG1418" i="38" s="1"/>
  <c r="BH1418" i="38" s="1"/>
  <c r="BD1402" i="38"/>
  <c r="BE1402" i="38" s="1"/>
  <c r="BF1402" i="38" s="1"/>
  <c r="BG1402" i="38" s="1"/>
  <c r="BH1402" i="38" s="1"/>
  <c r="BD1386" i="38"/>
  <c r="BE1386" i="38" s="1"/>
  <c r="BF1386" i="38" s="1"/>
  <c r="BG1386" i="38" s="1"/>
  <c r="BH1386" i="38" s="1"/>
  <c r="BD1370" i="38"/>
  <c r="BE1370" i="38" s="1"/>
  <c r="BF1370" i="38" s="1"/>
  <c r="BG1370" i="38" s="1"/>
  <c r="BH1370" i="38" s="1"/>
  <c r="BD1354" i="38"/>
  <c r="BE1354" i="38" s="1"/>
  <c r="BF1354" i="38" s="1"/>
  <c r="BG1354" i="38" s="1"/>
  <c r="BH1354" i="38" s="1"/>
  <c r="BD1338" i="38"/>
  <c r="BE1338" i="38" s="1"/>
  <c r="BF1338" i="38" s="1"/>
  <c r="BG1338" i="38" s="1"/>
  <c r="BH1338" i="38" s="1"/>
  <c r="BD1322" i="38"/>
  <c r="BE1322" i="38" s="1"/>
  <c r="BF1322" i="38" s="1"/>
  <c r="BG1322" i="38" s="1"/>
  <c r="BH1322" i="38" s="1"/>
  <c r="BD1306" i="38"/>
  <c r="BE1306" i="38" s="1"/>
  <c r="BF1306" i="38" s="1"/>
  <c r="BG1306" i="38" s="1"/>
  <c r="BH1306" i="38" s="1"/>
  <c r="BD1290" i="38"/>
  <c r="BE1290" i="38" s="1"/>
  <c r="BF1290" i="38" s="1"/>
  <c r="BG1290" i="38" s="1"/>
  <c r="BH1290" i="38" s="1"/>
  <c r="BD1274" i="38"/>
  <c r="BE1274" i="38" s="1"/>
  <c r="BF1274" i="38" s="1"/>
  <c r="BG1274" i="38" s="1"/>
  <c r="BH1274" i="38" s="1"/>
  <c r="BD1258" i="38"/>
  <c r="BE1258" i="38" s="1"/>
  <c r="BF1258" i="38" s="1"/>
  <c r="BG1258" i="38" s="1"/>
  <c r="BH1258" i="38" s="1"/>
  <c r="BD1242" i="38"/>
  <c r="BE1242" i="38" s="1"/>
  <c r="BF1242" i="38" s="1"/>
  <c r="BG1242" i="38" s="1"/>
  <c r="BH1242" i="38" s="1"/>
  <c r="BD1226" i="38"/>
  <c r="BE1226" i="38" s="1"/>
  <c r="BF1226" i="38" s="1"/>
  <c r="BG1226" i="38" s="1"/>
  <c r="BH1226" i="38" s="1"/>
  <c r="BD1210" i="38"/>
  <c r="BE1210" i="38" s="1"/>
  <c r="BF1210" i="38" s="1"/>
  <c r="BG1210" i="38" s="1"/>
  <c r="BH1210" i="38" s="1"/>
  <c r="BD1194" i="38"/>
  <c r="BE1194" i="38" s="1"/>
  <c r="BF1194" i="38" s="1"/>
  <c r="BG1194" i="38" s="1"/>
  <c r="BH1194" i="38" s="1"/>
  <c r="BD1178" i="38"/>
  <c r="BE1178" i="38" s="1"/>
  <c r="BF1178" i="38" s="1"/>
  <c r="BG1178" i="38" s="1"/>
  <c r="BH1178" i="38" s="1"/>
  <c r="BD1162" i="38"/>
  <c r="BE1162" i="38" s="1"/>
  <c r="BF1162" i="38" s="1"/>
  <c r="BG1162" i="38" s="1"/>
  <c r="BH1162" i="38" s="1"/>
  <c r="BD1146" i="38"/>
  <c r="BE1146" i="38" s="1"/>
  <c r="BF1146" i="38" s="1"/>
  <c r="BG1146" i="38" s="1"/>
  <c r="BH1146" i="38" s="1"/>
  <c r="BD1130" i="38"/>
  <c r="BE1130" i="38" s="1"/>
  <c r="BF1130" i="38" s="1"/>
  <c r="BG1130" i="38" s="1"/>
  <c r="BH1130" i="38" s="1"/>
  <c r="BD1114" i="38"/>
  <c r="BE1114" i="38" s="1"/>
  <c r="BF1114" i="38" s="1"/>
  <c r="BG1114" i="38" s="1"/>
  <c r="BH1114" i="38" s="1"/>
  <c r="BD1098" i="38"/>
  <c r="BE1098" i="38" s="1"/>
  <c r="BF1098" i="38" s="1"/>
  <c r="BG1098" i="38" s="1"/>
  <c r="BH1098" i="38" s="1"/>
  <c r="BD1082" i="38"/>
  <c r="BE1082" i="38" s="1"/>
  <c r="BF1082" i="38" s="1"/>
  <c r="BG1082" i="38" s="1"/>
  <c r="BH1082" i="38" s="1"/>
  <c r="BD1066" i="38"/>
  <c r="BE1066" i="38" s="1"/>
  <c r="BF1066" i="38" s="1"/>
  <c r="BG1066" i="38" s="1"/>
  <c r="BH1066" i="38" s="1"/>
  <c r="BD1050" i="38"/>
  <c r="BE1050" i="38" s="1"/>
  <c r="BF1050" i="38" s="1"/>
  <c r="BG1050" i="38" s="1"/>
  <c r="BH1050" i="38" s="1"/>
  <c r="BD1034" i="38"/>
  <c r="BE1034" i="38" s="1"/>
  <c r="BF1034" i="38" s="1"/>
  <c r="BG1034" i="38" s="1"/>
  <c r="BH1034" i="38" s="1"/>
  <c r="BD1018" i="38"/>
  <c r="BE1018" i="38" s="1"/>
  <c r="BF1018" i="38" s="1"/>
  <c r="BG1018" i="38" s="1"/>
  <c r="BH1018" i="38" s="1"/>
  <c r="BD1002" i="38"/>
  <c r="BE1002" i="38" s="1"/>
  <c r="BF1002" i="38" s="1"/>
  <c r="BG1002" i="38" s="1"/>
  <c r="BH1002" i="38" s="1"/>
  <c r="BD986" i="38"/>
  <c r="BE986" i="38" s="1"/>
  <c r="BF986" i="38" s="1"/>
  <c r="BG986" i="38" s="1"/>
  <c r="BH986" i="38" s="1"/>
  <c r="BD970" i="38"/>
  <c r="BE970" i="38" s="1"/>
  <c r="BF970" i="38" s="1"/>
  <c r="BG970" i="38" s="1"/>
  <c r="BH970" i="38" s="1"/>
  <c r="BD954" i="38"/>
  <c r="BE954" i="38" s="1"/>
  <c r="BF954" i="38" s="1"/>
  <c r="BG954" i="38" s="1"/>
  <c r="BH954" i="38" s="1"/>
  <c r="BD938" i="38"/>
  <c r="BE938" i="38" s="1"/>
  <c r="BF938" i="38" s="1"/>
  <c r="BG938" i="38" s="1"/>
  <c r="BH938" i="38" s="1"/>
  <c r="BD922" i="38"/>
  <c r="BE922" i="38" s="1"/>
  <c r="BF922" i="38" s="1"/>
  <c r="BG922" i="38" s="1"/>
  <c r="BH922" i="38" s="1"/>
  <c r="BD906" i="38"/>
  <c r="BE906" i="38" s="1"/>
  <c r="BF906" i="38" s="1"/>
  <c r="BG906" i="38" s="1"/>
  <c r="BH906" i="38" s="1"/>
  <c r="BD890" i="38"/>
  <c r="BE890" i="38" s="1"/>
  <c r="BF890" i="38" s="1"/>
  <c r="BG890" i="38" s="1"/>
  <c r="BH890" i="38" s="1"/>
  <c r="BD874" i="38"/>
  <c r="BE874" i="38" s="1"/>
  <c r="BF874" i="38" s="1"/>
  <c r="BG874" i="38" s="1"/>
  <c r="BH874" i="38" s="1"/>
  <c r="BD858" i="38"/>
  <c r="BE858" i="38" s="1"/>
  <c r="BF858" i="38" s="1"/>
  <c r="BG858" i="38" s="1"/>
  <c r="BH858" i="38" s="1"/>
  <c r="BD842" i="38"/>
  <c r="BE842" i="38" s="1"/>
  <c r="BF842" i="38" s="1"/>
  <c r="BG842" i="38" s="1"/>
  <c r="BH842" i="38" s="1"/>
  <c r="BD826" i="38"/>
  <c r="BE826" i="38" s="1"/>
  <c r="BF826" i="38" s="1"/>
  <c r="BG826" i="38" s="1"/>
  <c r="BH826" i="38" s="1"/>
  <c r="BD810" i="38"/>
  <c r="BE810" i="38" s="1"/>
  <c r="BF810" i="38" s="1"/>
  <c r="BG810" i="38" s="1"/>
  <c r="BH810" i="38" s="1"/>
  <c r="BD794" i="38"/>
  <c r="BE794" i="38" s="1"/>
  <c r="BF794" i="38" s="1"/>
  <c r="BG794" i="38" s="1"/>
  <c r="BH794" i="38" s="1"/>
  <c r="BD778" i="38"/>
  <c r="BE778" i="38" s="1"/>
  <c r="BF778" i="38" s="1"/>
  <c r="BG778" i="38" s="1"/>
  <c r="BH778" i="38" s="1"/>
  <c r="BD762" i="38"/>
  <c r="BE762" i="38" s="1"/>
  <c r="BF762" i="38" s="1"/>
  <c r="BG762" i="38" s="1"/>
  <c r="BH762" i="38" s="1"/>
  <c r="BD746" i="38"/>
  <c r="BE746" i="38" s="1"/>
  <c r="BF746" i="38" s="1"/>
  <c r="BG746" i="38" s="1"/>
  <c r="BH746" i="38" s="1"/>
  <c r="BD730" i="38"/>
  <c r="BE730" i="38" s="1"/>
  <c r="BF730" i="38" s="1"/>
  <c r="BG730" i="38" s="1"/>
  <c r="BH730" i="38" s="1"/>
  <c r="BD2378" i="38"/>
  <c r="BE2378" i="38" s="1"/>
  <c r="BF2378" i="38" s="1"/>
  <c r="BG2378" i="38" s="1"/>
  <c r="BH2378" i="38" s="1"/>
  <c r="BD1556" i="38"/>
  <c r="BE1556" i="38" s="1"/>
  <c r="BF1556" i="38" s="1"/>
  <c r="BG1556" i="38" s="1"/>
  <c r="BH1556" i="38" s="1"/>
  <c r="BD1428" i="38"/>
  <c r="BE1428" i="38" s="1"/>
  <c r="BF1428" i="38" s="1"/>
  <c r="BG1428" i="38" s="1"/>
  <c r="BH1428" i="38" s="1"/>
  <c r="BD1300" i="38"/>
  <c r="BE1300" i="38" s="1"/>
  <c r="BF1300" i="38" s="1"/>
  <c r="BG1300" i="38" s="1"/>
  <c r="BH1300" i="38" s="1"/>
  <c r="BD1208" i="38"/>
  <c r="BE1208" i="38" s="1"/>
  <c r="BF1208" i="38" s="1"/>
  <c r="BG1208" i="38" s="1"/>
  <c r="BH1208" i="38" s="1"/>
  <c r="BD1124" i="38"/>
  <c r="BE1124" i="38" s="1"/>
  <c r="BF1124" i="38" s="1"/>
  <c r="BG1124" i="38" s="1"/>
  <c r="BH1124" i="38" s="1"/>
  <c r="BD1038" i="38"/>
  <c r="BE1038" i="38" s="1"/>
  <c r="BF1038" i="38" s="1"/>
  <c r="BG1038" i="38" s="1"/>
  <c r="BH1038" i="38" s="1"/>
  <c r="BD932" i="38"/>
  <c r="BE932" i="38" s="1"/>
  <c r="BF932" i="38" s="1"/>
  <c r="BG932" i="38" s="1"/>
  <c r="BH932" i="38" s="1"/>
  <c r="BD881" i="38"/>
  <c r="BE881" i="38" s="1"/>
  <c r="BF881" i="38" s="1"/>
  <c r="BG881" i="38" s="1"/>
  <c r="BH881" i="38" s="1"/>
  <c r="BD865" i="38"/>
  <c r="BE865" i="38" s="1"/>
  <c r="BF865" i="38" s="1"/>
  <c r="BG865" i="38" s="1"/>
  <c r="BH865" i="38" s="1"/>
  <c r="BD817" i="38"/>
  <c r="BE817" i="38" s="1"/>
  <c r="BF817" i="38" s="1"/>
  <c r="BG817" i="38" s="1"/>
  <c r="BH817" i="38" s="1"/>
  <c r="BD785" i="38"/>
  <c r="BE785" i="38" s="1"/>
  <c r="BF785" i="38" s="1"/>
  <c r="BG785" i="38" s="1"/>
  <c r="BH785" i="38" s="1"/>
  <c r="BD753" i="38"/>
  <c r="BE753" i="38" s="1"/>
  <c r="BF753" i="38" s="1"/>
  <c r="BG753" i="38" s="1"/>
  <c r="BH753" i="38" s="1"/>
  <c r="BD719" i="38"/>
  <c r="BE719" i="38" s="1"/>
  <c r="BF719" i="38" s="1"/>
  <c r="BG719" i="38" s="1"/>
  <c r="BH719" i="38" s="1"/>
  <c r="BD706" i="38"/>
  <c r="BE706" i="38" s="1"/>
  <c r="BF706" i="38" s="1"/>
  <c r="BG706" i="38" s="1"/>
  <c r="BH706" i="38" s="1"/>
  <c r="BD690" i="38"/>
  <c r="BE690" i="38" s="1"/>
  <c r="BF690" i="38" s="1"/>
  <c r="BG690" i="38" s="1"/>
  <c r="BH690" i="38" s="1"/>
  <c r="BD674" i="38"/>
  <c r="BE674" i="38" s="1"/>
  <c r="BF674" i="38" s="1"/>
  <c r="BG674" i="38" s="1"/>
  <c r="BH674" i="38" s="1"/>
  <c r="BD658" i="38"/>
  <c r="BE658" i="38" s="1"/>
  <c r="BF658" i="38" s="1"/>
  <c r="BG658" i="38" s="1"/>
  <c r="BH658" i="38" s="1"/>
  <c r="BD642" i="38"/>
  <c r="BE642" i="38" s="1"/>
  <c r="BF642" i="38" s="1"/>
  <c r="BG642" i="38" s="1"/>
  <c r="BH642" i="38" s="1"/>
  <c r="BD626" i="38"/>
  <c r="BE626" i="38" s="1"/>
  <c r="BF626" i="38" s="1"/>
  <c r="BG626" i="38" s="1"/>
  <c r="BH626" i="38" s="1"/>
  <c r="BD610" i="38"/>
  <c r="BE610" i="38" s="1"/>
  <c r="BF610" i="38" s="1"/>
  <c r="BG610" i="38" s="1"/>
  <c r="BH610" i="38" s="1"/>
  <c r="BD594" i="38"/>
  <c r="BE594" i="38" s="1"/>
  <c r="BF594" i="38" s="1"/>
  <c r="BG594" i="38" s="1"/>
  <c r="BH594" i="38" s="1"/>
  <c r="BD578" i="38"/>
  <c r="BE578" i="38" s="1"/>
  <c r="BF578" i="38" s="1"/>
  <c r="BG578" i="38" s="1"/>
  <c r="BH578" i="38" s="1"/>
  <c r="BD562" i="38"/>
  <c r="BE562" i="38" s="1"/>
  <c r="BF562" i="38" s="1"/>
  <c r="BG562" i="38" s="1"/>
  <c r="BH562" i="38" s="1"/>
  <c r="BD546" i="38"/>
  <c r="BE546" i="38" s="1"/>
  <c r="BF546" i="38" s="1"/>
  <c r="BG546" i="38" s="1"/>
  <c r="BH546" i="38" s="1"/>
  <c r="BD530" i="38"/>
  <c r="BE530" i="38" s="1"/>
  <c r="BF530" i="38" s="1"/>
  <c r="BG530" i="38" s="1"/>
  <c r="BH530" i="38" s="1"/>
  <c r="BD514" i="38"/>
  <c r="BE514" i="38" s="1"/>
  <c r="BF514" i="38" s="1"/>
  <c r="BG514" i="38" s="1"/>
  <c r="BH514" i="38" s="1"/>
  <c r="BD498" i="38"/>
  <c r="BE498" i="38" s="1"/>
  <c r="BF498" i="38" s="1"/>
  <c r="BG498" i="38" s="1"/>
  <c r="BH498" i="38" s="1"/>
  <c r="BD482" i="38"/>
  <c r="BE482" i="38" s="1"/>
  <c r="BF482" i="38" s="1"/>
  <c r="BG482" i="38" s="1"/>
  <c r="BH482" i="38" s="1"/>
  <c r="BD466" i="38"/>
  <c r="BE466" i="38" s="1"/>
  <c r="BF466" i="38" s="1"/>
  <c r="BG466" i="38" s="1"/>
  <c r="BH466" i="38" s="1"/>
  <c r="BD450" i="38"/>
  <c r="BE450" i="38" s="1"/>
  <c r="BF450" i="38" s="1"/>
  <c r="BG450" i="38" s="1"/>
  <c r="BH450" i="38" s="1"/>
  <c r="BD1502" i="38"/>
  <c r="BE1502" i="38" s="1"/>
  <c r="BF1502" i="38" s="1"/>
  <c r="BG1502" i="38" s="1"/>
  <c r="BH1502" i="38" s="1"/>
  <c r="BD1374" i="38"/>
  <c r="BE1374" i="38" s="1"/>
  <c r="BF1374" i="38" s="1"/>
  <c r="BG1374" i="38" s="1"/>
  <c r="BH1374" i="38" s="1"/>
  <c r="BD1246" i="38"/>
  <c r="BE1246" i="38" s="1"/>
  <c r="BF1246" i="38" s="1"/>
  <c r="BG1246" i="38" s="1"/>
  <c r="BH1246" i="38" s="1"/>
  <c r="BD1224" i="38"/>
  <c r="BE1224" i="38" s="1"/>
  <c r="BF1224" i="38" s="1"/>
  <c r="BG1224" i="38" s="1"/>
  <c r="BH1224" i="38" s="1"/>
  <c r="BD1140" i="38"/>
  <c r="BE1140" i="38" s="1"/>
  <c r="BF1140" i="38" s="1"/>
  <c r="BG1140" i="38" s="1"/>
  <c r="BH1140" i="38" s="1"/>
  <c r="BD1054" i="38"/>
  <c r="BE1054" i="38" s="1"/>
  <c r="BF1054" i="38" s="1"/>
  <c r="BG1054" i="38" s="1"/>
  <c r="BH1054" i="38" s="1"/>
  <c r="BD968" i="38"/>
  <c r="BE968" i="38" s="1"/>
  <c r="BF968" i="38" s="1"/>
  <c r="BG968" i="38" s="1"/>
  <c r="BH968" i="38" s="1"/>
  <c r="BD920" i="38"/>
  <c r="BE920" i="38" s="1"/>
  <c r="BF920" i="38" s="1"/>
  <c r="BG920" i="38" s="1"/>
  <c r="BH920" i="38" s="1"/>
  <c r="BD836" i="38"/>
  <c r="BE836" i="38" s="1"/>
  <c r="BF836" i="38" s="1"/>
  <c r="BG836" i="38" s="1"/>
  <c r="BH836" i="38" s="1"/>
  <c r="BD804" i="38"/>
  <c r="BE804" i="38" s="1"/>
  <c r="BF804" i="38" s="1"/>
  <c r="BG804" i="38" s="1"/>
  <c r="BH804" i="38" s="1"/>
  <c r="BD772" i="38"/>
  <c r="BE772" i="38" s="1"/>
  <c r="BF772" i="38" s="1"/>
  <c r="BG772" i="38" s="1"/>
  <c r="BH772" i="38" s="1"/>
  <c r="BD740" i="38"/>
  <c r="BE740" i="38" s="1"/>
  <c r="BF740" i="38" s="1"/>
  <c r="BG740" i="38" s="1"/>
  <c r="BH740" i="38" s="1"/>
  <c r="BD709" i="38"/>
  <c r="BE709" i="38" s="1"/>
  <c r="BF709" i="38" s="1"/>
  <c r="BG709" i="38" s="1"/>
  <c r="BH709" i="38" s="1"/>
  <c r="BD693" i="38"/>
  <c r="BE693" i="38" s="1"/>
  <c r="BF693" i="38" s="1"/>
  <c r="BG693" i="38" s="1"/>
  <c r="BH693" i="38" s="1"/>
  <c r="BD677" i="38"/>
  <c r="BE677" i="38" s="1"/>
  <c r="BF677" i="38" s="1"/>
  <c r="BG677" i="38" s="1"/>
  <c r="BH677" i="38" s="1"/>
  <c r="BD661" i="38"/>
  <c r="BE661" i="38" s="1"/>
  <c r="BF661" i="38" s="1"/>
  <c r="BG661" i="38" s="1"/>
  <c r="BH661" i="38" s="1"/>
  <c r="BD645" i="38"/>
  <c r="BE645" i="38" s="1"/>
  <c r="BF645" i="38" s="1"/>
  <c r="BG645" i="38" s="1"/>
  <c r="BH645" i="38" s="1"/>
  <c r="BD629" i="38"/>
  <c r="BE629" i="38" s="1"/>
  <c r="BF629" i="38" s="1"/>
  <c r="BG629" i="38" s="1"/>
  <c r="BH629" i="38" s="1"/>
  <c r="BD613" i="38"/>
  <c r="BE613" i="38" s="1"/>
  <c r="BF613" i="38" s="1"/>
  <c r="BG613" i="38" s="1"/>
  <c r="BH613" i="38" s="1"/>
  <c r="BD597" i="38"/>
  <c r="BE597" i="38" s="1"/>
  <c r="BF597" i="38" s="1"/>
  <c r="BG597" i="38" s="1"/>
  <c r="BH597" i="38" s="1"/>
  <c r="BD581" i="38"/>
  <c r="BE581" i="38" s="1"/>
  <c r="BF581" i="38" s="1"/>
  <c r="BG581" i="38" s="1"/>
  <c r="BH581" i="38" s="1"/>
  <c r="BD565" i="38"/>
  <c r="BE565" i="38" s="1"/>
  <c r="BF565" i="38" s="1"/>
  <c r="BG565" i="38" s="1"/>
  <c r="BH565" i="38" s="1"/>
  <c r="BD549" i="38"/>
  <c r="BE549" i="38" s="1"/>
  <c r="BF549" i="38" s="1"/>
  <c r="BG549" i="38" s="1"/>
  <c r="BH549" i="38" s="1"/>
  <c r="BD533" i="38"/>
  <c r="BE533" i="38" s="1"/>
  <c r="BF533" i="38" s="1"/>
  <c r="BG533" i="38" s="1"/>
  <c r="BH533" i="38" s="1"/>
  <c r="BD517" i="38"/>
  <c r="BE517" i="38" s="1"/>
  <c r="BF517" i="38" s="1"/>
  <c r="BG517" i="38" s="1"/>
  <c r="BH517" i="38" s="1"/>
  <c r="BD501" i="38"/>
  <c r="BE501" i="38" s="1"/>
  <c r="BF501" i="38" s="1"/>
  <c r="BG501" i="38" s="1"/>
  <c r="BH501" i="38" s="1"/>
  <c r="BD485" i="38"/>
  <c r="BE485" i="38" s="1"/>
  <c r="BF485" i="38" s="1"/>
  <c r="BG485" i="38" s="1"/>
  <c r="BH485" i="38" s="1"/>
  <c r="BD469" i="38"/>
  <c r="BE469" i="38" s="1"/>
  <c r="BF469" i="38" s="1"/>
  <c r="BG469" i="38" s="1"/>
  <c r="BH469" i="38" s="1"/>
  <c r="BD453" i="38"/>
  <c r="BE453" i="38" s="1"/>
  <c r="BF453" i="38" s="1"/>
  <c r="BG453" i="38" s="1"/>
  <c r="BH453" i="38" s="1"/>
  <c r="BD437" i="38"/>
  <c r="BE437" i="38" s="1"/>
  <c r="BF437" i="38" s="1"/>
  <c r="BG437" i="38" s="1"/>
  <c r="BH437" i="38" s="1"/>
  <c r="BD421" i="38"/>
  <c r="BE421" i="38" s="1"/>
  <c r="BF421" i="38" s="1"/>
  <c r="BG421" i="38" s="1"/>
  <c r="BH421" i="38" s="1"/>
  <c r="BD405" i="38"/>
  <c r="BE405" i="38" s="1"/>
  <c r="BF405" i="38" s="1"/>
  <c r="BG405" i="38" s="1"/>
  <c r="BH405" i="38" s="1"/>
  <c r="BD389" i="38"/>
  <c r="BE389" i="38" s="1"/>
  <c r="BF389" i="38" s="1"/>
  <c r="BG389" i="38" s="1"/>
  <c r="BH389" i="38" s="1"/>
  <c r="BD373" i="38"/>
  <c r="BE373" i="38" s="1"/>
  <c r="BF373" i="38" s="1"/>
  <c r="BG373" i="38" s="1"/>
  <c r="BH373" i="38" s="1"/>
  <c r="BD357" i="38"/>
  <c r="BE357" i="38" s="1"/>
  <c r="BF357" i="38" s="1"/>
  <c r="BG357" i="38" s="1"/>
  <c r="BH357" i="38" s="1"/>
  <c r="BD341" i="38"/>
  <c r="BE341" i="38" s="1"/>
  <c r="BF341" i="38" s="1"/>
  <c r="BG341" i="38" s="1"/>
  <c r="BH341" i="38" s="1"/>
  <c r="BD325" i="38"/>
  <c r="BE325" i="38" s="1"/>
  <c r="BF325" i="38" s="1"/>
  <c r="BG325" i="38" s="1"/>
  <c r="BH325" i="38" s="1"/>
  <c r="BD309" i="38"/>
  <c r="BE309" i="38" s="1"/>
  <c r="BF309" i="38" s="1"/>
  <c r="BG309" i="38" s="1"/>
  <c r="BH309" i="38" s="1"/>
  <c r="BD293" i="38"/>
  <c r="BE293" i="38" s="1"/>
  <c r="BF293" i="38" s="1"/>
  <c r="BG293" i="38" s="1"/>
  <c r="BH293" i="38" s="1"/>
  <c r="BD277" i="38"/>
  <c r="BE277" i="38" s="1"/>
  <c r="BF277" i="38" s="1"/>
  <c r="BG277" i="38" s="1"/>
  <c r="BH277" i="38" s="1"/>
  <c r="BD261" i="38"/>
  <c r="BE261" i="38" s="1"/>
  <c r="BF261" i="38" s="1"/>
  <c r="BG261" i="38" s="1"/>
  <c r="BH261" i="38" s="1"/>
  <c r="BD245" i="38"/>
  <c r="BE245" i="38" s="1"/>
  <c r="BF245" i="38" s="1"/>
  <c r="BG245" i="38" s="1"/>
  <c r="BH245" i="38" s="1"/>
  <c r="BD229" i="38"/>
  <c r="BE229" i="38" s="1"/>
  <c r="BF229" i="38" s="1"/>
  <c r="BG229" i="38" s="1"/>
  <c r="BH229" i="38" s="1"/>
  <c r="BD213" i="38"/>
  <c r="BE213" i="38" s="1"/>
  <c r="BF213" i="38" s="1"/>
  <c r="BG213" i="38" s="1"/>
  <c r="BH213" i="38" s="1"/>
  <c r="BD205" i="38"/>
  <c r="BE205" i="38" s="1"/>
  <c r="BF205" i="38" s="1"/>
  <c r="BG205" i="38" s="1"/>
  <c r="BH205" i="38" s="1"/>
  <c r="BD189" i="38"/>
  <c r="BE189" i="38" s="1"/>
  <c r="BF189" i="38" s="1"/>
  <c r="BG189" i="38" s="1"/>
  <c r="BH189" i="38" s="1"/>
  <c r="BD173" i="38"/>
  <c r="BE173" i="38" s="1"/>
  <c r="BF173" i="38" s="1"/>
  <c r="BG173" i="38" s="1"/>
  <c r="BH173" i="38" s="1"/>
  <c r="BD1604" i="38"/>
  <c r="BE1604" i="38" s="1"/>
  <c r="BF1604" i="38" s="1"/>
  <c r="BG1604" i="38" s="1"/>
  <c r="BH1604" i="38" s="1"/>
  <c r="BD1476" i="38"/>
  <c r="BE1476" i="38" s="1"/>
  <c r="BF1476" i="38" s="1"/>
  <c r="BG1476" i="38" s="1"/>
  <c r="BH1476" i="38" s="1"/>
  <c r="BD1348" i="38"/>
  <c r="BE1348" i="38" s="1"/>
  <c r="BF1348" i="38" s="1"/>
  <c r="BG1348" i="38" s="1"/>
  <c r="BH1348" i="38" s="1"/>
  <c r="BD1156" i="38"/>
  <c r="BE1156" i="38" s="1"/>
  <c r="BF1156" i="38" s="1"/>
  <c r="BG1156" i="38" s="1"/>
  <c r="BH1156" i="38" s="1"/>
  <c r="BD1070" i="38"/>
  <c r="BE1070" i="38" s="1"/>
  <c r="BF1070" i="38" s="1"/>
  <c r="BG1070" i="38" s="1"/>
  <c r="BH1070" i="38" s="1"/>
  <c r="BD984" i="38"/>
  <c r="BE984" i="38" s="1"/>
  <c r="BF984" i="38" s="1"/>
  <c r="BG984" i="38" s="1"/>
  <c r="BH984" i="38" s="1"/>
  <c r="BD955" i="38"/>
  <c r="BE955" i="38" s="1"/>
  <c r="BF955" i="38" s="1"/>
  <c r="BG955" i="38" s="1"/>
  <c r="BH955" i="38" s="1"/>
  <c r="BD910" i="38"/>
  <c r="BE910" i="38" s="1"/>
  <c r="BF910" i="38" s="1"/>
  <c r="BG910" i="38" s="1"/>
  <c r="BH910" i="38" s="1"/>
  <c r="BD900" i="38"/>
  <c r="BE900" i="38" s="1"/>
  <c r="BF900" i="38" s="1"/>
  <c r="BG900" i="38" s="1"/>
  <c r="BH900" i="38" s="1"/>
  <c r="BD856" i="38"/>
  <c r="BE856" i="38" s="1"/>
  <c r="BF856" i="38" s="1"/>
  <c r="BG856" i="38" s="1"/>
  <c r="BH856" i="38" s="1"/>
  <c r="BD822" i="38"/>
  <c r="BE822" i="38" s="1"/>
  <c r="BF822" i="38" s="1"/>
  <c r="BG822" i="38" s="1"/>
  <c r="BH822" i="38" s="1"/>
  <c r="BD790" i="38"/>
  <c r="BE790" i="38" s="1"/>
  <c r="BF790" i="38" s="1"/>
  <c r="BG790" i="38" s="1"/>
  <c r="BH790" i="38" s="1"/>
  <c r="BD1550" i="38"/>
  <c r="BE1550" i="38" s="1"/>
  <c r="BF1550" i="38" s="1"/>
  <c r="BG1550" i="38" s="1"/>
  <c r="BH1550" i="38" s="1"/>
  <c r="BD1422" i="38"/>
  <c r="BE1422" i="38" s="1"/>
  <c r="BF1422" i="38" s="1"/>
  <c r="BG1422" i="38" s="1"/>
  <c r="BH1422" i="38" s="1"/>
  <c r="BD1294" i="38"/>
  <c r="BE1294" i="38" s="1"/>
  <c r="BF1294" i="38" s="1"/>
  <c r="BG1294" i="38" s="1"/>
  <c r="BH1294" i="38" s="1"/>
  <c r="BD1172" i="38"/>
  <c r="BE1172" i="38" s="1"/>
  <c r="BF1172" i="38" s="1"/>
  <c r="BG1172" i="38" s="1"/>
  <c r="BH1172" i="38" s="1"/>
  <c r="BD1086" i="38"/>
  <c r="BE1086" i="38" s="1"/>
  <c r="BF1086" i="38" s="1"/>
  <c r="BG1086" i="38" s="1"/>
  <c r="BH1086" i="38" s="1"/>
  <c r="BD1000" i="38"/>
  <c r="BE1000" i="38" s="1"/>
  <c r="BF1000" i="38" s="1"/>
  <c r="BG1000" i="38" s="1"/>
  <c r="BH1000" i="38" s="1"/>
  <c r="BD942" i="38"/>
  <c r="BE942" i="38" s="1"/>
  <c r="BF942" i="38" s="1"/>
  <c r="BG942" i="38" s="1"/>
  <c r="BH942" i="38" s="1"/>
  <c r="BD888" i="38"/>
  <c r="BE888" i="38" s="1"/>
  <c r="BF888" i="38" s="1"/>
  <c r="BG888" i="38" s="1"/>
  <c r="BH888" i="38" s="1"/>
  <c r="BD849" i="38"/>
  <c r="BE849" i="38" s="1"/>
  <c r="BF849" i="38" s="1"/>
  <c r="BG849" i="38" s="1"/>
  <c r="BH849" i="38" s="1"/>
  <c r="BD828" i="38"/>
  <c r="BE828" i="38" s="1"/>
  <c r="BF828" i="38" s="1"/>
  <c r="BG828" i="38" s="1"/>
  <c r="BH828" i="38" s="1"/>
  <c r="BD796" i="38"/>
  <c r="BE796" i="38" s="1"/>
  <c r="BF796" i="38" s="1"/>
  <c r="BG796" i="38" s="1"/>
  <c r="BH796" i="38" s="1"/>
  <c r="BD764" i="38"/>
  <c r="BE764" i="38" s="1"/>
  <c r="BF764" i="38" s="1"/>
  <c r="BG764" i="38" s="1"/>
  <c r="BH764" i="38" s="1"/>
  <c r="BD732" i="38"/>
  <c r="BE732" i="38" s="1"/>
  <c r="BF732" i="38" s="1"/>
  <c r="BG732" i="38" s="1"/>
  <c r="BH732" i="38" s="1"/>
  <c r="BD715" i="38"/>
  <c r="BE715" i="38" s="1"/>
  <c r="BF715" i="38" s="1"/>
  <c r="BG715" i="38" s="1"/>
  <c r="BH715" i="38" s="1"/>
  <c r="BD699" i="38"/>
  <c r="BE699" i="38" s="1"/>
  <c r="BF699" i="38" s="1"/>
  <c r="BG699" i="38" s="1"/>
  <c r="BH699" i="38" s="1"/>
  <c r="BD683" i="38"/>
  <c r="BE683" i="38" s="1"/>
  <c r="BF683" i="38" s="1"/>
  <c r="BG683" i="38" s="1"/>
  <c r="BH683" i="38" s="1"/>
  <c r="BD667" i="38"/>
  <c r="BE667" i="38" s="1"/>
  <c r="BF667" i="38" s="1"/>
  <c r="BG667" i="38" s="1"/>
  <c r="BH667" i="38" s="1"/>
  <c r="BD651" i="38"/>
  <c r="BE651" i="38" s="1"/>
  <c r="BF651" i="38" s="1"/>
  <c r="BG651" i="38" s="1"/>
  <c r="BH651" i="38" s="1"/>
  <c r="BD635" i="38"/>
  <c r="BE635" i="38" s="1"/>
  <c r="BF635" i="38" s="1"/>
  <c r="BG635" i="38" s="1"/>
  <c r="BH635" i="38" s="1"/>
  <c r="BD619" i="38"/>
  <c r="BE619" i="38" s="1"/>
  <c r="BF619" i="38" s="1"/>
  <c r="BG619" i="38" s="1"/>
  <c r="BH619" i="38" s="1"/>
  <c r="BD603" i="38"/>
  <c r="BE603" i="38" s="1"/>
  <c r="BF603" i="38" s="1"/>
  <c r="BG603" i="38" s="1"/>
  <c r="BH603" i="38" s="1"/>
  <c r="BD587" i="38"/>
  <c r="BE587" i="38" s="1"/>
  <c r="BF587" i="38" s="1"/>
  <c r="BG587" i="38" s="1"/>
  <c r="BH587" i="38" s="1"/>
  <c r="BD571" i="38"/>
  <c r="BE571" i="38" s="1"/>
  <c r="BF571" i="38" s="1"/>
  <c r="BG571" i="38" s="1"/>
  <c r="BH571" i="38" s="1"/>
  <c r="BD555" i="38"/>
  <c r="BE555" i="38" s="1"/>
  <c r="BF555" i="38" s="1"/>
  <c r="BG555" i="38" s="1"/>
  <c r="BH555" i="38" s="1"/>
  <c r="BD539" i="38"/>
  <c r="BE539" i="38" s="1"/>
  <c r="BF539" i="38" s="1"/>
  <c r="BG539" i="38" s="1"/>
  <c r="BH539" i="38" s="1"/>
  <c r="BD523" i="38"/>
  <c r="BE523" i="38" s="1"/>
  <c r="BF523" i="38" s="1"/>
  <c r="BG523" i="38" s="1"/>
  <c r="BH523" i="38" s="1"/>
  <c r="BD507" i="38"/>
  <c r="BE507" i="38" s="1"/>
  <c r="BF507" i="38" s="1"/>
  <c r="BG507" i="38" s="1"/>
  <c r="BH507" i="38" s="1"/>
  <c r="BD491" i="38"/>
  <c r="BE491" i="38" s="1"/>
  <c r="BF491" i="38" s="1"/>
  <c r="BG491" i="38" s="1"/>
  <c r="BH491" i="38" s="1"/>
  <c r="BD475" i="38"/>
  <c r="BE475" i="38" s="1"/>
  <c r="BF475" i="38" s="1"/>
  <c r="BG475" i="38" s="1"/>
  <c r="BH475" i="38" s="1"/>
  <c r="BD459" i="38"/>
  <c r="BE459" i="38" s="1"/>
  <c r="BF459" i="38" s="1"/>
  <c r="BG459" i="38" s="1"/>
  <c r="BH459" i="38" s="1"/>
  <c r="BD443" i="38"/>
  <c r="BE443" i="38" s="1"/>
  <c r="BF443" i="38" s="1"/>
  <c r="BG443" i="38" s="1"/>
  <c r="BH443" i="38" s="1"/>
  <c r="BD427" i="38"/>
  <c r="BE427" i="38" s="1"/>
  <c r="BF427" i="38" s="1"/>
  <c r="BG427" i="38" s="1"/>
  <c r="BH427" i="38" s="1"/>
  <c r="BD411" i="38"/>
  <c r="BE411" i="38" s="1"/>
  <c r="BF411" i="38" s="1"/>
  <c r="BG411" i="38" s="1"/>
  <c r="BH411" i="38" s="1"/>
  <c r="BD395" i="38"/>
  <c r="BE395" i="38" s="1"/>
  <c r="BF395" i="38" s="1"/>
  <c r="BG395" i="38" s="1"/>
  <c r="BH395" i="38" s="1"/>
  <c r="BD379" i="38"/>
  <c r="BE379" i="38" s="1"/>
  <c r="BF379" i="38" s="1"/>
  <c r="BG379" i="38" s="1"/>
  <c r="BH379" i="38" s="1"/>
  <c r="BD363" i="38"/>
  <c r="BE363" i="38" s="1"/>
  <c r="BF363" i="38" s="1"/>
  <c r="BG363" i="38" s="1"/>
  <c r="BH363" i="38" s="1"/>
  <c r="BD347" i="38"/>
  <c r="BE347" i="38" s="1"/>
  <c r="BF347" i="38" s="1"/>
  <c r="BG347" i="38" s="1"/>
  <c r="BH347" i="38" s="1"/>
  <c r="BD331" i="38"/>
  <c r="BE331" i="38" s="1"/>
  <c r="BF331" i="38" s="1"/>
  <c r="BG331" i="38" s="1"/>
  <c r="BH331" i="38" s="1"/>
  <c r="BD315" i="38"/>
  <c r="BE315" i="38" s="1"/>
  <c r="BF315" i="38" s="1"/>
  <c r="BG315" i="38" s="1"/>
  <c r="BH315" i="38" s="1"/>
  <c r="BD299" i="38"/>
  <c r="BE299" i="38" s="1"/>
  <c r="BF299" i="38" s="1"/>
  <c r="BG299" i="38" s="1"/>
  <c r="BH299" i="38" s="1"/>
  <c r="BD283" i="38"/>
  <c r="BE283" i="38" s="1"/>
  <c r="BF283" i="38" s="1"/>
  <c r="BG283" i="38" s="1"/>
  <c r="BH283" i="38" s="1"/>
  <c r="BD267" i="38"/>
  <c r="BE267" i="38" s="1"/>
  <c r="BF267" i="38" s="1"/>
  <c r="BG267" i="38" s="1"/>
  <c r="BH267" i="38" s="1"/>
  <c r="BD251" i="38"/>
  <c r="BE251" i="38" s="1"/>
  <c r="BF251" i="38" s="1"/>
  <c r="BG251" i="38" s="1"/>
  <c r="BH251" i="38" s="1"/>
  <c r="BD235" i="38"/>
  <c r="BE235" i="38" s="1"/>
  <c r="BF235" i="38" s="1"/>
  <c r="BG235" i="38" s="1"/>
  <c r="BH235" i="38" s="1"/>
  <c r="BD219" i="38"/>
  <c r="BE219" i="38" s="1"/>
  <c r="BF219" i="38" s="1"/>
  <c r="BG219" i="38" s="1"/>
  <c r="BH219" i="38" s="1"/>
  <c r="BD203" i="38"/>
  <c r="BE203" i="38" s="1"/>
  <c r="BF203" i="38" s="1"/>
  <c r="BG203" i="38" s="1"/>
  <c r="BH203" i="38" s="1"/>
  <c r="BD187" i="38"/>
  <c r="BE187" i="38" s="1"/>
  <c r="BF187" i="38" s="1"/>
  <c r="BG187" i="38" s="1"/>
  <c r="BH187" i="38" s="1"/>
  <c r="BD171" i="38"/>
  <c r="BE171" i="38" s="1"/>
  <c r="BF171" i="38" s="1"/>
  <c r="BG171" i="38" s="1"/>
  <c r="BH171" i="38" s="1"/>
  <c r="BD155" i="38"/>
  <c r="BE155" i="38" s="1"/>
  <c r="BF155" i="38" s="1"/>
  <c r="BG155" i="38" s="1"/>
  <c r="BH155" i="38" s="1"/>
  <c r="BD139" i="38"/>
  <c r="BE139" i="38" s="1"/>
  <c r="BF139" i="38" s="1"/>
  <c r="BG139" i="38" s="1"/>
  <c r="BH139" i="38" s="1"/>
  <c r="BD132" i="38"/>
  <c r="BE132" i="38" s="1"/>
  <c r="BF132" i="38" s="1"/>
  <c r="BG132" i="38" s="1"/>
  <c r="BH132" i="38" s="1"/>
  <c r="BD102" i="38"/>
  <c r="BE102" i="38" s="1"/>
  <c r="BF102" i="38" s="1"/>
  <c r="BG102" i="38" s="1"/>
  <c r="BH102" i="38" s="1"/>
  <c r="BD98" i="38"/>
  <c r="BE98" i="38" s="1"/>
  <c r="BF98" i="38" s="1"/>
  <c r="BG98" i="38" s="1"/>
  <c r="BH98" i="38" s="1"/>
  <c r="BD94" i="38"/>
  <c r="BE94" i="38" s="1"/>
  <c r="BF94" i="38" s="1"/>
  <c r="BG94" i="38" s="1"/>
  <c r="BH94" i="38" s="1"/>
  <c r="BD2270" i="38"/>
  <c r="BE2270" i="38" s="1"/>
  <c r="BF2270" i="38" s="1"/>
  <c r="BG2270" i="38" s="1"/>
  <c r="BH2270" i="38" s="1"/>
  <c r="BD1986" i="38"/>
  <c r="BE1986" i="38" s="1"/>
  <c r="BF1986" i="38" s="1"/>
  <c r="BG1986" i="38" s="1"/>
  <c r="BH1986" i="38" s="1"/>
  <c r="BD1720" i="38"/>
  <c r="BE1720" i="38" s="1"/>
  <c r="BF1720" i="38" s="1"/>
  <c r="BG1720" i="38" s="1"/>
  <c r="BH1720" i="38" s="1"/>
  <c r="BD1524" i="38"/>
  <c r="BE1524" i="38" s="1"/>
  <c r="BF1524" i="38" s="1"/>
  <c r="BG1524" i="38" s="1"/>
  <c r="BH1524" i="38" s="1"/>
  <c r="BD1396" i="38"/>
  <c r="BE1396" i="38" s="1"/>
  <c r="BF1396" i="38" s="1"/>
  <c r="BG1396" i="38" s="1"/>
  <c r="BH1396" i="38" s="1"/>
  <c r="BD1268" i="38"/>
  <c r="BE1268" i="38" s="1"/>
  <c r="BF1268" i="38" s="1"/>
  <c r="BG1268" i="38" s="1"/>
  <c r="BH1268" i="38" s="1"/>
  <c r="BD1188" i="38"/>
  <c r="BE1188" i="38" s="1"/>
  <c r="BF1188" i="38" s="1"/>
  <c r="BG1188" i="38" s="1"/>
  <c r="BH1188" i="38" s="1"/>
  <c r="BD1102" i="38"/>
  <c r="BE1102" i="38" s="1"/>
  <c r="BF1102" i="38" s="1"/>
  <c r="BG1102" i="38" s="1"/>
  <c r="BH1102" i="38" s="1"/>
  <c r="BD1016" i="38"/>
  <c r="BE1016" i="38" s="1"/>
  <c r="BF1016" i="38" s="1"/>
  <c r="BG1016" i="38" s="1"/>
  <c r="BH1016" i="38" s="1"/>
  <c r="BD870" i="38"/>
  <c r="BE870" i="38" s="1"/>
  <c r="BF870" i="38" s="1"/>
  <c r="BG870" i="38" s="1"/>
  <c r="BH870" i="38" s="1"/>
  <c r="BD815" i="38"/>
  <c r="BE815" i="38" s="1"/>
  <c r="BF815" i="38" s="1"/>
  <c r="BG815" i="38" s="1"/>
  <c r="BH815" i="38" s="1"/>
  <c r="BD783" i="38"/>
  <c r="BE783" i="38" s="1"/>
  <c r="BF783" i="38" s="1"/>
  <c r="BG783" i="38" s="1"/>
  <c r="BH783" i="38" s="1"/>
  <c r="BD751" i="38"/>
  <c r="BE751" i="38" s="1"/>
  <c r="BF751" i="38" s="1"/>
  <c r="BG751" i="38" s="1"/>
  <c r="BH751" i="38" s="1"/>
  <c r="BD702" i="38"/>
  <c r="BE702" i="38" s="1"/>
  <c r="BF702" i="38" s="1"/>
  <c r="BG702" i="38" s="1"/>
  <c r="BH702" i="38" s="1"/>
  <c r="BD686" i="38"/>
  <c r="BE686" i="38" s="1"/>
  <c r="BF686" i="38" s="1"/>
  <c r="BG686" i="38" s="1"/>
  <c r="BH686" i="38" s="1"/>
  <c r="BD670" i="38"/>
  <c r="BE670" i="38" s="1"/>
  <c r="BF670" i="38" s="1"/>
  <c r="BG670" i="38" s="1"/>
  <c r="BH670" i="38" s="1"/>
  <c r="BD654" i="38"/>
  <c r="BE654" i="38" s="1"/>
  <c r="BF654" i="38" s="1"/>
  <c r="BG654" i="38" s="1"/>
  <c r="BH654" i="38" s="1"/>
  <c r="BD638" i="38"/>
  <c r="BE638" i="38" s="1"/>
  <c r="BF638" i="38" s="1"/>
  <c r="BG638" i="38" s="1"/>
  <c r="BH638" i="38" s="1"/>
  <c r="BD622" i="38"/>
  <c r="BE622" i="38" s="1"/>
  <c r="BF622" i="38" s="1"/>
  <c r="BG622" i="38" s="1"/>
  <c r="BH622" i="38" s="1"/>
  <c r="BD606" i="38"/>
  <c r="BE606" i="38" s="1"/>
  <c r="BF606" i="38" s="1"/>
  <c r="BG606" i="38" s="1"/>
  <c r="BH606" i="38" s="1"/>
  <c r="BD590" i="38"/>
  <c r="BE590" i="38" s="1"/>
  <c r="BF590" i="38" s="1"/>
  <c r="BG590" i="38" s="1"/>
  <c r="BH590" i="38" s="1"/>
  <c r="BD574" i="38"/>
  <c r="BE574" i="38" s="1"/>
  <c r="BF574" i="38" s="1"/>
  <c r="BG574" i="38" s="1"/>
  <c r="BH574" i="38" s="1"/>
  <c r="BD558" i="38"/>
  <c r="BE558" i="38" s="1"/>
  <c r="BF558" i="38" s="1"/>
  <c r="BG558" i="38" s="1"/>
  <c r="BH558" i="38" s="1"/>
  <c r="BD542" i="38"/>
  <c r="BE542" i="38" s="1"/>
  <c r="BF542" i="38" s="1"/>
  <c r="BG542" i="38" s="1"/>
  <c r="BH542" i="38" s="1"/>
  <c r="BD526" i="38"/>
  <c r="BE526" i="38" s="1"/>
  <c r="BF526" i="38" s="1"/>
  <c r="BG526" i="38" s="1"/>
  <c r="BH526" i="38" s="1"/>
  <c r="BD510" i="38"/>
  <c r="BE510" i="38" s="1"/>
  <c r="BF510" i="38" s="1"/>
  <c r="BG510" i="38" s="1"/>
  <c r="BH510" i="38" s="1"/>
  <c r="BD494" i="38"/>
  <c r="BE494" i="38" s="1"/>
  <c r="BF494" i="38" s="1"/>
  <c r="BG494" i="38" s="1"/>
  <c r="BH494" i="38" s="1"/>
  <c r="BD478" i="38"/>
  <c r="BE478" i="38" s="1"/>
  <c r="BF478" i="38" s="1"/>
  <c r="BG478" i="38" s="1"/>
  <c r="BH478" i="38" s="1"/>
  <c r="BD462" i="38"/>
  <c r="BE462" i="38" s="1"/>
  <c r="BF462" i="38" s="1"/>
  <c r="BG462" i="38" s="1"/>
  <c r="BH462" i="38" s="1"/>
  <c r="BD446" i="38"/>
  <c r="BE446" i="38" s="1"/>
  <c r="BF446" i="38" s="1"/>
  <c r="BG446" i="38" s="1"/>
  <c r="BH446" i="38" s="1"/>
  <c r="BD430" i="38"/>
  <c r="BE430" i="38" s="1"/>
  <c r="BF430" i="38" s="1"/>
  <c r="BG430" i="38" s="1"/>
  <c r="BH430" i="38" s="1"/>
  <c r="BD414" i="38"/>
  <c r="BE414" i="38" s="1"/>
  <c r="BF414" i="38" s="1"/>
  <c r="BG414" i="38" s="1"/>
  <c r="BH414" i="38" s="1"/>
  <c r="BD398" i="38"/>
  <c r="BE398" i="38" s="1"/>
  <c r="BF398" i="38" s="1"/>
  <c r="BG398" i="38" s="1"/>
  <c r="BH398" i="38" s="1"/>
  <c r="BD382" i="38"/>
  <c r="BE382" i="38" s="1"/>
  <c r="BF382" i="38" s="1"/>
  <c r="BG382" i="38" s="1"/>
  <c r="BH382" i="38" s="1"/>
  <c r="BD366" i="38"/>
  <c r="BE366" i="38" s="1"/>
  <c r="BF366" i="38" s="1"/>
  <c r="BG366" i="38" s="1"/>
  <c r="BH366" i="38" s="1"/>
  <c r="BD350" i="38"/>
  <c r="BE350" i="38" s="1"/>
  <c r="BF350" i="38" s="1"/>
  <c r="BG350" i="38" s="1"/>
  <c r="BH350" i="38" s="1"/>
  <c r="BD334" i="38"/>
  <c r="BE334" i="38" s="1"/>
  <c r="BF334" i="38" s="1"/>
  <c r="BG334" i="38" s="1"/>
  <c r="BH334" i="38" s="1"/>
  <c r="BD318" i="38"/>
  <c r="BE318" i="38" s="1"/>
  <c r="BF318" i="38" s="1"/>
  <c r="BG318" i="38" s="1"/>
  <c r="BH318" i="38" s="1"/>
  <c r="BD302" i="38"/>
  <c r="BE302" i="38" s="1"/>
  <c r="BF302" i="38" s="1"/>
  <c r="BG302" i="38" s="1"/>
  <c r="BH302" i="38" s="1"/>
  <c r="BD286" i="38"/>
  <c r="BE286" i="38" s="1"/>
  <c r="BF286" i="38" s="1"/>
  <c r="BG286" i="38" s="1"/>
  <c r="BH286" i="38" s="1"/>
  <c r="BD270" i="38"/>
  <c r="BE270" i="38" s="1"/>
  <c r="BF270" i="38" s="1"/>
  <c r="BG270" i="38" s="1"/>
  <c r="BH270" i="38" s="1"/>
  <c r="BD254" i="38"/>
  <c r="BE254" i="38" s="1"/>
  <c r="BF254" i="38" s="1"/>
  <c r="BG254" i="38" s="1"/>
  <c r="BH254" i="38" s="1"/>
  <c r="BD238" i="38"/>
  <c r="BE238" i="38" s="1"/>
  <c r="BF238" i="38" s="1"/>
  <c r="BG238" i="38" s="1"/>
  <c r="BH238" i="38" s="1"/>
  <c r="BD222" i="38"/>
  <c r="BE222" i="38" s="1"/>
  <c r="BF222" i="38" s="1"/>
  <c r="BG222" i="38" s="1"/>
  <c r="BH222" i="38" s="1"/>
  <c r="BD210" i="38"/>
  <c r="BE210" i="38" s="1"/>
  <c r="BF210" i="38" s="1"/>
  <c r="BG210" i="38" s="1"/>
  <c r="BH210" i="38" s="1"/>
  <c r="BD194" i="38"/>
  <c r="BE194" i="38" s="1"/>
  <c r="BF194" i="38" s="1"/>
  <c r="BG194" i="38" s="1"/>
  <c r="BH194" i="38" s="1"/>
  <c r="BD178" i="38"/>
  <c r="BE178" i="38" s="1"/>
  <c r="BF178" i="38" s="1"/>
  <c r="BG178" i="38" s="1"/>
  <c r="BH178" i="38" s="1"/>
  <c r="BD162" i="38"/>
  <c r="BE162" i="38" s="1"/>
  <c r="BF162" i="38" s="1"/>
  <c r="BG162" i="38" s="1"/>
  <c r="BH162" i="38" s="1"/>
  <c r="BD146" i="38"/>
  <c r="BE146" i="38" s="1"/>
  <c r="BF146" i="38" s="1"/>
  <c r="BG146" i="38" s="1"/>
  <c r="BH146" i="38" s="1"/>
  <c r="BD1598" i="38"/>
  <c r="BE1598" i="38" s="1"/>
  <c r="BF1598" i="38" s="1"/>
  <c r="BG1598" i="38" s="1"/>
  <c r="BH1598" i="38" s="1"/>
  <c r="BD1470" i="38"/>
  <c r="BE1470" i="38" s="1"/>
  <c r="BF1470" i="38" s="1"/>
  <c r="BG1470" i="38" s="1"/>
  <c r="BH1470" i="38" s="1"/>
  <c r="BD1342" i="38"/>
  <c r="BE1342" i="38" s="1"/>
  <c r="BF1342" i="38" s="1"/>
  <c r="BG1342" i="38" s="1"/>
  <c r="BH1342" i="38" s="1"/>
  <c r="BD1204" i="38"/>
  <c r="BE1204" i="38" s="1"/>
  <c r="BF1204" i="38" s="1"/>
  <c r="BG1204" i="38" s="1"/>
  <c r="BH1204" i="38" s="1"/>
  <c r="BD1118" i="38"/>
  <c r="BE1118" i="38" s="1"/>
  <c r="BF1118" i="38" s="1"/>
  <c r="BG1118" i="38" s="1"/>
  <c r="BH1118" i="38" s="1"/>
  <c r="BD1032" i="38"/>
  <c r="BE1032" i="38" s="1"/>
  <c r="BF1032" i="38" s="1"/>
  <c r="BG1032" i="38" s="1"/>
  <c r="BH1032" i="38" s="1"/>
  <c r="BD952" i="38"/>
  <c r="BE952" i="38" s="1"/>
  <c r="BF952" i="38" s="1"/>
  <c r="BG952" i="38" s="1"/>
  <c r="BH952" i="38" s="1"/>
  <c r="BD918" i="38"/>
  <c r="BE918" i="38" s="1"/>
  <c r="BF918" i="38" s="1"/>
  <c r="BG918" i="38" s="1"/>
  <c r="BH918" i="38" s="1"/>
  <c r="BD878" i="38"/>
  <c r="BE878" i="38" s="1"/>
  <c r="BF878" i="38" s="1"/>
  <c r="BG878" i="38" s="1"/>
  <c r="BH878" i="38" s="1"/>
  <c r="BD840" i="38"/>
  <c r="BE840" i="38" s="1"/>
  <c r="BF840" i="38" s="1"/>
  <c r="BG840" i="38" s="1"/>
  <c r="BH840" i="38" s="1"/>
  <c r="BD808" i="38"/>
  <c r="BE808" i="38" s="1"/>
  <c r="BF808" i="38" s="1"/>
  <c r="BG808" i="38" s="1"/>
  <c r="BH808" i="38" s="1"/>
  <c r="BD776" i="38"/>
  <c r="BE776" i="38" s="1"/>
  <c r="BF776" i="38" s="1"/>
  <c r="BG776" i="38" s="1"/>
  <c r="BH776" i="38" s="1"/>
  <c r="BD744" i="38"/>
  <c r="BE744" i="38" s="1"/>
  <c r="BF744" i="38" s="1"/>
  <c r="BG744" i="38" s="1"/>
  <c r="BH744" i="38" s="1"/>
  <c r="BD718" i="38"/>
  <c r="BE718" i="38" s="1"/>
  <c r="BF718" i="38" s="1"/>
  <c r="BG718" i="38" s="1"/>
  <c r="BH718" i="38" s="1"/>
  <c r="BD705" i="38"/>
  <c r="BE705" i="38" s="1"/>
  <c r="BF705" i="38" s="1"/>
  <c r="BG705" i="38" s="1"/>
  <c r="BH705" i="38" s="1"/>
  <c r="BD689" i="38"/>
  <c r="BE689" i="38" s="1"/>
  <c r="BF689" i="38" s="1"/>
  <c r="BG689" i="38" s="1"/>
  <c r="BH689" i="38" s="1"/>
  <c r="BD673" i="38"/>
  <c r="BE673" i="38" s="1"/>
  <c r="BF673" i="38" s="1"/>
  <c r="BG673" i="38" s="1"/>
  <c r="BH673" i="38" s="1"/>
  <c r="BD657" i="38"/>
  <c r="BE657" i="38" s="1"/>
  <c r="BF657" i="38" s="1"/>
  <c r="BG657" i="38" s="1"/>
  <c r="BH657" i="38" s="1"/>
  <c r="BD641" i="38"/>
  <c r="BE641" i="38" s="1"/>
  <c r="BF641" i="38" s="1"/>
  <c r="BG641" i="38" s="1"/>
  <c r="BH641" i="38" s="1"/>
  <c r="BD625" i="38"/>
  <c r="BE625" i="38" s="1"/>
  <c r="BF625" i="38" s="1"/>
  <c r="BG625" i="38" s="1"/>
  <c r="BH625" i="38" s="1"/>
  <c r="BD609" i="38"/>
  <c r="BE609" i="38" s="1"/>
  <c r="BF609" i="38" s="1"/>
  <c r="BG609" i="38" s="1"/>
  <c r="BH609" i="38" s="1"/>
  <c r="BD593" i="38"/>
  <c r="BE593" i="38" s="1"/>
  <c r="BF593" i="38" s="1"/>
  <c r="BG593" i="38" s="1"/>
  <c r="BH593" i="38" s="1"/>
  <c r="BD577" i="38"/>
  <c r="BE577" i="38" s="1"/>
  <c r="BF577" i="38" s="1"/>
  <c r="BG577" i="38" s="1"/>
  <c r="BH577" i="38" s="1"/>
  <c r="BD561" i="38"/>
  <c r="BE561" i="38" s="1"/>
  <c r="BF561" i="38" s="1"/>
  <c r="BG561" i="38" s="1"/>
  <c r="BH561" i="38" s="1"/>
  <c r="BD545" i="38"/>
  <c r="BE545" i="38" s="1"/>
  <c r="BF545" i="38" s="1"/>
  <c r="BG545" i="38" s="1"/>
  <c r="BH545" i="38" s="1"/>
  <c r="BD529" i="38"/>
  <c r="BE529" i="38" s="1"/>
  <c r="BF529" i="38" s="1"/>
  <c r="BG529" i="38" s="1"/>
  <c r="BH529" i="38" s="1"/>
  <c r="BD513" i="38"/>
  <c r="BE513" i="38" s="1"/>
  <c r="BF513" i="38" s="1"/>
  <c r="BG513" i="38" s="1"/>
  <c r="BH513" i="38" s="1"/>
  <c r="BD1572" i="38"/>
  <c r="BE1572" i="38" s="1"/>
  <c r="BF1572" i="38" s="1"/>
  <c r="BG1572" i="38" s="1"/>
  <c r="BH1572" i="38" s="1"/>
  <c r="BD1444" i="38"/>
  <c r="BE1444" i="38" s="1"/>
  <c r="BF1444" i="38" s="1"/>
  <c r="BG1444" i="38" s="1"/>
  <c r="BH1444" i="38" s="1"/>
  <c r="BD1316" i="38"/>
  <c r="BE1316" i="38" s="1"/>
  <c r="BF1316" i="38" s="1"/>
  <c r="BG1316" i="38" s="1"/>
  <c r="BH1316" i="38" s="1"/>
  <c r="BD1220" i="38"/>
  <c r="BE1220" i="38" s="1"/>
  <c r="BF1220" i="38" s="1"/>
  <c r="BG1220" i="38" s="1"/>
  <c r="BH1220" i="38" s="1"/>
  <c r="BD1134" i="38"/>
  <c r="BE1134" i="38" s="1"/>
  <c r="BF1134" i="38" s="1"/>
  <c r="BG1134" i="38" s="1"/>
  <c r="BH1134" i="38" s="1"/>
  <c r="BD1048" i="38"/>
  <c r="BE1048" i="38" s="1"/>
  <c r="BF1048" i="38" s="1"/>
  <c r="BG1048" i="38" s="1"/>
  <c r="BH1048" i="38" s="1"/>
  <c r="BD939" i="38"/>
  <c r="BE939" i="38" s="1"/>
  <c r="BF939" i="38" s="1"/>
  <c r="BG939" i="38" s="1"/>
  <c r="BH939" i="38" s="1"/>
  <c r="BD907" i="38"/>
  <c r="BE907" i="38" s="1"/>
  <c r="BF907" i="38" s="1"/>
  <c r="BG907" i="38" s="1"/>
  <c r="BH907" i="38" s="1"/>
  <c r="BD862" i="38"/>
  <c r="BE862" i="38" s="1"/>
  <c r="BF862" i="38" s="1"/>
  <c r="BG862" i="38" s="1"/>
  <c r="BH862" i="38" s="1"/>
  <c r="BD827" i="38"/>
  <c r="BE827" i="38" s="1"/>
  <c r="BF827" i="38" s="1"/>
  <c r="BG827" i="38" s="1"/>
  <c r="BH827" i="38" s="1"/>
  <c r="BD795" i="38"/>
  <c r="BE795" i="38" s="1"/>
  <c r="BF795" i="38" s="1"/>
  <c r="BG795" i="38" s="1"/>
  <c r="BH795" i="38" s="1"/>
  <c r="BD763" i="38"/>
  <c r="BE763" i="38" s="1"/>
  <c r="BF763" i="38" s="1"/>
  <c r="BG763" i="38" s="1"/>
  <c r="BH763" i="38" s="1"/>
  <c r="BD731" i="38"/>
  <c r="BE731" i="38" s="1"/>
  <c r="BF731" i="38" s="1"/>
  <c r="BG731" i="38" s="1"/>
  <c r="BH731" i="38" s="1"/>
  <c r="BD708" i="38"/>
  <c r="BE708" i="38" s="1"/>
  <c r="BF708" i="38" s="1"/>
  <c r="BG708" i="38" s="1"/>
  <c r="BH708" i="38" s="1"/>
  <c r="BD692" i="38"/>
  <c r="BE692" i="38" s="1"/>
  <c r="BF692" i="38" s="1"/>
  <c r="BG692" i="38" s="1"/>
  <c r="BH692" i="38" s="1"/>
  <c r="BD676" i="38"/>
  <c r="BE676" i="38" s="1"/>
  <c r="BF676" i="38" s="1"/>
  <c r="BG676" i="38" s="1"/>
  <c r="BH676" i="38" s="1"/>
  <c r="BD660" i="38"/>
  <c r="BE660" i="38" s="1"/>
  <c r="BF660" i="38" s="1"/>
  <c r="BG660" i="38" s="1"/>
  <c r="BH660" i="38" s="1"/>
  <c r="BD644" i="38"/>
  <c r="BE644" i="38" s="1"/>
  <c r="BF644" i="38" s="1"/>
  <c r="BG644" i="38" s="1"/>
  <c r="BH644" i="38" s="1"/>
  <c r="BD628" i="38"/>
  <c r="BE628" i="38" s="1"/>
  <c r="BF628" i="38" s="1"/>
  <c r="BG628" i="38" s="1"/>
  <c r="BH628" i="38" s="1"/>
  <c r="BD612" i="38"/>
  <c r="BE612" i="38" s="1"/>
  <c r="BF612" i="38" s="1"/>
  <c r="BG612" i="38" s="1"/>
  <c r="BH612" i="38" s="1"/>
  <c r="BD596" i="38"/>
  <c r="BE596" i="38" s="1"/>
  <c r="BF596" i="38" s="1"/>
  <c r="BG596" i="38" s="1"/>
  <c r="BH596" i="38" s="1"/>
  <c r="BD580" i="38"/>
  <c r="BE580" i="38" s="1"/>
  <c r="BF580" i="38" s="1"/>
  <c r="BG580" i="38" s="1"/>
  <c r="BH580" i="38" s="1"/>
  <c r="BD564" i="38"/>
  <c r="BE564" i="38" s="1"/>
  <c r="BF564" i="38" s="1"/>
  <c r="BG564" i="38" s="1"/>
  <c r="BH564" i="38" s="1"/>
  <c r="BD548" i="38"/>
  <c r="BE548" i="38" s="1"/>
  <c r="BF548" i="38" s="1"/>
  <c r="BG548" i="38" s="1"/>
  <c r="BH548" i="38" s="1"/>
  <c r="BD532" i="38"/>
  <c r="BE532" i="38" s="1"/>
  <c r="BF532" i="38" s="1"/>
  <c r="BG532" i="38" s="1"/>
  <c r="BH532" i="38" s="1"/>
  <c r="BD516" i="38"/>
  <c r="BE516" i="38" s="1"/>
  <c r="BF516" i="38" s="1"/>
  <c r="BG516" i="38" s="1"/>
  <c r="BH516" i="38" s="1"/>
  <c r="BD500" i="38"/>
  <c r="BE500" i="38" s="1"/>
  <c r="BF500" i="38" s="1"/>
  <c r="BG500" i="38" s="1"/>
  <c r="BH500" i="38" s="1"/>
  <c r="BD484" i="38"/>
  <c r="BE484" i="38" s="1"/>
  <c r="BF484" i="38" s="1"/>
  <c r="BG484" i="38" s="1"/>
  <c r="BH484" i="38" s="1"/>
  <c r="BD468" i="38"/>
  <c r="BE468" i="38" s="1"/>
  <c r="BF468" i="38" s="1"/>
  <c r="BG468" i="38" s="1"/>
  <c r="BH468" i="38" s="1"/>
  <c r="BD452" i="38"/>
  <c r="BE452" i="38" s="1"/>
  <c r="BF452" i="38" s="1"/>
  <c r="BG452" i="38" s="1"/>
  <c r="BH452" i="38" s="1"/>
  <c r="BD436" i="38"/>
  <c r="BE436" i="38" s="1"/>
  <c r="BF436" i="38" s="1"/>
  <c r="BG436" i="38" s="1"/>
  <c r="BH436" i="38" s="1"/>
  <c r="BD420" i="38"/>
  <c r="BE420" i="38" s="1"/>
  <c r="BF420" i="38" s="1"/>
  <c r="BG420" i="38" s="1"/>
  <c r="BH420" i="38" s="1"/>
  <c r="BD404" i="38"/>
  <c r="BE404" i="38" s="1"/>
  <c r="BF404" i="38" s="1"/>
  <c r="BG404" i="38" s="1"/>
  <c r="BH404" i="38" s="1"/>
  <c r="BD388" i="38"/>
  <c r="BE388" i="38" s="1"/>
  <c r="BF388" i="38" s="1"/>
  <c r="BG388" i="38" s="1"/>
  <c r="BH388" i="38" s="1"/>
  <c r="BD372" i="38"/>
  <c r="BE372" i="38" s="1"/>
  <c r="BF372" i="38" s="1"/>
  <c r="BG372" i="38" s="1"/>
  <c r="BH372" i="38" s="1"/>
  <c r="BD356" i="38"/>
  <c r="BE356" i="38" s="1"/>
  <c r="BF356" i="38" s="1"/>
  <c r="BG356" i="38" s="1"/>
  <c r="BH356" i="38" s="1"/>
  <c r="BD340" i="38"/>
  <c r="BE340" i="38" s="1"/>
  <c r="BF340" i="38" s="1"/>
  <c r="BG340" i="38" s="1"/>
  <c r="BH340" i="38" s="1"/>
  <c r="BD324" i="38"/>
  <c r="BE324" i="38" s="1"/>
  <c r="BF324" i="38" s="1"/>
  <c r="BG324" i="38" s="1"/>
  <c r="BH324" i="38" s="1"/>
  <c r="BD308" i="38"/>
  <c r="BE308" i="38" s="1"/>
  <c r="BF308" i="38" s="1"/>
  <c r="BG308" i="38" s="1"/>
  <c r="BH308" i="38" s="1"/>
  <c r="BD292" i="38"/>
  <c r="BE292" i="38" s="1"/>
  <c r="BF292" i="38" s="1"/>
  <c r="BG292" i="38" s="1"/>
  <c r="BH292" i="38" s="1"/>
  <c r="BD276" i="38"/>
  <c r="BE276" i="38" s="1"/>
  <c r="BF276" i="38" s="1"/>
  <c r="BG276" i="38" s="1"/>
  <c r="BH276" i="38" s="1"/>
  <c r="BD260" i="38"/>
  <c r="BE260" i="38" s="1"/>
  <c r="BF260" i="38" s="1"/>
  <c r="BG260" i="38" s="1"/>
  <c r="BH260" i="38" s="1"/>
  <c r="BD244" i="38"/>
  <c r="BE244" i="38" s="1"/>
  <c r="BF244" i="38" s="1"/>
  <c r="BG244" i="38" s="1"/>
  <c r="BH244" i="38" s="1"/>
  <c r="BD228" i="38"/>
  <c r="BE228" i="38" s="1"/>
  <c r="BF228" i="38" s="1"/>
  <c r="BG228" i="38" s="1"/>
  <c r="BH228" i="38" s="1"/>
  <c r="BD212" i="38"/>
  <c r="BE212" i="38" s="1"/>
  <c r="BF212" i="38" s="1"/>
  <c r="BG212" i="38" s="1"/>
  <c r="BH212" i="38" s="1"/>
  <c r="BD208" i="38"/>
  <c r="BE208" i="38" s="1"/>
  <c r="BF208" i="38" s="1"/>
  <c r="BG208" i="38" s="1"/>
  <c r="BH208" i="38" s="1"/>
  <c r="BD192" i="38"/>
  <c r="BE192" i="38" s="1"/>
  <c r="BF192" i="38" s="1"/>
  <c r="BG192" i="38" s="1"/>
  <c r="BH192" i="38" s="1"/>
  <c r="BD176" i="38"/>
  <c r="BE176" i="38" s="1"/>
  <c r="BF176" i="38" s="1"/>
  <c r="BG176" i="38" s="1"/>
  <c r="BH176" i="38" s="1"/>
  <c r="BD160" i="38"/>
  <c r="BE160" i="38" s="1"/>
  <c r="BF160" i="38" s="1"/>
  <c r="BG160" i="38" s="1"/>
  <c r="BH160" i="38" s="1"/>
  <c r="BD144" i="38"/>
  <c r="BE144" i="38" s="1"/>
  <c r="BF144" i="38" s="1"/>
  <c r="BG144" i="38" s="1"/>
  <c r="BH144" i="38" s="1"/>
  <c r="BD124" i="38"/>
  <c r="BE124" i="38" s="1"/>
  <c r="BF124" i="38" s="1"/>
  <c r="BG124" i="38" s="1"/>
  <c r="BH124" i="38" s="1"/>
  <c r="BD120" i="38"/>
  <c r="BE120" i="38" s="1"/>
  <c r="BF120" i="38" s="1"/>
  <c r="BG120" i="38" s="1"/>
  <c r="BH120" i="38" s="1"/>
  <c r="BD116" i="38"/>
  <c r="BE116" i="38" s="1"/>
  <c r="BF116" i="38" s="1"/>
  <c r="BG116" i="38" s="1"/>
  <c r="BH116" i="38" s="1"/>
  <c r="BD112" i="38"/>
  <c r="BE112" i="38" s="1"/>
  <c r="BF112" i="38" s="1"/>
  <c r="BG112" i="38" s="1"/>
  <c r="BH112" i="38" s="1"/>
  <c r="BD1518" i="38"/>
  <c r="BE1518" i="38" s="1"/>
  <c r="BF1518" i="38" s="1"/>
  <c r="BG1518" i="38" s="1"/>
  <c r="BH1518" i="38" s="1"/>
  <c r="BD1390" i="38"/>
  <c r="BE1390" i="38" s="1"/>
  <c r="BF1390" i="38" s="1"/>
  <c r="BG1390" i="38" s="1"/>
  <c r="BH1390" i="38" s="1"/>
  <c r="BD1262" i="38"/>
  <c r="BE1262" i="38" s="1"/>
  <c r="BF1262" i="38" s="1"/>
  <c r="BG1262" i="38" s="1"/>
  <c r="BH1262" i="38" s="1"/>
  <c r="BD1150" i="38"/>
  <c r="BE1150" i="38" s="1"/>
  <c r="BF1150" i="38" s="1"/>
  <c r="BG1150" i="38" s="1"/>
  <c r="BH1150" i="38" s="1"/>
  <c r="BD1064" i="38"/>
  <c r="BE1064" i="38" s="1"/>
  <c r="BF1064" i="38" s="1"/>
  <c r="BG1064" i="38" s="1"/>
  <c r="BH1064" i="38" s="1"/>
  <c r="BD980" i="38"/>
  <c r="BE980" i="38" s="1"/>
  <c r="BF980" i="38" s="1"/>
  <c r="BG980" i="38" s="1"/>
  <c r="BH980" i="38" s="1"/>
  <c r="BD886" i="38"/>
  <c r="BE886" i="38" s="1"/>
  <c r="BF886" i="38" s="1"/>
  <c r="BG886" i="38" s="1"/>
  <c r="BH886" i="38" s="1"/>
  <c r="BD854" i="38"/>
  <c r="BE854" i="38" s="1"/>
  <c r="BF854" i="38" s="1"/>
  <c r="BG854" i="38" s="1"/>
  <c r="BH854" i="38" s="1"/>
  <c r="BD814" i="38"/>
  <c r="BE814" i="38" s="1"/>
  <c r="BF814" i="38" s="1"/>
  <c r="BG814" i="38" s="1"/>
  <c r="BH814" i="38" s="1"/>
  <c r="BD782" i="38"/>
  <c r="BE782" i="38" s="1"/>
  <c r="BF782" i="38" s="1"/>
  <c r="BG782" i="38" s="1"/>
  <c r="BH782" i="38" s="1"/>
  <c r="BD750" i="38"/>
  <c r="BE750" i="38" s="1"/>
  <c r="BF750" i="38" s="1"/>
  <c r="BG750" i="38" s="1"/>
  <c r="BH750" i="38" s="1"/>
  <c r="BD721" i="38"/>
  <c r="BE721" i="38" s="1"/>
  <c r="BF721" i="38" s="1"/>
  <c r="BG721" i="38" s="1"/>
  <c r="BH721" i="38" s="1"/>
  <c r="BD711" i="38"/>
  <c r="BE711" i="38" s="1"/>
  <c r="BF711" i="38" s="1"/>
  <c r="BG711" i="38" s="1"/>
  <c r="BH711" i="38" s="1"/>
  <c r="BD695" i="38"/>
  <c r="BE695" i="38" s="1"/>
  <c r="BF695" i="38" s="1"/>
  <c r="BG695" i="38" s="1"/>
  <c r="BH695" i="38" s="1"/>
  <c r="BD679" i="38"/>
  <c r="BE679" i="38" s="1"/>
  <c r="BF679" i="38" s="1"/>
  <c r="BG679" i="38" s="1"/>
  <c r="BH679" i="38" s="1"/>
  <c r="BD663" i="38"/>
  <c r="BE663" i="38" s="1"/>
  <c r="BF663" i="38" s="1"/>
  <c r="BG663" i="38" s="1"/>
  <c r="BH663" i="38" s="1"/>
  <c r="BD647" i="38"/>
  <c r="BE647" i="38" s="1"/>
  <c r="BF647" i="38" s="1"/>
  <c r="BG647" i="38" s="1"/>
  <c r="BH647" i="38" s="1"/>
  <c r="BD631" i="38"/>
  <c r="BE631" i="38" s="1"/>
  <c r="BF631" i="38" s="1"/>
  <c r="BG631" i="38" s="1"/>
  <c r="BH631" i="38" s="1"/>
  <c r="BD615" i="38"/>
  <c r="BE615" i="38" s="1"/>
  <c r="BF615" i="38" s="1"/>
  <c r="BG615" i="38" s="1"/>
  <c r="BH615" i="38" s="1"/>
  <c r="BD599" i="38"/>
  <c r="BE599" i="38" s="1"/>
  <c r="BF599" i="38" s="1"/>
  <c r="BG599" i="38" s="1"/>
  <c r="BH599" i="38" s="1"/>
  <c r="BD583" i="38"/>
  <c r="BE583" i="38" s="1"/>
  <c r="BF583" i="38" s="1"/>
  <c r="BG583" i="38" s="1"/>
  <c r="BH583" i="38" s="1"/>
  <c r="BD567" i="38"/>
  <c r="BE567" i="38" s="1"/>
  <c r="BF567" i="38" s="1"/>
  <c r="BG567" i="38" s="1"/>
  <c r="BH567" i="38" s="1"/>
  <c r="BD551" i="38"/>
  <c r="BE551" i="38" s="1"/>
  <c r="BF551" i="38" s="1"/>
  <c r="BG551" i="38" s="1"/>
  <c r="BH551" i="38" s="1"/>
  <c r="BD535" i="38"/>
  <c r="BE535" i="38" s="1"/>
  <c r="BF535" i="38" s="1"/>
  <c r="BG535" i="38" s="1"/>
  <c r="BH535" i="38" s="1"/>
  <c r="BD519" i="38"/>
  <c r="BE519" i="38" s="1"/>
  <c r="BF519" i="38" s="1"/>
  <c r="BG519" i="38" s="1"/>
  <c r="BH519" i="38" s="1"/>
  <c r="BD503" i="38"/>
  <c r="BE503" i="38" s="1"/>
  <c r="BF503" i="38" s="1"/>
  <c r="BG503" i="38" s="1"/>
  <c r="BH503" i="38" s="1"/>
  <c r="BD487" i="38"/>
  <c r="BE487" i="38" s="1"/>
  <c r="BF487" i="38" s="1"/>
  <c r="BG487" i="38" s="1"/>
  <c r="BH487" i="38" s="1"/>
  <c r="BD471" i="38"/>
  <c r="BE471" i="38" s="1"/>
  <c r="BF471" i="38" s="1"/>
  <c r="BG471" i="38" s="1"/>
  <c r="BH471" i="38" s="1"/>
  <c r="BD455" i="38"/>
  <c r="BE455" i="38" s="1"/>
  <c r="BF455" i="38" s="1"/>
  <c r="BG455" i="38" s="1"/>
  <c r="BH455" i="38" s="1"/>
  <c r="BD439" i="38"/>
  <c r="BE439" i="38" s="1"/>
  <c r="BF439" i="38" s="1"/>
  <c r="BG439" i="38" s="1"/>
  <c r="BH439" i="38" s="1"/>
  <c r="BD423" i="38"/>
  <c r="BE423" i="38" s="1"/>
  <c r="BF423" i="38" s="1"/>
  <c r="BG423" i="38" s="1"/>
  <c r="BH423" i="38" s="1"/>
  <c r="BD407" i="38"/>
  <c r="BE407" i="38" s="1"/>
  <c r="BF407" i="38" s="1"/>
  <c r="BG407" i="38" s="1"/>
  <c r="BH407" i="38" s="1"/>
  <c r="BD391" i="38"/>
  <c r="BE391" i="38" s="1"/>
  <c r="BF391" i="38" s="1"/>
  <c r="BG391" i="38" s="1"/>
  <c r="BH391" i="38" s="1"/>
  <c r="BD375" i="38"/>
  <c r="BE375" i="38" s="1"/>
  <c r="BF375" i="38" s="1"/>
  <c r="BG375" i="38" s="1"/>
  <c r="BH375" i="38" s="1"/>
  <c r="BD359" i="38"/>
  <c r="BE359" i="38" s="1"/>
  <c r="BF359" i="38" s="1"/>
  <c r="BG359" i="38" s="1"/>
  <c r="BH359" i="38" s="1"/>
  <c r="BD343" i="38"/>
  <c r="BE343" i="38" s="1"/>
  <c r="BF343" i="38" s="1"/>
  <c r="BG343" i="38" s="1"/>
  <c r="BH343" i="38" s="1"/>
  <c r="BD327" i="38"/>
  <c r="BE327" i="38" s="1"/>
  <c r="BF327" i="38" s="1"/>
  <c r="BG327" i="38" s="1"/>
  <c r="BH327" i="38" s="1"/>
  <c r="BD311" i="38"/>
  <c r="BE311" i="38" s="1"/>
  <c r="BF311" i="38" s="1"/>
  <c r="BG311" i="38" s="1"/>
  <c r="BH311" i="38" s="1"/>
  <c r="BD295" i="38"/>
  <c r="BE295" i="38" s="1"/>
  <c r="BF295" i="38" s="1"/>
  <c r="BG295" i="38" s="1"/>
  <c r="BH295" i="38" s="1"/>
  <c r="BD279" i="38"/>
  <c r="BE279" i="38" s="1"/>
  <c r="BF279" i="38" s="1"/>
  <c r="BG279" i="38" s="1"/>
  <c r="BH279" i="38" s="1"/>
  <c r="BD263" i="38"/>
  <c r="BE263" i="38" s="1"/>
  <c r="BF263" i="38" s="1"/>
  <c r="BG263" i="38" s="1"/>
  <c r="BH263" i="38" s="1"/>
  <c r="BD247" i="38"/>
  <c r="BE247" i="38" s="1"/>
  <c r="BF247" i="38" s="1"/>
  <c r="BG247" i="38" s="1"/>
  <c r="BH247" i="38" s="1"/>
  <c r="BD231" i="38"/>
  <c r="BE231" i="38" s="1"/>
  <c r="BF231" i="38" s="1"/>
  <c r="BG231" i="38" s="1"/>
  <c r="BH231" i="38" s="1"/>
  <c r="BD215" i="38"/>
  <c r="BE215" i="38" s="1"/>
  <c r="BF215" i="38" s="1"/>
  <c r="BG215" i="38" s="1"/>
  <c r="BH215" i="38" s="1"/>
  <c r="BD199" i="38"/>
  <c r="BE199" i="38" s="1"/>
  <c r="BF199" i="38" s="1"/>
  <c r="BG199" i="38" s="1"/>
  <c r="BH199" i="38" s="1"/>
  <c r="BD183" i="38"/>
  <c r="BE183" i="38" s="1"/>
  <c r="BF183" i="38" s="1"/>
  <c r="BG183" i="38" s="1"/>
  <c r="BH183" i="38" s="1"/>
  <c r="BD167" i="38"/>
  <c r="BE167" i="38" s="1"/>
  <c r="BF167" i="38" s="1"/>
  <c r="BG167" i="38" s="1"/>
  <c r="BH167" i="38" s="1"/>
  <c r="BD151" i="38"/>
  <c r="BE151" i="38" s="1"/>
  <c r="BF151" i="38" s="1"/>
  <c r="BG151" i="38" s="1"/>
  <c r="BH151" i="38" s="1"/>
  <c r="BD135" i="38"/>
  <c r="BE135" i="38" s="1"/>
  <c r="BF135" i="38" s="1"/>
  <c r="BG135" i="38" s="1"/>
  <c r="BH135" i="38" s="1"/>
  <c r="BD109" i="38"/>
  <c r="BE109" i="38" s="1"/>
  <c r="BF109" i="38" s="1"/>
  <c r="BG109" i="38" s="1"/>
  <c r="BH109" i="38" s="1"/>
  <c r="BD101" i="38"/>
  <c r="BE101" i="38" s="1"/>
  <c r="BF101" i="38" s="1"/>
  <c r="BG101" i="38" s="1"/>
  <c r="BH101" i="38" s="1"/>
  <c r="BD97" i="38"/>
  <c r="BE97" i="38" s="1"/>
  <c r="BF97" i="38" s="1"/>
  <c r="BG97" i="38" s="1"/>
  <c r="BH97" i="38" s="1"/>
  <c r="BD93" i="38"/>
  <c r="BE93" i="38" s="1"/>
  <c r="BF93" i="38" s="1"/>
  <c r="BG93" i="38" s="1"/>
  <c r="BH93" i="38" s="1"/>
  <c r="BD2158" i="38"/>
  <c r="BE2158" i="38" s="1"/>
  <c r="BF2158" i="38" s="1"/>
  <c r="BG2158" i="38" s="1"/>
  <c r="BH2158" i="38" s="1"/>
  <c r="BD1540" i="38"/>
  <c r="BE1540" i="38" s="1"/>
  <c r="BF1540" i="38" s="1"/>
  <c r="BG1540" i="38" s="1"/>
  <c r="BH1540" i="38" s="1"/>
  <c r="BD1412" i="38"/>
  <c r="BE1412" i="38" s="1"/>
  <c r="BF1412" i="38" s="1"/>
  <c r="BG1412" i="38" s="1"/>
  <c r="BH1412" i="38" s="1"/>
  <c r="BD1284" i="38"/>
  <c r="BE1284" i="38" s="1"/>
  <c r="BF1284" i="38" s="1"/>
  <c r="BG1284" i="38" s="1"/>
  <c r="BH1284" i="38" s="1"/>
  <c r="BD1198" i="38"/>
  <c r="BE1198" i="38" s="1"/>
  <c r="BF1198" i="38" s="1"/>
  <c r="BG1198" i="38" s="1"/>
  <c r="BH1198" i="38" s="1"/>
  <c r="BD1112" i="38"/>
  <c r="BE1112" i="38" s="1"/>
  <c r="BF1112" i="38" s="1"/>
  <c r="BG1112" i="38" s="1"/>
  <c r="BH1112" i="38" s="1"/>
  <c r="BD1028" i="38"/>
  <c r="BE1028" i="38" s="1"/>
  <c r="BF1028" i="38" s="1"/>
  <c r="BG1028" i="38" s="1"/>
  <c r="BH1028" i="38" s="1"/>
  <c r="BD904" i="38"/>
  <c r="BE904" i="38" s="1"/>
  <c r="BF904" i="38" s="1"/>
  <c r="BG904" i="38" s="1"/>
  <c r="BH904" i="38" s="1"/>
  <c r="BD875" i="38"/>
  <c r="BE875" i="38" s="1"/>
  <c r="BF875" i="38" s="1"/>
  <c r="BG875" i="38" s="1"/>
  <c r="BH875" i="38" s="1"/>
  <c r="BD868" i="38"/>
  <c r="BE868" i="38" s="1"/>
  <c r="BF868" i="38" s="1"/>
  <c r="BG868" i="38" s="1"/>
  <c r="BH868" i="38" s="1"/>
  <c r="BD860" i="38"/>
  <c r="BE860" i="38" s="1"/>
  <c r="BF860" i="38" s="1"/>
  <c r="BG860" i="38" s="1"/>
  <c r="BH860" i="38" s="1"/>
  <c r="BD838" i="38"/>
  <c r="BE838" i="38" s="1"/>
  <c r="BF838" i="38" s="1"/>
  <c r="BG838" i="38" s="1"/>
  <c r="BH838" i="38" s="1"/>
  <c r="BD806" i="38"/>
  <c r="BE806" i="38" s="1"/>
  <c r="BF806" i="38" s="1"/>
  <c r="BG806" i="38" s="1"/>
  <c r="BH806" i="38" s="1"/>
  <c r="BD774" i="38"/>
  <c r="BE774" i="38" s="1"/>
  <c r="BF774" i="38" s="1"/>
  <c r="BG774" i="38" s="1"/>
  <c r="BH774" i="38" s="1"/>
  <c r="BD742" i="38"/>
  <c r="BE742" i="38" s="1"/>
  <c r="BF742" i="38" s="1"/>
  <c r="BG742" i="38" s="1"/>
  <c r="BH742" i="38" s="1"/>
  <c r="BD724" i="38"/>
  <c r="BE724" i="38" s="1"/>
  <c r="BF724" i="38" s="1"/>
  <c r="BG724" i="38" s="1"/>
  <c r="BH724" i="38" s="1"/>
  <c r="BD717" i="38"/>
  <c r="BE717" i="38" s="1"/>
  <c r="BF717" i="38" s="1"/>
  <c r="BG717" i="38" s="1"/>
  <c r="BH717" i="38" s="1"/>
  <c r="BD704" i="38"/>
  <c r="BE704" i="38" s="1"/>
  <c r="BF704" i="38" s="1"/>
  <c r="BG704" i="38" s="1"/>
  <c r="BH704" i="38" s="1"/>
  <c r="BD688" i="38"/>
  <c r="BE688" i="38" s="1"/>
  <c r="BF688" i="38" s="1"/>
  <c r="BG688" i="38" s="1"/>
  <c r="BH688" i="38" s="1"/>
  <c r="BD672" i="38"/>
  <c r="BE672" i="38" s="1"/>
  <c r="BF672" i="38" s="1"/>
  <c r="BG672" i="38" s="1"/>
  <c r="BH672" i="38" s="1"/>
  <c r="BD656" i="38"/>
  <c r="BE656" i="38" s="1"/>
  <c r="BF656" i="38" s="1"/>
  <c r="BG656" i="38" s="1"/>
  <c r="BH656" i="38" s="1"/>
  <c r="BD640" i="38"/>
  <c r="BE640" i="38" s="1"/>
  <c r="BF640" i="38" s="1"/>
  <c r="BG640" i="38" s="1"/>
  <c r="BH640" i="38" s="1"/>
  <c r="BD624" i="38"/>
  <c r="BE624" i="38" s="1"/>
  <c r="BF624" i="38" s="1"/>
  <c r="BG624" i="38" s="1"/>
  <c r="BH624" i="38" s="1"/>
  <c r="BD608" i="38"/>
  <c r="BE608" i="38" s="1"/>
  <c r="BF608" i="38" s="1"/>
  <c r="BG608" i="38" s="1"/>
  <c r="BH608" i="38" s="1"/>
  <c r="BD592" i="38"/>
  <c r="BE592" i="38" s="1"/>
  <c r="BF592" i="38" s="1"/>
  <c r="BG592" i="38" s="1"/>
  <c r="BH592" i="38" s="1"/>
  <c r="BD576" i="38"/>
  <c r="BE576" i="38" s="1"/>
  <c r="BF576" i="38" s="1"/>
  <c r="BG576" i="38" s="1"/>
  <c r="BH576" i="38" s="1"/>
  <c r="BD560" i="38"/>
  <c r="BE560" i="38" s="1"/>
  <c r="BF560" i="38" s="1"/>
  <c r="BG560" i="38" s="1"/>
  <c r="BH560" i="38" s="1"/>
  <c r="BD544" i="38"/>
  <c r="BE544" i="38" s="1"/>
  <c r="BF544" i="38" s="1"/>
  <c r="BG544" i="38" s="1"/>
  <c r="BH544" i="38" s="1"/>
  <c r="BD528" i="38"/>
  <c r="BE528" i="38" s="1"/>
  <c r="BF528" i="38" s="1"/>
  <c r="BG528" i="38" s="1"/>
  <c r="BH528" i="38" s="1"/>
  <c r="BD512" i="38"/>
  <c r="BE512" i="38" s="1"/>
  <c r="BF512" i="38" s="1"/>
  <c r="BG512" i="38" s="1"/>
  <c r="BH512" i="38" s="1"/>
  <c r="BD496" i="38"/>
  <c r="BE496" i="38" s="1"/>
  <c r="BF496" i="38" s="1"/>
  <c r="BG496" i="38" s="1"/>
  <c r="BH496" i="38" s="1"/>
  <c r="BD480" i="38"/>
  <c r="BE480" i="38" s="1"/>
  <c r="BF480" i="38" s="1"/>
  <c r="BG480" i="38" s="1"/>
  <c r="BH480" i="38" s="1"/>
  <c r="BD464" i="38"/>
  <c r="BE464" i="38" s="1"/>
  <c r="BF464" i="38" s="1"/>
  <c r="BG464" i="38" s="1"/>
  <c r="BH464" i="38" s="1"/>
  <c r="BD448" i="38"/>
  <c r="BE448" i="38" s="1"/>
  <c r="BF448" i="38" s="1"/>
  <c r="BG448" i="38" s="1"/>
  <c r="BH448" i="38" s="1"/>
  <c r="BD432" i="38"/>
  <c r="BE432" i="38" s="1"/>
  <c r="BF432" i="38" s="1"/>
  <c r="BG432" i="38" s="1"/>
  <c r="BH432" i="38" s="1"/>
  <c r="BD416" i="38"/>
  <c r="BE416" i="38" s="1"/>
  <c r="BF416" i="38" s="1"/>
  <c r="BG416" i="38" s="1"/>
  <c r="BH416" i="38" s="1"/>
  <c r="BD400" i="38"/>
  <c r="BE400" i="38" s="1"/>
  <c r="BF400" i="38" s="1"/>
  <c r="BG400" i="38" s="1"/>
  <c r="BH400" i="38" s="1"/>
  <c r="BD384" i="38"/>
  <c r="BE384" i="38" s="1"/>
  <c r="BF384" i="38" s="1"/>
  <c r="BG384" i="38" s="1"/>
  <c r="BH384" i="38" s="1"/>
  <c r="BD368" i="38"/>
  <c r="BE368" i="38" s="1"/>
  <c r="BF368" i="38" s="1"/>
  <c r="BG368" i="38" s="1"/>
  <c r="BH368" i="38" s="1"/>
  <c r="BD352" i="38"/>
  <c r="BE352" i="38" s="1"/>
  <c r="BF352" i="38" s="1"/>
  <c r="BG352" i="38" s="1"/>
  <c r="BH352" i="38" s="1"/>
  <c r="BD336" i="38"/>
  <c r="BE336" i="38" s="1"/>
  <c r="BF336" i="38" s="1"/>
  <c r="BG336" i="38" s="1"/>
  <c r="BH336" i="38" s="1"/>
  <c r="BD320" i="38"/>
  <c r="BE320" i="38" s="1"/>
  <c r="BF320" i="38" s="1"/>
  <c r="BG320" i="38" s="1"/>
  <c r="BH320" i="38" s="1"/>
  <c r="BD304" i="38"/>
  <c r="BE304" i="38" s="1"/>
  <c r="BF304" i="38" s="1"/>
  <c r="BG304" i="38" s="1"/>
  <c r="BH304" i="38" s="1"/>
  <c r="BD288" i="38"/>
  <c r="BE288" i="38" s="1"/>
  <c r="BF288" i="38" s="1"/>
  <c r="BG288" i="38" s="1"/>
  <c r="BH288" i="38" s="1"/>
  <c r="BD272" i="38"/>
  <c r="BE272" i="38" s="1"/>
  <c r="BF272" i="38" s="1"/>
  <c r="BG272" i="38" s="1"/>
  <c r="BH272" i="38" s="1"/>
  <c r="BD256" i="38"/>
  <c r="BE256" i="38" s="1"/>
  <c r="BF256" i="38" s="1"/>
  <c r="BG256" i="38" s="1"/>
  <c r="BH256" i="38" s="1"/>
  <c r="BD240" i="38"/>
  <c r="BE240" i="38" s="1"/>
  <c r="BF240" i="38" s="1"/>
  <c r="BG240" i="38" s="1"/>
  <c r="BH240" i="38" s="1"/>
  <c r="BD224" i="38"/>
  <c r="BE224" i="38" s="1"/>
  <c r="BF224" i="38" s="1"/>
  <c r="BG224" i="38" s="1"/>
  <c r="BH224" i="38" s="1"/>
  <c r="BD204" i="38"/>
  <c r="BE204" i="38" s="1"/>
  <c r="BF204" i="38" s="1"/>
  <c r="BG204" i="38" s="1"/>
  <c r="BH204" i="38" s="1"/>
  <c r="BD188" i="38"/>
  <c r="BE188" i="38" s="1"/>
  <c r="BF188" i="38" s="1"/>
  <c r="BG188" i="38" s="1"/>
  <c r="BH188" i="38" s="1"/>
  <c r="BD172" i="38"/>
  <c r="BE172" i="38" s="1"/>
  <c r="BF172" i="38" s="1"/>
  <c r="BG172" i="38" s="1"/>
  <c r="BH172" i="38" s="1"/>
  <c r="BD156" i="38"/>
  <c r="BE156" i="38" s="1"/>
  <c r="BF156" i="38" s="1"/>
  <c r="BG156" i="38" s="1"/>
  <c r="BH156" i="38" s="1"/>
  <c r="BD140" i="38"/>
  <c r="BE140" i="38" s="1"/>
  <c r="BF140" i="38" s="1"/>
  <c r="BG140" i="38" s="1"/>
  <c r="BH140" i="38" s="1"/>
  <c r="BD127" i="38"/>
  <c r="BE127" i="38" s="1"/>
  <c r="BF127" i="38" s="1"/>
  <c r="BG127" i="38" s="1"/>
  <c r="BH127" i="38" s="1"/>
  <c r="BD123" i="38"/>
  <c r="BE123" i="38" s="1"/>
  <c r="BF123" i="38" s="1"/>
  <c r="BG123" i="38" s="1"/>
  <c r="BH123" i="38" s="1"/>
  <c r="BD119" i="38"/>
  <c r="BE119" i="38" s="1"/>
  <c r="BF119" i="38" s="1"/>
  <c r="BG119" i="38" s="1"/>
  <c r="BH119" i="38" s="1"/>
  <c r="BD115" i="38"/>
  <c r="BE115" i="38" s="1"/>
  <c r="BF115" i="38" s="1"/>
  <c r="BG115" i="38" s="1"/>
  <c r="BH115" i="38" s="1"/>
  <c r="BD111" i="38"/>
  <c r="BE111" i="38" s="1"/>
  <c r="BF111" i="38" s="1"/>
  <c r="BG111" i="38" s="1"/>
  <c r="BH111" i="38" s="1"/>
  <c r="BD1486" i="38"/>
  <c r="BE1486" i="38" s="1"/>
  <c r="BF1486" i="38" s="1"/>
  <c r="BG1486" i="38" s="1"/>
  <c r="BH1486" i="38" s="1"/>
  <c r="BD1358" i="38"/>
  <c r="BE1358" i="38" s="1"/>
  <c r="BF1358" i="38" s="1"/>
  <c r="BG1358" i="38" s="1"/>
  <c r="BH1358" i="38" s="1"/>
  <c r="BD1214" i="38"/>
  <c r="BE1214" i="38" s="1"/>
  <c r="BF1214" i="38" s="1"/>
  <c r="BG1214" i="38" s="1"/>
  <c r="BH1214" i="38" s="1"/>
  <c r="BD1128" i="38"/>
  <c r="BE1128" i="38" s="1"/>
  <c r="BF1128" i="38" s="1"/>
  <c r="BG1128" i="38" s="1"/>
  <c r="BH1128" i="38" s="1"/>
  <c r="BD1044" i="38"/>
  <c r="BE1044" i="38" s="1"/>
  <c r="BF1044" i="38" s="1"/>
  <c r="BG1044" i="38" s="1"/>
  <c r="BH1044" i="38" s="1"/>
  <c r="BD894" i="38"/>
  <c r="BE894" i="38" s="1"/>
  <c r="BF894" i="38" s="1"/>
  <c r="BG894" i="38" s="1"/>
  <c r="BH894" i="38" s="1"/>
  <c r="BD884" i="38"/>
  <c r="BE884" i="38" s="1"/>
  <c r="BF884" i="38" s="1"/>
  <c r="BG884" i="38" s="1"/>
  <c r="BH884" i="38" s="1"/>
  <c r="BD812" i="38"/>
  <c r="BE812" i="38" s="1"/>
  <c r="BF812" i="38" s="1"/>
  <c r="BG812" i="38" s="1"/>
  <c r="BH812" i="38" s="1"/>
  <c r="BD780" i="38"/>
  <c r="BE780" i="38" s="1"/>
  <c r="BF780" i="38" s="1"/>
  <c r="BG780" i="38" s="1"/>
  <c r="BH780" i="38" s="1"/>
  <c r="BD748" i="38"/>
  <c r="BE748" i="38" s="1"/>
  <c r="BF748" i="38" s="1"/>
  <c r="BG748" i="38" s="1"/>
  <c r="BH748" i="38" s="1"/>
  <c r="BD707" i="38"/>
  <c r="BE707" i="38" s="1"/>
  <c r="BF707" i="38" s="1"/>
  <c r="BG707" i="38" s="1"/>
  <c r="BH707" i="38" s="1"/>
  <c r="BD691" i="38"/>
  <c r="BE691" i="38" s="1"/>
  <c r="BF691" i="38" s="1"/>
  <c r="BG691" i="38" s="1"/>
  <c r="BH691" i="38" s="1"/>
  <c r="BD675" i="38"/>
  <c r="BE675" i="38" s="1"/>
  <c r="BF675" i="38" s="1"/>
  <c r="BG675" i="38" s="1"/>
  <c r="BH675" i="38" s="1"/>
  <c r="BD659" i="38"/>
  <c r="BE659" i="38" s="1"/>
  <c r="BF659" i="38" s="1"/>
  <c r="BG659" i="38" s="1"/>
  <c r="BH659" i="38" s="1"/>
  <c r="BD643" i="38"/>
  <c r="BE643" i="38" s="1"/>
  <c r="BF643" i="38" s="1"/>
  <c r="BG643" i="38" s="1"/>
  <c r="BH643" i="38" s="1"/>
  <c r="BD627" i="38"/>
  <c r="BE627" i="38" s="1"/>
  <c r="BF627" i="38" s="1"/>
  <c r="BG627" i="38" s="1"/>
  <c r="BH627" i="38" s="1"/>
  <c r="BD611" i="38"/>
  <c r="BE611" i="38" s="1"/>
  <c r="BF611" i="38" s="1"/>
  <c r="BG611" i="38" s="1"/>
  <c r="BH611" i="38" s="1"/>
  <c r="BD595" i="38"/>
  <c r="BE595" i="38" s="1"/>
  <c r="BF595" i="38" s="1"/>
  <c r="BG595" i="38" s="1"/>
  <c r="BH595" i="38" s="1"/>
  <c r="BD579" i="38"/>
  <c r="BE579" i="38" s="1"/>
  <c r="BF579" i="38" s="1"/>
  <c r="BG579" i="38" s="1"/>
  <c r="BH579" i="38" s="1"/>
  <c r="BD563" i="38"/>
  <c r="BE563" i="38" s="1"/>
  <c r="BF563" i="38" s="1"/>
  <c r="BG563" i="38" s="1"/>
  <c r="BH563" i="38" s="1"/>
  <c r="BD547" i="38"/>
  <c r="BE547" i="38" s="1"/>
  <c r="BF547" i="38" s="1"/>
  <c r="BG547" i="38" s="1"/>
  <c r="BH547" i="38" s="1"/>
  <c r="BD531" i="38"/>
  <c r="BE531" i="38" s="1"/>
  <c r="BF531" i="38" s="1"/>
  <c r="BG531" i="38" s="1"/>
  <c r="BH531" i="38" s="1"/>
  <c r="BD515" i="38"/>
  <c r="BE515" i="38" s="1"/>
  <c r="BF515" i="38" s="1"/>
  <c r="BG515" i="38" s="1"/>
  <c r="BH515" i="38" s="1"/>
  <c r="BD499" i="38"/>
  <c r="BE499" i="38" s="1"/>
  <c r="BF499" i="38" s="1"/>
  <c r="BG499" i="38" s="1"/>
  <c r="BH499" i="38" s="1"/>
  <c r="BD483" i="38"/>
  <c r="BE483" i="38" s="1"/>
  <c r="BF483" i="38" s="1"/>
  <c r="BG483" i="38" s="1"/>
  <c r="BH483" i="38" s="1"/>
  <c r="BD467" i="38"/>
  <c r="BE467" i="38" s="1"/>
  <c r="BF467" i="38" s="1"/>
  <c r="BG467" i="38" s="1"/>
  <c r="BH467" i="38" s="1"/>
  <c r="BD451" i="38"/>
  <c r="BE451" i="38" s="1"/>
  <c r="BF451" i="38" s="1"/>
  <c r="BG451" i="38" s="1"/>
  <c r="BH451" i="38" s="1"/>
  <c r="BD435" i="38"/>
  <c r="BE435" i="38" s="1"/>
  <c r="BF435" i="38" s="1"/>
  <c r="BG435" i="38" s="1"/>
  <c r="BH435" i="38" s="1"/>
  <c r="BD419" i="38"/>
  <c r="BE419" i="38" s="1"/>
  <c r="BF419" i="38" s="1"/>
  <c r="BG419" i="38" s="1"/>
  <c r="BH419" i="38" s="1"/>
  <c r="BD403" i="38"/>
  <c r="BE403" i="38" s="1"/>
  <c r="BF403" i="38" s="1"/>
  <c r="BG403" i="38" s="1"/>
  <c r="BH403" i="38" s="1"/>
  <c r="BD387" i="38"/>
  <c r="BE387" i="38" s="1"/>
  <c r="BF387" i="38" s="1"/>
  <c r="BG387" i="38" s="1"/>
  <c r="BH387" i="38" s="1"/>
  <c r="BD371" i="38"/>
  <c r="BE371" i="38" s="1"/>
  <c r="BF371" i="38" s="1"/>
  <c r="BG371" i="38" s="1"/>
  <c r="BH371" i="38" s="1"/>
  <c r="BD355" i="38"/>
  <c r="BE355" i="38" s="1"/>
  <c r="BF355" i="38" s="1"/>
  <c r="BG355" i="38" s="1"/>
  <c r="BH355" i="38" s="1"/>
  <c r="BD339" i="38"/>
  <c r="BE339" i="38" s="1"/>
  <c r="BF339" i="38" s="1"/>
  <c r="BG339" i="38" s="1"/>
  <c r="BH339" i="38" s="1"/>
  <c r="BD323" i="38"/>
  <c r="BE323" i="38" s="1"/>
  <c r="BF323" i="38" s="1"/>
  <c r="BG323" i="38" s="1"/>
  <c r="BH323" i="38" s="1"/>
  <c r="BD307" i="38"/>
  <c r="BE307" i="38" s="1"/>
  <c r="BF307" i="38" s="1"/>
  <c r="BG307" i="38" s="1"/>
  <c r="BH307" i="38" s="1"/>
  <c r="BD291" i="38"/>
  <c r="BE291" i="38" s="1"/>
  <c r="BF291" i="38" s="1"/>
  <c r="BG291" i="38" s="1"/>
  <c r="BH291" i="38" s="1"/>
  <c r="BD275" i="38"/>
  <c r="BE275" i="38" s="1"/>
  <c r="BF275" i="38" s="1"/>
  <c r="BG275" i="38" s="1"/>
  <c r="BH275" i="38" s="1"/>
  <c r="BD259" i="38"/>
  <c r="BE259" i="38" s="1"/>
  <c r="BF259" i="38" s="1"/>
  <c r="BG259" i="38" s="1"/>
  <c r="BH259" i="38" s="1"/>
  <c r="BD243" i="38"/>
  <c r="BE243" i="38" s="1"/>
  <c r="BF243" i="38" s="1"/>
  <c r="BG243" i="38" s="1"/>
  <c r="BH243" i="38" s="1"/>
  <c r="BD227" i="38"/>
  <c r="BE227" i="38" s="1"/>
  <c r="BF227" i="38" s="1"/>
  <c r="BG227" i="38" s="1"/>
  <c r="BH227" i="38" s="1"/>
  <c r="BD211" i="38"/>
  <c r="BE211" i="38" s="1"/>
  <c r="BF211" i="38" s="1"/>
  <c r="BG211" i="38" s="1"/>
  <c r="BH211" i="38" s="1"/>
  <c r="BD195" i="38"/>
  <c r="BE195" i="38" s="1"/>
  <c r="BF195" i="38" s="1"/>
  <c r="BG195" i="38" s="1"/>
  <c r="BH195" i="38" s="1"/>
  <c r="BD179" i="38"/>
  <c r="BE179" i="38" s="1"/>
  <c r="BF179" i="38" s="1"/>
  <c r="BG179" i="38" s="1"/>
  <c r="BH179" i="38" s="1"/>
  <c r="BD163" i="38"/>
  <c r="BE163" i="38" s="1"/>
  <c r="BF163" i="38" s="1"/>
  <c r="BG163" i="38" s="1"/>
  <c r="BH163" i="38" s="1"/>
  <c r="BD147" i="38"/>
  <c r="BE147" i="38" s="1"/>
  <c r="BF147" i="38" s="1"/>
  <c r="BG147" i="38" s="1"/>
  <c r="BH147" i="38" s="1"/>
  <c r="BD107" i="38"/>
  <c r="BE107" i="38" s="1"/>
  <c r="BF107" i="38" s="1"/>
  <c r="BG107" i="38" s="1"/>
  <c r="BH107" i="38" s="1"/>
  <c r="BD104" i="38"/>
  <c r="BE104" i="38" s="1"/>
  <c r="BF104" i="38" s="1"/>
  <c r="BG104" i="38" s="1"/>
  <c r="BH104" i="38" s="1"/>
  <c r="BD100" i="38"/>
  <c r="BE100" i="38" s="1"/>
  <c r="BF100" i="38" s="1"/>
  <c r="BG100" i="38" s="1"/>
  <c r="BH100" i="38" s="1"/>
  <c r="BD96" i="38"/>
  <c r="BE96" i="38" s="1"/>
  <c r="BF96" i="38" s="1"/>
  <c r="BG96" i="38" s="1"/>
  <c r="BH96" i="38" s="1"/>
  <c r="BD92" i="38"/>
  <c r="BE92" i="38" s="1"/>
  <c r="BF92" i="38" s="1"/>
  <c r="BG92" i="38" s="1"/>
  <c r="BH92" i="38" s="1"/>
  <c r="BD1588" i="38"/>
  <c r="BE1588" i="38" s="1"/>
  <c r="BF1588" i="38" s="1"/>
  <c r="BG1588" i="38" s="1"/>
  <c r="BH1588" i="38" s="1"/>
  <c r="BD1460" i="38"/>
  <c r="BE1460" i="38" s="1"/>
  <c r="BF1460" i="38" s="1"/>
  <c r="BG1460" i="38" s="1"/>
  <c r="BH1460" i="38" s="1"/>
  <c r="BD1332" i="38"/>
  <c r="BE1332" i="38" s="1"/>
  <c r="BF1332" i="38" s="1"/>
  <c r="BG1332" i="38" s="1"/>
  <c r="BH1332" i="38" s="1"/>
  <c r="BD1230" i="38"/>
  <c r="BE1230" i="38" s="1"/>
  <c r="BF1230" i="38" s="1"/>
  <c r="BG1230" i="38" s="1"/>
  <c r="BH1230" i="38" s="1"/>
  <c r="BD1144" i="38"/>
  <c r="BE1144" i="38" s="1"/>
  <c r="BF1144" i="38" s="1"/>
  <c r="BG1144" i="38" s="1"/>
  <c r="BH1144" i="38" s="1"/>
  <c r="BD1060" i="38"/>
  <c r="BE1060" i="38" s="1"/>
  <c r="BF1060" i="38" s="1"/>
  <c r="BG1060" i="38" s="1"/>
  <c r="BH1060" i="38" s="1"/>
  <c r="BD974" i="38"/>
  <c r="BE974" i="38" s="1"/>
  <c r="BF974" i="38" s="1"/>
  <c r="BG974" i="38" s="1"/>
  <c r="BH974" i="38" s="1"/>
  <c r="BD948" i="38"/>
  <c r="BE948" i="38" s="1"/>
  <c r="BF948" i="38" s="1"/>
  <c r="BG948" i="38" s="1"/>
  <c r="BH948" i="38" s="1"/>
  <c r="BD859" i="38"/>
  <c r="BE859" i="38" s="1"/>
  <c r="BF859" i="38" s="1"/>
  <c r="BG859" i="38" s="1"/>
  <c r="BH859" i="38" s="1"/>
  <c r="BD831" i="38"/>
  <c r="BE831" i="38" s="1"/>
  <c r="BF831" i="38" s="1"/>
  <c r="BG831" i="38" s="1"/>
  <c r="BH831" i="38" s="1"/>
  <c r="BD799" i="38"/>
  <c r="BE799" i="38" s="1"/>
  <c r="BF799" i="38" s="1"/>
  <c r="BG799" i="38" s="1"/>
  <c r="BH799" i="38" s="1"/>
  <c r="BD767" i="38"/>
  <c r="BE767" i="38" s="1"/>
  <c r="BF767" i="38" s="1"/>
  <c r="BG767" i="38" s="1"/>
  <c r="BH767" i="38" s="1"/>
  <c r="BD735" i="38"/>
  <c r="BE735" i="38" s="1"/>
  <c r="BF735" i="38" s="1"/>
  <c r="BG735" i="38" s="1"/>
  <c r="BH735" i="38" s="1"/>
  <c r="BD710" i="38"/>
  <c r="BE710" i="38" s="1"/>
  <c r="BF710" i="38" s="1"/>
  <c r="BG710" i="38" s="1"/>
  <c r="BH710" i="38" s="1"/>
  <c r="BD694" i="38"/>
  <c r="BE694" i="38" s="1"/>
  <c r="BF694" i="38" s="1"/>
  <c r="BG694" i="38" s="1"/>
  <c r="BH694" i="38" s="1"/>
  <c r="BD678" i="38"/>
  <c r="BE678" i="38" s="1"/>
  <c r="BF678" i="38" s="1"/>
  <c r="BG678" i="38" s="1"/>
  <c r="BH678" i="38" s="1"/>
  <c r="BD662" i="38"/>
  <c r="BE662" i="38" s="1"/>
  <c r="BF662" i="38" s="1"/>
  <c r="BG662" i="38" s="1"/>
  <c r="BH662" i="38" s="1"/>
  <c r="BD646" i="38"/>
  <c r="BE646" i="38" s="1"/>
  <c r="BF646" i="38" s="1"/>
  <c r="BG646" i="38" s="1"/>
  <c r="BH646" i="38" s="1"/>
  <c r="BD630" i="38"/>
  <c r="BE630" i="38" s="1"/>
  <c r="BF630" i="38" s="1"/>
  <c r="BG630" i="38" s="1"/>
  <c r="BH630" i="38" s="1"/>
  <c r="BD614" i="38"/>
  <c r="BE614" i="38" s="1"/>
  <c r="BF614" i="38" s="1"/>
  <c r="BG614" i="38" s="1"/>
  <c r="BH614" i="38" s="1"/>
  <c r="BD598" i="38"/>
  <c r="BE598" i="38" s="1"/>
  <c r="BF598" i="38" s="1"/>
  <c r="BG598" i="38" s="1"/>
  <c r="BH598" i="38" s="1"/>
  <c r="BD582" i="38"/>
  <c r="BE582" i="38" s="1"/>
  <c r="BF582" i="38" s="1"/>
  <c r="BG582" i="38" s="1"/>
  <c r="BH582" i="38" s="1"/>
  <c r="BD566" i="38"/>
  <c r="BE566" i="38" s="1"/>
  <c r="BF566" i="38" s="1"/>
  <c r="BG566" i="38" s="1"/>
  <c r="BH566" i="38" s="1"/>
  <c r="BD550" i="38"/>
  <c r="BE550" i="38" s="1"/>
  <c r="BF550" i="38" s="1"/>
  <c r="BG550" i="38" s="1"/>
  <c r="BH550" i="38" s="1"/>
  <c r="BD534" i="38"/>
  <c r="BE534" i="38" s="1"/>
  <c r="BF534" i="38" s="1"/>
  <c r="BG534" i="38" s="1"/>
  <c r="BH534" i="38" s="1"/>
  <c r="BD518" i="38"/>
  <c r="BE518" i="38" s="1"/>
  <c r="BF518" i="38" s="1"/>
  <c r="BG518" i="38" s="1"/>
  <c r="BH518" i="38" s="1"/>
  <c r="BD502" i="38"/>
  <c r="BE502" i="38" s="1"/>
  <c r="BF502" i="38" s="1"/>
  <c r="BG502" i="38" s="1"/>
  <c r="BH502" i="38" s="1"/>
  <c r="BD486" i="38"/>
  <c r="BE486" i="38" s="1"/>
  <c r="BF486" i="38" s="1"/>
  <c r="BG486" i="38" s="1"/>
  <c r="BH486" i="38" s="1"/>
  <c r="BD470" i="38"/>
  <c r="BE470" i="38" s="1"/>
  <c r="BF470" i="38" s="1"/>
  <c r="BG470" i="38" s="1"/>
  <c r="BH470" i="38" s="1"/>
  <c r="BD454" i="38"/>
  <c r="BE454" i="38" s="1"/>
  <c r="BF454" i="38" s="1"/>
  <c r="BG454" i="38" s="1"/>
  <c r="BH454" i="38" s="1"/>
  <c r="BD438" i="38"/>
  <c r="BE438" i="38" s="1"/>
  <c r="BF438" i="38" s="1"/>
  <c r="BG438" i="38" s="1"/>
  <c r="BH438" i="38" s="1"/>
  <c r="BD422" i="38"/>
  <c r="BE422" i="38" s="1"/>
  <c r="BF422" i="38" s="1"/>
  <c r="BG422" i="38" s="1"/>
  <c r="BH422" i="38" s="1"/>
  <c r="BD406" i="38"/>
  <c r="BE406" i="38" s="1"/>
  <c r="BF406" i="38" s="1"/>
  <c r="BG406" i="38" s="1"/>
  <c r="BH406" i="38" s="1"/>
  <c r="BD390" i="38"/>
  <c r="BE390" i="38" s="1"/>
  <c r="BF390" i="38" s="1"/>
  <c r="BG390" i="38" s="1"/>
  <c r="BH390" i="38" s="1"/>
  <c r="BD374" i="38"/>
  <c r="BE374" i="38" s="1"/>
  <c r="BF374" i="38" s="1"/>
  <c r="BG374" i="38" s="1"/>
  <c r="BH374" i="38" s="1"/>
  <c r="BD358" i="38"/>
  <c r="BE358" i="38" s="1"/>
  <c r="BF358" i="38" s="1"/>
  <c r="BG358" i="38" s="1"/>
  <c r="BH358" i="38" s="1"/>
  <c r="BD342" i="38"/>
  <c r="BE342" i="38" s="1"/>
  <c r="BF342" i="38" s="1"/>
  <c r="BG342" i="38" s="1"/>
  <c r="BH342" i="38" s="1"/>
  <c r="BD326" i="38"/>
  <c r="BE326" i="38" s="1"/>
  <c r="BF326" i="38" s="1"/>
  <c r="BG326" i="38" s="1"/>
  <c r="BH326" i="38" s="1"/>
  <c r="BD310" i="38"/>
  <c r="BE310" i="38" s="1"/>
  <c r="BF310" i="38" s="1"/>
  <c r="BG310" i="38" s="1"/>
  <c r="BH310" i="38" s="1"/>
  <c r="BD294" i="38"/>
  <c r="BE294" i="38" s="1"/>
  <c r="BF294" i="38" s="1"/>
  <c r="BG294" i="38" s="1"/>
  <c r="BH294" i="38" s="1"/>
  <c r="BD278" i="38"/>
  <c r="BE278" i="38" s="1"/>
  <c r="BF278" i="38" s="1"/>
  <c r="BG278" i="38" s="1"/>
  <c r="BH278" i="38" s="1"/>
  <c r="BD262" i="38"/>
  <c r="BE262" i="38" s="1"/>
  <c r="BF262" i="38" s="1"/>
  <c r="BG262" i="38" s="1"/>
  <c r="BH262" i="38" s="1"/>
  <c r="BD246" i="38"/>
  <c r="BE246" i="38" s="1"/>
  <c r="BF246" i="38" s="1"/>
  <c r="BG246" i="38" s="1"/>
  <c r="BH246" i="38" s="1"/>
  <c r="BD230" i="38"/>
  <c r="BE230" i="38" s="1"/>
  <c r="BF230" i="38" s="1"/>
  <c r="BG230" i="38" s="1"/>
  <c r="BH230" i="38" s="1"/>
  <c r="BD214" i="38"/>
  <c r="BE214" i="38" s="1"/>
  <c r="BF214" i="38" s="1"/>
  <c r="BG214" i="38" s="1"/>
  <c r="BH214" i="38" s="1"/>
  <c r="BD202" i="38"/>
  <c r="BE202" i="38" s="1"/>
  <c r="BF202" i="38" s="1"/>
  <c r="BG202" i="38" s="1"/>
  <c r="BH202" i="38" s="1"/>
  <c r="BD186" i="38"/>
  <c r="BE186" i="38" s="1"/>
  <c r="BF186" i="38" s="1"/>
  <c r="BG186" i="38" s="1"/>
  <c r="BH186" i="38" s="1"/>
  <c r="BD170" i="38"/>
  <c r="BE170" i="38" s="1"/>
  <c r="BF170" i="38" s="1"/>
  <c r="BG170" i="38" s="1"/>
  <c r="BH170" i="38" s="1"/>
  <c r="BD154" i="38"/>
  <c r="BE154" i="38" s="1"/>
  <c r="BF154" i="38" s="1"/>
  <c r="BG154" i="38" s="1"/>
  <c r="BH154" i="38" s="1"/>
  <c r="BD138" i="38"/>
  <c r="BE138" i="38" s="1"/>
  <c r="BF138" i="38" s="1"/>
  <c r="BG138" i="38" s="1"/>
  <c r="BH138" i="38" s="1"/>
  <c r="BD131" i="38"/>
  <c r="BE131" i="38" s="1"/>
  <c r="BF131" i="38" s="1"/>
  <c r="BG131" i="38" s="1"/>
  <c r="BH131" i="38" s="1"/>
  <c r="BD1534" i="38"/>
  <c r="BE1534" i="38" s="1"/>
  <c r="BF1534" i="38" s="1"/>
  <c r="BG1534" i="38" s="1"/>
  <c r="BH1534" i="38" s="1"/>
  <c r="BD1816" i="38"/>
  <c r="BE1816" i="38" s="1"/>
  <c r="BF1816" i="38" s="1"/>
  <c r="BG1816" i="38" s="1"/>
  <c r="BH1816" i="38" s="1"/>
  <c r="BD1508" i="38"/>
  <c r="BE1508" i="38" s="1"/>
  <c r="BF1508" i="38" s="1"/>
  <c r="BG1508" i="38" s="1"/>
  <c r="BH1508" i="38" s="1"/>
  <c r="BD1380" i="38"/>
  <c r="BE1380" i="38" s="1"/>
  <c r="BF1380" i="38" s="1"/>
  <c r="BG1380" i="38" s="1"/>
  <c r="BH1380" i="38" s="1"/>
  <c r="BD1252" i="38"/>
  <c r="BE1252" i="38" s="1"/>
  <c r="BF1252" i="38" s="1"/>
  <c r="BG1252" i="38" s="1"/>
  <c r="BH1252" i="38" s="1"/>
  <c r="BD1176" i="38"/>
  <c r="BE1176" i="38" s="1"/>
  <c r="BF1176" i="38" s="1"/>
  <c r="BG1176" i="38" s="1"/>
  <c r="BH1176" i="38" s="1"/>
  <c r="BD1092" i="38"/>
  <c r="BE1092" i="38" s="1"/>
  <c r="BF1092" i="38" s="1"/>
  <c r="BG1092" i="38" s="1"/>
  <c r="BH1092" i="38" s="1"/>
  <c r="BD1006" i="38"/>
  <c r="BE1006" i="38" s="1"/>
  <c r="BF1006" i="38" s="1"/>
  <c r="BG1006" i="38" s="1"/>
  <c r="BH1006" i="38" s="1"/>
  <c r="BD902" i="38"/>
  <c r="BE902" i="38" s="1"/>
  <c r="BF902" i="38" s="1"/>
  <c r="BG902" i="38" s="1"/>
  <c r="BH902" i="38" s="1"/>
  <c r="BD811" i="38"/>
  <c r="BE811" i="38" s="1"/>
  <c r="BF811" i="38" s="1"/>
  <c r="BG811" i="38" s="1"/>
  <c r="BH811" i="38" s="1"/>
  <c r="BD779" i="38"/>
  <c r="BE779" i="38" s="1"/>
  <c r="BF779" i="38" s="1"/>
  <c r="BG779" i="38" s="1"/>
  <c r="BH779" i="38" s="1"/>
  <c r="BD747" i="38"/>
  <c r="BE747" i="38" s="1"/>
  <c r="BF747" i="38" s="1"/>
  <c r="BG747" i="38" s="1"/>
  <c r="BH747" i="38" s="1"/>
  <c r="BD716" i="38"/>
  <c r="BE716" i="38" s="1"/>
  <c r="BF716" i="38" s="1"/>
  <c r="BG716" i="38" s="1"/>
  <c r="BH716" i="38" s="1"/>
  <c r="BD700" i="38"/>
  <c r="BE700" i="38" s="1"/>
  <c r="BF700" i="38" s="1"/>
  <c r="BG700" i="38" s="1"/>
  <c r="BH700" i="38" s="1"/>
  <c r="BD684" i="38"/>
  <c r="BE684" i="38" s="1"/>
  <c r="BF684" i="38" s="1"/>
  <c r="BG684" i="38" s="1"/>
  <c r="BH684" i="38" s="1"/>
  <c r="BD668" i="38"/>
  <c r="BE668" i="38" s="1"/>
  <c r="BF668" i="38" s="1"/>
  <c r="BG668" i="38" s="1"/>
  <c r="BH668" i="38" s="1"/>
  <c r="BD652" i="38"/>
  <c r="BE652" i="38" s="1"/>
  <c r="BF652" i="38" s="1"/>
  <c r="BG652" i="38" s="1"/>
  <c r="BH652" i="38" s="1"/>
  <c r="BD636" i="38"/>
  <c r="BE636" i="38" s="1"/>
  <c r="BF636" i="38" s="1"/>
  <c r="BG636" i="38" s="1"/>
  <c r="BH636" i="38" s="1"/>
  <c r="BD620" i="38"/>
  <c r="BE620" i="38" s="1"/>
  <c r="BF620" i="38" s="1"/>
  <c r="BG620" i="38" s="1"/>
  <c r="BH620" i="38" s="1"/>
  <c r="BD604" i="38"/>
  <c r="BE604" i="38" s="1"/>
  <c r="BF604" i="38" s="1"/>
  <c r="BG604" i="38" s="1"/>
  <c r="BH604" i="38" s="1"/>
  <c r="BD588" i="38"/>
  <c r="BE588" i="38" s="1"/>
  <c r="BF588" i="38" s="1"/>
  <c r="BG588" i="38" s="1"/>
  <c r="BH588" i="38" s="1"/>
  <c r="BD572" i="38"/>
  <c r="BE572" i="38" s="1"/>
  <c r="BF572" i="38" s="1"/>
  <c r="BG572" i="38" s="1"/>
  <c r="BH572" i="38" s="1"/>
  <c r="BD556" i="38"/>
  <c r="BE556" i="38" s="1"/>
  <c r="BF556" i="38" s="1"/>
  <c r="BG556" i="38" s="1"/>
  <c r="BH556" i="38" s="1"/>
  <c r="BD540" i="38"/>
  <c r="BE540" i="38" s="1"/>
  <c r="BF540" i="38" s="1"/>
  <c r="BG540" i="38" s="1"/>
  <c r="BH540" i="38" s="1"/>
  <c r="BD524" i="38"/>
  <c r="BE524" i="38" s="1"/>
  <c r="BF524" i="38" s="1"/>
  <c r="BG524" i="38" s="1"/>
  <c r="BH524" i="38" s="1"/>
  <c r="BD508" i="38"/>
  <c r="BE508" i="38" s="1"/>
  <c r="BF508" i="38" s="1"/>
  <c r="BG508" i="38" s="1"/>
  <c r="BH508" i="38" s="1"/>
  <c r="BD492" i="38"/>
  <c r="BE492" i="38" s="1"/>
  <c r="BF492" i="38" s="1"/>
  <c r="BG492" i="38" s="1"/>
  <c r="BH492" i="38" s="1"/>
  <c r="BD476" i="38"/>
  <c r="BE476" i="38" s="1"/>
  <c r="BF476" i="38" s="1"/>
  <c r="BG476" i="38" s="1"/>
  <c r="BH476" i="38" s="1"/>
  <c r="BD460" i="38"/>
  <c r="BE460" i="38" s="1"/>
  <c r="BF460" i="38" s="1"/>
  <c r="BG460" i="38" s="1"/>
  <c r="BH460" i="38" s="1"/>
  <c r="BD444" i="38"/>
  <c r="BE444" i="38" s="1"/>
  <c r="BF444" i="38" s="1"/>
  <c r="BG444" i="38" s="1"/>
  <c r="BH444" i="38" s="1"/>
  <c r="BD428" i="38"/>
  <c r="BE428" i="38" s="1"/>
  <c r="BF428" i="38" s="1"/>
  <c r="BG428" i="38" s="1"/>
  <c r="BH428" i="38" s="1"/>
  <c r="BD412" i="38"/>
  <c r="BE412" i="38" s="1"/>
  <c r="BF412" i="38" s="1"/>
  <c r="BG412" i="38" s="1"/>
  <c r="BH412" i="38" s="1"/>
  <c r="BD396" i="38"/>
  <c r="BE396" i="38" s="1"/>
  <c r="BF396" i="38" s="1"/>
  <c r="BG396" i="38" s="1"/>
  <c r="BH396" i="38" s="1"/>
  <c r="BD380" i="38"/>
  <c r="BE380" i="38" s="1"/>
  <c r="BF380" i="38" s="1"/>
  <c r="BG380" i="38" s="1"/>
  <c r="BH380" i="38" s="1"/>
  <c r="BD364" i="38"/>
  <c r="BE364" i="38" s="1"/>
  <c r="BF364" i="38" s="1"/>
  <c r="BG364" i="38" s="1"/>
  <c r="BH364" i="38" s="1"/>
  <c r="BD348" i="38"/>
  <c r="BE348" i="38" s="1"/>
  <c r="BF348" i="38" s="1"/>
  <c r="BG348" i="38" s="1"/>
  <c r="BH348" i="38" s="1"/>
  <c r="BD332" i="38"/>
  <c r="BE332" i="38" s="1"/>
  <c r="BF332" i="38" s="1"/>
  <c r="BG332" i="38" s="1"/>
  <c r="BH332" i="38" s="1"/>
  <c r="BD316" i="38"/>
  <c r="BE316" i="38" s="1"/>
  <c r="BF316" i="38" s="1"/>
  <c r="BG316" i="38" s="1"/>
  <c r="BH316" i="38" s="1"/>
  <c r="BD300" i="38"/>
  <c r="BE300" i="38" s="1"/>
  <c r="BF300" i="38" s="1"/>
  <c r="BG300" i="38" s="1"/>
  <c r="BH300" i="38" s="1"/>
  <c r="BD284" i="38"/>
  <c r="BE284" i="38" s="1"/>
  <c r="BF284" i="38" s="1"/>
  <c r="BG284" i="38" s="1"/>
  <c r="BH284" i="38" s="1"/>
  <c r="BD268" i="38"/>
  <c r="BE268" i="38" s="1"/>
  <c r="BF268" i="38" s="1"/>
  <c r="BG268" i="38" s="1"/>
  <c r="BH268" i="38" s="1"/>
  <c r="BD252" i="38"/>
  <c r="BE252" i="38" s="1"/>
  <c r="BF252" i="38" s="1"/>
  <c r="BG252" i="38" s="1"/>
  <c r="BH252" i="38" s="1"/>
  <c r="BD236" i="38"/>
  <c r="BE236" i="38" s="1"/>
  <c r="BF236" i="38" s="1"/>
  <c r="BG236" i="38" s="1"/>
  <c r="BH236" i="38" s="1"/>
  <c r="BD220" i="38"/>
  <c r="BE220" i="38" s="1"/>
  <c r="BF220" i="38" s="1"/>
  <c r="BG220" i="38" s="1"/>
  <c r="BH220" i="38" s="1"/>
  <c r="BD200" i="38"/>
  <c r="BE200" i="38" s="1"/>
  <c r="BF200" i="38" s="1"/>
  <c r="BG200" i="38" s="1"/>
  <c r="BH200" i="38" s="1"/>
  <c r="BD184" i="38"/>
  <c r="BE184" i="38" s="1"/>
  <c r="BF184" i="38" s="1"/>
  <c r="BG184" i="38" s="1"/>
  <c r="BH184" i="38" s="1"/>
  <c r="BD168" i="38"/>
  <c r="BE168" i="38" s="1"/>
  <c r="BF168" i="38" s="1"/>
  <c r="BG168" i="38" s="1"/>
  <c r="BH168" i="38" s="1"/>
  <c r="BD152" i="38"/>
  <c r="BE152" i="38" s="1"/>
  <c r="BF152" i="38" s="1"/>
  <c r="BG152" i="38" s="1"/>
  <c r="BH152" i="38" s="1"/>
  <c r="BD136" i="38"/>
  <c r="BE136" i="38" s="1"/>
  <c r="BF136" i="38" s="1"/>
  <c r="BG136" i="38" s="1"/>
  <c r="BH136" i="38" s="1"/>
  <c r="BD126" i="38"/>
  <c r="BE126" i="38" s="1"/>
  <c r="BF126" i="38" s="1"/>
  <c r="BG126" i="38" s="1"/>
  <c r="BH126" i="38" s="1"/>
  <c r="BD122" i="38"/>
  <c r="BE122" i="38" s="1"/>
  <c r="BF122" i="38" s="1"/>
  <c r="BG122" i="38" s="1"/>
  <c r="BH122" i="38" s="1"/>
  <c r="BD118" i="38"/>
  <c r="BE118" i="38" s="1"/>
  <c r="BF118" i="38" s="1"/>
  <c r="BG118" i="38" s="1"/>
  <c r="BH118" i="38" s="1"/>
  <c r="BD114" i="38"/>
  <c r="BE114" i="38" s="1"/>
  <c r="BF114" i="38" s="1"/>
  <c r="BG114" i="38" s="1"/>
  <c r="BH114" i="38" s="1"/>
  <c r="BD110" i="38"/>
  <c r="BE110" i="38" s="1"/>
  <c r="BF110" i="38" s="1"/>
  <c r="BG110" i="38" s="1"/>
  <c r="BH110" i="38" s="1"/>
  <c r="BD2072" i="38"/>
  <c r="BE2072" i="38" s="1"/>
  <c r="BF2072" i="38" s="1"/>
  <c r="BG2072" i="38" s="1"/>
  <c r="BH2072" i="38" s="1"/>
  <c r="BD1582" i="38"/>
  <c r="BE1582" i="38" s="1"/>
  <c r="BF1582" i="38" s="1"/>
  <c r="BG1582" i="38" s="1"/>
  <c r="BH1582" i="38" s="1"/>
  <c r="BD1454" i="38"/>
  <c r="BE1454" i="38" s="1"/>
  <c r="BF1454" i="38" s="1"/>
  <c r="BG1454" i="38" s="1"/>
  <c r="BH1454" i="38" s="1"/>
  <c r="BD1326" i="38"/>
  <c r="BE1326" i="38" s="1"/>
  <c r="BF1326" i="38" s="1"/>
  <c r="BG1326" i="38" s="1"/>
  <c r="BH1326" i="38" s="1"/>
  <c r="BD1192" i="38"/>
  <c r="BE1192" i="38" s="1"/>
  <c r="BF1192" i="38" s="1"/>
  <c r="BG1192" i="38" s="1"/>
  <c r="BH1192" i="38" s="1"/>
  <c r="BD1108" i="38"/>
  <c r="BE1108" i="38" s="1"/>
  <c r="BF1108" i="38" s="1"/>
  <c r="BG1108" i="38" s="1"/>
  <c r="BH1108" i="38" s="1"/>
  <c r="BD1022" i="38"/>
  <c r="BE1022" i="38" s="1"/>
  <c r="BF1022" i="38" s="1"/>
  <c r="BG1022" i="38" s="1"/>
  <c r="BH1022" i="38" s="1"/>
  <c r="BD958" i="38"/>
  <c r="BE958" i="38" s="1"/>
  <c r="BF958" i="38" s="1"/>
  <c r="BG958" i="38" s="1"/>
  <c r="BH958" i="38" s="1"/>
  <c r="BD891" i="38"/>
  <c r="BE891" i="38" s="1"/>
  <c r="BF891" i="38" s="1"/>
  <c r="BG891" i="38" s="1"/>
  <c r="BH891" i="38" s="1"/>
  <c r="BD872" i="38"/>
  <c r="BE872" i="38" s="1"/>
  <c r="BF872" i="38" s="1"/>
  <c r="BG872" i="38" s="1"/>
  <c r="BH872" i="38" s="1"/>
  <c r="BD843" i="38"/>
  <c r="BE843" i="38" s="1"/>
  <c r="BF843" i="38" s="1"/>
  <c r="BG843" i="38" s="1"/>
  <c r="BH843" i="38" s="1"/>
  <c r="BD830" i="38"/>
  <c r="BE830" i="38" s="1"/>
  <c r="BF830" i="38" s="1"/>
  <c r="BG830" i="38" s="1"/>
  <c r="BH830" i="38" s="1"/>
  <c r="BD798" i="38"/>
  <c r="BE798" i="38" s="1"/>
  <c r="BF798" i="38" s="1"/>
  <c r="BG798" i="38" s="1"/>
  <c r="BH798" i="38" s="1"/>
  <c r="BD766" i="38"/>
  <c r="BE766" i="38" s="1"/>
  <c r="BF766" i="38" s="1"/>
  <c r="BG766" i="38" s="1"/>
  <c r="BH766" i="38" s="1"/>
  <c r="BD734" i="38"/>
  <c r="BE734" i="38" s="1"/>
  <c r="BF734" i="38" s="1"/>
  <c r="BG734" i="38" s="1"/>
  <c r="BH734" i="38" s="1"/>
  <c r="BD703" i="38"/>
  <c r="BE703" i="38" s="1"/>
  <c r="BF703" i="38" s="1"/>
  <c r="BG703" i="38" s="1"/>
  <c r="BH703" i="38" s="1"/>
  <c r="BD687" i="38"/>
  <c r="BE687" i="38" s="1"/>
  <c r="BF687" i="38" s="1"/>
  <c r="BG687" i="38" s="1"/>
  <c r="BH687" i="38" s="1"/>
  <c r="BD671" i="38"/>
  <c r="BE671" i="38" s="1"/>
  <c r="BF671" i="38" s="1"/>
  <c r="BG671" i="38" s="1"/>
  <c r="BH671" i="38" s="1"/>
  <c r="BD655" i="38"/>
  <c r="BE655" i="38" s="1"/>
  <c r="BF655" i="38" s="1"/>
  <c r="BG655" i="38" s="1"/>
  <c r="BH655" i="38" s="1"/>
  <c r="BD639" i="38"/>
  <c r="BE639" i="38" s="1"/>
  <c r="BF639" i="38" s="1"/>
  <c r="BG639" i="38" s="1"/>
  <c r="BH639" i="38" s="1"/>
  <c r="BD623" i="38"/>
  <c r="BE623" i="38" s="1"/>
  <c r="BF623" i="38" s="1"/>
  <c r="BG623" i="38" s="1"/>
  <c r="BH623" i="38" s="1"/>
  <c r="BD607" i="38"/>
  <c r="BE607" i="38" s="1"/>
  <c r="BF607" i="38" s="1"/>
  <c r="BG607" i="38" s="1"/>
  <c r="BH607" i="38" s="1"/>
  <c r="BD591" i="38"/>
  <c r="BE591" i="38" s="1"/>
  <c r="BF591" i="38" s="1"/>
  <c r="BG591" i="38" s="1"/>
  <c r="BH591" i="38" s="1"/>
  <c r="BD575" i="38"/>
  <c r="BE575" i="38" s="1"/>
  <c r="BF575" i="38" s="1"/>
  <c r="BG575" i="38" s="1"/>
  <c r="BH575" i="38" s="1"/>
  <c r="BD559" i="38"/>
  <c r="BE559" i="38" s="1"/>
  <c r="BF559" i="38" s="1"/>
  <c r="BG559" i="38" s="1"/>
  <c r="BH559" i="38" s="1"/>
  <c r="BD543" i="38"/>
  <c r="BE543" i="38" s="1"/>
  <c r="BF543" i="38" s="1"/>
  <c r="BG543" i="38" s="1"/>
  <c r="BH543" i="38" s="1"/>
  <c r="BD527" i="38"/>
  <c r="BE527" i="38" s="1"/>
  <c r="BF527" i="38" s="1"/>
  <c r="BG527" i="38" s="1"/>
  <c r="BH527" i="38" s="1"/>
  <c r="BD511" i="38"/>
  <c r="BE511" i="38" s="1"/>
  <c r="BF511" i="38" s="1"/>
  <c r="BG511" i="38" s="1"/>
  <c r="BH511" i="38" s="1"/>
  <c r="BD495" i="38"/>
  <c r="BE495" i="38" s="1"/>
  <c r="BF495" i="38" s="1"/>
  <c r="BG495" i="38" s="1"/>
  <c r="BH495" i="38" s="1"/>
  <c r="BD479" i="38"/>
  <c r="BE479" i="38" s="1"/>
  <c r="BF479" i="38" s="1"/>
  <c r="BG479" i="38" s="1"/>
  <c r="BH479" i="38" s="1"/>
  <c r="BD463" i="38"/>
  <c r="BE463" i="38" s="1"/>
  <c r="BF463" i="38" s="1"/>
  <c r="BG463" i="38" s="1"/>
  <c r="BH463" i="38" s="1"/>
  <c r="BD447" i="38"/>
  <c r="BE447" i="38" s="1"/>
  <c r="BF447" i="38" s="1"/>
  <c r="BG447" i="38" s="1"/>
  <c r="BH447" i="38" s="1"/>
  <c r="BD431" i="38"/>
  <c r="BE431" i="38" s="1"/>
  <c r="BF431" i="38" s="1"/>
  <c r="BG431" i="38" s="1"/>
  <c r="BH431" i="38" s="1"/>
  <c r="BD415" i="38"/>
  <c r="BE415" i="38" s="1"/>
  <c r="BF415" i="38" s="1"/>
  <c r="BG415" i="38" s="1"/>
  <c r="BH415" i="38" s="1"/>
  <c r="BD399" i="38"/>
  <c r="BE399" i="38" s="1"/>
  <c r="BF399" i="38" s="1"/>
  <c r="BG399" i="38" s="1"/>
  <c r="BH399" i="38" s="1"/>
  <c r="BD383" i="38"/>
  <c r="BE383" i="38" s="1"/>
  <c r="BF383" i="38" s="1"/>
  <c r="BG383" i="38" s="1"/>
  <c r="BH383" i="38" s="1"/>
  <c r="BD367" i="38"/>
  <c r="BE367" i="38" s="1"/>
  <c r="BF367" i="38" s="1"/>
  <c r="BG367" i="38" s="1"/>
  <c r="BH367" i="38" s="1"/>
  <c r="BD351" i="38"/>
  <c r="BE351" i="38" s="1"/>
  <c r="BF351" i="38" s="1"/>
  <c r="BG351" i="38" s="1"/>
  <c r="BH351" i="38" s="1"/>
  <c r="BD335" i="38"/>
  <c r="BE335" i="38" s="1"/>
  <c r="BF335" i="38" s="1"/>
  <c r="BG335" i="38" s="1"/>
  <c r="BH335" i="38" s="1"/>
  <c r="BD319" i="38"/>
  <c r="BE319" i="38" s="1"/>
  <c r="BF319" i="38" s="1"/>
  <c r="BG319" i="38" s="1"/>
  <c r="BH319" i="38" s="1"/>
  <c r="BD303" i="38"/>
  <c r="BE303" i="38" s="1"/>
  <c r="BF303" i="38" s="1"/>
  <c r="BG303" i="38" s="1"/>
  <c r="BH303" i="38" s="1"/>
  <c r="BD287" i="38"/>
  <c r="BE287" i="38" s="1"/>
  <c r="BF287" i="38" s="1"/>
  <c r="BG287" i="38" s="1"/>
  <c r="BH287" i="38" s="1"/>
  <c r="BD271" i="38"/>
  <c r="BE271" i="38" s="1"/>
  <c r="BF271" i="38" s="1"/>
  <c r="BG271" i="38" s="1"/>
  <c r="BH271" i="38" s="1"/>
  <c r="BD255" i="38"/>
  <c r="BE255" i="38" s="1"/>
  <c r="BF255" i="38" s="1"/>
  <c r="BG255" i="38" s="1"/>
  <c r="BH255" i="38" s="1"/>
  <c r="BD239" i="38"/>
  <c r="BE239" i="38" s="1"/>
  <c r="BF239" i="38" s="1"/>
  <c r="BG239" i="38" s="1"/>
  <c r="BH239" i="38" s="1"/>
  <c r="BD223" i="38"/>
  <c r="BE223" i="38" s="1"/>
  <c r="BF223" i="38" s="1"/>
  <c r="BG223" i="38" s="1"/>
  <c r="BH223" i="38" s="1"/>
  <c r="BD207" i="38"/>
  <c r="BE207" i="38" s="1"/>
  <c r="BF207" i="38" s="1"/>
  <c r="BG207" i="38" s="1"/>
  <c r="BH207" i="38" s="1"/>
  <c r="BD191" i="38"/>
  <c r="BE191" i="38" s="1"/>
  <c r="BF191" i="38" s="1"/>
  <c r="BG191" i="38" s="1"/>
  <c r="BH191" i="38" s="1"/>
  <c r="BD175" i="38"/>
  <c r="BE175" i="38" s="1"/>
  <c r="BF175" i="38" s="1"/>
  <c r="BG175" i="38" s="1"/>
  <c r="BH175" i="38" s="1"/>
  <c r="BD159" i="38"/>
  <c r="BE159" i="38" s="1"/>
  <c r="BF159" i="38" s="1"/>
  <c r="BG159" i="38" s="1"/>
  <c r="BH159" i="38" s="1"/>
  <c r="BD143" i="38"/>
  <c r="BE143" i="38" s="1"/>
  <c r="BF143" i="38" s="1"/>
  <c r="BG143" i="38" s="1"/>
  <c r="BH143" i="38" s="1"/>
  <c r="BD130" i="38"/>
  <c r="BE130" i="38" s="1"/>
  <c r="BF130" i="38" s="1"/>
  <c r="BG130" i="38" s="1"/>
  <c r="BH130" i="38" s="1"/>
  <c r="BD106" i="38"/>
  <c r="BE106" i="38" s="1"/>
  <c r="BF106" i="38" s="1"/>
  <c r="BG106" i="38" s="1"/>
  <c r="BH106" i="38" s="1"/>
  <c r="BD103" i="38"/>
  <c r="BE103" i="38" s="1"/>
  <c r="BF103" i="38" s="1"/>
  <c r="BG103" i="38" s="1"/>
  <c r="BH103" i="38" s="1"/>
  <c r="BD99" i="38"/>
  <c r="BE99" i="38" s="1"/>
  <c r="BF99" i="38" s="1"/>
  <c r="BG99" i="38" s="1"/>
  <c r="BH99" i="38" s="1"/>
  <c r="BD95" i="38"/>
  <c r="BE95" i="38" s="1"/>
  <c r="BF95" i="38" s="1"/>
  <c r="BG95" i="38" s="1"/>
  <c r="BH95" i="38" s="1"/>
  <c r="BD91" i="38"/>
  <c r="BE91" i="38" s="1"/>
  <c r="BF91" i="38" s="1"/>
  <c r="BG91" i="38" s="1"/>
  <c r="BH91" i="38" s="1"/>
  <c r="BD1182" i="38"/>
  <c r="BE1182" i="38" s="1"/>
  <c r="BF1182" i="38" s="1"/>
  <c r="BG1182" i="38" s="1"/>
  <c r="BH1182" i="38" s="1"/>
  <c r="BD996" i="38"/>
  <c r="BE996" i="38" s="1"/>
  <c r="BF996" i="38" s="1"/>
  <c r="BG996" i="38" s="1"/>
  <c r="BH996" i="38" s="1"/>
  <c r="BD926" i="38"/>
  <c r="BE926" i="38" s="1"/>
  <c r="BF926" i="38" s="1"/>
  <c r="BG926" i="38" s="1"/>
  <c r="BH926" i="38" s="1"/>
  <c r="BD833" i="38"/>
  <c r="BE833" i="38" s="1"/>
  <c r="BF833" i="38" s="1"/>
  <c r="BG833" i="38" s="1"/>
  <c r="BH833" i="38" s="1"/>
  <c r="BD680" i="38"/>
  <c r="BE680" i="38" s="1"/>
  <c r="BF680" i="38" s="1"/>
  <c r="BG680" i="38" s="1"/>
  <c r="BH680" i="38" s="1"/>
  <c r="BD616" i="38"/>
  <c r="BE616" i="38" s="1"/>
  <c r="BF616" i="38" s="1"/>
  <c r="BG616" i="38" s="1"/>
  <c r="BH616" i="38" s="1"/>
  <c r="BD552" i="38"/>
  <c r="BE552" i="38" s="1"/>
  <c r="BF552" i="38" s="1"/>
  <c r="BG552" i="38" s="1"/>
  <c r="BH552" i="38" s="1"/>
  <c r="BD493" i="38"/>
  <c r="BE493" i="38" s="1"/>
  <c r="BF493" i="38" s="1"/>
  <c r="BG493" i="38" s="1"/>
  <c r="BH493" i="38" s="1"/>
  <c r="BD472" i="38"/>
  <c r="BE472" i="38" s="1"/>
  <c r="BF472" i="38" s="1"/>
  <c r="BG472" i="38" s="1"/>
  <c r="BH472" i="38" s="1"/>
  <c r="BD434" i="38"/>
  <c r="BE434" i="38" s="1"/>
  <c r="BF434" i="38" s="1"/>
  <c r="BG434" i="38" s="1"/>
  <c r="BH434" i="38" s="1"/>
  <c r="BD417" i="38"/>
  <c r="BE417" i="38" s="1"/>
  <c r="BF417" i="38" s="1"/>
  <c r="BG417" i="38" s="1"/>
  <c r="BH417" i="38" s="1"/>
  <c r="BD349" i="38"/>
  <c r="BE349" i="38" s="1"/>
  <c r="BF349" i="38" s="1"/>
  <c r="BG349" i="38" s="1"/>
  <c r="BH349" i="38" s="1"/>
  <c r="BD306" i="38"/>
  <c r="BE306" i="38" s="1"/>
  <c r="BF306" i="38" s="1"/>
  <c r="BG306" i="38" s="1"/>
  <c r="BH306" i="38" s="1"/>
  <c r="BD289" i="38"/>
  <c r="BE289" i="38" s="1"/>
  <c r="BF289" i="38" s="1"/>
  <c r="BG289" i="38" s="1"/>
  <c r="BH289" i="38" s="1"/>
  <c r="BD221" i="38"/>
  <c r="BE221" i="38" s="1"/>
  <c r="BF221" i="38" s="1"/>
  <c r="BG221" i="38" s="1"/>
  <c r="BH221" i="38" s="1"/>
  <c r="BD174" i="38"/>
  <c r="BE174" i="38" s="1"/>
  <c r="BF174" i="38" s="1"/>
  <c r="BG174" i="38" s="1"/>
  <c r="BH174" i="38" s="1"/>
  <c r="BD166" i="38"/>
  <c r="BE166" i="38" s="1"/>
  <c r="BF166" i="38" s="1"/>
  <c r="BG166" i="38" s="1"/>
  <c r="BH166" i="38" s="1"/>
  <c r="BD1656" i="38"/>
  <c r="BE1656" i="38" s="1"/>
  <c r="BF1656" i="38" s="1"/>
  <c r="BG1656" i="38" s="1"/>
  <c r="BH1656" i="38" s="1"/>
  <c r="BD1080" i="38"/>
  <c r="BE1080" i="38" s="1"/>
  <c r="BF1080" i="38" s="1"/>
  <c r="BG1080" i="38" s="1"/>
  <c r="BH1080" i="38" s="1"/>
  <c r="BD923" i="38"/>
  <c r="BE923" i="38" s="1"/>
  <c r="BF923" i="38" s="1"/>
  <c r="BG923" i="38" s="1"/>
  <c r="BH923" i="38" s="1"/>
  <c r="BD737" i="38"/>
  <c r="BE737" i="38" s="1"/>
  <c r="BF737" i="38" s="1"/>
  <c r="BG737" i="38" s="1"/>
  <c r="BH737" i="38" s="1"/>
  <c r="BD666" i="38"/>
  <c r="BE666" i="38" s="1"/>
  <c r="BF666" i="38" s="1"/>
  <c r="BG666" i="38" s="1"/>
  <c r="BH666" i="38" s="1"/>
  <c r="BD602" i="38"/>
  <c r="BE602" i="38" s="1"/>
  <c r="BF602" i="38" s="1"/>
  <c r="BG602" i="38" s="1"/>
  <c r="BH602" i="38" s="1"/>
  <c r="BD538" i="38"/>
  <c r="BE538" i="38" s="1"/>
  <c r="BF538" i="38" s="1"/>
  <c r="BG538" i="38" s="1"/>
  <c r="BH538" i="38" s="1"/>
  <c r="BD442" i="38"/>
  <c r="BE442" i="38" s="1"/>
  <c r="BF442" i="38" s="1"/>
  <c r="BG442" i="38" s="1"/>
  <c r="BH442" i="38" s="1"/>
  <c r="BD425" i="38"/>
  <c r="BE425" i="38" s="1"/>
  <c r="BF425" i="38" s="1"/>
  <c r="BG425" i="38" s="1"/>
  <c r="BH425" i="38" s="1"/>
  <c r="BD408" i="38"/>
  <c r="BE408" i="38" s="1"/>
  <c r="BF408" i="38" s="1"/>
  <c r="BG408" i="38" s="1"/>
  <c r="BH408" i="38" s="1"/>
  <c r="BD314" i="38"/>
  <c r="BE314" i="38" s="1"/>
  <c r="BF314" i="38" s="1"/>
  <c r="BG314" i="38" s="1"/>
  <c r="BH314" i="38" s="1"/>
  <c r="BD297" i="38"/>
  <c r="BE297" i="38" s="1"/>
  <c r="BF297" i="38" s="1"/>
  <c r="BG297" i="38" s="1"/>
  <c r="BH297" i="38" s="1"/>
  <c r="BD280" i="38"/>
  <c r="BE280" i="38" s="1"/>
  <c r="BF280" i="38" s="1"/>
  <c r="BG280" i="38" s="1"/>
  <c r="BH280" i="38" s="1"/>
  <c r="BD142" i="38"/>
  <c r="BE142" i="38" s="1"/>
  <c r="BF142" i="38" s="1"/>
  <c r="BG142" i="38" s="1"/>
  <c r="BH142" i="38" s="1"/>
  <c r="BD84" i="38"/>
  <c r="BE84" i="38" s="1"/>
  <c r="BF84" i="38" s="1"/>
  <c r="BG84" i="38" s="1"/>
  <c r="BH84" i="38" s="1"/>
  <c r="BD76" i="38"/>
  <c r="BE76" i="38" s="1"/>
  <c r="BF76" i="38" s="1"/>
  <c r="BG76" i="38" s="1"/>
  <c r="BH76" i="38" s="1"/>
  <c r="BD50" i="38"/>
  <c r="BE50" i="38" s="1"/>
  <c r="BF50" i="38" s="1"/>
  <c r="BG50" i="38" s="1"/>
  <c r="BH50" i="38" s="1"/>
  <c r="BD46" i="38"/>
  <c r="BE46" i="38" s="1"/>
  <c r="BF46" i="38" s="1"/>
  <c r="BG46" i="38" s="1"/>
  <c r="BH46" i="38" s="1"/>
  <c r="BD1278" i="38"/>
  <c r="BE1278" i="38" s="1"/>
  <c r="BF1278" i="38" s="1"/>
  <c r="BG1278" i="38" s="1"/>
  <c r="BH1278" i="38" s="1"/>
  <c r="BD1166" i="38"/>
  <c r="BE1166" i="38" s="1"/>
  <c r="BF1166" i="38" s="1"/>
  <c r="BG1166" i="38" s="1"/>
  <c r="BH1166" i="38" s="1"/>
  <c r="BD990" i="38"/>
  <c r="BE990" i="38" s="1"/>
  <c r="BF990" i="38" s="1"/>
  <c r="BG990" i="38" s="1"/>
  <c r="BH990" i="38" s="1"/>
  <c r="BD653" i="38"/>
  <c r="BE653" i="38" s="1"/>
  <c r="BF653" i="38" s="1"/>
  <c r="BG653" i="38" s="1"/>
  <c r="BH653" i="38" s="1"/>
  <c r="BD589" i="38"/>
  <c r="BE589" i="38" s="1"/>
  <c r="BF589" i="38" s="1"/>
  <c r="BG589" i="38" s="1"/>
  <c r="BH589" i="38" s="1"/>
  <c r="BD525" i="38"/>
  <c r="BE525" i="38" s="1"/>
  <c r="BF525" i="38" s="1"/>
  <c r="BG525" i="38" s="1"/>
  <c r="BH525" i="38" s="1"/>
  <c r="BD481" i="38"/>
  <c r="BE481" i="38" s="1"/>
  <c r="BF481" i="38" s="1"/>
  <c r="BG481" i="38" s="1"/>
  <c r="BH481" i="38" s="1"/>
  <c r="BD461" i="38"/>
  <c r="BE461" i="38" s="1"/>
  <c r="BF461" i="38" s="1"/>
  <c r="BG461" i="38" s="1"/>
  <c r="BH461" i="38" s="1"/>
  <c r="BD433" i="38"/>
  <c r="BE433" i="38" s="1"/>
  <c r="BF433" i="38" s="1"/>
  <c r="BG433" i="38" s="1"/>
  <c r="BH433" i="38" s="1"/>
  <c r="BD365" i="38"/>
  <c r="BE365" i="38" s="1"/>
  <c r="BF365" i="38" s="1"/>
  <c r="BG365" i="38" s="1"/>
  <c r="BH365" i="38" s="1"/>
  <c r="BD322" i="38"/>
  <c r="BE322" i="38" s="1"/>
  <c r="BF322" i="38" s="1"/>
  <c r="BG322" i="38" s="1"/>
  <c r="BH322" i="38" s="1"/>
  <c r="BD305" i="38"/>
  <c r="BE305" i="38" s="1"/>
  <c r="BF305" i="38" s="1"/>
  <c r="BG305" i="38" s="1"/>
  <c r="BH305" i="38" s="1"/>
  <c r="BD237" i="38"/>
  <c r="BE237" i="38" s="1"/>
  <c r="BF237" i="38" s="1"/>
  <c r="BG237" i="38" s="1"/>
  <c r="BH237" i="38" s="1"/>
  <c r="BD196" i="38"/>
  <c r="BE196" i="38" s="1"/>
  <c r="BF196" i="38" s="1"/>
  <c r="BG196" i="38" s="1"/>
  <c r="BH196" i="38" s="1"/>
  <c r="BD185" i="38"/>
  <c r="BE185" i="38" s="1"/>
  <c r="BF185" i="38" s="1"/>
  <c r="BG185" i="38" s="1"/>
  <c r="BH185" i="38" s="1"/>
  <c r="BD177" i="38"/>
  <c r="BE177" i="38" s="1"/>
  <c r="BF177" i="38" s="1"/>
  <c r="BG177" i="38" s="1"/>
  <c r="BH177" i="38" s="1"/>
  <c r="BD42" i="38"/>
  <c r="BE42" i="38" s="1"/>
  <c r="BF42" i="38" s="1"/>
  <c r="BG42" i="38" s="1"/>
  <c r="BH42" i="38" s="1"/>
  <c r="BD32" i="38"/>
  <c r="BE32" i="38" s="1"/>
  <c r="BF32" i="38" s="1"/>
  <c r="BG32" i="38" s="1"/>
  <c r="BH32" i="38" s="1"/>
  <c r="P22" i="38"/>
  <c r="BD1406" i="38"/>
  <c r="BE1406" i="38" s="1"/>
  <c r="BF1406" i="38" s="1"/>
  <c r="BG1406" i="38" s="1"/>
  <c r="BH1406" i="38" s="1"/>
  <c r="BD1076" i="38"/>
  <c r="BE1076" i="38" s="1"/>
  <c r="BF1076" i="38" s="1"/>
  <c r="BG1076" i="38" s="1"/>
  <c r="BH1076" i="38" s="1"/>
  <c r="BD916" i="38"/>
  <c r="BE916" i="38" s="1"/>
  <c r="BF916" i="38" s="1"/>
  <c r="BG916" i="38" s="1"/>
  <c r="BH916" i="38" s="1"/>
  <c r="BD760" i="38"/>
  <c r="BE760" i="38" s="1"/>
  <c r="BF760" i="38" s="1"/>
  <c r="BG760" i="38" s="1"/>
  <c r="BH760" i="38" s="1"/>
  <c r="BD665" i="38"/>
  <c r="BE665" i="38" s="1"/>
  <c r="BF665" i="38" s="1"/>
  <c r="BG665" i="38" s="1"/>
  <c r="BH665" i="38" s="1"/>
  <c r="BD601" i="38"/>
  <c r="BE601" i="38" s="1"/>
  <c r="BF601" i="38" s="1"/>
  <c r="BG601" i="38" s="1"/>
  <c r="BH601" i="38" s="1"/>
  <c r="BD537" i="38"/>
  <c r="BE537" i="38" s="1"/>
  <c r="BF537" i="38" s="1"/>
  <c r="BG537" i="38" s="1"/>
  <c r="BH537" i="38" s="1"/>
  <c r="BD441" i="38"/>
  <c r="BE441" i="38" s="1"/>
  <c r="BF441" i="38" s="1"/>
  <c r="BG441" i="38" s="1"/>
  <c r="BH441" i="38" s="1"/>
  <c r="BD424" i="38"/>
  <c r="BE424" i="38" s="1"/>
  <c r="BF424" i="38" s="1"/>
  <c r="BG424" i="38" s="1"/>
  <c r="BH424" i="38" s="1"/>
  <c r="BD330" i="38"/>
  <c r="BE330" i="38" s="1"/>
  <c r="BF330" i="38" s="1"/>
  <c r="BG330" i="38" s="1"/>
  <c r="BH330" i="38" s="1"/>
  <c r="BD313" i="38"/>
  <c r="BE313" i="38" s="1"/>
  <c r="BF313" i="38" s="1"/>
  <c r="BG313" i="38" s="1"/>
  <c r="BH313" i="38" s="1"/>
  <c r="BD296" i="38"/>
  <c r="BE296" i="38" s="1"/>
  <c r="BF296" i="38" s="1"/>
  <c r="BG296" i="38" s="1"/>
  <c r="BH296" i="38" s="1"/>
  <c r="BD181" i="38"/>
  <c r="BE181" i="38" s="1"/>
  <c r="BF181" i="38" s="1"/>
  <c r="BG181" i="38" s="1"/>
  <c r="BH181" i="38" s="1"/>
  <c r="BD145" i="38"/>
  <c r="BE145" i="38" s="1"/>
  <c r="BF145" i="38" s="1"/>
  <c r="BG145" i="38" s="1"/>
  <c r="BH145" i="38" s="1"/>
  <c r="BD81" i="38"/>
  <c r="BE81" i="38" s="1"/>
  <c r="BF81" i="38" s="1"/>
  <c r="BG81" i="38" s="1"/>
  <c r="BH81" i="38" s="1"/>
  <c r="BD73" i="38"/>
  <c r="BE73" i="38" s="1"/>
  <c r="BF73" i="38" s="1"/>
  <c r="BG73" i="38" s="1"/>
  <c r="BH73" i="38" s="1"/>
  <c r="BD38" i="38"/>
  <c r="BE38" i="38" s="1"/>
  <c r="BF38" i="38" s="1"/>
  <c r="BG38" i="38" s="1"/>
  <c r="BH38" i="38" s="1"/>
  <c r="BD20" i="38"/>
  <c r="BE20" i="38" s="1"/>
  <c r="BF20" i="38" s="1"/>
  <c r="BG20" i="38" s="1"/>
  <c r="BH20" i="38" s="1"/>
  <c r="BD1566" i="38"/>
  <c r="BE1566" i="38" s="1"/>
  <c r="BF1566" i="38" s="1"/>
  <c r="BG1566" i="38" s="1"/>
  <c r="BH1566" i="38" s="1"/>
  <c r="BD824" i="38"/>
  <c r="BE824" i="38" s="1"/>
  <c r="BF824" i="38" s="1"/>
  <c r="BG824" i="38" s="1"/>
  <c r="BH824" i="38" s="1"/>
  <c r="BD714" i="38"/>
  <c r="BE714" i="38" s="1"/>
  <c r="BF714" i="38" s="1"/>
  <c r="BG714" i="38" s="1"/>
  <c r="BH714" i="38" s="1"/>
  <c r="BD650" i="38"/>
  <c r="BE650" i="38" s="1"/>
  <c r="BF650" i="38" s="1"/>
  <c r="BG650" i="38" s="1"/>
  <c r="BH650" i="38" s="1"/>
  <c r="BD586" i="38"/>
  <c r="BE586" i="38" s="1"/>
  <c r="BF586" i="38" s="1"/>
  <c r="BG586" i="38" s="1"/>
  <c r="BH586" i="38" s="1"/>
  <c r="BD522" i="38"/>
  <c r="BE522" i="38" s="1"/>
  <c r="BF522" i="38" s="1"/>
  <c r="BG522" i="38" s="1"/>
  <c r="BH522" i="38" s="1"/>
  <c r="BD440" i="38"/>
  <c r="BE440" i="38" s="1"/>
  <c r="BF440" i="38" s="1"/>
  <c r="BG440" i="38" s="1"/>
  <c r="BH440" i="38" s="1"/>
  <c r="BD346" i="38"/>
  <c r="BE346" i="38" s="1"/>
  <c r="BF346" i="38" s="1"/>
  <c r="BG346" i="38" s="1"/>
  <c r="BH346" i="38" s="1"/>
  <c r="BD329" i="38"/>
  <c r="BE329" i="38" s="1"/>
  <c r="BF329" i="38" s="1"/>
  <c r="BG329" i="38" s="1"/>
  <c r="BH329" i="38" s="1"/>
  <c r="BD312" i="38"/>
  <c r="BE312" i="38" s="1"/>
  <c r="BF312" i="38" s="1"/>
  <c r="BG312" i="38" s="1"/>
  <c r="BH312" i="38" s="1"/>
  <c r="BD218" i="38"/>
  <c r="BE218" i="38" s="1"/>
  <c r="BF218" i="38" s="1"/>
  <c r="BG218" i="38" s="1"/>
  <c r="BH218" i="38" s="1"/>
  <c r="BD165" i="38"/>
  <c r="BE165" i="38" s="1"/>
  <c r="BF165" i="38" s="1"/>
  <c r="BG165" i="38" s="1"/>
  <c r="BH165" i="38" s="1"/>
  <c r="BD134" i="38"/>
  <c r="BE134" i="38" s="1"/>
  <c r="BF134" i="38" s="1"/>
  <c r="BG134" i="38" s="1"/>
  <c r="BH134" i="38" s="1"/>
  <c r="BD86" i="38"/>
  <c r="BE86" i="38" s="1"/>
  <c r="BF86" i="38" s="1"/>
  <c r="BG86" i="38" s="1"/>
  <c r="BH86" i="38" s="1"/>
  <c r="BD78" i="38"/>
  <c r="BE78" i="38" s="1"/>
  <c r="BF78" i="38" s="1"/>
  <c r="BG78" i="38" s="1"/>
  <c r="BH78" i="38" s="1"/>
  <c r="BD70" i="38"/>
  <c r="BE70" i="38" s="1"/>
  <c r="BF70" i="38" s="1"/>
  <c r="BG70" i="38" s="1"/>
  <c r="BH70" i="38" s="1"/>
  <c r="BD49" i="38"/>
  <c r="BE49" i="38" s="1"/>
  <c r="BF49" i="38" s="1"/>
  <c r="BG49" i="38" s="1"/>
  <c r="BH49" i="38" s="1"/>
  <c r="BD45" i="38"/>
  <c r="BE45" i="38" s="1"/>
  <c r="BF45" i="38" s="1"/>
  <c r="BG45" i="38" s="1"/>
  <c r="BH45" i="38" s="1"/>
  <c r="BD27" i="38"/>
  <c r="BE27" i="38" s="1"/>
  <c r="BF27" i="38" s="1"/>
  <c r="BG27" i="38" s="1"/>
  <c r="BH27" i="38" s="1"/>
  <c r="BD1236" i="38"/>
  <c r="BE1236" i="38" s="1"/>
  <c r="BF1236" i="38" s="1"/>
  <c r="BG1236" i="38" s="1"/>
  <c r="BH1236" i="38" s="1"/>
  <c r="BD964" i="38"/>
  <c r="BE964" i="38" s="1"/>
  <c r="BF964" i="38" s="1"/>
  <c r="BG964" i="38" s="1"/>
  <c r="BH964" i="38" s="1"/>
  <c r="BD788" i="38"/>
  <c r="BE788" i="38" s="1"/>
  <c r="BF788" i="38" s="1"/>
  <c r="BG788" i="38" s="1"/>
  <c r="BH788" i="38" s="1"/>
  <c r="BD756" i="38"/>
  <c r="BE756" i="38" s="1"/>
  <c r="BF756" i="38" s="1"/>
  <c r="BG756" i="38" s="1"/>
  <c r="BH756" i="38" s="1"/>
  <c r="BD701" i="38"/>
  <c r="BE701" i="38" s="1"/>
  <c r="BF701" i="38" s="1"/>
  <c r="BG701" i="38" s="1"/>
  <c r="BH701" i="38" s="1"/>
  <c r="BD637" i="38"/>
  <c r="BE637" i="38" s="1"/>
  <c r="BF637" i="38" s="1"/>
  <c r="BG637" i="38" s="1"/>
  <c r="BH637" i="38" s="1"/>
  <c r="BD573" i="38"/>
  <c r="BE573" i="38" s="1"/>
  <c r="BF573" i="38" s="1"/>
  <c r="BG573" i="38" s="1"/>
  <c r="BH573" i="38" s="1"/>
  <c r="BD489" i="38"/>
  <c r="BE489" i="38" s="1"/>
  <c r="BF489" i="38" s="1"/>
  <c r="BG489" i="38" s="1"/>
  <c r="BH489" i="38" s="1"/>
  <c r="BD458" i="38"/>
  <c r="BE458" i="38" s="1"/>
  <c r="BF458" i="38" s="1"/>
  <c r="BG458" i="38" s="1"/>
  <c r="BH458" i="38" s="1"/>
  <c r="BD1364" i="38"/>
  <c r="BE1364" i="38" s="1"/>
  <c r="BF1364" i="38" s="1"/>
  <c r="BG1364" i="38" s="1"/>
  <c r="BH1364" i="38" s="1"/>
  <c r="BD820" i="38"/>
  <c r="BE820" i="38" s="1"/>
  <c r="BF820" i="38" s="1"/>
  <c r="BG820" i="38" s="1"/>
  <c r="BH820" i="38" s="1"/>
  <c r="BD728" i="38"/>
  <c r="BE728" i="38" s="1"/>
  <c r="BF728" i="38" s="1"/>
  <c r="BG728" i="38" s="1"/>
  <c r="BH728" i="38" s="1"/>
  <c r="BD713" i="38"/>
  <c r="BE713" i="38" s="1"/>
  <c r="BF713" i="38" s="1"/>
  <c r="BG713" i="38" s="1"/>
  <c r="BH713" i="38" s="1"/>
  <c r="BD649" i="38"/>
  <c r="BE649" i="38" s="1"/>
  <c r="BF649" i="38" s="1"/>
  <c r="BG649" i="38" s="1"/>
  <c r="BH649" i="38" s="1"/>
  <c r="BD585" i="38"/>
  <c r="BE585" i="38" s="1"/>
  <c r="BF585" i="38" s="1"/>
  <c r="BG585" i="38" s="1"/>
  <c r="BH585" i="38" s="1"/>
  <c r="BD521" i="38"/>
  <c r="BE521" i="38" s="1"/>
  <c r="BF521" i="38" s="1"/>
  <c r="BG521" i="38" s="1"/>
  <c r="BH521" i="38" s="1"/>
  <c r="BD509" i="38"/>
  <c r="BE509" i="38" s="1"/>
  <c r="BF509" i="38" s="1"/>
  <c r="BG509" i="38" s="1"/>
  <c r="BH509" i="38" s="1"/>
  <c r="BD488" i="38"/>
  <c r="BE488" i="38" s="1"/>
  <c r="BF488" i="38" s="1"/>
  <c r="BG488" i="38" s="1"/>
  <c r="BH488" i="38" s="1"/>
  <c r="BD362" i="38"/>
  <c r="BE362" i="38" s="1"/>
  <c r="BF362" i="38" s="1"/>
  <c r="BG362" i="38" s="1"/>
  <c r="BH362" i="38" s="1"/>
  <c r="BD345" i="38"/>
  <c r="BE345" i="38" s="1"/>
  <c r="BF345" i="38" s="1"/>
  <c r="BG345" i="38" s="1"/>
  <c r="BH345" i="38" s="1"/>
  <c r="BD328" i="38"/>
  <c r="BE328" i="38" s="1"/>
  <c r="BF328" i="38" s="1"/>
  <c r="BG328" i="38" s="1"/>
  <c r="BH328" i="38" s="1"/>
  <c r="BD234" i="38"/>
  <c r="BE234" i="38" s="1"/>
  <c r="BF234" i="38" s="1"/>
  <c r="BG234" i="38" s="1"/>
  <c r="BH234" i="38" s="1"/>
  <c r="BD217" i="38"/>
  <c r="BE217" i="38" s="1"/>
  <c r="BF217" i="38" s="1"/>
  <c r="BG217" i="38" s="1"/>
  <c r="BH217" i="38" s="1"/>
  <c r="BD121" i="38"/>
  <c r="BE121" i="38" s="1"/>
  <c r="BF121" i="38" s="1"/>
  <c r="BG121" i="38" s="1"/>
  <c r="BH121" i="38" s="1"/>
  <c r="BD113" i="38"/>
  <c r="BE113" i="38" s="1"/>
  <c r="BF113" i="38" s="1"/>
  <c r="BG113" i="38" s="1"/>
  <c r="BH113" i="38" s="1"/>
  <c r="BD105" i="38"/>
  <c r="BE105" i="38" s="1"/>
  <c r="BF105" i="38" s="1"/>
  <c r="BG105" i="38" s="1"/>
  <c r="BH105" i="38" s="1"/>
  <c r="BD726" i="38"/>
  <c r="BE726" i="38" s="1"/>
  <c r="BF726" i="38" s="1"/>
  <c r="BG726" i="38" s="1"/>
  <c r="BH726" i="38" s="1"/>
  <c r="BD712" i="38"/>
  <c r="BE712" i="38" s="1"/>
  <c r="BF712" i="38" s="1"/>
  <c r="BG712" i="38" s="1"/>
  <c r="BH712" i="38" s="1"/>
  <c r="BD648" i="38"/>
  <c r="BE648" i="38" s="1"/>
  <c r="BF648" i="38" s="1"/>
  <c r="BG648" i="38" s="1"/>
  <c r="BH648" i="38" s="1"/>
  <c r="BD584" i="38"/>
  <c r="BE584" i="38" s="1"/>
  <c r="BF584" i="38" s="1"/>
  <c r="BG584" i="38" s="1"/>
  <c r="BH584" i="38" s="1"/>
  <c r="BD520" i="38"/>
  <c r="BE520" i="38" s="1"/>
  <c r="BF520" i="38" s="1"/>
  <c r="BG520" i="38" s="1"/>
  <c r="BH520" i="38" s="1"/>
  <c r="BD457" i="38"/>
  <c r="BE457" i="38" s="1"/>
  <c r="BF457" i="38" s="1"/>
  <c r="BG457" i="38" s="1"/>
  <c r="BH457" i="38" s="1"/>
  <c r="BD413" i="38"/>
  <c r="BE413" i="38" s="1"/>
  <c r="BF413" i="38" s="1"/>
  <c r="BG413" i="38" s="1"/>
  <c r="BH413" i="38" s="1"/>
  <c r="BD370" i="38"/>
  <c r="BE370" i="38" s="1"/>
  <c r="BF370" i="38" s="1"/>
  <c r="BG370" i="38" s="1"/>
  <c r="BH370" i="38" s="1"/>
  <c r="BD353" i="38"/>
  <c r="BE353" i="38" s="1"/>
  <c r="BF353" i="38" s="1"/>
  <c r="BG353" i="38" s="1"/>
  <c r="BH353" i="38" s="1"/>
  <c r="BD285" i="38"/>
  <c r="BE285" i="38" s="1"/>
  <c r="BF285" i="38" s="1"/>
  <c r="BG285" i="38" s="1"/>
  <c r="BH285" i="38" s="1"/>
  <c r="BD242" i="38"/>
  <c r="BE242" i="38" s="1"/>
  <c r="BF242" i="38" s="1"/>
  <c r="BG242" i="38" s="1"/>
  <c r="BH242" i="38" s="1"/>
  <c r="BD225" i="38"/>
  <c r="BE225" i="38" s="1"/>
  <c r="BF225" i="38" s="1"/>
  <c r="BG225" i="38" s="1"/>
  <c r="BH225" i="38" s="1"/>
  <c r="BD206" i="38"/>
  <c r="BE206" i="38" s="1"/>
  <c r="BF206" i="38" s="1"/>
  <c r="BG206" i="38" s="1"/>
  <c r="BH206" i="38" s="1"/>
  <c r="BD88" i="38"/>
  <c r="BE88" i="38" s="1"/>
  <c r="BF88" i="38" s="1"/>
  <c r="BG88" i="38" s="1"/>
  <c r="BH88" i="38" s="1"/>
  <c r="BD67" i="38"/>
  <c r="BE67" i="38" s="1"/>
  <c r="BF67" i="38" s="1"/>
  <c r="BG67" i="38" s="1"/>
  <c r="BH67" i="38" s="1"/>
  <c r="BD63" i="38"/>
  <c r="BE63" i="38" s="1"/>
  <c r="BF63" i="38" s="1"/>
  <c r="BG63" i="38" s="1"/>
  <c r="BH63" i="38" s="1"/>
  <c r="BD59" i="38"/>
  <c r="BE59" i="38" s="1"/>
  <c r="BF59" i="38" s="1"/>
  <c r="BG59" i="38" s="1"/>
  <c r="BH59" i="38" s="1"/>
  <c r="BD55" i="38"/>
  <c r="BE55" i="38" s="1"/>
  <c r="BF55" i="38" s="1"/>
  <c r="BG55" i="38" s="1"/>
  <c r="BH55" i="38" s="1"/>
  <c r="BD51" i="38"/>
  <c r="BE51" i="38" s="1"/>
  <c r="BF51" i="38" s="1"/>
  <c r="BG51" i="38" s="1"/>
  <c r="BH51" i="38" s="1"/>
  <c r="BD852" i="38"/>
  <c r="BE852" i="38" s="1"/>
  <c r="BF852" i="38" s="1"/>
  <c r="BG852" i="38" s="1"/>
  <c r="BH852" i="38" s="1"/>
  <c r="BD698" i="38"/>
  <c r="BE698" i="38" s="1"/>
  <c r="BF698" i="38" s="1"/>
  <c r="BG698" i="38" s="1"/>
  <c r="BH698" i="38" s="1"/>
  <c r="BD1492" i="38"/>
  <c r="BE1492" i="38" s="1"/>
  <c r="BF1492" i="38" s="1"/>
  <c r="BG1492" i="38" s="1"/>
  <c r="BH1492" i="38" s="1"/>
  <c r="BD685" i="38"/>
  <c r="BE685" i="38" s="1"/>
  <c r="BF685" i="38" s="1"/>
  <c r="BG685" i="38" s="1"/>
  <c r="BH685" i="38" s="1"/>
  <c r="BD621" i="38"/>
  <c r="BE621" i="38" s="1"/>
  <c r="BF621" i="38" s="1"/>
  <c r="BG621" i="38" s="1"/>
  <c r="BH621" i="38" s="1"/>
  <c r="BD557" i="38"/>
  <c r="BE557" i="38" s="1"/>
  <c r="BF557" i="38" s="1"/>
  <c r="BG557" i="38" s="1"/>
  <c r="BH557" i="38" s="1"/>
  <c r="BD429" i="38"/>
  <c r="BE429" i="38" s="1"/>
  <c r="BF429" i="38" s="1"/>
  <c r="BG429" i="38" s="1"/>
  <c r="BH429" i="38" s="1"/>
  <c r="BD386" i="38"/>
  <c r="BE386" i="38" s="1"/>
  <c r="BF386" i="38" s="1"/>
  <c r="BG386" i="38" s="1"/>
  <c r="BH386" i="38" s="1"/>
  <c r="BD369" i="38"/>
  <c r="BE369" i="38" s="1"/>
  <c r="BF369" i="38" s="1"/>
  <c r="BG369" i="38" s="1"/>
  <c r="BH369" i="38" s="1"/>
  <c r="BD301" i="38"/>
  <c r="BE301" i="38" s="1"/>
  <c r="BF301" i="38" s="1"/>
  <c r="BG301" i="38" s="1"/>
  <c r="BH301" i="38" s="1"/>
  <c r="BD258" i="38"/>
  <c r="BE258" i="38" s="1"/>
  <c r="BF258" i="38" s="1"/>
  <c r="BG258" i="38" s="1"/>
  <c r="BH258" i="38" s="1"/>
  <c r="BD241" i="38"/>
  <c r="BE241" i="38" s="1"/>
  <c r="BF241" i="38" s="1"/>
  <c r="BG241" i="38" s="1"/>
  <c r="BH241" i="38" s="1"/>
  <c r="BD209" i="38"/>
  <c r="BE209" i="38" s="1"/>
  <c r="BF209" i="38" s="1"/>
  <c r="BG209" i="38" s="1"/>
  <c r="BH209" i="38" s="1"/>
  <c r="BD844" i="38"/>
  <c r="BE844" i="38" s="1"/>
  <c r="BF844" i="38" s="1"/>
  <c r="BG844" i="38" s="1"/>
  <c r="BH844" i="38" s="1"/>
  <c r="BD722" i="38"/>
  <c r="BE722" i="38" s="1"/>
  <c r="BF722" i="38" s="1"/>
  <c r="BG722" i="38" s="1"/>
  <c r="BH722" i="38" s="1"/>
  <c r="BD696" i="38"/>
  <c r="BE696" i="38" s="1"/>
  <c r="BF696" i="38" s="1"/>
  <c r="BG696" i="38" s="1"/>
  <c r="BH696" i="38" s="1"/>
  <c r="BD632" i="38"/>
  <c r="BE632" i="38" s="1"/>
  <c r="BF632" i="38" s="1"/>
  <c r="BG632" i="38" s="1"/>
  <c r="BH632" i="38" s="1"/>
  <c r="BD568" i="38"/>
  <c r="BE568" i="38" s="1"/>
  <c r="BF568" i="38" s="1"/>
  <c r="BG568" i="38" s="1"/>
  <c r="BH568" i="38" s="1"/>
  <c r="BD445" i="38"/>
  <c r="BE445" i="38" s="1"/>
  <c r="BF445" i="38" s="1"/>
  <c r="BG445" i="38" s="1"/>
  <c r="BH445" i="38" s="1"/>
  <c r="BD402" i="38"/>
  <c r="BE402" i="38" s="1"/>
  <c r="BF402" i="38" s="1"/>
  <c r="BG402" i="38" s="1"/>
  <c r="BH402" i="38" s="1"/>
  <c r="BD385" i="38"/>
  <c r="BE385" i="38" s="1"/>
  <c r="BF385" i="38" s="1"/>
  <c r="BG385" i="38" s="1"/>
  <c r="BH385" i="38" s="1"/>
  <c r="BD317" i="38"/>
  <c r="BE317" i="38" s="1"/>
  <c r="BF317" i="38" s="1"/>
  <c r="BG317" i="38" s="1"/>
  <c r="BH317" i="38" s="1"/>
  <c r="BD274" i="38"/>
  <c r="BE274" i="38" s="1"/>
  <c r="BF274" i="38" s="1"/>
  <c r="BG274" i="38" s="1"/>
  <c r="BH274" i="38" s="1"/>
  <c r="BD257" i="38"/>
  <c r="BE257" i="38" s="1"/>
  <c r="BF257" i="38" s="1"/>
  <c r="BG257" i="38" s="1"/>
  <c r="BH257" i="38" s="1"/>
  <c r="BD190" i="38"/>
  <c r="BE190" i="38" s="1"/>
  <c r="BF190" i="38" s="1"/>
  <c r="BG190" i="38" s="1"/>
  <c r="BH190" i="38" s="1"/>
  <c r="BD87" i="38"/>
  <c r="BE87" i="38" s="1"/>
  <c r="BF87" i="38" s="1"/>
  <c r="BG87" i="38" s="1"/>
  <c r="BH87" i="38" s="1"/>
  <c r="BD66" i="38"/>
  <c r="BE66" i="38" s="1"/>
  <c r="BF66" i="38" s="1"/>
  <c r="BG66" i="38" s="1"/>
  <c r="BH66" i="38" s="1"/>
  <c r="BD62" i="38"/>
  <c r="BE62" i="38" s="1"/>
  <c r="BF62" i="38" s="1"/>
  <c r="BG62" i="38" s="1"/>
  <c r="BH62" i="38" s="1"/>
  <c r="BD58" i="38"/>
  <c r="BE58" i="38" s="1"/>
  <c r="BF58" i="38" s="1"/>
  <c r="BG58" i="38" s="1"/>
  <c r="BH58" i="38" s="1"/>
  <c r="BD54" i="38"/>
  <c r="BE54" i="38" s="1"/>
  <c r="BF54" i="38" s="1"/>
  <c r="BG54" i="38" s="1"/>
  <c r="BH54" i="38" s="1"/>
  <c r="BD936" i="38"/>
  <c r="BE936" i="38" s="1"/>
  <c r="BF936" i="38" s="1"/>
  <c r="BG936" i="38" s="1"/>
  <c r="BH936" i="38" s="1"/>
  <c r="BD682" i="38"/>
  <c r="BE682" i="38" s="1"/>
  <c r="BF682" i="38" s="1"/>
  <c r="BG682" i="38" s="1"/>
  <c r="BH682" i="38" s="1"/>
  <c r="BD618" i="38"/>
  <c r="BE618" i="38" s="1"/>
  <c r="BF618" i="38" s="1"/>
  <c r="BG618" i="38" s="1"/>
  <c r="BH618" i="38" s="1"/>
  <c r="BD554" i="38"/>
  <c r="BE554" i="38" s="1"/>
  <c r="BF554" i="38" s="1"/>
  <c r="BG554" i="38" s="1"/>
  <c r="BH554" i="38" s="1"/>
  <c r="BD505" i="38"/>
  <c r="BE505" i="38" s="1"/>
  <c r="BF505" i="38" s="1"/>
  <c r="BG505" i="38" s="1"/>
  <c r="BH505" i="38" s="1"/>
  <c r="BD474" i="38"/>
  <c r="BE474" i="38" s="1"/>
  <c r="BF474" i="38" s="1"/>
  <c r="BG474" i="38" s="1"/>
  <c r="BH474" i="38" s="1"/>
  <c r="BD410" i="38"/>
  <c r="BE410" i="38" s="1"/>
  <c r="BF410" i="38" s="1"/>
  <c r="BG410" i="38" s="1"/>
  <c r="BH410" i="38" s="1"/>
  <c r="BD393" i="38"/>
  <c r="BE393" i="38" s="1"/>
  <c r="BF393" i="38" s="1"/>
  <c r="BG393" i="38" s="1"/>
  <c r="BH393" i="38" s="1"/>
  <c r="BD376" i="38"/>
  <c r="BE376" i="38" s="1"/>
  <c r="BF376" i="38" s="1"/>
  <c r="BG376" i="38" s="1"/>
  <c r="BH376" i="38" s="1"/>
  <c r="BD282" i="38"/>
  <c r="BE282" i="38" s="1"/>
  <c r="BF282" i="38" s="1"/>
  <c r="BG282" i="38" s="1"/>
  <c r="BH282" i="38" s="1"/>
  <c r="BD265" i="38"/>
  <c r="BE265" i="38" s="1"/>
  <c r="BF265" i="38" s="1"/>
  <c r="BG265" i="38" s="1"/>
  <c r="BH265" i="38" s="1"/>
  <c r="BD248" i="38"/>
  <c r="BE248" i="38" s="1"/>
  <c r="BF248" i="38" s="1"/>
  <c r="BG248" i="38" s="1"/>
  <c r="BH248" i="38" s="1"/>
  <c r="BD201" i="38"/>
  <c r="BE201" i="38" s="1"/>
  <c r="BF201" i="38" s="1"/>
  <c r="BG201" i="38" s="1"/>
  <c r="BH201" i="38" s="1"/>
  <c r="BD153" i="38"/>
  <c r="BE153" i="38" s="1"/>
  <c r="BF153" i="38" s="1"/>
  <c r="BG153" i="38" s="1"/>
  <c r="BH153" i="38" s="1"/>
  <c r="BD82" i="38"/>
  <c r="BE82" i="38" s="1"/>
  <c r="BF82" i="38" s="1"/>
  <c r="BG82" i="38" s="1"/>
  <c r="BH82" i="38" s="1"/>
  <c r="BD74" i="38"/>
  <c r="BE74" i="38" s="1"/>
  <c r="BF74" i="38" s="1"/>
  <c r="BG74" i="38" s="1"/>
  <c r="BH74" i="38" s="1"/>
  <c r="BD47" i="38"/>
  <c r="BE47" i="38" s="1"/>
  <c r="BF47" i="38" s="1"/>
  <c r="BG47" i="38" s="1"/>
  <c r="BH47" i="38" s="1"/>
  <c r="BD1310" i="38"/>
  <c r="BE1310" i="38" s="1"/>
  <c r="BF1310" i="38" s="1"/>
  <c r="BG1310" i="38" s="1"/>
  <c r="BH1310" i="38" s="1"/>
  <c r="BD1012" i="38"/>
  <c r="BE1012" i="38" s="1"/>
  <c r="BF1012" i="38" s="1"/>
  <c r="BG1012" i="38" s="1"/>
  <c r="BH1012" i="38" s="1"/>
  <c r="BD769" i="38"/>
  <c r="BE769" i="38" s="1"/>
  <c r="BF769" i="38" s="1"/>
  <c r="BG769" i="38" s="1"/>
  <c r="BH769" i="38" s="1"/>
  <c r="BD669" i="38"/>
  <c r="BE669" i="38" s="1"/>
  <c r="BF669" i="38" s="1"/>
  <c r="BG669" i="38" s="1"/>
  <c r="BH669" i="38" s="1"/>
  <c r="BD605" i="38"/>
  <c r="BE605" i="38" s="1"/>
  <c r="BF605" i="38" s="1"/>
  <c r="BG605" i="38" s="1"/>
  <c r="BH605" i="38" s="1"/>
  <c r="BD541" i="38"/>
  <c r="BE541" i="38" s="1"/>
  <c r="BF541" i="38" s="1"/>
  <c r="BG541" i="38" s="1"/>
  <c r="BH541" i="38" s="1"/>
  <c r="BD504" i="38"/>
  <c r="BE504" i="38" s="1"/>
  <c r="BF504" i="38" s="1"/>
  <c r="BG504" i="38" s="1"/>
  <c r="BH504" i="38" s="1"/>
  <c r="BD418" i="38"/>
  <c r="BE418" i="38" s="1"/>
  <c r="BF418" i="38" s="1"/>
  <c r="BG418" i="38" s="1"/>
  <c r="BH418" i="38" s="1"/>
  <c r="BD401" i="38"/>
  <c r="BE401" i="38" s="1"/>
  <c r="BF401" i="38" s="1"/>
  <c r="BG401" i="38" s="1"/>
  <c r="BH401" i="38" s="1"/>
  <c r="BD333" i="38"/>
  <c r="BE333" i="38" s="1"/>
  <c r="BF333" i="38" s="1"/>
  <c r="BG333" i="38" s="1"/>
  <c r="BH333" i="38" s="1"/>
  <c r="BD290" i="38"/>
  <c r="BE290" i="38" s="1"/>
  <c r="BF290" i="38" s="1"/>
  <c r="BG290" i="38" s="1"/>
  <c r="BH290" i="38" s="1"/>
  <c r="BD273" i="38"/>
  <c r="BE273" i="38" s="1"/>
  <c r="BF273" i="38" s="1"/>
  <c r="BG273" i="38" s="1"/>
  <c r="BH273" i="38" s="1"/>
  <c r="BD193" i="38"/>
  <c r="BE193" i="38" s="1"/>
  <c r="BF193" i="38" s="1"/>
  <c r="BG193" i="38" s="1"/>
  <c r="BH193" i="38" s="1"/>
  <c r="BD182" i="38"/>
  <c r="BE182" i="38" s="1"/>
  <c r="BF182" i="38" s="1"/>
  <c r="BG182" i="38" s="1"/>
  <c r="BH182" i="38" s="1"/>
  <c r="BD43" i="38"/>
  <c r="BE43" i="38" s="1"/>
  <c r="BF43" i="38" s="1"/>
  <c r="BG43" i="38" s="1"/>
  <c r="BH43" i="38" s="1"/>
  <c r="BD1902" i="38"/>
  <c r="BE1902" i="38" s="1"/>
  <c r="BF1902" i="38" s="1"/>
  <c r="BG1902" i="38" s="1"/>
  <c r="BH1902" i="38" s="1"/>
  <c r="BD1438" i="38"/>
  <c r="BE1438" i="38" s="1"/>
  <c r="BF1438" i="38" s="1"/>
  <c r="BG1438" i="38" s="1"/>
  <c r="BH1438" i="38" s="1"/>
  <c r="BD1096" i="38"/>
  <c r="BE1096" i="38" s="1"/>
  <c r="BF1096" i="38" s="1"/>
  <c r="BG1096" i="38" s="1"/>
  <c r="BH1096" i="38" s="1"/>
  <c r="BD801" i="38"/>
  <c r="BE801" i="38" s="1"/>
  <c r="BF801" i="38" s="1"/>
  <c r="BG801" i="38" s="1"/>
  <c r="BH801" i="38" s="1"/>
  <c r="BD681" i="38"/>
  <c r="BE681" i="38" s="1"/>
  <c r="BF681" i="38" s="1"/>
  <c r="BG681" i="38" s="1"/>
  <c r="BH681" i="38" s="1"/>
  <c r="BD617" i="38"/>
  <c r="BE617" i="38" s="1"/>
  <c r="BF617" i="38" s="1"/>
  <c r="BG617" i="38" s="1"/>
  <c r="BH617" i="38" s="1"/>
  <c r="BD553" i="38"/>
  <c r="BE553" i="38" s="1"/>
  <c r="BF553" i="38" s="1"/>
  <c r="BG553" i="38" s="1"/>
  <c r="BH553" i="38" s="1"/>
  <c r="BD473" i="38"/>
  <c r="BE473" i="38" s="1"/>
  <c r="BF473" i="38" s="1"/>
  <c r="BG473" i="38" s="1"/>
  <c r="BH473" i="38" s="1"/>
  <c r="BD426" i="38"/>
  <c r="BE426" i="38" s="1"/>
  <c r="BF426" i="38" s="1"/>
  <c r="BG426" i="38" s="1"/>
  <c r="BH426" i="38" s="1"/>
  <c r="BD409" i="38"/>
  <c r="BE409" i="38" s="1"/>
  <c r="BF409" i="38" s="1"/>
  <c r="BG409" i="38" s="1"/>
  <c r="BH409" i="38" s="1"/>
  <c r="BD392" i="38"/>
  <c r="BE392" i="38" s="1"/>
  <c r="BF392" i="38" s="1"/>
  <c r="BG392" i="38" s="1"/>
  <c r="BH392" i="38" s="1"/>
  <c r="BD298" i="38"/>
  <c r="BE298" i="38" s="1"/>
  <c r="BF298" i="38" s="1"/>
  <c r="BG298" i="38" s="1"/>
  <c r="BH298" i="38" s="1"/>
  <c r="BD281" i="38"/>
  <c r="BE281" i="38" s="1"/>
  <c r="BF281" i="38" s="1"/>
  <c r="BG281" i="38" s="1"/>
  <c r="BH281" i="38" s="1"/>
  <c r="BD264" i="38"/>
  <c r="BE264" i="38" s="1"/>
  <c r="BF264" i="38" s="1"/>
  <c r="BG264" i="38" s="1"/>
  <c r="BH264" i="38" s="1"/>
  <c r="BD197" i="38"/>
  <c r="BE197" i="38" s="1"/>
  <c r="BF197" i="38" s="1"/>
  <c r="BG197" i="38" s="1"/>
  <c r="BH197" i="38" s="1"/>
  <c r="BD128" i="38"/>
  <c r="BE128" i="38" s="1"/>
  <c r="BF128" i="38" s="1"/>
  <c r="BG128" i="38" s="1"/>
  <c r="BH128" i="38" s="1"/>
  <c r="BD79" i="38"/>
  <c r="BE79" i="38" s="1"/>
  <c r="BF79" i="38" s="1"/>
  <c r="BG79" i="38" s="1"/>
  <c r="BH79" i="38" s="1"/>
  <c r="BD71" i="38"/>
  <c r="BE71" i="38" s="1"/>
  <c r="BF71" i="38" s="1"/>
  <c r="BG71" i="38" s="1"/>
  <c r="BH71" i="38" s="1"/>
  <c r="BD39" i="38"/>
  <c r="BE39" i="38" s="1"/>
  <c r="BF39" i="38" s="1"/>
  <c r="BG39" i="38" s="1"/>
  <c r="BH39" i="38" s="1"/>
  <c r="BD1160" i="38"/>
  <c r="BE1160" i="38" s="1"/>
  <c r="BF1160" i="38" s="1"/>
  <c r="BG1160" i="38" s="1"/>
  <c r="BH1160" i="38" s="1"/>
  <c r="BD634" i="38"/>
  <c r="BE634" i="38" s="1"/>
  <c r="BF634" i="38" s="1"/>
  <c r="BG634" i="38" s="1"/>
  <c r="BH634" i="38" s="1"/>
  <c r="BD569" i="38"/>
  <c r="BE569" i="38" s="1"/>
  <c r="BF569" i="38" s="1"/>
  <c r="BG569" i="38" s="1"/>
  <c r="BH569" i="38" s="1"/>
  <c r="BD377" i="38"/>
  <c r="BE377" i="38" s="1"/>
  <c r="BF377" i="38" s="1"/>
  <c r="BG377" i="38" s="1"/>
  <c r="BH377" i="38" s="1"/>
  <c r="BD85" i="38"/>
  <c r="BE85" i="38" s="1"/>
  <c r="BF85" i="38" s="1"/>
  <c r="BG85" i="38" s="1"/>
  <c r="BH85" i="38" s="1"/>
  <c r="BD83" i="38"/>
  <c r="BE83" i="38" s="1"/>
  <c r="BF83" i="38" s="1"/>
  <c r="BG83" i="38" s="1"/>
  <c r="BH83" i="38" s="1"/>
  <c r="BD29" i="38"/>
  <c r="BE29" i="38" s="1"/>
  <c r="BF29" i="38" s="1"/>
  <c r="BG29" i="38" s="1"/>
  <c r="BH29" i="38" s="1"/>
  <c r="BD723" i="38"/>
  <c r="BE723" i="38" s="1"/>
  <c r="BF723" i="38" s="1"/>
  <c r="BG723" i="38" s="1"/>
  <c r="BH723" i="38" s="1"/>
  <c r="BD633" i="38"/>
  <c r="BE633" i="38" s="1"/>
  <c r="BF633" i="38" s="1"/>
  <c r="BG633" i="38" s="1"/>
  <c r="BH633" i="38" s="1"/>
  <c r="BD497" i="38"/>
  <c r="BE497" i="38" s="1"/>
  <c r="BF497" i="38" s="1"/>
  <c r="BG497" i="38" s="1"/>
  <c r="BH497" i="38" s="1"/>
  <c r="BD338" i="38"/>
  <c r="BE338" i="38" s="1"/>
  <c r="BF338" i="38" s="1"/>
  <c r="BG338" i="38" s="1"/>
  <c r="BH338" i="38" s="1"/>
  <c r="BD53" i="38"/>
  <c r="BE53" i="38" s="1"/>
  <c r="BF53" i="38" s="1"/>
  <c r="BG53" i="38" s="1"/>
  <c r="BH53" i="38" s="1"/>
  <c r="BD337" i="38"/>
  <c r="BE337" i="38" s="1"/>
  <c r="BF337" i="38" s="1"/>
  <c r="BG337" i="38" s="1"/>
  <c r="BH337" i="38" s="1"/>
  <c r="BD269" i="38"/>
  <c r="BE269" i="38" s="1"/>
  <c r="BF269" i="38" s="1"/>
  <c r="BG269" i="38" s="1"/>
  <c r="BH269" i="38" s="1"/>
  <c r="BD164" i="38"/>
  <c r="BE164" i="38" s="1"/>
  <c r="BF164" i="38" s="1"/>
  <c r="BG164" i="38" s="1"/>
  <c r="BH164" i="38" s="1"/>
  <c r="BD72" i="38"/>
  <c r="BE72" i="38" s="1"/>
  <c r="BF72" i="38" s="1"/>
  <c r="BG72" i="38" s="1"/>
  <c r="BH72" i="38" s="1"/>
  <c r="BD56" i="38"/>
  <c r="BE56" i="38" s="1"/>
  <c r="BF56" i="38" s="1"/>
  <c r="BG56" i="38" s="1"/>
  <c r="BH56" i="38" s="1"/>
  <c r="U24" i="38"/>
  <c r="BH4" i="38"/>
  <c r="BH7" i="38" s="1"/>
  <c r="BH8" i="38" s="1"/>
  <c r="BH9" i="38" s="1"/>
  <c r="BD490" i="38"/>
  <c r="BE490" i="38" s="1"/>
  <c r="BF490" i="38" s="1"/>
  <c r="BG490" i="38" s="1"/>
  <c r="BH490" i="38" s="1"/>
  <c r="BD233" i="38"/>
  <c r="BE233" i="38" s="1"/>
  <c r="BF233" i="38" s="1"/>
  <c r="BG233" i="38" s="1"/>
  <c r="BH233" i="38" s="1"/>
  <c r="BD149" i="38"/>
  <c r="BE149" i="38" s="1"/>
  <c r="BF149" i="38" s="1"/>
  <c r="BG149" i="38" s="1"/>
  <c r="BH149" i="38" s="1"/>
  <c r="BD125" i="38"/>
  <c r="BE125" i="38" s="1"/>
  <c r="BF125" i="38" s="1"/>
  <c r="BG125" i="38" s="1"/>
  <c r="BH125" i="38" s="1"/>
  <c r="BD48" i="38"/>
  <c r="BE48" i="38" s="1"/>
  <c r="BF48" i="38" s="1"/>
  <c r="BG48" i="38" s="1"/>
  <c r="BH48" i="38" s="1"/>
  <c r="BD31" i="38"/>
  <c r="BE31" i="38" s="1"/>
  <c r="BF31" i="38" s="1"/>
  <c r="BG31" i="38" s="1"/>
  <c r="BH31" i="38" s="1"/>
  <c r="BD26" i="38"/>
  <c r="BE26" i="38" s="1"/>
  <c r="BF26" i="38" s="1"/>
  <c r="BG26" i="38" s="1"/>
  <c r="BH26" i="38" s="1"/>
  <c r="AX4" i="38"/>
  <c r="AX9" i="38" s="1"/>
  <c r="AX5" i="38" s="1"/>
  <c r="AX6" i="38" s="1"/>
  <c r="AX7" i="38" s="1"/>
  <c r="BD465" i="38"/>
  <c r="BE465" i="38" s="1"/>
  <c r="BF465" i="38" s="1"/>
  <c r="BG465" i="38" s="1"/>
  <c r="BH465" i="38" s="1"/>
  <c r="BD198" i="38"/>
  <c r="BE198" i="38" s="1"/>
  <c r="BF198" i="38" s="1"/>
  <c r="BG198" i="38" s="1"/>
  <c r="BH198" i="38" s="1"/>
  <c r="BD266" i="38"/>
  <c r="BE266" i="38" s="1"/>
  <c r="BF266" i="38" s="1"/>
  <c r="BG266" i="38" s="1"/>
  <c r="BH266" i="38" s="1"/>
  <c r="BD232" i="38"/>
  <c r="BE232" i="38" s="1"/>
  <c r="BF232" i="38" s="1"/>
  <c r="BG232" i="38" s="1"/>
  <c r="BH232" i="38" s="1"/>
  <c r="BD158" i="38"/>
  <c r="BE158" i="38" s="1"/>
  <c r="BF158" i="38" s="1"/>
  <c r="BG158" i="38" s="1"/>
  <c r="BH158" i="38" s="1"/>
  <c r="BD129" i="38"/>
  <c r="BE129" i="38" s="1"/>
  <c r="BF129" i="38" s="1"/>
  <c r="BG129" i="38" s="1"/>
  <c r="BH129" i="38" s="1"/>
  <c r="BD80" i="38"/>
  <c r="BE80" i="38" s="1"/>
  <c r="BF80" i="38" s="1"/>
  <c r="BG80" i="38" s="1"/>
  <c r="BH80" i="38" s="1"/>
  <c r="BD41" i="38"/>
  <c r="BE41" i="38" s="1"/>
  <c r="BF41" i="38" s="1"/>
  <c r="BG41" i="38" s="1"/>
  <c r="BH41" i="38" s="1"/>
  <c r="BD18" i="38"/>
  <c r="BE18" i="38" s="1"/>
  <c r="BF18" i="38" s="1"/>
  <c r="BG18" i="38" s="1"/>
  <c r="BH18" i="38" s="1"/>
  <c r="BD697" i="38"/>
  <c r="BE697" i="38" s="1"/>
  <c r="BF697" i="38" s="1"/>
  <c r="BG697" i="38" s="1"/>
  <c r="BH697" i="38" s="1"/>
  <c r="BD148" i="38"/>
  <c r="BE148" i="38" s="1"/>
  <c r="BF148" i="38" s="1"/>
  <c r="BG148" i="38" s="1"/>
  <c r="BH148" i="38" s="1"/>
  <c r="BD133" i="38"/>
  <c r="BE133" i="38" s="1"/>
  <c r="BF133" i="38" s="1"/>
  <c r="BG133" i="38" s="1"/>
  <c r="BH133" i="38" s="1"/>
  <c r="BD57" i="38"/>
  <c r="BE57" i="38" s="1"/>
  <c r="BF57" i="38" s="1"/>
  <c r="BG57" i="38" s="1"/>
  <c r="BH57" i="38" s="1"/>
  <c r="BD34" i="38"/>
  <c r="BE34" i="38" s="1"/>
  <c r="BF34" i="38" s="1"/>
  <c r="BG34" i="38" s="1"/>
  <c r="BH34" i="38" s="1"/>
  <c r="BD28" i="38"/>
  <c r="BE28" i="38" s="1"/>
  <c r="BF28" i="38" s="1"/>
  <c r="BG28" i="38" s="1"/>
  <c r="BH28" i="38" s="1"/>
  <c r="BD21" i="38"/>
  <c r="BE21" i="38" s="1"/>
  <c r="BF21" i="38" s="1"/>
  <c r="BG21" i="38" s="1"/>
  <c r="BH21" i="38" s="1"/>
  <c r="BD13" i="38"/>
  <c r="BE13" i="38" s="1"/>
  <c r="BF13" i="38" s="1"/>
  <c r="BG13" i="38" s="1"/>
  <c r="BH13" i="38" s="1"/>
  <c r="BD397" i="38"/>
  <c r="BE397" i="38" s="1"/>
  <c r="BF397" i="38" s="1"/>
  <c r="BG397" i="38" s="1"/>
  <c r="BH397" i="38" s="1"/>
  <c r="BD226" i="38"/>
  <c r="BE226" i="38" s="1"/>
  <c r="BF226" i="38" s="1"/>
  <c r="BG226" i="38" s="1"/>
  <c r="BH226" i="38" s="1"/>
  <c r="BD169" i="38"/>
  <c r="BE169" i="38" s="1"/>
  <c r="BF169" i="38" s="1"/>
  <c r="BG169" i="38" s="1"/>
  <c r="BH169" i="38" s="1"/>
  <c r="BD117" i="38"/>
  <c r="BE117" i="38" s="1"/>
  <c r="BF117" i="38" s="1"/>
  <c r="BG117" i="38" s="1"/>
  <c r="BH117" i="38" s="1"/>
  <c r="BD60" i="38"/>
  <c r="BE60" i="38" s="1"/>
  <c r="BF60" i="38" s="1"/>
  <c r="BG60" i="38" s="1"/>
  <c r="BH60" i="38" s="1"/>
  <c r="BD44" i="38"/>
  <c r="BE44" i="38" s="1"/>
  <c r="BF44" i="38" s="1"/>
  <c r="BG44" i="38" s="1"/>
  <c r="BH44" i="38" s="1"/>
  <c r="BD37" i="38"/>
  <c r="BE37" i="38" s="1"/>
  <c r="BF37" i="38" s="1"/>
  <c r="BG37" i="38" s="1"/>
  <c r="BH37" i="38" s="1"/>
  <c r="BD23" i="38"/>
  <c r="BE23" i="38" s="1"/>
  <c r="BF23" i="38" s="1"/>
  <c r="BG23" i="38" s="1"/>
  <c r="BH23" i="38" s="1"/>
  <c r="BD25" i="38"/>
  <c r="BE25" i="38" s="1"/>
  <c r="BF25" i="38" s="1"/>
  <c r="BG25" i="38" s="1"/>
  <c r="BH25" i="38" s="1"/>
  <c r="BD536" i="38"/>
  <c r="BE536" i="38" s="1"/>
  <c r="BF536" i="38" s="1"/>
  <c r="BG536" i="38" s="1"/>
  <c r="BH536" i="38" s="1"/>
  <c r="BD477" i="38"/>
  <c r="BE477" i="38" s="1"/>
  <c r="BF477" i="38" s="1"/>
  <c r="BG477" i="38" s="1"/>
  <c r="BH477" i="38" s="1"/>
  <c r="BD361" i="38"/>
  <c r="BE361" i="38" s="1"/>
  <c r="BF361" i="38" s="1"/>
  <c r="BG361" i="38" s="1"/>
  <c r="BH361" i="38" s="1"/>
  <c r="BD137" i="38"/>
  <c r="BE137" i="38" s="1"/>
  <c r="BF137" i="38" s="1"/>
  <c r="BG137" i="38" s="1"/>
  <c r="BH137" i="38" s="1"/>
  <c r="BD40" i="38"/>
  <c r="BE40" i="38" s="1"/>
  <c r="BF40" i="38" s="1"/>
  <c r="BG40" i="38" s="1"/>
  <c r="BH40" i="38" s="1"/>
  <c r="BD35" i="38"/>
  <c r="BE35" i="38" s="1"/>
  <c r="BF35" i="38" s="1"/>
  <c r="BG35" i="38" s="1"/>
  <c r="BH35" i="38" s="1"/>
  <c r="BD33" i="38"/>
  <c r="BE33" i="38" s="1"/>
  <c r="BF33" i="38" s="1"/>
  <c r="BG33" i="38" s="1"/>
  <c r="BH33" i="38" s="1"/>
  <c r="BD216" i="38"/>
  <c r="BE216" i="38" s="1"/>
  <c r="BF216" i="38" s="1"/>
  <c r="BG216" i="38" s="1"/>
  <c r="BH216" i="38" s="1"/>
  <c r="BD600" i="38"/>
  <c r="BE600" i="38" s="1"/>
  <c r="BF600" i="38" s="1"/>
  <c r="BG600" i="38" s="1"/>
  <c r="BH600" i="38" s="1"/>
  <c r="BD394" i="38"/>
  <c r="BE394" i="38" s="1"/>
  <c r="BF394" i="38" s="1"/>
  <c r="BG394" i="38" s="1"/>
  <c r="BH394" i="38" s="1"/>
  <c r="BD360" i="38"/>
  <c r="BE360" i="38" s="1"/>
  <c r="BF360" i="38" s="1"/>
  <c r="BG360" i="38" s="1"/>
  <c r="BH360" i="38" s="1"/>
  <c r="BD161" i="38"/>
  <c r="BE161" i="38" s="1"/>
  <c r="BF161" i="38" s="1"/>
  <c r="BG161" i="38" s="1"/>
  <c r="BH161" i="38" s="1"/>
  <c r="BD108" i="38"/>
  <c r="BE108" i="38" s="1"/>
  <c r="BF108" i="38" s="1"/>
  <c r="BG108" i="38" s="1"/>
  <c r="BH108" i="38" s="1"/>
  <c r="BD846" i="38"/>
  <c r="BE846" i="38" s="1"/>
  <c r="BF846" i="38" s="1"/>
  <c r="BG846" i="38" s="1"/>
  <c r="BH846" i="38" s="1"/>
  <c r="BD321" i="38"/>
  <c r="BE321" i="38" s="1"/>
  <c r="BF321" i="38" s="1"/>
  <c r="BG321" i="38" s="1"/>
  <c r="BH321" i="38" s="1"/>
  <c r="BD253" i="38"/>
  <c r="BE253" i="38" s="1"/>
  <c r="BF253" i="38" s="1"/>
  <c r="BG253" i="38" s="1"/>
  <c r="BH253" i="38" s="1"/>
  <c r="BD61" i="38"/>
  <c r="BE61" i="38" s="1"/>
  <c r="BF61" i="38" s="1"/>
  <c r="BG61" i="38" s="1"/>
  <c r="BH61" i="38" s="1"/>
  <c r="BD36" i="38"/>
  <c r="BE36" i="38" s="1"/>
  <c r="BF36" i="38" s="1"/>
  <c r="BG36" i="38" s="1"/>
  <c r="BH36" i="38" s="1"/>
  <c r="BD19" i="38"/>
  <c r="BE19" i="38" s="1"/>
  <c r="BF19" i="38" s="1"/>
  <c r="BG19" i="38" s="1"/>
  <c r="BH19" i="38" s="1"/>
  <c r="BD15" i="38"/>
  <c r="BE15" i="38" s="1"/>
  <c r="BF15" i="38" s="1"/>
  <c r="BG15" i="38" s="1"/>
  <c r="BH15" i="38" s="1"/>
  <c r="P21" i="38"/>
  <c r="BD664" i="38"/>
  <c r="BE664" i="38" s="1"/>
  <c r="BF664" i="38" s="1"/>
  <c r="BG664" i="38" s="1"/>
  <c r="BH664" i="38" s="1"/>
  <c r="BD354" i="38"/>
  <c r="BE354" i="38" s="1"/>
  <c r="BF354" i="38" s="1"/>
  <c r="BG354" i="38" s="1"/>
  <c r="BH354" i="38" s="1"/>
  <c r="BD180" i="38"/>
  <c r="BE180" i="38" s="1"/>
  <c r="BF180" i="38" s="1"/>
  <c r="BG180" i="38" s="1"/>
  <c r="BH180" i="38" s="1"/>
  <c r="BD69" i="38"/>
  <c r="BE69" i="38" s="1"/>
  <c r="BF69" i="38" s="1"/>
  <c r="BG69" i="38" s="1"/>
  <c r="BH69" i="38" s="1"/>
  <c r="BD64" i="38"/>
  <c r="BE64" i="38" s="1"/>
  <c r="BF64" i="38" s="1"/>
  <c r="BG64" i="38" s="1"/>
  <c r="BH64" i="38" s="1"/>
  <c r="P37" i="38"/>
  <c r="BD30" i="38"/>
  <c r="BE30" i="38" s="1"/>
  <c r="BF30" i="38" s="1"/>
  <c r="BG30" i="38" s="1"/>
  <c r="BH30" i="38" s="1"/>
  <c r="BD77" i="38"/>
  <c r="BE77" i="38" s="1"/>
  <c r="BF77" i="38" s="1"/>
  <c r="BG77" i="38" s="1"/>
  <c r="BH77" i="38" s="1"/>
  <c r="BD792" i="38"/>
  <c r="BE792" i="38" s="1"/>
  <c r="BF792" i="38" s="1"/>
  <c r="BG792" i="38" s="1"/>
  <c r="BH792" i="38" s="1"/>
  <c r="BD249" i="38"/>
  <c r="BE249" i="38" s="1"/>
  <c r="BF249" i="38" s="1"/>
  <c r="BG249" i="38" s="1"/>
  <c r="BH249" i="38" s="1"/>
  <c r="BD141" i="38"/>
  <c r="BE141" i="38" s="1"/>
  <c r="BF141" i="38" s="1"/>
  <c r="BG141" i="38" s="1"/>
  <c r="BH141" i="38" s="1"/>
  <c r="BD90" i="38"/>
  <c r="BE90" i="38" s="1"/>
  <c r="BF90" i="38" s="1"/>
  <c r="BG90" i="38" s="1"/>
  <c r="BH90" i="38" s="1"/>
  <c r="BD456" i="38"/>
  <c r="BE456" i="38" s="1"/>
  <c r="BF456" i="38" s="1"/>
  <c r="BG456" i="38" s="1"/>
  <c r="BH456" i="38" s="1"/>
  <c r="BD381" i="38"/>
  <c r="BE381" i="38" s="1"/>
  <c r="BF381" i="38" s="1"/>
  <c r="BG381" i="38" s="1"/>
  <c r="BH381" i="38" s="1"/>
  <c r="BD65" i="38"/>
  <c r="BE65" i="38" s="1"/>
  <c r="BF65" i="38" s="1"/>
  <c r="BG65" i="38" s="1"/>
  <c r="BH65" i="38" s="1"/>
  <c r="BD22" i="38"/>
  <c r="BE22" i="38" s="1"/>
  <c r="BF22" i="38" s="1"/>
  <c r="BG22" i="38" s="1"/>
  <c r="BH22" i="38" s="1"/>
  <c r="BD157" i="38"/>
  <c r="BE157" i="38" s="1"/>
  <c r="BF157" i="38" s="1"/>
  <c r="BG157" i="38" s="1"/>
  <c r="BH157" i="38" s="1"/>
  <c r="BD12" i="38"/>
  <c r="BE12" i="38" s="1"/>
  <c r="BF12" i="38" s="1"/>
  <c r="BG12" i="38" s="1"/>
  <c r="BH12" i="38" s="1"/>
  <c r="BD758" i="38"/>
  <c r="BE758" i="38" s="1"/>
  <c r="BF758" i="38" s="1"/>
  <c r="BG758" i="38" s="1"/>
  <c r="BH758" i="38" s="1"/>
  <c r="BD89" i="38"/>
  <c r="BE89" i="38" s="1"/>
  <c r="BF89" i="38" s="1"/>
  <c r="BG89" i="38" s="1"/>
  <c r="BH89" i="38" s="1"/>
  <c r="BD75" i="38"/>
  <c r="BE75" i="38" s="1"/>
  <c r="BF75" i="38" s="1"/>
  <c r="BG75" i="38" s="1"/>
  <c r="BH75" i="38" s="1"/>
  <c r="BD68" i="38"/>
  <c r="BE68" i="38" s="1"/>
  <c r="BF68" i="38" s="1"/>
  <c r="BG68" i="38" s="1"/>
  <c r="BH68" i="38" s="1"/>
  <c r="BD52" i="38"/>
  <c r="BE52" i="38" s="1"/>
  <c r="BF52" i="38" s="1"/>
  <c r="BG52" i="38" s="1"/>
  <c r="BH52" i="38" s="1"/>
  <c r="BD24" i="38"/>
  <c r="BE24" i="38" s="1"/>
  <c r="BF24" i="38" s="1"/>
  <c r="BG24" i="38" s="1"/>
  <c r="BH24" i="38" s="1"/>
  <c r="BD16" i="38"/>
  <c r="BE16" i="38" s="1"/>
  <c r="BF16" i="38" s="1"/>
  <c r="BG16" i="38" s="1"/>
  <c r="BH16" i="38" s="1"/>
  <c r="BD14" i="38"/>
  <c r="BE14" i="38" s="1"/>
  <c r="BF14" i="38" s="1"/>
  <c r="BG14" i="38" s="1"/>
  <c r="BH14" i="38" s="1"/>
  <c r="BD570" i="38"/>
  <c r="BE570" i="38" s="1"/>
  <c r="BF570" i="38" s="1"/>
  <c r="BG570" i="38" s="1"/>
  <c r="BH570" i="38" s="1"/>
  <c r="BD506" i="38"/>
  <c r="BE506" i="38" s="1"/>
  <c r="BF506" i="38" s="1"/>
  <c r="BG506" i="38" s="1"/>
  <c r="BH506" i="38" s="1"/>
  <c r="BD449" i="38"/>
  <c r="BE449" i="38" s="1"/>
  <c r="BF449" i="38" s="1"/>
  <c r="BG449" i="38" s="1"/>
  <c r="BH449" i="38" s="1"/>
  <c r="BD378" i="38"/>
  <c r="BE378" i="38" s="1"/>
  <c r="BF378" i="38" s="1"/>
  <c r="BG378" i="38" s="1"/>
  <c r="BH378" i="38" s="1"/>
  <c r="BD344" i="38"/>
  <c r="BE344" i="38" s="1"/>
  <c r="BF344" i="38" s="1"/>
  <c r="BG344" i="38" s="1"/>
  <c r="BH344" i="38" s="1"/>
  <c r="BD150" i="38"/>
  <c r="BE150" i="38" s="1"/>
  <c r="BF150" i="38" s="1"/>
  <c r="BG150" i="38" s="1"/>
  <c r="BH150" i="38" s="1"/>
  <c r="BD17" i="38"/>
  <c r="BE17" i="38" s="1"/>
  <c r="BF17" i="38" s="1"/>
  <c r="BG17" i="38" s="1"/>
  <c r="BH17" i="38" s="1"/>
  <c r="BD250" i="38"/>
  <c r="BE250" i="38" s="1"/>
  <c r="BF250" i="38" s="1"/>
  <c r="BG250" i="38" s="1"/>
  <c r="BH250" i="38" s="1"/>
  <c r="DL231" i="20"/>
  <c r="DK231" i="20"/>
  <c r="CQ38" i="20"/>
  <c r="CV8" i="112"/>
  <c r="CV17" i="112" s="1"/>
  <c r="DD30" i="116"/>
  <c r="DC30" i="116"/>
  <c r="DE30" i="116" s="1"/>
  <c r="DJ172" i="20"/>
  <c r="DH172" i="20"/>
  <c r="CQ117" i="20"/>
  <c r="CA2" i="117"/>
  <c r="EB11" i="116"/>
  <c r="EA11" i="116"/>
  <c r="DZ11" i="116"/>
  <c r="DY11" i="116"/>
  <c r="DQ11" i="116"/>
  <c r="DQ30" i="116"/>
  <c r="EB30" i="116"/>
  <c r="DX30" i="116" s="1"/>
  <c r="DZ30" i="116"/>
  <c r="DY30" i="116"/>
  <c r="EA30" i="116"/>
  <c r="EB44" i="116"/>
  <c r="DX44" i="116" s="1"/>
  <c r="EA44" i="116"/>
  <c r="DZ44" i="116"/>
  <c r="DY44" i="116"/>
  <c r="DQ44" i="116"/>
  <c r="DQ60" i="116"/>
  <c r="EB60" i="116"/>
  <c r="EA60" i="116"/>
  <c r="DZ60" i="116"/>
  <c r="DY60" i="116"/>
  <c r="DQ76" i="116"/>
  <c r="EB76" i="116"/>
  <c r="DX76" i="116" s="1"/>
  <c r="EA76" i="116"/>
  <c r="DZ76" i="116"/>
  <c r="DY76" i="116"/>
  <c r="DQ92" i="116"/>
  <c r="EB92" i="116"/>
  <c r="DX92" i="116" s="1"/>
  <c r="EA92" i="116"/>
  <c r="DY92" i="116"/>
  <c r="DZ92" i="116"/>
  <c r="DQ108" i="116"/>
  <c r="EB108" i="116"/>
  <c r="DX108" i="116" s="1"/>
  <c r="EA108" i="116"/>
  <c r="DY108" i="116"/>
  <c r="DZ108" i="116"/>
  <c r="DK207" i="20"/>
  <c r="DL207" i="20"/>
  <c r="EF18" i="20"/>
  <c r="DI11" i="116"/>
  <c r="DD75" i="116"/>
  <c r="DC75" i="116"/>
  <c r="AH17" i="112"/>
  <c r="AH11" i="112"/>
  <c r="DD76" i="116"/>
  <c r="DC76" i="116"/>
  <c r="DJ166" i="20"/>
  <c r="DH166" i="20"/>
  <c r="DC19" i="116"/>
  <c r="DD19" i="116"/>
  <c r="EH58" i="20"/>
  <c r="EG58" i="20"/>
  <c r="EH26" i="20"/>
  <c r="EG26" i="20"/>
  <c r="DH181" i="20"/>
  <c r="DJ181" i="20"/>
  <c r="U39" i="40"/>
  <c r="V39" i="40" s="1"/>
  <c r="R39" i="40"/>
  <c r="S39" i="40" s="1"/>
  <c r="AP39" i="40"/>
  <c r="AN39" i="40" s="1"/>
  <c r="AT39" i="40"/>
  <c r="AR39" i="40" s="1"/>
  <c r="N39" i="40"/>
  <c r="AL39" i="40"/>
  <c r="AJ39" i="40" s="1"/>
  <c r="EH99" i="20"/>
  <c r="EG99" i="20"/>
  <c r="CR71" i="20"/>
  <c r="CS71" i="20"/>
  <c r="CT71" i="20" s="1"/>
  <c r="BX58" i="56"/>
  <c r="BV58" i="56" s="1"/>
  <c r="BT58" i="56"/>
  <c r="BR58" i="56" s="1"/>
  <c r="DD32" i="116"/>
  <c r="DC32" i="116"/>
  <c r="DE32" i="116" s="1"/>
  <c r="DL227" i="20"/>
  <c r="DK227" i="20"/>
  <c r="CS200" i="20"/>
  <c r="CR200" i="20"/>
  <c r="DG147" i="20"/>
  <c r="DF147" i="20"/>
  <c r="CX188" i="20"/>
  <c r="CW188" i="20"/>
  <c r="DD52" i="116"/>
  <c r="DC52" i="116"/>
  <c r="DD71" i="116"/>
  <c r="DC71" i="116"/>
  <c r="CS14" i="20"/>
  <c r="CT14" i="20"/>
  <c r="DD44" i="116"/>
  <c r="DC44" i="116"/>
  <c r="DE44" i="116" s="1"/>
  <c r="CR48" i="20"/>
  <c r="CS48" i="20"/>
  <c r="CT48" i="20" s="1"/>
  <c r="CS139" i="20"/>
  <c r="CR139" i="20"/>
  <c r="EF43" i="20"/>
  <c r="DL194" i="20"/>
  <c r="DK194" i="20"/>
  <c r="CR62" i="20"/>
  <c r="CS62" i="20"/>
  <c r="CT62" i="20" s="1"/>
  <c r="Q25" i="38"/>
  <c r="AU8" i="38" s="1"/>
  <c r="P27" i="38"/>
  <c r="P34" i="38"/>
  <c r="U25" i="38"/>
  <c r="CQ73" i="20"/>
  <c r="DC92" i="116"/>
  <c r="DD92" i="116"/>
  <c r="N32" i="40"/>
  <c r="AP32" i="40"/>
  <c r="AN32" i="40" s="1"/>
  <c r="AL32" i="40"/>
  <c r="AJ32" i="40" s="1"/>
  <c r="U32" i="40"/>
  <c r="V32" i="40" s="1"/>
  <c r="R32" i="40"/>
  <c r="S32" i="40" s="1"/>
  <c r="AT32" i="40"/>
  <c r="AR32" i="40" s="1"/>
  <c r="CT229" i="20"/>
  <c r="CV229" i="20"/>
  <c r="N36" i="40"/>
  <c r="AP36" i="40"/>
  <c r="AN36" i="40" s="1"/>
  <c r="AL36" i="40"/>
  <c r="AJ36" i="40" s="1"/>
  <c r="AT36" i="40"/>
  <c r="AR36" i="40" s="1"/>
  <c r="R36" i="40"/>
  <c r="S36" i="40" s="1"/>
  <c r="U36" i="40"/>
  <c r="V36" i="40" s="1"/>
  <c r="DY36" i="116"/>
  <c r="DQ36" i="116"/>
  <c r="EA36" i="116"/>
  <c r="DZ36" i="116"/>
  <c r="EB36" i="116"/>
  <c r="DQ16" i="116"/>
  <c r="EB16" i="116"/>
  <c r="DX16" i="116" s="1"/>
  <c r="EA16" i="116"/>
  <c r="DY16" i="116"/>
  <c r="DZ16" i="116"/>
  <c r="EB45" i="116"/>
  <c r="DX45" i="116" s="1"/>
  <c r="EA45" i="116"/>
  <c r="DZ45" i="116"/>
  <c r="DY45" i="116"/>
  <c r="DQ45" i="116"/>
  <c r="DQ61" i="116"/>
  <c r="EB61" i="116"/>
  <c r="DX61" i="116" s="1"/>
  <c r="EA61" i="116"/>
  <c r="DZ61" i="116"/>
  <c r="DY61" i="116"/>
  <c r="DQ77" i="116"/>
  <c r="EB77" i="116"/>
  <c r="EA77" i="116"/>
  <c r="DZ77" i="116"/>
  <c r="DY77" i="116"/>
  <c r="DQ93" i="116"/>
  <c r="EB93" i="116"/>
  <c r="DX93" i="116" s="1"/>
  <c r="EA93" i="116"/>
  <c r="DY93" i="116"/>
  <c r="DZ93" i="116"/>
  <c r="DQ109" i="116"/>
  <c r="EB109" i="116"/>
  <c r="EA109" i="116"/>
  <c r="DY109" i="116"/>
  <c r="DX109" i="116"/>
  <c r="DZ109" i="116"/>
  <c r="CQ29" i="20"/>
  <c r="DG208" i="20"/>
  <c r="DF208" i="20"/>
  <c r="DD39" i="116"/>
  <c r="DC39" i="116"/>
  <c r="DE39" i="116" s="1"/>
  <c r="DL206" i="20"/>
  <c r="DK206" i="20"/>
  <c r="DG145" i="20"/>
  <c r="DF145" i="20"/>
  <c r="DK155" i="20"/>
  <c r="DL155" i="20"/>
  <c r="EM41" i="20"/>
  <c r="EL41" i="20"/>
  <c r="DG149" i="20"/>
  <c r="DF149" i="20"/>
  <c r="DD70" i="116"/>
  <c r="DC70" i="116"/>
  <c r="DD40" i="116"/>
  <c r="DC40" i="116"/>
  <c r="AS17" i="112"/>
  <c r="AS11" i="112"/>
  <c r="DD47" i="116"/>
  <c r="DC47" i="116"/>
  <c r="DE47" i="116" s="1"/>
  <c r="N21" i="40"/>
  <c r="AL21" i="40"/>
  <c r="AJ21" i="40" s="1"/>
  <c r="U21" i="40"/>
  <c r="V21" i="40" s="1"/>
  <c r="R21" i="40"/>
  <c r="S21" i="40" s="1"/>
  <c r="AP21" i="40"/>
  <c r="AN21" i="40" s="1"/>
  <c r="AT21" i="40"/>
  <c r="AR21" i="40" s="1"/>
  <c r="DG212" i="20"/>
  <c r="DF212" i="20"/>
  <c r="N23" i="40"/>
  <c r="U23" i="40"/>
  <c r="V23" i="40" s="1"/>
  <c r="AP23" i="40"/>
  <c r="AN23" i="40" s="1"/>
  <c r="R23" i="40"/>
  <c r="S23" i="40" s="1"/>
  <c r="AT23" i="40"/>
  <c r="AR23" i="40" s="1"/>
  <c r="AL23" i="40"/>
  <c r="AJ23" i="40" s="1"/>
  <c r="DD68" i="116"/>
  <c r="DC68" i="116"/>
  <c r="DE68" i="116" s="1"/>
  <c r="CQ114" i="20"/>
  <c r="CS155" i="20"/>
  <c r="CR155" i="20"/>
  <c r="DG196" i="20"/>
  <c r="DF196" i="20"/>
  <c r="CQ116" i="20"/>
  <c r="AQ13" i="22"/>
  <c r="AR12" i="22"/>
  <c r="AP12" i="22" s="1"/>
  <c r="DD51" i="116"/>
  <c r="DC51" i="116"/>
  <c r="DG214" i="20"/>
  <c r="DF214" i="20"/>
  <c r="CX179" i="20"/>
  <c r="CW179" i="20"/>
  <c r="CT221" i="20"/>
  <c r="CV221" i="20"/>
  <c r="EH87" i="20"/>
  <c r="EG87" i="20"/>
  <c r="EG13" i="20"/>
  <c r="EH37" i="20"/>
  <c r="EG37" i="20"/>
  <c r="EB25" i="116"/>
  <c r="DX25" i="116" s="1"/>
  <c r="EA25" i="116"/>
  <c r="DZ25" i="116"/>
  <c r="DY25" i="116"/>
  <c r="DQ25" i="116"/>
  <c r="DQ17" i="116"/>
  <c r="EB17" i="116"/>
  <c r="DX17" i="116" s="1"/>
  <c r="EA17" i="116"/>
  <c r="DY17" i="116"/>
  <c r="DZ17" i="116"/>
  <c r="EB46" i="116"/>
  <c r="EA46" i="116"/>
  <c r="DZ46" i="116"/>
  <c r="DY46" i="116"/>
  <c r="DX46" i="116"/>
  <c r="DQ46" i="116"/>
  <c r="DQ62" i="116"/>
  <c r="EB62" i="116"/>
  <c r="DX62" i="116" s="1"/>
  <c r="EA62" i="116"/>
  <c r="DZ62" i="116"/>
  <c r="DY62" i="116"/>
  <c r="DQ78" i="116"/>
  <c r="EB78" i="116"/>
  <c r="EA78" i="116"/>
  <c r="DZ78" i="116"/>
  <c r="DY78" i="116"/>
  <c r="DQ94" i="116"/>
  <c r="EB94" i="116"/>
  <c r="DX94" i="116" s="1"/>
  <c r="EA94" i="116"/>
  <c r="DY94" i="116"/>
  <c r="DZ94" i="116"/>
  <c r="DQ110" i="116"/>
  <c r="EB110" i="116"/>
  <c r="DX110" i="116" s="1"/>
  <c r="EA110" i="116"/>
  <c r="DY110" i="116"/>
  <c r="DZ110" i="116"/>
  <c r="DL157" i="20"/>
  <c r="DK157" i="20"/>
  <c r="DC96" i="116"/>
  <c r="DD96" i="116"/>
  <c r="DH225" i="20"/>
  <c r="DJ225" i="20"/>
  <c r="EF73" i="20"/>
  <c r="CX165" i="20"/>
  <c r="CW165" i="20"/>
  <c r="CT184" i="20"/>
  <c r="CV184" i="20"/>
  <c r="CX175" i="20"/>
  <c r="CW175" i="20"/>
  <c r="DL230" i="20"/>
  <c r="DK230" i="20"/>
  <c r="CT5" i="20"/>
  <c r="CS5" i="20"/>
  <c r="DD12" i="116"/>
  <c r="DC12" i="116"/>
  <c r="DE12" i="116" s="1"/>
  <c r="EF90" i="20"/>
  <c r="DL179" i="20"/>
  <c r="DK179" i="20"/>
  <c r="DK209" i="20"/>
  <c r="DL209" i="20"/>
  <c r="EF34" i="20"/>
  <c r="DC109" i="116"/>
  <c r="DD109" i="116"/>
  <c r="EF82" i="20"/>
  <c r="EF92" i="20"/>
  <c r="DJ150" i="20"/>
  <c r="DH150" i="20"/>
  <c r="DD49" i="116"/>
  <c r="DC49" i="116"/>
  <c r="CQ103" i="20"/>
  <c r="DL163" i="20"/>
  <c r="DK163" i="20"/>
  <c r="EF63" i="20"/>
  <c r="CT197" i="20"/>
  <c r="CV197" i="20"/>
  <c r="EF21" i="20"/>
  <c r="DK141" i="20"/>
  <c r="DL141" i="20"/>
  <c r="EF11" i="20"/>
  <c r="DH193" i="20"/>
  <c r="DJ193" i="20"/>
  <c r="CT189" i="20"/>
  <c r="CV189" i="20"/>
  <c r="EF101" i="20"/>
  <c r="CS177" i="20"/>
  <c r="CR177" i="20"/>
  <c r="DH215" i="20"/>
  <c r="DJ215" i="20"/>
  <c r="B18" i="52"/>
  <c r="E18" i="52" s="1"/>
  <c r="G18" i="52" s="1"/>
  <c r="I18" i="52" s="1"/>
  <c r="D17" i="52"/>
  <c r="F17" i="52" s="1"/>
  <c r="H17" i="52" s="1"/>
  <c r="J17" i="52" s="1"/>
  <c r="C18" i="52" s="1"/>
  <c r="CS97" i="20"/>
  <c r="CT97" i="20" s="1"/>
  <c r="CR97" i="20"/>
  <c r="CQ75" i="20"/>
  <c r="CQ88" i="20"/>
  <c r="DQ18" i="116"/>
  <c r="EB18" i="116"/>
  <c r="DX18" i="116" s="1"/>
  <c r="EA18" i="116"/>
  <c r="DY18" i="116"/>
  <c r="DZ18" i="116"/>
  <c r="EB47" i="116"/>
  <c r="DX47" i="116" s="1"/>
  <c r="EA47" i="116"/>
  <c r="DZ47" i="116"/>
  <c r="DY47" i="116"/>
  <c r="DQ47" i="116"/>
  <c r="DQ63" i="116"/>
  <c r="EB63" i="116"/>
  <c r="DX63" i="116" s="1"/>
  <c r="EA63" i="116"/>
  <c r="DZ63" i="116"/>
  <c r="DY63" i="116"/>
  <c r="DQ79" i="116"/>
  <c r="EB79" i="116"/>
  <c r="DX79" i="116" s="1"/>
  <c r="EA79" i="116"/>
  <c r="DZ79" i="116"/>
  <c r="DY79" i="116"/>
  <c r="DQ95" i="116"/>
  <c r="EB95" i="116"/>
  <c r="DX95" i="116" s="1"/>
  <c r="EA95" i="116"/>
  <c r="DY95" i="116"/>
  <c r="DZ95" i="116"/>
  <c r="CR119" i="20"/>
  <c r="CS119" i="20"/>
  <c r="CT119" i="20" s="1"/>
  <c r="DD64" i="116"/>
  <c r="DC64" i="116"/>
  <c r="EH46" i="20"/>
  <c r="EG46" i="20"/>
  <c r="DK143" i="20"/>
  <c r="DL143" i="20"/>
  <c r="CS109" i="20"/>
  <c r="CT109" i="20" s="1"/>
  <c r="CR109" i="20"/>
  <c r="CS28" i="20"/>
  <c r="CT28" i="20" s="1"/>
  <c r="CR28" i="20"/>
  <c r="CS83" i="20"/>
  <c r="CT83" i="20" s="1"/>
  <c r="CR83" i="20"/>
  <c r="W17" i="112"/>
  <c r="W11" i="112"/>
  <c r="DD77" i="116"/>
  <c r="DC77" i="116"/>
  <c r="CW225" i="20"/>
  <c r="CX225" i="20"/>
  <c r="DJ168" i="20"/>
  <c r="DH168" i="20"/>
  <c r="DC88" i="116"/>
  <c r="DE88" i="116" s="1"/>
  <c r="DD88" i="116"/>
  <c r="EF50" i="20"/>
  <c r="EF96" i="20"/>
  <c r="CQ69" i="20"/>
  <c r="DD43" i="116"/>
  <c r="DC43" i="116"/>
  <c r="BP21" i="20"/>
  <c r="BN22" i="20" s="1"/>
  <c r="CJ21" i="20"/>
  <c r="BL21" i="20"/>
  <c r="CF21" i="20"/>
  <c r="CD22" i="20" s="1"/>
  <c r="CB21" i="20"/>
  <c r="BX21" i="20"/>
  <c r="BT21" i="20"/>
  <c r="CT206" i="20"/>
  <c r="CV206" i="20"/>
  <c r="DJ176" i="20"/>
  <c r="DH176" i="20"/>
  <c r="DG165" i="20"/>
  <c r="DF165" i="20"/>
  <c r="DG184" i="20"/>
  <c r="DF184" i="20"/>
  <c r="CQ61" i="20"/>
  <c r="EB26" i="116"/>
  <c r="EA26" i="116"/>
  <c r="DZ26" i="116"/>
  <c r="DY26" i="116"/>
  <c r="DQ26" i="116"/>
  <c r="DQ19" i="116"/>
  <c r="EB19" i="116"/>
  <c r="DX19" i="116" s="1"/>
  <c r="EA19" i="116"/>
  <c r="DY19" i="116"/>
  <c r="DZ19" i="116"/>
  <c r="EB48" i="116"/>
  <c r="EA48" i="116"/>
  <c r="DZ48" i="116"/>
  <c r="DY48" i="116"/>
  <c r="DX48" i="116"/>
  <c r="DQ48" i="116"/>
  <c r="DQ64" i="116"/>
  <c r="EB64" i="116"/>
  <c r="DX64" i="116" s="1"/>
  <c r="EA64" i="116"/>
  <c r="DZ64" i="116"/>
  <c r="DY64" i="116"/>
  <c r="DQ80" i="116"/>
  <c r="EB80" i="116"/>
  <c r="DX80" i="116" s="1"/>
  <c r="EA80" i="116"/>
  <c r="DZ80" i="116"/>
  <c r="DY80" i="116"/>
  <c r="DQ96" i="116"/>
  <c r="EB96" i="116"/>
  <c r="DX96" i="116" s="1"/>
  <c r="EA96" i="116"/>
  <c r="DY96" i="116"/>
  <c r="DZ96" i="116"/>
  <c r="BP5" i="117"/>
  <c r="EF65" i="20"/>
  <c r="DC20" i="116"/>
  <c r="DE20" i="116" s="1"/>
  <c r="DD20" i="116"/>
  <c r="DD38" i="116"/>
  <c r="DC38" i="116"/>
  <c r="DE38" i="116" s="1"/>
  <c r="CQ95" i="20"/>
  <c r="DC107" i="116"/>
  <c r="DE107" i="116" s="1"/>
  <c r="DD107" i="116"/>
  <c r="EF53" i="20"/>
  <c r="DC94" i="116"/>
  <c r="DD94" i="116"/>
  <c r="E15" i="44"/>
  <c r="G15" i="44" s="1"/>
  <c r="I15" i="44" s="1"/>
  <c r="EG24" i="20"/>
  <c r="EH24" i="20"/>
  <c r="DH189" i="20"/>
  <c r="DJ189" i="20"/>
  <c r="AP17" i="40"/>
  <c r="AN17" i="40" s="1"/>
  <c r="AL17" i="40"/>
  <c r="AJ17" i="40" s="1"/>
  <c r="U17" i="40"/>
  <c r="V17" i="40" s="1"/>
  <c r="R17" i="40"/>
  <c r="S17" i="40" s="1"/>
  <c r="AT17" i="40"/>
  <c r="AR17" i="40" s="1"/>
  <c r="N17" i="40"/>
  <c r="EF38" i="20"/>
  <c r="DC89" i="116"/>
  <c r="DD89" i="116"/>
  <c r="CS49" i="20"/>
  <c r="CT49" i="20" s="1"/>
  <c r="CR49" i="20"/>
  <c r="CR115" i="20"/>
  <c r="CS115" i="20"/>
  <c r="CT115" i="20" s="1"/>
  <c r="DD56" i="116"/>
  <c r="DC56" i="116"/>
  <c r="BT23" i="20"/>
  <c r="BP23" i="20"/>
  <c r="BN24" i="20" s="1"/>
  <c r="CJ23" i="20"/>
  <c r="CF23" i="20"/>
  <c r="CD24" i="20" s="1"/>
  <c r="CB23" i="20"/>
  <c r="BX23" i="20"/>
  <c r="BL23" i="20"/>
  <c r="AP29" i="40"/>
  <c r="AN29" i="40" s="1"/>
  <c r="AL29" i="40"/>
  <c r="AJ29" i="40" s="1"/>
  <c r="U29" i="40"/>
  <c r="V29" i="40" s="1"/>
  <c r="R29" i="40"/>
  <c r="S29" i="40" s="1"/>
  <c r="AT29" i="40"/>
  <c r="AR29" i="40" s="1"/>
  <c r="N29" i="40"/>
  <c r="CX163" i="20"/>
  <c r="CW163" i="20"/>
  <c r="EH74" i="20"/>
  <c r="EG74" i="20"/>
  <c r="EH78" i="20"/>
  <c r="EG78" i="20"/>
  <c r="CT199" i="20"/>
  <c r="CV199" i="20"/>
  <c r="CR34" i="20"/>
  <c r="CS34" i="20"/>
  <c r="CT34" i="20" s="1"/>
  <c r="EH91" i="20"/>
  <c r="EG91" i="20"/>
  <c r="CR63" i="20"/>
  <c r="CS63" i="20"/>
  <c r="CT63" i="20" s="1"/>
  <c r="EG94" i="20"/>
  <c r="EH94" i="20"/>
  <c r="CR42" i="20"/>
  <c r="CS42" i="20"/>
  <c r="CT42" i="20" s="1"/>
  <c r="DJ132" i="20"/>
  <c r="DH132" i="20"/>
  <c r="CT183" i="20"/>
  <c r="CV183" i="20"/>
  <c r="DD82" i="116"/>
  <c r="DC82" i="116"/>
  <c r="DJ154" i="20"/>
  <c r="DH154" i="20"/>
  <c r="EH19" i="20"/>
  <c r="EG19" i="20"/>
  <c r="CX204" i="20"/>
  <c r="CW204" i="20"/>
  <c r="EH86" i="20"/>
  <c r="EG86" i="20"/>
  <c r="EB27" i="116"/>
  <c r="DX27" i="116" s="1"/>
  <c r="EA27" i="116"/>
  <c r="DZ27" i="116"/>
  <c r="DY27" i="116"/>
  <c r="DQ27" i="116"/>
  <c r="DQ20" i="116"/>
  <c r="EB20" i="116"/>
  <c r="DX20" i="116" s="1"/>
  <c r="EA20" i="116"/>
  <c r="DY20" i="116"/>
  <c r="DZ20" i="116"/>
  <c r="EB49" i="116"/>
  <c r="EA49" i="116"/>
  <c r="DZ49" i="116"/>
  <c r="DY49" i="116"/>
  <c r="DQ49" i="116"/>
  <c r="DQ65" i="116"/>
  <c r="EB65" i="116"/>
  <c r="DX65" i="116" s="1"/>
  <c r="EA65" i="116"/>
  <c r="DZ65" i="116"/>
  <c r="DY65" i="116"/>
  <c r="DQ81" i="116"/>
  <c r="EB81" i="116"/>
  <c r="DX81" i="116" s="1"/>
  <c r="EA81" i="116"/>
  <c r="DZ81" i="116"/>
  <c r="DY81" i="116"/>
  <c r="DQ97" i="116"/>
  <c r="EB97" i="116"/>
  <c r="EA97" i="116"/>
  <c r="DY97" i="116"/>
  <c r="DX97" i="116"/>
  <c r="DZ97" i="116"/>
  <c r="EH71" i="20"/>
  <c r="EG71" i="20"/>
  <c r="EG27" i="20"/>
  <c r="EH27" i="20"/>
  <c r="BO6" i="112"/>
  <c r="BO7" i="112"/>
  <c r="CR58" i="20"/>
  <c r="CS58" i="20"/>
  <c r="CT58" i="20" s="1"/>
  <c r="DC108" i="116"/>
  <c r="DD108" i="116"/>
  <c r="CS51" i="20"/>
  <c r="CT51" i="20" s="1"/>
  <c r="CR51" i="20"/>
  <c r="EF72" i="20"/>
  <c r="DL153" i="20"/>
  <c r="DK153" i="20"/>
  <c r="BN12" i="116"/>
  <c r="BT12" i="116" s="1"/>
  <c r="EH104" i="20"/>
  <c r="EG104" i="20"/>
  <c r="DD62" i="116"/>
  <c r="DC62" i="116"/>
  <c r="DE62" i="116" s="1"/>
  <c r="CS64" i="20"/>
  <c r="CT64" i="20" s="1"/>
  <c r="CR64" i="20"/>
  <c r="DJ174" i="20"/>
  <c r="DH174" i="20"/>
  <c r="DD24" i="116"/>
  <c r="DC24" i="116"/>
  <c r="DE24" i="116" s="1"/>
  <c r="CQ85" i="20"/>
  <c r="CQ30" i="20"/>
  <c r="DD57" i="116"/>
  <c r="DC57" i="116"/>
  <c r="DE57" i="116" s="1"/>
  <c r="R10" i="40"/>
  <c r="S10" i="40" s="1"/>
  <c r="AT10" i="40"/>
  <c r="AR10" i="40" s="1"/>
  <c r="N10" i="40"/>
  <c r="AP10" i="40"/>
  <c r="AN10" i="40" s="1"/>
  <c r="AL10" i="40"/>
  <c r="AJ10" i="40" s="1"/>
  <c r="U10" i="40"/>
  <c r="V10" i="40" s="1"/>
  <c r="DD54" i="116"/>
  <c r="DC54" i="116"/>
  <c r="DE54" i="116" s="1"/>
  <c r="EG12" i="20"/>
  <c r="EH12" i="20"/>
  <c r="CR59" i="20"/>
  <c r="CS59" i="20"/>
  <c r="CT59" i="20" s="1"/>
  <c r="DD53" i="116"/>
  <c r="DC53" i="116"/>
  <c r="DE53" i="116" s="1"/>
  <c r="DJ162" i="20"/>
  <c r="DH162" i="20"/>
  <c r="DD83" i="116"/>
  <c r="DC83" i="116"/>
  <c r="DG228" i="20"/>
  <c r="DF228" i="20"/>
  <c r="CQ113" i="20"/>
  <c r="CQ86" i="20"/>
  <c r="CQ110" i="20"/>
  <c r="EF77" i="20"/>
  <c r="EA21" i="116"/>
  <c r="DZ21" i="116"/>
  <c r="DY21" i="116"/>
  <c r="DQ21" i="116"/>
  <c r="EB21" i="116"/>
  <c r="DQ31" i="116"/>
  <c r="EB31" i="116"/>
  <c r="DX31" i="116" s="1"/>
  <c r="EA31" i="116"/>
  <c r="DY31" i="116"/>
  <c r="DZ31" i="116"/>
  <c r="DQ50" i="116"/>
  <c r="EB50" i="116"/>
  <c r="EA50" i="116"/>
  <c r="DZ50" i="116"/>
  <c r="DX50" i="116"/>
  <c r="DY50" i="116"/>
  <c r="DQ66" i="116"/>
  <c r="EB66" i="116"/>
  <c r="DX66" i="116" s="1"/>
  <c r="EA66" i="116"/>
  <c r="DZ66" i="116"/>
  <c r="DY66" i="116"/>
  <c r="DQ82" i="116"/>
  <c r="EB82" i="116"/>
  <c r="DX82" i="116" s="1"/>
  <c r="EA82" i="116"/>
  <c r="DZ82" i="116"/>
  <c r="DY82" i="116"/>
  <c r="DQ98" i="116"/>
  <c r="EB98" i="116"/>
  <c r="EA98" i="116"/>
  <c r="DY98" i="116"/>
  <c r="DX98" i="116"/>
  <c r="DZ98" i="116"/>
  <c r="EF17" i="20"/>
  <c r="DH223" i="20"/>
  <c r="DJ223" i="20"/>
  <c r="DF204" i="20"/>
  <c r="DG204" i="20"/>
  <c r="DC18" i="116"/>
  <c r="DD18" i="116"/>
  <c r="CS43" i="20"/>
  <c r="CT43" i="20" s="1"/>
  <c r="CR43" i="20"/>
  <c r="D42" i="52"/>
  <c r="F42" i="52" s="1"/>
  <c r="H42" i="52" s="1"/>
  <c r="J42" i="52" s="1"/>
  <c r="C43" i="52" s="1"/>
  <c r="B43" i="52"/>
  <c r="E43" i="52" s="1"/>
  <c r="CT17" i="20"/>
  <c r="CS17" i="20"/>
  <c r="CS76" i="20"/>
  <c r="CT76" i="20" s="1"/>
  <c r="CR76" i="20"/>
  <c r="DC102" i="116"/>
  <c r="DE102" i="116" s="1"/>
  <c r="DD102" i="116"/>
  <c r="DK213" i="20"/>
  <c r="DL213" i="20"/>
  <c r="CR67" i="20"/>
  <c r="CS67" i="20"/>
  <c r="CT67" i="20" s="1"/>
  <c r="DI29" i="116"/>
  <c r="BX48" i="56"/>
  <c r="BV48" i="56" s="1"/>
  <c r="BT48" i="56"/>
  <c r="BR48" i="56" s="1"/>
  <c r="CQ66" i="20"/>
  <c r="CX218" i="20"/>
  <c r="CW218" i="20"/>
  <c r="DC100" i="116"/>
  <c r="DE100" i="116" s="1"/>
  <c r="DD100" i="116"/>
  <c r="A8" i="112"/>
  <c r="DD55" i="116"/>
  <c r="DC55" i="116"/>
  <c r="DE55" i="116" s="1"/>
  <c r="DH205" i="20"/>
  <c r="DJ205" i="20"/>
  <c r="CX195" i="20"/>
  <c r="CW195" i="20"/>
  <c r="CS94" i="20"/>
  <c r="CT94" i="20" s="1"/>
  <c r="CR94" i="20"/>
  <c r="DG133" i="20"/>
  <c r="DF133" i="20"/>
  <c r="CT217" i="20"/>
  <c r="CV217" i="20"/>
  <c r="CS149" i="20"/>
  <c r="CR149" i="20"/>
  <c r="DD14" i="116"/>
  <c r="DC14" i="116"/>
  <c r="DE14" i="116" s="1"/>
  <c r="D31" i="44"/>
  <c r="F31" i="44" s="1"/>
  <c r="H31" i="44" s="1"/>
  <c r="B32" i="44"/>
  <c r="DH5" i="116"/>
  <c r="DH185" i="20"/>
  <c r="DJ185" i="20"/>
  <c r="CT227" i="20"/>
  <c r="CV227" i="20"/>
  <c r="DD81" i="116"/>
  <c r="DC81" i="116"/>
  <c r="DE81" i="116" s="1"/>
  <c r="EA33" i="116"/>
  <c r="DZ33" i="116"/>
  <c r="DY33" i="116"/>
  <c r="DQ33" i="116"/>
  <c r="EB33" i="116"/>
  <c r="DQ37" i="116"/>
  <c r="EB37" i="116"/>
  <c r="DX37" i="116" s="1"/>
  <c r="EA37" i="116"/>
  <c r="DY37" i="116"/>
  <c r="DZ37" i="116"/>
  <c r="DQ51" i="116"/>
  <c r="EB51" i="116"/>
  <c r="DX51" i="116" s="1"/>
  <c r="EA51" i="116"/>
  <c r="DZ51" i="116"/>
  <c r="DY51" i="116"/>
  <c r="DQ67" i="116"/>
  <c r="EB67" i="116"/>
  <c r="DX67" i="116" s="1"/>
  <c r="EA67" i="116"/>
  <c r="DZ67" i="116"/>
  <c r="DY67" i="116"/>
  <c r="DQ83" i="116"/>
  <c r="EB83" i="116"/>
  <c r="DX83" i="116" s="1"/>
  <c r="EA83" i="116"/>
  <c r="DZ83" i="116"/>
  <c r="DY83" i="116"/>
  <c r="DQ99" i="116"/>
  <c r="EB99" i="116"/>
  <c r="EA99" i="116"/>
  <c r="DY99" i="116"/>
  <c r="DZ99" i="116"/>
  <c r="EH88" i="20"/>
  <c r="EG88" i="20"/>
  <c r="EH42" i="20"/>
  <c r="EG42" i="20"/>
  <c r="DG218" i="20"/>
  <c r="DF218" i="20"/>
  <c r="DH221" i="20"/>
  <c r="DJ221" i="20"/>
  <c r="CQ107" i="20"/>
  <c r="AT8" i="40"/>
  <c r="AR8" i="40" s="1"/>
  <c r="N8" i="40"/>
  <c r="AP8" i="40"/>
  <c r="AN8" i="40" s="1"/>
  <c r="AL8" i="40"/>
  <c r="AJ8" i="40" s="1"/>
  <c r="AK42" i="40" s="1"/>
  <c r="U8" i="40"/>
  <c r="V8" i="40" s="1"/>
  <c r="R8" i="40"/>
  <c r="S8" i="40" s="1"/>
  <c r="EF20" i="20"/>
  <c r="EG102" i="20"/>
  <c r="EH102" i="20"/>
  <c r="EF15" i="20"/>
  <c r="EH80" i="20"/>
  <c r="EG80" i="20"/>
  <c r="DC90" i="116"/>
  <c r="DD90" i="116"/>
  <c r="EH81" i="20"/>
  <c r="EG81" i="20"/>
  <c r="DC106" i="116"/>
  <c r="DE106" i="116" s="1"/>
  <c r="DD106" i="116"/>
  <c r="DG169" i="20"/>
  <c r="DF169" i="20"/>
  <c r="DD15" i="116"/>
  <c r="DC15" i="116"/>
  <c r="DE15" i="116" s="1"/>
  <c r="CQ99" i="20"/>
  <c r="DD35" i="116"/>
  <c r="DC35" i="116"/>
  <c r="CQ78" i="20"/>
  <c r="EF25" i="20"/>
  <c r="EF22" i="20"/>
  <c r="DJ138" i="20"/>
  <c r="DH138" i="20"/>
  <c r="DD34" i="116"/>
  <c r="DC34" i="116"/>
  <c r="DE34" i="116" s="1"/>
  <c r="CQ68" i="20"/>
  <c r="CQ121" i="20"/>
  <c r="BX50" i="56"/>
  <c r="BV50" i="56" s="1"/>
  <c r="BT50" i="56"/>
  <c r="BR50" i="56" s="1"/>
  <c r="CQ32" i="20"/>
  <c r="DD33" i="116"/>
  <c r="DC33" i="116"/>
  <c r="BK13" i="116"/>
  <c r="BL13" i="116"/>
  <c r="DZ14" i="116"/>
  <c r="DY14" i="116"/>
  <c r="EB14" i="116"/>
  <c r="EA14" i="116"/>
  <c r="DQ14" i="116"/>
  <c r="DQ24" i="116"/>
  <c r="EB24" i="116"/>
  <c r="DX24" i="116" s="1"/>
  <c r="EA24" i="116"/>
  <c r="DZ24" i="116"/>
  <c r="DY24" i="116"/>
  <c r="DQ52" i="116"/>
  <c r="EB52" i="116"/>
  <c r="EA52" i="116"/>
  <c r="DZ52" i="116"/>
  <c r="DX52" i="116"/>
  <c r="DY52" i="116"/>
  <c r="DQ68" i="116"/>
  <c r="EB68" i="116"/>
  <c r="DX68" i="116" s="1"/>
  <c r="EA68" i="116"/>
  <c r="DZ68" i="116"/>
  <c r="DY68" i="116"/>
  <c r="DQ84" i="116"/>
  <c r="EB84" i="116"/>
  <c r="EA84" i="116"/>
  <c r="DZ84" i="116"/>
  <c r="DY84" i="116"/>
  <c r="DQ100" i="116"/>
  <c r="EB100" i="116"/>
  <c r="DX100" i="116" s="1"/>
  <c r="EA100" i="116"/>
  <c r="DY100" i="116"/>
  <c r="DZ100" i="116"/>
  <c r="CS37" i="20"/>
  <c r="CT37" i="20" s="1"/>
  <c r="CR37" i="20"/>
  <c r="CS77" i="20"/>
  <c r="CT77" i="20" s="1"/>
  <c r="CR77" i="20"/>
  <c r="DK201" i="20"/>
  <c r="DL201" i="20"/>
  <c r="CR96" i="20"/>
  <c r="CS96" i="20"/>
  <c r="CT96" i="20" s="1"/>
  <c r="CT231" i="20"/>
  <c r="CV231" i="20"/>
  <c r="DL151" i="20"/>
  <c r="DK151" i="20"/>
  <c r="W17" i="117"/>
  <c r="W11" i="117"/>
  <c r="EH109" i="20"/>
  <c r="EG109" i="20"/>
  <c r="DK203" i="20"/>
  <c r="DL203" i="20"/>
  <c r="DC93" i="116"/>
  <c r="DD93" i="116"/>
  <c r="CQ98" i="20"/>
  <c r="CR104" i="20"/>
  <c r="CS104" i="20"/>
  <c r="CT104" i="20" s="1"/>
  <c r="BT73" i="56"/>
  <c r="BR73" i="56" s="1"/>
  <c r="BX73" i="56"/>
  <c r="BV73" i="56" s="1"/>
  <c r="DD74" i="116"/>
  <c r="DC74" i="116"/>
  <c r="DJ158" i="20"/>
  <c r="DH158" i="20"/>
  <c r="EH35" i="20"/>
  <c r="EG35" i="20"/>
  <c r="DL186" i="20"/>
  <c r="DK186" i="20"/>
  <c r="C22" i="45"/>
  <c r="C19" i="45"/>
  <c r="C16" i="45"/>
  <c r="I30" i="46"/>
  <c r="I31" i="46"/>
  <c r="H30" i="46"/>
  <c r="CT20" i="20"/>
  <c r="CS20" i="20"/>
  <c r="CS57" i="20"/>
  <c r="CT57" i="20" s="1"/>
  <c r="CR57" i="20"/>
  <c r="EH30" i="20"/>
  <c r="EG30" i="20"/>
  <c r="AM14" i="116"/>
  <c r="AN14" i="116" s="1"/>
  <c r="AL14" i="116"/>
  <c r="CR40" i="20"/>
  <c r="CS40" i="20"/>
  <c r="CT40" i="20" s="1"/>
  <c r="CS202" i="20"/>
  <c r="CR202" i="20"/>
  <c r="DH217" i="20"/>
  <c r="DJ217" i="20"/>
  <c r="DD87" i="116"/>
  <c r="DC87" i="116"/>
  <c r="CS84" i="20"/>
  <c r="CT84" i="20" s="1"/>
  <c r="CR84" i="20"/>
  <c r="U34" i="40"/>
  <c r="V34" i="40" s="1"/>
  <c r="R34" i="40"/>
  <c r="S34" i="40" s="1"/>
  <c r="AT34" i="40"/>
  <c r="AR34" i="40" s="1"/>
  <c r="AP34" i="40"/>
  <c r="AN34" i="40" s="1"/>
  <c r="N34" i="40"/>
  <c r="AL34" i="40"/>
  <c r="AJ34" i="40" s="1"/>
  <c r="EH54" i="20"/>
  <c r="EG54" i="20"/>
  <c r="DL200" i="20"/>
  <c r="DK200" i="20"/>
  <c r="DL170" i="20"/>
  <c r="DK170" i="20"/>
  <c r="DH187" i="20"/>
  <c r="DJ187" i="20"/>
  <c r="F27" i="50"/>
  <c r="C28" i="50" s="1"/>
  <c r="EG76" i="20"/>
  <c r="EH76" i="20"/>
  <c r="DZ34" i="116"/>
  <c r="DY34" i="116"/>
  <c r="EB34" i="116"/>
  <c r="EA34" i="116"/>
  <c r="DQ34" i="116"/>
  <c r="DQ38" i="116"/>
  <c r="EB38" i="116"/>
  <c r="DX38" i="116" s="1"/>
  <c r="EA38" i="116"/>
  <c r="DZ38" i="116"/>
  <c r="DY38" i="116"/>
  <c r="DQ53" i="116"/>
  <c r="EB53" i="116"/>
  <c r="EA53" i="116"/>
  <c r="DZ53" i="116"/>
  <c r="DX53" i="116"/>
  <c r="DY53" i="116"/>
  <c r="DQ69" i="116"/>
  <c r="EB69" i="116"/>
  <c r="DX69" i="116" s="1"/>
  <c r="EA69" i="116"/>
  <c r="DZ69" i="116"/>
  <c r="DY69" i="116"/>
  <c r="DQ85" i="116"/>
  <c r="EB85" i="116"/>
  <c r="DX85" i="116" s="1"/>
  <c r="EA85" i="116"/>
  <c r="DZ85" i="116"/>
  <c r="DY85" i="116"/>
  <c r="DQ101" i="116"/>
  <c r="EB101" i="116"/>
  <c r="EA101" i="116"/>
  <c r="DY101" i="116"/>
  <c r="DZ101" i="116"/>
  <c r="DL220" i="20"/>
  <c r="DK220" i="20"/>
  <c r="EH67" i="20"/>
  <c r="EG67" i="20"/>
  <c r="CS56" i="20"/>
  <c r="CT56" i="20" s="1"/>
  <c r="CR56" i="20"/>
  <c r="CT180" i="20"/>
  <c r="CV180" i="20"/>
  <c r="EH55" i="20"/>
  <c r="EG55" i="20"/>
  <c r="BD17" i="112"/>
  <c r="BD11" i="112"/>
  <c r="CQ74" i="20"/>
  <c r="DL137" i="20"/>
  <c r="DK137" i="20"/>
  <c r="DD79" i="116"/>
  <c r="DC79" i="116"/>
  <c r="EH89" i="20"/>
  <c r="EG89" i="20"/>
  <c r="DD59" i="116"/>
  <c r="DC59" i="116"/>
  <c r="DD61" i="116"/>
  <c r="DC61" i="116"/>
  <c r="DE61" i="116" s="1"/>
  <c r="DD23" i="116"/>
  <c r="DC23" i="116"/>
  <c r="EF33" i="20"/>
  <c r="AH29" i="117"/>
  <c r="AH14" i="117"/>
  <c r="CS173" i="20"/>
  <c r="CR173" i="20"/>
  <c r="CQ52" i="20"/>
  <c r="EF47" i="20"/>
  <c r="BT43" i="56"/>
  <c r="BR43" i="56" s="1"/>
  <c r="BX43" i="56"/>
  <c r="BV43" i="56" s="1"/>
  <c r="EF59" i="20"/>
  <c r="DD85" i="116"/>
  <c r="DC85" i="116"/>
  <c r="CQ106" i="20"/>
  <c r="BX71" i="56"/>
  <c r="BV71" i="56" s="1"/>
  <c r="BT71" i="56"/>
  <c r="BR71" i="56" s="1"/>
  <c r="DC98" i="116"/>
  <c r="DD98" i="116"/>
  <c r="DJ146" i="20"/>
  <c r="DH146" i="20"/>
  <c r="DG171" i="20"/>
  <c r="DF171" i="20"/>
  <c r="DK197" i="20"/>
  <c r="DL197" i="20"/>
  <c r="DZ35" i="116"/>
  <c r="DY35" i="116"/>
  <c r="EB35" i="116"/>
  <c r="EA35" i="116"/>
  <c r="DQ35" i="116"/>
  <c r="DQ39" i="116"/>
  <c r="EB39" i="116"/>
  <c r="EA39" i="116"/>
  <c r="DZ39" i="116"/>
  <c r="DY39" i="116"/>
  <c r="DQ54" i="116"/>
  <c r="EB54" i="116"/>
  <c r="DX54" i="116" s="1"/>
  <c r="EA54" i="116"/>
  <c r="DZ54" i="116"/>
  <c r="DY54" i="116"/>
  <c r="DQ70" i="116"/>
  <c r="EB70" i="116"/>
  <c r="DX70" i="116" s="1"/>
  <c r="EA70" i="116"/>
  <c r="DZ70" i="116"/>
  <c r="DY70" i="116"/>
  <c r="DQ86" i="116"/>
  <c r="EB86" i="116"/>
  <c r="EA86" i="116"/>
  <c r="DZ86" i="116"/>
  <c r="DY86" i="116"/>
  <c r="DQ102" i="116"/>
  <c r="EB102" i="116"/>
  <c r="DX102" i="116" s="1"/>
  <c r="EA102" i="116"/>
  <c r="DY102" i="116"/>
  <c r="DZ102" i="116"/>
  <c r="B62" i="52"/>
  <c r="E62" i="52" s="1"/>
  <c r="G62" i="52" s="1"/>
  <c r="I62" i="52" s="1"/>
  <c r="D61" i="52"/>
  <c r="F61" i="52" s="1"/>
  <c r="H61" i="52" s="1"/>
  <c r="J61" i="52" s="1"/>
  <c r="C62" i="52" s="1"/>
  <c r="CS153" i="20"/>
  <c r="CR153" i="20"/>
  <c r="CS120" i="20"/>
  <c r="CT120" i="20" s="1"/>
  <c r="CR120" i="20"/>
  <c r="J38" i="48"/>
  <c r="C39" i="48" s="1"/>
  <c r="EH84" i="20"/>
  <c r="EG84" i="20"/>
  <c r="EG106" i="20"/>
  <c r="EH106" i="20"/>
  <c r="DD21" i="116"/>
  <c r="DC21" i="116"/>
  <c r="CX186" i="20"/>
  <c r="CW186" i="20"/>
  <c r="DG190" i="20"/>
  <c r="DF190" i="20"/>
  <c r="DD45" i="116"/>
  <c r="DC45" i="116"/>
  <c r="CS91" i="20"/>
  <c r="CT91" i="20" s="1"/>
  <c r="CR91" i="20"/>
  <c r="DC17" i="116"/>
  <c r="DD17" i="116"/>
  <c r="EF29" i="20"/>
  <c r="CQ112" i="20"/>
  <c r="CQ123" i="20"/>
  <c r="EG49" i="20"/>
  <c r="EH49" i="20"/>
  <c r="DL210" i="20"/>
  <c r="DK210" i="20"/>
  <c r="DI58" i="116"/>
  <c r="DH211" i="20"/>
  <c r="DJ211" i="20"/>
  <c r="CS151" i="20"/>
  <c r="CR151" i="20"/>
  <c r="DL161" i="20"/>
  <c r="DK161" i="20"/>
  <c r="DD84" i="116"/>
  <c r="DC84" i="116"/>
  <c r="DL222" i="20"/>
  <c r="DK222" i="20"/>
  <c r="DI72" i="116"/>
  <c r="DD29" i="116"/>
  <c r="DC29" i="116"/>
  <c r="DE29" i="116" s="1"/>
  <c r="CQ35" i="20"/>
  <c r="BO10" i="116"/>
  <c r="BN10" i="116"/>
  <c r="BT10" i="116" s="1"/>
  <c r="DG177" i="20"/>
  <c r="DF177" i="20"/>
  <c r="CQ26" i="20"/>
  <c r="EF70" i="20"/>
  <c r="EH97" i="20"/>
  <c r="EG97" i="20"/>
  <c r="DK139" i="20"/>
  <c r="DL139" i="20"/>
  <c r="DF224" i="20"/>
  <c r="DG224" i="20"/>
  <c r="CS157" i="20"/>
  <c r="CR157" i="20"/>
  <c r="DC99" i="116"/>
  <c r="DE99" i="116" s="1"/>
  <c r="DD99" i="116"/>
  <c r="CT213" i="20"/>
  <c r="CV213" i="20"/>
  <c r="DI98" i="116"/>
  <c r="DD66" i="116"/>
  <c r="DC66" i="116"/>
  <c r="DE66" i="116" s="1"/>
  <c r="DL5" i="116"/>
  <c r="DI30" i="116"/>
  <c r="CT223" i="20"/>
  <c r="CV223" i="20"/>
  <c r="DQ15" i="116"/>
  <c r="EB15" i="116"/>
  <c r="DZ15" i="116"/>
  <c r="DY15" i="116"/>
  <c r="EA15" i="116"/>
  <c r="DQ32" i="116"/>
  <c r="EB32" i="116"/>
  <c r="EA32" i="116"/>
  <c r="DZ32" i="116"/>
  <c r="DY32" i="116"/>
  <c r="DQ55" i="116"/>
  <c r="EB55" i="116"/>
  <c r="DX55" i="116" s="1"/>
  <c r="EA55" i="116"/>
  <c r="DZ55" i="116"/>
  <c r="DY55" i="116"/>
  <c r="DQ71" i="116"/>
  <c r="EB71" i="116"/>
  <c r="DX71" i="116" s="1"/>
  <c r="EA71" i="116"/>
  <c r="DZ71" i="116"/>
  <c r="DY71" i="116"/>
  <c r="DQ87" i="116"/>
  <c r="EB87" i="116"/>
  <c r="EA87" i="116"/>
  <c r="DY87" i="116"/>
  <c r="DZ87" i="116"/>
  <c r="DQ103" i="116"/>
  <c r="EB103" i="116"/>
  <c r="DX103" i="116" s="1"/>
  <c r="EA103" i="116"/>
  <c r="DY103" i="116"/>
  <c r="DZ103" i="116"/>
  <c r="AQ92" i="56"/>
  <c r="AS92" i="56" s="1"/>
  <c r="K11" i="56" s="1"/>
  <c r="M11" i="56" s="1"/>
  <c r="CX141" i="20"/>
  <c r="CW141" i="20"/>
  <c r="U27" i="40"/>
  <c r="V27" i="40" s="1"/>
  <c r="N27" i="40"/>
  <c r="AP27" i="40"/>
  <c r="AN27" i="40" s="1"/>
  <c r="R27" i="40"/>
  <c r="S27" i="40" s="1"/>
  <c r="AT27" i="40"/>
  <c r="AR27" i="40" s="1"/>
  <c r="AL27" i="40"/>
  <c r="AJ27" i="40" s="1"/>
  <c r="EF28" i="20"/>
  <c r="EF36" i="20"/>
  <c r="CX192" i="20"/>
  <c r="CW192" i="20"/>
  <c r="EF64" i="20"/>
  <c r="DI63" i="116"/>
  <c r="DI21" i="116"/>
  <c r="DI45" i="116"/>
  <c r="DL226" i="20"/>
  <c r="DK226" i="20"/>
  <c r="DI78" i="116"/>
  <c r="CS208" i="20"/>
  <c r="CR208" i="20"/>
  <c r="DI17" i="116"/>
  <c r="CT214" i="20"/>
  <c r="CV214" i="20"/>
  <c r="EH100" i="20"/>
  <c r="EG100" i="20"/>
  <c r="CX205" i="20"/>
  <c r="CW205" i="20"/>
  <c r="DD41" i="116"/>
  <c r="DC41" i="116"/>
  <c r="CT219" i="20"/>
  <c r="CV219" i="20"/>
  <c r="DI73" i="116"/>
  <c r="DD22" i="116"/>
  <c r="DC22" i="116"/>
  <c r="EF45" i="20"/>
  <c r="EF61" i="20"/>
  <c r="CQ65" i="20"/>
  <c r="DD48" i="116"/>
  <c r="DC48" i="116"/>
  <c r="A22" i="45"/>
  <c r="A19" i="45"/>
  <c r="A16" i="45"/>
  <c r="H13" i="46"/>
  <c r="I13" i="46"/>
  <c r="I14" i="46"/>
  <c r="CS182" i="20"/>
  <c r="CR182" i="20"/>
  <c r="DI86" i="116"/>
  <c r="DI69" i="116"/>
  <c r="DD36" i="116"/>
  <c r="DC36" i="116"/>
  <c r="DE36" i="116" s="1"/>
  <c r="DD67" i="116"/>
  <c r="DC67" i="116"/>
  <c r="DD27" i="116"/>
  <c r="DC27" i="116"/>
  <c r="DE27" i="116" s="1"/>
  <c r="EG105" i="20"/>
  <c r="EH105" i="20"/>
  <c r="EH95" i="20"/>
  <c r="EG95" i="20"/>
  <c r="DC37" i="116"/>
  <c r="DD37" i="116"/>
  <c r="CS102" i="20"/>
  <c r="CT102" i="20" s="1"/>
  <c r="CR102" i="20"/>
  <c r="EG57" i="20"/>
  <c r="EH57" i="20"/>
  <c r="DD60" i="116"/>
  <c r="DC60" i="116"/>
  <c r="DC97" i="116"/>
  <c r="DD97" i="116"/>
  <c r="DX28" i="116"/>
  <c r="DQ28" i="116"/>
  <c r="EB28" i="116"/>
  <c r="DZ28" i="116"/>
  <c r="DY28" i="116"/>
  <c r="EA28" i="116"/>
  <c r="EB40" i="116"/>
  <c r="DX40" i="116" s="1"/>
  <c r="EA40" i="116"/>
  <c r="DZ40" i="116"/>
  <c r="DY40" i="116"/>
  <c r="DQ40" i="116"/>
  <c r="DQ56" i="116"/>
  <c r="EB56" i="116"/>
  <c r="DX56" i="116" s="1"/>
  <c r="EA56" i="116"/>
  <c r="DZ56" i="116"/>
  <c r="DY56" i="116"/>
  <c r="DQ72" i="116"/>
  <c r="EB72" i="116"/>
  <c r="EA72" i="116"/>
  <c r="DZ72" i="116"/>
  <c r="DX72" i="116"/>
  <c r="DY72" i="116"/>
  <c r="DQ88" i="116"/>
  <c r="EB88" i="116"/>
  <c r="DX88" i="116" s="1"/>
  <c r="EA88" i="116"/>
  <c r="DY88" i="116"/>
  <c r="DZ88" i="116"/>
  <c r="DQ104" i="116"/>
  <c r="EB104" i="116"/>
  <c r="EA104" i="116"/>
  <c r="DY104" i="116"/>
  <c r="DZ104" i="116"/>
  <c r="DI75" i="116"/>
  <c r="DG175" i="20"/>
  <c r="DF175" i="20"/>
  <c r="DI76" i="116"/>
  <c r="CS87" i="20"/>
  <c r="CT87" i="20" s="1"/>
  <c r="CR87" i="20"/>
  <c r="EH48" i="20"/>
  <c r="EG48" i="20"/>
  <c r="DD13" i="116"/>
  <c r="DC13" i="116"/>
  <c r="DE13" i="116" s="1"/>
  <c r="CT207" i="20"/>
  <c r="CV207" i="20"/>
  <c r="CQ124" i="20"/>
  <c r="DD25" i="116"/>
  <c r="DC25" i="116"/>
  <c r="L8" i="117"/>
  <c r="CR92" i="20"/>
  <c r="CS92" i="20"/>
  <c r="CT92" i="20" s="1"/>
  <c r="CS171" i="20"/>
  <c r="CR171" i="20"/>
  <c r="CV181" i="20"/>
  <c r="CT181" i="20"/>
  <c r="CQ93" i="20"/>
  <c r="DI41" i="116"/>
  <c r="EF52" i="20"/>
  <c r="BT45" i="56"/>
  <c r="BR45" i="56" s="1"/>
  <c r="BX45" i="56"/>
  <c r="BV45" i="56" s="1"/>
  <c r="DD50" i="116"/>
  <c r="DC50" i="116"/>
  <c r="DI52" i="116"/>
  <c r="BO11" i="116"/>
  <c r="BN11" i="116"/>
  <c r="BT11" i="116" s="1"/>
  <c r="DI48" i="116"/>
  <c r="CT203" i="20"/>
  <c r="CV203" i="20"/>
  <c r="DH229" i="20"/>
  <c r="DJ229" i="20"/>
  <c r="DJ142" i="20"/>
  <c r="DH142" i="20"/>
  <c r="CQ44" i="20"/>
  <c r="DI71" i="116"/>
  <c r="DD28" i="116"/>
  <c r="DC28" i="116"/>
  <c r="DE28" i="116" s="1"/>
  <c r="CX143" i="20"/>
  <c r="CW143" i="20"/>
  <c r="CT215" i="20"/>
  <c r="CV215" i="20"/>
  <c r="CQ90" i="20"/>
  <c r="DD42" i="116"/>
  <c r="DC42" i="116"/>
  <c r="EF16" i="20"/>
  <c r="EF69" i="20"/>
  <c r="DI27" i="116"/>
  <c r="CQ101" i="20"/>
  <c r="DI37" i="116"/>
  <c r="CT187" i="20"/>
  <c r="CV187" i="20"/>
  <c r="CX137" i="20"/>
  <c r="CW137" i="20"/>
  <c r="DI97" i="116"/>
  <c r="DD65" i="116"/>
  <c r="DC65" i="116"/>
  <c r="DE65" i="116" s="1"/>
  <c r="DD26" i="116"/>
  <c r="DC26" i="116"/>
  <c r="BH15" i="116"/>
  <c r="BJ14" i="116"/>
  <c r="BS14" i="116"/>
  <c r="DQ29" i="116"/>
  <c r="EB29" i="116"/>
  <c r="DZ29" i="116"/>
  <c r="DY29" i="116"/>
  <c r="EA29" i="116"/>
  <c r="EB41" i="116"/>
  <c r="EA41" i="116"/>
  <c r="DZ41" i="116"/>
  <c r="DY41" i="116"/>
  <c r="DQ41" i="116"/>
  <c r="DQ57" i="116"/>
  <c r="EB57" i="116"/>
  <c r="DX57" i="116" s="1"/>
  <c r="EA57" i="116"/>
  <c r="DZ57" i="116"/>
  <c r="DY57" i="116"/>
  <c r="DQ73" i="116"/>
  <c r="EB73" i="116"/>
  <c r="DX73" i="116" s="1"/>
  <c r="EA73" i="116"/>
  <c r="DZ73" i="116"/>
  <c r="DY73" i="116"/>
  <c r="DQ89" i="116"/>
  <c r="EB89" i="116"/>
  <c r="EA89" i="116"/>
  <c r="DY89" i="116"/>
  <c r="DZ89" i="116"/>
  <c r="DQ105" i="116"/>
  <c r="EB105" i="116"/>
  <c r="DX105" i="116" s="1"/>
  <c r="EA105" i="116"/>
  <c r="DY105" i="116"/>
  <c r="DZ105" i="116"/>
  <c r="EF23" i="20"/>
  <c r="DH199" i="20"/>
  <c r="DJ199" i="20"/>
  <c r="DD80" i="116"/>
  <c r="DC80" i="116"/>
  <c r="CS169" i="20"/>
  <c r="CR169" i="20"/>
  <c r="DH195" i="20"/>
  <c r="DJ195" i="20"/>
  <c r="EF98" i="20"/>
  <c r="EM44" i="20"/>
  <c r="EL44" i="20"/>
  <c r="DF198" i="20"/>
  <c r="DG198" i="20"/>
  <c r="A17" i="117"/>
  <c r="A11" i="117"/>
  <c r="CX133" i="20"/>
  <c r="CW133" i="20"/>
  <c r="BV110" i="116"/>
  <c r="BV109" i="116"/>
  <c r="BV108" i="116"/>
  <c r="BV107" i="116"/>
  <c r="BV106" i="116"/>
  <c r="BV105" i="116"/>
  <c r="BV104" i="116"/>
  <c r="BV103" i="116"/>
  <c r="BV102" i="116"/>
  <c r="BV101" i="116"/>
  <c r="BV100" i="116"/>
  <c r="BV99" i="116"/>
  <c r="BV98" i="116"/>
  <c r="BV97" i="116"/>
  <c r="BV96" i="116"/>
  <c r="BV95" i="116"/>
  <c r="BV94" i="116"/>
  <c r="BV93" i="116"/>
  <c r="BV92" i="116"/>
  <c r="BV91" i="116"/>
  <c r="BV90" i="116"/>
  <c r="BV89" i="116"/>
  <c r="BV88" i="116"/>
  <c r="BV87" i="116"/>
  <c r="BV85" i="116"/>
  <c r="BV83" i="116"/>
  <c r="BV81" i="116"/>
  <c r="BV79" i="116"/>
  <c r="BV77" i="116"/>
  <c r="BV75" i="116"/>
  <c r="BV73" i="116"/>
  <c r="BV71" i="116"/>
  <c r="BV69" i="116"/>
  <c r="BV67" i="116"/>
  <c r="BV65" i="116"/>
  <c r="BV63" i="116"/>
  <c r="BV61" i="116"/>
  <c r="BV59" i="116"/>
  <c r="BV57" i="116"/>
  <c r="BV55" i="116"/>
  <c r="BV53" i="116"/>
  <c r="BV51" i="116"/>
  <c r="BV36" i="116"/>
  <c r="X33" i="116"/>
  <c r="BV35" i="116"/>
  <c r="BV34" i="116"/>
  <c r="BV33" i="116"/>
  <c r="BV21" i="116"/>
  <c r="BV27" i="116"/>
  <c r="BV26" i="116"/>
  <c r="BV25" i="116"/>
  <c r="F32" i="116"/>
  <c r="BV50" i="116"/>
  <c r="BV49" i="116"/>
  <c r="BV48" i="116"/>
  <c r="BV47" i="116"/>
  <c r="BV46" i="116"/>
  <c r="BV45" i="116"/>
  <c r="BV44" i="116"/>
  <c r="BV43" i="116"/>
  <c r="BV42" i="116"/>
  <c r="BV41" i="116"/>
  <c r="BV40" i="116"/>
  <c r="BV86" i="116"/>
  <c r="BV84" i="116"/>
  <c r="BV82" i="116"/>
  <c r="BV80" i="116"/>
  <c r="BV78" i="116"/>
  <c r="BV76" i="116"/>
  <c r="BV74" i="116"/>
  <c r="BV72" i="116"/>
  <c r="BV70" i="116"/>
  <c r="BV68" i="116"/>
  <c r="BV66" i="116"/>
  <c r="BV64" i="116"/>
  <c r="BV62" i="116"/>
  <c r="BV60" i="116"/>
  <c r="BV58" i="116"/>
  <c r="BV56" i="116"/>
  <c r="BV54" i="116"/>
  <c r="BV52" i="116"/>
  <c r="BV32" i="116"/>
  <c r="X16" i="116"/>
  <c r="Z16" i="116" s="1"/>
  <c r="BV37" i="116"/>
  <c r="BV31" i="116"/>
  <c r="BV20" i="116"/>
  <c r="BV19" i="116"/>
  <c r="BV18" i="116"/>
  <c r="BV17" i="116"/>
  <c r="BV16" i="116"/>
  <c r="BV30" i="116"/>
  <c r="BV23" i="116"/>
  <c r="BV22" i="116"/>
  <c r="BV29" i="116"/>
  <c r="BV28" i="116"/>
  <c r="BV15" i="116"/>
  <c r="BV24" i="116"/>
  <c r="BV13" i="116"/>
  <c r="BV12" i="116"/>
  <c r="BV38" i="116"/>
  <c r="BV11" i="116"/>
  <c r="BV14" i="116"/>
  <c r="BV39" i="116"/>
  <c r="CT191" i="20"/>
  <c r="CV191" i="20"/>
  <c r="CQ118" i="20"/>
  <c r="CQ60" i="20"/>
  <c r="EF39" i="20"/>
  <c r="AO42" i="40" l="1"/>
  <c r="BO8" i="112"/>
  <c r="BO17" i="112" s="1"/>
  <c r="DE31" i="116"/>
  <c r="CV178" i="20"/>
  <c r="CT178" i="20"/>
  <c r="CT212" i="20"/>
  <c r="CV212" i="20"/>
  <c r="DE109" i="116"/>
  <c r="DE92" i="116"/>
  <c r="CS33" i="20"/>
  <c r="CT33" i="20" s="1"/>
  <c r="CR33" i="20"/>
  <c r="DE84" i="116"/>
  <c r="DE63" i="116"/>
  <c r="CV162" i="20"/>
  <c r="CT162" i="20"/>
  <c r="CX148" i="20"/>
  <c r="CW148" i="20"/>
  <c r="DE56" i="116"/>
  <c r="CS39" i="20"/>
  <c r="CT39" i="20" s="1"/>
  <c r="CR39" i="20"/>
  <c r="DE98" i="116"/>
  <c r="CT210" i="20"/>
  <c r="CV210" i="20"/>
  <c r="DE8" i="20"/>
  <c r="DD8" i="20"/>
  <c r="DI7" i="20" s="1"/>
  <c r="J9" i="20" s="1"/>
  <c r="DE22" i="116"/>
  <c r="DE90" i="116"/>
  <c r="DE52" i="116"/>
  <c r="EG103" i="20"/>
  <c r="EG79" i="20"/>
  <c r="DL148" i="20"/>
  <c r="DK148" i="20"/>
  <c r="CR105" i="20"/>
  <c r="BM13" i="116"/>
  <c r="CQ89" i="20"/>
  <c r="DE33" i="116"/>
  <c r="DE103" i="116"/>
  <c r="EG40" i="20"/>
  <c r="CQ55" i="20"/>
  <c r="DL160" i="20"/>
  <c r="DK160" i="20"/>
  <c r="CQ111" i="20"/>
  <c r="EG107" i="20"/>
  <c r="DE16" i="116"/>
  <c r="CQ100" i="20"/>
  <c r="CX170" i="20"/>
  <c r="CW170" i="20"/>
  <c r="DL156" i="20"/>
  <c r="DK156" i="20"/>
  <c r="CV166" i="20"/>
  <c r="CT166" i="20"/>
  <c r="DE87" i="116"/>
  <c r="DE49" i="116"/>
  <c r="DE76" i="116"/>
  <c r="DL152" i="20"/>
  <c r="DK152" i="20"/>
  <c r="CQ36" i="20"/>
  <c r="DE37" i="116"/>
  <c r="CR80" i="20"/>
  <c r="J30" i="46"/>
  <c r="C31" i="46" s="1"/>
  <c r="DE11" i="20"/>
  <c r="CU11" i="20" s="1"/>
  <c r="CQ108" i="20"/>
  <c r="CQ46" i="20"/>
  <c r="DH178" i="20"/>
  <c r="CQ31" i="20"/>
  <c r="DK140" i="20"/>
  <c r="DL140" i="20"/>
  <c r="CS50" i="20"/>
  <c r="CT50" i="20" s="1"/>
  <c r="CR50" i="20"/>
  <c r="DE108" i="116"/>
  <c r="CR45" i="20"/>
  <c r="CS45" i="20"/>
  <c r="CT45" i="20" s="1"/>
  <c r="J13" i="46"/>
  <c r="C14" i="46" s="1"/>
  <c r="CR41" i="20"/>
  <c r="DE51" i="116"/>
  <c r="DK173" i="20"/>
  <c r="DE95" i="116"/>
  <c r="DL136" i="20"/>
  <c r="DK136" i="20"/>
  <c r="DE50" i="116"/>
  <c r="DE21" i="116"/>
  <c r="DE75" i="116"/>
  <c r="DL144" i="20"/>
  <c r="DK144" i="20"/>
  <c r="B44" i="52"/>
  <c r="E44" i="52" s="1"/>
  <c r="D43" i="52"/>
  <c r="F43" i="52" s="1"/>
  <c r="H43" i="52" s="1"/>
  <c r="E29" i="40"/>
  <c r="AN43" i="40"/>
  <c r="J31" i="44"/>
  <c r="C32" i="44" s="1"/>
  <c r="CG108" i="116"/>
  <c r="CF108" i="116"/>
  <c r="CI108" i="116"/>
  <c r="CH108" i="116"/>
  <c r="BX108" i="116"/>
  <c r="DE80" i="116"/>
  <c r="DE26" i="116"/>
  <c r="DE42" i="116"/>
  <c r="DS28" i="116"/>
  <c r="DR28" i="116"/>
  <c r="DT28" i="116" s="1"/>
  <c r="EM95" i="20"/>
  <c r="EL95" i="20"/>
  <c r="CS35" i="20"/>
  <c r="CT35" i="20" s="1"/>
  <c r="CR35" i="20"/>
  <c r="DE45" i="116"/>
  <c r="BR77" i="56"/>
  <c r="DE59" i="116"/>
  <c r="DH203" i="20"/>
  <c r="DJ203" i="20"/>
  <c r="CS32" i="20"/>
  <c r="CT32" i="20" s="1"/>
  <c r="CR32" i="20"/>
  <c r="DE35" i="116"/>
  <c r="CX149" i="20"/>
  <c r="CW149" i="20"/>
  <c r="EL86" i="20"/>
  <c r="EM86" i="20"/>
  <c r="EL78" i="20"/>
  <c r="EM78" i="20"/>
  <c r="EH53" i="20"/>
  <c r="EG53" i="20"/>
  <c r="DS63" i="116"/>
  <c r="DR63" i="116"/>
  <c r="CR88" i="20"/>
  <c r="CS88" i="20"/>
  <c r="CT88" i="20" s="1"/>
  <c r="EH11" i="20"/>
  <c r="EG11" i="20"/>
  <c r="DH157" i="20"/>
  <c r="DJ157" i="20"/>
  <c r="EL13" i="20"/>
  <c r="EM13" i="20"/>
  <c r="DL212" i="20"/>
  <c r="DK212" i="20"/>
  <c r="CS29" i="20"/>
  <c r="CT29" i="20" s="1"/>
  <c r="CR29" i="20"/>
  <c r="CX200" i="20"/>
  <c r="CW200" i="20"/>
  <c r="DF76" i="116"/>
  <c r="DG76" i="116"/>
  <c r="DH76" i="116" s="1"/>
  <c r="EA5" i="116"/>
  <c r="CX38" i="116"/>
  <c r="CT38" i="116" s="1"/>
  <c r="CW38" i="116"/>
  <c r="CV38" i="116"/>
  <c r="CU38" i="116"/>
  <c r="CM38" i="116"/>
  <c r="CM25" i="116"/>
  <c r="CX25" i="116"/>
  <c r="CW25" i="116"/>
  <c r="CU25" i="116"/>
  <c r="CV25" i="116"/>
  <c r="CX95" i="116"/>
  <c r="CT95" i="116" s="1"/>
  <c r="CW95" i="116"/>
  <c r="CV95" i="116"/>
  <c r="CU95" i="116"/>
  <c r="CM95" i="116"/>
  <c r="CX104" i="116"/>
  <c r="CW104" i="116"/>
  <c r="CV104" i="116"/>
  <c r="CU104" i="116"/>
  <c r="CT104" i="116"/>
  <c r="CM104" i="116"/>
  <c r="CX63" i="116"/>
  <c r="CW63" i="116"/>
  <c r="CV63" i="116"/>
  <c r="CU63" i="116"/>
  <c r="CM63" i="116"/>
  <c r="CX79" i="116"/>
  <c r="CT79" i="116" s="1"/>
  <c r="CW79" i="116"/>
  <c r="CV79" i="116"/>
  <c r="CU79" i="116"/>
  <c r="CM79" i="116"/>
  <c r="DS59" i="116"/>
  <c r="DR59" i="116"/>
  <c r="DT59" i="116" s="1"/>
  <c r="CT196" i="20"/>
  <c r="CV196" i="20"/>
  <c r="CX198" i="20"/>
  <c r="CW198" i="20"/>
  <c r="CS60" i="20"/>
  <c r="CT60" i="20" s="1"/>
  <c r="CR60" i="20"/>
  <c r="CI64" i="116"/>
  <c r="CH64" i="116"/>
  <c r="CG64" i="116"/>
  <c r="CF64" i="116"/>
  <c r="CE64" i="116"/>
  <c r="BX64" i="116"/>
  <c r="CI36" i="116"/>
  <c r="CE36" i="116" s="1"/>
  <c r="CH36" i="116"/>
  <c r="CG36" i="116"/>
  <c r="CF36" i="116"/>
  <c r="BX36" i="116"/>
  <c r="CG19" i="116"/>
  <c r="CF19" i="116"/>
  <c r="CI19" i="116"/>
  <c r="CH19" i="116"/>
  <c r="BX19" i="116"/>
  <c r="CG88" i="116"/>
  <c r="CF88" i="116"/>
  <c r="CI88" i="116"/>
  <c r="CE88" i="116" s="1"/>
  <c r="CH88" i="116"/>
  <c r="BX88" i="116"/>
  <c r="CI59" i="116"/>
  <c r="CE59" i="116" s="1"/>
  <c r="CH59" i="116"/>
  <c r="CG59" i="116"/>
  <c r="CF59" i="116"/>
  <c r="BX59" i="116"/>
  <c r="BX12" i="116"/>
  <c r="CI12" i="116"/>
  <c r="CG12" i="116"/>
  <c r="CF12" i="116"/>
  <c r="CE12" i="116"/>
  <c r="CH12" i="116"/>
  <c r="CI80" i="116"/>
  <c r="CE80" i="116" s="1"/>
  <c r="CH80" i="116"/>
  <c r="CG80" i="116"/>
  <c r="CF80" i="116"/>
  <c r="BX80" i="116"/>
  <c r="BX25" i="116"/>
  <c r="CI25" i="116"/>
  <c r="CG25" i="116"/>
  <c r="CF25" i="116"/>
  <c r="CH25" i="116"/>
  <c r="CI65" i="116"/>
  <c r="CH65" i="116"/>
  <c r="CG65" i="116"/>
  <c r="CF65" i="116"/>
  <c r="CE65" i="116"/>
  <c r="BX65" i="116"/>
  <c r="CG92" i="116"/>
  <c r="CF92" i="116"/>
  <c r="CE92" i="116"/>
  <c r="CI92" i="116"/>
  <c r="CH92" i="116"/>
  <c r="BX92" i="116"/>
  <c r="BX13" i="116"/>
  <c r="CI13" i="116"/>
  <c r="CG13" i="116"/>
  <c r="CF13" i="116"/>
  <c r="CE13" i="116"/>
  <c r="CH13" i="116"/>
  <c r="BX32" i="116"/>
  <c r="CI32" i="116"/>
  <c r="CG32" i="116"/>
  <c r="CF32" i="116"/>
  <c r="CH32" i="116"/>
  <c r="CI82" i="116"/>
  <c r="CE82" i="116" s="1"/>
  <c r="CH82" i="116"/>
  <c r="CG82" i="116"/>
  <c r="CF82" i="116"/>
  <c r="BX82" i="116"/>
  <c r="BX26" i="116"/>
  <c r="CI26" i="116"/>
  <c r="CH26" i="116"/>
  <c r="CF26" i="116"/>
  <c r="CE26" i="116"/>
  <c r="CG26" i="116"/>
  <c r="CI67" i="116"/>
  <c r="CH67" i="116"/>
  <c r="CG67" i="116"/>
  <c r="CF67" i="116"/>
  <c r="CE67" i="116"/>
  <c r="BX67" i="116"/>
  <c r="CG93" i="116"/>
  <c r="CF93" i="116"/>
  <c r="CE93" i="116"/>
  <c r="CI93" i="116"/>
  <c r="CH93" i="116"/>
  <c r="BX93" i="116"/>
  <c r="CG109" i="116"/>
  <c r="CF109" i="116"/>
  <c r="CI109" i="116"/>
  <c r="CH109" i="116"/>
  <c r="BX109" i="116"/>
  <c r="DS89" i="116"/>
  <c r="DR89" i="116"/>
  <c r="CS93" i="20"/>
  <c r="CT93" i="20" s="1"/>
  <c r="CR93" i="20"/>
  <c r="D14" i="46"/>
  <c r="F14" i="46" s="1"/>
  <c r="H14" i="46" s="1"/>
  <c r="J14" i="46" s="1"/>
  <c r="C15" i="46" s="1"/>
  <c r="B15" i="46"/>
  <c r="DS87" i="116"/>
  <c r="DR87" i="116"/>
  <c r="DT87" i="116" s="1"/>
  <c r="DF66" i="116"/>
  <c r="DG66" i="116"/>
  <c r="DH66" i="116" s="1"/>
  <c r="DH139" i="20"/>
  <c r="DJ139" i="20"/>
  <c r="DF29" i="116"/>
  <c r="DG29" i="116"/>
  <c r="DH29" i="116" s="1"/>
  <c r="DS86" i="116"/>
  <c r="DR86" i="116"/>
  <c r="DT86" i="116" s="1"/>
  <c r="EH47" i="20"/>
  <c r="EG47" i="20"/>
  <c r="DE74" i="116"/>
  <c r="DG90" i="116"/>
  <c r="DH90" i="116" s="1"/>
  <c r="DF90" i="116"/>
  <c r="A17" i="112"/>
  <c r="A11" i="112"/>
  <c r="DH213" i="20"/>
  <c r="DJ213" i="20"/>
  <c r="DE18" i="116"/>
  <c r="DS50" i="116"/>
  <c r="DR50" i="116"/>
  <c r="DT50" i="116" s="1"/>
  <c r="DS97" i="116"/>
  <c r="DR97" i="116"/>
  <c r="DS64" i="116"/>
  <c r="DR64" i="116"/>
  <c r="DR47" i="116"/>
  <c r="DS47" i="116"/>
  <c r="CR75" i="20"/>
  <c r="CS75" i="20"/>
  <c r="CT75" i="20" s="1"/>
  <c r="DH141" i="20"/>
  <c r="DJ141" i="20"/>
  <c r="CS116" i="20"/>
  <c r="CT116" i="20" s="1"/>
  <c r="CR116" i="20"/>
  <c r="DL149" i="20"/>
  <c r="DK149" i="20"/>
  <c r="DE14" i="20"/>
  <c r="DD14" i="20"/>
  <c r="DS60" i="116"/>
  <c r="DR60" i="116"/>
  <c r="DE69" i="116"/>
  <c r="CM14" i="116"/>
  <c r="CX14" i="116"/>
  <c r="CT14" i="116" s="1"/>
  <c r="CV14" i="116"/>
  <c r="CU14" i="116"/>
  <c r="CW14" i="116"/>
  <c r="CX39" i="116"/>
  <c r="CT39" i="116" s="1"/>
  <c r="CW39" i="116"/>
  <c r="CV39" i="116"/>
  <c r="CU39" i="116"/>
  <c r="CM39" i="116"/>
  <c r="CM26" i="116"/>
  <c r="CX26" i="116"/>
  <c r="CT26" i="116" s="1"/>
  <c r="CW26" i="116"/>
  <c r="CV26" i="116"/>
  <c r="CU26" i="116"/>
  <c r="CX97" i="116"/>
  <c r="CW97" i="116"/>
  <c r="CV97" i="116"/>
  <c r="CU97" i="116"/>
  <c r="CM97" i="116"/>
  <c r="CX106" i="116"/>
  <c r="CT106" i="116" s="1"/>
  <c r="CW106" i="116"/>
  <c r="CV106" i="116"/>
  <c r="CU106" i="116"/>
  <c r="CM106" i="116"/>
  <c r="CX64" i="116"/>
  <c r="CW64" i="116"/>
  <c r="CV64" i="116"/>
  <c r="CU64" i="116"/>
  <c r="CT64" i="116"/>
  <c r="CM64" i="116"/>
  <c r="CX80" i="116"/>
  <c r="CW80" i="116"/>
  <c r="CV80" i="116"/>
  <c r="CU80" i="116"/>
  <c r="CM80" i="116"/>
  <c r="EM40" i="20"/>
  <c r="EL40" i="20"/>
  <c r="DR43" i="116"/>
  <c r="DT43" i="116" s="1"/>
  <c r="DS43" i="116"/>
  <c r="EM10" i="20"/>
  <c r="EL10" i="20"/>
  <c r="EM83" i="20"/>
  <c r="EL83" i="20"/>
  <c r="EL79" i="20"/>
  <c r="EM79" i="20"/>
  <c r="DS90" i="116"/>
  <c r="DR90" i="116"/>
  <c r="DT90" i="116" s="1"/>
  <c r="DG31" i="116"/>
  <c r="DH31" i="116" s="1"/>
  <c r="DF31" i="116"/>
  <c r="CG110" i="116"/>
  <c r="CF110" i="116"/>
  <c r="CI110" i="116"/>
  <c r="CH110" i="116"/>
  <c r="BX110" i="116"/>
  <c r="DF65" i="116"/>
  <c r="DG65" i="116"/>
  <c r="DH65" i="116" s="1"/>
  <c r="CS90" i="20"/>
  <c r="CT90" i="20" s="1"/>
  <c r="CR90" i="20"/>
  <c r="DG13" i="116"/>
  <c r="DH13" i="116" s="1"/>
  <c r="DF13" i="116"/>
  <c r="DL190" i="20"/>
  <c r="DK190" i="20"/>
  <c r="CX153" i="20"/>
  <c r="CW153" i="20"/>
  <c r="CR52" i="20"/>
  <c r="CS52" i="20"/>
  <c r="CT52" i="20" s="1"/>
  <c r="BD14" i="112"/>
  <c r="BD29" i="112"/>
  <c r="DH200" i="20"/>
  <c r="DJ200" i="20"/>
  <c r="DF87" i="116"/>
  <c r="DG87" i="116"/>
  <c r="DH87" i="116" s="1"/>
  <c r="DD20" i="20"/>
  <c r="DI19" i="20" s="1"/>
  <c r="J25" i="20" s="1"/>
  <c r="DE20" i="20"/>
  <c r="EM109" i="20"/>
  <c r="EL109" i="20"/>
  <c r="EM80" i="20"/>
  <c r="EL80" i="20"/>
  <c r="CS107" i="20"/>
  <c r="CT107" i="20" s="1"/>
  <c r="CR107" i="20"/>
  <c r="DS99" i="116"/>
  <c r="DR99" i="116"/>
  <c r="DT99" i="116" s="1"/>
  <c r="DF81" i="116"/>
  <c r="DG81" i="116"/>
  <c r="DH81" i="116" s="1"/>
  <c r="CS110" i="20"/>
  <c r="CT110" i="20" s="1"/>
  <c r="CR110" i="20"/>
  <c r="DG108" i="116"/>
  <c r="DH108" i="116" s="1"/>
  <c r="DF108" i="116"/>
  <c r="EL74" i="20"/>
  <c r="EM74" i="20"/>
  <c r="DG107" i="116"/>
  <c r="DH107" i="116" s="1"/>
  <c r="DF107" i="116"/>
  <c r="DR48" i="116"/>
  <c r="DS48" i="116"/>
  <c r="DG88" i="116"/>
  <c r="DH88" i="116" s="1"/>
  <c r="DF88" i="116"/>
  <c r="EH92" i="20"/>
  <c r="EG92" i="20"/>
  <c r="DH230" i="20"/>
  <c r="DJ230" i="20"/>
  <c r="EL87" i="20"/>
  <c r="EM87" i="20"/>
  <c r="DL196" i="20"/>
  <c r="DK196" i="20"/>
  <c r="DE71" i="116"/>
  <c r="AH14" i="112"/>
  <c r="AH29" i="112"/>
  <c r="DR44" i="116"/>
  <c r="DT44" i="116" s="1"/>
  <c r="DS44" i="116"/>
  <c r="CX17" i="116"/>
  <c r="CW17" i="116"/>
  <c r="CV17" i="116"/>
  <c r="CU17" i="116"/>
  <c r="CT17" i="116"/>
  <c r="CM17" i="116"/>
  <c r="CM27" i="116"/>
  <c r="CX27" i="116"/>
  <c r="CW27" i="116"/>
  <c r="CV27" i="116"/>
  <c r="CT27" i="116"/>
  <c r="CU27" i="116"/>
  <c r="CX99" i="116"/>
  <c r="CW99" i="116"/>
  <c r="CV99" i="116"/>
  <c r="CU99" i="116"/>
  <c r="CM99" i="116"/>
  <c r="CX108" i="116"/>
  <c r="CT108" i="116" s="1"/>
  <c r="CW108" i="116"/>
  <c r="CV108" i="116"/>
  <c r="CU108" i="116"/>
  <c r="CM108" i="116"/>
  <c r="CX65" i="116"/>
  <c r="CT65" i="116" s="1"/>
  <c r="CW65" i="116"/>
  <c r="CV65" i="116"/>
  <c r="CU65" i="116"/>
  <c r="CM65" i="116"/>
  <c r="CX81" i="116"/>
  <c r="CW81" i="116"/>
  <c r="CV81" i="116"/>
  <c r="CU81" i="116"/>
  <c r="CM81" i="116"/>
  <c r="DG16" i="116"/>
  <c r="DH16" i="116" s="1"/>
  <c r="DF16" i="116"/>
  <c r="CX167" i="20"/>
  <c r="CW167" i="20"/>
  <c r="CG95" i="116"/>
  <c r="CF95" i="116"/>
  <c r="CE95" i="116"/>
  <c r="CI95" i="116"/>
  <c r="CH95" i="116"/>
  <c r="BX95" i="116"/>
  <c r="DS104" i="116"/>
  <c r="DR104" i="116"/>
  <c r="EM105" i="20"/>
  <c r="EL105" i="20"/>
  <c r="DH226" i="20"/>
  <c r="DJ226" i="20"/>
  <c r="DS32" i="116"/>
  <c r="DR32" i="116"/>
  <c r="EL97" i="20"/>
  <c r="EM97" i="20"/>
  <c r="DH210" i="20"/>
  <c r="DJ210" i="20"/>
  <c r="DR39" i="116"/>
  <c r="DS39" i="116"/>
  <c r="DS101" i="116"/>
  <c r="DR101" i="116"/>
  <c r="EM54" i="20"/>
  <c r="EL54" i="20"/>
  <c r="DS84" i="116"/>
  <c r="DR84" i="116"/>
  <c r="DT84" i="116" s="1"/>
  <c r="CT204" i="20"/>
  <c r="CV204" i="20"/>
  <c r="EL94" i="20"/>
  <c r="EM94" i="20"/>
  <c r="CR95" i="20"/>
  <c r="CS95" i="20"/>
  <c r="CT95" i="20" s="1"/>
  <c r="EH82" i="20"/>
  <c r="EG82" i="20"/>
  <c r="DS78" i="116"/>
  <c r="DR78" i="116"/>
  <c r="DS77" i="116"/>
  <c r="DR77" i="116"/>
  <c r="DT77" i="116" s="1"/>
  <c r="DH227" i="20"/>
  <c r="DJ227" i="20"/>
  <c r="DE86" i="116"/>
  <c r="CT159" i="20"/>
  <c r="CV159" i="20"/>
  <c r="CX19" i="116"/>
  <c r="CT19" i="116" s="1"/>
  <c r="CW19" i="116"/>
  <c r="CV19" i="116"/>
  <c r="CU19" i="116"/>
  <c r="CM19" i="116"/>
  <c r="CW32" i="116"/>
  <c r="CV32" i="116"/>
  <c r="CU32" i="116"/>
  <c r="CM32" i="116"/>
  <c r="CX32" i="116"/>
  <c r="CM21" i="116"/>
  <c r="CW21" i="116"/>
  <c r="CV21" i="116"/>
  <c r="CU21" i="116"/>
  <c r="CX21" i="116"/>
  <c r="CT21" i="116" s="1"/>
  <c r="CX101" i="116"/>
  <c r="CW101" i="116"/>
  <c r="CV101" i="116"/>
  <c r="CU101" i="116"/>
  <c r="CM101" i="116"/>
  <c r="CX110" i="116"/>
  <c r="CW110" i="116"/>
  <c r="CV110" i="116"/>
  <c r="CU110" i="116"/>
  <c r="CT110" i="116"/>
  <c r="CM110" i="116"/>
  <c r="CX66" i="116"/>
  <c r="CT66" i="116" s="1"/>
  <c r="CW66" i="116"/>
  <c r="CV66" i="116"/>
  <c r="CU66" i="116"/>
  <c r="CM66" i="116"/>
  <c r="CX82" i="116"/>
  <c r="CW82" i="116"/>
  <c r="CV82" i="116"/>
  <c r="CU82" i="116"/>
  <c r="CM82" i="116"/>
  <c r="EM103" i="20"/>
  <c r="EL103" i="20"/>
  <c r="DF72" i="116"/>
  <c r="DG72" i="116"/>
  <c r="DH72" i="116" s="1"/>
  <c r="BX48" i="116"/>
  <c r="CI48" i="116"/>
  <c r="CE48" i="116" s="1"/>
  <c r="CH48" i="116"/>
  <c r="CF48" i="116"/>
  <c r="CG48" i="116"/>
  <c r="BX14" i="116"/>
  <c r="CI14" i="116"/>
  <c r="CH14" i="116"/>
  <c r="CG14" i="116"/>
  <c r="CE14" i="116"/>
  <c r="CF14" i="116"/>
  <c r="CI74" i="116"/>
  <c r="CH74" i="116"/>
  <c r="CG74" i="116"/>
  <c r="CF74" i="116"/>
  <c r="CE74" i="116"/>
  <c r="BX74" i="116"/>
  <c r="AT2" i="117"/>
  <c r="BX11" i="116"/>
  <c r="CH11" i="116"/>
  <c r="CG11" i="116"/>
  <c r="CF11" i="116"/>
  <c r="CI11" i="116"/>
  <c r="CE11" i="116"/>
  <c r="CI76" i="116"/>
  <c r="CE76" i="116" s="1"/>
  <c r="CH76" i="116"/>
  <c r="CG76" i="116"/>
  <c r="CF76" i="116"/>
  <c r="BX76" i="116"/>
  <c r="CF38" i="116"/>
  <c r="BX38" i="116"/>
  <c r="CH38" i="116"/>
  <c r="CG38" i="116"/>
  <c r="CI38" i="116"/>
  <c r="CE38" i="116" s="1"/>
  <c r="CI78" i="116"/>
  <c r="CH78" i="116"/>
  <c r="CG78" i="116"/>
  <c r="CF78" i="116"/>
  <c r="CE78" i="116"/>
  <c r="BX78" i="116"/>
  <c r="CF24" i="116"/>
  <c r="BX24" i="116"/>
  <c r="CH24" i="116"/>
  <c r="CG24" i="116"/>
  <c r="CI24" i="116"/>
  <c r="CI52" i="116"/>
  <c r="CH52" i="116"/>
  <c r="CG52" i="116"/>
  <c r="CF52" i="116"/>
  <c r="BX52" i="116"/>
  <c r="CI84" i="116"/>
  <c r="CH84" i="116"/>
  <c r="CG84" i="116"/>
  <c r="CF84" i="116"/>
  <c r="CE84" i="116"/>
  <c r="BX84" i="116"/>
  <c r="BX27" i="116"/>
  <c r="CI27" i="116"/>
  <c r="CH27" i="116"/>
  <c r="CF27" i="116"/>
  <c r="CG27" i="116"/>
  <c r="CI69" i="116"/>
  <c r="CH69" i="116"/>
  <c r="CG69" i="116"/>
  <c r="CF69" i="116"/>
  <c r="BX69" i="116"/>
  <c r="CG94" i="116"/>
  <c r="CF94" i="116"/>
  <c r="CE94" i="116"/>
  <c r="CI94" i="116"/>
  <c r="CH94" i="116"/>
  <c r="BX94" i="116"/>
  <c r="CI15" i="116"/>
  <c r="CH15" i="116"/>
  <c r="CG15" i="116"/>
  <c r="CF15" i="116"/>
  <c r="CE15" i="116"/>
  <c r="BX15" i="116"/>
  <c r="CI54" i="116"/>
  <c r="CE54" i="116" s="1"/>
  <c r="CH54" i="116"/>
  <c r="CG54" i="116"/>
  <c r="CF54" i="116"/>
  <c r="BX54" i="116"/>
  <c r="CI86" i="116"/>
  <c r="CE86" i="116" s="1"/>
  <c r="CH86" i="116"/>
  <c r="CG86" i="116"/>
  <c r="CF86" i="116"/>
  <c r="BX86" i="116"/>
  <c r="BX21" i="116"/>
  <c r="CI21" i="116"/>
  <c r="CH21" i="116"/>
  <c r="CG21" i="116"/>
  <c r="CF21" i="116"/>
  <c r="CI71" i="116"/>
  <c r="CE71" i="116" s="1"/>
  <c r="CH71" i="116"/>
  <c r="CG71" i="116"/>
  <c r="CF71" i="116"/>
  <c r="BX71" i="116"/>
  <c r="CI28" i="116"/>
  <c r="CE28" i="116" s="1"/>
  <c r="CH28" i="116"/>
  <c r="CG28" i="116"/>
  <c r="CF28" i="116"/>
  <c r="BX28" i="116"/>
  <c r="CI56" i="116"/>
  <c r="CH56" i="116"/>
  <c r="CG56" i="116"/>
  <c r="CF56" i="116"/>
  <c r="BX56" i="116"/>
  <c r="BX40" i="116"/>
  <c r="CI40" i="116"/>
  <c r="CE40" i="116" s="1"/>
  <c r="CH40" i="116"/>
  <c r="CF40" i="116"/>
  <c r="CG40" i="116"/>
  <c r="BX33" i="116"/>
  <c r="CI33" i="116"/>
  <c r="CE33" i="116" s="1"/>
  <c r="CH33" i="116"/>
  <c r="CG33" i="116"/>
  <c r="CF33" i="116"/>
  <c r="CI73" i="116"/>
  <c r="CE73" i="116" s="1"/>
  <c r="CH73" i="116"/>
  <c r="CG73" i="116"/>
  <c r="CF73" i="116"/>
  <c r="BX73" i="116"/>
  <c r="CG96" i="116"/>
  <c r="CF96" i="116"/>
  <c r="CI96" i="116"/>
  <c r="CE96" i="116" s="1"/>
  <c r="CH96" i="116"/>
  <c r="BX96" i="116"/>
  <c r="CT133" i="20"/>
  <c r="CV133" i="20"/>
  <c r="EH23" i="20"/>
  <c r="EG23" i="20"/>
  <c r="BP11" i="116"/>
  <c r="BQ11" i="116"/>
  <c r="BR11" i="116"/>
  <c r="EL48" i="20"/>
  <c r="EM48" i="20"/>
  <c r="AJ43" i="40"/>
  <c r="E23" i="40"/>
  <c r="DE41" i="116"/>
  <c r="CT141" i="20"/>
  <c r="CV141" i="20"/>
  <c r="B63" i="52"/>
  <c r="E63" i="52" s="1"/>
  <c r="G63" i="52" s="1"/>
  <c r="I63" i="52" s="1"/>
  <c r="D62" i="52"/>
  <c r="F62" i="52" s="1"/>
  <c r="H62" i="52" s="1"/>
  <c r="J62" i="52" s="1"/>
  <c r="C63" i="52" s="1"/>
  <c r="DS35" i="116"/>
  <c r="DR35" i="116"/>
  <c r="DT35" i="116" s="1"/>
  <c r="CX173" i="20"/>
  <c r="CW173" i="20"/>
  <c r="EL55" i="20"/>
  <c r="EM55" i="20"/>
  <c r="B32" i="46"/>
  <c r="D31" i="46"/>
  <c r="F31" i="46" s="1"/>
  <c r="H31" i="46" s="1"/>
  <c r="W29" i="117"/>
  <c r="W14" i="117"/>
  <c r="CS99" i="20"/>
  <c r="CT99" i="20" s="1"/>
  <c r="CR99" i="20"/>
  <c r="EG15" i="20"/>
  <c r="EH15" i="20"/>
  <c r="DS51" i="116"/>
  <c r="DR51" i="116"/>
  <c r="DT51" i="116" s="1"/>
  <c r="DG102" i="116"/>
  <c r="DH102" i="116" s="1"/>
  <c r="DF102" i="116"/>
  <c r="EM12" i="20"/>
  <c r="EL12" i="20"/>
  <c r="DF57" i="116"/>
  <c r="DG57" i="116"/>
  <c r="DH57" i="116" s="1"/>
  <c r="DF62" i="116"/>
  <c r="DG62" i="116"/>
  <c r="DH62" i="116" s="1"/>
  <c r="EM19" i="20"/>
  <c r="EL19" i="20"/>
  <c r="CS61" i="20"/>
  <c r="CT61" i="20" s="1"/>
  <c r="CR61" i="20"/>
  <c r="DS95" i="116"/>
  <c r="DR95" i="116"/>
  <c r="D18" i="52"/>
  <c r="F18" i="52" s="1"/>
  <c r="H18" i="52" s="1"/>
  <c r="J18" i="52" s="1"/>
  <c r="C19" i="52" s="1"/>
  <c r="B19" i="52"/>
  <c r="E19" i="52" s="1"/>
  <c r="G19" i="52" s="1"/>
  <c r="I19" i="52" s="1"/>
  <c r="EH21" i="20"/>
  <c r="EG21" i="20"/>
  <c r="CT175" i="20"/>
  <c r="CV175" i="20"/>
  <c r="CX155" i="20"/>
  <c r="CW155" i="20"/>
  <c r="DG32" i="116"/>
  <c r="DH32" i="116" s="1"/>
  <c r="DF32" i="116"/>
  <c r="DF75" i="116"/>
  <c r="DG75" i="116"/>
  <c r="DH75" i="116" s="1"/>
  <c r="CA5" i="117"/>
  <c r="CX37" i="116"/>
  <c r="CT37" i="116" s="1"/>
  <c r="CW37" i="116"/>
  <c r="CV37" i="116"/>
  <c r="CU37" i="116"/>
  <c r="CM37" i="116"/>
  <c r="CV40" i="116"/>
  <c r="CU40" i="116"/>
  <c r="CX40" i="116"/>
  <c r="CW40" i="116"/>
  <c r="CM40" i="116"/>
  <c r="CM33" i="116"/>
  <c r="CW33" i="116"/>
  <c r="CV33" i="116"/>
  <c r="CU33" i="116"/>
  <c r="CX33" i="116"/>
  <c r="CT33" i="116" s="1"/>
  <c r="CX103" i="116"/>
  <c r="CW103" i="116"/>
  <c r="CV103" i="116"/>
  <c r="CU103" i="116"/>
  <c r="CT103" i="116"/>
  <c r="CM103" i="116"/>
  <c r="CX51" i="116"/>
  <c r="CW51" i="116"/>
  <c r="CV51" i="116"/>
  <c r="CU51" i="116"/>
  <c r="CM51" i="116"/>
  <c r="CX67" i="116"/>
  <c r="CT67" i="116" s="1"/>
  <c r="CW67" i="116"/>
  <c r="CV67" i="116"/>
  <c r="CU67" i="116"/>
  <c r="CM67" i="116"/>
  <c r="CX83" i="116"/>
  <c r="CW83" i="116"/>
  <c r="CV83" i="116"/>
  <c r="CU83" i="116"/>
  <c r="CT83" i="116"/>
  <c r="CM83" i="116"/>
  <c r="DS91" i="116"/>
  <c r="DR91" i="116"/>
  <c r="DT91" i="116" s="1"/>
  <c r="CT161" i="20"/>
  <c r="CV161" i="20"/>
  <c r="EL93" i="20"/>
  <c r="EM93" i="20"/>
  <c r="EH75" i="20"/>
  <c r="EG75" i="20"/>
  <c r="EM14" i="20"/>
  <c r="EL14" i="20"/>
  <c r="CX171" i="20"/>
  <c r="CW171" i="20"/>
  <c r="DS56" i="116"/>
  <c r="DR56" i="116"/>
  <c r="DG27" i="116"/>
  <c r="DH27" i="116" s="1"/>
  <c r="DF27" i="116"/>
  <c r="DH222" i="20"/>
  <c r="DJ222" i="20"/>
  <c r="EM49" i="20"/>
  <c r="EL49" i="20"/>
  <c r="CT186" i="20"/>
  <c r="CV186" i="20"/>
  <c r="DS53" i="116"/>
  <c r="DR53" i="116"/>
  <c r="DR24" i="116"/>
  <c r="DS24" i="116"/>
  <c r="DF15" i="116"/>
  <c r="DG15" i="116"/>
  <c r="DH15" i="116" s="1"/>
  <c r="DG100" i="116"/>
  <c r="DH100" i="116" s="1"/>
  <c r="DF100" i="116"/>
  <c r="DS82" i="116"/>
  <c r="DR82" i="116"/>
  <c r="CS86" i="20"/>
  <c r="CT86" i="20" s="1"/>
  <c r="CR86" i="20"/>
  <c r="DF56" i="116"/>
  <c r="DG56" i="116"/>
  <c r="DH56" i="116" s="1"/>
  <c r="DF38" i="116"/>
  <c r="DG38" i="116"/>
  <c r="DH38" i="116" s="1"/>
  <c r="DS96" i="116"/>
  <c r="DR96" i="116"/>
  <c r="DK184" i="20"/>
  <c r="DL184" i="20"/>
  <c r="DS17" i="116"/>
  <c r="DR17" i="116"/>
  <c r="EI41" i="20"/>
  <c r="EK41" i="20"/>
  <c r="DS16" i="116"/>
  <c r="DR16" i="116"/>
  <c r="DS92" i="116"/>
  <c r="DR92" i="116"/>
  <c r="DT92" i="116" s="1"/>
  <c r="CR117" i="20"/>
  <c r="CS117" i="20"/>
  <c r="CT117" i="20" s="1"/>
  <c r="EH31" i="20"/>
  <c r="EG31" i="20"/>
  <c r="BE2" i="117"/>
  <c r="CM11" i="116"/>
  <c r="CX11" i="116"/>
  <c r="CV11" i="116"/>
  <c r="CU11" i="116"/>
  <c r="CW11" i="116"/>
  <c r="CV41" i="116"/>
  <c r="CU41" i="116"/>
  <c r="CX41" i="116"/>
  <c r="CW41" i="116"/>
  <c r="CM41" i="116"/>
  <c r="CM34" i="116"/>
  <c r="CX34" i="116"/>
  <c r="CT34" i="116" s="1"/>
  <c r="CV34" i="116"/>
  <c r="CU34" i="116"/>
  <c r="CW34" i="116"/>
  <c r="CX105" i="116"/>
  <c r="CW105" i="116"/>
  <c r="CV105" i="116"/>
  <c r="CU105" i="116"/>
  <c r="CM105" i="116"/>
  <c r="CX52" i="116"/>
  <c r="CT52" i="116" s="1"/>
  <c r="CW52" i="116"/>
  <c r="CV52" i="116"/>
  <c r="CU52" i="116"/>
  <c r="CM52" i="116"/>
  <c r="CX68" i="116"/>
  <c r="CT68" i="116" s="1"/>
  <c r="CW68" i="116"/>
  <c r="CV68" i="116"/>
  <c r="CU68" i="116"/>
  <c r="CM68" i="116"/>
  <c r="CX84" i="116"/>
  <c r="CW84" i="116"/>
  <c r="CV84" i="116"/>
  <c r="CU84" i="116"/>
  <c r="CM84" i="116"/>
  <c r="EH62" i="20"/>
  <c r="EG62" i="20"/>
  <c r="B13" i="50"/>
  <c r="E13" i="50" s="1"/>
  <c r="D12" i="50"/>
  <c r="EL51" i="20"/>
  <c r="EM51" i="20"/>
  <c r="CI81" i="116"/>
  <c r="CE81" i="116" s="1"/>
  <c r="CH81" i="116"/>
  <c r="CG81" i="116"/>
  <c r="CF81" i="116"/>
  <c r="BX81" i="116"/>
  <c r="CF39" i="116"/>
  <c r="BX39" i="116"/>
  <c r="CH39" i="116"/>
  <c r="CG39" i="116"/>
  <c r="CI39" i="116"/>
  <c r="CI72" i="116"/>
  <c r="CE72" i="116" s="1"/>
  <c r="CH72" i="116"/>
  <c r="CG72" i="116"/>
  <c r="CF72" i="116"/>
  <c r="BX72" i="116"/>
  <c r="CI57" i="116"/>
  <c r="CH57" i="116"/>
  <c r="CG57" i="116"/>
  <c r="CF57" i="116"/>
  <c r="BX57" i="116"/>
  <c r="CG20" i="116"/>
  <c r="CF20" i="116"/>
  <c r="CE20" i="116"/>
  <c r="CI20" i="116"/>
  <c r="CH20" i="116"/>
  <c r="BX20" i="116"/>
  <c r="BX49" i="116"/>
  <c r="CI49" i="116"/>
  <c r="CE49" i="116" s="1"/>
  <c r="CH49" i="116"/>
  <c r="CF49" i="116"/>
  <c r="CG49" i="116"/>
  <c r="CG31" i="116"/>
  <c r="CF31" i="116"/>
  <c r="CI31" i="116"/>
  <c r="CH31" i="116"/>
  <c r="BX31" i="116"/>
  <c r="BX50" i="116"/>
  <c r="CI50" i="116"/>
  <c r="CE50" i="116" s="1"/>
  <c r="CH50" i="116"/>
  <c r="CF50" i="116"/>
  <c r="CG50" i="116"/>
  <c r="CG37" i="116"/>
  <c r="CF37" i="116"/>
  <c r="CE37" i="116"/>
  <c r="CI37" i="116"/>
  <c r="CH37" i="116"/>
  <c r="BX37" i="116"/>
  <c r="CI63" i="116"/>
  <c r="CE63" i="116" s="1"/>
  <c r="CH63" i="116"/>
  <c r="CG63" i="116"/>
  <c r="CF63" i="116"/>
  <c r="BX63" i="116"/>
  <c r="EH39" i="20"/>
  <c r="EG39" i="20"/>
  <c r="CI29" i="116"/>
  <c r="CE29" i="116" s="1"/>
  <c r="CH29" i="116"/>
  <c r="CG29" i="116"/>
  <c r="CF29" i="116"/>
  <c r="BX29" i="116"/>
  <c r="CI58" i="116"/>
  <c r="CH58" i="116"/>
  <c r="CG58" i="116"/>
  <c r="CF58" i="116"/>
  <c r="BX58" i="116"/>
  <c r="BX41" i="116"/>
  <c r="CI41" i="116"/>
  <c r="CE41" i="116" s="1"/>
  <c r="CH41" i="116"/>
  <c r="CF41" i="116"/>
  <c r="CG41" i="116"/>
  <c r="BX34" i="116"/>
  <c r="CI34" i="116"/>
  <c r="CE34" i="116" s="1"/>
  <c r="CH34" i="116"/>
  <c r="CG34" i="116"/>
  <c r="CF34" i="116"/>
  <c r="CI75" i="116"/>
  <c r="CH75" i="116"/>
  <c r="CG75" i="116"/>
  <c r="CF75" i="116"/>
  <c r="CE75" i="116"/>
  <c r="BX75" i="116"/>
  <c r="CG97" i="116"/>
  <c r="CF97" i="116"/>
  <c r="CI97" i="116"/>
  <c r="CH97" i="116"/>
  <c r="BX97" i="116"/>
  <c r="A14" i="117"/>
  <c r="A29" i="117"/>
  <c r="CI22" i="116"/>
  <c r="CH22" i="116"/>
  <c r="CG22" i="116"/>
  <c r="CF22" i="116"/>
  <c r="BX22" i="116"/>
  <c r="CI60" i="116"/>
  <c r="CE60" i="116" s="1"/>
  <c r="CH60" i="116"/>
  <c r="CG60" i="116"/>
  <c r="CF60" i="116"/>
  <c r="BX60" i="116"/>
  <c r="BX42" i="116"/>
  <c r="CI42" i="116"/>
  <c r="CE42" i="116" s="1"/>
  <c r="CH42" i="116"/>
  <c r="CF42" i="116"/>
  <c r="CG42" i="116"/>
  <c r="BX35" i="116"/>
  <c r="CI35" i="116"/>
  <c r="CE35" i="116" s="1"/>
  <c r="CH35" i="116"/>
  <c r="CG35" i="116"/>
  <c r="CF35" i="116"/>
  <c r="CI77" i="116"/>
  <c r="CE77" i="116" s="1"/>
  <c r="CH77" i="116"/>
  <c r="CG77" i="116"/>
  <c r="CF77" i="116"/>
  <c r="BX77" i="116"/>
  <c r="CG98" i="116"/>
  <c r="CF98" i="116"/>
  <c r="CI98" i="116"/>
  <c r="CH98" i="116"/>
  <c r="BX98" i="116"/>
  <c r="CT137" i="20"/>
  <c r="CV137" i="20"/>
  <c r="DR40" i="116"/>
  <c r="DS40" i="116"/>
  <c r="DE97" i="116"/>
  <c r="DF84" i="116"/>
  <c r="DG84" i="116"/>
  <c r="DH84" i="116" s="1"/>
  <c r="CR123" i="20"/>
  <c r="CS123" i="20"/>
  <c r="CT123" i="20" s="1"/>
  <c r="DG21" i="116"/>
  <c r="DH21" i="116" s="1"/>
  <c r="DF21" i="116"/>
  <c r="DG98" i="116"/>
  <c r="DH98" i="116" s="1"/>
  <c r="DF98" i="116"/>
  <c r="AH20" i="117"/>
  <c r="AP39" i="117"/>
  <c r="AH23" i="117"/>
  <c r="AP38" i="117"/>
  <c r="AH26" i="117"/>
  <c r="AO38" i="117"/>
  <c r="DS14" i="116"/>
  <c r="DR14" i="116"/>
  <c r="CR121" i="20"/>
  <c r="CS121" i="20"/>
  <c r="CT121" i="20" s="1"/>
  <c r="EM102" i="20"/>
  <c r="EL102" i="20"/>
  <c r="DL218" i="20"/>
  <c r="DK218" i="20"/>
  <c r="DK204" i="20"/>
  <c r="DL204" i="20"/>
  <c r="CR113" i="20"/>
  <c r="CS113" i="20"/>
  <c r="CT113" i="20" s="1"/>
  <c r="CS30" i="20"/>
  <c r="CT30" i="20" s="1"/>
  <c r="CR30" i="20"/>
  <c r="EL104" i="20"/>
  <c r="EM104" i="20"/>
  <c r="CT163" i="20"/>
  <c r="CV163" i="20"/>
  <c r="DG109" i="116"/>
  <c r="DH109" i="116" s="1"/>
  <c r="DF109" i="116"/>
  <c r="DS25" i="116"/>
  <c r="DR25" i="116"/>
  <c r="DT25" i="116" s="1"/>
  <c r="CS114" i="20"/>
  <c r="CT114" i="20" s="1"/>
  <c r="CR114" i="20"/>
  <c r="DH155" i="20"/>
  <c r="DJ155" i="20"/>
  <c r="EM26" i="20"/>
  <c r="EL26" i="20"/>
  <c r="CM12" i="116"/>
  <c r="CX12" i="116"/>
  <c r="CW12" i="116"/>
  <c r="CU12" i="116"/>
  <c r="CV12" i="116"/>
  <c r="CV42" i="116"/>
  <c r="CU42" i="116"/>
  <c r="CX42" i="116"/>
  <c r="CW42" i="116"/>
  <c r="CM42" i="116"/>
  <c r="CM35" i="116"/>
  <c r="CX35" i="116"/>
  <c r="CV35" i="116"/>
  <c r="CU35" i="116"/>
  <c r="CW35" i="116"/>
  <c r="CX107" i="116"/>
  <c r="CW107" i="116"/>
  <c r="CV107" i="116"/>
  <c r="CU107" i="116"/>
  <c r="CM107" i="116"/>
  <c r="CX53" i="116"/>
  <c r="CT53" i="116" s="1"/>
  <c r="CW53" i="116"/>
  <c r="CV53" i="116"/>
  <c r="CU53" i="116"/>
  <c r="CM53" i="116"/>
  <c r="CX69" i="116"/>
  <c r="CT69" i="116" s="1"/>
  <c r="CW69" i="116"/>
  <c r="CV69" i="116"/>
  <c r="CU69" i="116"/>
  <c r="CM69" i="116"/>
  <c r="CX85" i="116"/>
  <c r="CW85" i="116"/>
  <c r="CV85" i="116"/>
  <c r="CU85" i="116"/>
  <c r="CT85" i="116"/>
  <c r="CM85" i="116"/>
  <c r="DG11" i="116"/>
  <c r="DH11" i="116" s="1"/>
  <c r="DF11" i="116"/>
  <c r="EG56" i="20"/>
  <c r="EH56" i="20"/>
  <c r="B25" i="48"/>
  <c r="D24" i="48"/>
  <c r="F24" i="48" s="1"/>
  <c r="H24" i="48" s="1"/>
  <c r="J24" i="48" s="1"/>
  <c r="C25" i="48" s="1"/>
  <c r="CH23" i="116"/>
  <c r="CG23" i="116"/>
  <c r="CF23" i="116"/>
  <c r="BX23" i="116"/>
  <c r="CI23" i="116"/>
  <c r="CI62" i="116"/>
  <c r="CH62" i="116"/>
  <c r="CG62" i="116"/>
  <c r="CF62" i="116"/>
  <c r="CE62" i="116"/>
  <c r="BX62" i="116"/>
  <c r="BX43" i="116"/>
  <c r="CI43" i="116"/>
  <c r="CE43" i="116" s="1"/>
  <c r="CH43" i="116"/>
  <c r="CF43" i="116"/>
  <c r="CG43" i="116"/>
  <c r="CI79" i="116"/>
  <c r="CH79" i="116"/>
  <c r="CG79" i="116"/>
  <c r="CF79" i="116"/>
  <c r="CE79" i="116"/>
  <c r="BX79" i="116"/>
  <c r="CG99" i="116"/>
  <c r="CF99" i="116"/>
  <c r="CI99" i="116"/>
  <c r="CE99" i="116" s="1"/>
  <c r="CH99" i="116"/>
  <c r="BX99" i="116"/>
  <c r="DS73" i="116"/>
  <c r="DR73" i="116"/>
  <c r="CT143" i="20"/>
  <c r="CV143" i="20"/>
  <c r="DE60" i="116"/>
  <c r="DE67" i="116"/>
  <c r="DE48" i="116"/>
  <c r="CT205" i="20"/>
  <c r="CV205" i="20"/>
  <c r="EG64" i="20"/>
  <c r="EH64" i="20"/>
  <c r="DS71" i="116"/>
  <c r="DR71" i="116"/>
  <c r="CS112" i="20"/>
  <c r="CT112" i="20" s="1"/>
  <c r="CR112" i="20"/>
  <c r="DS70" i="116"/>
  <c r="DR70" i="116"/>
  <c r="DX35" i="116"/>
  <c r="EM89" i="20"/>
  <c r="EL89" i="20"/>
  <c r="EM76" i="20"/>
  <c r="EL76" i="20"/>
  <c r="CX202" i="20"/>
  <c r="CW202" i="20"/>
  <c r="CS68" i="20"/>
  <c r="CT68" i="20" s="1"/>
  <c r="CR68" i="20"/>
  <c r="DK133" i="20"/>
  <c r="DL133" i="20"/>
  <c r="DE17" i="20"/>
  <c r="DD17" i="20"/>
  <c r="DI16" i="20" s="1"/>
  <c r="J22" i="20" s="1"/>
  <c r="DS31" i="116"/>
  <c r="DR31" i="116"/>
  <c r="DL228" i="20"/>
  <c r="DK228" i="20"/>
  <c r="DF54" i="116"/>
  <c r="DG54" i="116"/>
  <c r="DH54" i="116" s="1"/>
  <c r="CS85" i="20"/>
  <c r="CT85" i="20" s="1"/>
  <c r="CR85" i="20"/>
  <c r="DS81" i="116"/>
  <c r="DR81" i="116"/>
  <c r="CT225" i="20"/>
  <c r="CV225" i="20"/>
  <c r="DH143" i="20"/>
  <c r="DJ143" i="20"/>
  <c r="EH34" i="20"/>
  <c r="EG34" i="20"/>
  <c r="DS110" i="116"/>
  <c r="DR110" i="116"/>
  <c r="CV179" i="20"/>
  <c r="CT179" i="20"/>
  <c r="DF68" i="116"/>
  <c r="DG68" i="116"/>
  <c r="DH68" i="116" s="1"/>
  <c r="DS109" i="116"/>
  <c r="DR109" i="116"/>
  <c r="DF52" i="116"/>
  <c r="DG52" i="116"/>
  <c r="DH52" i="116" s="1"/>
  <c r="EG18" i="20"/>
  <c r="EH18" i="20"/>
  <c r="CX147" i="20"/>
  <c r="CW147" i="20"/>
  <c r="CM13" i="116"/>
  <c r="CX13" i="116"/>
  <c r="CT13" i="116" s="1"/>
  <c r="CW13" i="116"/>
  <c r="CU13" i="116"/>
  <c r="CV13" i="116"/>
  <c r="CV43" i="116"/>
  <c r="CU43" i="116"/>
  <c r="CT43" i="116"/>
  <c r="CX43" i="116"/>
  <c r="CW43" i="116"/>
  <c r="CM43" i="116"/>
  <c r="CM36" i="116"/>
  <c r="CX36" i="116"/>
  <c r="CW36" i="116"/>
  <c r="CU36" i="116"/>
  <c r="CT36" i="116"/>
  <c r="CV36" i="116"/>
  <c r="CX109" i="116"/>
  <c r="CT109" i="116" s="1"/>
  <c r="CW109" i="116"/>
  <c r="CV109" i="116"/>
  <c r="CU109" i="116"/>
  <c r="CM109" i="116"/>
  <c r="CX54" i="116"/>
  <c r="CW54" i="116"/>
  <c r="CV54" i="116"/>
  <c r="CU54" i="116"/>
  <c r="CT54" i="116"/>
  <c r="CM54" i="116"/>
  <c r="CX70" i="116"/>
  <c r="CW70" i="116"/>
  <c r="CV70" i="116"/>
  <c r="CU70" i="116"/>
  <c r="CM70" i="116"/>
  <c r="CX86" i="116"/>
  <c r="CT86" i="116" s="1"/>
  <c r="CW86" i="116"/>
  <c r="CV86" i="116"/>
  <c r="CU86" i="116"/>
  <c r="CM86" i="116"/>
  <c r="DL180" i="20"/>
  <c r="DK180" i="20"/>
  <c r="DH202" i="20"/>
  <c r="DJ202" i="20"/>
  <c r="EG60" i="20"/>
  <c r="EH60" i="20"/>
  <c r="DS74" i="116"/>
  <c r="DR74" i="116"/>
  <c r="EH66" i="20"/>
  <c r="EG66" i="20"/>
  <c r="CG100" i="116"/>
  <c r="CF100" i="116"/>
  <c r="CI100" i="116"/>
  <c r="CH100" i="116"/>
  <c r="BX100" i="116"/>
  <c r="DL198" i="20"/>
  <c r="DK198" i="20"/>
  <c r="DS29" i="116"/>
  <c r="DR29" i="116"/>
  <c r="DF28" i="116"/>
  <c r="DG28" i="116"/>
  <c r="DH28" i="116" s="1"/>
  <c r="DG50" i="116"/>
  <c r="DH50" i="116" s="1"/>
  <c r="DF50" i="116"/>
  <c r="EM100" i="20"/>
  <c r="EL100" i="20"/>
  <c r="DS15" i="116"/>
  <c r="DR15" i="116"/>
  <c r="DG99" i="116"/>
  <c r="DH99" i="116" s="1"/>
  <c r="DF99" i="116"/>
  <c r="EH29" i="20"/>
  <c r="EG29" i="20"/>
  <c r="DH151" i="20"/>
  <c r="DJ151" i="20"/>
  <c r="DG34" i="116"/>
  <c r="DH34" i="116" s="1"/>
  <c r="DF34" i="116"/>
  <c r="DL169" i="20"/>
  <c r="DK169" i="20"/>
  <c r="EH20" i="20"/>
  <c r="EG20" i="20"/>
  <c r="DS83" i="116"/>
  <c r="DR83" i="116"/>
  <c r="DT83" i="116" s="1"/>
  <c r="CT218" i="20"/>
  <c r="CV218" i="20"/>
  <c r="DF24" i="116"/>
  <c r="DG24" i="116"/>
  <c r="DH24" i="116" s="1"/>
  <c r="BP12" i="116"/>
  <c r="BR12" i="116"/>
  <c r="BQ12" i="116"/>
  <c r="DG20" i="116"/>
  <c r="DH20" i="116" s="1"/>
  <c r="DF20" i="116"/>
  <c r="DK165" i="20"/>
  <c r="DL165" i="20"/>
  <c r="CX177" i="20"/>
  <c r="CW177" i="20"/>
  <c r="DH209" i="20"/>
  <c r="DJ209" i="20"/>
  <c r="CT165" i="20"/>
  <c r="CV165" i="20"/>
  <c r="DG47" i="116"/>
  <c r="DH47" i="116" s="1"/>
  <c r="DF47" i="116"/>
  <c r="DK145" i="20"/>
  <c r="DL145" i="20"/>
  <c r="DH194" i="20"/>
  <c r="DJ194" i="20"/>
  <c r="EM58" i="20"/>
  <c r="EL58" i="20"/>
  <c r="DH207" i="20"/>
  <c r="DJ207" i="20"/>
  <c r="DG30" i="116"/>
  <c r="DH30" i="116" s="1"/>
  <c r="DF30" i="116"/>
  <c r="DG103" i="116"/>
  <c r="DH103" i="116" s="1"/>
  <c r="DF103" i="116"/>
  <c r="DE73" i="116"/>
  <c r="CX16" i="116"/>
  <c r="CT16" i="116" s="1"/>
  <c r="CW16" i="116"/>
  <c r="CV16" i="116"/>
  <c r="CU16" i="116"/>
  <c r="CM16" i="116"/>
  <c r="CV44" i="116"/>
  <c r="CU44" i="116"/>
  <c r="CX44" i="116"/>
  <c r="CW44" i="116"/>
  <c r="CM44" i="116"/>
  <c r="CM15" i="116"/>
  <c r="CX15" i="116"/>
  <c r="CW15" i="116"/>
  <c r="CV15" i="116"/>
  <c r="CT15" i="116"/>
  <c r="CU15" i="116"/>
  <c r="CX88" i="116"/>
  <c r="CW88" i="116"/>
  <c r="CV88" i="116"/>
  <c r="CU88" i="116"/>
  <c r="CM88" i="116"/>
  <c r="CX55" i="116"/>
  <c r="CT55" i="116" s="1"/>
  <c r="CW55" i="116"/>
  <c r="CV55" i="116"/>
  <c r="CU55" i="116"/>
  <c r="CM55" i="116"/>
  <c r="CX71" i="116"/>
  <c r="CT71" i="116" s="1"/>
  <c r="CW71" i="116"/>
  <c r="CV71" i="116"/>
  <c r="CU71" i="116"/>
  <c r="CM71" i="116"/>
  <c r="CX87" i="116"/>
  <c r="CW87" i="116"/>
  <c r="CV87" i="116"/>
  <c r="CU87" i="116"/>
  <c r="CM87" i="116"/>
  <c r="CR70" i="20"/>
  <c r="CS70" i="20"/>
  <c r="CT70" i="20" s="1"/>
  <c r="DG95" i="116"/>
  <c r="DH95" i="116" s="1"/>
  <c r="DF95" i="116"/>
  <c r="DG46" i="116"/>
  <c r="DH46" i="116" s="1"/>
  <c r="DF46" i="116"/>
  <c r="DG104" i="116"/>
  <c r="DH104" i="116" s="1"/>
  <c r="DF104" i="116"/>
  <c r="CG101" i="116"/>
  <c r="CF101" i="116"/>
  <c r="CI101" i="116"/>
  <c r="CH101" i="116"/>
  <c r="BX101" i="116"/>
  <c r="DX29" i="116"/>
  <c r="DL175" i="20"/>
  <c r="DK175" i="20"/>
  <c r="DS88" i="116"/>
  <c r="DR88" i="116"/>
  <c r="DT88" i="116" s="1"/>
  <c r="DG36" i="116"/>
  <c r="DH36" i="116" s="1"/>
  <c r="DF36" i="116"/>
  <c r="CS65" i="20"/>
  <c r="CT65" i="20" s="1"/>
  <c r="CR65" i="20"/>
  <c r="CT192" i="20"/>
  <c r="CV192" i="20"/>
  <c r="DX15" i="116"/>
  <c r="EH70" i="20"/>
  <c r="EG70" i="20"/>
  <c r="DH161" i="20"/>
  <c r="DJ161" i="20"/>
  <c r="EM106" i="20"/>
  <c r="EL106" i="20"/>
  <c r="EH33" i="20"/>
  <c r="EG33" i="20"/>
  <c r="DS85" i="116"/>
  <c r="DR85" i="116"/>
  <c r="B29" i="50"/>
  <c r="E29" i="50" s="1"/>
  <c r="D28" i="50"/>
  <c r="DS68" i="116"/>
  <c r="DR68" i="116"/>
  <c r="DX14" i="116"/>
  <c r="EM42" i="20"/>
  <c r="EL42" i="20"/>
  <c r="CR66" i="20"/>
  <c r="CS66" i="20"/>
  <c r="CT66" i="20" s="1"/>
  <c r="EH17" i="20"/>
  <c r="EG17" i="20"/>
  <c r="DS21" i="116"/>
  <c r="DR21" i="116"/>
  <c r="DE83" i="116"/>
  <c r="EM27" i="20"/>
  <c r="EL27" i="20"/>
  <c r="DS20" i="116"/>
  <c r="DR20" i="116"/>
  <c r="DE82" i="116"/>
  <c r="EL24" i="20"/>
  <c r="EM24" i="20"/>
  <c r="EG65" i="20"/>
  <c r="EH65" i="20"/>
  <c r="DE77" i="116"/>
  <c r="EM46" i="20"/>
  <c r="EL46" i="20"/>
  <c r="EH63" i="20"/>
  <c r="EG63" i="20"/>
  <c r="EG73" i="20"/>
  <c r="EH73" i="20"/>
  <c r="DS62" i="116"/>
  <c r="DR62" i="116"/>
  <c r="DL214" i="20"/>
  <c r="DK214" i="20"/>
  <c r="DS61" i="116"/>
  <c r="DR61" i="116"/>
  <c r="DS36" i="116"/>
  <c r="DR36" i="116"/>
  <c r="DT36" i="116" s="1"/>
  <c r="EH43" i="20"/>
  <c r="EG43" i="20"/>
  <c r="CX18" i="116"/>
  <c r="CT18" i="116" s="1"/>
  <c r="CW18" i="116"/>
  <c r="CV18" i="116"/>
  <c r="CU18" i="116"/>
  <c r="CM18" i="116"/>
  <c r="CV45" i="116"/>
  <c r="CU45" i="116"/>
  <c r="CX45" i="116"/>
  <c r="CT45" i="116" s="1"/>
  <c r="CW45" i="116"/>
  <c r="CM45" i="116"/>
  <c r="CM28" i="116"/>
  <c r="CX28" i="116"/>
  <c r="CT28" i="116" s="1"/>
  <c r="CW28" i="116"/>
  <c r="CV28" i="116"/>
  <c r="CU28" i="116"/>
  <c r="CX90" i="116"/>
  <c r="CW90" i="116"/>
  <c r="CV90" i="116"/>
  <c r="CU90" i="116"/>
  <c r="CM90" i="116"/>
  <c r="CX56" i="116"/>
  <c r="CW56" i="116"/>
  <c r="CV56" i="116"/>
  <c r="CU56" i="116"/>
  <c r="CM56" i="116"/>
  <c r="CX72" i="116"/>
  <c r="CW72" i="116"/>
  <c r="CV72" i="116"/>
  <c r="CU72" i="116"/>
  <c r="CT72" i="116"/>
  <c r="CM72" i="116"/>
  <c r="EM85" i="20"/>
  <c r="EL85" i="20"/>
  <c r="DE101" i="116"/>
  <c r="DK183" i="20"/>
  <c r="DL183" i="20"/>
  <c r="DS22" i="116"/>
  <c r="DR22" i="116"/>
  <c r="CG102" i="116"/>
  <c r="CF102" i="116"/>
  <c r="CI102" i="116"/>
  <c r="CE102" i="116" s="1"/>
  <c r="CH102" i="116"/>
  <c r="BX102" i="116"/>
  <c r="EI44" i="20"/>
  <c r="EK44" i="20"/>
  <c r="EM57" i="20"/>
  <c r="EL57" i="20"/>
  <c r="EH36" i="20"/>
  <c r="EG36" i="20"/>
  <c r="CX151" i="20"/>
  <c r="CW151" i="20"/>
  <c r="DE17" i="116"/>
  <c r="EL84" i="20"/>
  <c r="EM84" i="20"/>
  <c r="DE79" i="116"/>
  <c r="EM67" i="20"/>
  <c r="EL67" i="20"/>
  <c r="DS37" i="116"/>
  <c r="DR37" i="116"/>
  <c r="I32" i="44"/>
  <c r="E32" i="44"/>
  <c r="G32" i="44" s="1"/>
  <c r="G43" i="52"/>
  <c r="I43" i="52" s="1"/>
  <c r="DX21" i="116"/>
  <c r="EM71" i="20"/>
  <c r="EL71" i="20"/>
  <c r="DR27" i="116"/>
  <c r="DT27" i="116" s="1"/>
  <c r="DS27" i="116"/>
  <c r="EM91" i="20"/>
  <c r="EL91" i="20"/>
  <c r="DE43" i="116"/>
  <c r="DS79" i="116"/>
  <c r="DR79" i="116"/>
  <c r="DR46" i="116"/>
  <c r="DS46" i="116"/>
  <c r="DR45" i="116"/>
  <c r="DS45" i="116"/>
  <c r="DX36" i="116"/>
  <c r="CX139" i="20"/>
  <c r="CW139" i="20"/>
  <c r="CT188" i="20"/>
  <c r="CV188" i="20"/>
  <c r="DL188" i="20"/>
  <c r="DK188" i="20"/>
  <c r="CX145" i="20"/>
  <c r="CW145" i="20"/>
  <c r="CX20" i="116"/>
  <c r="CW20" i="116"/>
  <c r="CV20" i="116"/>
  <c r="CU20" i="116"/>
  <c r="CM20" i="116"/>
  <c r="CV46" i="116"/>
  <c r="CU46" i="116"/>
  <c r="CX46" i="116"/>
  <c r="CW46" i="116"/>
  <c r="CM46" i="116"/>
  <c r="CM29" i="116"/>
  <c r="CX29" i="116"/>
  <c r="CW29" i="116"/>
  <c r="CV29" i="116"/>
  <c r="CT29" i="116"/>
  <c r="CU29" i="116"/>
  <c r="CX92" i="116"/>
  <c r="CW92" i="116"/>
  <c r="CV92" i="116"/>
  <c r="CU92" i="116"/>
  <c r="CM92" i="116"/>
  <c r="CX57" i="116"/>
  <c r="CT57" i="116" s="1"/>
  <c r="CW57" i="116"/>
  <c r="CV57" i="116"/>
  <c r="CU57" i="116"/>
  <c r="CM57" i="116"/>
  <c r="CX73" i="116"/>
  <c r="CT73" i="116" s="1"/>
  <c r="CW73" i="116"/>
  <c r="CV73" i="116"/>
  <c r="CU73" i="116"/>
  <c r="CM73" i="116"/>
  <c r="DF63" i="116"/>
  <c r="DG63" i="116"/>
  <c r="DH63" i="116" s="1"/>
  <c r="DS75" i="116"/>
  <c r="DR75" i="116"/>
  <c r="DT75" i="116" s="1"/>
  <c r="DS12" i="116"/>
  <c r="DR12" i="116"/>
  <c r="BX44" i="116"/>
  <c r="CI44" i="116"/>
  <c r="CE44" i="116" s="1"/>
  <c r="CH44" i="116"/>
  <c r="CF44" i="116"/>
  <c r="CG44" i="116"/>
  <c r="CS118" i="20"/>
  <c r="CT118" i="20" s="1"/>
  <c r="CR118" i="20"/>
  <c r="CG16" i="116"/>
  <c r="CF16" i="116"/>
  <c r="CI16" i="116"/>
  <c r="CH16" i="116"/>
  <c r="BX16" i="116"/>
  <c r="CI66" i="116"/>
  <c r="CE66" i="116" s="1"/>
  <c r="CH66" i="116"/>
  <c r="CG66" i="116"/>
  <c r="CF66" i="116"/>
  <c r="BX66" i="116"/>
  <c r="BX45" i="116"/>
  <c r="CI45" i="116"/>
  <c r="CH45" i="116"/>
  <c r="CF45" i="116"/>
  <c r="CG45" i="116"/>
  <c r="CI51" i="116"/>
  <c r="CH51" i="116"/>
  <c r="CG51" i="116"/>
  <c r="CF51" i="116"/>
  <c r="CE51" i="116"/>
  <c r="BX51" i="116"/>
  <c r="CI83" i="116"/>
  <c r="CH83" i="116"/>
  <c r="CG83" i="116"/>
  <c r="CF83" i="116"/>
  <c r="BX83" i="116"/>
  <c r="CG17" i="116"/>
  <c r="CF17" i="116"/>
  <c r="CI17" i="116"/>
  <c r="CH17" i="116"/>
  <c r="BX17" i="116"/>
  <c r="CI68" i="116"/>
  <c r="CH68" i="116"/>
  <c r="CG68" i="116"/>
  <c r="CF68" i="116"/>
  <c r="CE68" i="116"/>
  <c r="BX68" i="116"/>
  <c r="BX46" i="116"/>
  <c r="CI46" i="116"/>
  <c r="CE46" i="116" s="1"/>
  <c r="CH46" i="116"/>
  <c r="CF46" i="116"/>
  <c r="CG46" i="116"/>
  <c r="CI53" i="116"/>
  <c r="CE53" i="116" s="1"/>
  <c r="CH53" i="116"/>
  <c r="CG53" i="116"/>
  <c r="CF53" i="116"/>
  <c r="BX53" i="116"/>
  <c r="CI85" i="116"/>
  <c r="CH85" i="116"/>
  <c r="CG85" i="116"/>
  <c r="CF85" i="116"/>
  <c r="CE85" i="116"/>
  <c r="BX85" i="116"/>
  <c r="CG18" i="116"/>
  <c r="CF18" i="116"/>
  <c r="CE18" i="116"/>
  <c r="CI18" i="116"/>
  <c r="CH18" i="116"/>
  <c r="BX18" i="116"/>
  <c r="CI70" i="116"/>
  <c r="CH70" i="116"/>
  <c r="CG70" i="116"/>
  <c r="CF70" i="116"/>
  <c r="CE70" i="116"/>
  <c r="BX70" i="116"/>
  <c r="BX47" i="116"/>
  <c r="CI47" i="116"/>
  <c r="CH47" i="116"/>
  <c r="CF47" i="116"/>
  <c r="CE47" i="116"/>
  <c r="CG47" i="116"/>
  <c r="CI55" i="116"/>
  <c r="CH55" i="116"/>
  <c r="CG55" i="116"/>
  <c r="CF55" i="116"/>
  <c r="BX55" i="116"/>
  <c r="CI87" i="116"/>
  <c r="CH87" i="116"/>
  <c r="CG87" i="116"/>
  <c r="CF87" i="116"/>
  <c r="CE87" i="116"/>
  <c r="BX87" i="116"/>
  <c r="CG103" i="116"/>
  <c r="CF103" i="116"/>
  <c r="CI103" i="116"/>
  <c r="CH103" i="116"/>
  <c r="BX103" i="116"/>
  <c r="EG98" i="20"/>
  <c r="EH98" i="20"/>
  <c r="DS105" i="116"/>
  <c r="DR105" i="116"/>
  <c r="L17" i="117"/>
  <c r="L11" i="117"/>
  <c r="EG61" i="20"/>
  <c r="EH61" i="20"/>
  <c r="DS103" i="116"/>
  <c r="DR103" i="116"/>
  <c r="CX157" i="20"/>
  <c r="CW157" i="20"/>
  <c r="CS26" i="20"/>
  <c r="CT26" i="20" s="1"/>
  <c r="CR26" i="20"/>
  <c r="DS102" i="116"/>
  <c r="DR102" i="116"/>
  <c r="DH197" i="20"/>
  <c r="DJ197" i="20"/>
  <c r="CS106" i="20"/>
  <c r="CT106" i="20" s="1"/>
  <c r="CR106" i="20"/>
  <c r="DR38" i="116"/>
  <c r="DT38" i="116" s="1"/>
  <c r="DS38" i="116"/>
  <c r="DH186" i="20"/>
  <c r="DJ186" i="20"/>
  <c r="CS98" i="20"/>
  <c r="CT98" i="20" s="1"/>
  <c r="CR98" i="20"/>
  <c r="EM88" i="20"/>
  <c r="EL88" i="20"/>
  <c r="DS66" i="116"/>
  <c r="DR66" i="116"/>
  <c r="DH153" i="20"/>
  <c r="DJ153" i="20"/>
  <c r="DS80" i="116"/>
  <c r="DR80" i="116"/>
  <c r="W29" i="112"/>
  <c r="W14" i="112"/>
  <c r="DE64" i="116"/>
  <c r="EH101" i="20"/>
  <c r="EG101" i="20"/>
  <c r="DH163" i="20"/>
  <c r="DJ163" i="20"/>
  <c r="DH179" i="20"/>
  <c r="DJ179" i="20"/>
  <c r="DF51" i="116"/>
  <c r="DG51" i="116"/>
  <c r="DH51" i="116" s="1"/>
  <c r="AS14" i="112"/>
  <c r="AS29" i="112"/>
  <c r="DH206" i="20"/>
  <c r="DJ206" i="20"/>
  <c r="EM99" i="20"/>
  <c r="EL99" i="20"/>
  <c r="DE19" i="116"/>
  <c r="DS76" i="116"/>
  <c r="DR76" i="116"/>
  <c r="CS38" i="20"/>
  <c r="CT38" i="20" s="1"/>
  <c r="CR38" i="20"/>
  <c r="EH108" i="20"/>
  <c r="EG108" i="20"/>
  <c r="CX31" i="116"/>
  <c r="CW31" i="116"/>
  <c r="CV31" i="116"/>
  <c r="CU31" i="116"/>
  <c r="CM31" i="116"/>
  <c r="CV47" i="116"/>
  <c r="CU47" i="116"/>
  <c r="CX47" i="116"/>
  <c r="CT47" i="116" s="1"/>
  <c r="CW47" i="116"/>
  <c r="CM47" i="116"/>
  <c r="CM22" i="116"/>
  <c r="CX22" i="116"/>
  <c r="CW22" i="116"/>
  <c r="CV22" i="116"/>
  <c r="CU22" i="116"/>
  <c r="CX94" i="116"/>
  <c r="CW94" i="116"/>
  <c r="CV94" i="116"/>
  <c r="CU94" i="116"/>
  <c r="CT94" i="116"/>
  <c r="CM94" i="116"/>
  <c r="CX58" i="116"/>
  <c r="CT58" i="116" s="1"/>
  <c r="CW58" i="116"/>
  <c r="CV58" i="116"/>
  <c r="CU58" i="116"/>
  <c r="CM58" i="116"/>
  <c r="CX74" i="116"/>
  <c r="CW74" i="116"/>
  <c r="CV74" i="116"/>
  <c r="CU74" i="116"/>
  <c r="CM74" i="116"/>
  <c r="DS106" i="116"/>
  <c r="DR106" i="116"/>
  <c r="DH191" i="20"/>
  <c r="DJ191" i="20"/>
  <c r="DH182" i="20"/>
  <c r="DJ182" i="20"/>
  <c r="CG104" i="116"/>
  <c r="CF104" i="116"/>
  <c r="CE104" i="116"/>
  <c r="CI104" i="116"/>
  <c r="CH104" i="116"/>
  <c r="BX104" i="116"/>
  <c r="CS101" i="20"/>
  <c r="CT101" i="20" s="1"/>
  <c r="CR101" i="20"/>
  <c r="CS44" i="20"/>
  <c r="CT44" i="20" s="1"/>
  <c r="CR44" i="20"/>
  <c r="EH45" i="20"/>
  <c r="EG45" i="20"/>
  <c r="EH28" i="20"/>
  <c r="EG28" i="20"/>
  <c r="DL177" i="20"/>
  <c r="DK177" i="20"/>
  <c r="DE85" i="116"/>
  <c r="DE23" i="116"/>
  <c r="DS34" i="116"/>
  <c r="DR34" i="116"/>
  <c r="EL35" i="20"/>
  <c r="EM35" i="20"/>
  <c r="EH22" i="20"/>
  <c r="EG22" i="20"/>
  <c r="DS33" i="116"/>
  <c r="DR33" i="116"/>
  <c r="CT195" i="20"/>
  <c r="CV195" i="20"/>
  <c r="CS69" i="20"/>
  <c r="CT69" i="20" s="1"/>
  <c r="CR69" i="20"/>
  <c r="DS18" i="116"/>
  <c r="DR18" i="116"/>
  <c r="CR103" i="20"/>
  <c r="CS103" i="20"/>
  <c r="CT103" i="20" s="1"/>
  <c r="EG90" i="20"/>
  <c r="EH90" i="20"/>
  <c r="DF39" i="116"/>
  <c r="DG39" i="116"/>
  <c r="DH39" i="116" s="1"/>
  <c r="DG92" i="116"/>
  <c r="DH92" i="116" s="1"/>
  <c r="DF92" i="116"/>
  <c r="DK147" i="20"/>
  <c r="DL147" i="20"/>
  <c r="BE8" i="38"/>
  <c r="EH32" i="20"/>
  <c r="EG32" i="20"/>
  <c r="CX194" i="20"/>
  <c r="CW194" i="20"/>
  <c r="CX23" i="116"/>
  <c r="CW23" i="116"/>
  <c r="CV23" i="116"/>
  <c r="CU23" i="116"/>
  <c r="CT23" i="116"/>
  <c r="CM23" i="116"/>
  <c r="CV48" i="116"/>
  <c r="CU48" i="116"/>
  <c r="CT48" i="116"/>
  <c r="CX48" i="116"/>
  <c r="CW48" i="116"/>
  <c r="CM48" i="116"/>
  <c r="CX96" i="116"/>
  <c r="CT96" i="116" s="1"/>
  <c r="CW96" i="116"/>
  <c r="CV96" i="116"/>
  <c r="CU96" i="116"/>
  <c r="CM96" i="116"/>
  <c r="CX59" i="116"/>
  <c r="CW59" i="116"/>
  <c r="CV59" i="116"/>
  <c r="CU59" i="116"/>
  <c r="CM59" i="116"/>
  <c r="CX75" i="116"/>
  <c r="CT75" i="116" s="1"/>
  <c r="CW75" i="116"/>
  <c r="CV75" i="116"/>
  <c r="CU75" i="116"/>
  <c r="CM75" i="116"/>
  <c r="DS23" i="116"/>
  <c r="DR23" i="116"/>
  <c r="DE105" i="116"/>
  <c r="DE110" i="116"/>
  <c r="DE91" i="116"/>
  <c r="CH30" i="116"/>
  <c r="CG30" i="116"/>
  <c r="CF30" i="116"/>
  <c r="BX30" i="116"/>
  <c r="CI30" i="116"/>
  <c r="CG89" i="116"/>
  <c r="CF89" i="116"/>
  <c r="CE89" i="116"/>
  <c r="CI89" i="116"/>
  <c r="CH89" i="116"/>
  <c r="BX89" i="116"/>
  <c r="CG105" i="116"/>
  <c r="CF105" i="116"/>
  <c r="CI105" i="116"/>
  <c r="CH105" i="116"/>
  <c r="BX105" i="116"/>
  <c r="DX89" i="116"/>
  <c r="DS57" i="116"/>
  <c r="DR57" i="116"/>
  <c r="DE25" i="116"/>
  <c r="CX182" i="20"/>
  <c r="CW182" i="20"/>
  <c r="DG22" i="116"/>
  <c r="DH22" i="116" s="1"/>
  <c r="DF22" i="116"/>
  <c r="CX208" i="20"/>
  <c r="CW208" i="20"/>
  <c r="DX87" i="116"/>
  <c r="DS55" i="116"/>
  <c r="DR55" i="116"/>
  <c r="D39" i="48"/>
  <c r="F39" i="48" s="1"/>
  <c r="H39" i="48" s="1"/>
  <c r="B40" i="48"/>
  <c r="DX86" i="116"/>
  <c r="DS54" i="116"/>
  <c r="DR54" i="116"/>
  <c r="DL171" i="20"/>
  <c r="DK171" i="20"/>
  <c r="DH137" i="20"/>
  <c r="DJ137" i="20"/>
  <c r="DH220" i="20"/>
  <c r="DJ220" i="20"/>
  <c r="EM30" i="20"/>
  <c r="EL30" i="20"/>
  <c r="DS100" i="116"/>
  <c r="DR100" i="116"/>
  <c r="BO13" i="116"/>
  <c r="BN13" i="116"/>
  <c r="BT13" i="116" s="1"/>
  <c r="EH25" i="20"/>
  <c r="EG25" i="20"/>
  <c r="DG106" i="116"/>
  <c r="DH106" i="116" s="1"/>
  <c r="DF106" i="116"/>
  <c r="DX33" i="116"/>
  <c r="EL107" i="20"/>
  <c r="EM107" i="20"/>
  <c r="EG72" i="20"/>
  <c r="EH72" i="20"/>
  <c r="DS65" i="116"/>
  <c r="DR65" i="116"/>
  <c r="DS19" i="116"/>
  <c r="DR19" i="116"/>
  <c r="EH96" i="20"/>
  <c r="EG96" i="20"/>
  <c r="DG49" i="116"/>
  <c r="DH49" i="116" s="1"/>
  <c r="DF49" i="116"/>
  <c r="DG12" i="116"/>
  <c r="DH12" i="116" s="1"/>
  <c r="DF12" i="116"/>
  <c r="DS94" i="116"/>
  <c r="DR94" i="116"/>
  <c r="DE40" i="116"/>
  <c r="DS93" i="116"/>
  <c r="DR93" i="116"/>
  <c r="DX60" i="116"/>
  <c r="DS30" i="116"/>
  <c r="DR30" i="116"/>
  <c r="DH231" i="20"/>
  <c r="DJ231" i="20"/>
  <c r="BK106" i="38"/>
  <c r="AU20" i="38"/>
  <c r="P31" i="38" s="1"/>
  <c r="EG68" i="20"/>
  <c r="EH68" i="20"/>
  <c r="DE78" i="116"/>
  <c r="CX30" i="116"/>
  <c r="CW30" i="116"/>
  <c r="CV30" i="116"/>
  <c r="CU30" i="116"/>
  <c r="CT30" i="116"/>
  <c r="CM30" i="116"/>
  <c r="CV49" i="116"/>
  <c r="CU49" i="116"/>
  <c r="CX49" i="116"/>
  <c r="CW49" i="116"/>
  <c r="CM49" i="116"/>
  <c r="CX89" i="116"/>
  <c r="CW89" i="116"/>
  <c r="CV89" i="116"/>
  <c r="CU89" i="116"/>
  <c r="CT89" i="116"/>
  <c r="CM89" i="116"/>
  <c r="CX98" i="116"/>
  <c r="CW98" i="116"/>
  <c r="CV98" i="116"/>
  <c r="CU98" i="116"/>
  <c r="CT98" i="116"/>
  <c r="CM98" i="116"/>
  <c r="CX60" i="116"/>
  <c r="CW60" i="116"/>
  <c r="CV60" i="116"/>
  <c r="CU60" i="116"/>
  <c r="CM60" i="116"/>
  <c r="CX76" i="116"/>
  <c r="CW76" i="116"/>
  <c r="CV76" i="116"/>
  <c r="CU76" i="116"/>
  <c r="CT76" i="116"/>
  <c r="CM76" i="116"/>
  <c r="DS13" i="116"/>
  <c r="DR13" i="116"/>
  <c r="DT13" i="116" s="1"/>
  <c r="DH173" i="20"/>
  <c r="DJ173" i="20"/>
  <c r="DL167" i="20"/>
  <c r="DK167" i="20"/>
  <c r="DX90" i="116"/>
  <c r="DS58" i="116"/>
  <c r="DR58" i="116"/>
  <c r="CI61" i="116"/>
  <c r="CE61" i="116" s="1"/>
  <c r="CH61" i="116"/>
  <c r="CG61" i="116"/>
  <c r="CF61" i="116"/>
  <c r="BX61" i="116"/>
  <c r="CG90" i="116"/>
  <c r="CF90" i="116"/>
  <c r="CI90" i="116"/>
  <c r="CE90" i="116" s="1"/>
  <c r="CH90" i="116"/>
  <c r="BX90" i="116"/>
  <c r="CG106" i="116"/>
  <c r="CF106" i="116"/>
  <c r="CI106" i="116"/>
  <c r="CE106" i="116" s="1"/>
  <c r="CH106" i="116"/>
  <c r="BX106" i="116"/>
  <c r="CX169" i="20"/>
  <c r="CW169" i="20"/>
  <c r="DR41" i="116"/>
  <c r="DS41" i="116"/>
  <c r="BK14" i="116"/>
  <c r="BL14" i="116"/>
  <c r="EG69" i="20"/>
  <c r="EH69" i="20"/>
  <c r="EH52" i="20"/>
  <c r="EG52" i="20"/>
  <c r="DG37" i="116"/>
  <c r="DH37" i="116" s="1"/>
  <c r="DF37" i="116"/>
  <c r="DX32" i="116"/>
  <c r="BR10" i="116"/>
  <c r="BQ10" i="116"/>
  <c r="BP10" i="116"/>
  <c r="EH59" i="20"/>
  <c r="EG59" i="20"/>
  <c r="DF61" i="116"/>
  <c r="DG61" i="116"/>
  <c r="DH61" i="116" s="1"/>
  <c r="DE93" i="116"/>
  <c r="DG33" i="116"/>
  <c r="DH33" i="116" s="1"/>
  <c r="DF33" i="116"/>
  <c r="CR78" i="20"/>
  <c r="CS78" i="20"/>
  <c r="CT78" i="20" s="1"/>
  <c r="EM81" i="20"/>
  <c r="EL81" i="20"/>
  <c r="DX99" i="116"/>
  <c r="DS67" i="116"/>
  <c r="DR67" i="116"/>
  <c r="DG14" i="116"/>
  <c r="DH14" i="116" s="1"/>
  <c r="DF14" i="116"/>
  <c r="DF53" i="116"/>
  <c r="DG53" i="116"/>
  <c r="DH53" i="116" s="1"/>
  <c r="DR49" i="116"/>
  <c r="DS49" i="116"/>
  <c r="DE89" i="116"/>
  <c r="BO7" i="117"/>
  <c r="BO6" i="117"/>
  <c r="DR26" i="116"/>
  <c r="DS26" i="116"/>
  <c r="DE96" i="116"/>
  <c r="EM37" i="20"/>
  <c r="EL37" i="20"/>
  <c r="AQ14" i="22"/>
  <c r="AR13" i="22"/>
  <c r="AP13" i="22" s="1"/>
  <c r="DL208" i="20"/>
  <c r="DK208" i="20"/>
  <c r="CS73" i="20"/>
  <c r="CT73" i="20" s="1"/>
  <c r="CR73" i="20"/>
  <c r="DG44" i="116"/>
  <c r="DH44" i="116" s="1"/>
  <c r="DF44" i="116"/>
  <c r="DW5" i="116"/>
  <c r="DS11" i="116"/>
  <c r="DR11" i="116"/>
  <c r="DE58" i="116"/>
  <c r="CX24" i="116"/>
  <c r="CW24" i="116"/>
  <c r="CV24" i="116"/>
  <c r="CU24" i="116"/>
  <c r="CM24" i="116"/>
  <c r="CV50" i="116"/>
  <c r="CU50" i="116"/>
  <c r="CX50" i="116"/>
  <c r="CW50" i="116"/>
  <c r="CM50" i="116"/>
  <c r="CX91" i="116"/>
  <c r="CT91" i="116" s="1"/>
  <c r="CW91" i="116"/>
  <c r="CV91" i="116"/>
  <c r="CU91" i="116"/>
  <c r="CM91" i="116"/>
  <c r="CX100" i="116"/>
  <c r="CW100" i="116"/>
  <c r="CV100" i="116"/>
  <c r="CU100" i="116"/>
  <c r="CM100" i="116"/>
  <c r="CX61" i="116"/>
  <c r="CW61" i="116"/>
  <c r="CV61" i="116"/>
  <c r="CU61" i="116"/>
  <c r="CT61" i="116"/>
  <c r="CM61" i="116"/>
  <c r="CX77" i="116"/>
  <c r="CT77" i="116" s="1"/>
  <c r="CW77" i="116"/>
  <c r="CV77" i="116"/>
  <c r="CU77" i="116"/>
  <c r="CM77" i="116"/>
  <c r="DS107" i="116"/>
  <c r="DR107" i="116"/>
  <c r="DX13" i="116"/>
  <c r="DH192" i="20"/>
  <c r="DJ192" i="20"/>
  <c r="DH216" i="20"/>
  <c r="DJ216" i="20"/>
  <c r="DR42" i="116"/>
  <c r="DS42" i="116"/>
  <c r="CG91" i="116"/>
  <c r="CF91" i="116"/>
  <c r="CI91" i="116"/>
  <c r="CH91" i="116"/>
  <c r="BX91" i="116"/>
  <c r="CG107" i="116"/>
  <c r="CF107" i="116"/>
  <c r="CI107" i="116"/>
  <c r="CH107" i="116"/>
  <c r="BX107" i="116"/>
  <c r="DX41" i="116"/>
  <c r="BS15" i="116"/>
  <c r="BH16" i="116"/>
  <c r="BJ15" i="116"/>
  <c r="EH16" i="20"/>
  <c r="EG16" i="20"/>
  <c r="CS124" i="20"/>
  <c r="CT124" i="20" s="1"/>
  <c r="CR124" i="20"/>
  <c r="DX104" i="116"/>
  <c r="DS72" i="116"/>
  <c r="DR72" i="116"/>
  <c r="DT72" i="116" s="1"/>
  <c r="DL224" i="20"/>
  <c r="DK224" i="20"/>
  <c r="DX39" i="116"/>
  <c r="BV77" i="56"/>
  <c r="CR74" i="20"/>
  <c r="CS74" i="20"/>
  <c r="CT74" i="20" s="1"/>
  <c r="DX101" i="116"/>
  <c r="DS69" i="116"/>
  <c r="DR69" i="116"/>
  <c r="DT69" i="116" s="1"/>
  <c r="DX34" i="116"/>
  <c r="DJ170" i="20"/>
  <c r="DH170" i="20"/>
  <c r="DH201" i="20"/>
  <c r="DJ201" i="20"/>
  <c r="DX84" i="116"/>
  <c r="DS52" i="116"/>
  <c r="DR52" i="116"/>
  <c r="DF55" i="116"/>
  <c r="DG55" i="116"/>
  <c r="DH55" i="116" s="1"/>
  <c r="DS98" i="116"/>
  <c r="DR98" i="116"/>
  <c r="EG77" i="20"/>
  <c r="EH77" i="20"/>
  <c r="DX49" i="116"/>
  <c r="EH38" i="20"/>
  <c r="EG38" i="20"/>
  <c r="DE94" i="116"/>
  <c r="DX26" i="116"/>
  <c r="EH50" i="20"/>
  <c r="EG50" i="20"/>
  <c r="DD5" i="20"/>
  <c r="DE5" i="20"/>
  <c r="DX78" i="116"/>
  <c r="DE70" i="116"/>
  <c r="DX77" i="116"/>
  <c r="DS108" i="116"/>
  <c r="DR108" i="116"/>
  <c r="DX11" i="116"/>
  <c r="CX135" i="20"/>
  <c r="CW135" i="20"/>
  <c r="CX93" i="116"/>
  <c r="CT93" i="116" s="1"/>
  <c r="CW93" i="116"/>
  <c r="CV93" i="116"/>
  <c r="CU93" i="116"/>
  <c r="CM93" i="116"/>
  <c r="CX102" i="116"/>
  <c r="CT102" i="116" s="1"/>
  <c r="CW102" i="116"/>
  <c r="CV102" i="116"/>
  <c r="CU102" i="116"/>
  <c r="CM102" i="116"/>
  <c r="CX62" i="116"/>
  <c r="CW62" i="116"/>
  <c r="CV62" i="116"/>
  <c r="CU62" i="116"/>
  <c r="CM62" i="116"/>
  <c r="CX78" i="116"/>
  <c r="CT78" i="116" s="1"/>
  <c r="CW78" i="116"/>
  <c r="CV78" i="116"/>
  <c r="CU78" i="116"/>
  <c r="CM78" i="116"/>
  <c r="L29" i="112"/>
  <c r="L14" i="112"/>
  <c r="DL135" i="20"/>
  <c r="DK135" i="20"/>
  <c r="DL159" i="20"/>
  <c r="DK159" i="20"/>
  <c r="DX42" i="116"/>
  <c r="D15" i="44"/>
  <c r="F15" i="44" s="1"/>
  <c r="H15" i="44" s="1"/>
  <c r="B16" i="44"/>
  <c r="DT103" i="116" l="1"/>
  <c r="DT104" i="116"/>
  <c r="CR100" i="20"/>
  <c r="CS100" i="20"/>
  <c r="CT100" i="20" s="1"/>
  <c r="DT108" i="116"/>
  <c r="DT42" i="116"/>
  <c r="CR111" i="20"/>
  <c r="CS111" i="20"/>
  <c r="CT111" i="20" s="1"/>
  <c r="DT23" i="116"/>
  <c r="DU23" i="116" s="1"/>
  <c r="DT78" i="116"/>
  <c r="DV78" i="116" s="1"/>
  <c r="DW78" i="116" s="1"/>
  <c r="CS36" i="20"/>
  <c r="CT36" i="20" s="1"/>
  <c r="CR36" i="20"/>
  <c r="DT52" i="116"/>
  <c r="DT11" i="116"/>
  <c r="DT47" i="116"/>
  <c r="DJ160" i="20"/>
  <c r="DH160" i="20"/>
  <c r="CU8" i="20"/>
  <c r="DJ7" i="20"/>
  <c r="H9" i="20" s="1"/>
  <c r="DC8" i="20"/>
  <c r="DH7" i="20" s="1"/>
  <c r="I9" i="20" s="1"/>
  <c r="CV8" i="20"/>
  <c r="DF8" i="20" s="1"/>
  <c r="DK7" i="20" s="1"/>
  <c r="DT105" i="116"/>
  <c r="DJ152" i="20"/>
  <c r="DH152" i="20"/>
  <c r="CS55" i="20"/>
  <c r="CT55" i="20" s="1"/>
  <c r="CR55" i="20"/>
  <c r="DJ10" i="20"/>
  <c r="H10" i="20" s="1"/>
  <c r="DT65" i="116"/>
  <c r="DV65" i="116" s="1"/>
  <c r="DW65" i="116" s="1"/>
  <c r="DT80" i="116"/>
  <c r="CV11" i="20"/>
  <c r="DF11" i="20" s="1"/>
  <c r="DK10" i="20" s="1"/>
  <c r="DT18" i="116"/>
  <c r="DV18" i="116" s="1"/>
  <c r="DW18" i="116" s="1"/>
  <c r="DC11" i="20"/>
  <c r="DH10" i="20" s="1"/>
  <c r="I10" i="20" s="1"/>
  <c r="P9" i="20" s="1"/>
  <c r="O10" i="20" s="1"/>
  <c r="R20" i="20" s="1"/>
  <c r="DJ144" i="20"/>
  <c r="DH144" i="20"/>
  <c r="DT46" i="116"/>
  <c r="DT70" i="116"/>
  <c r="DJ140" i="20"/>
  <c r="DH140" i="20"/>
  <c r="CS89" i="20"/>
  <c r="CT89" i="20" s="1"/>
  <c r="CR89" i="20"/>
  <c r="DT110" i="116"/>
  <c r="DT31" i="116"/>
  <c r="DU31" i="116" s="1"/>
  <c r="CS31" i="20"/>
  <c r="CT31" i="20" s="1"/>
  <c r="CR31" i="20"/>
  <c r="DT14" i="116"/>
  <c r="DH156" i="20"/>
  <c r="DJ156" i="20"/>
  <c r="CS46" i="20"/>
  <c r="CT46" i="20" s="1"/>
  <c r="CR46" i="20"/>
  <c r="DJ148" i="20"/>
  <c r="DH148" i="20"/>
  <c r="CT148" i="20"/>
  <c r="CV148" i="20"/>
  <c r="DT82" i="116"/>
  <c r="DT63" i="116"/>
  <c r="DJ136" i="20"/>
  <c r="DH136" i="20"/>
  <c r="CS108" i="20"/>
  <c r="CT108" i="20" s="1"/>
  <c r="CR108" i="20"/>
  <c r="CV170" i="20"/>
  <c r="CT170" i="20"/>
  <c r="D25" i="48"/>
  <c r="F25" i="48" s="1"/>
  <c r="B26" i="48"/>
  <c r="H25" i="48"/>
  <c r="B16" i="46"/>
  <c r="D15" i="46"/>
  <c r="F15" i="46" s="1"/>
  <c r="H15" i="46" s="1"/>
  <c r="J39" i="48"/>
  <c r="C40" i="48" s="1"/>
  <c r="J43" i="52"/>
  <c r="C44" i="52" s="1"/>
  <c r="J15" i="44"/>
  <c r="C16" i="44" s="1"/>
  <c r="J31" i="46"/>
  <c r="C32" i="46" s="1"/>
  <c r="EM96" i="20"/>
  <c r="EL96" i="20"/>
  <c r="E40" i="48"/>
  <c r="G40" i="48" s="1"/>
  <c r="I40" i="48" s="1"/>
  <c r="CO23" i="116"/>
  <c r="CN23" i="116"/>
  <c r="DU18" i="116"/>
  <c r="DV46" i="116"/>
  <c r="DW46" i="116" s="1"/>
  <c r="DU46" i="116"/>
  <c r="CO13" i="116"/>
  <c r="CN13" i="116"/>
  <c r="EM34" i="20"/>
  <c r="EL34" i="20"/>
  <c r="DV70" i="116"/>
  <c r="DW70" i="116" s="1"/>
  <c r="DU70" i="116"/>
  <c r="CN69" i="116"/>
  <c r="CO69" i="116"/>
  <c r="BZ37" i="116"/>
  <c r="BY37" i="116"/>
  <c r="BZ81" i="116"/>
  <c r="BY81" i="116"/>
  <c r="DV82" i="116"/>
  <c r="DW82" i="116" s="1"/>
  <c r="DU82" i="116"/>
  <c r="CN83" i="116"/>
  <c r="CP83" i="116" s="1"/>
  <c r="CO83" i="116"/>
  <c r="DV51" i="116"/>
  <c r="DW51" i="116" s="1"/>
  <c r="DU51" i="116"/>
  <c r="CT173" i="20"/>
  <c r="CV173" i="20"/>
  <c r="EM23" i="20"/>
  <c r="EL23" i="20"/>
  <c r="BZ15" i="116"/>
  <c r="BY15" i="116"/>
  <c r="BZ95" i="116"/>
  <c r="BY95" i="116"/>
  <c r="DV44" i="116"/>
  <c r="DW44" i="116" s="1"/>
  <c r="DU44" i="116"/>
  <c r="DU90" i="116"/>
  <c r="DV90" i="116"/>
  <c r="DW90" i="116" s="1"/>
  <c r="E15" i="46"/>
  <c r="G15" i="46" s="1"/>
  <c r="I15" i="46" s="1"/>
  <c r="BZ13" i="116"/>
  <c r="BY13" i="116"/>
  <c r="CT198" i="20"/>
  <c r="CV198" i="20"/>
  <c r="DF79" i="116"/>
  <c r="DG79" i="116"/>
  <c r="DH79" i="116" s="1"/>
  <c r="DU88" i="116"/>
  <c r="DV88" i="116"/>
  <c r="DW88" i="116" s="1"/>
  <c r="BZ76" i="116"/>
  <c r="BY76" i="116"/>
  <c r="CA76" i="116" s="1"/>
  <c r="EL16" i="20"/>
  <c r="EM16" i="20"/>
  <c r="EM52" i="20"/>
  <c r="EL52" i="20"/>
  <c r="BZ104" i="116"/>
  <c r="BY104" i="116"/>
  <c r="CA104" i="116" s="1"/>
  <c r="DH135" i="20"/>
  <c r="DJ135" i="20"/>
  <c r="DV69" i="116"/>
  <c r="DW69" i="116" s="1"/>
  <c r="DU69" i="116"/>
  <c r="CO91" i="116"/>
  <c r="CN91" i="116"/>
  <c r="CP91" i="116" s="1"/>
  <c r="EI37" i="20"/>
  <c r="EK37" i="20"/>
  <c r="DG23" i="116"/>
  <c r="DH23" i="116" s="1"/>
  <c r="DF23" i="116"/>
  <c r="EM108" i="20"/>
  <c r="EL108" i="20"/>
  <c r="BZ83" i="116"/>
  <c r="BY83" i="116"/>
  <c r="DT79" i="116"/>
  <c r="DT37" i="116"/>
  <c r="EI57" i="20"/>
  <c r="EK57" i="20"/>
  <c r="DG101" i="116"/>
  <c r="DH101" i="116" s="1"/>
  <c r="DF101" i="116"/>
  <c r="CO90" i="116"/>
  <c r="CN90" i="116"/>
  <c r="CP90" i="116" s="1"/>
  <c r="DF82" i="116"/>
  <c r="DG82" i="116"/>
  <c r="DH82" i="116" s="1"/>
  <c r="DT68" i="116"/>
  <c r="CN71" i="116"/>
  <c r="CO71" i="116"/>
  <c r="DH145" i="20"/>
  <c r="DJ145" i="20"/>
  <c r="DT73" i="116"/>
  <c r="EI102" i="20"/>
  <c r="EK102" i="20"/>
  <c r="CE98" i="116"/>
  <c r="CT40" i="116"/>
  <c r="DV35" i="116"/>
  <c r="DW35" i="116" s="1"/>
  <c r="DU35" i="116"/>
  <c r="BZ11" i="116"/>
  <c r="BY11" i="116"/>
  <c r="CN66" i="116"/>
  <c r="CO66" i="116"/>
  <c r="CN65" i="116"/>
  <c r="CO65" i="116"/>
  <c r="DT48" i="116"/>
  <c r="EI80" i="20"/>
  <c r="EK80" i="20"/>
  <c r="BZ92" i="116"/>
  <c r="BY92" i="116"/>
  <c r="BY36" i="116"/>
  <c r="BZ36" i="116"/>
  <c r="DF80" i="116"/>
  <c r="DG80" i="116"/>
  <c r="DH80" i="116" s="1"/>
  <c r="DV42" i="116"/>
  <c r="DW42" i="116" s="1"/>
  <c r="DU42" i="116"/>
  <c r="DU108" i="116"/>
  <c r="DV108" i="116"/>
  <c r="DW108" i="116" s="1"/>
  <c r="BZ90" i="116"/>
  <c r="BY90" i="116"/>
  <c r="DH167" i="20"/>
  <c r="DJ167" i="20"/>
  <c r="BP13" i="116"/>
  <c r="BR13" i="116"/>
  <c r="BQ13" i="116"/>
  <c r="CO102" i="116"/>
  <c r="CN102" i="116"/>
  <c r="CP102" i="116" s="1"/>
  <c r="L20" i="112"/>
  <c r="L23" i="112"/>
  <c r="L26" i="112"/>
  <c r="S38" i="112"/>
  <c r="U38" i="112" s="1"/>
  <c r="N39" i="112" s="1"/>
  <c r="T38" i="112"/>
  <c r="T39" i="112"/>
  <c r="BL15" i="116"/>
  <c r="BK15" i="116"/>
  <c r="CE91" i="116"/>
  <c r="DG96" i="116"/>
  <c r="DH96" i="116" s="1"/>
  <c r="DF96" i="116"/>
  <c r="DT49" i="116"/>
  <c r="DG93" i="116"/>
  <c r="DH93" i="116" s="1"/>
  <c r="DF93" i="116"/>
  <c r="CX5" i="116"/>
  <c r="CX6" i="116" s="1"/>
  <c r="BE3" i="117" s="1"/>
  <c r="CT49" i="116"/>
  <c r="DT30" i="116"/>
  <c r="DT19" i="116"/>
  <c r="DT100" i="116"/>
  <c r="DT55" i="116"/>
  <c r="CE105" i="116"/>
  <c r="DG91" i="116"/>
  <c r="DH91" i="116" s="1"/>
  <c r="DF91" i="116"/>
  <c r="DF85" i="116"/>
  <c r="DG85" i="116"/>
  <c r="DH85" i="116" s="1"/>
  <c r="CE103" i="116"/>
  <c r="CE83" i="116"/>
  <c r="BZ45" i="116"/>
  <c r="BY45" i="116"/>
  <c r="CT90" i="116"/>
  <c r="DH214" i="20"/>
  <c r="DJ214" i="20"/>
  <c r="DT20" i="116"/>
  <c r="EM60" i="20"/>
  <c r="EL60" i="20"/>
  <c r="CT147" i="20"/>
  <c r="CV147" i="20"/>
  <c r="BZ29" i="116"/>
  <c r="BY29" i="116"/>
  <c r="CN68" i="116"/>
  <c r="CP68" i="116" s="1"/>
  <c r="CO68" i="116"/>
  <c r="DT56" i="116"/>
  <c r="CO103" i="116"/>
  <c r="CN103" i="116"/>
  <c r="BZ28" i="116"/>
  <c r="BY28" i="116"/>
  <c r="CA28" i="116" s="1"/>
  <c r="AT5" i="117"/>
  <c r="DT39" i="116"/>
  <c r="AH20" i="112"/>
  <c r="AP38" i="112"/>
  <c r="AO38" i="112"/>
  <c r="AQ38" i="112" s="1"/>
  <c r="AJ39" i="112" s="1"/>
  <c r="AH23" i="112"/>
  <c r="AP39" i="112"/>
  <c r="AH26" i="112"/>
  <c r="EI79" i="20"/>
  <c r="EK79" i="20"/>
  <c r="CN64" i="116"/>
  <c r="CO64" i="116"/>
  <c r="BZ25" i="116"/>
  <c r="BY25" i="116"/>
  <c r="CO104" i="116"/>
  <c r="CN104" i="116"/>
  <c r="EI78" i="20"/>
  <c r="EK78" i="20"/>
  <c r="BZ108" i="116"/>
  <c r="BY108" i="116"/>
  <c r="CA108" i="116" s="1"/>
  <c r="DF83" i="116"/>
  <c r="DG83" i="116"/>
  <c r="DH83" i="116" s="1"/>
  <c r="DJ180" i="20"/>
  <c r="DH180" i="20"/>
  <c r="CN67" i="116"/>
  <c r="CO67" i="116"/>
  <c r="BJ16" i="116"/>
  <c r="BH17" i="116"/>
  <c r="BS16" i="116"/>
  <c r="DF58" i="116"/>
  <c r="DG58" i="116"/>
  <c r="DH58" i="116" s="1"/>
  <c r="EL69" i="20"/>
  <c r="EM69" i="20"/>
  <c r="CO98" i="116"/>
  <c r="CN98" i="116"/>
  <c r="DG110" i="116"/>
  <c r="DH110" i="116" s="1"/>
  <c r="DF110" i="116"/>
  <c r="CN58" i="116"/>
  <c r="CO58" i="116"/>
  <c r="EI88" i="20"/>
  <c r="EK88" i="20"/>
  <c r="CT157" i="20"/>
  <c r="CV157" i="20"/>
  <c r="BZ85" i="116"/>
  <c r="BY85" i="116"/>
  <c r="BZ66" i="116"/>
  <c r="BY66" i="116"/>
  <c r="DG43" i="116"/>
  <c r="DH43" i="116" s="1"/>
  <c r="DF43" i="116"/>
  <c r="EI85" i="20"/>
  <c r="EK85" i="20"/>
  <c r="CO18" i="116"/>
  <c r="CN18" i="116"/>
  <c r="CP18" i="116" s="1"/>
  <c r="DT62" i="116"/>
  <c r="F28" i="50"/>
  <c r="C29" i="50" s="1"/>
  <c r="DT29" i="116"/>
  <c r="CN54" i="116"/>
  <c r="CO54" i="116"/>
  <c r="CU17" i="20"/>
  <c r="CV17" i="20"/>
  <c r="DF17" i="20" s="1"/>
  <c r="DK16" i="20" s="1"/>
  <c r="DJ16" i="20"/>
  <c r="H22" i="20" s="1"/>
  <c r="DC17" i="20"/>
  <c r="DH16" i="20" s="1"/>
  <c r="I22" i="20" s="1"/>
  <c r="BZ99" i="116"/>
  <c r="BY99" i="116"/>
  <c r="CT35" i="116"/>
  <c r="CO12" i="116"/>
  <c r="CN12" i="116"/>
  <c r="A20" i="117"/>
  <c r="H38" i="117"/>
  <c r="J38" i="117" s="1"/>
  <c r="C39" i="117" s="1"/>
  <c r="I39" i="117"/>
  <c r="A26" i="117"/>
  <c r="A23" i="117"/>
  <c r="I38" i="117"/>
  <c r="DT17" i="116"/>
  <c r="EL15" i="20"/>
  <c r="EM15" i="20"/>
  <c r="B64" i="52"/>
  <c r="E64" i="52" s="1"/>
  <c r="G64" i="52" s="1"/>
  <c r="I64" i="52" s="1"/>
  <c r="D63" i="52"/>
  <c r="F63" i="52" s="1"/>
  <c r="H63" i="52" s="1"/>
  <c r="J63" i="52" s="1"/>
  <c r="C64" i="52" s="1"/>
  <c r="BY21" i="116"/>
  <c r="CA21" i="116" s="1"/>
  <c r="BZ21" i="116"/>
  <c r="CE27" i="116"/>
  <c r="BZ38" i="116"/>
  <c r="BY38" i="116"/>
  <c r="BZ74" i="116"/>
  <c r="BY74" i="116"/>
  <c r="DF71" i="116"/>
  <c r="DG71" i="116"/>
  <c r="DH71" i="116" s="1"/>
  <c r="CT153" i="20"/>
  <c r="CV153" i="20"/>
  <c r="DF74" i="116"/>
  <c r="DG74" i="116"/>
  <c r="DH74" i="116" s="1"/>
  <c r="BZ67" i="116"/>
  <c r="BY67" i="116"/>
  <c r="BZ80" i="116"/>
  <c r="BY80" i="116"/>
  <c r="CO25" i="116"/>
  <c r="CN25" i="116"/>
  <c r="CP25" i="116" s="1"/>
  <c r="DH212" i="20"/>
  <c r="DJ212" i="20"/>
  <c r="DF59" i="116"/>
  <c r="DG59" i="116"/>
  <c r="DH59" i="116" s="1"/>
  <c r="DU65" i="116"/>
  <c r="CO96" i="116"/>
  <c r="CN96" i="116"/>
  <c r="DU103" i="116"/>
  <c r="DV103" i="116"/>
  <c r="DW103" i="116" s="1"/>
  <c r="BZ46" i="116"/>
  <c r="BY46" i="116"/>
  <c r="CA46" i="116" s="1"/>
  <c r="DH133" i="20"/>
  <c r="DJ133" i="20"/>
  <c r="BZ43" i="116"/>
  <c r="BY43" i="116"/>
  <c r="CA43" i="116" s="1"/>
  <c r="E25" i="48"/>
  <c r="G25" i="48" s="1"/>
  <c r="I25" i="48"/>
  <c r="DV14" i="116"/>
  <c r="DW14" i="116" s="1"/>
  <c r="DU14" i="116"/>
  <c r="BZ77" i="116"/>
  <c r="BY77" i="116"/>
  <c r="BZ97" i="116"/>
  <c r="BY97" i="116"/>
  <c r="BZ72" i="116"/>
  <c r="BY72" i="116"/>
  <c r="CO11" i="116"/>
  <c r="CN11" i="116"/>
  <c r="CO37" i="116"/>
  <c r="CN37" i="116"/>
  <c r="BZ96" i="116"/>
  <c r="BY96" i="116"/>
  <c r="BZ86" i="116"/>
  <c r="BY86" i="116"/>
  <c r="BZ48" i="116"/>
  <c r="BY48" i="116"/>
  <c r="CA48" i="116" s="1"/>
  <c r="EI74" i="20"/>
  <c r="EK74" i="20"/>
  <c r="EI109" i="20"/>
  <c r="EK109" i="20"/>
  <c r="DV47" i="116"/>
  <c r="DW47" i="116" s="1"/>
  <c r="DU47" i="116"/>
  <c r="EL47" i="20"/>
  <c r="EM47" i="20"/>
  <c r="DV59" i="116"/>
  <c r="DW59" i="116" s="1"/>
  <c r="DU59" i="116"/>
  <c r="CN38" i="116"/>
  <c r="CP38" i="116" s="1"/>
  <c r="CO38" i="116"/>
  <c r="EI13" i="20"/>
  <c r="EK13" i="20"/>
  <c r="EI86" i="20"/>
  <c r="EK86" i="20"/>
  <c r="DV11" i="116"/>
  <c r="DW11" i="116" s="1"/>
  <c r="DU11" i="116"/>
  <c r="DV13" i="116"/>
  <c r="DW13" i="116" s="1"/>
  <c r="DU13" i="116"/>
  <c r="DG105" i="116"/>
  <c r="DH105" i="116" s="1"/>
  <c r="DF105" i="116"/>
  <c r="CO22" i="116"/>
  <c r="CN22" i="116"/>
  <c r="CT145" i="20"/>
  <c r="CV145" i="20"/>
  <c r="CO36" i="116"/>
  <c r="CN36" i="116"/>
  <c r="CN78" i="116"/>
  <c r="CO78" i="116"/>
  <c r="DT98" i="116"/>
  <c r="CN61" i="116"/>
  <c r="CP61" i="116" s="1"/>
  <c r="CO61" i="116"/>
  <c r="BM14" i="116"/>
  <c r="CO30" i="116"/>
  <c r="CN30" i="116"/>
  <c r="CP30" i="116" s="1"/>
  <c r="DT93" i="116"/>
  <c r="EI30" i="20"/>
  <c r="EK30" i="20"/>
  <c r="BZ89" i="116"/>
  <c r="BY89" i="116"/>
  <c r="CA89" i="116" s="1"/>
  <c r="DH177" i="20"/>
  <c r="DJ177" i="20"/>
  <c r="CO47" i="116"/>
  <c r="CN47" i="116"/>
  <c r="CP47" i="116" s="1"/>
  <c r="DT76" i="116"/>
  <c r="EM101" i="20"/>
  <c r="EL101" i="20"/>
  <c r="BZ87" i="116"/>
  <c r="BY87" i="116"/>
  <c r="BZ68" i="116"/>
  <c r="BY68" i="116"/>
  <c r="CN57" i="116"/>
  <c r="CO57" i="116"/>
  <c r="EI67" i="20"/>
  <c r="EK67" i="20"/>
  <c r="BZ102" i="116"/>
  <c r="BY102" i="116"/>
  <c r="CA102" i="116" s="1"/>
  <c r="CN72" i="116"/>
  <c r="CO72" i="116"/>
  <c r="EI27" i="20"/>
  <c r="EK27" i="20"/>
  <c r="DT85" i="116"/>
  <c r="DF73" i="116"/>
  <c r="DG73" i="116"/>
  <c r="DH73" i="116" s="1"/>
  <c r="CO43" i="116"/>
  <c r="CN43" i="116"/>
  <c r="CP43" i="116" s="1"/>
  <c r="EM18" i="20"/>
  <c r="EL18" i="20"/>
  <c r="DT71" i="116"/>
  <c r="BZ62" i="116"/>
  <c r="BY62" i="116"/>
  <c r="CA62" i="116" s="1"/>
  <c r="EI26" i="20"/>
  <c r="EK26" i="20"/>
  <c r="EI104" i="20"/>
  <c r="EK104" i="20"/>
  <c r="BZ42" i="116"/>
  <c r="BY42" i="116"/>
  <c r="CA42" i="116" s="1"/>
  <c r="BZ34" i="116"/>
  <c r="BY34" i="116"/>
  <c r="CT11" i="116"/>
  <c r="CT171" i="20"/>
  <c r="CV171" i="20"/>
  <c r="BY33" i="116"/>
  <c r="BZ33" i="116"/>
  <c r="EI94" i="20"/>
  <c r="EK94" i="20"/>
  <c r="EI97" i="20"/>
  <c r="EK97" i="20"/>
  <c r="CU20" i="20"/>
  <c r="DC20" i="20"/>
  <c r="DH19" i="20" s="1"/>
  <c r="I25" i="20" s="1"/>
  <c r="CV20" i="20"/>
  <c r="DF20" i="20" s="1"/>
  <c r="DK19" i="20" s="1"/>
  <c r="DJ19" i="20"/>
  <c r="H25" i="20" s="1"/>
  <c r="DH190" i="20"/>
  <c r="DJ190" i="20"/>
  <c r="EI83" i="20"/>
  <c r="EK83" i="20"/>
  <c r="CN14" i="116"/>
  <c r="CP14" i="116" s="1"/>
  <c r="CO14" i="116"/>
  <c r="DT64" i="116"/>
  <c r="DT89" i="116"/>
  <c r="BZ88" i="116"/>
  <c r="BY88" i="116"/>
  <c r="CA88" i="116" s="1"/>
  <c r="CE108" i="116"/>
  <c r="EI91" i="20"/>
  <c r="EK91" i="20"/>
  <c r="BE5" i="117"/>
  <c r="DH196" i="20"/>
  <c r="DJ196" i="20"/>
  <c r="DF69" i="116"/>
  <c r="DG69" i="116"/>
  <c r="DH69" i="116" s="1"/>
  <c r="DV86" i="116"/>
  <c r="DW86" i="116" s="1"/>
  <c r="DU86" i="116"/>
  <c r="CO93" i="116"/>
  <c r="CN93" i="116"/>
  <c r="CU5" i="20"/>
  <c r="CV5" i="20"/>
  <c r="DF5" i="20" s="1"/>
  <c r="DC5" i="20"/>
  <c r="CO50" i="116"/>
  <c r="CN50" i="116"/>
  <c r="CP50" i="116" s="1"/>
  <c r="EM59" i="20"/>
  <c r="EL59" i="20"/>
  <c r="DT41" i="116"/>
  <c r="CN76" i="116"/>
  <c r="CO76" i="116"/>
  <c r="DG40" i="116"/>
  <c r="DH40" i="116" s="1"/>
  <c r="DF40" i="116"/>
  <c r="EM72" i="20"/>
  <c r="EL72" i="20"/>
  <c r="CT194" i="20"/>
  <c r="CV194" i="20"/>
  <c r="EM28" i="20"/>
  <c r="EL28" i="20"/>
  <c r="DG19" i="116"/>
  <c r="DH19" i="116" s="1"/>
  <c r="DF19" i="116"/>
  <c r="EL61" i="20"/>
  <c r="EM61" i="20"/>
  <c r="BZ70" i="116"/>
  <c r="BY70" i="116"/>
  <c r="CA70" i="116" s="1"/>
  <c r="BZ51" i="116"/>
  <c r="BY51" i="116"/>
  <c r="CA51" i="116" s="1"/>
  <c r="DT12" i="116"/>
  <c r="CO46" i="116"/>
  <c r="CN46" i="116"/>
  <c r="EM63" i="20"/>
  <c r="EL63" i="20"/>
  <c r="DT21" i="116"/>
  <c r="EM33" i="20"/>
  <c r="EL33" i="20"/>
  <c r="CN55" i="116"/>
  <c r="CO55" i="116"/>
  <c r="BZ100" i="116"/>
  <c r="BY100" i="116"/>
  <c r="CN86" i="116"/>
  <c r="CO86" i="116"/>
  <c r="CO35" i="116"/>
  <c r="CN35" i="116"/>
  <c r="AQ38" i="117"/>
  <c r="AJ39" i="117" s="1"/>
  <c r="CE97" i="116"/>
  <c r="BZ49" i="116"/>
  <c r="BY49" i="116"/>
  <c r="CA49" i="116" s="1"/>
  <c r="EM31" i="20"/>
  <c r="EL31" i="20"/>
  <c r="DT24" i="116"/>
  <c r="EI14" i="20"/>
  <c r="EK14" i="20"/>
  <c r="CT155" i="20"/>
  <c r="CV155" i="20"/>
  <c r="W20" i="117"/>
  <c r="AD38" i="117"/>
  <c r="AE38" i="117"/>
  <c r="W23" i="117"/>
  <c r="AE39" i="117"/>
  <c r="W26" i="117"/>
  <c r="DG41" i="116"/>
  <c r="DH41" i="116" s="1"/>
  <c r="DF41" i="116"/>
  <c r="BZ27" i="116"/>
  <c r="BY27" i="116"/>
  <c r="BZ24" i="116"/>
  <c r="BY24" i="116"/>
  <c r="CO110" i="116"/>
  <c r="CN110" i="116"/>
  <c r="DF86" i="116"/>
  <c r="DG86" i="116"/>
  <c r="DH86" i="116" s="1"/>
  <c r="DT32" i="116"/>
  <c r="CT167" i="20"/>
  <c r="CV167" i="20"/>
  <c r="CO108" i="116"/>
  <c r="CN108" i="116"/>
  <c r="CP108" i="116" s="1"/>
  <c r="EI87" i="20"/>
  <c r="EK87" i="20"/>
  <c r="EI10" i="20"/>
  <c r="EK10" i="20"/>
  <c r="DT60" i="116"/>
  <c r="DT97" i="116"/>
  <c r="BZ109" i="116"/>
  <c r="BY109" i="116"/>
  <c r="BZ65" i="116"/>
  <c r="BY65" i="116"/>
  <c r="BZ64" i="116"/>
  <c r="BY64" i="116"/>
  <c r="CA64" i="116" s="1"/>
  <c r="W30" i="20"/>
  <c r="Z14" i="20"/>
  <c r="P12" i="20"/>
  <c r="O13" i="20" s="1"/>
  <c r="EL77" i="20"/>
  <c r="EM77" i="20"/>
  <c r="DV23" i="116"/>
  <c r="DW23" i="116" s="1"/>
  <c r="CN29" i="116"/>
  <c r="CO29" i="116"/>
  <c r="DG45" i="116"/>
  <c r="DH45" i="116" s="1"/>
  <c r="DF45" i="116"/>
  <c r="E16" i="44"/>
  <c r="G16" i="44" s="1"/>
  <c r="I16" i="44" s="1"/>
  <c r="DT67" i="116"/>
  <c r="EI107" i="20"/>
  <c r="EK107" i="20"/>
  <c r="CN75" i="116"/>
  <c r="CO75" i="116"/>
  <c r="EL32" i="20"/>
  <c r="EM32" i="20"/>
  <c r="DT33" i="116"/>
  <c r="DF64" i="116"/>
  <c r="DG64" i="116"/>
  <c r="DH64" i="116" s="1"/>
  <c r="DV27" i="116"/>
  <c r="DW27" i="116" s="1"/>
  <c r="DU27" i="116"/>
  <c r="EI84" i="20"/>
  <c r="EK84" i="20"/>
  <c r="CN15" i="116"/>
  <c r="CO15" i="116"/>
  <c r="DT109" i="116"/>
  <c r="DT81" i="116"/>
  <c r="EL64" i="20"/>
  <c r="EM64" i="20"/>
  <c r="CO42" i="116"/>
  <c r="CN42" i="116"/>
  <c r="CP42" i="116" s="1"/>
  <c r="DG97" i="116"/>
  <c r="DH97" i="116" s="1"/>
  <c r="DF97" i="116"/>
  <c r="EM39" i="20"/>
  <c r="EL39" i="20"/>
  <c r="BZ20" i="116"/>
  <c r="BY20" i="116"/>
  <c r="F12" i="50"/>
  <c r="C13" i="50" s="1"/>
  <c r="CN52" i="116"/>
  <c r="CO52" i="116"/>
  <c r="DT96" i="116"/>
  <c r="DT53" i="116"/>
  <c r="EM75" i="20"/>
  <c r="EL75" i="20"/>
  <c r="BZ71" i="116"/>
  <c r="BY71" i="116"/>
  <c r="BZ84" i="116"/>
  <c r="BY84" i="116"/>
  <c r="CA84" i="116" s="1"/>
  <c r="CE24" i="116"/>
  <c r="CO21" i="116"/>
  <c r="CN21" i="116"/>
  <c r="CO27" i="116"/>
  <c r="CN27" i="116"/>
  <c r="BZ110" i="116"/>
  <c r="BY110" i="116"/>
  <c r="CO106" i="116"/>
  <c r="CN106" i="116"/>
  <c r="CO95" i="116"/>
  <c r="CN95" i="116"/>
  <c r="CP95" i="116" s="1"/>
  <c r="EM11" i="20"/>
  <c r="EL11" i="20"/>
  <c r="BZ61" i="116"/>
  <c r="BY61" i="116"/>
  <c r="CA61" i="116" s="1"/>
  <c r="EM29" i="20"/>
  <c r="EL29" i="20"/>
  <c r="EM56" i="20"/>
  <c r="EL56" i="20"/>
  <c r="EI51" i="20"/>
  <c r="EK51" i="20"/>
  <c r="BZ107" i="116"/>
  <c r="BY107" i="116"/>
  <c r="CT169" i="20"/>
  <c r="CV169" i="20"/>
  <c r="CO89" i="116"/>
  <c r="CN89" i="116"/>
  <c r="CP89" i="116" s="1"/>
  <c r="DT94" i="116"/>
  <c r="EL45" i="20"/>
  <c r="EM45" i="20"/>
  <c r="CO94" i="116"/>
  <c r="CN94" i="116"/>
  <c r="EI99" i="20"/>
  <c r="EK99" i="20"/>
  <c r="W20" i="112"/>
  <c r="W23" i="112"/>
  <c r="AD38" i="112"/>
  <c r="AF38" i="112" s="1"/>
  <c r="Y39" i="112" s="1"/>
  <c r="W26" i="112"/>
  <c r="AE38" i="112"/>
  <c r="AE39" i="112"/>
  <c r="DV38" i="116"/>
  <c r="DW38" i="116" s="1"/>
  <c r="DU38" i="116"/>
  <c r="L29" i="117"/>
  <c r="L14" i="117"/>
  <c r="BZ53" i="116"/>
  <c r="BY53" i="116"/>
  <c r="BZ16" i="116"/>
  <c r="BY16" i="116"/>
  <c r="EL17" i="20"/>
  <c r="EM17" i="20"/>
  <c r="DH175" i="20"/>
  <c r="DJ175" i="20"/>
  <c r="CO44" i="116"/>
  <c r="CN44" i="116"/>
  <c r="DV83" i="116"/>
  <c r="DW83" i="116" s="1"/>
  <c r="DU83" i="116"/>
  <c r="CO109" i="116"/>
  <c r="CN109" i="116"/>
  <c r="BZ79" i="116"/>
  <c r="BY79" i="116"/>
  <c r="CO34" i="116"/>
  <c r="CN34" i="116"/>
  <c r="CP34" i="116" s="1"/>
  <c r="Q28" i="40"/>
  <c r="Q22" i="40"/>
  <c r="Q15" i="40"/>
  <c r="Q10" i="40"/>
  <c r="Q33" i="40"/>
  <c r="Q31" i="40"/>
  <c r="Q39" i="40"/>
  <c r="Q35" i="40"/>
  <c r="Q18" i="40"/>
  <c r="Q37" i="40"/>
  <c r="Q38" i="40"/>
  <c r="Q13" i="40"/>
  <c r="Q25" i="40"/>
  <c r="Q19" i="40"/>
  <c r="Q14" i="40"/>
  <c r="Q34" i="40"/>
  <c r="Q27" i="40"/>
  <c r="Q23" i="40"/>
  <c r="Q29" i="40"/>
  <c r="Q17" i="40"/>
  <c r="Q30" i="40"/>
  <c r="Q20" i="40"/>
  <c r="Q11" i="40"/>
  <c r="Q26" i="40"/>
  <c r="Q21" i="40"/>
  <c r="Q7" i="40"/>
  <c r="Q24" i="40"/>
  <c r="Q16" i="40"/>
  <c r="AK43" i="40"/>
  <c r="E25" i="40" s="1"/>
  <c r="E26" i="40" s="1"/>
  <c r="Q36" i="40"/>
  <c r="Q32" i="40"/>
  <c r="Q9" i="40"/>
  <c r="Q8" i="40"/>
  <c r="Q12" i="40"/>
  <c r="EI103" i="20"/>
  <c r="EK103" i="20"/>
  <c r="CO17" i="116"/>
  <c r="CN17" i="116"/>
  <c r="CP17" i="116" s="1"/>
  <c r="DV43" i="116"/>
  <c r="DW43" i="116" s="1"/>
  <c r="DU43" i="116"/>
  <c r="CO26" i="116"/>
  <c r="CN26" i="116"/>
  <c r="DV50" i="116"/>
  <c r="DW50" i="116" s="1"/>
  <c r="DU50" i="116"/>
  <c r="BZ32" i="116"/>
  <c r="BY32" i="116"/>
  <c r="CA32" i="116" s="1"/>
  <c r="U30" i="20"/>
  <c r="R24" i="20"/>
  <c r="O25" i="20" s="1"/>
  <c r="B33" i="44"/>
  <c r="D32" i="44"/>
  <c r="F32" i="44" s="1"/>
  <c r="H32" i="44" s="1"/>
  <c r="DF70" i="116"/>
  <c r="DG70" i="116"/>
  <c r="DH70" i="116" s="1"/>
  <c r="BD9" i="38"/>
  <c r="BD8" i="38"/>
  <c r="EM22" i="20"/>
  <c r="EL22" i="20"/>
  <c r="DT106" i="116"/>
  <c r="CT46" i="116"/>
  <c r="EI71" i="20"/>
  <c r="EK71" i="20"/>
  <c r="DG17" i="116"/>
  <c r="DH17" i="116" s="1"/>
  <c r="DF17" i="116"/>
  <c r="EI106" i="20"/>
  <c r="EK106" i="20"/>
  <c r="DT15" i="116"/>
  <c r="CE100" i="116"/>
  <c r="CT202" i="20"/>
  <c r="CV202" i="20"/>
  <c r="CN85" i="116"/>
  <c r="CO85" i="116"/>
  <c r="DT40" i="116"/>
  <c r="BZ75" i="116"/>
  <c r="BY75" i="116"/>
  <c r="CA75" i="116" s="1"/>
  <c r="BZ63" i="116"/>
  <c r="BY63" i="116"/>
  <c r="EL62" i="20"/>
  <c r="EM62" i="20"/>
  <c r="CO41" i="116"/>
  <c r="CN41" i="116"/>
  <c r="CP41" i="116" s="1"/>
  <c r="EI93" i="20"/>
  <c r="EK93" i="20"/>
  <c r="BZ73" i="116"/>
  <c r="BY73" i="116"/>
  <c r="BZ54" i="116"/>
  <c r="BY54" i="116"/>
  <c r="CA54" i="116" s="1"/>
  <c r="BZ78" i="116"/>
  <c r="BY78" i="116"/>
  <c r="CO32" i="116"/>
  <c r="CN32" i="116"/>
  <c r="CP32" i="116" s="1"/>
  <c r="CN39" i="116"/>
  <c r="CO39" i="116"/>
  <c r="CU14" i="20"/>
  <c r="DC14" i="20"/>
  <c r="CV14" i="20"/>
  <c r="DF14" i="20" s="1"/>
  <c r="CE109" i="116"/>
  <c r="CE32" i="116"/>
  <c r="T31" i="40"/>
  <c r="T27" i="40"/>
  <c r="T23" i="40"/>
  <c r="T37" i="40"/>
  <c r="T25" i="40"/>
  <c r="T19" i="40"/>
  <c r="T14" i="40"/>
  <c r="T34" i="40"/>
  <c r="T38" i="40"/>
  <c r="T18" i="40"/>
  <c r="T30" i="40"/>
  <c r="T20" i="40"/>
  <c r="T11" i="40"/>
  <c r="T12" i="40"/>
  <c r="T21" i="40"/>
  <c r="T33" i="40"/>
  <c r="T13" i="40"/>
  <c r="T29" i="40"/>
  <c r="T17" i="40"/>
  <c r="T24" i="40"/>
  <c r="T36" i="40"/>
  <c r="T32" i="40"/>
  <c r="T26" i="40"/>
  <c r="AO43" i="40"/>
  <c r="E31" i="40" s="1"/>
  <c r="E32" i="40" s="1"/>
  <c r="T28" i="40"/>
  <c r="T9" i="40"/>
  <c r="T8" i="40"/>
  <c r="T35" i="40"/>
  <c r="T10" i="40"/>
  <c r="T7" i="40"/>
  <c r="T22" i="40"/>
  <c r="T15" i="40"/>
  <c r="T39" i="40"/>
  <c r="T16" i="40"/>
  <c r="CT208" i="20"/>
  <c r="CV208" i="20"/>
  <c r="BZ44" i="116"/>
  <c r="BY44" i="116"/>
  <c r="CA44" i="116" s="1"/>
  <c r="EM50" i="20"/>
  <c r="EL50" i="20"/>
  <c r="CN62" i="116"/>
  <c r="CP62" i="116" s="1"/>
  <c r="CO62" i="116"/>
  <c r="DV72" i="116"/>
  <c r="DW72" i="116" s="1"/>
  <c r="DU72" i="116"/>
  <c r="CO100" i="116"/>
  <c r="CN100" i="116"/>
  <c r="DF78" i="116"/>
  <c r="DG78" i="116"/>
  <c r="DH78" i="116" s="1"/>
  <c r="DH171" i="20"/>
  <c r="DJ171" i="20"/>
  <c r="DG25" i="116"/>
  <c r="DH25" i="116" s="1"/>
  <c r="DF25" i="116"/>
  <c r="CO31" i="116"/>
  <c r="CN31" i="116"/>
  <c r="CP31" i="116" s="1"/>
  <c r="DV80" i="116"/>
  <c r="DW80" i="116" s="1"/>
  <c r="DU80" i="116"/>
  <c r="DU105" i="116"/>
  <c r="DV105" i="116"/>
  <c r="DW105" i="116" s="1"/>
  <c r="BZ55" i="116"/>
  <c r="BY55" i="116"/>
  <c r="CA55" i="116" s="1"/>
  <c r="BZ17" i="116"/>
  <c r="BY17" i="116"/>
  <c r="DV75" i="116"/>
  <c r="DW75" i="116" s="1"/>
  <c r="DU75" i="116"/>
  <c r="CO92" i="116"/>
  <c r="CN92" i="116"/>
  <c r="CT139" i="20"/>
  <c r="CV139" i="20"/>
  <c r="CN56" i="116"/>
  <c r="CO56" i="116"/>
  <c r="EM43" i="20"/>
  <c r="EL43" i="20"/>
  <c r="EI46" i="20"/>
  <c r="EK46" i="20"/>
  <c r="BZ101" i="116"/>
  <c r="BY101" i="116"/>
  <c r="CA101" i="116" s="1"/>
  <c r="CN87" i="116"/>
  <c r="CO87" i="116"/>
  <c r="CT177" i="20"/>
  <c r="CV177" i="20"/>
  <c r="EM20" i="20"/>
  <c r="EL20" i="20"/>
  <c r="DG48" i="116"/>
  <c r="DH48" i="116" s="1"/>
  <c r="DF48" i="116"/>
  <c r="CT42" i="116"/>
  <c r="CH5" i="116"/>
  <c r="CH6" i="116" s="1"/>
  <c r="AT3" i="117" s="1"/>
  <c r="BZ41" i="116"/>
  <c r="BY41" i="116"/>
  <c r="BZ50" i="116"/>
  <c r="BY50" i="116"/>
  <c r="DU92" i="116"/>
  <c r="DV92" i="116"/>
  <c r="DW92" i="116" s="1"/>
  <c r="EM21" i="20"/>
  <c r="EL21" i="20"/>
  <c r="E32" i="46"/>
  <c r="G32" i="46" s="1"/>
  <c r="I32" i="46" s="1"/>
  <c r="EI48" i="20"/>
  <c r="EK48" i="20"/>
  <c r="BZ40" i="116"/>
  <c r="BY40" i="116"/>
  <c r="CN82" i="116"/>
  <c r="CO82" i="116"/>
  <c r="CT32" i="116"/>
  <c r="DV77" i="116"/>
  <c r="DW77" i="116" s="1"/>
  <c r="DU77" i="116"/>
  <c r="DV84" i="116"/>
  <c r="DW84" i="116" s="1"/>
  <c r="DU84" i="116"/>
  <c r="CN81" i="116"/>
  <c r="CO81" i="116"/>
  <c r="CE110" i="116"/>
  <c r="EI40" i="20"/>
  <c r="EK40" i="20"/>
  <c r="DG18" i="116"/>
  <c r="DH18" i="116" s="1"/>
  <c r="DF18" i="116"/>
  <c r="BZ19" i="116"/>
  <c r="BY19" i="116"/>
  <c r="EI95" i="20"/>
  <c r="EK95" i="20"/>
  <c r="CN53" i="116"/>
  <c r="CO53" i="116"/>
  <c r="DH184" i="20"/>
  <c r="DJ184" i="20"/>
  <c r="BZ106" i="116"/>
  <c r="BY106" i="116"/>
  <c r="CA106" i="116" s="1"/>
  <c r="CO48" i="116"/>
  <c r="CN48" i="116"/>
  <c r="CT62" i="116"/>
  <c r="CE107" i="116"/>
  <c r="CT100" i="116"/>
  <c r="DT26" i="116"/>
  <c r="EI81" i="20"/>
  <c r="EK81" i="20"/>
  <c r="DT58" i="116"/>
  <c r="DT54" i="116"/>
  <c r="DT57" i="116"/>
  <c r="BZ30" i="116"/>
  <c r="BY30" i="116"/>
  <c r="DH147" i="20"/>
  <c r="DJ147" i="20"/>
  <c r="CT31" i="116"/>
  <c r="CE55" i="116"/>
  <c r="CE16" i="116"/>
  <c r="CT92" i="116"/>
  <c r="CT151" i="20"/>
  <c r="CV151" i="20"/>
  <c r="DT22" i="116"/>
  <c r="CT56" i="116"/>
  <c r="CN28" i="116"/>
  <c r="CO28" i="116"/>
  <c r="DF77" i="116"/>
  <c r="DG77" i="116"/>
  <c r="DH77" i="116" s="1"/>
  <c r="CT87" i="116"/>
  <c r="CT44" i="116"/>
  <c r="DH165" i="20"/>
  <c r="DJ165" i="20"/>
  <c r="EI76" i="20"/>
  <c r="EK76" i="20"/>
  <c r="DF67" i="116"/>
  <c r="DG67" i="116"/>
  <c r="DH67" i="116" s="1"/>
  <c r="BZ23" i="116"/>
  <c r="BY23" i="116"/>
  <c r="CO107" i="116"/>
  <c r="CN107" i="116"/>
  <c r="DV25" i="116"/>
  <c r="DW25" i="116" s="1"/>
  <c r="DU25" i="116"/>
  <c r="DH204" i="20"/>
  <c r="DJ204" i="20"/>
  <c r="BZ22" i="116"/>
  <c r="BY22" i="116"/>
  <c r="CA22" i="116" s="1"/>
  <c r="BZ58" i="116"/>
  <c r="BY58" i="116"/>
  <c r="BZ31" i="116"/>
  <c r="BY31" i="116"/>
  <c r="CN84" i="116"/>
  <c r="CO84" i="116"/>
  <c r="CN51" i="116"/>
  <c r="CO51" i="116"/>
  <c r="EI12" i="20"/>
  <c r="EK12" i="20"/>
  <c r="BZ56" i="116"/>
  <c r="BY56" i="116"/>
  <c r="CA56" i="116" s="1"/>
  <c r="BZ69" i="116"/>
  <c r="BY69" i="116"/>
  <c r="CA69" i="116" s="1"/>
  <c r="CT82" i="116"/>
  <c r="EI105" i="20"/>
  <c r="EK105" i="20"/>
  <c r="CT81" i="116"/>
  <c r="EL92" i="20"/>
  <c r="EM92" i="20"/>
  <c r="DU99" i="116"/>
  <c r="DV99" i="116"/>
  <c r="DW99" i="116" s="1"/>
  <c r="CN80" i="116"/>
  <c r="CP80" i="116" s="1"/>
  <c r="CO80" i="116"/>
  <c r="DH149" i="20"/>
  <c r="DJ149" i="20"/>
  <c r="CN63" i="116"/>
  <c r="CO63" i="116"/>
  <c r="DV63" i="116"/>
  <c r="DW63" i="116" s="1"/>
  <c r="DU63" i="116"/>
  <c r="DV28" i="116"/>
  <c r="DW28" i="116" s="1"/>
  <c r="DU28" i="116"/>
  <c r="DH188" i="20"/>
  <c r="DJ188" i="20"/>
  <c r="BZ94" i="116"/>
  <c r="BY94" i="116"/>
  <c r="CA94" i="116" s="1"/>
  <c r="DV52" i="116"/>
  <c r="DW52" i="116" s="1"/>
  <c r="DU52" i="116"/>
  <c r="CT182" i="20"/>
  <c r="CV182" i="20"/>
  <c r="CX128" i="20"/>
  <c r="CX129" i="20" s="1"/>
  <c r="CL3" i="112" s="1"/>
  <c r="CK11" i="112" s="1"/>
  <c r="DG94" i="116"/>
  <c r="DH94" i="116" s="1"/>
  <c r="DF94" i="116"/>
  <c r="DT107" i="116"/>
  <c r="CN24" i="116"/>
  <c r="CO24" i="116"/>
  <c r="DH208" i="20"/>
  <c r="DJ208" i="20"/>
  <c r="BO8" i="117"/>
  <c r="CN60" i="116"/>
  <c r="CO60" i="116"/>
  <c r="EM68" i="20"/>
  <c r="EL68" i="20"/>
  <c r="CE30" i="116"/>
  <c r="EM90" i="20"/>
  <c r="EL90" i="20"/>
  <c r="EI35" i="20"/>
  <c r="EK35" i="20"/>
  <c r="CN74" i="116"/>
  <c r="CO74" i="116"/>
  <c r="AS20" i="112"/>
  <c r="AS26" i="112"/>
  <c r="AS23" i="112"/>
  <c r="BA38" i="112"/>
  <c r="BA39" i="112"/>
  <c r="AZ38" i="112"/>
  <c r="BZ18" i="116"/>
  <c r="BY18" i="116"/>
  <c r="CO20" i="116"/>
  <c r="CN20" i="116"/>
  <c r="CO45" i="116"/>
  <c r="CN45" i="116"/>
  <c r="DV36" i="116"/>
  <c r="DW36" i="116" s="1"/>
  <c r="DU36" i="116"/>
  <c r="EL70" i="20"/>
  <c r="EM70" i="20"/>
  <c r="CO88" i="116"/>
  <c r="CN88" i="116"/>
  <c r="CP88" i="116" s="1"/>
  <c r="EI58" i="20"/>
  <c r="EK58" i="20"/>
  <c r="EI100" i="20"/>
  <c r="EK100" i="20"/>
  <c r="EL66" i="20"/>
  <c r="EM66" i="20"/>
  <c r="CN70" i="116"/>
  <c r="CO70" i="116"/>
  <c r="DF60" i="116"/>
  <c r="DG60" i="116"/>
  <c r="DH60" i="116" s="1"/>
  <c r="CE23" i="116"/>
  <c r="CT107" i="116"/>
  <c r="CE22" i="116"/>
  <c r="CE58" i="116"/>
  <c r="BZ39" i="116"/>
  <c r="BY39" i="116"/>
  <c r="CA39" i="116" s="1"/>
  <c r="CT84" i="116"/>
  <c r="CT41" i="116"/>
  <c r="EI49" i="20"/>
  <c r="EK49" i="20"/>
  <c r="CT51" i="116"/>
  <c r="CO33" i="116"/>
  <c r="CN33" i="116"/>
  <c r="EI55" i="20"/>
  <c r="EK55" i="20"/>
  <c r="CE56" i="116"/>
  <c r="CE69" i="116"/>
  <c r="CO101" i="116"/>
  <c r="CN101" i="116"/>
  <c r="DU104" i="116"/>
  <c r="DV104" i="116"/>
  <c r="DW104" i="116" s="1"/>
  <c r="CO99" i="116"/>
  <c r="CN99" i="116"/>
  <c r="CT80" i="116"/>
  <c r="BZ93" i="116"/>
  <c r="BY93" i="116"/>
  <c r="CT63" i="116"/>
  <c r="CT149" i="20"/>
  <c r="CV149" i="20"/>
  <c r="G44" i="52"/>
  <c r="I44" i="52" s="1"/>
  <c r="DH198" i="20"/>
  <c r="DJ198" i="20"/>
  <c r="BZ60" i="116"/>
  <c r="BY60" i="116"/>
  <c r="DH159" i="20"/>
  <c r="DJ159" i="20"/>
  <c r="CT135" i="20"/>
  <c r="CV135" i="20"/>
  <c r="EL38" i="20"/>
  <c r="EM38" i="20"/>
  <c r="CT24" i="116"/>
  <c r="CT60" i="116"/>
  <c r="EL25" i="20"/>
  <c r="EM25" i="20"/>
  <c r="CN59" i="116"/>
  <c r="CO59" i="116"/>
  <c r="CT74" i="116"/>
  <c r="DT102" i="116"/>
  <c r="EM98" i="20"/>
  <c r="EL98" i="20"/>
  <c r="CE17" i="116"/>
  <c r="CE45" i="116"/>
  <c r="CT20" i="116"/>
  <c r="DT45" i="116"/>
  <c r="EM36" i="20"/>
  <c r="EL36" i="20"/>
  <c r="DH183" i="20"/>
  <c r="DJ183" i="20"/>
  <c r="DL128" i="20"/>
  <c r="DL129" i="20" s="1"/>
  <c r="CW3" i="112" s="1"/>
  <c r="CV11" i="112" s="1"/>
  <c r="EM65" i="20"/>
  <c r="EL65" i="20"/>
  <c r="CE101" i="116"/>
  <c r="CT88" i="116"/>
  <c r="DH169" i="20"/>
  <c r="DJ169" i="20"/>
  <c r="CT70" i="116"/>
  <c r="DU110" i="116"/>
  <c r="DV110" i="116"/>
  <c r="DW110" i="116" s="1"/>
  <c r="EI89" i="20"/>
  <c r="EK89" i="20"/>
  <c r="BZ98" i="116"/>
  <c r="BY98" i="116"/>
  <c r="BZ57" i="116"/>
  <c r="BY57" i="116"/>
  <c r="CE39" i="116"/>
  <c r="CO105" i="116"/>
  <c r="CN105" i="116"/>
  <c r="DU91" i="116"/>
  <c r="DV91" i="116"/>
  <c r="DW91" i="116" s="1"/>
  <c r="CO40" i="116"/>
  <c r="CN40" i="116"/>
  <c r="CP40" i="116" s="1"/>
  <c r="BZ7" i="117"/>
  <c r="BZ6" i="117"/>
  <c r="BZ8" i="117" s="1"/>
  <c r="B20" i="52"/>
  <c r="E20" i="52" s="1"/>
  <c r="G20" i="52" s="1"/>
  <c r="I20" i="52" s="1"/>
  <c r="D19" i="52"/>
  <c r="F19" i="52" s="1"/>
  <c r="H19" i="52" s="1"/>
  <c r="J19" i="52" s="1"/>
  <c r="C20" i="52" s="1"/>
  <c r="BZ52" i="116"/>
  <c r="BY52" i="116"/>
  <c r="BZ14" i="116"/>
  <c r="BY14" i="116"/>
  <c r="CT101" i="116"/>
  <c r="EI54" i="20"/>
  <c r="EK54" i="20"/>
  <c r="CT99" i="116"/>
  <c r="BD20" i="112"/>
  <c r="BK38" i="112"/>
  <c r="BL38" i="112"/>
  <c r="BD23" i="112"/>
  <c r="BD26" i="112"/>
  <c r="BL39" i="112"/>
  <c r="CO97" i="116"/>
  <c r="CN97" i="116"/>
  <c r="CP97" i="116" s="1"/>
  <c r="A14" i="112"/>
  <c r="A29" i="112"/>
  <c r="DU87" i="116"/>
  <c r="DV87" i="116"/>
  <c r="DW87" i="116" s="1"/>
  <c r="BZ26" i="116"/>
  <c r="BY26" i="116"/>
  <c r="CA26" i="116" s="1"/>
  <c r="CE25" i="116"/>
  <c r="BZ12" i="116"/>
  <c r="BY12" i="116"/>
  <c r="CE19" i="116"/>
  <c r="DG35" i="116"/>
  <c r="DH35" i="116" s="1"/>
  <c r="DF35" i="116"/>
  <c r="DG42" i="116"/>
  <c r="DH42" i="116" s="1"/>
  <c r="DF42" i="116"/>
  <c r="BZ47" i="116"/>
  <c r="BY47" i="116"/>
  <c r="CA47" i="116" s="1"/>
  <c r="EM73" i="20"/>
  <c r="EL73" i="20"/>
  <c r="EI19" i="20"/>
  <c r="EK19" i="20"/>
  <c r="CN79" i="116"/>
  <c r="CO79" i="116"/>
  <c r="DH224" i="20"/>
  <c r="DJ224" i="20"/>
  <c r="CT50" i="116"/>
  <c r="BZ91" i="116"/>
  <c r="BY91" i="116"/>
  <c r="CN77" i="116"/>
  <c r="CO77" i="116"/>
  <c r="AQ15" i="22"/>
  <c r="AR14" i="22"/>
  <c r="AP14" i="22" s="1"/>
  <c r="DG89" i="116"/>
  <c r="DH89" i="116" s="1"/>
  <c r="DF89" i="116"/>
  <c r="CO49" i="116"/>
  <c r="CN49" i="116"/>
  <c r="CH106" i="38"/>
  <c r="BR106" i="38"/>
  <c r="CE106" i="38"/>
  <c r="BO106" i="38"/>
  <c r="CD106" i="38"/>
  <c r="BN106" i="38"/>
  <c r="CA106" i="38"/>
  <c r="BZ106" i="38"/>
  <c r="BY106" i="38"/>
  <c r="BW106" i="38"/>
  <c r="BV106" i="38"/>
  <c r="BM106" i="38"/>
  <c r="BL106" i="38"/>
  <c r="CM81" i="38"/>
  <c r="CM73" i="38"/>
  <c r="CJ106" i="38"/>
  <c r="CG106" i="38"/>
  <c r="CF106" i="38"/>
  <c r="CM80" i="38"/>
  <c r="CM72" i="38"/>
  <c r="BU106" i="38"/>
  <c r="CM82" i="38"/>
  <c r="CM74" i="38"/>
  <c r="BT106" i="38"/>
  <c r="BS106" i="38"/>
  <c r="CM79" i="38"/>
  <c r="CM71" i="38"/>
  <c r="BQ106" i="38"/>
  <c r="CK106" i="38"/>
  <c r="CI106" i="38"/>
  <c r="CM83" i="38"/>
  <c r="CC106" i="38"/>
  <c r="CM85" i="38"/>
  <c r="CM84" i="38"/>
  <c r="CB106" i="38"/>
  <c r="BX106" i="38"/>
  <c r="CM69" i="38"/>
  <c r="BP106" i="38"/>
  <c r="CM70" i="38"/>
  <c r="CM78" i="38"/>
  <c r="CM77" i="38"/>
  <c r="CM76" i="38"/>
  <c r="CM75" i="38"/>
  <c r="BZ105" i="116"/>
  <c r="BY105" i="116"/>
  <c r="CA105" i="116" s="1"/>
  <c r="CT59" i="116"/>
  <c r="DT34" i="116"/>
  <c r="CT22" i="116"/>
  <c r="DT66" i="116"/>
  <c r="BZ103" i="116"/>
  <c r="BY103" i="116"/>
  <c r="CA103" i="116" s="1"/>
  <c r="CN73" i="116"/>
  <c r="CO73" i="116"/>
  <c r="DT61" i="116"/>
  <c r="EI24" i="20"/>
  <c r="EK24" i="20"/>
  <c r="EI42" i="20"/>
  <c r="EK42" i="20"/>
  <c r="CO16" i="116"/>
  <c r="CN16" i="116"/>
  <c r="DT74" i="116"/>
  <c r="DH228" i="20"/>
  <c r="DJ228" i="20"/>
  <c r="CT12" i="116"/>
  <c r="DH218" i="20"/>
  <c r="DJ218" i="20"/>
  <c r="BZ35" i="116"/>
  <c r="BY35" i="116"/>
  <c r="CE31" i="116"/>
  <c r="CE57" i="116"/>
  <c r="CT105" i="116"/>
  <c r="DT16" i="116"/>
  <c r="DT95" i="116"/>
  <c r="CE21" i="116"/>
  <c r="CE52" i="116"/>
  <c r="CO19" i="116"/>
  <c r="CN19" i="116"/>
  <c r="CP19" i="116" s="1"/>
  <c r="EM82" i="20"/>
  <c r="EL82" i="20"/>
  <c r="DT101" i="116"/>
  <c r="CT97" i="116"/>
  <c r="BZ82" i="116"/>
  <c r="BY82" i="116"/>
  <c r="CA82" i="116" s="1"/>
  <c r="BZ59" i="116"/>
  <c r="BY59" i="116"/>
  <c r="CT25" i="116"/>
  <c r="CT200" i="20"/>
  <c r="CV200" i="20"/>
  <c r="EM53" i="20"/>
  <c r="EL53" i="20"/>
  <c r="DG26" i="116"/>
  <c r="DH26" i="116" s="1"/>
  <c r="DF26" i="116"/>
  <c r="S20" i="20" l="1"/>
  <c r="R42" i="20"/>
  <c r="CP98" i="116"/>
  <c r="CP103" i="116"/>
  <c r="CP71" i="116"/>
  <c r="CP99" i="116"/>
  <c r="CA31" i="116"/>
  <c r="CA50" i="116"/>
  <c r="AA6" i="20"/>
  <c r="W7" i="20" s="1"/>
  <c r="CP27" i="116"/>
  <c r="CQ27" i="116" s="1"/>
  <c r="CA81" i="116"/>
  <c r="CA60" i="116"/>
  <c r="CB60" i="116" s="1"/>
  <c r="CA58" i="116"/>
  <c r="CC58" i="116" s="1"/>
  <c r="CD58" i="116" s="1"/>
  <c r="CA41" i="116"/>
  <c r="CC41" i="116" s="1"/>
  <c r="CD41" i="116" s="1"/>
  <c r="CA63" i="116"/>
  <c r="CA16" i="116"/>
  <c r="CC16" i="116" s="1"/>
  <c r="CD16" i="116" s="1"/>
  <c r="CP94" i="116"/>
  <c r="CP21" i="116"/>
  <c r="CA99" i="116"/>
  <c r="CA90" i="116"/>
  <c r="CA37" i="116"/>
  <c r="CP23" i="116"/>
  <c r="AF38" i="117"/>
  <c r="Y39" i="117" s="1"/>
  <c r="DU78" i="116"/>
  <c r="CP24" i="116"/>
  <c r="CQ24" i="116" s="1"/>
  <c r="CA100" i="116"/>
  <c r="CB100" i="116" s="1"/>
  <c r="CP36" i="116"/>
  <c r="CA80" i="116"/>
  <c r="CB80" i="116" s="1"/>
  <c r="CP53" i="116"/>
  <c r="CR53" i="116" s="1"/>
  <c r="CS53" i="116" s="1"/>
  <c r="CA78" i="116"/>
  <c r="CB78" i="116" s="1"/>
  <c r="CP105" i="116"/>
  <c r="CA40" i="116"/>
  <c r="CC40" i="116" s="1"/>
  <c r="CD40" i="116" s="1"/>
  <c r="CA12" i="116"/>
  <c r="CP85" i="116"/>
  <c r="CP110" i="116"/>
  <c r="DV31" i="116"/>
  <c r="DW31" i="116" s="1"/>
  <c r="CP67" i="116"/>
  <c r="BC39" i="20"/>
  <c r="BC41" i="20" s="1"/>
  <c r="AL26" i="20"/>
  <c r="CA57" i="116"/>
  <c r="CC57" i="116" s="1"/>
  <c r="CD57" i="116" s="1"/>
  <c r="CA93" i="116"/>
  <c r="CP107" i="116"/>
  <c r="CQ107" i="116" s="1"/>
  <c r="CA73" i="116"/>
  <c r="CA24" i="116"/>
  <c r="CC24" i="116" s="1"/>
  <c r="CD24" i="116" s="1"/>
  <c r="AI24" i="20"/>
  <c r="AJ13" i="20"/>
  <c r="AF14" i="20" s="1"/>
  <c r="BE39" i="20"/>
  <c r="BE41" i="20" s="1"/>
  <c r="AL30" i="20"/>
  <c r="AI20" i="20"/>
  <c r="AN26" i="20"/>
  <c r="AN30" i="20" s="1"/>
  <c r="AY29" i="20"/>
  <c r="AF21" i="20"/>
  <c r="AY33" i="20"/>
  <c r="AV34" i="20" s="1"/>
  <c r="BH18" i="20"/>
  <c r="AJ10" i="20"/>
  <c r="AF11" i="20" s="1"/>
  <c r="AN19" i="20"/>
  <c r="AN20" i="20" s="1"/>
  <c r="CA97" i="116"/>
  <c r="CP96" i="116"/>
  <c r="CQ96" i="116" s="1"/>
  <c r="J15" i="46"/>
  <c r="C16" i="46" s="1"/>
  <c r="D16" i="46" s="1"/>
  <c r="F16" i="46" s="1"/>
  <c r="H16" i="46" s="1"/>
  <c r="CA98" i="116"/>
  <c r="CC98" i="116" s="1"/>
  <c r="CD98" i="116" s="1"/>
  <c r="CP33" i="116"/>
  <c r="CA23" i="116"/>
  <c r="CC23" i="116" s="1"/>
  <c r="CD23" i="116" s="1"/>
  <c r="CA17" i="116"/>
  <c r="CB17" i="116" s="1"/>
  <c r="CP100" i="116"/>
  <c r="CR100" i="116" s="1"/>
  <c r="CS100" i="116" s="1"/>
  <c r="CA27" i="116"/>
  <c r="CA13" i="116"/>
  <c r="J32" i="44"/>
  <c r="C33" i="44" s="1"/>
  <c r="CQ53" i="116"/>
  <c r="EI25" i="20"/>
  <c r="EK25" i="20"/>
  <c r="CC17" i="116"/>
  <c r="CD17" i="116" s="1"/>
  <c r="CB26" i="116"/>
  <c r="CC26" i="116"/>
  <c r="CD26" i="116" s="1"/>
  <c r="DV58" i="116"/>
  <c r="DW58" i="116" s="1"/>
  <c r="DU58" i="116"/>
  <c r="CC44" i="116"/>
  <c r="CD44" i="116" s="1"/>
  <c r="CB44" i="116"/>
  <c r="CC84" i="116"/>
  <c r="CD84" i="116" s="1"/>
  <c r="CB84" i="116"/>
  <c r="CQ14" i="116"/>
  <c r="CR14" i="116"/>
  <c r="CS14" i="116" s="1"/>
  <c r="CC42" i="116"/>
  <c r="CD42" i="116" s="1"/>
  <c r="CB42" i="116"/>
  <c r="CR30" i="116"/>
  <c r="CS30" i="116" s="1"/>
  <c r="CQ30" i="116"/>
  <c r="CC108" i="116"/>
  <c r="CD108" i="116" s="1"/>
  <c r="CB108" i="116"/>
  <c r="DV39" i="116"/>
  <c r="DW39" i="116" s="1"/>
  <c r="DU39" i="116"/>
  <c r="CC104" i="116"/>
  <c r="CD104" i="116" s="1"/>
  <c r="CB104" i="116"/>
  <c r="CC82" i="116"/>
  <c r="CD82" i="116" s="1"/>
  <c r="CB82" i="116"/>
  <c r="CC103" i="116"/>
  <c r="CD103" i="116" s="1"/>
  <c r="CB103" i="116"/>
  <c r="CC60" i="116"/>
  <c r="CD60" i="116" s="1"/>
  <c r="CR24" i="116"/>
  <c r="CS24" i="116" s="1"/>
  <c r="CP79" i="116"/>
  <c r="CA14" i="116"/>
  <c r="CP74" i="116"/>
  <c r="DU107" i="116"/>
  <c r="DV107" i="116"/>
  <c r="DW107" i="116" s="1"/>
  <c r="CP84" i="116"/>
  <c r="DV15" i="116"/>
  <c r="DW15" i="116" s="1"/>
  <c r="DU15" i="116"/>
  <c r="Z39" i="112"/>
  <c r="AB39" i="112" s="1"/>
  <c r="AD39" i="112" s="1"/>
  <c r="AF39" i="112" s="1"/>
  <c r="Y40" i="112" s="1"/>
  <c r="X40" i="112"/>
  <c r="CA107" i="116"/>
  <c r="EI39" i="20"/>
  <c r="EK39" i="20"/>
  <c r="CA65" i="116"/>
  <c r="DV12" i="116"/>
  <c r="DW12" i="116" s="1"/>
  <c r="DU12" i="116"/>
  <c r="EI72" i="20"/>
  <c r="EK72" i="20"/>
  <c r="DV85" i="116"/>
  <c r="DW85" i="116" s="1"/>
  <c r="DU85" i="116"/>
  <c r="CA87" i="116"/>
  <c r="CA96" i="116"/>
  <c r="CA38" i="116"/>
  <c r="CP54" i="116"/>
  <c r="CA29" i="116"/>
  <c r="CA95" i="116"/>
  <c r="CR102" i="116"/>
  <c r="CS102" i="116" s="1"/>
  <c r="CQ102" i="116"/>
  <c r="CR71" i="116"/>
  <c r="CS71" i="116" s="1"/>
  <c r="CQ71" i="116"/>
  <c r="CC81" i="116"/>
  <c r="CD81" i="116" s="1"/>
  <c r="CB81" i="116"/>
  <c r="BO14" i="116"/>
  <c r="BN14" i="116"/>
  <c r="BT14" i="116" s="1"/>
  <c r="EI47" i="20"/>
  <c r="EK47" i="20"/>
  <c r="CC43" i="116"/>
  <c r="CD43" i="116" s="1"/>
  <c r="CB43" i="116"/>
  <c r="CR25" i="116"/>
  <c r="CS25" i="116" s="1"/>
  <c r="CQ25" i="116"/>
  <c r="DV29" i="116"/>
  <c r="DW29" i="116" s="1"/>
  <c r="DU29" i="116"/>
  <c r="CP49" i="116"/>
  <c r="CA52" i="116"/>
  <c r="CV14" i="112"/>
  <c r="CV29" i="112"/>
  <c r="CP59" i="116"/>
  <c r="CP45" i="116"/>
  <c r="CP63" i="116"/>
  <c r="CP87" i="116"/>
  <c r="CP26" i="116"/>
  <c r="EI17" i="20"/>
  <c r="EK17" i="20"/>
  <c r="CP106" i="116"/>
  <c r="CA71" i="116"/>
  <c r="CA109" i="116"/>
  <c r="CP86" i="116"/>
  <c r="CP37" i="116"/>
  <c r="D39" i="117"/>
  <c r="F39" i="117" s="1"/>
  <c r="H39" i="117" s="1"/>
  <c r="J39" i="117" s="1"/>
  <c r="C40" i="117" s="1"/>
  <c r="B40" i="117"/>
  <c r="DV68" i="116"/>
  <c r="DW68" i="116" s="1"/>
  <c r="DU68" i="116"/>
  <c r="EI108" i="20"/>
  <c r="EK108" i="20"/>
  <c r="EI52" i="20"/>
  <c r="EK52" i="20"/>
  <c r="D32" i="46"/>
  <c r="F32" i="46" s="1"/>
  <c r="H32" i="46" s="1"/>
  <c r="B33" i="46"/>
  <c r="CR61" i="116"/>
  <c r="CS61" i="116" s="1"/>
  <c r="CQ61" i="116"/>
  <c r="CC80" i="116"/>
  <c r="CD80" i="116" s="1"/>
  <c r="B30" i="50"/>
  <c r="E30" i="50" s="1"/>
  <c r="D29" i="50"/>
  <c r="EI16" i="20"/>
  <c r="EK16" i="20"/>
  <c r="CC13" i="116"/>
  <c r="CD13" i="116" s="1"/>
  <c r="CB13" i="116"/>
  <c r="CC37" i="116"/>
  <c r="CD37" i="116" s="1"/>
  <c r="CB37" i="116"/>
  <c r="DU16" i="116"/>
  <c r="DV16" i="116"/>
  <c r="DW16" i="116" s="1"/>
  <c r="CP16" i="116"/>
  <c r="EI73" i="20"/>
  <c r="EK73" i="20"/>
  <c r="A20" i="112"/>
  <c r="H38" i="112"/>
  <c r="J38" i="112" s="1"/>
  <c r="C39" i="112" s="1"/>
  <c r="I38" i="112"/>
  <c r="A23" i="112"/>
  <c r="A26" i="112"/>
  <c r="I39" i="112"/>
  <c r="D20" i="52"/>
  <c r="F20" i="52" s="1"/>
  <c r="H20" i="52" s="1"/>
  <c r="J20" i="52" s="1"/>
  <c r="C21" i="52" s="1"/>
  <c r="B21" i="52"/>
  <c r="E21" i="52" s="1"/>
  <c r="G21" i="52" s="1"/>
  <c r="I21" i="52" s="1"/>
  <c r="CP70" i="116"/>
  <c r="CP20" i="116"/>
  <c r="EI90" i="20"/>
  <c r="EK90" i="20"/>
  <c r="CP82" i="116"/>
  <c r="CA110" i="116"/>
  <c r="CP29" i="116"/>
  <c r="DU97" i="116"/>
  <c r="DV97" i="116"/>
  <c r="DW97" i="116" s="1"/>
  <c r="CP76" i="116"/>
  <c r="CP72" i="116"/>
  <c r="DV76" i="116"/>
  <c r="DW76" i="116" s="1"/>
  <c r="DU76" i="116"/>
  <c r="DU98" i="116"/>
  <c r="DV98" i="116"/>
  <c r="DW98" i="116" s="1"/>
  <c r="CP11" i="116"/>
  <c r="CP12" i="116"/>
  <c r="DV62" i="116"/>
  <c r="DW62" i="116" s="1"/>
  <c r="DU62" i="116"/>
  <c r="BJ17" i="116"/>
  <c r="BH18" i="116"/>
  <c r="BS17" i="116"/>
  <c r="CP104" i="116"/>
  <c r="CA36" i="116"/>
  <c r="CA15" i="116"/>
  <c r="B17" i="44"/>
  <c r="H16" i="44"/>
  <c r="J16" i="44" s="1"/>
  <c r="C17" i="44" s="1"/>
  <c r="D16" i="44"/>
  <c r="F16" i="44" s="1"/>
  <c r="CB98" i="116"/>
  <c r="CC63" i="116"/>
  <c r="CD63" i="116" s="1"/>
  <c r="CB63" i="116"/>
  <c r="BZ17" i="117"/>
  <c r="BZ11" i="117"/>
  <c r="CC69" i="116"/>
  <c r="CD69" i="116" s="1"/>
  <c r="CB69" i="116"/>
  <c r="CC75" i="116"/>
  <c r="CD75" i="116" s="1"/>
  <c r="CB75" i="116"/>
  <c r="DV53" i="116"/>
  <c r="DW53" i="116" s="1"/>
  <c r="DU53" i="116"/>
  <c r="DV33" i="116"/>
  <c r="DW33" i="116" s="1"/>
  <c r="DU33" i="116"/>
  <c r="CC62" i="116"/>
  <c r="CD62" i="116" s="1"/>
  <c r="CB62" i="116"/>
  <c r="CP78" i="116"/>
  <c r="CA72" i="116"/>
  <c r="CA67" i="116"/>
  <c r="D64" i="52"/>
  <c r="F64" i="52" s="1"/>
  <c r="H64" i="52" s="1"/>
  <c r="J64" i="52" s="1"/>
  <c r="C65" i="52" s="1"/>
  <c r="B65" i="52"/>
  <c r="E65" i="52" s="1"/>
  <c r="G65" i="52" s="1"/>
  <c r="I65" i="52" s="1"/>
  <c r="CP58" i="116"/>
  <c r="CA25" i="116"/>
  <c r="CA92" i="116"/>
  <c r="B41" i="48"/>
  <c r="D40" i="48"/>
  <c r="F40" i="48" s="1"/>
  <c r="H40" i="48" s="1"/>
  <c r="J40" i="48" s="1"/>
  <c r="C41" i="48" s="1"/>
  <c r="CR32" i="116"/>
  <c r="CS32" i="116" s="1"/>
  <c r="CQ32" i="116"/>
  <c r="CC51" i="116"/>
  <c r="CD51" i="116" s="1"/>
  <c r="CB51" i="116"/>
  <c r="DV34" i="116"/>
  <c r="DW34" i="116" s="1"/>
  <c r="DU34" i="116"/>
  <c r="BK107" i="38"/>
  <c r="BJ108" i="38" s="1"/>
  <c r="CC54" i="116"/>
  <c r="CD54" i="116" s="1"/>
  <c r="CB54" i="116"/>
  <c r="DV41" i="116"/>
  <c r="DW41" i="116" s="1"/>
  <c r="DU41" i="116"/>
  <c r="AQ16" i="22"/>
  <c r="AR15" i="22"/>
  <c r="AP15" i="22" s="1"/>
  <c r="DV45" i="116"/>
  <c r="DW45" i="116" s="1"/>
  <c r="DU45" i="116"/>
  <c r="CA18" i="116"/>
  <c r="CA19" i="116"/>
  <c r="CA79" i="116"/>
  <c r="CA53" i="116"/>
  <c r="EI45" i="20"/>
  <c r="EK45" i="20"/>
  <c r="EI29" i="20"/>
  <c r="EK29" i="20"/>
  <c r="DU96" i="116"/>
  <c r="DV96" i="116"/>
  <c r="DW96" i="116" s="1"/>
  <c r="DV81" i="116"/>
  <c r="DW81" i="116" s="1"/>
  <c r="DU81" i="116"/>
  <c r="EI32" i="20"/>
  <c r="EK32" i="20"/>
  <c r="EI77" i="20"/>
  <c r="EK77" i="20"/>
  <c r="EI31" i="20"/>
  <c r="EK31" i="20"/>
  <c r="CP55" i="116"/>
  <c r="EI59" i="20"/>
  <c r="EK59" i="20"/>
  <c r="CA33" i="116"/>
  <c r="EI60" i="20"/>
  <c r="EK60" i="20"/>
  <c r="EI23" i="20"/>
  <c r="EK23" i="20"/>
  <c r="CP69" i="116"/>
  <c r="CK29" i="112"/>
  <c r="CK14" i="112"/>
  <c r="EI101" i="20"/>
  <c r="EK101" i="20"/>
  <c r="CQ100" i="116"/>
  <c r="EI56" i="20"/>
  <c r="EK56" i="20"/>
  <c r="EI61" i="20"/>
  <c r="EK61" i="20"/>
  <c r="EI68" i="20"/>
  <c r="EK68" i="20"/>
  <c r="CC94" i="116"/>
  <c r="CD94" i="116" s="1"/>
  <c r="CB94" i="116"/>
  <c r="CR80" i="116"/>
  <c r="CS80" i="116" s="1"/>
  <c r="CQ80" i="116"/>
  <c r="CC56" i="116"/>
  <c r="CD56" i="116" s="1"/>
  <c r="CB56" i="116"/>
  <c r="EI43" i="20"/>
  <c r="EK43" i="20"/>
  <c r="CC73" i="116"/>
  <c r="CD73" i="116" s="1"/>
  <c r="CB73" i="116"/>
  <c r="DV40" i="116"/>
  <c r="DW40" i="116" s="1"/>
  <c r="DU40" i="116"/>
  <c r="CC61" i="116"/>
  <c r="CD61" i="116" s="1"/>
  <c r="CB61" i="116"/>
  <c r="DU109" i="116"/>
  <c r="DV109" i="116"/>
  <c r="DW109" i="116" s="1"/>
  <c r="CR50" i="116"/>
  <c r="CS50" i="116" s="1"/>
  <c r="CQ50" i="116"/>
  <c r="CQ36" i="116"/>
  <c r="CR36" i="116"/>
  <c r="CS36" i="116" s="1"/>
  <c r="EI15" i="20"/>
  <c r="EK15" i="20"/>
  <c r="CC99" i="116"/>
  <c r="CD99" i="116" s="1"/>
  <c r="CB99" i="116"/>
  <c r="CR67" i="116"/>
  <c r="CS67" i="116" s="1"/>
  <c r="CQ67" i="116"/>
  <c r="CB28" i="116"/>
  <c r="CC28" i="116"/>
  <c r="CD28" i="116" s="1"/>
  <c r="BM15" i="116"/>
  <c r="CC90" i="116"/>
  <c r="CD90" i="116" s="1"/>
  <c r="CB90" i="116"/>
  <c r="DV66" i="116"/>
  <c r="DW66" i="116" s="1"/>
  <c r="DU66" i="116"/>
  <c r="EI65" i="20"/>
  <c r="EK65" i="20"/>
  <c r="CR97" i="116"/>
  <c r="CS97" i="116" s="1"/>
  <c r="CQ97" i="116"/>
  <c r="EI66" i="20"/>
  <c r="EK66" i="20"/>
  <c r="E33" i="44"/>
  <c r="G33" i="44" s="1"/>
  <c r="I33" i="44" s="1"/>
  <c r="CR94" i="116"/>
  <c r="CS94" i="116" s="1"/>
  <c r="CQ94" i="116"/>
  <c r="CC46" i="116"/>
  <c r="CD46" i="116" s="1"/>
  <c r="CB46" i="116"/>
  <c r="BL16" i="116"/>
  <c r="BK16" i="116"/>
  <c r="DU101" i="116"/>
  <c r="DV101" i="116"/>
  <c r="DW101" i="116" s="1"/>
  <c r="CP77" i="116"/>
  <c r="BM38" i="112"/>
  <c r="BF39" i="112" s="1"/>
  <c r="CP101" i="116"/>
  <c r="BB38" i="112"/>
  <c r="AU39" i="112" s="1"/>
  <c r="CP48" i="116"/>
  <c r="CR17" i="116"/>
  <c r="CS17" i="116" s="1"/>
  <c r="CQ17" i="116"/>
  <c r="CP109" i="116"/>
  <c r="L20" i="117"/>
  <c r="T39" i="117"/>
  <c r="S38" i="117"/>
  <c r="U38" i="117" s="1"/>
  <c r="N39" i="117" s="1"/>
  <c r="T38" i="117"/>
  <c r="L23" i="117"/>
  <c r="L26" i="117"/>
  <c r="CR27" i="116"/>
  <c r="CS27" i="116" s="1"/>
  <c r="CW22" i="20"/>
  <c r="CX22" i="20" s="1"/>
  <c r="CX23" i="20" s="1"/>
  <c r="BP3" i="112" s="1"/>
  <c r="BO11" i="112" s="1"/>
  <c r="W32" i="20"/>
  <c r="CC49" i="116"/>
  <c r="CD49" i="116" s="1"/>
  <c r="CB49" i="116"/>
  <c r="EI33" i="20"/>
  <c r="EK33" i="20"/>
  <c r="DV71" i="116"/>
  <c r="DW71" i="116" s="1"/>
  <c r="DU71" i="116"/>
  <c r="CC97" i="116"/>
  <c r="CD97" i="116" s="1"/>
  <c r="CB97" i="116"/>
  <c r="CR96" i="116"/>
  <c r="CS96" i="116" s="1"/>
  <c r="CP64" i="116"/>
  <c r="DU20" i="116"/>
  <c r="DV20" i="116"/>
  <c r="DW20" i="116" s="1"/>
  <c r="DV55" i="116"/>
  <c r="DW55" i="116" s="1"/>
  <c r="DU55" i="116"/>
  <c r="DV48" i="116"/>
  <c r="DW48" i="116" s="1"/>
  <c r="DU48" i="116"/>
  <c r="CR91" i="116"/>
  <c r="CS91" i="116" s="1"/>
  <c r="CQ91" i="116"/>
  <c r="CR23" i="116"/>
  <c r="CS23" i="116" s="1"/>
  <c r="CQ23" i="116"/>
  <c r="CC50" i="116"/>
  <c r="CD50" i="116" s="1"/>
  <c r="CB50" i="116"/>
  <c r="CC70" i="116"/>
  <c r="CD70" i="116" s="1"/>
  <c r="CB70" i="116"/>
  <c r="DV49" i="116"/>
  <c r="DW49" i="116" s="1"/>
  <c r="DU49" i="116"/>
  <c r="CC47" i="116"/>
  <c r="CD47" i="116" s="1"/>
  <c r="CB47" i="116"/>
  <c r="CC102" i="116"/>
  <c r="CD102" i="116" s="1"/>
  <c r="CB102" i="116"/>
  <c r="AS7" i="117"/>
  <c r="AS6" i="117"/>
  <c r="EI53" i="20"/>
  <c r="EK53" i="20"/>
  <c r="CA35" i="116"/>
  <c r="DV61" i="116"/>
  <c r="DW61" i="116" s="1"/>
  <c r="DU61" i="116"/>
  <c r="CA91" i="116"/>
  <c r="CP60" i="116"/>
  <c r="CA30" i="116"/>
  <c r="CR62" i="116"/>
  <c r="CS62" i="116" s="1"/>
  <c r="CQ62" i="116"/>
  <c r="DU94" i="116"/>
  <c r="DV94" i="116"/>
  <c r="DW94" i="116" s="1"/>
  <c r="CP52" i="116"/>
  <c r="CP75" i="116"/>
  <c r="CR108" i="116"/>
  <c r="CS108" i="116" s="1"/>
  <c r="CQ108" i="116"/>
  <c r="DV21" i="116"/>
  <c r="DW21" i="116" s="1"/>
  <c r="DU21" i="116"/>
  <c r="CC88" i="116"/>
  <c r="CD88" i="116" s="1"/>
  <c r="CB88" i="116"/>
  <c r="CC89" i="116"/>
  <c r="CD89" i="116" s="1"/>
  <c r="CB89" i="116"/>
  <c r="CC48" i="116"/>
  <c r="CD48" i="116" s="1"/>
  <c r="CB48" i="116"/>
  <c r="DU17" i="116"/>
  <c r="DV17" i="116"/>
  <c r="DW17" i="116" s="1"/>
  <c r="U31" i="20"/>
  <c r="AZ7" i="20"/>
  <c r="AV8" i="20" s="1"/>
  <c r="CR98" i="116"/>
  <c r="CS98" i="116" s="1"/>
  <c r="CQ98" i="116"/>
  <c r="AI40" i="112"/>
  <c r="AK39" i="112"/>
  <c r="AM39" i="112" s="1"/>
  <c r="AO39" i="112" s="1"/>
  <c r="AQ39" i="112" s="1"/>
  <c r="AJ40" i="112" s="1"/>
  <c r="CR103" i="116"/>
  <c r="CS103" i="116" s="1"/>
  <c r="CQ103" i="116"/>
  <c r="DU100" i="116"/>
  <c r="DV100" i="116"/>
  <c r="DW100" i="116" s="1"/>
  <c r="CC76" i="116"/>
  <c r="CD76" i="116" s="1"/>
  <c r="CB76" i="116"/>
  <c r="E16" i="46"/>
  <c r="G16" i="46" s="1"/>
  <c r="I16" i="46" s="1"/>
  <c r="CC31" i="116"/>
  <c r="CD31" i="116" s="1"/>
  <c r="CB31" i="116"/>
  <c r="CQ33" i="116"/>
  <c r="CR33" i="116"/>
  <c r="CS33" i="116" s="1"/>
  <c r="DV26" i="116"/>
  <c r="DW26" i="116" s="1"/>
  <c r="DU26" i="116"/>
  <c r="CR34" i="116"/>
  <c r="CS34" i="116" s="1"/>
  <c r="CQ34" i="116"/>
  <c r="CC100" i="116"/>
  <c r="CD100" i="116" s="1"/>
  <c r="BD7" i="117"/>
  <c r="BD6" i="117"/>
  <c r="CC21" i="116"/>
  <c r="CD21" i="116" s="1"/>
  <c r="CB21" i="116"/>
  <c r="CR90" i="116"/>
  <c r="CS90" i="116" s="1"/>
  <c r="CQ90" i="116"/>
  <c r="CR40" i="116"/>
  <c r="CS40" i="116" s="1"/>
  <c r="CQ40" i="116"/>
  <c r="EI82" i="20"/>
  <c r="EK82" i="20"/>
  <c r="CC39" i="116"/>
  <c r="CD39" i="116" s="1"/>
  <c r="CB39" i="116"/>
  <c r="CR88" i="116"/>
  <c r="CS88" i="116" s="1"/>
  <c r="CQ88" i="116"/>
  <c r="BO17" i="117"/>
  <c r="BO11" i="117"/>
  <c r="CR107" i="116"/>
  <c r="CS107" i="116" s="1"/>
  <c r="CC106" i="116"/>
  <c r="CD106" i="116" s="1"/>
  <c r="CB106" i="116"/>
  <c r="CP56" i="116"/>
  <c r="CR31" i="116"/>
  <c r="CS31" i="116" s="1"/>
  <c r="CQ31" i="116"/>
  <c r="CR85" i="116"/>
  <c r="CS85" i="116" s="1"/>
  <c r="CQ85" i="116"/>
  <c r="O21" i="20"/>
  <c r="CR89" i="116"/>
  <c r="CS89" i="116" s="1"/>
  <c r="CQ89" i="116"/>
  <c r="EI11" i="20"/>
  <c r="EK11" i="20"/>
  <c r="CQ21" i="116"/>
  <c r="CR21" i="116"/>
  <c r="CS21" i="116" s="1"/>
  <c r="CP15" i="116"/>
  <c r="EI28" i="20"/>
  <c r="EK28" i="20"/>
  <c r="EI18" i="20"/>
  <c r="EK18" i="20"/>
  <c r="CP57" i="116"/>
  <c r="CA77" i="116"/>
  <c r="AA23" i="20"/>
  <c r="W24" i="20" s="1"/>
  <c r="U33" i="20"/>
  <c r="AZ21" i="20"/>
  <c r="AV22" i="20" s="1"/>
  <c r="AA14" i="20"/>
  <c r="W15" i="20" s="1"/>
  <c r="Z15" i="20" s="1"/>
  <c r="BE37" i="20"/>
  <c r="BC37" i="20"/>
  <c r="W31" i="20"/>
  <c r="W33" i="20" s="1"/>
  <c r="S42" i="20"/>
  <c r="O43" i="20" s="1"/>
  <c r="CA66" i="116"/>
  <c r="DU19" i="116"/>
  <c r="DV19" i="116"/>
  <c r="DW19" i="116" s="1"/>
  <c r="CP65" i="116"/>
  <c r="DU37" i="116"/>
  <c r="DV37" i="116"/>
  <c r="DW37" i="116" s="1"/>
  <c r="CR110" i="116"/>
  <c r="CS110" i="116" s="1"/>
  <c r="CQ110" i="116"/>
  <c r="DU95" i="116"/>
  <c r="DV95" i="116"/>
  <c r="DW95" i="116" s="1"/>
  <c r="CB16" i="116"/>
  <c r="EI75" i="20"/>
  <c r="EK75" i="20"/>
  <c r="DV24" i="116"/>
  <c r="DW24" i="116" s="1"/>
  <c r="DU24" i="116"/>
  <c r="B45" i="52"/>
  <c r="E45" i="52" s="1"/>
  <c r="D44" i="52"/>
  <c r="F44" i="52" s="1"/>
  <c r="H44" i="52" s="1"/>
  <c r="J44" i="52" s="1"/>
  <c r="C45" i="52" s="1"/>
  <c r="EI36" i="20"/>
  <c r="EK36" i="20"/>
  <c r="CR19" i="116"/>
  <c r="CS19" i="116" s="1"/>
  <c r="CQ19" i="116"/>
  <c r="CC12" i="116"/>
  <c r="CD12" i="116" s="1"/>
  <c r="CB12" i="116"/>
  <c r="CR105" i="116"/>
  <c r="CS105" i="116" s="1"/>
  <c r="CQ105" i="116"/>
  <c r="CC93" i="116"/>
  <c r="CD93" i="116" s="1"/>
  <c r="CB93" i="116"/>
  <c r="CP28" i="116"/>
  <c r="DV57" i="116"/>
  <c r="DW57" i="116" s="1"/>
  <c r="DU57" i="116"/>
  <c r="CP39" i="116"/>
  <c r="CR41" i="116"/>
  <c r="CS41" i="116" s="1"/>
  <c r="CQ41" i="116"/>
  <c r="DU106" i="116"/>
  <c r="DV106" i="116"/>
  <c r="DW106" i="116" s="1"/>
  <c r="CR95" i="116"/>
  <c r="CS95" i="116" s="1"/>
  <c r="CQ95" i="116"/>
  <c r="B14" i="50"/>
  <c r="E14" i="50" s="1"/>
  <c r="D13" i="50"/>
  <c r="EI63" i="20"/>
  <c r="EK63" i="20"/>
  <c r="DU89" i="116"/>
  <c r="DV89" i="116"/>
  <c r="DW89" i="116" s="1"/>
  <c r="CR43" i="116"/>
  <c r="CS43" i="116" s="1"/>
  <c r="CQ43" i="116"/>
  <c r="CR38" i="116"/>
  <c r="CS38" i="116" s="1"/>
  <c r="CQ38" i="116"/>
  <c r="EI69" i="20"/>
  <c r="EK69" i="20"/>
  <c r="DV56" i="116"/>
  <c r="DW56" i="116" s="1"/>
  <c r="DU56" i="116"/>
  <c r="DV30" i="116"/>
  <c r="DW30" i="116" s="1"/>
  <c r="DU30" i="116"/>
  <c r="M40" i="112"/>
  <c r="O39" i="112"/>
  <c r="Q39" i="112" s="1"/>
  <c r="S39" i="112" s="1"/>
  <c r="U39" i="112" s="1"/>
  <c r="N40" i="112" s="1"/>
  <c r="DV79" i="116"/>
  <c r="DW79" i="116" s="1"/>
  <c r="DU79" i="116"/>
  <c r="J25" i="48"/>
  <c r="C26" i="48" s="1"/>
  <c r="CC101" i="116"/>
  <c r="CD101" i="116" s="1"/>
  <c r="CB101" i="116"/>
  <c r="CR42" i="116"/>
  <c r="CS42" i="116" s="1"/>
  <c r="CQ42" i="116"/>
  <c r="CC55" i="116"/>
  <c r="CD55" i="116" s="1"/>
  <c r="CB55" i="116"/>
  <c r="DV60" i="116"/>
  <c r="DW60" i="116" s="1"/>
  <c r="DU60" i="116"/>
  <c r="CR47" i="116"/>
  <c r="CS47" i="116" s="1"/>
  <c r="CQ47" i="116"/>
  <c r="CR18" i="116"/>
  <c r="CS18" i="116" s="1"/>
  <c r="CQ18" i="116"/>
  <c r="CP73" i="116"/>
  <c r="EI98" i="20"/>
  <c r="EK98" i="20"/>
  <c r="CP51" i="116"/>
  <c r="DV54" i="116"/>
  <c r="DW54" i="116" s="1"/>
  <c r="DU54" i="116"/>
  <c r="CP81" i="116"/>
  <c r="EI21" i="20"/>
  <c r="EK21" i="20"/>
  <c r="EI20" i="20"/>
  <c r="EK20" i="20"/>
  <c r="EI50" i="20"/>
  <c r="EK50" i="20"/>
  <c r="CC32" i="116"/>
  <c r="CD32" i="116" s="1"/>
  <c r="CB32" i="116"/>
  <c r="CA20" i="116"/>
  <c r="CC64" i="116"/>
  <c r="CD64" i="116" s="1"/>
  <c r="CB64" i="116"/>
  <c r="AK39" i="117"/>
  <c r="AM39" i="117" s="1"/>
  <c r="AO39" i="117" s="1"/>
  <c r="AQ39" i="117" s="1"/>
  <c r="AJ40" i="117" s="1"/>
  <c r="AI40" i="117"/>
  <c r="CP93" i="116"/>
  <c r="DV64" i="116"/>
  <c r="DW64" i="116" s="1"/>
  <c r="DU64" i="116"/>
  <c r="BG18" i="20"/>
  <c r="BE40" i="20"/>
  <c r="BC40" i="20"/>
  <c r="BD19" i="20"/>
  <c r="BD20" i="20" s="1"/>
  <c r="CA34" i="116"/>
  <c r="CA68" i="116"/>
  <c r="CA86" i="116"/>
  <c r="CP66" i="116"/>
  <c r="DV73" i="116"/>
  <c r="DW73" i="116" s="1"/>
  <c r="DU73" i="116"/>
  <c r="EI34" i="20"/>
  <c r="EK34" i="20"/>
  <c r="E26" i="48"/>
  <c r="G26" i="48" s="1"/>
  <c r="I26" i="48" s="1"/>
  <c r="DV74" i="116"/>
  <c r="DW74" i="116" s="1"/>
  <c r="DU74" i="116"/>
  <c r="CR99" i="116"/>
  <c r="CS99" i="116" s="1"/>
  <c r="CQ99" i="116"/>
  <c r="CC105" i="116"/>
  <c r="CD105" i="116" s="1"/>
  <c r="CB105" i="116"/>
  <c r="CC22" i="116"/>
  <c r="CD22" i="116" s="1"/>
  <c r="CB22" i="116"/>
  <c r="EI64" i="20"/>
  <c r="EK64" i="20"/>
  <c r="CB27" i="116"/>
  <c r="CC27" i="116"/>
  <c r="CD27" i="116" s="1"/>
  <c r="EI38" i="20"/>
  <c r="EK38" i="20"/>
  <c r="CA59" i="116"/>
  <c r="DU102" i="116"/>
  <c r="DV102" i="116"/>
  <c r="DW102" i="116" s="1"/>
  <c r="EI70" i="20"/>
  <c r="EK70" i="20"/>
  <c r="EI92" i="20"/>
  <c r="EK92" i="20"/>
  <c r="DV22" i="116"/>
  <c r="DW22" i="116" s="1"/>
  <c r="DU22" i="116"/>
  <c r="CP92" i="116"/>
  <c r="EI62" i="20"/>
  <c r="EK62" i="20"/>
  <c r="EI22" i="20"/>
  <c r="EK22" i="20"/>
  <c r="CP44" i="116"/>
  <c r="DV67" i="116"/>
  <c r="DW67" i="116" s="1"/>
  <c r="DU67" i="116"/>
  <c r="DV32" i="116"/>
  <c r="DW32" i="116" s="1"/>
  <c r="DU32" i="116"/>
  <c r="X40" i="117"/>
  <c r="Z39" i="117"/>
  <c r="AB39" i="117" s="1"/>
  <c r="AD39" i="117" s="1"/>
  <c r="AF39" i="117" s="1"/>
  <c r="Y40" i="117" s="1"/>
  <c r="CP35" i="116"/>
  <c r="CP46" i="116"/>
  <c r="DU93" i="116"/>
  <c r="DV93" i="116"/>
  <c r="DW93" i="116" s="1"/>
  <c r="CP22" i="116"/>
  <c r="CA74" i="116"/>
  <c r="CA85" i="116"/>
  <c r="CR68" i="116"/>
  <c r="CS68" i="116" s="1"/>
  <c r="CQ68" i="116"/>
  <c r="CA45" i="116"/>
  <c r="CA11" i="116"/>
  <c r="CA83" i="116"/>
  <c r="CR83" i="116"/>
  <c r="CS83" i="116" s="1"/>
  <c r="CQ83" i="116"/>
  <c r="CP13" i="116"/>
  <c r="EI96" i="20"/>
  <c r="EK96" i="20"/>
  <c r="J16" i="46" l="1"/>
  <c r="C17" i="46" s="1"/>
  <c r="CC78" i="116"/>
  <c r="CD78" i="116" s="1"/>
  <c r="BM16" i="116"/>
  <c r="AN28" i="20"/>
  <c r="AR18" i="20"/>
  <c r="AN29" i="20"/>
  <c r="DK22" i="20"/>
  <c r="DL22" i="20" s="1"/>
  <c r="DL23" i="20" s="1"/>
  <c r="CA3" i="112" s="1"/>
  <c r="CB23" i="116"/>
  <c r="CB41" i="116"/>
  <c r="CB58" i="116"/>
  <c r="CZ111" i="20"/>
  <c r="CZ105" i="20"/>
  <c r="CZ32" i="20"/>
  <c r="CZ114" i="20"/>
  <c r="CZ57" i="20"/>
  <c r="CZ60" i="20"/>
  <c r="CZ85" i="20"/>
  <c r="CZ108" i="20"/>
  <c r="CZ46" i="20"/>
  <c r="CZ26" i="20"/>
  <c r="CZ102" i="20"/>
  <c r="CZ35" i="20"/>
  <c r="CZ56" i="20"/>
  <c r="AI32" i="20"/>
  <c r="CZ104" i="20"/>
  <c r="CZ39" i="20"/>
  <c r="CZ120" i="20"/>
  <c r="CZ82" i="20"/>
  <c r="CZ110" i="20"/>
  <c r="CZ37" i="20"/>
  <c r="CZ100" i="20"/>
  <c r="CZ106" i="20"/>
  <c r="CZ116" i="20"/>
  <c r="CZ51" i="20"/>
  <c r="CZ94" i="20"/>
  <c r="AM29" i="20"/>
  <c r="CZ96" i="20"/>
  <c r="CZ49" i="20"/>
  <c r="CZ79" i="20"/>
  <c r="CZ29" i="20"/>
  <c r="CZ86" i="20"/>
  <c r="CZ50" i="20"/>
  <c r="CZ92" i="20"/>
  <c r="CZ27" i="20"/>
  <c r="CZ122" i="20"/>
  <c r="CZ28" i="20"/>
  <c r="CZ47" i="20"/>
  <c r="CZ54" i="20"/>
  <c r="CZ88" i="20"/>
  <c r="AF25" i="20"/>
  <c r="AH28" i="20" s="1"/>
  <c r="AF29" i="20" s="1"/>
  <c r="CZ101" i="20"/>
  <c r="CZ112" i="20"/>
  <c r="CZ41" i="20"/>
  <c r="CZ89" i="20"/>
  <c r="CZ84" i="20"/>
  <c r="CZ75" i="20"/>
  <c r="CZ78" i="20"/>
  <c r="CZ42" i="20"/>
  <c r="CZ98" i="20"/>
  <c r="CZ31" i="20"/>
  <c r="CA2" i="112"/>
  <c r="CA5" i="112" s="1"/>
  <c r="CZ80" i="20"/>
  <c r="CZ71" i="20"/>
  <c r="CZ74" i="20"/>
  <c r="CZ40" i="20"/>
  <c r="CZ93" i="20"/>
  <c r="CZ33" i="20"/>
  <c r="CZ125" i="20"/>
  <c r="CZ107" i="20"/>
  <c r="CZ67" i="20"/>
  <c r="CZ70" i="20"/>
  <c r="CZ109" i="20"/>
  <c r="CZ53" i="20"/>
  <c r="CZ30" i="20"/>
  <c r="CZ123" i="20"/>
  <c r="CZ103" i="20"/>
  <c r="CZ63" i="20"/>
  <c r="CZ66" i="20"/>
  <c r="CZ90" i="20"/>
  <c r="CZ38" i="20"/>
  <c r="AL29" i="20"/>
  <c r="CZ121" i="20"/>
  <c r="CZ99" i="20"/>
  <c r="CZ59" i="20"/>
  <c r="CZ62" i="20"/>
  <c r="CZ77" i="20"/>
  <c r="CZ97" i="20"/>
  <c r="CZ45" i="20"/>
  <c r="CZ119" i="20"/>
  <c r="CZ95" i="20"/>
  <c r="CZ52" i="20"/>
  <c r="CZ58" i="20"/>
  <c r="CZ73" i="20"/>
  <c r="CZ76" i="20"/>
  <c r="CZ81" i="20"/>
  <c r="CZ117" i="20"/>
  <c r="CZ91" i="20"/>
  <c r="AF33" i="20"/>
  <c r="CZ48" i="20"/>
  <c r="CZ69" i="20"/>
  <c r="CZ72" i="20"/>
  <c r="CZ43" i="20"/>
  <c r="CZ115" i="20"/>
  <c r="CZ87" i="20"/>
  <c r="CZ55" i="20"/>
  <c r="CZ34" i="20"/>
  <c r="CZ65" i="20"/>
  <c r="CZ68" i="20"/>
  <c r="CZ36" i="20"/>
  <c r="CZ113" i="20"/>
  <c r="CZ83" i="20"/>
  <c r="CZ118" i="20"/>
  <c r="CZ124" i="20"/>
  <c r="CZ61" i="20"/>
  <c r="CZ64" i="20"/>
  <c r="CZ44" i="20"/>
  <c r="CB57" i="116"/>
  <c r="B17" i="46"/>
  <c r="AT43" i="20"/>
  <c r="AV44" i="20" s="1"/>
  <c r="BD13" i="20"/>
  <c r="BD14" i="20" s="1"/>
  <c r="BE23" i="20" s="1"/>
  <c r="AN8" i="20"/>
  <c r="AN9" i="20" s="1"/>
  <c r="AF39" i="20"/>
  <c r="CB24" i="116"/>
  <c r="CB40" i="116"/>
  <c r="BD8" i="117"/>
  <c r="O40" i="112"/>
  <c r="Q40" i="112" s="1"/>
  <c r="S40" i="112" s="1"/>
  <c r="M41" i="112"/>
  <c r="D45" i="52"/>
  <c r="F45" i="52" s="1"/>
  <c r="H45" i="52" s="1"/>
  <c r="B46" i="52"/>
  <c r="E46" i="52" s="1"/>
  <c r="D41" i="48"/>
  <c r="F41" i="48" s="1"/>
  <c r="B42" i="48"/>
  <c r="H41" i="48"/>
  <c r="B41" i="117"/>
  <c r="D40" i="117"/>
  <c r="F40" i="117" s="1"/>
  <c r="H40" i="117" s="1"/>
  <c r="AK40" i="112"/>
  <c r="AM40" i="112" s="1"/>
  <c r="AO40" i="112" s="1"/>
  <c r="AQ40" i="112" s="1"/>
  <c r="AJ41" i="112" s="1"/>
  <c r="AI41" i="112"/>
  <c r="BK45" i="20"/>
  <c r="O44" i="20"/>
  <c r="BK39" i="20"/>
  <c r="BK46" i="20"/>
  <c r="BK43" i="20"/>
  <c r="BK42" i="20"/>
  <c r="BK41" i="20"/>
  <c r="BK44" i="20"/>
  <c r="R44" i="20"/>
  <c r="BK40" i="20"/>
  <c r="J32" i="46"/>
  <c r="C33" i="46" s="1"/>
  <c r="Z40" i="117"/>
  <c r="AB40" i="117" s="1"/>
  <c r="AD40" i="117" s="1"/>
  <c r="AF40" i="117" s="1"/>
  <c r="Y41" i="117" s="1"/>
  <c r="X41" i="117"/>
  <c r="Z40" i="112"/>
  <c r="AB40" i="112" s="1"/>
  <c r="AD40" i="112" s="1"/>
  <c r="X41" i="112"/>
  <c r="B18" i="46"/>
  <c r="D17" i="46"/>
  <c r="F17" i="46" s="1"/>
  <c r="H17" i="46" s="1"/>
  <c r="CR73" i="116"/>
  <c r="CS73" i="116" s="1"/>
  <c r="CQ73" i="116"/>
  <c r="BZ46" i="20"/>
  <c r="BZ39" i="20"/>
  <c r="BZ40" i="20"/>
  <c r="BZ41" i="20"/>
  <c r="AV23" i="20"/>
  <c r="BZ45" i="20"/>
  <c r="BZ42" i="20"/>
  <c r="BZ43" i="20"/>
  <c r="BZ44" i="20"/>
  <c r="BO16" i="116"/>
  <c r="BN16" i="116"/>
  <c r="BT16" i="116" s="1"/>
  <c r="CR78" i="116"/>
  <c r="CS78" i="116" s="1"/>
  <c r="CQ78" i="116"/>
  <c r="D17" i="44"/>
  <c r="F17" i="44" s="1"/>
  <c r="H17" i="44" s="1"/>
  <c r="B18" i="44"/>
  <c r="CR11" i="116"/>
  <c r="CS11" i="116" s="1"/>
  <c r="CQ11" i="116"/>
  <c r="CC38" i="116"/>
  <c r="CD38" i="116" s="1"/>
  <c r="CB38" i="116"/>
  <c r="D26" i="48"/>
  <c r="F26" i="48" s="1"/>
  <c r="H26" i="48" s="1"/>
  <c r="B27" i="48"/>
  <c r="AT40" i="112"/>
  <c r="AV39" i="112"/>
  <c r="AX39" i="112" s="1"/>
  <c r="AZ39" i="112" s="1"/>
  <c r="BB39" i="112" s="1"/>
  <c r="AU40" i="112" s="1"/>
  <c r="CC33" i="116"/>
  <c r="CD33" i="116" s="1"/>
  <c r="CB33" i="116"/>
  <c r="E17" i="44"/>
  <c r="G17" i="44" s="1"/>
  <c r="I17" i="44"/>
  <c r="CR59" i="116"/>
  <c r="CS59" i="116" s="1"/>
  <c r="CQ59" i="116"/>
  <c r="CC96" i="116"/>
  <c r="CD96" i="116" s="1"/>
  <c r="CB96" i="116"/>
  <c r="CB11" i="116"/>
  <c r="CC11" i="116"/>
  <c r="CD11" i="116" s="1"/>
  <c r="CR93" i="116"/>
  <c r="CS93" i="116" s="1"/>
  <c r="CQ93" i="116"/>
  <c r="F13" i="50"/>
  <c r="C14" i="50" s="1"/>
  <c r="EL6" i="20"/>
  <c r="EM6" i="20" s="1"/>
  <c r="EM7" i="20" s="1"/>
  <c r="W25" i="20"/>
  <c r="CR56" i="116"/>
  <c r="CS56" i="116" s="1"/>
  <c r="CQ56" i="116"/>
  <c r="AS8" i="117"/>
  <c r="CR101" i="116"/>
  <c r="CS101" i="116" s="1"/>
  <c r="CQ101" i="116"/>
  <c r="CK20" i="112"/>
  <c r="CK26" i="112"/>
  <c r="CK23" i="112"/>
  <c r="CR38" i="112"/>
  <c r="CS38" i="112"/>
  <c r="CS39" i="112"/>
  <c r="CB15" i="116"/>
  <c r="CC15" i="116"/>
  <c r="CD15" i="116" s="1"/>
  <c r="CR26" i="116"/>
  <c r="CS26" i="116" s="1"/>
  <c r="CQ26" i="116"/>
  <c r="CC87" i="116"/>
  <c r="CD87" i="116" s="1"/>
  <c r="CB87" i="116"/>
  <c r="CC77" i="116"/>
  <c r="CD77" i="116" s="1"/>
  <c r="CB77" i="116"/>
  <c r="CR66" i="116"/>
  <c r="CS66" i="116" s="1"/>
  <c r="CQ66" i="116"/>
  <c r="CR81" i="116"/>
  <c r="CS81" i="116" s="1"/>
  <c r="CQ81" i="116"/>
  <c r="AL40" i="112"/>
  <c r="AN40" i="112" s="1"/>
  <c r="AP40" i="112" s="1"/>
  <c r="CC30" i="116"/>
  <c r="CD30" i="116" s="1"/>
  <c r="CB30" i="116"/>
  <c r="CC36" i="116"/>
  <c r="CD36" i="116" s="1"/>
  <c r="CB36" i="116"/>
  <c r="CV20" i="112"/>
  <c r="DD39" i="112"/>
  <c r="DC38" i="112"/>
  <c r="DD38" i="112"/>
  <c r="CV23" i="112"/>
  <c r="CV26" i="112"/>
  <c r="CR79" i="116"/>
  <c r="CS79" i="116" s="1"/>
  <c r="CQ79" i="116"/>
  <c r="CC25" i="116"/>
  <c r="CD25" i="116" s="1"/>
  <c r="CB25" i="116"/>
  <c r="CR46" i="116"/>
  <c r="CS46" i="116" s="1"/>
  <c r="CQ46" i="116"/>
  <c r="AI41" i="117"/>
  <c r="AK40" i="117"/>
  <c r="AM40" i="117" s="1"/>
  <c r="AO40" i="117" s="1"/>
  <c r="AQ40" i="117" s="1"/>
  <c r="AJ41" i="117" s="1"/>
  <c r="CC45" i="116"/>
  <c r="CD45" i="116" s="1"/>
  <c r="CB45" i="116"/>
  <c r="AA40" i="117"/>
  <c r="AC40" i="117" s="1"/>
  <c r="AE40" i="117"/>
  <c r="CR92" i="116"/>
  <c r="CS92" i="116" s="1"/>
  <c r="CQ92" i="116"/>
  <c r="AL40" i="117"/>
  <c r="AN40" i="117" s="1"/>
  <c r="AP40" i="117" s="1"/>
  <c r="CR28" i="116"/>
  <c r="CS28" i="116" s="1"/>
  <c r="CQ28" i="116"/>
  <c r="CR60" i="116"/>
  <c r="CS60" i="116" s="1"/>
  <c r="CQ60" i="116"/>
  <c r="CR69" i="116"/>
  <c r="CS69" i="116" s="1"/>
  <c r="CQ69" i="116"/>
  <c r="CC92" i="116"/>
  <c r="CD92" i="116" s="1"/>
  <c r="CB92" i="116"/>
  <c r="CR104" i="116"/>
  <c r="CS104" i="116" s="1"/>
  <c r="CQ104" i="116"/>
  <c r="CC110" i="116"/>
  <c r="CD110" i="116" s="1"/>
  <c r="CB110" i="116"/>
  <c r="E40" i="117"/>
  <c r="G40" i="117" s="1"/>
  <c r="I40" i="117" s="1"/>
  <c r="CC52" i="116"/>
  <c r="CD52" i="116" s="1"/>
  <c r="CB52" i="116"/>
  <c r="CR82" i="116"/>
  <c r="CS82" i="116" s="1"/>
  <c r="CQ82" i="116"/>
  <c r="CR35" i="116"/>
  <c r="CS35" i="116" s="1"/>
  <c r="CQ35" i="116"/>
  <c r="G45" i="52"/>
  <c r="I45" i="52" s="1"/>
  <c r="CC19" i="116"/>
  <c r="CD19" i="116" s="1"/>
  <c r="CB19" i="116"/>
  <c r="D39" i="112"/>
  <c r="F39" i="112" s="1"/>
  <c r="H39" i="112" s="1"/>
  <c r="J39" i="112" s="1"/>
  <c r="C40" i="112" s="1"/>
  <c r="B40" i="112"/>
  <c r="CR87" i="116"/>
  <c r="CS87" i="116" s="1"/>
  <c r="CQ87" i="116"/>
  <c r="CR49" i="116"/>
  <c r="CS49" i="116" s="1"/>
  <c r="CQ49" i="116"/>
  <c r="O39" i="117"/>
  <c r="Q39" i="117" s="1"/>
  <c r="S39" i="117" s="1"/>
  <c r="U39" i="117" s="1"/>
  <c r="N40" i="117" s="1"/>
  <c r="M40" i="117"/>
  <c r="CR75" i="116"/>
  <c r="CS75" i="116" s="1"/>
  <c r="CQ75" i="116"/>
  <c r="CC91" i="116"/>
  <c r="CD91" i="116" s="1"/>
  <c r="CB91" i="116"/>
  <c r="BE40" i="112"/>
  <c r="BG39" i="112"/>
  <c r="BI39" i="112" s="1"/>
  <c r="BK39" i="112" s="1"/>
  <c r="BM39" i="112" s="1"/>
  <c r="BF40" i="112" s="1"/>
  <c r="CR55" i="116"/>
  <c r="CS55" i="116" s="1"/>
  <c r="CQ55" i="116"/>
  <c r="CR58" i="116"/>
  <c r="CS58" i="116" s="1"/>
  <c r="CQ58" i="116"/>
  <c r="CR72" i="116"/>
  <c r="CS72" i="116" s="1"/>
  <c r="CQ72" i="116"/>
  <c r="CR37" i="116"/>
  <c r="CS37" i="116" s="1"/>
  <c r="CQ37" i="116"/>
  <c r="CC74" i="116"/>
  <c r="CD74" i="116" s="1"/>
  <c r="CB74" i="116"/>
  <c r="CC68" i="116"/>
  <c r="CD68" i="116" s="1"/>
  <c r="CB68" i="116"/>
  <c r="CR52" i="116"/>
  <c r="CS52" i="116" s="1"/>
  <c r="CQ52" i="116"/>
  <c r="CR84" i="116"/>
  <c r="CS84" i="116" s="1"/>
  <c r="CQ84" i="116"/>
  <c r="CC86" i="116"/>
  <c r="CD86" i="116" s="1"/>
  <c r="CB86" i="116"/>
  <c r="CC34" i="116"/>
  <c r="CD34" i="116" s="1"/>
  <c r="CB34" i="116"/>
  <c r="CR51" i="116"/>
  <c r="CS51" i="116" s="1"/>
  <c r="CQ51" i="116"/>
  <c r="CR57" i="116"/>
  <c r="CS57" i="116" s="1"/>
  <c r="CQ57" i="116"/>
  <c r="CR109" i="116"/>
  <c r="CS109" i="116" s="1"/>
  <c r="CQ109" i="116"/>
  <c r="B66" i="52"/>
  <c r="E66" i="52" s="1"/>
  <c r="G66" i="52" s="1"/>
  <c r="I66" i="52" s="1"/>
  <c r="D65" i="52"/>
  <c r="F65" i="52" s="1"/>
  <c r="H65" i="52" s="1"/>
  <c r="J65" i="52" s="1"/>
  <c r="C66" i="52" s="1"/>
  <c r="BZ29" i="117"/>
  <c r="BZ14" i="117"/>
  <c r="BJ18" i="116"/>
  <c r="BH19" i="116"/>
  <c r="BS18" i="116"/>
  <c r="CR20" i="116"/>
  <c r="CS20" i="116" s="1"/>
  <c r="CQ20" i="116"/>
  <c r="CR16" i="116"/>
  <c r="CS16" i="116" s="1"/>
  <c r="CQ16" i="116"/>
  <c r="CR86" i="116"/>
  <c r="CS86" i="116" s="1"/>
  <c r="CQ86" i="116"/>
  <c r="CC20" i="116"/>
  <c r="CD20" i="116" s="1"/>
  <c r="CB20" i="116"/>
  <c r="CC66" i="116"/>
  <c r="CD66" i="116" s="1"/>
  <c r="CB66" i="116"/>
  <c r="BO29" i="117"/>
  <c r="BO14" i="117"/>
  <c r="CC35" i="116"/>
  <c r="CD35" i="116" s="1"/>
  <c r="CB35" i="116"/>
  <c r="CC18" i="116"/>
  <c r="CD18" i="116" s="1"/>
  <c r="CB18" i="116"/>
  <c r="BL17" i="116"/>
  <c r="BK17" i="116"/>
  <c r="CR70" i="116"/>
  <c r="CS70" i="116" s="1"/>
  <c r="CQ70" i="116"/>
  <c r="CC95" i="116"/>
  <c r="CD95" i="116" s="1"/>
  <c r="CB95" i="116"/>
  <c r="CC65" i="116"/>
  <c r="CD65" i="116" s="1"/>
  <c r="CB65" i="116"/>
  <c r="I17" i="46"/>
  <c r="E17" i="46"/>
  <c r="G17" i="46" s="1"/>
  <c r="CC59" i="116"/>
  <c r="CD59" i="116" s="1"/>
  <c r="CB59" i="116"/>
  <c r="CR77" i="116"/>
  <c r="CS77" i="116" s="1"/>
  <c r="CQ77" i="116"/>
  <c r="CC53" i="116"/>
  <c r="CD53" i="116" s="1"/>
  <c r="CB53" i="116"/>
  <c r="CR74" i="116"/>
  <c r="CS74" i="116" s="1"/>
  <c r="CQ74" i="116"/>
  <c r="R25" i="20"/>
  <c r="M34" i="20"/>
  <c r="O35" i="20" s="1"/>
  <c r="U39" i="20"/>
  <c r="CR64" i="116"/>
  <c r="CS64" i="116" s="1"/>
  <c r="CQ64" i="116"/>
  <c r="C10" i="51"/>
  <c r="CC79" i="116"/>
  <c r="CD79" i="116" s="1"/>
  <c r="CB79" i="116"/>
  <c r="CR76" i="116"/>
  <c r="CS76" i="116" s="1"/>
  <c r="CQ76" i="116"/>
  <c r="CC67" i="116"/>
  <c r="CD67" i="116" s="1"/>
  <c r="CB67" i="116"/>
  <c r="CR12" i="116"/>
  <c r="CS12" i="116" s="1"/>
  <c r="CQ12" i="116"/>
  <c r="F29" i="50"/>
  <c r="C30" i="50" s="1"/>
  <c r="CC109" i="116"/>
  <c r="CD109" i="116" s="1"/>
  <c r="CB109" i="116"/>
  <c r="CR63" i="116"/>
  <c r="CS63" i="116" s="1"/>
  <c r="CQ63" i="116"/>
  <c r="CB29" i="116"/>
  <c r="CC29" i="116"/>
  <c r="CD29" i="116" s="1"/>
  <c r="CC107" i="116"/>
  <c r="CD107" i="116" s="1"/>
  <c r="CB107" i="116"/>
  <c r="CR22" i="116"/>
  <c r="CS22" i="116" s="1"/>
  <c r="CQ22" i="116"/>
  <c r="P40" i="112"/>
  <c r="R40" i="112" s="1"/>
  <c r="T40" i="112" s="1"/>
  <c r="CR48" i="116"/>
  <c r="CS48" i="116" s="1"/>
  <c r="CQ48" i="116"/>
  <c r="AQ17" i="22"/>
  <c r="AR16" i="22"/>
  <c r="AP16" i="22" s="1"/>
  <c r="E41" i="48"/>
  <c r="G41" i="48" s="1"/>
  <c r="I41" i="48"/>
  <c r="CC72" i="116"/>
  <c r="CD72" i="116" s="1"/>
  <c r="CB72" i="116"/>
  <c r="D21" i="52"/>
  <c r="F21" i="52" s="1"/>
  <c r="H21" i="52" s="1"/>
  <c r="J21" i="52" s="1"/>
  <c r="C22" i="52" s="1"/>
  <c r="B22" i="52"/>
  <c r="E22" i="52" s="1"/>
  <c r="G22" i="52" s="1"/>
  <c r="I22" i="52" s="1"/>
  <c r="CC71" i="116"/>
  <c r="CD71" i="116" s="1"/>
  <c r="CB71" i="116"/>
  <c r="CR45" i="116"/>
  <c r="CS45" i="116" s="1"/>
  <c r="CQ45" i="116"/>
  <c r="CC14" i="116"/>
  <c r="CD14" i="116" s="1"/>
  <c r="CB14" i="116"/>
  <c r="D33" i="44"/>
  <c r="F33" i="44" s="1"/>
  <c r="H33" i="44" s="1"/>
  <c r="J33" i="44" s="1"/>
  <c r="C34" i="44" s="1"/>
  <c r="B34" i="44"/>
  <c r="AY12" i="20"/>
  <c r="AT16" i="20"/>
  <c r="AV17" i="20" s="1"/>
  <c r="E33" i="46"/>
  <c r="G33" i="46" s="1"/>
  <c r="I33" i="46" s="1"/>
  <c r="CC85" i="116"/>
  <c r="CD85" i="116" s="1"/>
  <c r="CB85" i="116"/>
  <c r="CR65" i="116"/>
  <c r="CS65" i="116" s="1"/>
  <c r="CQ65" i="116"/>
  <c r="CR13" i="116"/>
  <c r="CS13" i="116" s="1"/>
  <c r="CQ13" i="116"/>
  <c r="BO15" i="116"/>
  <c r="BN15" i="116"/>
  <c r="BT15" i="116" s="1"/>
  <c r="CC83" i="116"/>
  <c r="CD83" i="116" s="1"/>
  <c r="CB83" i="116"/>
  <c r="CR44" i="116"/>
  <c r="CS44" i="116" s="1"/>
  <c r="CQ44" i="116"/>
  <c r="CR39" i="116"/>
  <c r="CS39" i="116" s="1"/>
  <c r="CQ39" i="116"/>
  <c r="CR15" i="116"/>
  <c r="CS15" i="116" s="1"/>
  <c r="CQ15" i="116"/>
  <c r="BO29" i="112"/>
  <c r="BO14" i="112"/>
  <c r="CR29" i="116"/>
  <c r="CS29" i="116" s="1"/>
  <c r="CQ29" i="116"/>
  <c r="CR106" i="116"/>
  <c r="CS106" i="116" s="1"/>
  <c r="CQ106" i="116"/>
  <c r="BP14" i="116"/>
  <c r="BQ14" i="116"/>
  <c r="BR14" i="116"/>
  <c r="CR54" i="116"/>
  <c r="CS54" i="116" s="1"/>
  <c r="CQ54" i="116"/>
  <c r="AA40" i="112"/>
  <c r="AC40" i="112" s="1"/>
  <c r="AE40" i="112" s="1"/>
  <c r="DL118" i="20" l="1"/>
  <c r="DK118" i="20"/>
  <c r="DI118" i="20"/>
  <c r="DB118" i="20"/>
  <c r="DJ118" i="20"/>
  <c r="DJ117" i="20"/>
  <c r="DL117" i="20"/>
  <c r="DB117" i="20"/>
  <c r="DI117" i="20"/>
  <c r="DK117" i="20"/>
  <c r="DB38" i="20"/>
  <c r="DL38" i="20"/>
  <c r="DI38" i="20"/>
  <c r="DK38" i="20"/>
  <c r="DJ38" i="20"/>
  <c r="DK74" i="20"/>
  <c r="DB74" i="20"/>
  <c r="DL74" i="20"/>
  <c r="DJ74" i="20"/>
  <c r="DI74" i="20"/>
  <c r="DI54" i="20"/>
  <c r="DB54" i="20"/>
  <c r="DL54" i="20"/>
  <c r="DK54" i="20"/>
  <c r="DJ54" i="20"/>
  <c r="DL106" i="20"/>
  <c r="DK106" i="20"/>
  <c r="DI106" i="20"/>
  <c r="DB106" i="20"/>
  <c r="DJ106" i="20"/>
  <c r="DL60" i="20"/>
  <c r="DK60" i="20"/>
  <c r="DJ60" i="20"/>
  <c r="DI60" i="20"/>
  <c r="DB60" i="20"/>
  <c r="DL83" i="20"/>
  <c r="DK83" i="20"/>
  <c r="DB83" i="20"/>
  <c r="DJ83" i="20"/>
  <c r="DI83" i="20"/>
  <c r="DK81" i="20"/>
  <c r="DI81" i="20"/>
  <c r="DJ81" i="20"/>
  <c r="DB81" i="20"/>
  <c r="DL81" i="20"/>
  <c r="DL90" i="20"/>
  <c r="DK90" i="20"/>
  <c r="DI90" i="20"/>
  <c r="DB90" i="20"/>
  <c r="DJ90" i="20"/>
  <c r="DB71" i="20"/>
  <c r="DL71" i="20"/>
  <c r="DJ71" i="20"/>
  <c r="DI71" i="20"/>
  <c r="DK71" i="20"/>
  <c r="DL47" i="20"/>
  <c r="DK47" i="20"/>
  <c r="DJ47" i="20"/>
  <c r="DI47" i="20"/>
  <c r="DB47" i="20"/>
  <c r="DJ100" i="20"/>
  <c r="DB100" i="20"/>
  <c r="DK100" i="20"/>
  <c r="DI100" i="20"/>
  <c r="DL100" i="20"/>
  <c r="DL57" i="20"/>
  <c r="DI57" i="20"/>
  <c r="DK57" i="20"/>
  <c r="DJ57" i="20"/>
  <c r="DB57" i="20"/>
  <c r="DB32" i="20"/>
  <c r="DL32" i="20"/>
  <c r="DK32" i="20"/>
  <c r="DJ32" i="20"/>
  <c r="DI32" i="20"/>
  <c r="DL36" i="20"/>
  <c r="DJ36" i="20"/>
  <c r="DK36" i="20"/>
  <c r="DI36" i="20"/>
  <c r="DB36" i="20"/>
  <c r="DK73" i="20"/>
  <c r="DI73" i="20"/>
  <c r="DJ73" i="20"/>
  <c r="DB73" i="20"/>
  <c r="DL73" i="20"/>
  <c r="DB63" i="20"/>
  <c r="DL63" i="20"/>
  <c r="DJ63" i="20"/>
  <c r="DI63" i="20"/>
  <c r="DK63" i="20"/>
  <c r="BZ7" i="112"/>
  <c r="BZ6" i="112"/>
  <c r="BZ8" i="112" s="1"/>
  <c r="DL122" i="20"/>
  <c r="DK122" i="20"/>
  <c r="DI122" i="20"/>
  <c r="DB122" i="20"/>
  <c r="DJ122" i="20"/>
  <c r="DK110" i="20"/>
  <c r="DI110" i="20"/>
  <c r="DB110" i="20"/>
  <c r="DJ110" i="20"/>
  <c r="DL110" i="20"/>
  <c r="DJ68" i="20"/>
  <c r="DI68" i="20"/>
  <c r="DB68" i="20"/>
  <c r="DL68" i="20"/>
  <c r="DK68" i="20"/>
  <c r="DJ58" i="20"/>
  <c r="DI58" i="20"/>
  <c r="DK58" i="20"/>
  <c r="DB58" i="20"/>
  <c r="DL58" i="20"/>
  <c r="DB103" i="20"/>
  <c r="DL103" i="20"/>
  <c r="DK103" i="20"/>
  <c r="DJ103" i="20"/>
  <c r="DI103" i="20"/>
  <c r="DL31" i="20"/>
  <c r="DK31" i="20"/>
  <c r="DJ31" i="20"/>
  <c r="DI31" i="20"/>
  <c r="DB31" i="20"/>
  <c r="DL27" i="20"/>
  <c r="DB27" i="20"/>
  <c r="DK27" i="20"/>
  <c r="DI27" i="20"/>
  <c r="DJ27" i="20"/>
  <c r="DL82" i="20"/>
  <c r="DK82" i="20"/>
  <c r="DI82" i="20"/>
  <c r="DJ82" i="20"/>
  <c r="DB82" i="20"/>
  <c r="DI105" i="20"/>
  <c r="DL105" i="20"/>
  <c r="DK105" i="20"/>
  <c r="DJ105" i="20"/>
  <c r="DB105" i="20"/>
  <c r="DI113" i="20"/>
  <c r="DK113" i="20"/>
  <c r="DL113" i="20"/>
  <c r="DJ113" i="20"/>
  <c r="DB113" i="20"/>
  <c r="J17" i="46"/>
  <c r="C18" i="46" s="1"/>
  <c r="BR11" i="20"/>
  <c r="BR13" i="20"/>
  <c r="BR20" i="20"/>
  <c r="BR29" i="20"/>
  <c r="BR34" i="20"/>
  <c r="BR15" i="20"/>
  <c r="BR19" i="20"/>
  <c r="BR26" i="20"/>
  <c r="BR7" i="20"/>
  <c r="BR27" i="20"/>
  <c r="BR16" i="20"/>
  <c r="BR31" i="20"/>
  <c r="BR6" i="20"/>
  <c r="BR12" i="20"/>
  <c r="BR18" i="20"/>
  <c r="BR30" i="20"/>
  <c r="BR33" i="20"/>
  <c r="BR22" i="20"/>
  <c r="BR24" i="20"/>
  <c r="BR8" i="20"/>
  <c r="BR10" i="20"/>
  <c r="AI39" i="20"/>
  <c r="BR5" i="20"/>
  <c r="BR35" i="20"/>
  <c r="BR14" i="20"/>
  <c r="BR32" i="20"/>
  <c r="BR28" i="20"/>
  <c r="BR9" i="20"/>
  <c r="BR17" i="20"/>
  <c r="BR23" i="20"/>
  <c r="BR25" i="20"/>
  <c r="BR21" i="20"/>
  <c r="DK65" i="20"/>
  <c r="DJ65" i="20"/>
  <c r="DI65" i="20"/>
  <c r="DB65" i="20"/>
  <c r="DL65" i="20"/>
  <c r="DB52" i="20"/>
  <c r="DL52" i="20"/>
  <c r="DJ52" i="20"/>
  <c r="DI52" i="20"/>
  <c r="DK52" i="20"/>
  <c r="DL123" i="20"/>
  <c r="DJ123" i="20"/>
  <c r="DB123" i="20"/>
  <c r="DK123" i="20"/>
  <c r="DI123" i="20"/>
  <c r="DB98" i="20"/>
  <c r="DL98" i="20"/>
  <c r="DK98" i="20"/>
  <c r="DI98" i="20"/>
  <c r="DJ98" i="20"/>
  <c r="DI92" i="20"/>
  <c r="DB92" i="20"/>
  <c r="DL92" i="20"/>
  <c r="DK92" i="20"/>
  <c r="DJ92" i="20"/>
  <c r="DL120" i="20"/>
  <c r="DI120" i="20"/>
  <c r="DK120" i="20"/>
  <c r="DB120" i="20"/>
  <c r="DJ120" i="20"/>
  <c r="DL111" i="20"/>
  <c r="DJ111" i="20"/>
  <c r="DI111" i="20"/>
  <c r="DK111" i="20"/>
  <c r="DB111" i="20"/>
  <c r="DJ114" i="20"/>
  <c r="DL114" i="20"/>
  <c r="DK114" i="20"/>
  <c r="DI114" i="20"/>
  <c r="DB114" i="20"/>
  <c r="A18" i="49"/>
  <c r="DI55" i="20"/>
  <c r="DL55" i="20"/>
  <c r="DB55" i="20"/>
  <c r="DJ55" i="20"/>
  <c r="DK55" i="20"/>
  <c r="DI119" i="20"/>
  <c r="DB119" i="20"/>
  <c r="DK119" i="20"/>
  <c r="DL119" i="20"/>
  <c r="DJ119" i="20"/>
  <c r="DL53" i="20"/>
  <c r="DK53" i="20"/>
  <c r="DJ53" i="20"/>
  <c r="DI53" i="20"/>
  <c r="DB53" i="20"/>
  <c r="DI78" i="20"/>
  <c r="DB78" i="20"/>
  <c r="DK78" i="20"/>
  <c r="DJ78" i="20"/>
  <c r="DL78" i="20"/>
  <c r="DJ86" i="20"/>
  <c r="DI86" i="20"/>
  <c r="DL86" i="20"/>
  <c r="DK86" i="20"/>
  <c r="DB86" i="20"/>
  <c r="DL104" i="20"/>
  <c r="DJ104" i="20"/>
  <c r="DI104" i="20"/>
  <c r="DB104" i="20"/>
  <c r="DK104" i="20"/>
  <c r="DJ28" i="20"/>
  <c r="DL28" i="20"/>
  <c r="DI28" i="20"/>
  <c r="DK28" i="20"/>
  <c r="DB28" i="20"/>
  <c r="AF40" i="112"/>
  <c r="Y41" i="112" s="1"/>
  <c r="CH11" i="20"/>
  <c r="CH18" i="20"/>
  <c r="CH31" i="20"/>
  <c r="CH20" i="20"/>
  <c r="CH19" i="20"/>
  <c r="CH25" i="20"/>
  <c r="CH16" i="20"/>
  <c r="CH33" i="20"/>
  <c r="CH6" i="20"/>
  <c r="CH10" i="20"/>
  <c r="CH34" i="20"/>
  <c r="CH13" i="20"/>
  <c r="CH12" i="20"/>
  <c r="CH30" i="20"/>
  <c r="CH29" i="20"/>
  <c r="CH27" i="20"/>
  <c r="CH7" i="20"/>
  <c r="CH26" i="20"/>
  <c r="CH15" i="20"/>
  <c r="CH32" i="20"/>
  <c r="CH21" i="20"/>
  <c r="CH35" i="20"/>
  <c r="CH22" i="20"/>
  <c r="CH24" i="20"/>
  <c r="CH8" i="20"/>
  <c r="CH5" i="20"/>
  <c r="CH28" i="20"/>
  <c r="AY44" i="20"/>
  <c r="CH14" i="20"/>
  <c r="CH17" i="20"/>
  <c r="CH23" i="20"/>
  <c r="CH9" i="20"/>
  <c r="DB87" i="20"/>
  <c r="DL87" i="20"/>
  <c r="DK87" i="20"/>
  <c r="DJ87" i="20"/>
  <c r="DI87" i="20"/>
  <c r="DI45" i="20"/>
  <c r="DB45" i="20"/>
  <c r="DJ45" i="20"/>
  <c r="DL45" i="20"/>
  <c r="DK45" i="20"/>
  <c r="DL109" i="20"/>
  <c r="DK109" i="20"/>
  <c r="DJ109" i="20"/>
  <c r="DI109" i="20"/>
  <c r="DB109" i="20"/>
  <c r="DK75" i="20"/>
  <c r="DB75" i="20"/>
  <c r="DL75" i="20"/>
  <c r="DJ75" i="20"/>
  <c r="DI75" i="20"/>
  <c r="DI29" i="20"/>
  <c r="DB29" i="20"/>
  <c r="DK29" i="20"/>
  <c r="DL29" i="20"/>
  <c r="DJ29" i="20"/>
  <c r="DL80" i="20"/>
  <c r="DB80" i="20"/>
  <c r="DK80" i="20"/>
  <c r="DJ80" i="20"/>
  <c r="DI80" i="20"/>
  <c r="DL50" i="20"/>
  <c r="DK50" i="20"/>
  <c r="DJ50" i="20"/>
  <c r="DI50" i="20"/>
  <c r="DB50" i="20"/>
  <c r="DI115" i="20"/>
  <c r="DB115" i="20"/>
  <c r="DL115" i="20"/>
  <c r="DJ115" i="20"/>
  <c r="DK115" i="20"/>
  <c r="DL97" i="20"/>
  <c r="DK97" i="20"/>
  <c r="DJ97" i="20"/>
  <c r="DI97" i="20"/>
  <c r="DB97" i="20"/>
  <c r="DJ70" i="20"/>
  <c r="DI70" i="20"/>
  <c r="DK70" i="20"/>
  <c r="DB70" i="20"/>
  <c r="DL70" i="20"/>
  <c r="DL84" i="20"/>
  <c r="DB84" i="20"/>
  <c r="DK84" i="20"/>
  <c r="DJ84" i="20"/>
  <c r="DI84" i="20"/>
  <c r="DB79" i="20"/>
  <c r="DK79" i="20"/>
  <c r="DJ79" i="20"/>
  <c r="DL79" i="20"/>
  <c r="DI79" i="20"/>
  <c r="DJ56" i="20"/>
  <c r="DI56" i="20"/>
  <c r="DB56" i="20"/>
  <c r="DL56" i="20"/>
  <c r="DK56" i="20"/>
  <c r="BD17" i="117"/>
  <c r="BD11" i="117"/>
  <c r="DL34" i="20"/>
  <c r="DI34" i="20"/>
  <c r="DB34" i="20"/>
  <c r="DJ34" i="20"/>
  <c r="DK34" i="20"/>
  <c r="CT38" i="112"/>
  <c r="CM39" i="112" s="1"/>
  <c r="DB43" i="20"/>
  <c r="DL43" i="20"/>
  <c r="DK43" i="20"/>
  <c r="DJ43" i="20"/>
  <c r="DI43" i="20"/>
  <c r="DI77" i="20"/>
  <c r="DJ77" i="20"/>
  <c r="DK77" i="20"/>
  <c r="DL77" i="20"/>
  <c r="DB77" i="20"/>
  <c r="DB67" i="20"/>
  <c r="DL67" i="20"/>
  <c r="DJ67" i="20"/>
  <c r="DI67" i="20"/>
  <c r="DK67" i="20"/>
  <c r="DK89" i="20"/>
  <c r="DL89" i="20"/>
  <c r="DJ89" i="20"/>
  <c r="DI89" i="20"/>
  <c r="DB89" i="20"/>
  <c r="DI49" i="20"/>
  <c r="DB49" i="20"/>
  <c r="DL49" i="20"/>
  <c r="DK49" i="20"/>
  <c r="DJ49" i="20"/>
  <c r="DK35" i="20"/>
  <c r="DJ35" i="20"/>
  <c r="DI35" i="20"/>
  <c r="DB35" i="20"/>
  <c r="DL35" i="20"/>
  <c r="DB76" i="20"/>
  <c r="DL76" i="20"/>
  <c r="DK76" i="20"/>
  <c r="DJ76" i="20"/>
  <c r="DI76" i="20"/>
  <c r="DJ42" i="20"/>
  <c r="DI42" i="20"/>
  <c r="DL42" i="20"/>
  <c r="DK42" i="20"/>
  <c r="DB42" i="20"/>
  <c r="J41" i="48"/>
  <c r="C42" i="48" s="1"/>
  <c r="B43" i="48" s="1"/>
  <c r="DL72" i="20"/>
  <c r="DK72" i="20"/>
  <c r="DJ72" i="20"/>
  <c r="DI72" i="20"/>
  <c r="DB72" i="20"/>
  <c r="DK62" i="20"/>
  <c r="DB62" i="20"/>
  <c r="DL62" i="20"/>
  <c r="DI62" i="20"/>
  <c r="DJ62" i="20"/>
  <c r="DB107" i="20"/>
  <c r="DL107" i="20"/>
  <c r="DK107" i="20"/>
  <c r="DI107" i="20"/>
  <c r="DJ107" i="20"/>
  <c r="DI41" i="20"/>
  <c r="DB41" i="20"/>
  <c r="DL41" i="20"/>
  <c r="DJ41" i="20"/>
  <c r="DK41" i="20"/>
  <c r="DL96" i="20"/>
  <c r="DJ96" i="20"/>
  <c r="DK96" i="20"/>
  <c r="DB96" i="20"/>
  <c r="DI96" i="20"/>
  <c r="DK102" i="20"/>
  <c r="DL102" i="20"/>
  <c r="DI102" i="20"/>
  <c r="DB102" i="20"/>
  <c r="DJ102" i="20"/>
  <c r="DL95" i="20"/>
  <c r="DB95" i="20"/>
  <c r="DI95" i="20"/>
  <c r="DJ95" i="20"/>
  <c r="DK95" i="20"/>
  <c r="DB44" i="20"/>
  <c r="DL44" i="20"/>
  <c r="DK44" i="20"/>
  <c r="DJ44" i="20"/>
  <c r="DI44" i="20"/>
  <c r="DK69" i="20"/>
  <c r="DI69" i="20"/>
  <c r="DJ69" i="20"/>
  <c r="DB69" i="20"/>
  <c r="DL69" i="20"/>
  <c r="DB59" i="20"/>
  <c r="DL59" i="20"/>
  <c r="DJ59" i="20"/>
  <c r="DI59" i="20"/>
  <c r="DK59" i="20"/>
  <c r="DI125" i="20"/>
  <c r="DK125" i="20"/>
  <c r="DB125" i="20"/>
  <c r="DL125" i="20"/>
  <c r="DJ125" i="20"/>
  <c r="DL112" i="20"/>
  <c r="DK112" i="20"/>
  <c r="DI112" i="20"/>
  <c r="DB112" i="20"/>
  <c r="DJ112" i="20"/>
  <c r="DJ26" i="20"/>
  <c r="DI26" i="20"/>
  <c r="DB26" i="20"/>
  <c r="DK26" i="20"/>
  <c r="DL26" i="20"/>
  <c r="DI66" i="20"/>
  <c r="DB66" i="20"/>
  <c r="DL66" i="20"/>
  <c r="DJ66" i="20"/>
  <c r="DK66" i="20"/>
  <c r="C18" i="49"/>
  <c r="DL64" i="20"/>
  <c r="DK64" i="20"/>
  <c r="DJ64" i="20"/>
  <c r="DI64" i="20"/>
  <c r="DB64" i="20"/>
  <c r="DJ48" i="20"/>
  <c r="DI48" i="20"/>
  <c r="DK48" i="20"/>
  <c r="DB48" i="20"/>
  <c r="DL48" i="20"/>
  <c r="DJ99" i="20"/>
  <c r="DI99" i="20"/>
  <c r="DB99" i="20"/>
  <c r="DL99" i="20"/>
  <c r="DK99" i="20"/>
  <c r="DI33" i="20"/>
  <c r="DB33" i="20"/>
  <c r="DJ33" i="20"/>
  <c r="DL33" i="20"/>
  <c r="DK33" i="20"/>
  <c r="DJ101" i="20"/>
  <c r="DL101" i="20"/>
  <c r="DK101" i="20"/>
  <c r="DI101" i="20"/>
  <c r="DB101" i="20"/>
  <c r="DL94" i="20"/>
  <c r="DK94" i="20"/>
  <c r="DJ94" i="20"/>
  <c r="DI94" i="20"/>
  <c r="DB94" i="20"/>
  <c r="DL46" i="20"/>
  <c r="DK46" i="20"/>
  <c r="DJ46" i="20"/>
  <c r="DI46" i="20"/>
  <c r="DB46" i="20"/>
  <c r="DL37" i="20"/>
  <c r="DK37" i="20"/>
  <c r="DJ37" i="20"/>
  <c r="DI37" i="20"/>
  <c r="DB37" i="20"/>
  <c r="DL39" i="20"/>
  <c r="DK39" i="20"/>
  <c r="DJ39" i="20"/>
  <c r="DI39" i="20"/>
  <c r="DB39" i="20"/>
  <c r="DI61" i="20"/>
  <c r="DK61" i="20"/>
  <c r="DJ61" i="20"/>
  <c r="DB61" i="20"/>
  <c r="DL61" i="20"/>
  <c r="DL121" i="20"/>
  <c r="DJ121" i="20"/>
  <c r="DK121" i="20"/>
  <c r="DI121" i="20"/>
  <c r="DB121" i="20"/>
  <c r="DL93" i="20"/>
  <c r="DK93" i="20"/>
  <c r="DJ93" i="20"/>
  <c r="DI93" i="20"/>
  <c r="DB93" i="20"/>
  <c r="AD42" i="20"/>
  <c r="AF43" i="20" s="1"/>
  <c r="AN13" i="20"/>
  <c r="AN14" i="20" s="1"/>
  <c r="AO23" i="20" s="1"/>
  <c r="DB51" i="20"/>
  <c r="DK51" i="20"/>
  <c r="DJ51" i="20"/>
  <c r="DL51" i="20"/>
  <c r="DI51" i="20"/>
  <c r="DK108" i="20"/>
  <c r="DB108" i="20"/>
  <c r="DL108" i="20"/>
  <c r="DJ108" i="20"/>
  <c r="DI108" i="20"/>
  <c r="DK30" i="20"/>
  <c r="DJ30" i="20"/>
  <c r="DB30" i="20"/>
  <c r="DI30" i="20"/>
  <c r="DL30" i="20"/>
  <c r="AY23" i="20"/>
  <c r="DI124" i="20"/>
  <c r="DB124" i="20"/>
  <c r="DJ124" i="20"/>
  <c r="DK124" i="20"/>
  <c r="DL124" i="20"/>
  <c r="DB91" i="20"/>
  <c r="DL91" i="20"/>
  <c r="DK91" i="20"/>
  <c r="DI91" i="20"/>
  <c r="DJ91" i="20"/>
  <c r="DL40" i="20"/>
  <c r="DJ40" i="20"/>
  <c r="DI40" i="20"/>
  <c r="DK40" i="20"/>
  <c r="DB40" i="20"/>
  <c r="DK88" i="20"/>
  <c r="DI88" i="20"/>
  <c r="DB88" i="20"/>
  <c r="DL88" i="20"/>
  <c r="DJ88" i="20"/>
  <c r="DJ116" i="20"/>
  <c r="DL116" i="20"/>
  <c r="DK116" i="20"/>
  <c r="DI116" i="20"/>
  <c r="DB116" i="20"/>
  <c r="DI85" i="20"/>
  <c r="DB85" i="20"/>
  <c r="DJ85" i="20"/>
  <c r="DL85" i="20"/>
  <c r="DK85" i="20"/>
  <c r="J17" i="44"/>
  <c r="C18" i="44" s="1"/>
  <c r="M41" i="117"/>
  <c r="O40" i="117"/>
  <c r="Q40" i="117" s="1"/>
  <c r="S40" i="117" s="1"/>
  <c r="AT41" i="112"/>
  <c r="AV40" i="112"/>
  <c r="AX40" i="112" s="1"/>
  <c r="AZ40" i="112" s="1"/>
  <c r="AK41" i="117"/>
  <c r="AM41" i="117" s="1"/>
  <c r="AO41" i="117" s="1"/>
  <c r="AI42" i="117"/>
  <c r="J40" i="117"/>
  <c r="C41" i="117" s="1"/>
  <c r="J26" i="48"/>
  <c r="C27" i="48" s="1"/>
  <c r="Z41" i="112"/>
  <c r="AB41" i="112" s="1"/>
  <c r="AD41" i="112" s="1"/>
  <c r="X42" i="112"/>
  <c r="AK41" i="112"/>
  <c r="AM41" i="112" s="1"/>
  <c r="AO41" i="112" s="1"/>
  <c r="AI42" i="112"/>
  <c r="B41" i="112"/>
  <c r="D40" i="112"/>
  <c r="F40" i="112" s="1"/>
  <c r="H40" i="112" s="1"/>
  <c r="J45" i="52"/>
  <c r="C46" i="52" s="1"/>
  <c r="D18" i="46"/>
  <c r="F18" i="46" s="1"/>
  <c r="H18" i="46" s="1"/>
  <c r="B19" i="46"/>
  <c r="U40" i="112"/>
  <c r="N41" i="112" s="1"/>
  <c r="BE41" i="112"/>
  <c r="BG40" i="112"/>
  <c r="BI40" i="112" s="1"/>
  <c r="BK40" i="112" s="1"/>
  <c r="BM40" i="112" s="1"/>
  <c r="BF41" i="112" s="1"/>
  <c r="X42" i="117"/>
  <c r="Z41" i="117"/>
  <c r="AB41" i="117" s="1"/>
  <c r="AD41" i="117" s="1"/>
  <c r="AF41" i="117" s="1"/>
  <c r="Y42" i="117" s="1"/>
  <c r="AL41" i="112"/>
  <c r="AN41" i="112" s="1"/>
  <c r="AP41" i="112" s="1"/>
  <c r="BH40" i="112"/>
  <c r="BJ40" i="112" s="1"/>
  <c r="BL40" i="112" s="1"/>
  <c r="E18" i="44"/>
  <c r="G18" i="44" s="1"/>
  <c r="I18" i="44" s="1"/>
  <c r="B34" i="46"/>
  <c r="D33" i="46"/>
  <c r="F33" i="46" s="1"/>
  <c r="H33" i="46" s="1"/>
  <c r="B26" i="49"/>
  <c r="A24" i="49"/>
  <c r="A21" i="49"/>
  <c r="BJ5" i="20"/>
  <c r="R35" i="20"/>
  <c r="BJ14" i="20"/>
  <c r="BJ23" i="20"/>
  <c r="BJ17" i="20"/>
  <c r="BJ9" i="20"/>
  <c r="BJ28" i="20"/>
  <c r="BJ32" i="20"/>
  <c r="BJ6" i="20"/>
  <c r="BJ15" i="20"/>
  <c r="BJ26" i="20"/>
  <c r="BJ25" i="20"/>
  <c r="BJ34" i="20"/>
  <c r="BJ7" i="20"/>
  <c r="BJ8" i="20"/>
  <c r="BJ10" i="20"/>
  <c r="BJ12" i="20"/>
  <c r="BJ31" i="20"/>
  <c r="BJ21" i="20"/>
  <c r="BJ11" i="20"/>
  <c r="BJ19" i="20"/>
  <c r="BJ16" i="20"/>
  <c r="BJ30" i="20"/>
  <c r="BJ13" i="20"/>
  <c r="BJ18" i="20"/>
  <c r="BJ27" i="20"/>
  <c r="BJ29" i="20"/>
  <c r="BJ33" i="20"/>
  <c r="BJ20" i="20"/>
  <c r="BJ35" i="20"/>
  <c r="BJ22" i="20"/>
  <c r="BJ24" i="20"/>
  <c r="AL41" i="117"/>
  <c r="AN41" i="117" s="1"/>
  <c r="AP41" i="117" s="1"/>
  <c r="B15" i="50"/>
  <c r="E15" i="50" s="1"/>
  <c r="D14" i="50"/>
  <c r="F14" i="50" s="1"/>
  <c r="C15" i="50" s="1"/>
  <c r="B23" i="52"/>
  <c r="E23" i="52" s="1"/>
  <c r="G23" i="52" s="1"/>
  <c r="I23" i="52" s="1"/>
  <c r="D22" i="52"/>
  <c r="F22" i="52" s="1"/>
  <c r="H22" i="52" s="1"/>
  <c r="J22" i="52" s="1"/>
  <c r="C23" i="52" s="1"/>
  <c r="BO20" i="117"/>
  <c r="BO23" i="117"/>
  <c r="BO26" i="117"/>
  <c r="BW38" i="117"/>
  <c r="BV38" i="117"/>
  <c r="BW39" i="117"/>
  <c r="AW40" i="112"/>
  <c r="AY40" i="112" s="1"/>
  <c r="BA40" i="112" s="1"/>
  <c r="E41" i="117"/>
  <c r="G41" i="117" s="1"/>
  <c r="I41" i="117" s="1"/>
  <c r="P40" i="117"/>
  <c r="R40" i="117" s="1"/>
  <c r="T40" i="117" s="1"/>
  <c r="BO20" i="112"/>
  <c r="BW39" i="112"/>
  <c r="BO23" i="112"/>
  <c r="BO26" i="112"/>
  <c r="BW38" i="112"/>
  <c r="BV38" i="112"/>
  <c r="BP15" i="116"/>
  <c r="BQ15" i="116"/>
  <c r="BR15" i="116"/>
  <c r="E34" i="44"/>
  <c r="G34" i="44" s="1"/>
  <c r="I34" i="44" s="1"/>
  <c r="E18" i="46"/>
  <c r="G18" i="46" s="1"/>
  <c r="I18" i="46" s="1"/>
  <c r="BM17" i="116"/>
  <c r="E27" i="48"/>
  <c r="G27" i="48" s="1"/>
  <c r="I27" i="48"/>
  <c r="AA41" i="112"/>
  <c r="AC41" i="112" s="1"/>
  <c r="AE41" i="112" s="1"/>
  <c r="G46" i="52"/>
  <c r="I46" i="52" s="1"/>
  <c r="BJ19" i="116"/>
  <c r="BH20" i="116"/>
  <c r="BS19" i="116"/>
  <c r="BZ5" i="20"/>
  <c r="AY17" i="20"/>
  <c r="BZ14" i="20"/>
  <c r="BZ17" i="20"/>
  <c r="BZ9" i="20"/>
  <c r="BZ32" i="20"/>
  <c r="BZ28" i="20"/>
  <c r="BZ23" i="20"/>
  <c r="BZ34" i="20"/>
  <c r="BZ29" i="20"/>
  <c r="BZ27" i="20"/>
  <c r="BZ26" i="20"/>
  <c r="BZ8" i="20"/>
  <c r="BZ13" i="20"/>
  <c r="BZ7" i="20"/>
  <c r="BZ12" i="20"/>
  <c r="BZ11" i="20"/>
  <c r="BZ33" i="20"/>
  <c r="BZ10" i="20"/>
  <c r="BZ16" i="20"/>
  <c r="BZ19" i="20"/>
  <c r="BZ6" i="20"/>
  <c r="BZ25" i="20"/>
  <c r="BZ18" i="20"/>
  <c r="BZ20" i="20"/>
  <c r="BZ15" i="20"/>
  <c r="BZ30" i="20"/>
  <c r="BZ31" i="20"/>
  <c r="BZ21" i="20"/>
  <c r="BZ35" i="20"/>
  <c r="BZ22" i="20"/>
  <c r="BZ24" i="20"/>
  <c r="BP16" i="116"/>
  <c r="BQ16" i="116"/>
  <c r="BR16" i="116"/>
  <c r="BL18" i="116"/>
  <c r="BK18" i="116"/>
  <c r="BM18" i="116" s="1"/>
  <c r="E42" i="48"/>
  <c r="G42" i="48" s="1"/>
  <c r="I42" i="48" s="1"/>
  <c r="D26" i="49"/>
  <c r="C24" i="49"/>
  <c r="C21" i="49"/>
  <c r="C16" i="51"/>
  <c r="C13" i="51"/>
  <c r="I74" i="52"/>
  <c r="H74" i="52"/>
  <c r="I75" i="52"/>
  <c r="BZ20" i="117"/>
  <c r="BZ23" i="117"/>
  <c r="BZ26" i="117"/>
  <c r="CH38" i="117"/>
  <c r="CG38" i="117"/>
  <c r="CH39" i="117"/>
  <c r="AS17" i="117"/>
  <c r="AS11" i="117"/>
  <c r="CL40" i="112"/>
  <c r="CN39" i="112"/>
  <c r="CP39" i="112" s="1"/>
  <c r="CR39" i="112" s="1"/>
  <c r="CT39" i="112" s="1"/>
  <c r="CM40" i="112" s="1"/>
  <c r="AQ18" i="22"/>
  <c r="AR17" i="22"/>
  <c r="AP17" i="22" s="1"/>
  <c r="B31" i="50"/>
  <c r="E31" i="50" s="1"/>
  <c r="D30" i="50"/>
  <c r="F30" i="50" s="1"/>
  <c r="C31" i="50" s="1"/>
  <c r="DE38" i="112"/>
  <c r="CX39" i="112" s="1"/>
  <c r="AA41" i="117"/>
  <c r="AC41" i="117" s="1"/>
  <c r="AE41" i="117" s="1"/>
  <c r="P41" i="112"/>
  <c r="R41" i="112" s="1"/>
  <c r="T41" i="112" s="1"/>
  <c r="B35" i="44"/>
  <c r="D34" i="44"/>
  <c r="F34" i="44" s="1"/>
  <c r="H34" i="44" s="1"/>
  <c r="B67" i="52"/>
  <c r="E67" i="52" s="1"/>
  <c r="G67" i="52" s="1"/>
  <c r="I67" i="52" s="1"/>
  <c r="D66" i="52"/>
  <c r="F66" i="52" s="1"/>
  <c r="H66" i="52" s="1"/>
  <c r="J66" i="52" s="1"/>
  <c r="C67" i="52" s="1"/>
  <c r="E40" i="112"/>
  <c r="G40" i="112" s="1"/>
  <c r="I40" i="112" s="1"/>
  <c r="BV5" i="20" l="1"/>
  <c r="BV25" i="20"/>
  <c r="BV14" i="20"/>
  <c r="BV20" i="20"/>
  <c r="BV23" i="20"/>
  <c r="BV28" i="20"/>
  <c r="BV7" i="20"/>
  <c r="BV32" i="20"/>
  <c r="BV11" i="20"/>
  <c r="BV16" i="20"/>
  <c r="BV9" i="20"/>
  <c r="BV15" i="20"/>
  <c r="BV17" i="20"/>
  <c r="BV30" i="20"/>
  <c r="BV8" i="20"/>
  <c r="BV13" i="20"/>
  <c r="BV29" i="20"/>
  <c r="BV19" i="20"/>
  <c r="BV12" i="20"/>
  <c r="BV6" i="20"/>
  <c r="BV10" i="20"/>
  <c r="BV33" i="20"/>
  <c r="BV27" i="20"/>
  <c r="BV35" i="20"/>
  <c r="BV34" i="20"/>
  <c r="BV31" i="20"/>
  <c r="BV26" i="20"/>
  <c r="BV22" i="20"/>
  <c r="BV21" i="20"/>
  <c r="BV24" i="20"/>
  <c r="AI43" i="20"/>
  <c r="BV18" i="20"/>
  <c r="DC30" i="20"/>
  <c r="DD30" i="20"/>
  <c r="DD67" i="20"/>
  <c r="DC67" i="20"/>
  <c r="DD84" i="20"/>
  <c r="DC84" i="20"/>
  <c r="DE84" i="20" s="1"/>
  <c r="DD122" i="20"/>
  <c r="DC122" i="20"/>
  <c r="DC36" i="20"/>
  <c r="DD36" i="20"/>
  <c r="DD41" i="20"/>
  <c r="DC41" i="20"/>
  <c r="DD77" i="20"/>
  <c r="DC77" i="20"/>
  <c r="DE77" i="20" s="1"/>
  <c r="BD29" i="117"/>
  <c r="BD14" i="117"/>
  <c r="DD50" i="20"/>
  <c r="DC50" i="20"/>
  <c r="DE50" i="20" s="1"/>
  <c r="DD119" i="20"/>
  <c r="DC119" i="20"/>
  <c r="DD98" i="20"/>
  <c r="DC98" i="20"/>
  <c r="DE98" i="20" s="1"/>
  <c r="DD58" i="20"/>
  <c r="DC58" i="20"/>
  <c r="DD85" i="20"/>
  <c r="DC85" i="20"/>
  <c r="DE85" i="20" s="1"/>
  <c r="DD101" i="20"/>
  <c r="DC101" i="20"/>
  <c r="DC37" i="20"/>
  <c r="DD37" i="20"/>
  <c r="DD26" i="20"/>
  <c r="DC26" i="20"/>
  <c r="DE26" i="20" s="1"/>
  <c r="DD42" i="20"/>
  <c r="DC42" i="20"/>
  <c r="DE42" i="20" s="1"/>
  <c r="DC70" i="20"/>
  <c r="DD70" i="20"/>
  <c r="DC75" i="20"/>
  <c r="DD75" i="20"/>
  <c r="DD87" i="20"/>
  <c r="DC87" i="20"/>
  <c r="DD106" i="20"/>
  <c r="DC106" i="20"/>
  <c r="DE106" i="20" s="1"/>
  <c r="DC48" i="20"/>
  <c r="DD48" i="20"/>
  <c r="DD95" i="20"/>
  <c r="DC95" i="20"/>
  <c r="DE95" i="20" s="1"/>
  <c r="DD113" i="20"/>
  <c r="DC113" i="20"/>
  <c r="DE113" i="20" s="1"/>
  <c r="DD100" i="20"/>
  <c r="DC100" i="20"/>
  <c r="DE100" i="20" s="1"/>
  <c r="DC116" i="20"/>
  <c r="DD116" i="20"/>
  <c r="DD121" i="20"/>
  <c r="DC121" i="20"/>
  <c r="DE121" i="20" s="1"/>
  <c r="DC59" i="20"/>
  <c r="DD59" i="20"/>
  <c r="DD120" i="20"/>
  <c r="DC120" i="20"/>
  <c r="DE120" i="20" s="1"/>
  <c r="DC123" i="20"/>
  <c r="DD123" i="20"/>
  <c r="DD27" i="20"/>
  <c r="DC27" i="20"/>
  <c r="DE27" i="20" s="1"/>
  <c r="BZ17" i="112"/>
  <c r="BZ11" i="112"/>
  <c r="DC47" i="20"/>
  <c r="DD47" i="20"/>
  <c r="DC81" i="20"/>
  <c r="DD81" i="20"/>
  <c r="A10" i="47"/>
  <c r="DC102" i="20"/>
  <c r="DE102" i="20" s="1"/>
  <c r="DD102" i="20"/>
  <c r="DD49" i="20"/>
  <c r="DC49" i="20"/>
  <c r="DE49" i="20" s="1"/>
  <c r="DD56" i="20"/>
  <c r="DC56" i="20"/>
  <c r="DC109" i="20"/>
  <c r="DD109" i="20"/>
  <c r="DC28" i="20"/>
  <c r="DE28" i="20" s="1"/>
  <c r="DD28" i="20"/>
  <c r="DD55" i="20"/>
  <c r="DC55" i="20"/>
  <c r="DD38" i="20"/>
  <c r="DC38" i="20"/>
  <c r="DE38" i="20" s="1"/>
  <c r="DD112" i="20"/>
  <c r="DC112" i="20"/>
  <c r="DE112" i="20" s="1"/>
  <c r="DD97" i="20"/>
  <c r="DC97" i="20"/>
  <c r="DC78" i="20"/>
  <c r="DD78" i="20"/>
  <c r="DC105" i="20"/>
  <c r="DE105" i="20" s="1"/>
  <c r="DD105" i="20"/>
  <c r="DD68" i="20"/>
  <c r="DC68" i="20"/>
  <c r="DE68" i="20" s="1"/>
  <c r="DC46" i="20"/>
  <c r="DE46" i="20" s="1"/>
  <c r="DD46" i="20"/>
  <c r="DD117" i="20"/>
  <c r="DC117" i="20"/>
  <c r="DD108" i="20"/>
  <c r="DC108" i="20"/>
  <c r="DE108" i="20" s="1"/>
  <c r="DC80" i="20"/>
  <c r="DD80" i="20"/>
  <c r="DC53" i="20"/>
  <c r="DE53" i="20" s="1"/>
  <c r="DD53" i="20"/>
  <c r="DD114" i="20"/>
  <c r="DC114" i="20"/>
  <c r="DE114" i="20" s="1"/>
  <c r="DD32" i="20"/>
  <c r="DC32" i="20"/>
  <c r="DD69" i="20"/>
  <c r="DC69" i="20"/>
  <c r="DE69" i="20" s="1"/>
  <c r="DD91" i="20"/>
  <c r="DC91" i="20"/>
  <c r="DC89" i="20"/>
  <c r="DE89" i="20" s="1"/>
  <c r="DD89" i="20"/>
  <c r="DD61" i="20"/>
  <c r="DC61" i="20"/>
  <c r="DE61" i="20" s="1"/>
  <c r="DD33" i="20"/>
  <c r="DC33" i="20"/>
  <c r="DE33" i="20" s="1"/>
  <c r="DD96" i="20"/>
  <c r="DC96" i="20"/>
  <c r="DD43" i="20"/>
  <c r="DC43" i="20"/>
  <c r="DE43" i="20" s="1"/>
  <c r="DC63" i="20"/>
  <c r="DE63" i="20" s="1"/>
  <c r="DD63" i="20"/>
  <c r="DD57" i="20"/>
  <c r="DC57" i="20"/>
  <c r="DE57" i="20" s="1"/>
  <c r="DD83" i="20"/>
  <c r="DC83" i="20"/>
  <c r="DD54" i="20"/>
  <c r="DC54" i="20"/>
  <c r="DD31" i="20"/>
  <c r="DC31" i="20"/>
  <c r="DE31" i="20" s="1"/>
  <c r="H42" i="48"/>
  <c r="DC88" i="20"/>
  <c r="DD88" i="20"/>
  <c r="DC124" i="20"/>
  <c r="DD124" i="20"/>
  <c r="DD62" i="20"/>
  <c r="DC62" i="20"/>
  <c r="DE62" i="20" s="1"/>
  <c r="DD104" i="20"/>
  <c r="DC104" i="20"/>
  <c r="DD92" i="20"/>
  <c r="DC92" i="20"/>
  <c r="DE92" i="20" s="1"/>
  <c r="DC52" i="20"/>
  <c r="DD52" i="20"/>
  <c r="D42" i="48"/>
  <c r="F42" i="48" s="1"/>
  <c r="BX38" i="112"/>
  <c r="BQ39" i="112" s="1"/>
  <c r="U40" i="117"/>
  <c r="N41" i="117" s="1"/>
  <c r="DD51" i="20"/>
  <c r="DC51" i="20"/>
  <c r="DE51" i="20" s="1"/>
  <c r="DD76" i="20"/>
  <c r="DC76" i="20"/>
  <c r="DD79" i="20"/>
  <c r="DC79" i="20"/>
  <c r="DE79" i="20" s="1"/>
  <c r="DD82" i="20"/>
  <c r="DC82" i="20"/>
  <c r="DD110" i="20"/>
  <c r="DC110" i="20"/>
  <c r="DE110" i="20" s="1"/>
  <c r="DD73" i="20"/>
  <c r="DC73" i="20"/>
  <c r="DD118" i="20"/>
  <c r="DC118" i="20"/>
  <c r="DD64" i="20"/>
  <c r="DC64" i="20"/>
  <c r="DE64" i="20" s="1"/>
  <c r="DD107" i="20"/>
  <c r="DC107" i="20"/>
  <c r="DE107" i="20" s="1"/>
  <c r="DC94" i="20"/>
  <c r="DE94" i="20" s="1"/>
  <c r="DD94" i="20"/>
  <c r="DD125" i="20"/>
  <c r="DC125" i="20"/>
  <c r="DE125" i="20" s="1"/>
  <c r="DD72" i="20"/>
  <c r="DC72" i="20"/>
  <c r="DD45" i="20"/>
  <c r="DC45" i="20"/>
  <c r="DE45" i="20" s="1"/>
  <c r="DD65" i="20"/>
  <c r="DC65" i="20"/>
  <c r="DC71" i="20"/>
  <c r="DE71" i="20" s="1"/>
  <c r="DD71" i="20"/>
  <c r="DD60" i="20"/>
  <c r="DC60" i="20"/>
  <c r="DE60" i="20" s="1"/>
  <c r="DC40" i="20"/>
  <c r="DD40" i="20"/>
  <c r="DC39" i="20"/>
  <c r="DE39" i="20" s="1"/>
  <c r="DD39" i="20"/>
  <c r="DD99" i="20"/>
  <c r="DC99" i="20"/>
  <c r="DE99" i="20" s="1"/>
  <c r="DD44" i="20"/>
  <c r="DC44" i="20"/>
  <c r="DD35" i="20"/>
  <c r="DC35" i="20"/>
  <c r="DE35" i="20" s="1"/>
  <c r="DD34" i="20"/>
  <c r="DC34" i="20"/>
  <c r="DD29" i="20"/>
  <c r="DC29" i="20"/>
  <c r="DD111" i="20"/>
  <c r="DC111" i="20"/>
  <c r="DE111" i="20" s="1"/>
  <c r="J40" i="112"/>
  <c r="C41" i="112" s="1"/>
  <c r="DD93" i="20"/>
  <c r="DC93" i="20"/>
  <c r="DE93" i="20" s="1"/>
  <c r="DD66" i="20"/>
  <c r="DC66" i="20"/>
  <c r="DC115" i="20"/>
  <c r="DD115" i="20"/>
  <c r="DD86" i="20"/>
  <c r="DC86" i="20"/>
  <c r="DD103" i="20"/>
  <c r="DC103" i="20"/>
  <c r="DE103" i="20" s="1"/>
  <c r="DC90" i="20"/>
  <c r="DD90" i="20"/>
  <c r="DD74" i="20"/>
  <c r="DC74" i="20"/>
  <c r="DE74" i="20" s="1"/>
  <c r="AF41" i="112"/>
  <c r="Y42" i="112" s="1"/>
  <c r="B42" i="112"/>
  <c r="D41" i="112"/>
  <c r="F41" i="112" s="1"/>
  <c r="H41" i="112" s="1"/>
  <c r="BG41" i="112"/>
  <c r="BI41" i="112" s="1"/>
  <c r="BK41" i="112" s="1"/>
  <c r="BE42" i="112"/>
  <c r="AQ41" i="117"/>
  <c r="AJ42" i="117" s="1"/>
  <c r="BB40" i="112"/>
  <c r="AU41" i="112" s="1"/>
  <c r="J33" i="46"/>
  <c r="C34" i="46" s="1"/>
  <c r="CN40" i="112"/>
  <c r="CP40" i="112" s="1"/>
  <c r="CR40" i="112" s="1"/>
  <c r="CL41" i="112"/>
  <c r="Z42" i="117"/>
  <c r="AB42" i="117" s="1"/>
  <c r="AD42" i="117" s="1"/>
  <c r="AF42" i="117" s="1"/>
  <c r="Y43" i="117" s="1"/>
  <c r="X43" i="117"/>
  <c r="O41" i="117"/>
  <c r="Q41" i="117" s="1"/>
  <c r="S41" i="117" s="1"/>
  <c r="U41" i="117" s="1"/>
  <c r="N42" i="117" s="1"/>
  <c r="M42" i="117"/>
  <c r="J34" i="44"/>
  <c r="C35" i="44" s="1"/>
  <c r="AQ41" i="112"/>
  <c r="AJ42" i="112" s="1"/>
  <c r="B16" i="50"/>
  <c r="E16" i="50" s="1"/>
  <c r="D15" i="50"/>
  <c r="F15" i="50" s="1"/>
  <c r="C16" i="50" s="1"/>
  <c r="AA42" i="117"/>
  <c r="AC42" i="117" s="1"/>
  <c r="AE42" i="117" s="1"/>
  <c r="B47" i="52"/>
  <c r="E47" i="52" s="1"/>
  <c r="D46" i="52"/>
  <c r="F46" i="52" s="1"/>
  <c r="H46" i="52" s="1"/>
  <c r="J46" i="52" s="1"/>
  <c r="C47" i="52" s="1"/>
  <c r="BJ20" i="116"/>
  <c r="BS20" i="116"/>
  <c r="BH21" i="116"/>
  <c r="A13" i="47"/>
  <c r="A22" i="47" s="1"/>
  <c r="A25" i="47" s="1"/>
  <c r="BR39" i="112"/>
  <c r="BT39" i="112" s="1"/>
  <c r="BP40" i="112"/>
  <c r="BV39" i="112"/>
  <c r="BX39" i="112" s="1"/>
  <c r="BQ40" i="112" s="1"/>
  <c r="A28" i="49"/>
  <c r="A27" i="49"/>
  <c r="A29" i="49" s="1"/>
  <c r="A32" i="49" s="1"/>
  <c r="A35" i="49" s="1"/>
  <c r="A38" i="49" s="1"/>
  <c r="B28" i="48"/>
  <c r="D27" i="48"/>
  <c r="F27" i="48" s="1"/>
  <c r="H27" i="48" s="1"/>
  <c r="J27" i="48" s="1"/>
  <c r="C28" i="48" s="1"/>
  <c r="D41" i="117"/>
  <c r="F41" i="117" s="1"/>
  <c r="H41" i="117" s="1"/>
  <c r="B42" i="117"/>
  <c r="BO18" i="116"/>
  <c r="BN18" i="116"/>
  <c r="BT18" i="116" s="1"/>
  <c r="BX38" i="117"/>
  <c r="BQ39" i="117" s="1"/>
  <c r="AL42" i="117"/>
  <c r="AN42" i="117" s="1"/>
  <c r="AP42" i="117" s="1"/>
  <c r="E41" i="112"/>
  <c r="G41" i="112" s="1"/>
  <c r="I41" i="112" s="1"/>
  <c r="BH41" i="112"/>
  <c r="BJ41" i="112" s="1"/>
  <c r="BL41" i="112" s="1"/>
  <c r="CY39" i="112"/>
  <c r="DA39" i="112" s="1"/>
  <c r="DC39" i="112" s="1"/>
  <c r="DE39" i="112" s="1"/>
  <c r="CX40" i="112" s="1"/>
  <c r="CW40" i="112"/>
  <c r="AL42" i="112"/>
  <c r="AN42" i="112" s="1"/>
  <c r="AP42" i="112" s="1"/>
  <c r="E35" i="44"/>
  <c r="G35" i="44" s="1"/>
  <c r="I35" i="44" s="1"/>
  <c r="AS29" i="117"/>
  <c r="AS14" i="117"/>
  <c r="C28" i="49"/>
  <c r="C27" i="49"/>
  <c r="C29" i="49" s="1"/>
  <c r="C32" i="49" s="1"/>
  <c r="C35" i="49" s="1"/>
  <c r="C38" i="49" s="1"/>
  <c r="M42" i="112"/>
  <c r="O41" i="112"/>
  <c r="Q41" i="112" s="1"/>
  <c r="S41" i="112" s="1"/>
  <c r="BL19" i="116"/>
  <c r="BK19" i="116"/>
  <c r="BM19" i="116" s="1"/>
  <c r="B68" i="52"/>
  <c r="E68" i="52" s="1"/>
  <c r="G68" i="52" s="1"/>
  <c r="I68" i="52" s="1"/>
  <c r="D67" i="52"/>
  <c r="F67" i="52" s="1"/>
  <c r="H67" i="52" s="1"/>
  <c r="J67" i="52" s="1"/>
  <c r="C68" i="52" s="1"/>
  <c r="B24" i="52"/>
  <c r="E24" i="52" s="1"/>
  <c r="G24" i="52" s="1"/>
  <c r="I24" i="52" s="1"/>
  <c r="D23" i="52"/>
  <c r="F23" i="52" s="1"/>
  <c r="H23" i="52" s="1"/>
  <c r="J23" i="52" s="1"/>
  <c r="C24" i="52" s="1"/>
  <c r="AW41" i="112"/>
  <c r="AY41" i="112" s="1"/>
  <c r="BA41" i="112" s="1"/>
  <c r="J74" i="52"/>
  <c r="C75" i="52" s="1"/>
  <c r="CO40" i="112"/>
  <c r="CQ40" i="112" s="1"/>
  <c r="CS40" i="112" s="1"/>
  <c r="B32" i="50"/>
  <c r="E32" i="50" s="1"/>
  <c r="D31" i="50"/>
  <c r="F31" i="50" s="1"/>
  <c r="C32" i="50" s="1"/>
  <c r="CI38" i="117"/>
  <c r="CB39" i="117" s="1"/>
  <c r="BO17" i="116"/>
  <c r="BN17" i="116"/>
  <c r="BT17" i="116" s="1"/>
  <c r="E19" i="46"/>
  <c r="G19" i="46" s="1"/>
  <c r="I19" i="46" s="1"/>
  <c r="J42" i="48"/>
  <c r="C43" i="48" s="1"/>
  <c r="E34" i="46"/>
  <c r="G34" i="46" s="1"/>
  <c r="I34" i="46" s="1"/>
  <c r="J18" i="46"/>
  <c r="C19" i="46" s="1"/>
  <c r="P41" i="117"/>
  <c r="R41" i="117" s="1"/>
  <c r="T41" i="117" s="1"/>
  <c r="AQ19" i="22"/>
  <c r="AR18" i="22"/>
  <c r="AP18" i="22" s="1"/>
  <c r="E43" i="48"/>
  <c r="G43" i="48" s="1"/>
  <c r="I43" i="48" s="1"/>
  <c r="AA42" i="112"/>
  <c r="AC42" i="112" s="1"/>
  <c r="AE42" i="112" s="1"/>
  <c r="B19" i="44"/>
  <c r="D18" i="44"/>
  <c r="F18" i="44" s="1"/>
  <c r="H18" i="44" s="1"/>
  <c r="BD20" i="117" l="1"/>
  <c r="BD23" i="117"/>
  <c r="BD26" i="117"/>
  <c r="BK38" i="117"/>
  <c r="BM38" i="117" s="1"/>
  <c r="BF39" i="117" s="1"/>
  <c r="BL38" i="117"/>
  <c r="BL39" i="117"/>
  <c r="DE90" i="20"/>
  <c r="DE34" i="20"/>
  <c r="DE65" i="20"/>
  <c r="DE73" i="20"/>
  <c r="DE52" i="20"/>
  <c r="DE83" i="20"/>
  <c r="DE91" i="20"/>
  <c r="DF71" i="20"/>
  <c r="DG71" i="20"/>
  <c r="DH71" i="20" s="1"/>
  <c r="DG27" i="20"/>
  <c r="DH27" i="20" s="1"/>
  <c r="DF27" i="20"/>
  <c r="DE86" i="20"/>
  <c r="DE104" i="20"/>
  <c r="DE109" i="20"/>
  <c r="DE101" i="20"/>
  <c r="DE41" i="20"/>
  <c r="DF89" i="20"/>
  <c r="DG89" i="20"/>
  <c r="DH89" i="20" s="1"/>
  <c r="DG28" i="20"/>
  <c r="DH28" i="20" s="1"/>
  <c r="DF28" i="20"/>
  <c r="DE44" i="20"/>
  <c r="DE72" i="20"/>
  <c r="DE82" i="20"/>
  <c r="DE32" i="20"/>
  <c r="DE56" i="20"/>
  <c r="DE123" i="20"/>
  <c r="DE48" i="20"/>
  <c r="DG92" i="20"/>
  <c r="DH92" i="20" s="1"/>
  <c r="DF92" i="20"/>
  <c r="DG35" i="20"/>
  <c r="DH35" i="20" s="1"/>
  <c r="DF35" i="20"/>
  <c r="DG69" i="20"/>
  <c r="DH69" i="20" s="1"/>
  <c r="DF69" i="20"/>
  <c r="DF63" i="20"/>
  <c r="DG63" i="20"/>
  <c r="DH63" i="20" s="1"/>
  <c r="DE115" i="20"/>
  <c r="DF99" i="20"/>
  <c r="DG99" i="20"/>
  <c r="DH99" i="20" s="1"/>
  <c r="DF125" i="20"/>
  <c r="DG125" i="20"/>
  <c r="DH125" i="20" s="1"/>
  <c r="DG79" i="20"/>
  <c r="DH79" i="20" s="1"/>
  <c r="DF79" i="20"/>
  <c r="DG43" i="20"/>
  <c r="DH43" i="20" s="1"/>
  <c r="DF43" i="20"/>
  <c r="DG114" i="20"/>
  <c r="DH114" i="20" s="1"/>
  <c r="DF114" i="20"/>
  <c r="DG49" i="20"/>
  <c r="DH49" i="20" s="1"/>
  <c r="DF49" i="20"/>
  <c r="DE36" i="20"/>
  <c r="DF113" i="20"/>
  <c r="DG113" i="20"/>
  <c r="DH113" i="20" s="1"/>
  <c r="DG103" i="20"/>
  <c r="DH103" i="20" s="1"/>
  <c r="DF103" i="20"/>
  <c r="DG77" i="20"/>
  <c r="DH77" i="20" s="1"/>
  <c r="DF77" i="20"/>
  <c r="DG85" i="20"/>
  <c r="DH85" i="20" s="1"/>
  <c r="DF85" i="20"/>
  <c r="DE66" i="20"/>
  <c r="DE78" i="20"/>
  <c r="DE87" i="20"/>
  <c r="DE58" i="20"/>
  <c r="DE122" i="20"/>
  <c r="DG95" i="20"/>
  <c r="DH95" i="20" s="1"/>
  <c r="DF95" i="20"/>
  <c r="DG110" i="20"/>
  <c r="DH110" i="20" s="1"/>
  <c r="DF110" i="20"/>
  <c r="DF68" i="20"/>
  <c r="DG68" i="20"/>
  <c r="DH68" i="20" s="1"/>
  <c r="DE37" i="20"/>
  <c r="DG120" i="20"/>
  <c r="DH120" i="20" s="1"/>
  <c r="DF120" i="20"/>
  <c r="DE76" i="20"/>
  <c r="DE124" i="20"/>
  <c r="DE96" i="20"/>
  <c r="DE97" i="20"/>
  <c r="DE59" i="20"/>
  <c r="DG46" i="20"/>
  <c r="DH46" i="20" s="1"/>
  <c r="DF46" i="20"/>
  <c r="DF45" i="20"/>
  <c r="DG45" i="20"/>
  <c r="DH45" i="20" s="1"/>
  <c r="DG62" i="20"/>
  <c r="DH62" i="20" s="1"/>
  <c r="DF62" i="20"/>
  <c r="DG94" i="20"/>
  <c r="DH94" i="20" s="1"/>
  <c r="DF94" i="20"/>
  <c r="DF102" i="20"/>
  <c r="DG102" i="20"/>
  <c r="DH102" i="20" s="1"/>
  <c r="DG121" i="20"/>
  <c r="DH121" i="20" s="1"/>
  <c r="DF121" i="20"/>
  <c r="DG98" i="20"/>
  <c r="DH98" i="20" s="1"/>
  <c r="DF98" i="20"/>
  <c r="DG84" i="20"/>
  <c r="DH84" i="20" s="1"/>
  <c r="DF84" i="20"/>
  <c r="DG26" i="20"/>
  <c r="DH26" i="20" s="1"/>
  <c r="DF26" i="20"/>
  <c r="DF51" i="20"/>
  <c r="DG51" i="20"/>
  <c r="DH51" i="20" s="1"/>
  <c r="DF112" i="20"/>
  <c r="DG112" i="20"/>
  <c r="DH112" i="20" s="1"/>
  <c r="DE75" i="20"/>
  <c r="DF105" i="20"/>
  <c r="DG105" i="20"/>
  <c r="DH105" i="20" s="1"/>
  <c r="DG33" i="20"/>
  <c r="DH33" i="20" s="1"/>
  <c r="DF33" i="20"/>
  <c r="DE40" i="20"/>
  <c r="DE80" i="20"/>
  <c r="DE119" i="20"/>
  <c r="DE67" i="20"/>
  <c r="DG93" i="20"/>
  <c r="DH93" i="20" s="1"/>
  <c r="DF93" i="20"/>
  <c r="DG53" i="20"/>
  <c r="DH53" i="20" s="1"/>
  <c r="DF53" i="20"/>
  <c r="DF111" i="20"/>
  <c r="DG111" i="20"/>
  <c r="DH111" i="20" s="1"/>
  <c r="DF60" i="20"/>
  <c r="DG60" i="20"/>
  <c r="DH60" i="20" s="1"/>
  <c r="DF64" i="20"/>
  <c r="DG64" i="20"/>
  <c r="DH64" i="20" s="1"/>
  <c r="DF31" i="20"/>
  <c r="DG31" i="20"/>
  <c r="DH31" i="20" s="1"/>
  <c r="DG61" i="20"/>
  <c r="DH61" i="20" s="1"/>
  <c r="DF61" i="20"/>
  <c r="DG108" i="20"/>
  <c r="DH108" i="20" s="1"/>
  <c r="DF108" i="20"/>
  <c r="DG38" i="20"/>
  <c r="DH38" i="20" s="1"/>
  <c r="DF38" i="20"/>
  <c r="DE81" i="20"/>
  <c r="DE116" i="20"/>
  <c r="DE70" i="20"/>
  <c r="DG57" i="20"/>
  <c r="DH57" i="20" s="1"/>
  <c r="DF57" i="20"/>
  <c r="DG39" i="20"/>
  <c r="DH39" i="20" s="1"/>
  <c r="DF39" i="20"/>
  <c r="DE88" i="20"/>
  <c r="DG74" i="20"/>
  <c r="DH74" i="20" s="1"/>
  <c r="DF74" i="20"/>
  <c r="DG100" i="20"/>
  <c r="DH100" i="20" s="1"/>
  <c r="DF100" i="20"/>
  <c r="DF42" i="20"/>
  <c r="DG42" i="20"/>
  <c r="DH42" i="20" s="1"/>
  <c r="DG50" i="20"/>
  <c r="DH50" i="20" s="1"/>
  <c r="DF50" i="20"/>
  <c r="BZ14" i="112"/>
  <c r="BZ29" i="112"/>
  <c r="DF106" i="20"/>
  <c r="DG106" i="20"/>
  <c r="DH106" i="20" s="1"/>
  <c r="DG107" i="20"/>
  <c r="DH107" i="20" s="1"/>
  <c r="DF107" i="20"/>
  <c r="CK32" i="112"/>
  <c r="DE29" i="20"/>
  <c r="DE118" i="20"/>
  <c r="DE54" i="20"/>
  <c r="DE117" i="20"/>
  <c r="DE55" i="20"/>
  <c r="DE47" i="20"/>
  <c r="DE30" i="20"/>
  <c r="X44" i="117"/>
  <c r="Z43" i="117"/>
  <c r="AB43" i="117" s="1"/>
  <c r="AD43" i="117" s="1"/>
  <c r="CW41" i="112"/>
  <c r="CY40" i="112"/>
  <c r="DA40" i="112" s="1"/>
  <c r="DC40" i="112" s="1"/>
  <c r="BR40" i="112"/>
  <c r="BT40" i="112" s="1"/>
  <c r="BV40" i="112" s="1"/>
  <c r="BP41" i="112"/>
  <c r="CT40" i="112"/>
  <c r="CM41" i="112" s="1"/>
  <c r="B29" i="48"/>
  <c r="D28" i="48"/>
  <c r="F28" i="48" s="1"/>
  <c r="H28" i="48" s="1"/>
  <c r="M43" i="117"/>
  <c r="O42" i="117"/>
  <c r="Q42" i="117" s="1"/>
  <c r="S42" i="117" s="1"/>
  <c r="J18" i="44"/>
  <c r="C19" i="44" s="1"/>
  <c r="U41" i="112"/>
  <c r="N42" i="112" s="1"/>
  <c r="BM41" i="112"/>
  <c r="BF42" i="112" s="1"/>
  <c r="D47" i="52"/>
  <c r="F47" i="52" s="1"/>
  <c r="H47" i="52" s="1"/>
  <c r="B48" i="52"/>
  <c r="E48" i="52" s="1"/>
  <c r="J41" i="112"/>
  <c r="C42" i="112" s="1"/>
  <c r="J41" i="117"/>
  <c r="C42" i="117" s="1"/>
  <c r="B35" i="46"/>
  <c r="D34" i="46"/>
  <c r="F34" i="46" s="1"/>
  <c r="H34" i="46" s="1"/>
  <c r="AI43" i="117"/>
  <c r="AK42" i="117"/>
  <c r="AM42" i="117" s="1"/>
  <c r="AO42" i="117" s="1"/>
  <c r="B69" i="52"/>
  <c r="E69" i="52" s="1"/>
  <c r="G69" i="52" s="1"/>
  <c r="I69" i="52" s="1"/>
  <c r="D68" i="52"/>
  <c r="F68" i="52" s="1"/>
  <c r="H68" i="52" s="1"/>
  <c r="J68" i="52" s="1"/>
  <c r="C69" i="52" s="1"/>
  <c r="E28" i="48"/>
  <c r="G28" i="48" s="1"/>
  <c r="I28" i="48" s="1"/>
  <c r="P42" i="117"/>
  <c r="R42" i="117" s="1"/>
  <c r="T42" i="117" s="1"/>
  <c r="BH42" i="112"/>
  <c r="BJ42" i="112" s="1"/>
  <c r="BL42" i="112" s="1"/>
  <c r="AI43" i="112"/>
  <c r="AK42" i="112"/>
  <c r="AM42" i="112" s="1"/>
  <c r="AO42" i="112" s="1"/>
  <c r="D35" i="44"/>
  <c r="F35" i="44" s="1"/>
  <c r="H35" i="44" s="1"/>
  <c r="J35" i="44" s="1"/>
  <c r="C36" i="44" s="1"/>
  <c r="B36" i="44"/>
  <c r="CA40" i="117"/>
  <c r="CC39" i="117"/>
  <c r="CE39" i="117" s="1"/>
  <c r="CG39" i="117" s="1"/>
  <c r="CI39" i="117" s="1"/>
  <c r="CB40" i="117" s="1"/>
  <c r="BO19" i="116"/>
  <c r="BN19" i="116"/>
  <c r="BT19" i="116" s="1"/>
  <c r="AA43" i="117"/>
  <c r="AC43" i="117" s="1"/>
  <c r="AE43" i="117" s="1"/>
  <c r="C30" i="43"/>
  <c r="D43" i="48"/>
  <c r="F43" i="48" s="1"/>
  <c r="B44" i="48"/>
  <c r="H43" i="48"/>
  <c r="J43" i="48" s="1"/>
  <c r="C44" i="48" s="1"/>
  <c r="CZ40" i="112"/>
  <c r="DB40" i="112" s="1"/>
  <c r="DD40" i="112" s="1"/>
  <c r="CV32" i="112" s="1"/>
  <c r="BL20" i="116"/>
  <c r="BK20" i="116"/>
  <c r="AQ20" i="22"/>
  <c r="AR19" i="22"/>
  <c r="AP19" i="22" s="1"/>
  <c r="G47" i="52"/>
  <c r="I47" i="52"/>
  <c r="B17" i="50"/>
  <c r="E17" i="50" s="1"/>
  <c r="D16" i="50"/>
  <c r="F16" i="50" s="1"/>
  <c r="C17" i="50" s="1"/>
  <c r="AT42" i="112"/>
  <c r="AV41" i="112"/>
  <c r="AX41" i="112" s="1"/>
  <c r="AZ41" i="112" s="1"/>
  <c r="BP17" i="116"/>
  <c r="BQ17" i="116"/>
  <c r="BR17" i="116"/>
  <c r="BS40" i="112"/>
  <c r="BU40" i="112" s="1"/>
  <c r="BW40" i="112" s="1"/>
  <c r="AS20" i="117"/>
  <c r="BA38" i="117"/>
  <c r="AS23" i="117"/>
  <c r="AS26" i="117"/>
  <c r="BA39" i="117"/>
  <c r="AZ38" i="117"/>
  <c r="BB38" i="117" s="1"/>
  <c r="AU39" i="117" s="1"/>
  <c r="BG39" i="117"/>
  <c r="BI39" i="117" s="1"/>
  <c r="BE40" i="117"/>
  <c r="BK39" i="117"/>
  <c r="BM39" i="117" s="1"/>
  <c r="BF40" i="117" s="1"/>
  <c r="A19" i="47"/>
  <c r="A28" i="45"/>
  <c r="E42" i="112"/>
  <c r="G42" i="112" s="1"/>
  <c r="I42" i="112" s="1"/>
  <c r="P42" i="112"/>
  <c r="R42" i="112" s="1"/>
  <c r="T42" i="112" s="1"/>
  <c r="D75" i="52"/>
  <c r="F75" i="52" s="1"/>
  <c r="H75" i="52" s="1"/>
  <c r="J75" i="52" s="1"/>
  <c r="C76" i="52" s="1"/>
  <c r="B76" i="52"/>
  <c r="E76" i="52" s="1"/>
  <c r="BP40" i="117"/>
  <c r="BR39" i="117"/>
  <c r="BT39" i="117" s="1"/>
  <c r="BV39" i="117" s="1"/>
  <c r="BX39" i="117" s="1"/>
  <c r="BQ40" i="117" s="1"/>
  <c r="BP18" i="116"/>
  <c r="BR18" i="116"/>
  <c r="BQ18" i="116"/>
  <c r="A16" i="47"/>
  <c r="CO41" i="112"/>
  <c r="CQ41" i="112" s="1"/>
  <c r="CS41" i="112" s="1"/>
  <c r="E42" i="117"/>
  <c r="G42" i="117" s="1"/>
  <c r="I42" i="117" s="1"/>
  <c r="B33" i="50"/>
  <c r="E33" i="50" s="1"/>
  <c r="D32" i="50"/>
  <c r="F32" i="50" s="1"/>
  <c r="C33" i="50" s="1"/>
  <c r="B20" i="46"/>
  <c r="D19" i="46"/>
  <c r="F19" i="46" s="1"/>
  <c r="H19" i="46" s="1"/>
  <c r="J19" i="46" s="1"/>
  <c r="C20" i="46" s="1"/>
  <c r="E19" i="44"/>
  <c r="G19" i="44" s="1"/>
  <c r="I19" i="44" s="1"/>
  <c r="BS21" i="116"/>
  <c r="BH22" i="116"/>
  <c r="BJ21" i="116"/>
  <c r="B25" i="52"/>
  <c r="E25" i="52" s="1"/>
  <c r="G25" i="52" s="1"/>
  <c r="I25" i="52" s="1"/>
  <c r="D24" i="52"/>
  <c r="F24" i="52" s="1"/>
  <c r="H24" i="52" s="1"/>
  <c r="J24" i="52" s="1"/>
  <c r="C25" i="52" s="1"/>
  <c r="Z42" i="112"/>
  <c r="AB42" i="112" s="1"/>
  <c r="X43" i="112"/>
  <c r="AD42" i="112"/>
  <c r="DF47" i="20" l="1"/>
  <c r="DG47" i="20"/>
  <c r="DH47" i="20" s="1"/>
  <c r="DG119" i="20"/>
  <c r="DH119" i="20" s="1"/>
  <c r="DF119" i="20"/>
  <c r="DG96" i="20"/>
  <c r="DH96" i="20" s="1"/>
  <c r="DF96" i="20"/>
  <c r="DG66" i="20"/>
  <c r="DH66" i="20" s="1"/>
  <c r="DF66" i="20"/>
  <c r="DG123" i="20"/>
  <c r="DH123" i="20" s="1"/>
  <c r="DF123" i="20"/>
  <c r="DG55" i="20"/>
  <c r="DH55" i="20" s="1"/>
  <c r="DF55" i="20"/>
  <c r="DG80" i="20"/>
  <c r="DH80" i="20" s="1"/>
  <c r="DF80" i="20"/>
  <c r="DF124" i="20"/>
  <c r="DG124" i="20"/>
  <c r="DH124" i="20" s="1"/>
  <c r="DF56" i="20"/>
  <c r="DG56" i="20"/>
  <c r="DH56" i="20" s="1"/>
  <c r="DF76" i="20"/>
  <c r="DG76" i="20"/>
  <c r="DH76" i="20" s="1"/>
  <c r="DG118" i="20"/>
  <c r="DH118" i="20" s="1"/>
  <c r="DF118" i="20"/>
  <c r="DF72" i="20"/>
  <c r="DG72" i="20"/>
  <c r="DH72" i="20" s="1"/>
  <c r="DF83" i="20"/>
  <c r="DG83" i="20"/>
  <c r="DH83" i="20" s="1"/>
  <c r="DF29" i="20"/>
  <c r="DG29" i="20"/>
  <c r="DH29" i="20" s="1"/>
  <c r="DG88" i="20"/>
  <c r="DH88" i="20" s="1"/>
  <c r="DF88" i="20"/>
  <c r="DF37" i="20"/>
  <c r="DG37" i="20"/>
  <c r="DH37" i="20" s="1"/>
  <c r="DF44" i="20"/>
  <c r="DG44" i="20"/>
  <c r="DH44" i="20" s="1"/>
  <c r="DF52" i="20"/>
  <c r="DG52" i="20"/>
  <c r="DH52" i="20" s="1"/>
  <c r="DF54" i="20"/>
  <c r="DG54" i="20"/>
  <c r="DH54" i="20" s="1"/>
  <c r="DF82" i="20"/>
  <c r="DG82" i="20"/>
  <c r="DH82" i="20" s="1"/>
  <c r="BO32" i="112"/>
  <c r="O15" i="20" s="1"/>
  <c r="DG115" i="20"/>
  <c r="DH115" i="20" s="1"/>
  <c r="DF115" i="20"/>
  <c r="DG73" i="20"/>
  <c r="DH73" i="20" s="1"/>
  <c r="DF73" i="20"/>
  <c r="DG117" i="20"/>
  <c r="DH117" i="20" s="1"/>
  <c r="DF117" i="20"/>
  <c r="DF75" i="20"/>
  <c r="DG75" i="20"/>
  <c r="DH75" i="20" s="1"/>
  <c r="DG65" i="20"/>
  <c r="DH65" i="20" s="1"/>
  <c r="DF65" i="20"/>
  <c r="DG32" i="20"/>
  <c r="DH32" i="20" s="1"/>
  <c r="DF32" i="20"/>
  <c r="DG91" i="20"/>
  <c r="DH91" i="20" s="1"/>
  <c r="DF91" i="20"/>
  <c r="DF34" i="20"/>
  <c r="DG34" i="20"/>
  <c r="DH34" i="20" s="1"/>
  <c r="DF36" i="20"/>
  <c r="DG36" i="20"/>
  <c r="DH36" i="20" s="1"/>
  <c r="DF90" i="20"/>
  <c r="DG90" i="20"/>
  <c r="DH90" i="20" s="1"/>
  <c r="DG41" i="20"/>
  <c r="DH41" i="20" s="1"/>
  <c r="DF41" i="20"/>
  <c r="DG70" i="20"/>
  <c r="DH70" i="20" s="1"/>
  <c r="DF70" i="20"/>
  <c r="DG116" i="20"/>
  <c r="DH116" i="20" s="1"/>
  <c r="DF116" i="20"/>
  <c r="DF101" i="20"/>
  <c r="DG101" i="20"/>
  <c r="DH101" i="20" s="1"/>
  <c r="CH39" i="112"/>
  <c r="BZ26" i="112"/>
  <c r="BZ23" i="112"/>
  <c r="CG38" i="112"/>
  <c r="CI38" i="112" s="1"/>
  <c r="CB39" i="112" s="1"/>
  <c r="BZ20" i="112"/>
  <c r="CH38" i="112"/>
  <c r="DG81" i="20"/>
  <c r="DH81" i="20" s="1"/>
  <c r="DF81" i="20"/>
  <c r="DG122" i="20"/>
  <c r="DH122" i="20" s="1"/>
  <c r="DF122" i="20"/>
  <c r="DF109" i="20"/>
  <c r="DG109" i="20"/>
  <c r="DH109" i="20" s="1"/>
  <c r="DG58" i="20"/>
  <c r="DH58" i="20" s="1"/>
  <c r="DF58" i="20"/>
  <c r="DG104" i="20"/>
  <c r="DH104" i="20" s="1"/>
  <c r="DF104" i="20"/>
  <c r="DG40" i="20"/>
  <c r="DH40" i="20" s="1"/>
  <c r="DF40" i="20"/>
  <c r="J47" i="52"/>
  <c r="C48" i="52" s="1"/>
  <c r="DF59" i="20"/>
  <c r="DG59" i="20"/>
  <c r="DH59" i="20" s="1"/>
  <c r="DF87" i="20"/>
  <c r="DG87" i="20"/>
  <c r="DH87" i="20" s="1"/>
  <c r="DG86" i="20"/>
  <c r="DH86" i="20" s="1"/>
  <c r="DF86" i="20"/>
  <c r="C10" i="47"/>
  <c r="C13" i="47" s="1"/>
  <c r="C22" i="47" s="1"/>
  <c r="C25" i="47" s="1"/>
  <c r="DF30" i="20"/>
  <c r="DG30" i="20"/>
  <c r="DH30" i="20" s="1"/>
  <c r="DF67" i="20"/>
  <c r="DG67" i="20"/>
  <c r="DH67" i="20" s="1"/>
  <c r="DF97" i="20"/>
  <c r="DG97" i="20"/>
  <c r="DH97" i="20" s="1"/>
  <c r="DG78" i="20"/>
  <c r="DH78" i="20" s="1"/>
  <c r="DF78" i="20"/>
  <c r="DG48" i="20"/>
  <c r="DH48" i="20" s="1"/>
  <c r="DF48" i="20"/>
  <c r="B37" i="44"/>
  <c r="D36" i="44"/>
  <c r="F36" i="44" s="1"/>
  <c r="H36" i="44" s="1"/>
  <c r="BR40" i="117"/>
  <c r="BT40" i="117" s="1"/>
  <c r="BP41" i="117"/>
  <c r="BV40" i="117"/>
  <c r="AQ42" i="117"/>
  <c r="AJ43" i="117" s="1"/>
  <c r="BX40" i="112"/>
  <c r="BQ41" i="112" s="1"/>
  <c r="J34" i="46"/>
  <c r="C35" i="46" s="1"/>
  <c r="J28" i="48"/>
  <c r="C29" i="48" s="1"/>
  <c r="B21" i="46"/>
  <c r="D20" i="46"/>
  <c r="F20" i="46" s="1"/>
  <c r="H20" i="46" s="1"/>
  <c r="BB41" i="112"/>
  <c r="AU42" i="112" s="1"/>
  <c r="DE40" i="112"/>
  <c r="CX41" i="112" s="1"/>
  <c r="AQ42" i="112"/>
  <c r="AJ43" i="112" s="1"/>
  <c r="D76" i="52"/>
  <c r="F76" i="52" s="1"/>
  <c r="H76" i="52" s="1"/>
  <c r="B77" i="52"/>
  <c r="E77" i="52" s="1"/>
  <c r="CA41" i="117"/>
  <c r="CC40" i="117"/>
  <c r="CE40" i="117" s="1"/>
  <c r="CG40" i="117" s="1"/>
  <c r="AF43" i="117"/>
  <c r="Y44" i="117" s="1"/>
  <c r="U42" i="117"/>
  <c r="N43" i="117" s="1"/>
  <c r="B49" i="52"/>
  <c r="E49" i="52" s="1"/>
  <c r="D48" i="52"/>
  <c r="F48" i="52" s="1"/>
  <c r="H48" i="52" s="1"/>
  <c r="J48" i="52" s="1"/>
  <c r="C49" i="52" s="1"/>
  <c r="E29" i="48"/>
  <c r="G29" i="48" s="1"/>
  <c r="I29" i="48" s="1"/>
  <c r="B70" i="52"/>
  <c r="E70" i="52" s="1"/>
  <c r="G70" i="52" s="1"/>
  <c r="I70" i="52" s="1"/>
  <c r="D69" i="52"/>
  <c r="F69" i="52" s="1"/>
  <c r="H69" i="52" s="1"/>
  <c r="J69" i="52" s="1"/>
  <c r="C70" i="52" s="1"/>
  <c r="D70" i="52" s="1"/>
  <c r="F70" i="52" s="1"/>
  <c r="H70" i="52" s="1"/>
  <c r="J70" i="52" s="1"/>
  <c r="BS40" i="117"/>
  <c r="BU40" i="117" s="1"/>
  <c r="BW40" i="117" s="1"/>
  <c r="CN41" i="112"/>
  <c r="CP41" i="112" s="1"/>
  <c r="CR41" i="112" s="1"/>
  <c r="CT41" i="112" s="1"/>
  <c r="CM42" i="112" s="1"/>
  <c r="CL42" i="112"/>
  <c r="BS41" i="112"/>
  <c r="BU41" i="112" s="1"/>
  <c r="BW41" i="112" s="1"/>
  <c r="BM20" i="116"/>
  <c r="G76" i="52"/>
  <c r="I76" i="52" s="1"/>
  <c r="E35" i="46"/>
  <c r="G35" i="46" s="1"/>
  <c r="I35" i="46" s="1"/>
  <c r="B45" i="48"/>
  <c r="D44" i="48"/>
  <c r="F44" i="48" s="1"/>
  <c r="H44" i="48" s="1"/>
  <c r="J44" i="48" s="1"/>
  <c r="C45" i="48" s="1"/>
  <c r="D19" i="44"/>
  <c r="F19" i="44" s="1"/>
  <c r="B20" i="44"/>
  <c r="H19" i="44"/>
  <c r="J19" i="44" s="1"/>
  <c r="C20" i="44" s="1"/>
  <c r="M43" i="112"/>
  <c r="O42" i="112"/>
  <c r="Q42" i="112" s="1"/>
  <c r="S42" i="112" s="1"/>
  <c r="U42" i="112" s="1"/>
  <c r="N43" i="112" s="1"/>
  <c r="B34" i="50"/>
  <c r="E34" i="50" s="1"/>
  <c r="D33" i="50"/>
  <c r="F33" i="50" s="1"/>
  <c r="C34" i="50" s="1"/>
  <c r="AF42" i="112"/>
  <c r="Y43" i="112" s="1"/>
  <c r="E44" i="48"/>
  <c r="G44" i="48" s="1"/>
  <c r="I44" i="48" s="1"/>
  <c r="AL43" i="112"/>
  <c r="AN43" i="112" s="1"/>
  <c r="AP43" i="112" s="1"/>
  <c r="B43" i="117"/>
  <c r="D42" i="117"/>
  <c r="F42" i="117" s="1"/>
  <c r="H42" i="117" s="1"/>
  <c r="B43" i="112"/>
  <c r="D42" i="112"/>
  <c r="F42" i="112" s="1"/>
  <c r="H42" i="112" s="1"/>
  <c r="J42" i="112" s="1"/>
  <c r="C43" i="112" s="1"/>
  <c r="CD40" i="117"/>
  <c r="CF40" i="117" s="1"/>
  <c r="CH40" i="117" s="1"/>
  <c r="AQ21" i="22"/>
  <c r="AR20" i="22"/>
  <c r="AP20" i="22" s="1"/>
  <c r="CZ41" i="112"/>
  <c r="DB41" i="112" s="1"/>
  <c r="DD41" i="112" s="1"/>
  <c r="BE43" i="112"/>
  <c r="BG42" i="112"/>
  <c r="BI42" i="112" s="1"/>
  <c r="BK42" i="112" s="1"/>
  <c r="E20" i="46"/>
  <c r="G20" i="46" s="1"/>
  <c r="I20" i="46" s="1"/>
  <c r="AL43" i="117"/>
  <c r="AN43" i="117" s="1"/>
  <c r="AP43" i="117" s="1"/>
  <c r="D25" i="52"/>
  <c r="F25" i="52" s="1"/>
  <c r="H25" i="52" s="1"/>
  <c r="J25" i="52" s="1"/>
  <c r="C26" i="52" s="1"/>
  <c r="B26" i="52"/>
  <c r="E26" i="52" s="1"/>
  <c r="G26" i="52" s="1"/>
  <c r="I26" i="52" s="1"/>
  <c r="BH40" i="117"/>
  <c r="BJ40" i="117" s="1"/>
  <c r="BL40" i="117" s="1"/>
  <c r="G48" i="52"/>
  <c r="I48" i="52" s="1"/>
  <c r="E36" i="44"/>
  <c r="G36" i="44" s="1"/>
  <c r="I36" i="44" s="1"/>
  <c r="AA43" i="112"/>
  <c r="AC43" i="112" s="1"/>
  <c r="AE43" i="112" s="1"/>
  <c r="BL21" i="116"/>
  <c r="BK21" i="116"/>
  <c r="BS22" i="116"/>
  <c r="BH23" i="116"/>
  <c r="BJ22" i="116"/>
  <c r="AW42" i="112"/>
  <c r="AY42" i="112" s="1"/>
  <c r="BA42" i="112" s="1"/>
  <c r="P43" i="117"/>
  <c r="R43" i="117" s="1"/>
  <c r="T43" i="117" s="1"/>
  <c r="AT40" i="117"/>
  <c r="AV39" i="117"/>
  <c r="AX39" i="117" s="1"/>
  <c r="AZ39" i="117" s="1"/>
  <c r="BB39" i="117" s="1"/>
  <c r="AU40" i="117" s="1"/>
  <c r="BE41" i="117"/>
  <c r="BG40" i="117"/>
  <c r="BI40" i="117" s="1"/>
  <c r="BK40" i="117" s="1"/>
  <c r="BM40" i="117" s="1"/>
  <c r="BF41" i="117" s="1"/>
  <c r="CC39" i="112"/>
  <c r="CE39" i="112" s="1"/>
  <c r="CG39" i="112" s="1"/>
  <c r="CI39" i="112" s="1"/>
  <c r="CB40" i="112" s="1"/>
  <c r="CA40" i="112"/>
  <c r="B18" i="50"/>
  <c r="E18" i="50" s="1"/>
  <c r="D17" i="50"/>
  <c r="F17" i="50" s="1"/>
  <c r="C18" i="50" s="1"/>
  <c r="BP19" i="116"/>
  <c r="BQ19" i="116"/>
  <c r="BR19" i="116"/>
  <c r="AA44" i="117"/>
  <c r="AC44" i="117" s="1"/>
  <c r="AE44" i="117" s="1"/>
  <c r="BM21" i="116" l="1"/>
  <c r="BO32" i="117"/>
  <c r="DK8" i="116" s="1"/>
  <c r="BZ32" i="117"/>
  <c r="DZ8" i="116" s="1"/>
  <c r="CN42" i="112"/>
  <c r="CP42" i="112" s="1"/>
  <c r="CL43" i="112"/>
  <c r="CR42" i="112"/>
  <c r="D49" i="52"/>
  <c r="F49" i="52" s="1"/>
  <c r="H49" i="52" s="1"/>
  <c r="B50" i="52"/>
  <c r="E50" i="52" s="1"/>
  <c r="BG41" i="117"/>
  <c r="BI41" i="117" s="1"/>
  <c r="BE42" i="117"/>
  <c r="BK41" i="117"/>
  <c r="J76" i="52"/>
  <c r="C77" i="52" s="1"/>
  <c r="BM42" i="112"/>
  <c r="BF43" i="112" s="1"/>
  <c r="AV40" i="117"/>
  <c r="AX40" i="117" s="1"/>
  <c r="AZ40" i="117" s="1"/>
  <c r="AT41" i="117"/>
  <c r="O43" i="112"/>
  <c r="Q43" i="112" s="1"/>
  <c r="S43" i="112" s="1"/>
  <c r="U43" i="112" s="1"/>
  <c r="N44" i="112" s="1"/>
  <c r="M44" i="112"/>
  <c r="CI40" i="117"/>
  <c r="CB41" i="117" s="1"/>
  <c r="J36" i="44"/>
  <c r="C37" i="44" s="1"/>
  <c r="J20" i="46"/>
  <c r="C21" i="46" s="1"/>
  <c r="BD32" i="117"/>
  <c r="CV8" i="116" s="1"/>
  <c r="J42" i="117"/>
  <c r="C43" i="117" s="1"/>
  <c r="CA41" i="112"/>
  <c r="CC40" i="112"/>
  <c r="CE40" i="112" s="1"/>
  <c r="CG40" i="112" s="1"/>
  <c r="D29" i="48"/>
  <c r="F29" i="48" s="1"/>
  <c r="H29" i="48" s="1"/>
  <c r="J29" i="48" s="1"/>
  <c r="C30" i="48" s="1"/>
  <c r="B30" i="48"/>
  <c r="G77" i="52"/>
  <c r="I77" i="52" s="1"/>
  <c r="BP42" i="112"/>
  <c r="BV41" i="112"/>
  <c r="BX41" i="112" s="1"/>
  <c r="BQ42" i="112" s="1"/>
  <c r="BR41" i="112"/>
  <c r="BT41" i="112" s="1"/>
  <c r="BO21" i="116"/>
  <c r="BN21" i="116"/>
  <c r="BT21" i="116" s="1"/>
  <c r="BH43" i="112"/>
  <c r="BJ43" i="112" s="1"/>
  <c r="BL43" i="112" s="1"/>
  <c r="E43" i="117"/>
  <c r="G43" i="117" s="1"/>
  <c r="I43" i="117" s="1"/>
  <c r="L32" i="112"/>
  <c r="DL7" i="20" s="1"/>
  <c r="G9" i="20" s="1"/>
  <c r="E45" i="48"/>
  <c r="G45" i="48" s="1"/>
  <c r="I45" i="48" s="1"/>
  <c r="AK43" i="112"/>
  <c r="AM43" i="112" s="1"/>
  <c r="AI44" i="112"/>
  <c r="AO43" i="112"/>
  <c r="E43" i="112"/>
  <c r="G43" i="112" s="1"/>
  <c r="I43" i="112" s="1"/>
  <c r="CY41" i="112"/>
  <c r="DA41" i="112" s="1"/>
  <c r="DC41" i="112" s="1"/>
  <c r="DE41" i="112" s="1"/>
  <c r="CX42" i="112" s="1"/>
  <c r="CW42" i="112"/>
  <c r="AK43" i="117"/>
  <c r="AM43" i="117" s="1"/>
  <c r="AI44" i="117"/>
  <c r="AO43" i="117"/>
  <c r="AQ43" i="117" s="1"/>
  <c r="AJ44" i="117" s="1"/>
  <c r="CD41" i="117"/>
  <c r="CF41" i="117" s="1"/>
  <c r="CH41" i="117"/>
  <c r="C16" i="47"/>
  <c r="E20" i="44"/>
  <c r="G20" i="44" s="1"/>
  <c r="I20" i="44" s="1"/>
  <c r="BX40" i="117"/>
  <c r="BQ41" i="117" s="1"/>
  <c r="C19" i="47"/>
  <c r="AQ22" i="22"/>
  <c r="AR21" i="22"/>
  <c r="AP21" i="22" s="1"/>
  <c r="G49" i="52"/>
  <c r="I49" i="52" s="1"/>
  <c r="BS41" i="117"/>
  <c r="BU41" i="117" s="1"/>
  <c r="BW41" i="117" s="1"/>
  <c r="P43" i="112"/>
  <c r="R43" i="112" s="1"/>
  <c r="T43" i="112" s="1"/>
  <c r="BH41" i="117"/>
  <c r="BJ41" i="117" s="1"/>
  <c r="BL41" i="117"/>
  <c r="X44" i="112"/>
  <c r="Z43" i="112"/>
  <c r="AB43" i="112" s="1"/>
  <c r="AD43" i="112" s="1"/>
  <c r="AW40" i="117"/>
  <c r="AY40" i="117" s="1"/>
  <c r="BA40" i="117" s="1"/>
  <c r="B35" i="50"/>
  <c r="E35" i="50" s="1"/>
  <c r="D34" i="50"/>
  <c r="F34" i="50" s="1"/>
  <c r="C35" i="50" s="1"/>
  <c r="BO20" i="116"/>
  <c r="BN20" i="116"/>
  <c r="BT20" i="116" s="1"/>
  <c r="AV42" i="112"/>
  <c r="AX42" i="112" s="1"/>
  <c r="AZ42" i="112" s="1"/>
  <c r="BB42" i="112" s="1"/>
  <c r="AU43" i="112" s="1"/>
  <c r="AT43" i="112"/>
  <c r="B44" i="112"/>
  <c r="D43" i="112"/>
  <c r="F43" i="112" s="1"/>
  <c r="H43" i="112" s="1"/>
  <c r="A30" i="43"/>
  <c r="B21" i="44"/>
  <c r="D20" i="44"/>
  <c r="F20" i="44" s="1"/>
  <c r="H20" i="44" s="1"/>
  <c r="J20" i="44" s="1"/>
  <c r="C21" i="44" s="1"/>
  <c r="D45" i="48"/>
  <c r="F45" i="48" s="1"/>
  <c r="H45" i="48" s="1"/>
  <c r="B46" i="48"/>
  <c r="B19" i="50"/>
  <c r="E19" i="50" s="1"/>
  <c r="D18" i="50"/>
  <c r="F18" i="50" s="1"/>
  <c r="C19" i="50" s="1"/>
  <c r="B27" i="52"/>
  <c r="E27" i="52" s="1"/>
  <c r="G27" i="52" s="1"/>
  <c r="I27" i="52" s="1"/>
  <c r="D26" i="52"/>
  <c r="F26" i="52" s="1"/>
  <c r="H26" i="52" s="1"/>
  <c r="J26" i="52" s="1"/>
  <c r="C27" i="52" s="1"/>
  <c r="D27" i="52" s="1"/>
  <c r="F27" i="52" s="1"/>
  <c r="H27" i="52" s="1"/>
  <c r="J27" i="52" s="1"/>
  <c r="O43" i="117"/>
  <c r="Q43" i="117" s="1"/>
  <c r="S43" i="117" s="1"/>
  <c r="M44" i="117"/>
  <c r="D35" i="46"/>
  <c r="F35" i="46" s="1"/>
  <c r="H35" i="46" s="1"/>
  <c r="B36" i="46"/>
  <c r="BL22" i="116"/>
  <c r="BK22" i="116"/>
  <c r="CD40" i="112"/>
  <c r="CF40" i="112" s="1"/>
  <c r="CH40" i="112" s="1"/>
  <c r="BZ32" i="112" s="1"/>
  <c r="AF16" i="20" s="1"/>
  <c r="BH24" i="116"/>
  <c r="BJ23" i="116"/>
  <c r="BS23" i="116"/>
  <c r="CO42" i="112"/>
  <c r="CQ42" i="112" s="1"/>
  <c r="CS42" i="112" s="1"/>
  <c r="CT42" i="112" s="1"/>
  <c r="CM43" i="112" s="1"/>
  <c r="Z44" i="117"/>
  <c r="AB44" i="117" s="1"/>
  <c r="AD44" i="117" s="1"/>
  <c r="X45" i="117"/>
  <c r="E21" i="46"/>
  <c r="G21" i="46" s="1"/>
  <c r="I21" i="46" s="1"/>
  <c r="E37" i="44"/>
  <c r="G37" i="44" s="1"/>
  <c r="I37" i="44" s="1"/>
  <c r="BM41" i="117" l="1"/>
  <c r="BF42" i="117" s="1"/>
  <c r="AS32" i="117"/>
  <c r="CG8" i="116" s="1"/>
  <c r="AF43" i="112"/>
  <c r="Y44" i="112" s="1"/>
  <c r="M45" i="112"/>
  <c r="O44" i="112"/>
  <c r="Q44" i="112" s="1"/>
  <c r="S44" i="112" s="1"/>
  <c r="D21" i="44"/>
  <c r="F21" i="44" s="1"/>
  <c r="B22" i="44"/>
  <c r="H21" i="44"/>
  <c r="AF44" i="117"/>
  <c r="Y45" i="117" s="1"/>
  <c r="BB40" i="117"/>
  <c r="AU41" i="117" s="1"/>
  <c r="J43" i="112"/>
  <c r="C44" i="112" s="1"/>
  <c r="CI40" i="112"/>
  <c r="CB41" i="112" s="1"/>
  <c r="AV43" i="112"/>
  <c r="AX43" i="112" s="1"/>
  <c r="AZ43" i="112" s="1"/>
  <c r="AT44" i="112"/>
  <c r="U43" i="117"/>
  <c r="N44" i="117" s="1"/>
  <c r="BP43" i="112"/>
  <c r="BR42" i="112"/>
  <c r="BT42" i="112" s="1"/>
  <c r="BV42" i="112" s="1"/>
  <c r="CY42" i="112"/>
  <c r="DA42" i="112" s="1"/>
  <c r="DC42" i="112" s="1"/>
  <c r="CW43" i="112"/>
  <c r="CN43" i="112"/>
  <c r="CP43" i="112" s="1"/>
  <c r="CR43" i="112" s="1"/>
  <c r="CT43" i="112" s="1"/>
  <c r="CM44" i="112" s="1"/>
  <c r="CL44" i="112"/>
  <c r="B31" i="48"/>
  <c r="D30" i="48"/>
  <c r="F30" i="48" s="1"/>
  <c r="H30" i="48"/>
  <c r="J35" i="46"/>
  <c r="C36" i="46" s="1"/>
  <c r="C28" i="45"/>
  <c r="CZ42" i="112"/>
  <c r="DB42" i="112" s="1"/>
  <c r="DD42" i="112" s="1"/>
  <c r="BP21" i="116"/>
  <c r="BQ21" i="116"/>
  <c r="BR21" i="116"/>
  <c r="D43" i="117"/>
  <c r="F43" i="117" s="1"/>
  <c r="H43" i="117" s="1"/>
  <c r="B44" i="117"/>
  <c r="BG43" i="112"/>
  <c r="BI43" i="112" s="1"/>
  <c r="BK43" i="112" s="1"/>
  <c r="BM43" i="112" s="1"/>
  <c r="BF44" i="112" s="1"/>
  <c r="BE44" i="112"/>
  <c r="BP20" i="116"/>
  <c r="BQ20" i="116"/>
  <c r="BR20" i="116"/>
  <c r="B78" i="52"/>
  <c r="E78" i="52" s="1"/>
  <c r="D77" i="52"/>
  <c r="F77" i="52" s="1"/>
  <c r="H77" i="52" s="1"/>
  <c r="BE43" i="117"/>
  <c r="BG42" i="117"/>
  <c r="BI42" i="117" s="1"/>
  <c r="BK42" i="117" s="1"/>
  <c r="BH42" i="117"/>
  <c r="BJ42" i="117" s="1"/>
  <c r="BL42" i="117" s="1"/>
  <c r="AQ43" i="112"/>
  <c r="AJ44" i="112" s="1"/>
  <c r="BS42" i="112"/>
  <c r="BU42" i="112" s="1"/>
  <c r="BW42" i="112" s="1"/>
  <c r="D37" i="44"/>
  <c r="F37" i="44" s="1"/>
  <c r="H37" i="44" s="1"/>
  <c r="J37" i="44" s="1"/>
  <c r="C38" i="44" s="1"/>
  <c r="B38" i="44"/>
  <c r="B36" i="50"/>
  <c r="E36" i="50" s="1"/>
  <c r="D35" i="50"/>
  <c r="F35" i="50" s="1"/>
  <c r="C36" i="50" s="1"/>
  <c r="BM22" i="116"/>
  <c r="BP42" i="117"/>
  <c r="BR41" i="117"/>
  <c r="BT41" i="117" s="1"/>
  <c r="BV41" i="117" s="1"/>
  <c r="BX41" i="117" s="1"/>
  <c r="BQ42" i="117" s="1"/>
  <c r="CA42" i="117"/>
  <c r="CC41" i="117"/>
  <c r="CE41" i="117" s="1"/>
  <c r="CG41" i="117" s="1"/>
  <c r="CI41" i="117" s="1"/>
  <c r="CB42" i="117" s="1"/>
  <c r="G50" i="52"/>
  <c r="I50" i="52" s="1"/>
  <c r="BL23" i="116"/>
  <c r="BK23" i="116"/>
  <c r="E36" i="46"/>
  <c r="G36" i="46" s="1"/>
  <c r="I36" i="46" s="1"/>
  <c r="B20" i="50"/>
  <c r="E20" i="50" s="1"/>
  <c r="D19" i="50"/>
  <c r="F19" i="50" s="1"/>
  <c r="C20" i="50" s="1"/>
  <c r="E30" i="48"/>
  <c r="G30" i="48" s="1"/>
  <c r="I30" i="48" s="1"/>
  <c r="E46" i="48"/>
  <c r="G46" i="48" s="1"/>
  <c r="I46" i="48" s="1"/>
  <c r="AA44" i="112"/>
  <c r="AC44" i="112" s="1"/>
  <c r="AE44" i="112" s="1"/>
  <c r="CO43" i="112"/>
  <c r="CQ43" i="112" s="1"/>
  <c r="CS43" i="112" s="1"/>
  <c r="J45" i="48"/>
  <c r="C46" i="48" s="1"/>
  <c r="AQ23" i="22"/>
  <c r="AR22" i="22"/>
  <c r="AP22" i="22" s="1"/>
  <c r="E21" i="44"/>
  <c r="G21" i="44" s="1"/>
  <c r="I21" i="44" s="1"/>
  <c r="AL44" i="112"/>
  <c r="AN44" i="112" s="1"/>
  <c r="AP44" i="112" s="1"/>
  <c r="P44" i="112"/>
  <c r="R44" i="112" s="1"/>
  <c r="T44" i="112" s="1"/>
  <c r="AA45" i="117"/>
  <c r="AC45" i="117" s="1"/>
  <c r="AE45" i="117" s="1"/>
  <c r="AI45" i="117"/>
  <c r="AK44" i="117"/>
  <c r="AM44" i="117" s="1"/>
  <c r="AO44" i="117" s="1"/>
  <c r="AL44" i="117"/>
  <c r="AN44" i="117" s="1"/>
  <c r="AP44" i="117" s="1"/>
  <c r="AW41" i="117"/>
  <c r="AY41" i="117" s="1"/>
  <c r="BA41" i="117" s="1"/>
  <c r="J49" i="52"/>
  <c r="C50" i="52" s="1"/>
  <c r="AW43" i="112"/>
  <c r="AY43" i="112" s="1"/>
  <c r="BA43" i="112" s="1"/>
  <c r="CD41" i="112"/>
  <c r="CF41" i="112" s="1"/>
  <c r="CH41" i="112" s="1"/>
  <c r="BH25" i="116"/>
  <c r="BJ24" i="116"/>
  <c r="BS24" i="116"/>
  <c r="D21" i="46"/>
  <c r="F21" i="46" s="1"/>
  <c r="H21" i="46" s="1"/>
  <c r="J21" i="46" s="1"/>
  <c r="C22" i="46" s="1"/>
  <c r="B22" i="46"/>
  <c r="P44" i="117"/>
  <c r="R44" i="117" s="1"/>
  <c r="T44" i="117" s="1"/>
  <c r="E44" i="112"/>
  <c r="G44" i="112" s="1"/>
  <c r="I44" i="112"/>
  <c r="AQ44" i="117" l="1"/>
  <c r="AJ45" i="117" s="1"/>
  <c r="BM42" i="117"/>
  <c r="BF43" i="117" s="1"/>
  <c r="DE42" i="112"/>
  <c r="CX43" i="112" s="1"/>
  <c r="BX42" i="112"/>
  <c r="BQ43" i="112" s="1"/>
  <c r="AH32" i="117"/>
  <c r="AK45" i="117"/>
  <c r="AM45" i="117" s="1"/>
  <c r="AI46" i="117"/>
  <c r="AO45" i="117"/>
  <c r="CW44" i="112"/>
  <c r="CY43" i="112"/>
  <c r="DA43" i="112" s="1"/>
  <c r="DC43" i="112" s="1"/>
  <c r="BG43" i="117"/>
  <c r="BI43" i="117" s="1"/>
  <c r="BK43" i="117" s="1"/>
  <c r="BM43" i="117" s="1"/>
  <c r="BF44" i="117" s="1"/>
  <c r="BE44" i="117"/>
  <c r="CA43" i="117"/>
  <c r="CC42" i="117"/>
  <c r="CE42" i="117" s="1"/>
  <c r="CG42" i="117" s="1"/>
  <c r="CI42" i="117" s="1"/>
  <c r="CB43" i="117" s="1"/>
  <c r="J43" i="117"/>
  <c r="C44" i="117" s="1"/>
  <c r="BR42" i="117"/>
  <c r="BT42" i="117" s="1"/>
  <c r="BV42" i="117" s="1"/>
  <c r="BP43" i="117"/>
  <c r="BB43" i="112"/>
  <c r="AU44" i="112" s="1"/>
  <c r="B23" i="46"/>
  <c r="D22" i="46"/>
  <c r="F22" i="46" s="1"/>
  <c r="H22" i="46" s="1"/>
  <c r="BP44" i="112"/>
  <c r="BR43" i="112"/>
  <c r="BT43" i="112" s="1"/>
  <c r="BV43" i="112" s="1"/>
  <c r="J77" i="52"/>
  <c r="C78" i="52" s="1"/>
  <c r="CL45" i="112"/>
  <c r="CN44" i="112"/>
  <c r="CP44" i="112" s="1"/>
  <c r="CR44" i="112" s="1"/>
  <c r="U44" i="112"/>
  <c r="N45" i="112" s="1"/>
  <c r="BG44" i="112"/>
  <c r="BI44" i="112" s="1"/>
  <c r="BK44" i="112" s="1"/>
  <c r="BE45" i="112"/>
  <c r="E44" i="117"/>
  <c r="G44" i="117" s="1"/>
  <c r="I44" i="117" s="1"/>
  <c r="CC41" i="112"/>
  <c r="CE41" i="112" s="1"/>
  <c r="CG41" i="112" s="1"/>
  <c r="CI41" i="112" s="1"/>
  <c r="CB42" i="112" s="1"/>
  <c r="CA42" i="112"/>
  <c r="AH32" i="112"/>
  <c r="D44" i="112"/>
  <c r="F44" i="112" s="1"/>
  <c r="H44" i="112" s="1"/>
  <c r="B45" i="112"/>
  <c r="AL45" i="117"/>
  <c r="AN45" i="117" s="1"/>
  <c r="AP45" i="117" s="1"/>
  <c r="CD42" i="117"/>
  <c r="CF42" i="117" s="1"/>
  <c r="CH42" i="117" s="1"/>
  <c r="CZ43" i="112"/>
  <c r="DB43" i="112" s="1"/>
  <c r="DD43" i="112" s="1"/>
  <c r="AT42" i="117"/>
  <c r="AV41" i="117"/>
  <c r="AX41" i="117" s="1"/>
  <c r="AZ41" i="117" s="1"/>
  <c r="BB41" i="117" s="1"/>
  <c r="AU42" i="117" s="1"/>
  <c r="BH43" i="117"/>
  <c r="BJ43" i="117" s="1"/>
  <c r="BL43" i="117"/>
  <c r="W32" i="117"/>
  <c r="BL24" i="116"/>
  <c r="BK24" i="116"/>
  <c r="J21" i="44"/>
  <c r="C22" i="44" s="1"/>
  <c r="BO22" i="116"/>
  <c r="BN22" i="116"/>
  <c r="BT22" i="116" s="1"/>
  <c r="B37" i="50"/>
  <c r="E37" i="50" s="1"/>
  <c r="D36" i="50"/>
  <c r="F36" i="50" s="1"/>
  <c r="C37" i="50" s="1"/>
  <c r="D37" i="50" s="1"/>
  <c r="E22" i="44"/>
  <c r="G22" i="44" s="1"/>
  <c r="I22" i="44" s="1"/>
  <c r="X46" i="117"/>
  <c r="Z45" i="117"/>
  <c r="AB45" i="117" s="1"/>
  <c r="AD45" i="117" s="1"/>
  <c r="AF45" i="117" s="1"/>
  <c r="Y46" i="117" s="1"/>
  <c r="B37" i="46"/>
  <c r="D36" i="46"/>
  <c r="F36" i="46" s="1"/>
  <c r="H36" i="46" s="1"/>
  <c r="J36" i="46" s="1"/>
  <c r="C37" i="46" s="1"/>
  <c r="G78" i="52"/>
  <c r="I78" i="52"/>
  <c r="E38" i="44"/>
  <c r="G38" i="44" s="1"/>
  <c r="I38" i="44" s="1"/>
  <c r="J30" i="48"/>
  <c r="C31" i="48" s="1"/>
  <c r="BS43" i="112"/>
  <c r="BU43" i="112" s="1"/>
  <c r="BW43" i="112" s="1"/>
  <c r="AI45" i="112"/>
  <c r="AK44" i="112"/>
  <c r="AM44" i="112" s="1"/>
  <c r="AO44" i="112" s="1"/>
  <c r="AQ44" i="112" s="1"/>
  <c r="AJ45" i="112" s="1"/>
  <c r="BS25" i="116"/>
  <c r="BH26" i="116"/>
  <c r="BJ25" i="116"/>
  <c r="B39" i="44"/>
  <c r="D38" i="44"/>
  <c r="F38" i="44" s="1"/>
  <c r="H38" i="44" s="1"/>
  <c r="BS42" i="117"/>
  <c r="BU42" i="117" s="1"/>
  <c r="BW42" i="117" s="1"/>
  <c r="B21" i="50"/>
  <c r="E21" i="50" s="1"/>
  <c r="D20" i="50"/>
  <c r="F20" i="50" s="1"/>
  <c r="C21" i="50" s="1"/>
  <c r="D21" i="50" s="1"/>
  <c r="F21" i="50" s="1"/>
  <c r="BH44" i="112"/>
  <c r="BJ44" i="112" s="1"/>
  <c r="BL44" i="112" s="1"/>
  <c r="E31" i="48"/>
  <c r="G31" i="48" s="1"/>
  <c r="I31" i="48" s="1"/>
  <c r="M45" i="117"/>
  <c r="O44" i="117"/>
  <c r="Q44" i="117" s="1"/>
  <c r="S44" i="117" s="1"/>
  <c r="B51" i="52"/>
  <c r="E51" i="52" s="1"/>
  <c r="D50" i="52"/>
  <c r="F50" i="52" s="1"/>
  <c r="H50" i="52" s="1"/>
  <c r="J50" i="52" s="1"/>
  <c r="C51" i="52" s="1"/>
  <c r="BM23" i="116"/>
  <c r="AW44" i="112"/>
  <c r="AY44" i="112" s="1"/>
  <c r="BA44" i="112" s="1"/>
  <c r="P45" i="112"/>
  <c r="R45" i="112" s="1"/>
  <c r="T45" i="112" s="1"/>
  <c r="B47" i="48"/>
  <c r="D46" i="48"/>
  <c r="F46" i="48" s="1"/>
  <c r="H46" i="48" s="1"/>
  <c r="J46" i="48" s="1"/>
  <c r="C47" i="48" s="1"/>
  <c r="E22" i="46"/>
  <c r="G22" i="46" s="1"/>
  <c r="I22" i="46" s="1"/>
  <c r="AQ24" i="22"/>
  <c r="AR23" i="22"/>
  <c r="AP23" i="22" s="1"/>
  <c r="CO44" i="112"/>
  <c r="CQ44" i="112" s="1"/>
  <c r="CS44" i="112" s="1"/>
  <c r="X45" i="112"/>
  <c r="Z44" i="112"/>
  <c r="AB44" i="112" s="1"/>
  <c r="AD44" i="112" s="1"/>
  <c r="J38" i="44" l="1"/>
  <c r="C39" i="44" s="1"/>
  <c r="BM44" i="112"/>
  <c r="BF45" i="112" s="1"/>
  <c r="J22" i="46"/>
  <c r="C23" i="46" s="1"/>
  <c r="D23" i="46"/>
  <c r="F23" i="46" s="1"/>
  <c r="H23" i="46" s="1"/>
  <c r="B24" i="46"/>
  <c r="B52" i="52"/>
  <c r="E52" i="52" s="1"/>
  <c r="D51" i="52"/>
  <c r="F51" i="52" s="1"/>
  <c r="H51" i="52" s="1"/>
  <c r="U44" i="117"/>
  <c r="N45" i="117" s="1"/>
  <c r="L32" i="117"/>
  <c r="AF44" i="112"/>
  <c r="Y45" i="112" s="1"/>
  <c r="BE46" i="112"/>
  <c r="BG45" i="112"/>
  <c r="BI45" i="112" s="1"/>
  <c r="BK45" i="112" s="1"/>
  <c r="BM45" i="112" s="1"/>
  <c r="BF46" i="112" s="1"/>
  <c r="BE45" i="117"/>
  <c r="BK44" i="117"/>
  <c r="BG44" i="117"/>
  <c r="BI44" i="117" s="1"/>
  <c r="AI46" i="112"/>
  <c r="AK45" i="112"/>
  <c r="AM45" i="112" s="1"/>
  <c r="AO45" i="112" s="1"/>
  <c r="D37" i="46"/>
  <c r="F37" i="46" s="1"/>
  <c r="H37" i="46" s="1"/>
  <c r="B38" i="46"/>
  <c r="CT44" i="112"/>
  <c r="CM45" i="112" s="1"/>
  <c r="CA44" i="117"/>
  <c r="CC43" i="117"/>
  <c r="CE43" i="117" s="1"/>
  <c r="CG43" i="117" s="1"/>
  <c r="DE43" i="112"/>
  <c r="CX44" i="112" s="1"/>
  <c r="BX43" i="112"/>
  <c r="BQ44" i="112" s="1"/>
  <c r="AV42" i="117"/>
  <c r="AX42" i="117" s="1"/>
  <c r="AZ42" i="117" s="1"/>
  <c r="AT43" i="117"/>
  <c r="Z46" i="117"/>
  <c r="AB46" i="117" s="1"/>
  <c r="AD46" i="117" s="1"/>
  <c r="AF46" i="117" s="1"/>
  <c r="Y47" i="117" s="1"/>
  <c r="X47" i="117"/>
  <c r="D47" i="48"/>
  <c r="F47" i="48" s="1"/>
  <c r="B48" i="48"/>
  <c r="H47" i="48"/>
  <c r="E39" i="44"/>
  <c r="G39" i="44" s="1"/>
  <c r="I39" i="44" s="1"/>
  <c r="CO45" i="112"/>
  <c r="CQ45" i="112" s="1"/>
  <c r="CS45" i="112" s="1"/>
  <c r="B45" i="117"/>
  <c r="D44" i="117"/>
  <c r="F44" i="117" s="1"/>
  <c r="H44" i="117" s="1"/>
  <c r="J44" i="117" s="1"/>
  <c r="C45" i="117" s="1"/>
  <c r="D78" i="52"/>
  <c r="F78" i="52" s="1"/>
  <c r="B79" i="52"/>
  <c r="E79" i="52" s="1"/>
  <c r="H78" i="52"/>
  <c r="J78" i="52" s="1"/>
  <c r="C79" i="52" s="1"/>
  <c r="CD43" i="117"/>
  <c r="CF43" i="117" s="1"/>
  <c r="CH43" i="117"/>
  <c r="P45" i="117"/>
  <c r="R45" i="117" s="1"/>
  <c r="T45" i="117" s="1"/>
  <c r="CD42" i="112"/>
  <c r="CF42" i="112" s="1"/>
  <c r="CH42" i="112" s="1"/>
  <c r="G51" i="52"/>
  <c r="I51" i="52" s="1"/>
  <c r="BH44" i="117"/>
  <c r="BJ44" i="117" s="1"/>
  <c r="BL44" i="117" s="1"/>
  <c r="AQ25" i="22"/>
  <c r="AR24" i="22"/>
  <c r="AP24" i="22" s="1"/>
  <c r="AA46" i="117"/>
  <c r="AC46" i="117" s="1"/>
  <c r="AE46" i="117"/>
  <c r="BS26" i="116"/>
  <c r="BJ26" i="116"/>
  <c r="BH27" i="116"/>
  <c r="BH45" i="112"/>
  <c r="BJ45" i="112" s="1"/>
  <c r="BL45" i="112" s="1"/>
  <c r="E23" i="46"/>
  <c r="G23" i="46" s="1"/>
  <c r="I23" i="46"/>
  <c r="AW42" i="117"/>
  <c r="AY42" i="117" s="1"/>
  <c r="BA42" i="117"/>
  <c r="AL45" i="112"/>
  <c r="AN45" i="112" s="1"/>
  <c r="AP45" i="112" s="1"/>
  <c r="F37" i="50"/>
  <c r="AV44" i="112"/>
  <c r="AX44" i="112" s="1"/>
  <c r="AT45" i="112"/>
  <c r="AZ44" i="112"/>
  <c r="BB44" i="112" s="1"/>
  <c r="BK25" i="116"/>
  <c r="BL25" i="116"/>
  <c r="BS44" i="112"/>
  <c r="BU44" i="112" s="1"/>
  <c r="BW44" i="112" s="1"/>
  <c r="BX42" i="117"/>
  <c r="BQ43" i="117" s="1"/>
  <c r="BP22" i="116"/>
  <c r="BR22" i="116"/>
  <c r="BQ22" i="116"/>
  <c r="O45" i="112"/>
  <c r="Q45" i="112" s="1"/>
  <c r="S45" i="112" s="1"/>
  <c r="U45" i="112" s="1"/>
  <c r="N46" i="112" s="1"/>
  <c r="M46" i="112"/>
  <c r="D31" i="48"/>
  <c r="F31" i="48" s="1"/>
  <c r="B32" i="48"/>
  <c r="H31" i="48"/>
  <c r="J31" i="48" s="1"/>
  <c r="C32" i="48" s="1"/>
  <c r="J44" i="112"/>
  <c r="C45" i="112" s="1"/>
  <c r="BS43" i="117"/>
  <c r="BU43" i="117" s="1"/>
  <c r="BW43" i="117" s="1"/>
  <c r="AQ45" i="117"/>
  <c r="AJ46" i="117" s="1"/>
  <c r="AA45" i="112"/>
  <c r="AC45" i="112" s="1"/>
  <c r="AE45" i="112" s="1"/>
  <c r="C27" i="47"/>
  <c r="BO23" i="116"/>
  <c r="BN23" i="116"/>
  <c r="BT23" i="116" s="1"/>
  <c r="B23" i="44"/>
  <c r="D22" i="44"/>
  <c r="F22" i="44" s="1"/>
  <c r="H22" i="44" s="1"/>
  <c r="J22" i="44" s="1"/>
  <c r="C23" i="44" s="1"/>
  <c r="E45" i="112"/>
  <c r="G45" i="112" s="1"/>
  <c r="I45" i="112" s="1"/>
  <c r="AL46" i="117"/>
  <c r="AN46" i="117" s="1"/>
  <c r="AP46" i="117" s="1"/>
  <c r="CA43" i="112"/>
  <c r="CC42" i="112"/>
  <c r="CE42" i="112" s="1"/>
  <c r="CG42" i="112" s="1"/>
  <c r="E37" i="46"/>
  <c r="G37" i="46" s="1"/>
  <c r="I37" i="46" s="1"/>
  <c r="BD32" i="112"/>
  <c r="DL19" i="20" s="1"/>
  <c r="G25" i="20" s="1"/>
  <c r="E47" i="48"/>
  <c r="G47" i="48" s="1"/>
  <c r="I47" i="48" s="1"/>
  <c r="CZ44" i="112"/>
  <c r="DB44" i="112" s="1"/>
  <c r="DD44" i="112" s="1"/>
  <c r="B40" i="44"/>
  <c r="D39" i="44"/>
  <c r="F39" i="44" s="1"/>
  <c r="H39" i="44" s="1"/>
  <c r="J39" i="44" s="1"/>
  <c r="C40" i="44" s="1"/>
  <c r="BM24" i="116"/>
  <c r="CI43" i="117" l="1"/>
  <c r="CB44" i="117" s="1"/>
  <c r="BB42" i="117"/>
  <c r="AU43" i="117" s="1"/>
  <c r="AV43" i="117" s="1"/>
  <c r="AX43" i="117" s="1"/>
  <c r="AZ43" i="117" s="1"/>
  <c r="BB43" i="117" s="1"/>
  <c r="AU44" i="117" s="1"/>
  <c r="J37" i="46"/>
  <c r="C38" i="46" s="1"/>
  <c r="AQ45" i="112"/>
  <c r="AJ46" i="112" s="1"/>
  <c r="D40" i="44"/>
  <c r="F40" i="44" s="1"/>
  <c r="H40" i="44" s="1"/>
  <c r="B41" i="44"/>
  <c r="AU45" i="112"/>
  <c r="AS32" i="112"/>
  <c r="DL16" i="20" s="1"/>
  <c r="G22" i="20" s="1"/>
  <c r="AK46" i="112"/>
  <c r="AM46" i="112" s="1"/>
  <c r="AO46" i="112" s="1"/>
  <c r="AI47" i="112"/>
  <c r="B39" i="46"/>
  <c r="D38" i="46"/>
  <c r="F38" i="46" s="1"/>
  <c r="H38" i="46" s="1"/>
  <c r="BG46" i="112"/>
  <c r="BI46" i="112" s="1"/>
  <c r="BK46" i="112" s="1"/>
  <c r="BE47" i="112"/>
  <c r="CI42" i="112"/>
  <c r="CB43" i="112" s="1"/>
  <c r="O46" i="112"/>
  <c r="Q46" i="112" s="1"/>
  <c r="S46" i="112" s="1"/>
  <c r="U46" i="112" s="1"/>
  <c r="N47" i="112" s="1"/>
  <c r="M47" i="112"/>
  <c r="AT44" i="117"/>
  <c r="CA45" i="117"/>
  <c r="CC44" i="117"/>
  <c r="CE44" i="117" s="1"/>
  <c r="CG44" i="117" s="1"/>
  <c r="X48" i="117"/>
  <c r="Z47" i="117"/>
  <c r="AB47" i="117" s="1"/>
  <c r="AD47" i="117" s="1"/>
  <c r="J51" i="52"/>
  <c r="C52" i="52" s="1"/>
  <c r="B24" i="44"/>
  <c r="D23" i="44"/>
  <c r="F23" i="44" s="1"/>
  <c r="H23" i="44"/>
  <c r="BH45" i="117"/>
  <c r="BJ45" i="117" s="1"/>
  <c r="BL45" i="117"/>
  <c r="D45" i="117"/>
  <c r="F45" i="117" s="1"/>
  <c r="H45" i="117" s="1"/>
  <c r="B46" i="117"/>
  <c r="BH46" i="112"/>
  <c r="BJ46" i="112" s="1"/>
  <c r="BL46" i="112" s="1"/>
  <c r="E23" i="44"/>
  <c r="G23" i="44" s="1"/>
  <c r="I23" i="44" s="1"/>
  <c r="E45" i="117"/>
  <c r="G45" i="117" s="1"/>
  <c r="I45" i="117" s="1"/>
  <c r="BP44" i="117"/>
  <c r="BR43" i="117"/>
  <c r="BT43" i="117" s="1"/>
  <c r="BV43" i="117" s="1"/>
  <c r="BX43" i="117" s="1"/>
  <c r="BQ44" i="117" s="1"/>
  <c r="CD44" i="117"/>
  <c r="CF44" i="117" s="1"/>
  <c r="CH44" i="117" s="1"/>
  <c r="W32" i="112"/>
  <c r="DL10" i="20" s="1"/>
  <c r="G10" i="20" s="1"/>
  <c r="CY44" i="112"/>
  <c r="DA44" i="112" s="1"/>
  <c r="DC44" i="112" s="1"/>
  <c r="DE44" i="112" s="1"/>
  <c r="CX45" i="112" s="1"/>
  <c r="CW45" i="112"/>
  <c r="AI47" i="117"/>
  <c r="AK46" i="117"/>
  <c r="AM46" i="117" s="1"/>
  <c r="AO46" i="117" s="1"/>
  <c r="AQ46" i="117" s="1"/>
  <c r="AJ47" i="117" s="1"/>
  <c r="J47" i="48"/>
  <c r="C48" i="48" s="1"/>
  <c r="E38" i="46"/>
  <c r="G38" i="46" s="1"/>
  <c r="I38" i="46" s="1"/>
  <c r="BL26" i="116"/>
  <c r="BK26" i="116"/>
  <c r="BM26" i="116" s="1"/>
  <c r="E48" i="48"/>
  <c r="G48" i="48" s="1"/>
  <c r="I48" i="48" s="1"/>
  <c r="O45" i="117"/>
  <c r="Q45" i="117" s="1"/>
  <c r="S45" i="117" s="1"/>
  <c r="U45" i="117" s="1"/>
  <c r="N46" i="117" s="1"/>
  <c r="M46" i="117"/>
  <c r="BS27" i="116"/>
  <c r="BH28" i="116"/>
  <c r="BJ27" i="116"/>
  <c r="D45" i="112"/>
  <c r="F45" i="112" s="1"/>
  <c r="H45" i="112" s="1"/>
  <c r="J45" i="112" s="1"/>
  <c r="C46" i="112" s="1"/>
  <c r="B46" i="112"/>
  <c r="AA47" i="117"/>
  <c r="AC47" i="117" s="1"/>
  <c r="AE47" i="117" s="1"/>
  <c r="BP45" i="112"/>
  <c r="BR44" i="112"/>
  <c r="BT44" i="112" s="1"/>
  <c r="BV44" i="112" s="1"/>
  <c r="BX44" i="112" s="1"/>
  <c r="BQ45" i="112" s="1"/>
  <c r="BP23" i="116"/>
  <c r="BQ23" i="116"/>
  <c r="BR23" i="116"/>
  <c r="AQ26" i="22"/>
  <c r="AR25" i="22"/>
  <c r="AP25" i="22" s="1"/>
  <c r="CL46" i="112"/>
  <c r="CN45" i="112"/>
  <c r="CP45" i="112" s="1"/>
  <c r="CR45" i="112" s="1"/>
  <c r="CT45" i="112" s="1"/>
  <c r="CM46" i="112" s="1"/>
  <c r="CD43" i="112"/>
  <c r="CF43" i="112" s="1"/>
  <c r="CH43" i="112" s="1"/>
  <c r="B80" i="52"/>
  <c r="E80" i="52" s="1"/>
  <c r="D79" i="52"/>
  <c r="F79" i="52" s="1"/>
  <c r="H79" i="52" s="1"/>
  <c r="BN24" i="116"/>
  <c r="BT24" i="116" s="1"/>
  <c r="BO24" i="116"/>
  <c r="E32" i="48"/>
  <c r="G32" i="48" s="1"/>
  <c r="I32" i="48" s="1"/>
  <c r="AW45" i="112"/>
  <c r="AY45" i="112" s="1"/>
  <c r="BA45" i="112" s="1"/>
  <c r="G79" i="52"/>
  <c r="I79" i="52" s="1"/>
  <c r="G52" i="52"/>
  <c r="I52" i="52" s="1"/>
  <c r="A32" i="117"/>
  <c r="X46" i="112"/>
  <c r="Z45" i="112"/>
  <c r="AB45" i="112" s="1"/>
  <c r="AD45" i="112" s="1"/>
  <c r="AF45" i="112" s="1"/>
  <c r="Y46" i="112" s="1"/>
  <c r="BM25" i="116"/>
  <c r="AW43" i="117"/>
  <c r="AY43" i="117" s="1"/>
  <c r="BA43" i="117" s="1"/>
  <c r="AL46" i="112"/>
  <c r="AN46" i="112" s="1"/>
  <c r="AP46" i="112" s="1"/>
  <c r="J23" i="46"/>
  <c r="C24" i="46" s="1"/>
  <c r="B33" i="48"/>
  <c r="D32" i="48"/>
  <c r="F32" i="48" s="1"/>
  <c r="H32" i="48" s="1"/>
  <c r="A32" i="112"/>
  <c r="E24" i="46"/>
  <c r="G24" i="46" s="1"/>
  <c r="I24" i="46" s="1"/>
  <c r="E40" i="44"/>
  <c r="G40" i="44" s="1"/>
  <c r="I40" i="44" s="1"/>
  <c r="P46" i="112"/>
  <c r="R46" i="112" s="1"/>
  <c r="T46" i="112" s="1"/>
  <c r="BM44" i="117"/>
  <c r="BF45" i="117" s="1"/>
  <c r="AF47" i="117" l="1"/>
  <c r="Y48" i="117" s="1"/>
  <c r="J79" i="52"/>
  <c r="C80" i="52" s="1"/>
  <c r="J32" i="48"/>
  <c r="C33" i="48" s="1"/>
  <c r="AV44" i="117"/>
  <c r="AX44" i="117" s="1"/>
  <c r="AZ44" i="117"/>
  <c r="AT45" i="117"/>
  <c r="D33" i="48"/>
  <c r="F33" i="48" s="1"/>
  <c r="H33" i="48" s="1"/>
  <c r="M47" i="117"/>
  <c r="O46" i="117"/>
  <c r="Q46" i="117" s="1"/>
  <c r="S46" i="117" s="1"/>
  <c r="X47" i="112"/>
  <c r="Z46" i="112"/>
  <c r="AB46" i="112" s="1"/>
  <c r="AD46" i="112" s="1"/>
  <c r="AF46" i="112" s="1"/>
  <c r="Y47" i="112" s="1"/>
  <c r="CL47" i="112"/>
  <c r="CN46" i="112"/>
  <c r="CP46" i="112" s="1"/>
  <c r="CR46" i="112" s="1"/>
  <c r="AK47" i="117"/>
  <c r="AM47" i="117" s="1"/>
  <c r="AI48" i="117"/>
  <c r="AO47" i="117"/>
  <c r="J38" i="46"/>
  <c r="C39" i="46" s="1"/>
  <c r="AQ46" i="112"/>
  <c r="AJ47" i="112" s="1"/>
  <c r="B81" i="52"/>
  <c r="E81" i="52" s="1"/>
  <c r="D80" i="52"/>
  <c r="F80" i="52" s="1"/>
  <c r="H80" i="52" s="1"/>
  <c r="J45" i="117"/>
  <c r="C46" i="117" s="1"/>
  <c r="BR45" i="112"/>
  <c r="BT45" i="112" s="1"/>
  <c r="BV45" i="112" s="1"/>
  <c r="BP46" i="112"/>
  <c r="Z48" i="117"/>
  <c r="AB48" i="117" s="1"/>
  <c r="AD48" i="117" s="1"/>
  <c r="X49" i="117"/>
  <c r="BR44" i="117"/>
  <c r="BT44" i="117" s="1"/>
  <c r="BP45" i="117"/>
  <c r="BV44" i="117"/>
  <c r="M48" i="112"/>
  <c r="O47" i="112"/>
  <c r="Q47" i="112" s="1"/>
  <c r="S47" i="112" s="1"/>
  <c r="BM46" i="112"/>
  <c r="BF47" i="112" s="1"/>
  <c r="CW46" i="112"/>
  <c r="CY45" i="112"/>
  <c r="DA45" i="112" s="1"/>
  <c r="DC45" i="112" s="1"/>
  <c r="D46" i="112"/>
  <c r="F46" i="112" s="1"/>
  <c r="H46" i="112" s="1"/>
  <c r="B47" i="112"/>
  <c r="CI44" i="117"/>
  <c r="CB45" i="117" s="1"/>
  <c r="J40" i="44"/>
  <c r="C41" i="44" s="1"/>
  <c r="BN26" i="116"/>
  <c r="BT26" i="116" s="1"/>
  <c r="BO26" i="116"/>
  <c r="AA46" i="112"/>
  <c r="AC46" i="112" s="1"/>
  <c r="AE46" i="112" s="1"/>
  <c r="BH47" i="112"/>
  <c r="BJ47" i="112" s="1"/>
  <c r="BL47" i="112" s="1"/>
  <c r="D48" i="48"/>
  <c r="F48" i="48" s="1"/>
  <c r="H48" i="48" s="1"/>
  <c r="J48" i="48" s="1"/>
  <c r="C49" i="48" s="1"/>
  <c r="B49" i="48"/>
  <c r="AQ27" i="22"/>
  <c r="AR26" i="22"/>
  <c r="AP26" i="22" s="1"/>
  <c r="CD45" i="117"/>
  <c r="CF45" i="117" s="1"/>
  <c r="CH45" i="117"/>
  <c r="AL47" i="112"/>
  <c r="AN47" i="112" s="1"/>
  <c r="AP47" i="112" s="1"/>
  <c r="D24" i="46"/>
  <c r="F24" i="46" s="1"/>
  <c r="H24" i="46" s="1"/>
  <c r="J24" i="46" s="1"/>
  <c r="AL47" i="117"/>
  <c r="AN47" i="117" s="1"/>
  <c r="AP47" i="117" s="1"/>
  <c r="BL27" i="116"/>
  <c r="BK27" i="116"/>
  <c r="D52" i="52"/>
  <c r="F52" i="52" s="1"/>
  <c r="H52" i="52" s="1"/>
  <c r="J52" i="52" s="1"/>
  <c r="BS44" i="117"/>
  <c r="BU44" i="117" s="1"/>
  <c r="BW44" i="117" s="1"/>
  <c r="BS28" i="116"/>
  <c r="BJ28" i="116"/>
  <c r="BH29" i="116"/>
  <c r="E46" i="117"/>
  <c r="G46" i="117" s="1"/>
  <c r="I46" i="117" s="1"/>
  <c r="AW44" i="117"/>
  <c r="AY44" i="117" s="1"/>
  <c r="BA44" i="117" s="1"/>
  <c r="AA48" i="117"/>
  <c r="AC48" i="117" s="1"/>
  <c r="AE48" i="117" s="1"/>
  <c r="CO46" i="112"/>
  <c r="CQ46" i="112" s="1"/>
  <c r="CS46" i="112" s="1"/>
  <c r="CZ45" i="112"/>
  <c r="DB45" i="112" s="1"/>
  <c r="DD45" i="112" s="1"/>
  <c r="P47" i="112"/>
  <c r="R47" i="112" s="1"/>
  <c r="T47" i="112" s="1"/>
  <c r="AV45" i="112"/>
  <c r="AX45" i="112" s="1"/>
  <c r="AZ45" i="112" s="1"/>
  <c r="BB45" i="112" s="1"/>
  <c r="AU46" i="112" s="1"/>
  <c r="AT46" i="112"/>
  <c r="E24" i="44"/>
  <c r="G24" i="44" s="1"/>
  <c r="I24" i="44" s="1"/>
  <c r="E46" i="112"/>
  <c r="G46" i="112" s="1"/>
  <c r="I46" i="112" s="1"/>
  <c r="BP24" i="116"/>
  <c r="BQ24" i="116"/>
  <c r="BR24" i="116"/>
  <c r="BG45" i="117"/>
  <c r="BI45" i="117" s="1"/>
  <c r="BE46" i="117"/>
  <c r="BK45" i="117"/>
  <c r="BM45" i="117" s="1"/>
  <c r="BF46" i="117" s="1"/>
  <c r="E41" i="44"/>
  <c r="G41" i="44" s="1"/>
  <c r="I41" i="44" s="1"/>
  <c r="E33" i="48"/>
  <c r="G33" i="48" s="1"/>
  <c r="I33" i="48" s="1"/>
  <c r="BO25" i="116"/>
  <c r="BN25" i="116"/>
  <c r="BT25" i="116" s="1"/>
  <c r="BS45" i="112"/>
  <c r="BU45" i="112" s="1"/>
  <c r="BW45" i="112"/>
  <c r="J23" i="44"/>
  <c r="C24" i="44" s="1"/>
  <c r="E39" i="46"/>
  <c r="G39" i="46" s="1"/>
  <c r="I39" i="46"/>
  <c r="P46" i="117"/>
  <c r="R46" i="117" s="1"/>
  <c r="T46" i="117" s="1"/>
  <c r="G80" i="52"/>
  <c r="I80" i="52" s="1"/>
  <c r="CA44" i="112"/>
  <c r="CC43" i="112"/>
  <c r="CE43" i="112" s="1"/>
  <c r="CG43" i="112" s="1"/>
  <c r="CI43" i="112" s="1"/>
  <c r="CB44" i="112" s="1"/>
  <c r="U46" i="117" l="1"/>
  <c r="N47" i="117" s="1"/>
  <c r="AF48" i="117"/>
  <c r="Y49" i="117" s="1"/>
  <c r="BM27" i="116"/>
  <c r="BX45" i="112"/>
  <c r="BQ46" i="112" s="1"/>
  <c r="J46" i="112"/>
  <c r="C47" i="112" s="1"/>
  <c r="DE45" i="112"/>
  <c r="CX46" i="112" s="1"/>
  <c r="CW47" i="112" s="1"/>
  <c r="CY46" i="112"/>
  <c r="DA46" i="112" s="1"/>
  <c r="DC46" i="112" s="1"/>
  <c r="CT46" i="112"/>
  <c r="CM47" i="112" s="1"/>
  <c r="D47" i="112"/>
  <c r="F47" i="112" s="1"/>
  <c r="B48" i="112"/>
  <c r="H47" i="112"/>
  <c r="U47" i="112"/>
  <c r="N48" i="112" s="1"/>
  <c r="O47" i="117"/>
  <c r="Q47" i="117" s="1"/>
  <c r="S47" i="117" s="1"/>
  <c r="M48" i="117"/>
  <c r="CC44" i="112"/>
  <c r="CE44" i="112" s="1"/>
  <c r="CG44" i="112" s="1"/>
  <c r="CI44" i="112" s="1"/>
  <c r="CB45" i="112" s="1"/>
  <c r="CA45" i="112"/>
  <c r="AT47" i="112"/>
  <c r="AV46" i="112"/>
  <c r="AX46" i="112" s="1"/>
  <c r="AZ46" i="112" s="1"/>
  <c r="Z47" i="112"/>
  <c r="AB47" i="112" s="1"/>
  <c r="AD47" i="112" s="1"/>
  <c r="X48" i="112"/>
  <c r="Z49" i="117"/>
  <c r="AB49" i="117" s="1"/>
  <c r="AD49" i="117" s="1"/>
  <c r="BR46" i="112"/>
  <c r="BT46" i="112" s="1"/>
  <c r="BV46" i="112" s="1"/>
  <c r="BP47" i="112"/>
  <c r="D49" i="48"/>
  <c r="F49" i="48" s="1"/>
  <c r="H49" i="48" s="1"/>
  <c r="J33" i="48"/>
  <c r="J80" i="52"/>
  <c r="C81" i="52" s="1"/>
  <c r="E47" i="112"/>
  <c r="G47" i="112" s="1"/>
  <c r="I47" i="112" s="1"/>
  <c r="CZ46" i="112"/>
  <c r="DB46" i="112" s="1"/>
  <c r="DD46" i="112" s="1"/>
  <c r="BE47" i="117"/>
  <c r="BG46" i="117"/>
  <c r="BI46" i="117" s="1"/>
  <c r="BK46" i="117" s="1"/>
  <c r="BH46" i="117"/>
  <c r="BJ46" i="117" s="1"/>
  <c r="BL46" i="117" s="1"/>
  <c r="BE48" i="112"/>
  <c r="BG47" i="112"/>
  <c r="BI47" i="112" s="1"/>
  <c r="BK47" i="112" s="1"/>
  <c r="BM47" i="112" s="1"/>
  <c r="BF48" i="112" s="1"/>
  <c r="G81" i="52"/>
  <c r="I81" i="52" s="1"/>
  <c r="P47" i="117"/>
  <c r="R47" i="117" s="1"/>
  <c r="T47" i="117" s="1"/>
  <c r="AQ28" i="22"/>
  <c r="AR27" i="22"/>
  <c r="AP27" i="22" s="1"/>
  <c r="AA47" i="112"/>
  <c r="AC47" i="112" s="1"/>
  <c r="AE47" i="112" s="1"/>
  <c r="BN27" i="116"/>
  <c r="BT27" i="116" s="1"/>
  <c r="BO27" i="116"/>
  <c r="AI48" i="112"/>
  <c r="AK47" i="112"/>
  <c r="AM47" i="112" s="1"/>
  <c r="AO47" i="112" s="1"/>
  <c r="AQ47" i="112" s="1"/>
  <c r="AJ48" i="112" s="1"/>
  <c r="BS46" i="112"/>
  <c r="BU46" i="112" s="1"/>
  <c r="BW46" i="112" s="1"/>
  <c r="B47" i="117"/>
  <c r="D46" i="117"/>
  <c r="F46" i="117" s="1"/>
  <c r="H46" i="117" s="1"/>
  <c r="J46" i="117" s="1"/>
  <c r="C47" i="117" s="1"/>
  <c r="BP26" i="116"/>
  <c r="BQ26" i="116"/>
  <c r="BR26" i="116"/>
  <c r="P48" i="112"/>
  <c r="R48" i="112" s="1"/>
  <c r="T48" i="112" s="1"/>
  <c r="D39" i="46"/>
  <c r="F39" i="46" s="1"/>
  <c r="H39" i="46" s="1"/>
  <c r="J39" i="46" s="1"/>
  <c r="C40" i="46" s="1"/>
  <c r="B40" i="46"/>
  <c r="CO47" i="112"/>
  <c r="CQ47" i="112" s="1"/>
  <c r="CS47" i="112" s="1"/>
  <c r="CD44" i="112"/>
  <c r="CF44" i="112" s="1"/>
  <c r="CH44" i="112" s="1"/>
  <c r="BX44" i="117"/>
  <c r="BQ45" i="117" s="1"/>
  <c r="AQ47" i="117"/>
  <c r="AJ48" i="117" s="1"/>
  <c r="AW45" i="117"/>
  <c r="AY45" i="117" s="1"/>
  <c r="BA45" i="117" s="1"/>
  <c r="AA49" i="117"/>
  <c r="AC49" i="117" s="1"/>
  <c r="AE49" i="117" s="1"/>
  <c r="E49" i="48"/>
  <c r="G49" i="48" s="1"/>
  <c r="I49" i="48" s="1"/>
  <c r="AL48" i="117"/>
  <c r="AN48" i="117" s="1"/>
  <c r="AP48" i="117" s="1"/>
  <c r="BB44" i="117"/>
  <c r="AU45" i="117" s="1"/>
  <c r="D24" i="44"/>
  <c r="F24" i="44" s="1"/>
  <c r="H24" i="44" s="1"/>
  <c r="J24" i="44" s="1"/>
  <c r="D41" i="44"/>
  <c r="F41" i="44" s="1"/>
  <c r="H41" i="44" s="1"/>
  <c r="J41" i="44" s="1"/>
  <c r="BP25" i="116"/>
  <c r="BR25" i="116"/>
  <c r="BQ25" i="116"/>
  <c r="BS29" i="116"/>
  <c r="BH30" i="116"/>
  <c r="BJ29" i="116"/>
  <c r="CA46" i="117"/>
  <c r="CC45" i="117"/>
  <c r="CE45" i="117" s="1"/>
  <c r="CG45" i="117" s="1"/>
  <c r="CI45" i="117" s="1"/>
  <c r="CB46" i="117" s="1"/>
  <c r="BS45" i="117"/>
  <c r="BU45" i="117" s="1"/>
  <c r="BW45" i="117" s="1"/>
  <c r="AW46" i="112"/>
  <c r="AY46" i="112" s="1"/>
  <c r="BA46" i="112" s="1"/>
  <c r="BL28" i="116"/>
  <c r="BK28" i="116"/>
  <c r="BX46" i="112" l="1"/>
  <c r="BQ47" i="112" s="1"/>
  <c r="AF49" i="117"/>
  <c r="AF47" i="112"/>
  <c r="Y48" i="112" s="1"/>
  <c r="BB46" i="112"/>
  <c r="AU47" i="112" s="1"/>
  <c r="BM46" i="117"/>
  <c r="BF47" i="117" s="1"/>
  <c r="B41" i="46"/>
  <c r="D40" i="46"/>
  <c r="F40" i="46" s="1"/>
  <c r="H40" i="46" s="1"/>
  <c r="D47" i="117"/>
  <c r="F47" i="117" s="1"/>
  <c r="B48" i="117"/>
  <c r="H47" i="117"/>
  <c r="BG47" i="117"/>
  <c r="BI47" i="117" s="1"/>
  <c r="BE48" i="117"/>
  <c r="BK47" i="117"/>
  <c r="BM47" i="117" s="1"/>
  <c r="BF48" i="117" s="1"/>
  <c r="AT48" i="112"/>
  <c r="AV47" i="112"/>
  <c r="AX47" i="112" s="1"/>
  <c r="AZ47" i="112" s="1"/>
  <c r="BB47" i="112" s="1"/>
  <c r="AU48" i="112" s="1"/>
  <c r="U47" i="117"/>
  <c r="N48" i="117" s="1"/>
  <c r="AK48" i="112"/>
  <c r="AM48" i="112" s="1"/>
  <c r="AO48" i="112" s="1"/>
  <c r="AI49" i="112"/>
  <c r="J47" i="112"/>
  <c r="C48" i="112" s="1"/>
  <c r="J49" i="48"/>
  <c r="Z48" i="112"/>
  <c r="AB48" i="112" s="1"/>
  <c r="AD48" i="112" s="1"/>
  <c r="X49" i="112"/>
  <c r="CA46" i="112"/>
  <c r="CC45" i="112"/>
  <c r="CE45" i="112" s="1"/>
  <c r="CG45" i="112" s="1"/>
  <c r="DE46" i="112"/>
  <c r="CX47" i="112" s="1"/>
  <c r="BE49" i="112"/>
  <c r="BG48" i="112"/>
  <c r="BI48" i="112" s="1"/>
  <c r="BK48" i="112" s="1"/>
  <c r="BM48" i="112" s="1"/>
  <c r="BF49" i="112" s="1"/>
  <c r="CA47" i="117"/>
  <c r="CC46" i="117"/>
  <c r="CE46" i="117" s="1"/>
  <c r="CG46" i="117" s="1"/>
  <c r="BR47" i="112"/>
  <c r="BT47" i="112" s="1"/>
  <c r="BV47" i="112" s="1"/>
  <c r="BX47" i="112" s="1"/>
  <c r="BQ48" i="112" s="1"/>
  <c r="BP48" i="112"/>
  <c r="AA48" i="112"/>
  <c r="AC48" i="112" s="1"/>
  <c r="AE48" i="112" s="1"/>
  <c r="E48" i="112"/>
  <c r="G48" i="112" s="1"/>
  <c r="I48" i="112" s="1"/>
  <c r="P48" i="117"/>
  <c r="R48" i="117" s="1"/>
  <c r="T48" i="117" s="1"/>
  <c r="CL48" i="112"/>
  <c r="CN47" i="112"/>
  <c r="CP47" i="112" s="1"/>
  <c r="CR47" i="112" s="1"/>
  <c r="CT47" i="112" s="1"/>
  <c r="CM48" i="112" s="1"/>
  <c r="BH48" i="112"/>
  <c r="BJ48" i="112" s="1"/>
  <c r="BL48" i="112" s="1"/>
  <c r="AQ29" i="22"/>
  <c r="AR28" i="22"/>
  <c r="AP28" i="22" s="1"/>
  <c r="D81" i="52"/>
  <c r="F81" i="52" s="1"/>
  <c r="H81" i="52" s="1"/>
  <c r="B82" i="52"/>
  <c r="E82" i="52" s="1"/>
  <c r="AT46" i="117"/>
  <c r="AV45" i="117"/>
  <c r="AX45" i="117" s="1"/>
  <c r="AZ45" i="117" s="1"/>
  <c r="BB45" i="117" s="1"/>
  <c r="AU46" i="117" s="1"/>
  <c r="BP27" i="116"/>
  <c r="BQ27" i="116"/>
  <c r="BR27" i="116"/>
  <c r="CD46" i="117"/>
  <c r="CF46" i="117" s="1"/>
  <c r="CH46" i="117" s="1"/>
  <c r="BH47" i="117"/>
  <c r="BJ47" i="117" s="1"/>
  <c r="BL47" i="117"/>
  <c r="BL29" i="116"/>
  <c r="BK29" i="116"/>
  <c r="BM29" i="116" s="1"/>
  <c r="BH31" i="116"/>
  <c r="BJ30" i="116"/>
  <c r="BS30" i="116"/>
  <c r="BS47" i="112"/>
  <c r="BU47" i="112" s="1"/>
  <c r="BW47" i="112" s="1"/>
  <c r="AL48" i="112"/>
  <c r="AN48" i="112" s="1"/>
  <c r="AP48" i="112" s="1"/>
  <c r="AI49" i="117"/>
  <c r="AK48" i="117"/>
  <c r="AM48" i="117" s="1"/>
  <c r="AO48" i="117" s="1"/>
  <c r="AQ48" i="117" s="1"/>
  <c r="AJ49" i="117" s="1"/>
  <c r="E47" i="117"/>
  <c r="G47" i="117" s="1"/>
  <c r="I47" i="117" s="1"/>
  <c r="AW47" i="112"/>
  <c r="AY47" i="112" s="1"/>
  <c r="BA47" i="112"/>
  <c r="E40" i="46"/>
  <c r="G40" i="46" s="1"/>
  <c r="I40" i="46" s="1"/>
  <c r="O48" i="112"/>
  <c r="Q48" i="112" s="1"/>
  <c r="S48" i="112" s="1"/>
  <c r="U48" i="112" s="1"/>
  <c r="N49" i="112" s="1"/>
  <c r="M49" i="112"/>
  <c r="BM28" i="116"/>
  <c r="BP46" i="117"/>
  <c r="BR45" i="117"/>
  <c r="BT45" i="117" s="1"/>
  <c r="BV45" i="117" s="1"/>
  <c r="BX45" i="117" s="1"/>
  <c r="BQ46" i="117" s="1"/>
  <c r="CD45" i="112"/>
  <c r="CF45" i="112" s="1"/>
  <c r="CH45" i="112" s="1"/>
  <c r="CZ47" i="112"/>
  <c r="DB47" i="112" s="1"/>
  <c r="DD47" i="112" s="1"/>
  <c r="AQ48" i="112" l="1"/>
  <c r="AJ49" i="112" s="1"/>
  <c r="AT49" i="112"/>
  <c r="AV48" i="112"/>
  <c r="AX48" i="112" s="1"/>
  <c r="AZ48" i="112" s="1"/>
  <c r="CI46" i="117"/>
  <c r="CB47" i="117" s="1"/>
  <c r="BG49" i="112"/>
  <c r="BI49" i="112" s="1"/>
  <c r="BK49" i="112" s="1"/>
  <c r="AV46" i="117"/>
  <c r="AX46" i="117" s="1"/>
  <c r="AZ46" i="117" s="1"/>
  <c r="AT47" i="117"/>
  <c r="CI45" i="112"/>
  <c r="CB46" i="112" s="1"/>
  <c r="BR48" i="112"/>
  <c r="BT48" i="112" s="1"/>
  <c r="BP49" i="112"/>
  <c r="BV48" i="112"/>
  <c r="BX48" i="112" s="1"/>
  <c r="BQ49" i="112" s="1"/>
  <c r="AK49" i="117"/>
  <c r="AM49" i="117" s="1"/>
  <c r="AO49" i="117" s="1"/>
  <c r="J81" i="52"/>
  <c r="C82" i="52" s="1"/>
  <c r="C19" i="51"/>
  <c r="J40" i="46"/>
  <c r="C41" i="46" s="1"/>
  <c r="AF48" i="112"/>
  <c r="Y49" i="112" s="1"/>
  <c r="AK49" i="112"/>
  <c r="AM49" i="112" s="1"/>
  <c r="AO49" i="112" s="1"/>
  <c r="CN48" i="112"/>
  <c r="CP48" i="112" s="1"/>
  <c r="CR48" i="112" s="1"/>
  <c r="CL49" i="112"/>
  <c r="BE49" i="117"/>
  <c r="BG48" i="117"/>
  <c r="BI48" i="117" s="1"/>
  <c r="BK48" i="117" s="1"/>
  <c r="BH32" i="116"/>
  <c r="BJ31" i="116"/>
  <c r="BS31" i="116"/>
  <c r="J47" i="117"/>
  <c r="C48" i="117" s="1"/>
  <c r="AW48" i="112"/>
  <c r="AY48" i="112" s="1"/>
  <c r="BA48" i="112" s="1"/>
  <c r="E48" i="117"/>
  <c r="G48" i="117" s="1"/>
  <c r="I48" i="117" s="1"/>
  <c r="CO48" i="112"/>
  <c r="CQ48" i="112" s="1"/>
  <c r="CS48" i="112" s="1"/>
  <c r="O49" i="112"/>
  <c r="Q49" i="112" s="1"/>
  <c r="S49" i="112" s="1"/>
  <c r="P49" i="112"/>
  <c r="R49" i="112" s="1"/>
  <c r="T49" i="112" s="1"/>
  <c r="AW46" i="117"/>
  <c r="AY46" i="117" s="1"/>
  <c r="BA46" i="117" s="1"/>
  <c r="BR46" i="117"/>
  <c r="BT46" i="117" s="1"/>
  <c r="BV46" i="117" s="1"/>
  <c r="BP47" i="117"/>
  <c r="BS48" i="112"/>
  <c r="BU48" i="112" s="1"/>
  <c r="BW48" i="112" s="1"/>
  <c r="AQ30" i="22"/>
  <c r="AR29" i="22"/>
  <c r="AP29" i="22" s="1"/>
  <c r="BH49" i="112"/>
  <c r="BJ49" i="112" s="1"/>
  <c r="BL49" i="112" s="1"/>
  <c r="BO28" i="116"/>
  <c r="BN28" i="116"/>
  <c r="BT28" i="116" s="1"/>
  <c r="M49" i="117"/>
  <c r="O48" i="117"/>
  <c r="Q48" i="117" s="1"/>
  <c r="S48" i="117" s="1"/>
  <c r="U48" i="117" s="1"/>
  <c r="N49" i="117" s="1"/>
  <c r="CY47" i="112"/>
  <c r="DA47" i="112" s="1"/>
  <c r="DC47" i="112" s="1"/>
  <c r="DE47" i="112" s="1"/>
  <c r="CX48" i="112" s="1"/>
  <c r="CW48" i="112"/>
  <c r="CD46" i="112"/>
  <c r="CF46" i="112" s="1"/>
  <c r="CH46" i="112" s="1"/>
  <c r="BO29" i="116"/>
  <c r="BN29" i="116"/>
  <c r="BT29" i="116" s="1"/>
  <c r="B49" i="112"/>
  <c r="D48" i="112"/>
  <c r="F48" i="112" s="1"/>
  <c r="H48" i="112" s="1"/>
  <c r="J48" i="112" s="1"/>
  <c r="C49" i="112" s="1"/>
  <c r="BS46" i="117"/>
  <c r="BU46" i="117" s="1"/>
  <c r="BW46" i="117" s="1"/>
  <c r="G82" i="52"/>
  <c r="I82" i="52" s="1"/>
  <c r="BL30" i="116"/>
  <c r="BK30" i="116"/>
  <c r="BM30" i="116" s="1"/>
  <c r="AA49" i="112"/>
  <c r="AC49" i="112" s="1"/>
  <c r="AE49" i="112" s="1"/>
  <c r="BH48" i="117"/>
  <c r="BJ48" i="117" s="1"/>
  <c r="BL48" i="117" s="1"/>
  <c r="CD47" i="117"/>
  <c r="CF47" i="117" s="1"/>
  <c r="CH47" i="117"/>
  <c r="AL49" i="117"/>
  <c r="AN49" i="117" s="1"/>
  <c r="AP49" i="117" s="1"/>
  <c r="AL49" i="112"/>
  <c r="AN49" i="112" s="1"/>
  <c r="AP49" i="112" s="1"/>
  <c r="E41" i="46"/>
  <c r="G41" i="46" s="1"/>
  <c r="I41" i="46" s="1"/>
  <c r="BM48" i="117" l="1"/>
  <c r="BF49" i="117" s="1"/>
  <c r="BX46" i="117"/>
  <c r="BQ47" i="117" s="1"/>
  <c r="CW49" i="112"/>
  <c r="CY48" i="112"/>
  <c r="DA48" i="112" s="1"/>
  <c r="DC48" i="112" s="1"/>
  <c r="BP48" i="117"/>
  <c r="BR47" i="117"/>
  <c r="BT47" i="117" s="1"/>
  <c r="BV47" i="117" s="1"/>
  <c r="BR49" i="112"/>
  <c r="BT49" i="112" s="1"/>
  <c r="BV49" i="112" s="1"/>
  <c r="BX49" i="112" s="1"/>
  <c r="D49" i="112"/>
  <c r="F49" i="112" s="1"/>
  <c r="H49" i="112" s="1"/>
  <c r="O49" i="117"/>
  <c r="Q49" i="117" s="1"/>
  <c r="S49" i="117" s="1"/>
  <c r="U49" i="117" s="1"/>
  <c r="BG49" i="117"/>
  <c r="BI49" i="117" s="1"/>
  <c r="BK49" i="117" s="1"/>
  <c r="BM49" i="117" s="1"/>
  <c r="BM49" i="112"/>
  <c r="BB46" i="117"/>
  <c r="AU47" i="117" s="1"/>
  <c r="U49" i="112"/>
  <c r="CT48" i="112"/>
  <c r="CM49" i="112" s="1"/>
  <c r="BB48" i="112"/>
  <c r="AU49" i="112" s="1"/>
  <c r="AQ49" i="112"/>
  <c r="BP28" i="116"/>
  <c r="BR28" i="116"/>
  <c r="BQ28" i="116"/>
  <c r="CO49" i="112"/>
  <c r="CQ49" i="112" s="1"/>
  <c r="CS49" i="112" s="1"/>
  <c r="BS49" i="112"/>
  <c r="BU49" i="112" s="1"/>
  <c r="BW49" i="112" s="1"/>
  <c r="E49" i="112"/>
  <c r="G49" i="112" s="1"/>
  <c r="I49" i="112" s="1"/>
  <c r="BP29" i="116"/>
  <c r="BR29" i="116"/>
  <c r="BQ29" i="116"/>
  <c r="B49" i="117"/>
  <c r="D48" i="117"/>
  <c r="F48" i="117" s="1"/>
  <c r="H48" i="117" s="1"/>
  <c r="J48" i="117" s="1"/>
  <c r="C49" i="117" s="1"/>
  <c r="D41" i="46"/>
  <c r="F41" i="46" s="1"/>
  <c r="H41" i="46" s="1"/>
  <c r="J41" i="46" s="1"/>
  <c r="CA48" i="117"/>
  <c r="CC47" i="117"/>
  <c r="CE47" i="117" s="1"/>
  <c r="CG47" i="117" s="1"/>
  <c r="CI47" i="117" s="1"/>
  <c r="CB48" i="117" s="1"/>
  <c r="AW47" i="117"/>
  <c r="AY47" i="117" s="1"/>
  <c r="BA47" i="117" s="1"/>
  <c r="AQ31" i="22"/>
  <c r="AR30" i="22"/>
  <c r="AP30" i="22" s="1"/>
  <c r="Z49" i="112"/>
  <c r="AB49" i="112" s="1"/>
  <c r="AD49" i="112" s="1"/>
  <c r="AF49" i="112" s="1"/>
  <c r="B83" i="52"/>
  <c r="E83" i="52" s="1"/>
  <c r="D82" i="52"/>
  <c r="F82" i="52" s="1"/>
  <c r="H82" i="52" s="1"/>
  <c r="J82" i="52" s="1"/>
  <c r="C83" i="52" s="1"/>
  <c r="P49" i="117"/>
  <c r="R49" i="117" s="1"/>
  <c r="T49" i="117" s="1"/>
  <c r="BH49" i="117"/>
  <c r="BJ49" i="117" s="1"/>
  <c r="BL49" i="117" s="1"/>
  <c r="CC46" i="112"/>
  <c r="CE46" i="112" s="1"/>
  <c r="CG46" i="112" s="1"/>
  <c r="CI46" i="112" s="1"/>
  <c r="CB47" i="112" s="1"/>
  <c r="CA47" i="112"/>
  <c r="BS47" i="117"/>
  <c r="BU47" i="117" s="1"/>
  <c r="BW47" i="117" s="1"/>
  <c r="BL31" i="116"/>
  <c r="BK31" i="116"/>
  <c r="AQ49" i="117"/>
  <c r="CZ48" i="112"/>
  <c r="DB48" i="112" s="1"/>
  <c r="DD48" i="112" s="1"/>
  <c r="BO30" i="116"/>
  <c r="BN30" i="116"/>
  <c r="BT30" i="116" s="1"/>
  <c r="BJ32" i="116"/>
  <c r="BS32" i="116"/>
  <c r="BH33" i="116"/>
  <c r="AW49" i="112"/>
  <c r="AY49" i="112" s="1"/>
  <c r="BA49" i="112" s="1"/>
  <c r="J49" i="112" l="1"/>
  <c r="D49" i="117"/>
  <c r="F49" i="117" s="1"/>
  <c r="H49" i="117" s="1"/>
  <c r="BX47" i="117"/>
  <c r="BQ48" i="117" s="1"/>
  <c r="CA49" i="117"/>
  <c r="CC48" i="117"/>
  <c r="CE48" i="117" s="1"/>
  <c r="CG48" i="117" s="1"/>
  <c r="CC47" i="112"/>
  <c r="CE47" i="112" s="1"/>
  <c r="CG47" i="112" s="1"/>
  <c r="CA48" i="112"/>
  <c r="D83" i="52"/>
  <c r="F83" i="52" s="1"/>
  <c r="H83" i="52" s="1"/>
  <c r="B84" i="52"/>
  <c r="E84" i="52" s="1"/>
  <c r="DE48" i="112"/>
  <c r="CX49" i="112" s="1"/>
  <c r="CD47" i="112"/>
  <c r="CF47" i="112" s="1"/>
  <c r="CH47" i="112" s="1"/>
  <c r="E49" i="117"/>
  <c r="G49" i="117" s="1"/>
  <c r="I49" i="117" s="1"/>
  <c r="AQ32" i="22"/>
  <c r="AR31" i="22"/>
  <c r="AP31" i="22" s="1"/>
  <c r="CD48" i="117"/>
  <c r="CF48" i="117" s="1"/>
  <c r="CH48" i="117" s="1"/>
  <c r="BL32" i="116"/>
  <c r="BK32" i="116"/>
  <c r="BP30" i="116"/>
  <c r="BQ30" i="116"/>
  <c r="BR30" i="116"/>
  <c r="AV49" i="112"/>
  <c r="AX49" i="112" s="1"/>
  <c r="AZ49" i="112" s="1"/>
  <c r="BB49" i="112" s="1"/>
  <c r="AT48" i="117"/>
  <c r="AV47" i="117"/>
  <c r="AX47" i="117" s="1"/>
  <c r="AZ47" i="117" s="1"/>
  <c r="BB47" i="117" s="1"/>
  <c r="AU48" i="117" s="1"/>
  <c r="BS33" i="116"/>
  <c r="BJ33" i="116"/>
  <c r="BH34" i="116"/>
  <c r="BS48" i="117"/>
  <c r="BU48" i="117" s="1"/>
  <c r="BW48" i="117" s="1"/>
  <c r="G83" i="52"/>
  <c r="I83" i="52" s="1"/>
  <c r="CN49" i="112"/>
  <c r="CP49" i="112" s="1"/>
  <c r="CR49" i="112" s="1"/>
  <c r="CT49" i="112" s="1"/>
  <c r="BM31" i="116"/>
  <c r="CZ49" i="112"/>
  <c r="DB49" i="112" s="1"/>
  <c r="DD49" i="112" s="1"/>
  <c r="CI47" i="112" l="1"/>
  <c r="CB48" i="112" s="1"/>
  <c r="J83" i="52"/>
  <c r="C84" i="52" s="1"/>
  <c r="CI48" i="117"/>
  <c r="CB49" i="117" s="1"/>
  <c r="G84" i="52"/>
  <c r="I84" i="52" s="1"/>
  <c r="BO31" i="116"/>
  <c r="BN31" i="116"/>
  <c r="BT31" i="116" s="1"/>
  <c r="AW48" i="117"/>
  <c r="AY48" i="117" s="1"/>
  <c r="BA48" i="117" s="1"/>
  <c r="AV48" i="117"/>
  <c r="AX48" i="117" s="1"/>
  <c r="AZ48" i="117" s="1"/>
  <c r="BB48" i="117" s="1"/>
  <c r="AU49" i="117" s="1"/>
  <c r="AT49" i="117"/>
  <c r="CY49" i="112"/>
  <c r="DA49" i="112" s="1"/>
  <c r="DC49" i="112" s="1"/>
  <c r="DE49" i="112" s="1"/>
  <c r="CD49" i="117"/>
  <c r="CF49" i="117" s="1"/>
  <c r="CH49" i="117" s="1"/>
  <c r="BS34" i="116"/>
  <c r="BJ34" i="116"/>
  <c r="BH35" i="116"/>
  <c r="BL33" i="116"/>
  <c r="BK33" i="116"/>
  <c r="AQ33" i="22"/>
  <c r="AR32" i="22"/>
  <c r="AP32" i="22" s="1"/>
  <c r="BR48" i="117"/>
  <c r="BT48" i="117" s="1"/>
  <c r="BP49" i="117"/>
  <c r="BV48" i="117"/>
  <c r="BX48" i="117" s="1"/>
  <c r="BQ49" i="117" s="1"/>
  <c r="BM32" i="116"/>
  <c r="J49" i="117"/>
  <c r="CD48" i="112"/>
  <c r="CF48" i="112" s="1"/>
  <c r="CH48" i="112" s="1"/>
  <c r="AV49" i="117" l="1"/>
  <c r="AX49" i="117" s="1"/>
  <c r="AZ49" i="117" s="1"/>
  <c r="BO32" i="116"/>
  <c r="BN32" i="116"/>
  <c r="BT32" i="116" s="1"/>
  <c r="BR49" i="117"/>
  <c r="BT49" i="117" s="1"/>
  <c r="BV49" i="117" s="1"/>
  <c r="BM33" i="116"/>
  <c r="BS35" i="116"/>
  <c r="BH36" i="116"/>
  <c r="BJ35" i="116"/>
  <c r="AW49" i="117"/>
  <c r="AY49" i="117" s="1"/>
  <c r="BA49" i="117" s="1"/>
  <c r="AQ34" i="22"/>
  <c r="AR33" i="22"/>
  <c r="AP33" i="22" s="1"/>
  <c r="BL34" i="116"/>
  <c r="BK34" i="116"/>
  <c r="CC49" i="117"/>
  <c r="CE49" i="117" s="1"/>
  <c r="CG49" i="117" s="1"/>
  <c r="CI49" i="117" s="1"/>
  <c r="B85" i="52"/>
  <c r="E85" i="52" s="1"/>
  <c r="D84" i="52"/>
  <c r="F84" i="52" s="1"/>
  <c r="H84" i="52" s="1"/>
  <c r="J84" i="52" s="1"/>
  <c r="C85" i="52" s="1"/>
  <c r="BS49" i="117"/>
  <c r="BU49" i="117" s="1"/>
  <c r="BW49" i="117" s="1"/>
  <c r="BP31" i="116"/>
  <c r="BQ31" i="116"/>
  <c r="BR31" i="116"/>
  <c r="CA49" i="112"/>
  <c r="CC48" i="112"/>
  <c r="CE48" i="112" s="1"/>
  <c r="CG48" i="112" s="1"/>
  <c r="CI48" i="112" s="1"/>
  <c r="CB49" i="112" s="1"/>
  <c r="BM34" i="116" l="1"/>
  <c r="D85" i="52"/>
  <c r="F85" i="52" s="1"/>
  <c r="H85" i="52" s="1"/>
  <c r="CC49" i="112"/>
  <c r="CE49" i="112" s="1"/>
  <c r="CG49" i="112" s="1"/>
  <c r="BX49" i="117"/>
  <c r="BB49" i="117"/>
  <c r="BS36" i="116"/>
  <c r="BH37" i="116"/>
  <c r="BJ36" i="116"/>
  <c r="CD49" i="112"/>
  <c r="CF49" i="112" s="1"/>
  <c r="CH49" i="112" s="1"/>
  <c r="G85" i="52"/>
  <c r="I85" i="52" s="1"/>
  <c r="BP32" i="116"/>
  <c r="BR32" i="116"/>
  <c r="BQ32" i="116"/>
  <c r="BL35" i="116"/>
  <c r="BK35" i="116"/>
  <c r="BO34" i="116"/>
  <c r="BN34" i="116"/>
  <c r="BT34" i="116" s="1"/>
  <c r="BO33" i="116"/>
  <c r="BN33" i="116"/>
  <c r="BT33" i="116" s="1"/>
  <c r="AQ35" i="22"/>
  <c r="AR34" i="22"/>
  <c r="AP34" i="22" s="1"/>
  <c r="BM35" i="116" l="1"/>
  <c r="J85" i="52"/>
  <c r="CI49" i="112"/>
  <c r="AQ36" i="22"/>
  <c r="AR35" i="22"/>
  <c r="AP35" i="22" s="1"/>
  <c r="BP34" i="116"/>
  <c r="BQ34" i="116"/>
  <c r="BR34" i="116"/>
  <c r="BH38" i="116"/>
  <c r="BJ37" i="116"/>
  <c r="BS37" i="116"/>
  <c r="BO35" i="116"/>
  <c r="BN35" i="116"/>
  <c r="BT35" i="116" s="1"/>
  <c r="BK36" i="116"/>
  <c r="BL36" i="116"/>
  <c r="BP33" i="116"/>
  <c r="BR33" i="116"/>
  <c r="BQ33" i="116"/>
  <c r="BM36" i="116" l="1"/>
  <c r="BJ38" i="116"/>
  <c r="BH39" i="116"/>
  <c r="BS38" i="116"/>
  <c r="BP35" i="116"/>
  <c r="BR35" i="116"/>
  <c r="BQ35" i="116"/>
  <c r="BL37" i="116"/>
  <c r="BK37" i="116"/>
  <c r="AQ37" i="22"/>
  <c r="AR36" i="22"/>
  <c r="AP36" i="22" s="1"/>
  <c r="AQ38" i="22" l="1"/>
  <c r="AR37" i="22"/>
  <c r="AP37" i="22" s="1"/>
  <c r="BM37" i="116"/>
  <c r="BH40" i="116"/>
  <c r="BJ39" i="116"/>
  <c r="BS39" i="116"/>
  <c r="BL38" i="116"/>
  <c r="BK38" i="116"/>
  <c r="BO36" i="116"/>
  <c r="BN36" i="116"/>
  <c r="BT36" i="116" s="1"/>
  <c r="BL39" i="116" l="1"/>
  <c r="BK39" i="116"/>
  <c r="BP36" i="116"/>
  <c r="BR36" i="116"/>
  <c r="BQ36" i="116"/>
  <c r="BJ40" i="116"/>
  <c r="BH41" i="116"/>
  <c r="BS40" i="116"/>
  <c r="BM38" i="116"/>
  <c r="BO37" i="116"/>
  <c r="BN37" i="116"/>
  <c r="BT37" i="116" s="1"/>
  <c r="AQ39" i="22"/>
  <c r="AR38" i="22"/>
  <c r="AP38" i="22" s="1"/>
  <c r="BM39" i="116" l="1"/>
  <c r="BN38" i="116"/>
  <c r="BT38" i="116" s="1"/>
  <c r="BO38" i="116"/>
  <c r="BL40" i="116"/>
  <c r="BK40" i="116"/>
  <c r="BP37" i="116"/>
  <c r="BQ37" i="116"/>
  <c r="BR37" i="116"/>
  <c r="BN39" i="116"/>
  <c r="BT39" i="116" s="1"/>
  <c r="BO39" i="116"/>
  <c r="AQ40" i="22"/>
  <c r="AR39" i="22"/>
  <c r="AP39" i="22" s="1"/>
  <c r="BJ41" i="116"/>
  <c r="BH42" i="116"/>
  <c r="BS41" i="116"/>
  <c r="AQ41" i="22" l="1"/>
  <c r="AR40" i="22"/>
  <c r="AP40" i="22" s="1"/>
  <c r="BL41" i="116"/>
  <c r="BK41" i="116"/>
  <c r="BM41" i="116" s="1"/>
  <c r="BJ42" i="116"/>
  <c r="BH43" i="116"/>
  <c r="BS42" i="116"/>
  <c r="BP39" i="116"/>
  <c r="BQ39" i="116"/>
  <c r="BR39" i="116"/>
  <c r="BM40" i="116"/>
  <c r="BP38" i="116"/>
  <c r="BR38" i="116"/>
  <c r="BQ38" i="116"/>
  <c r="BL42" i="116" l="1"/>
  <c r="BK42" i="116"/>
  <c r="BM42" i="116" s="1"/>
  <c r="BN40" i="116"/>
  <c r="BT40" i="116" s="1"/>
  <c r="BO40" i="116"/>
  <c r="BN41" i="116"/>
  <c r="BT41" i="116" s="1"/>
  <c r="BO41" i="116"/>
  <c r="BJ43" i="116"/>
  <c r="BH44" i="116"/>
  <c r="BS43" i="116"/>
  <c r="AQ42" i="22"/>
  <c r="AR41" i="22"/>
  <c r="AP41" i="22" s="1"/>
  <c r="BJ44" i="116" l="1"/>
  <c r="BH45" i="116"/>
  <c r="BS44" i="116"/>
  <c r="AQ43" i="22"/>
  <c r="AR42" i="22"/>
  <c r="AP42" i="22" s="1"/>
  <c r="BL43" i="116"/>
  <c r="BK43" i="116"/>
  <c r="BN42" i="116"/>
  <c r="BT42" i="116" s="1"/>
  <c r="BO42" i="116"/>
  <c r="BP41" i="116"/>
  <c r="BQ41" i="116"/>
  <c r="BR41" i="116"/>
  <c r="BP40" i="116"/>
  <c r="BR40" i="116"/>
  <c r="BQ40" i="116"/>
  <c r="BM43" i="116" l="1"/>
  <c r="BN43" i="116" s="1"/>
  <c r="BT43" i="116" s="1"/>
  <c r="BO43" i="116"/>
  <c r="BP42" i="116"/>
  <c r="BR42" i="116"/>
  <c r="BQ42" i="116"/>
  <c r="AQ44" i="22"/>
  <c r="AR43" i="22"/>
  <c r="AP43" i="22" s="1"/>
  <c r="BJ45" i="116"/>
  <c r="BH46" i="116"/>
  <c r="BS45" i="116"/>
  <c r="BL44" i="116"/>
  <c r="BK44" i="116"/>
  <c r="BM44" i="116" l="1"/>
  <c r="BN44" i="116"/>
  <c r="BT44" i="116" s="1"/>
  <c r="BO44" i="116"/>
  <c r="BJ46" i="116"/>
  <c r="BH47" i="116"/>
  <c r="BS46" i="116"/>
  <c r="BL45" i="116"/>
  <c r="BK45" i="116"/>
  <c r="AQ45" i="22"/>
  <c r="AR44" i="22"/>
  <c r="AP44" i="22" s="1"/>
  <c r="BP43" i="116"/>
  <c r="BR43" i="116"/>
  <c r="BQ43" i="116"/>
  <c r="BM45" i="116" l="1"/>
  <c r="BN45" i="116" s="1"/>
  <c r="BT45" i="116" s="1"/>
  <c r="BO45" i="116"/>
  <c r="AQ46" i="22"/>
  <c r="AR45" i="22"/>
  <c r="AP45" i="22" s="1"/>
  <c r="BJ47" i="116"/>
  <c r="BH48" i="116"/>
  <c r="BS47" i="116"/>
  <c r="BL46" i="116"/>
  <c r="BK46" i="116"/>
  <c r="BP44" i="116"/>
  <c r="BQ44" i="116"/>
  <c r="BR44" i="116"/>
  <c r="BM46" i="116" l="1"/>
  <c r="BJ48" i="116"/>
  <c r="BH49" i="116"/>
  <c r="BS48" i="116"/>
  <c r="BL47" i="116"/>
  <c r="BK47" i="116"/>
  <c r="AQ47" i="22"/>
  <c r="AR46" i="22"/>
  <c r="AP46" i="22" s="1"/>
  <c r="BP45" i="116"/>
  <c r="BR45" i="116"/>
  <c r="BQ45" i="116"/>
  <c r="AQ48" i="22" l="1"/>
  <c r="AR47" i="22"/>
  <c r="AP47" i="22" s="1"/>
  <c r="BM47" i="116"/>
  <c r="BL48" i="116"/>
  <c r="BK48" i="116"/>
  <c r="BM48" i="116" s="1"/>
  <c r="BJ49" i="116"/>
  <c r="BH50" i="116"/>
  <c r="BS49" i="116"/>
  <c r="BN46" i="116"/>
  <c r="BT46" i="116" s="1"/>
  <c r="BO46" i="116"/>
  <c r="BN48" i="116" l="1"/>
  <c r="BT48" i="116" s="1"/>
  <c r="BO48" i="116"/>
  <c r="BP46" i="116"/>
  <c r="BR46" i="116"/>
  <c r="BQ46" i="116"/>
  <c r="BL49" i="116"/>
  <c r="BK49" i="116"/>
  <c r="BH51" i="116"/>
  <c r="BJ50" i="116"/>
  <c r="BS50" i="116"/>
  <c r="BN47" i="116"/>
  <c r="BT47" i="116" s="1"/>
  <c r="BO47" i="116"/>
  <c r="AQ49" i="22"/>
  <c r="AR48" i="22"/>
  <c r="AP48" i="22" s="1"/>
  <c r="BM49" i="116" l="1"/>
  <c r="AQ50" i="22"/>
  <c r="AR49" i="22"/>
  <c r="AP49" i="22" s="1"/>
  <c r="BN49" i="116"/>
  <c r="BT49" i="116" s="1"/>
  <c r="BO49" i="116"/>
  <c r="BP47" i="116"/>
  <c r="BR47" i="116"/>
  <c r="BQ47" i="116"/>
  <c r="BJ51" i="116"/>
  <c r="BS51" i="116"/>
  <c r="BH52" i="116"/>
  <c r="BL50" i="116"/>
  <c r="BK50" i="116"/>
  <c r="BP48" i="116"/>
  <c r="BQ48" i="116"/>
  <c r="BR48" i="116"/>
  <c r="BJ52" i="116" l="1"/>
  <c r="BS52" i="116"/>
  <c r="BH53" i="116"/>
  <c r="BM50" i="116"/>
  <c r="BL51" i="116"/>
  <c r="BK51" i="116"/>
  <c r="BP49" i="116"/>
  <c r="BR49" i="116"/>
  <c r="BQ49" i="116"/>
  <c r="AQ51" i="22"/>
  <c r="AR50" i="22"/>
  <c r="AP50" i="22" s="1"/>
  <c r="AQ52" i="22" l="1"/>
  <c r="AR51" i="22"/>
  <c r="AP51" i="22" s="1"/>
  <c r="BM51" i="116"/>
  <c r="BN50" i="116"/>
  <c r="BT50" i="116" s="1"/>
  <c r="BO50" i="116"/>
  <c r="BJ53" i="116"/>
  <c r="BS53" i="116"/>
  <c r="BH54" i="116"/>
  <c r="BL52" i="116"/>
  <c r="BK52" i="116"/>
  <c r="BM52" i="116" l="1"/>
  <c r="BJ54" i="116"/>
  <c r="BS54" i="116"/>
  <c r="BH55" i="116"/>
  <c r="BL53" i="116"/>
  <c r="BK53" i="116"/>
  <c r="BP50" i="116"/>
  <c r="BQ50" i="116"/>
  <c r="BR50" i="116"/>
  <c r="BO51" i="116"/>
  <c r="BN51" i="116"/>
  <c r="BT51" i="116" s="1"/>
  <c r="AQ53" i="22"/>
  <c r="AR52" i="22"/>
  <c r="AP52" i="22" s="1"/>
  <c r="BM53" i="116" l="1"/>
  <c r="BP51" i="116"/>
  <c r="BR51" i="116"/>
  <c r="BQ51" i="116"/>
  <c r="BL54" i="116"/>
  <c r="BK54" i="116"/>
  <c r="AQ54" i="22"/>
  <c r="AR53" i="22"/>
  <c r="AP53" i="22" s="1"/>
  <c r="BJ55" i="116"/>
  <c r="BS55" i="116"/>
  <c r="BH56" i="116"/>
  <c r="BO52" i="116"/>
  <c r="BN52" i="116"/>
  <c r="BT52" i="116" s="1"/>
  <c r="BP52" i="116" l="1"/>
  <c r="BR52" i="116"/>
  <c r="BQ52" i="116"/>
  <c r="BL55" i="116"/>
  <c r="BK55" i="116"/>
  <c r="BJ56" i="116"/>
  <c r="BS56" i="116"/>
  <c r="BH57" i="116"/>
  <c r="AQ55" i="22"/>
  <c r="AR54" i="22"/>
  <c r="AP54" i="22" s="1"/>
  <c r="BM54" i="116"/>
  <c r="BO53" i="116"/>
  <c r="BN53" i="116"/>
  <c r="BT53" i="116" s="1"/>
  <c r="BJ57" i="116" l="1"/>
  <c r="BS57" i="116"/>
  <c r="BH58" i="116"/>
  <c r="BO54" i="116"/>
  <c r="BN54" i="116"/>
  <c r="BT54" i="116" s="1"/>
  <c r="BL56" i="116"/>
  <c r="BK56" i="116"/>
  <c r="BP53" i="116"/>
  <c r="BR53" i="116"/>
  <c r="BQ53" i="116"/>
  <c r="AQ56" i="22"/>
  <c r="AR55" i="22"/>
  <c r="AP55" i="22" s="1"/>
  <c r="BM55" i="116"/>
  <c r="BM56" i="116" l="1"/>
  <c r="BP54" i="116"/>
  <c r="BR54" i="116"/>
  <c r="BQ54" i="116"/>
  <c r="BJ58" i="116"/>
  <c r="BS58" i="116"/>
  <c r="BH59" i="116"/>
  <c r="BO55" i="116"/>
  <c r="BN55" i="116"/>
  <c r="BT55" i="116" s="1"/>
  <c r="AQ57" i="22"/>
  <c r="AR56" i="22"/>
  <c r="AP56" i="22" s="1"/>
  <c r="BL57" i="116"/>
  <c r="BK57" i="116"/>
  <c r="BM57" i="116" l="1"/>
  <c r="BO57" i="116" s="1"/>
  <c r="BN57" i="116"/>
  <c r="BT57" i="116" s="1"/>
  <c r="BJ59" i="116"/>
  <c r="BS59" i="116"/>
  <c r="BH60" i="116"/>
  <c r="AQ58" i="22"/>
  <c r="AR57" i="22"/>
  <c r="AP57" i="22" s="1"/>
  <c r="BP55" i="116"/>
  <c r="BQ55" i="116"/>
  <c r="BR55" i="116"/>
  <c r="BL58" i="116"/>
  <c r="BK58" i="116"/>
  <c r="BO56" i="116"/>
  <c r="BN56" i="116"/>
  <c r="BT56" i="116" s="1"/>
  <c r="BM58" i="116" l="1"/>
  <c r="BO58" i="116"/>
  <c r="BN58" i="116"/>
  <c r="BT58" i="116" s="1"/>
  <c r="BJ60" i="116"/>
  <c r="BS60" i="116"/>
  <c r="BH61" i="116"/>
  <c r="BP57" i="116"/>
  <c r="BR57" i="116"/>
  <c r="BQ57" i="116"/>
  <c r="AQ59" i="22"/>
  <c r="AR58" i="22"/>
  <c r="AP58" i="22" s="1"/>
  <c r="BL59" i="116"/>
  <c r="BK59" i="116"/>
  <c r="BM59" i="116" s="1"/>
  <c r="BP56" i="116"/>
  <c r="BR56" i="116"/>
  <c r="BQ56" i="116"/>
  <c r="BO59" i="116" l="1"/>
  <c r="BN59" i="116"/>
  <c r="BT59" i="116" s="1"/>
  <c r="AQ60" i="22"/>
  <c r="AR59" i="22"/>
  <c r="AP59" i="22" s="1"/>
  <c r="BJ61" i="116"/>
  <c r="BS61" i="116"/>
  <c r="BH62" i="116"/>
  <c r="BP58" i="116"/>
  <c r="BQ58" i="116"/>
  <c r="BR58" i="116"/>
  <c r="BL60" i="116"/>
  <c r="BK60" i="116"/>
  <c r="BM60" i="116" l="1"/>
  <c r="BP59" i="116"/>
  <c r="BQ59" i="116"/>
  <c r="BR59" i="116"/>
  <c r="BJ62" i="116"/>
  <c r="BS62" i="116"/>
  <c r="BH63" i="116"/>
  <c r="BL61" i="116"/>
  <c r="BK61" i="116"/>
  <c r="AQ61" i="22"/>
  <c r="AR60" i="22"/>
  <c r="AP60" i="22" s="1"/>
  <c r="AQ62" i="22" l="1"/>
  <c r="AR61" i="22"/>
  <c r="AP61" i="22" s="1"/>
  <c r="BJ63" i="116"/>
  <c r="BS63" i="116"/>
  <c r="BH64" i="116"/>
  <c r="BM61" i="116"/>
  <c r="BL62" i="116"/>
  <c r="BK62" i="116"/>
  <c r="BO60" i="116"/>
  <c r="BN60" i="116"/>
  <c r="BT60" i="116" s="1"/>
  <c r="BP60" i="116" l="1"/>
  <c r="BR60" i="116"/>
  <c r="BQ60" i="116"/>
  <c r="BM62" i="116"/>
  <c r="BO61" i="116"/>
  <c r="BN61" i="116"/>
  <c r="BT61" i="116" s="1"/>
  <c r="BJ64" i="116"/>
  <c r="BS64" i="116"/>
  <c r="BH65" i="116"/>
  <c r="BL63" i="116"/>
  <c r="BK63" i="116"/>
  <c r="AQ63" i="22"/>
  <c r="AR62" i="22"/>
  <c r="AP62" i="22" s="1"/>
  <c r="BM63" i="116" l="1"/>
  <c r="BL64" i="116"/>
  <c r="BK64" i="116"/>
  <c r="BM64" i="116" s="1"/>
  <c r="AQ64" i="22"/>
  <c r="AR63" i="22"/>
  <c r="AP63" i="22" s="1"/>
  <c r="BJ65" i="116"/>
  <c r="BS65" i="116"/>
  <c r="BH66" i="116"/>
  <c r="BP61" i="116"/>
  <c r="BR61" i="116"/>
  <c r="BQ61" i="116"/>
  <c r="BO62" i="116"/>
  <c r="BN62" i="116"/>
  <c r="BT62" i="116" s="1"/>
  <c r="BJ66" i="116" l="1"/>
  <c r="BS66" i="116"/>
  <c r="BH67" i="116"/>
  <c r="BP62" i="116"/>
  <c r="BR62" i="116"/>
  <c r="BQ62" i="116"/>
  <c r="BL65" i="116"/>
  <c r="BK65" i="116"/>
  <c r="BO64" i="116"/>
  <c r="BN64" i="116"/>
  <c r="BT64" i="116" s="1"/>
  <c r="AQ65" i="22"/>
  <c r="AR64" i="22"/>
  <c r="AP64" i="22" s="1"/>
  <c r="BO63" i="116"/>
  <c r="BN63" i="116"/>
  <c r="BT63" i="116" s="1"/>
  <c r="BM65" i="116" l="1"/>
  <c r="AQ66" i="22"/>
  <c r="AR65" i="22"/>
  <c r="AP65" i="22" s="1"/>
  <c r="BO65" i="116"/>
  <c r="BN65" i="116"/>
  <c r="BT65" i="116" s="1"/>
  <c r="BP64" i="116"/>
  <c r="BR64" i="116"/>
  <c r="BQ64" i="116"/>
  <c r="BJ67" i="116"/>
  <c r="BS67" i="116"/>
  <c r="BH68" i="116"/>
  <c r="BL66" i="116"/>
  <c r="BK66" i="116"/>
  <c r="BP63" i="116"/>
  <c r="BR63" i="116"/>
  <c r="BQ63" i="116"/>
  <c r="BM66" i="116" l="1"/>
  <c r="BJ68" i="116"/>
  <c r="BS68" i="116"/>
  <c r="BH69" i="116"/>
  <c r="BL67" i="116"/>
  <c r="BK67" i="116"/>
  <c r="BP65" i="116"/>
  <c r="BR65" i="116"/>
  <c r="BQ65" i="116"/>
  <c r="AQ67" i="22"/>
  <c r="AR66" i="22"/>
  <c r="AP66" i="22" s="1"/>
  <c r="BL68" i="116" l="1"/>
  <c r="BK68" i="116"/>
  <c r="AQ68" i="22"/>
  <c r="AR67" i="22"/>
  <c r="AP67" i="22" s="1"/>
  <c r="BM67" i="116"/>
  <c r="BJ69" i="116"/>
  <c r="BS69" i="116"/>
  <c r="BH70" i="116"/>
  <c r="BO66" i="116"/>
  <c r="BN66" i="116"/>
  <c r="BT66" i="116" s="1"/>
  <c r="BJ70" i="116" l="1"/>
  <c r="BS70" i="116"/>
  <c r="BH71" i="116"/>
  <c r="AQ69" i="22"/>
  <c r="AR68" i="22"/>
  <c r="AP68" i="22" s="1"/>
  <c r="BM68" i="116"/>
  <c r="BP66" i="116"/>
  <c r="BR66" i="116"/>
  <c r="BQ66" i="116"/>
  <c r="BL69" i="116"/>
  <c r="BK69" i="116"/>
  <c r="BO67" i="116"/>
  <c r="BN67" i="116"/>
  <c r="BT67" i="116" s="1"/>
  <c r="BM69" i="116" l="1"/>
  <c r="BP67" i="116"/>
  <c r="BR67" i="116"/>
  <c r="BQ67" i="116"/>
  <c r="BO68" i="116"/>
  <c r="BN68" i="116"/>
  <c r="BT68" i="116" s="1"/>
  <c r="AQ70" i="22"/>
  <c r="AR69" i="22"/>
  <c r="AP69" i="22" s="1"/>
  <c r="BJ71" i="116"/>
  <c r="BS71" i="116"/>
  <c r="BH72" i="116"/>
  <c r="BL70" i="116"/>
  <c r="BK70" i="116"/>
  <c r="BJ72" i="116" l="1"/>
  <c r="BS72" i="116"/>
  <c r="BH73" i="116"/>
  <c r="BL71" i="116"/>
  <c r="BK71" i="116"/>
  <c r="BP68" i="116"/>
  <c r="BQ68" i="116"/>
  <c r="BR68" i="116"/>
  <c r="BM70" i="116"/>
  <c r="AQ71" i="22"/>
  <c r="AR70" i="22"/>
  <c r="AP70" i="22" s="1"/>
  <c r="BO69" i="116"/>
  <c r="BN69" i="116"/>
  <c r="BT69" i="116" s="1"/>
  <c r="AQ72" i="22" l="1"/>
  <c r="AR71" i="22"/>
  <c r="AP71" i="22" s="1"/>
  <c r="BP69" i="116"/>
  <c r="BQ69" i="116"/>
  <c r="BR69" i="116"/>
  <c r="BO70" i="116"/>
  <c r="BN70" i="116"/>
  <c r="BT70" i="116" s="1"/>
  <c r="BM71" i="116"/>
  <c r="BJ73" i="116"/>
  <c r="BS73" i="116"/>
  <c r="BH74" i="116"/>
  <c r="BL72" i="116"/>
  <c r="BK72" i="116"/>
  <c r="BL73" i="116" l="1"/>
  <c r="BK73" i="116"/>
  <c r="BM73" i="116" s="1"/>
  <c r="BM72" i="116"/>
  <c r="BP70" i="116"/>
  <c r="BR70" i="116"/>
  <c r="BQ70" i="116"/>
  <c r="BJ74" i="116"/>
  <c r="BS74" i="116"/>
  <c r="BH75" i="116"/>
  <c r="BO71" i="116"/>
  <c r="BN71" i="116"/>
  <c r="BT71" i="116" s="1"/>
  <c r="AQ73" i="22"/>
  <c r="AR72" i="22"/>
  <c r="AP72" i="22" s="1"/>
  <c r="BJ75" i="116" l="1"/>
  <c r="BS75" i="116"/>
  <c r="BH76" i="116"/>
  <c r="BL74" i="116"/>
  <c r="BK74" i="116"/>
  <c r="AQ74" i="22"/>
  <c r="AR73" i="22"/>
  <c r="AP73" i="22" s="1"/>
  <c r="BO73" i="116"/>
  <c r="BN73" i="116"/>
  <c r="BT73" i="116" s="1"/>
  <c r="BP71" i="116"/>
  <c r="BQ71" i="116"/>
  <c r="BR71" i="116"/>
  <c r="BO72" i="116"/>
  <c r="BN72" i="116"/>
  <c r="BT72" i="116" s="1"/>
  <c r="AQ75" i="22" l="1"/>
  <c r="AR74" i="22"/>
  <c r="AP74" i="22" s="1"/>
  <c r="BP73" i="116"/>
  <c r="BR73" i="116"/>
  <c r="BQ73" i="116"/>
  <c r="BL75" i="116"/>
  <c r="BK75" i="116"/>
  <c r="BM75" i="116" s="1"/>
  <c r="BM74" i="116"/>
  <c r="BJ76" i="116"/>
  <c r="BS76" i="116"/>
  <c r="BH77" i="116"/>
  <c r="BP72" i="116"/>
  <c r="BR72" i="116"/>
  <c r="BQ72" i="116"/>
  <c r="BO74" i="116" l="1"/>
  <c r="BN74" i="116"/>
  <c r="BT74" i="116" s="1"/>
  <c r="BJ77" i="116"/>
  <c r="BS77" i="116"/>
  <c r="BH78" i="116"/>
  <c r="BL76" i="116"/>
  <c r="BK76" i="116"/>
  <c r="BO75" i="116"/>
  <c r="BN75" i="116"/>
  <c r="BT75" i="116" s="1"/>
  <c r="AQ76" i="22"/>
  <c r="AR75" i="22"/>
  <c r="AP75" i="22" s="1"/>
  <c r="BP75" i="116" l="1"/>
  <c r="BR75" i="116"/>
  <c r="BQ75" i="116"/>
  <c r="AQ77" i="22"/>
  <c r="AR76" i="22"/>
  <c r="AP76" i="22" s="1"/>
  <c r="BM76" i="116"/>
  <c r="BJ78" i="116"/>
  <c r="BS78" i="116"/>
  <c r="BH79" i="116"/>
  <c r="BL77" i="116"/>
  <c r="BK77" i="116"/>
  <c r="BP74" i="116"/>
  <c r="BR74" i="116"/>
  <c r="BQ74" i="116"/>
  <c r="BM77" i="116" l="1"/>
  <c r="BL78" i="116"/>
  <c r="BK78" i="116"/>
  <c r="BJ79" i="116"/>
  <c r="BS79" i="116"/>
  <c r="BH80" i="116"/>
  <c r="BO76" i="116"/>
  <c r="BN76" i="116"/>
  <c r="BT76" i="116" s="1"/>
  <c r="AQ78" i="22"/>
  <c r="AR77" i="22"/>
  <c r="AP77" i="22" s="1"/>
  <c r="AQ79" i="22" l="1"/>
  <c r="AR78" i="22"/>
  <c r="AP78" i="22" s="1"/>
  <c r="BP76" i="116"/>
  <c r="BQ76" i="116"/>
  <c r="BR76" i="116"/>
  <c r="BJ80" i="116"/>
  <c r="BS80" i="116"/>
  <c r="BH81" i="116"/>
  <c r="BL79" i="116"/>
  <c r="BK79" i="116"/>
  <c r="BM78" i="116"/>
  <c r="BO77" i="116"/>
  <c r="BN77" i="116"/>
  <c r="BT77" i="116" s="1"/>
  <c r="BP77" i="116" l="1"/>
  <c r="BQ77" i="116"/>
  <c r="BR77" i="116"/>
  <c r="BM79" i="116"/>
  <c r="BJ81" i="116"/>
  <c r="BS81" i="116"/>
  <c r="BH82" i="116"/>
  <c r="BL80" i="116"/>
  <c r="BK80" i="116"/>
  <c r="BO78" i="116"/>
  <c r="BN78" i="116"/>
  <c r="BT78" i="116" s="1"/>
  <c r="AQ80" i="22"/>
  <c r="AR79" i="22"/>
  <c r="AP79" i="22" s="1"/>
  <c r="BM80" i="116" l="1"/>
  <c r="BO80" i="116"/>
  <c r="BN80" i="116"/>
  <c r="BT80" i="116" s="1"/>
  <c r="AQ81" i="22"/>
  <c r="AR80" i="22"/>
  <c r="AP80" i="22" s="1"/>
  <c r="BJ82" i="116"/>
  <c r="BS82" i="116"/>
  <c r="BH83" i="116"/>
  <c r="BP78" i="116"/>
  <c r="BR78" i="116"/>
  <c r="BQ78" i="116"/>
  <c r="BL81" i="116"/>
  <c r="BK81" i="116"/>
  <c r="BO79" i="116"/>
  <c r="BN79" i="116"/>
  <c r="BT79" i="116" s="1"/>
  <c r="BM81" i="116" l="1"/>
  <c r="BO81" i="116" s="1"/>
  <c r="BN81" i="116"/>
  <c r="BT81" i="116" s="1"/>
  <c r="BJ83" i="116"/>
  <c r="BS83" i="116"/>
  <c r="BH84" i="116"/>
  <c r="BL82" i="116"/>
  <c r="BK82" i="116"/>
  <c r="AQ82" i="22"/>
  <c r="AR81" i="22"/>
  <c r="AP81" i="22" s="1"/>
  <c r="BP80" i="116"/>
  <c r="BQ80" i="116"/>
  <c r="BR80" i="116"/>
  <c r="BP79" i="116"/>
  <c r="BQ79" i="116"/>
  <c r="BR79" i="116"/>
  <c r="AQ83" i="22" l="1"/>
  <c r="AR82" i="22"/>
  <c r="AP82" i="22" s="1"/>
  <c r="BL83" i="116"/>
  <c r="BK83" i="116"/>
  <c r="BM83" i="116" s="1"/>
  <c r="BM82" i="116"/>
  <c r="BJ84" i="116"/>
  <c r="BS84" i="116"/>
  <c r="BH85" i="116"/>
  <c r="BP81" i="116"/>
  <c r="BQ81" i="116"/>
  <c r="BR81" i="116"/>
  <c r="BJ85" i="116" l="1"/>
  <c r="BS85" i="116"/>
  <c r="BH86" i="116"/>
  <c r="BO83" i="116"/>
  <c r="BN83" i="116"/>
  <c r="BT83" i="116" s="1"/>
  <c r="BL84" i="116"/>
  <c r="BK84" i="116"/>
  <c r="BO82" i="116"/>
  <c r="BN82" i="116"/>
  <c r="BT82" i="116" s="1"/>
  <c r="AQ84" i="22"/>
  <c r="AR83" i="22"/>
  <c r="AP83" i="22" s="1"/>
  <c r="BM84" i="116" l="1"/>
  <c r="AQ85" i="22"/>
  <c r="AR84" i="22"/>
  <c r="AP84" i="22" s="1"/>
  <c r="BP82" i="116"/>
  <c r="BR82" i="116"/>
  <c r="BQ82" i="116"/>
  <c r="BP83" i="116"/>
  <c r="BR83" i="116"/>
  <c r="BQ83" i="116"/>
  <c r="BJ86" i="116"/>
  <c r="BS86" i="116"/>
  <c r="BH87" i="116"/>
  <c r="BL85" i="116"/>
  <c r="BK85" i="116"/>
  <c r="AQ86" i="22" l="1"/>
  <c r="AR85" i="22"/>
  <c r="AP85" i="22" s="1"/>
  <c r="BH88" i="116"/>
  <c r="BJ87" i="116"/>
  <c r="BS87" i="116"/>
  <c r="BL86" i="116"/>
  <c r="BK86" i="116"/>
  <c r="BM85" i="116"/>
  <c r="BO84" i="116"/>
  <c r="BN84" i="116"/>
  <c r="BT84" i="116" s="1"/>
  <c r="BP84" i="116" l="1"/>
  <c r="BR84" i="116"/>
  <c r="BQ84" i="116"/>
  <c r="BO85" i="116"/>
  <c r="BN85" i="116"/>
  <c r="BT85" i="116" s="1"/>
  <c r="BM86" i="116"/>
  <c r="BL87" i="116"/>
  <c r="BK87" i="116"/>
  <c r="BJ88" i="116"/>
  <c r="BH89" i="116"/>
  <c r="BS88" i="116"/>
  <c r="AQ87" i="22"/>
  <c r="AR86" i="22"/>
  <c r="AP86" i="22" s="1"/>
  <c r="AQ88" i="22" l="1"/>
  <c r="AR87" i="22"/>
  <c r="AP87" i="22" s="1"/>
  <c r="BJ89" i="116"/>
  <c r="BH90" i="116"/>
  <c r="BS89" i="116"/>
  <c r="BM87" i="116"/>
  <c r="BO86" i="116"/>
  <c r="BN86" i="116"/>
  <c r="BT86" i="116" s="1"/>
  <c r="BL88" i="116"/>
  <c r="BK88" i="116"/>
  <c r="BP85" i="116"/>
  <c r="BR85" i="116"/>
  <c r="BQ85" i="116"/>
  <c r="BP86" i="116" l="1"/>
  <c r="BQ86" i="116"/>
  <c r="BR86" i="116"/>
  <c r="BM88" i="116"/>
  <c r="BO87" i="116"/>
  <c r="BN87" i="116"/>
  <c r="BT87" i="116" s="1"/>
  <c r="BJ90" i="116"/>
  <c r="BH91" i="116"/>
  <c r="BS90" i="116"/>
  <c r="BL89" i="116"/>
  <c r="BK89" i="116"/>
  <c r="AQ89" i="22"/>
  <c r="AR88" i="22"/>
  <c r="AP88" i="22" s="1"/>
  <c r="AQ90" i="22" l="1"/>
  <c r="AR89" i="22"/>
  <c r="AP89" i="22" s="1"/>
  <c r="BJ91" i="116"/>
  <c r="BH92" i="116"/>
  <c r="BS91" i="116"/>
  <c r="BL90" i="116"/>
  <c r="BK90" i="116"/>
  <c r="BM89" i="116"/>
  <c r="BP87" i="116"/>
  <c r="BR87" i="116"/>
  <c r="BQ87" i="116"/>
  <c r="BO88" i="116"/>
  <c r="BN88" i="116"/>
  <c r="BT88" i="116" s="1"/>
  <c r="BM90" i="116" l="1"/>
  <c r="BJ92" i="116"/>
  <c r="BH93" i="116"/>
  <c r="BS92" i="116"/>
  <c r="BP88" i="116"/>
  <c r="BR88" i="116"/>
  <c r="BQ88" i="116"/>
  <c r="BO89" i="116"/>
  <c r="BN89" i="116"/>
  <c r="BT89" i="116" s="1"/>
  <c r="BL91" i="116"/>
  <c r="BK91" i="116"/>
  <c r="AQ91" i="22"/>
  <c r="AR90" i="22"/>
  <c r="AP90" i="22" s="1"/>
  <c r="BM91" i="116" l="1"/>
  <c r="AQ92" i="22"/>
  <c r="AR91" i="22"/>
  <c r="AP91" i="22" s="1"/>
  <c r="BJ93" i="116"/>
  <c r="BH94" i="116"/>
  <c r="BS93" i="116"/>
  <c r="BP89" i="116"/>
  <c r="BR89" i="116"/>
  <c r="BQ89" i="116"/>
  <c r="BL92" i="116"/>
  <c r="BK92" i="116"/>
  <c r="BO90" i="116"/>
  <c r="BN90" i="116"/>
  <c r="BT90" i="116" s="1"/>
  <c r="BP90" i="116" l="1"/>
  <c r="BR90" i="116"/>
  <c r="BQ90" i="116"/>
  <c r="BM92" i="116"/>
  <c r="BJ94" i="116"/>
  <c r="BH95" i="116"/>
  <c r="BS94" i="116"/>
  <c r="BL93" i="116"/>
  <c r="BK93" i="116"/>
  <c r="AQ93" i="22"/>
  <c r="AR92" i="22"/>
  <c r="AP92" i="22" s="1"/>
  <c r="BO91" i="116"/>
  <c r="BN91" i="116"/>
  <c r="BT91" i="116" s="1"/>
  <c r="AQ94" i="22" l="1"/>
  <c r="AR93" i="22"/>
  <c r="AP93" i="22" s="1"/>
  <c r="BM93" i="116"/>
  <c r="BJ95" i="116"/>
  <c r="BH96" i="116"/>
  <c r="BS95" i="116"/>
  <c r="BL94" i="116"/>
  <c r="BK94" i="116"/>
  <c r="BO92" i="116"/>
  <c r="BN92" i="116"/>
  <c r="BT92" i="116" s="1"/>
  <c r="BP91" i="116"/>
  <c r="BR91" i="116"/>
  <c r="BQ91" i="116"/>
  <c r="BP92" i="116" l="1"/>
  <c r="BR92" i="116"/>
  <c r="BQ92" i="116"/>
  <c r="BJ96" i="116"/>
  <c r="BH97" i="116"/>
  <c r="BS96" i="116"/>
  <c r="BL95" i="116"/>
  <c r="BK95" i="116"/>
  <c r="BO93" i="116"/>
  <c r="BN93" i="116"/>
  <c r="BT93" i="116" s="1"/>
  <c r="BM94" i="116"/>
  <c r="AQ95" i="22"/>
  <c r="AR94" i="22"/>
  <c r="AP94" i="22" s="1"/>
  <c r="BP93" i="116" l="1"/>
  <c r="BR93" i="116"/>
  <c r="BQ93" i="116"/>
  <c r="AQ96" i="22"/>
  <c r="AR95" i="22"/>
  <c r="AP95" i="22" s="1"/>
  <c r="BM95" i="116"/>
  <c r="BJ97" i="116"/>
  <c r="BH98" i="116"/>
  <c r="BS97" i="116"/>
  <c r="BL96" i="116"/>
  <c r="BK96" i="116"/>
  <c r="BM96" i="116" s="1"/>
  <c r="BO94" i="116"/>
  <c r="BN94" i="116"/>
  <c r="BT94" i="116" s="1"/>
  <c r="BO96" i="116" l="1"/>
  <c r="BN96" i="116"/>
  <c r="BT96" i="116" s="1"/>
  <c r="BP94" i="116"/>
  <c r="BQ94" i="116"/>
  <c r="BR94" i="116"/>
  <c r="BJ98" i="116"/>
  <c r="BH99" i="116"/>
  <c r="BS98" i="116"/>
  <c r="BL97" i="116"/>
  <c r="BK97" i="116"/>
  <c r="BO95" i="116"/>
  <c r="BN95" i="116"/>
  <c r="BT95" i="116" s="1"/>
  <c r="AQ97" i="22"/>
  <c r="AR96" i="22"/>
  <c r="AP96" i="22" s="1"/>
  <c r="BP95" i="116" l="1"/>
  <c r="BR95" i="116"/>
  <c r="BQ95" i="116"/>
  <c r="BJ99" i="116"/>
  <c r="BH100" i="116"/>
  <c r="BS99" i="116"/>
  <c r="BL98" i="116"/>
  <c r="BK98" i="116"/>
  <c r="AQ98" i="22"/>
  <c r="AR97" i="22"/>
  <c r="AP97" i="22" s="1"/>
  <c r="BP96" i="116"/>
  <c r="BR96" i="116"/>
  <c r="BQ96" i="116"/>
  <c r="BM97" i="116"/>
  <c r="BM98" i="116" l="1"/>
  <c r="BO98" i="116" s="1"/>
  <c r="BN98" i="116"/>
  <c r="BT98" i="116" s="1"/>
  <c r="AQ99" i="22"/>
  <c r="AR98" i="22"/>
  <c r="AP98" i="22" s="1"/>
  <c r="BJ100" i="116"/>
  <c r="BH101" i="116"/>
  <c r="BS100" i="116"/>
  <c r="BL99" i="116"/>
  <c r="BK99" i="116"/>
  <c r="BO97" i="116"/>
  <c r="BN97" i="116"/>
  <c r="BT97" i="116" s="1"/>
  <c r="BJ101" i="116" l="1"/>
  <c r="BH102" i="116"/>
  <c r="BS101" i="116"/>
  <c r="BP97" i="116"/>
  <c r="BQ97" i="116"/>
  <c r="BR97" i="116"/>
  <c r="BL100" i="116"/>
  <c r="BK100" i="116"/>
  <c r="BM99" i="116"/>
  <c r="BP98" i="116"/>
  <c r="BQ98" i="116"/>
  <c r="BR98" i="116"/>
  <c r="AQ100" i="22"/>
  <c r="AR99" i="22"/>
  <c r="AP99" i="22" s="1"/>
  <c r="BO99" i="116" l="1"/>
  <c r="BN99" i="116"/>
  <c r="BT99" i="116" s="1"/>
  <c r="AQ101" i="22"/>
  <c r="AR100" i="22"/>
  <c r="AP100" i="22" s="1"/>
  <c r="BJ102" i="116"/>
  <c r="BH103" i="116"/>
  <c r="BS102" i="116"/>
  <c r="BM100" i="116"/>
  <c r="BL101" i="116"/>
  <c r="BK101" i="116"/>
  <c r="BM101" i="116" l="1"/>
  <c r="BO100" i="116"/>
  <c r="BN100" i="116"/>
  <c r="BT100" i="116" s="1"/>
  <c r="BJ103" i="116"/>
  <c r="BH104" i="116"/>
  <c r="BS103" i="116"/>
  <c r="BL102" i="116"/>
  <c r="BK102" i="116"/>
  <c r="AQ102" i="22"/>
  <c r="AR101" i="22"/>
  <c r="AP101" i="22" s="1"/>
  <c r="BP99" i="116"/>
  <c r="BQ99" i="116"/>
  <c r="BR99" i="116"/>
  <c r="BP100" i="116" l="1"/>
  <c r="BQ100" i="116"/>
  <c r="BR100" i="116"/>
  <c r="AQ103" i="22"/>
  <c r="AR102" i="22"/>
  <c r="AP102" i="22" s="1"/>
  <c r="BM102" i="116"/>
  <c r="BJ104" i="116"/>
  <c r="BH105" i="116"/>
  <c r="BS104" i="116"/>
  <c r="BL103" i="116"/>
  <c r="BK103" i="116"/>
  <c r="BO101" i="116"/>
  <c r="BN101" i="116"/>
  <c r="BT101" i="116" s="1"/>
  <c r="BM103" i="116" l="1"/>
  <c r="BO103" i="116"/>
  <c r="BN103" i="116"/>
  <c r="BT103" i="116" s="1"/>
  <c r="BP101" i="116"/>
  <c r="BQ101" i="116"/>
  <c r="BR101" i="116"/>
  <c r="BJ105" i="116"/>
  <c r="BH106" i="116"/>
  <c r="BS105" i="116"/>
  <c r="BL104" i="116"/>
  <c r="BK104" i="116"/>
  <c r="BO102" i="116"/>
  <c r="BN102" i="116"/>
  <c r="BT102" i="116" s="1"/>
  <c r="AQ104" i="22"/>
  <c r="AR103" i="22"/>
  <c r="AP103" i="22" s="1"/>
  <c r="AQ105" i="22" l="1"/>
  <c r="AR104" i="22"/>
  <c r="AP104" i="22" s="1"/>
  <c r="BP102" i="116"/>
  <c r="BQ102" i="116"/>
  <c r="BR102" i="116"/>
  <c r="BM104" i="116"/>
  <c r="BJ106" i="116"/>
  <c r="BH107" i="116"/>
  <c r="BS106" i="116"/>
  <c r="BL105" i="116"/>
  <c r="BK105" i="116"/>
  <c r="BP103" i="116"/>
  <c r="BQ103" i="116"/>
  <c r="BR103" i="116"/>
  <c r="BM105" i="116" l="1"/>
  <c r="BO104" i="116"/>
  <c r="BN104" i="116"/>
  <c r="BT104" i="116" s="1"/>
  <c r="BJ107" i="116"/>
  <c r="BH108" i="116"/>
  <c r="BS107" i="116"/>
  <c r="BL106" i="116"/>
  <c r="BK106" i="116"/>
  <c r="AQ106" i="22"/>
  <c r="AR105" i="22"/>
  <c r="AP105" i="22" s="1"/>
  <c r="AQ107" i="22" l="1"/>
  <c r="AR106" i="22"/>
  <c r="AP106" i="22" s="1"/>
  <c r="BM106" i="116"/>
  <c r="BJ108" i="116"/>
  <c r="BH109" i="116"/>
  <c r="BS108" i="116"/>
  <c r="BL107" i="116"/>
  <c r="BK107" i="116"/>
  <c r="BP104" i="116"/>
  <c r="BR104" i="116"/>
  <c r="BQ104" i="116"/>
  <c r="BO105" i="116"/>
  <c r="BN105" i="116"/>
  <c r="BT105" i="116" s="1"/>
  <c r="BM107" i="116" l="1"/>
  <c r="BP105" i="116"/>
  <c r="BQ105" i="116"/>
  <c r="BR105" i="116"/>
  <c r="BJ109" i="116"/>
  <c r="BH110" i="116"/>
  <c r="BS109" i="116"/>
  <c r="BL108" i="116"/>
  <c r="BK108" i="116"/>
  <c r="BO106" i="116"/>
  <c r="BN106" i="116"/>
  <c r="BT106" i="116" s="1"/>
  <c r="AQ108" i="22"/>
  <c r="AR107" i="22"/>
  <c r="AP107" i="22" s="1"/>
  <c r="AQ109" i="22" l="1"/>
  <c r="AR108" i="22"/>
  <c r="AP108" i="22" s="1"/>
  <c r="BJ110" i="116"/>
  <c r="BH111" i="116"/>
  <c r="BS110" i="116"/>
  <c r="BP106" i="116"/>
  <c r="BQ106" i="116"/>
  <c r="BR106" i="116"/>
  <c r="BM108" i="116"/>
  <c r="BL109" i="116"/>
  <c r="BK109" i="116"/>
  <c r="BO107" i="116"/>
  <c r="BN107" i="116"/>
  <c r="BT107" i="116" s="1"/>
  <c r="BM109" i="116" l="1"/>
  <c r="BJ111" i="116"/>
  <c r="BH112" i="116"/>
  <c r="BS111" i="116"/>
  <c r="BP107" i="116"/>
  <c r="BQ107" i="116"/>
  <c r="BR107" i="116"/>
  <c r="BO108" i="116"/>
  <c r="BN108" i="116"/>
  <c r="BT108" i="116" s="1"/>
  <c r="BL110" i="116"/>
  <c r="BK110" i="116"/>
  <c r="AQ110" i="22"/>
  <c r="AR109" i="22"/>
  <c r="AP109" i="22" s="1"/>
  <c r="AQ111" i="22" l="1"/>
  <c r="AR110" i="22"/>
  <c r="AP110" i="22" s="1"/>
  <c r="BM110" i="116"/>
  <c r="BP108" i="116"/>
  <c r="BQ108" i="116"/>
  <c r="BR108" i="116"/>
  <c r="BL111" i="116"/>
  <c r="BK111" i="116"/>
  <c r="BS112" i="116"/>
  <c r="BH113" i="116"/>
  <c r="BJ112" i="116"/>
  <c r="BO109" i="116"/>
  <c r="BN109" i="116"/>
  <c r="BT109" i="116" s="1"/>
  <c r="BL112" i="116" l="1"/>
  <c r="BK112" i="116"/>
  <c r="BM111" i="116"/>
  <c r="BP109" i="116"/>
  <c r="BR109" i="116"/>
  <c r="BQ109" i="116"/>
  <c r="BO110" i="116"/>
  <c r="BN110" i="116"/>
  <c r="BT110" i="116" s="1"/>
  <c r="BH114" i="116"/>
  <c r="BS113" i="116"/>
  <c r="BJ113" i="116"/>
  <c r="AQ112" i="22"/>
  <c r="AR111" i="22"/>
  <c r="AP111" i="22" s="1"/>
  <c r="BM112" i="116" l="1"/>
  <c r="BL113" i="116"/>
  <c r="BK113" i="116"/>
  <c r="BM113" i="116" s="1"/>
  <c r="BP110" i="116"/>
  <c r="BQ110" i="116"/>
  <c r="BR110" i="116"/>
  <c r="BO112" i="116"/>
  <c r="BN112" i="116"/>
  <c r="BT112" i="116" s="1"/>
  <c r="AQ113" i="22"/>
  <c r="AR112" i="22"/>
  <c r="AP112" i="22" s="1"/>
  <c r="BJ114" i="116"/>
  <c r="BH115" i="116"/>
  <c r="BS114" i="116"/>
  <c r="BO111" i="116"/>
  <c r="BN111" i="116"/>
  <c r="BT111" i="116" s="1"/>
  <c r="BJ115" i="116" l="1"/>
  <c r="BH116" i="116"/>
  <c r="BS115" i="116"/>
  <c r="BK114" i="116"/>
  <c r="BL114" i="116"/>
  <c r="BP112" i="116"/>
  <c r="BQ112" i="116"/>
  <c r="BR112" i="116"/>
  <c r="BO113" i="116"/>
  <c r="BN113" i="116"/>
  <c r="BT113" i="116" s="1"/>
  <c r="AQ114" i="22"/>
  <c r="AR113" i="22"/>
  <c r="AP113" i="22" s="1"/>
  <c r="BP111" i="116"/>
  <c r="BQ111" i="116"/>
  <c r="BR111" i="116"/>
  <c r="BP113" i="116" l="1"/>
  <c r="BR113" i="116"/>
  <c r="BQ113" i="116"/>
  <c r="AQ115" i="22"/>
  <c r="AR114" i="22"/>
  <c r="AP114" i="22" s="1"/>
  <c r="BM114" i="116"/>
  <c r="BS116" i="116"/>
  <c r="BH117" i="116"/>
  <c r="BJ116" i="116"/>
  <c r="BL115" i="116"/>
  <c r="BK115" i="116"/>
  <c r="BM115" i="116" l="1"/>
  <c r="BH118" i="116"/>
  <c r="BS117" i="116"/>
  <c r="BJ117" i="116"/>
  <c r="BO114" i="116"/>
  <c r="BN114" i="116"/>
  <c r="BT114" i="116" s="1"/>
  <c r="BL116" i="116"/>
  <c r="BK116" i="116"/>
  <c r="AQ116" i="22"/>
  <c r="AR115" i="22"/>
  <c r="AP115" i="22" s="1"/>
  <c r="BP114" i="116" l="1"/>
  <c r="BR114" i="116"/>
  <c r="BQ114" i="116"/>
  <c r="BJ118" i="116"/>
  <c r="BH119" i="116"/>
  <c r="BS118" i="116"/>
  <c r="AQ117" i="22"/>
  <c r="AR116" i="22"/>
  <c r="AP116" i="22" s="1"/>
  <c r="BM116" i="116"/>
  <c r="BL117" i="116"/>
  <c r="BK117" i="116"/>
  <c r="BO115" i="116"/>
  <c r="BN115" i="116"/>
  <c r="BT115" i="116" s="1"/>
  <c r="BM117" i="116" l="1"/>
  <c r="BO116" i="116"/>
  <c r="BN116" i="116"/>
  <c r="BT116" i="116" s="1"/>
  <c r="BP115" i="116"/>
  <c r="BQ115" i="116"/>
  <c r="BR115" i="116"/>
  <c r="AQ118" i="22"/>
  <c r="AR117" i="22"/>
  <c r="AP117" i="22" s="1"/>
  <c r="BJ119" i="116"/>
  <c r="BH120" i="116"/>
  <c r="BS119" i="116"/>
  <c r="BK118" i="116"/>
  <c r="BL118" i="116"/>
  <c r="BM118" i="116" l="1"/>
  <c r="BS120" i="116"/>
  <c r="BH121" i="116"/>
  <c r="BJ120" i="116"/>
  <c r="BL119" i="116"/>
  <c r="BK119" i="116"/>
  <c r="AQ119" i="22"/>
  <c r="AR118" i="22"/>
  <c r="AP118" i="22" s="1"/>
  <c r="BP116" i="116"/>
  <c r="BR116" i="116"/>
  <c r="BQ116" i="116"/>
  <c r="BO117" i="116"/>
  <c r="BN117" i="116"/>
  <c r="BT117" i="116" s="1"/>
  <c r="BO118" i="116" l="1"/>
  <c r="BN118" i="116"/>
  <c r="BT118" i="116" s="1"/>
  <c r="AQ120" i="22"/>
  <c r="AR119" i="22"/>
  <c r="AP119" i="22" s="1"/>
  <c r="BM119" i="116"/>
  <c r="BL120" i="116"/>
  <c r="BK120" i="116"/>
  <c r="BP117" i="116"/>
  <c r="BR117" i="116"/>
  <c r="BQ117" i="116"/>
  <c r="BH122" i="116"/>
  <c r="BS121" i="116"/>
  <c r="BJ121" i="116"/>
  <c r="BM120" i="116" l="1"/>
  <c r="BO120" i="116"/>
  <c r="BN120" i="116"/>
  <c r="BT120" i="116" s="1"/>
  <c r="BL121" i="116"/>
  <c r="BK121" i="116"/>
  <c r="BJ122" i="116"/>
  <c r="BH123" i="116"/>
  <c r="BS122" i="116"/>
  <c r="BP118" i="116"/>
  <c r="BR118" i="116"/>
  <c r="BQ118" i="116"/>
  <c r="BO119" i="116"/>
  <c r="BN119" i="116"/>
  <c r="BT119" i="116" s="1"/>
  <c r="AQ121" i="22"/>
  <c r="AR120" i="22"/>
  <c r="AP120" i="22" s="1"/>
  <c r="BP119" i="116" l="1"/>
  <c r="BQ119" i="116"/>
  <c r="BR119" i="116"/>
  <c r="BM121" i="116"/>
  <c r="AQ122" i="22"/>
  <c r="AR121" i="22"/>
  <c r="AP121" i="22" s="1"/>
  <c r="BJ123" i="116"/>
  <c r="BH124" i="116"/>
  <c r="BS123" i="116"/>
  <c r="BK122" i="116"/>
  <c r="BL122" i="116"/>
  <c r="BP120" i="116"/>
  <c r="BR120" i="116"/>
  <c r="BQ120" i="116"/>
  <c r="BM122" i="116" l="1"/>
  <c r="BS124" i="116"/>
  <c r="BH125" i="116"/>
  <c r="BJ124" i="116"/>
  <c r="BL123" i="116"/>
  <c r="BK123" i="116"/>
  <c r="AQ123" i="22"/>
  <c r="AR122" i="22"/>
  <c r="AP122" i="22" s="1"/>
  <c r="BO121" i="116"/>
  <c r="BN121" i="116"/>
  <c r="BT121" i="116" s="1"/>
  <c r="BP121" i="116" l="1"/>
  <c r="BQ121" i="116"/>
  <c r="BR121" i="116"/>
  <c r="AQ124" i="22"/>
  <c r="AR123" i="22"/>
  <c r="AP123" i="22" s="1"/>
  <c r="BH126" i="116"/>
  <c r="BS125" i="116"/>
  <c r="BJ125" i="116"/>
  <c r="BM123" i="116"/>
  <c r="BL124" i="116"/>
  <c r="BK124" i="116"/>
  <c r="BO122" i="116"/>
  <c r="BN122" i="116"/>
  <c r="BT122" i="116" s="1"/>
  <c r="BM124" i="116" l="1"/>
  <c r="BL125" i="116"/>
  <c r="BK125" i="116"/>
  <c r="BP122" i="116"/>
  <c r="BQ122" i="116"/>
  <c r="BR122" i="116"/>
  <c r="BO123" i="116"/>
  <c r="BN123" i="116"/>
  <c r="BT123" i="116" s="1"/>
  <c r="BJ126" i="116"/>
  <c r="BH127" i="116"/>
  <c r="BS126" i="116"/>
  <c r="AQ125" i="22"/>
  <c r="AR124" i="22"/>
  <c r="AP124" i="22" s="1"/>
  <c r="BJ127" i="116" l="1"/>
  <c r="BH128" i="116"/>
  <c r="BS127" i="116"/>
  <c r="BK126" i="116"/>
  <c r="BL126" i="116"/>
  <c r="AQ126" i="22"/>
  <c r="AR125" i="22"/>
  <c r="AP125" i="22" s="1"/>
  <c r="BP123" i="116"/>
  <c r="BR123" i="116"/>
  <c r="BQ123" i="116"/>
  <c r="BM125" i="116"/>
  <c r="BO124" i="116"/>
  <c r="BN124" i="116"/>
  <c r="BT124" i="116" s="1"/>
  <c r="BP124" i="116" l="1"/>
  <c r="BR124" i="116"/>
  <c r="BQ124" i="116"/>
  <c r="BO125" i="116"/>
  <c r="BN125" i="116"/>
  <c r="BT125" i="116" s="1"/>
  <c r="AQ127" i="22"/>
  <c r="AR126" i="22"/>
  <c r="AP126" i="22" s="1"/>
  <c r="BM126" i="116"/>
  <c r="BS128" i="116"/>
  <c r="BH129" i="116"/>
  <c r="BJ128" i="116"/>
  <c r="BL127" i="116"/>
  <c r="BK127" i="116"/>
  <c r="BM127" i="116" l="1"/>
  <c r="BH130" i="116"/>
  <c r="BS129" i="116"/>
  <c r="BJ129" i="116"/>
  <c r="BO127" i="116"/>
  <c r="BN127" i="116"/>
  <c r="BT127" i="116" s="1"/>
  <c r="BL128" i="116"/>
  <c r="BK128" i="116"/>
  <c r="BO126" i="116"/>
  <c r="BN126" i="116"/>
  <c r="BT126" i="116" s="1"/>
  <c r="AQ128" i="22"/>
  <c r="AR127" i="22"/>
  <c r="AP127" i="22" s="1"/>
  <c r="BP125" i="116"/>
  <c r="BR125" i="116"/>
  <c r="BQ125" i="116"/>
  <c r="AQ129" i="22" l="1"/>
  <c r="AR128" i="22"/>
  <c r="AP128" i="22" s="1"/>
  <c r="BP126" i="116"/>
  <c r="BQ126" i="116"/>
  <c r="BR126" i="116"/>
  <c r="BM128" i="116"/>
  <c r="BP127" i="116"/>
  <c r="BQ127" i="116"/>
  <c r="BR127" i="116"/>
  <c r="BL129" i="116"/>
  <c r="BK129" i="116"/>
  <c r="BJ130" i="116"/>
  <c r="BH131" i="116"/>
  <c r="BS130" i="116"/>
  <c r="BM129" i="116" l="1"/>
  <c r="BK130" i="116"/>
  <c r="BL130" i="116"/>
  <c r="BO128" i="116"/>
  <c r="BN128" i="116"/>
  <c r="BT128" i="116" s="1"/>
  <c r="BJ131" i="116"/>
  <c r="BH132" i="116"/>
  <c r="BS131" i="116"/>
  <c r="AQ130" i="22"/>
  <c r="AR129" i="22"/>
  <c r="AP129" i="22" s="1"/>
  <c r="BS132" i="116" l="1"/>
  <c r="BH133" i="116"/>
  <c r="BJ132" i="116"/>
  <c r="BP128" i="116"/>
  <c r="BR128" i="116"/>
  <c r="BQ128" i="116"/>
  <c r="BM130" i="116"/>
  <c r="AQ131" i="22"/>
  <c r="AR130" i="22"/>
  <c r="AP130" i="22" s="1"/>
  <c r="BL131" i="116"/>
  <c r="BK131" i="116"/>
  <c r="BO129" i="116"/>
  <c r="BN129" i="116"/>
  <c r="BT129" i="116" s="1"/>
  <c r="BL132" i="116" l="1"/>
  <c r="BK132" i="116"/>
  <c r="BM132" i="116" s="1"/>
  <c r="BP129" i="116"/>
  <c r="BQ129" i="116"/>
  <c r="BR129" i="116"/>
  <c r="BO130" i="116"/>
  <c r="BN130" i="116"/>
  <c r="BT130" i="116" s="1"/>
  <c r="BH134" i="116"/>
  <c r="BS133" i="116"/>
  <c r="BJ133" i="116"/>
  <c r="BM131" i="116"/>
  <c r="AQ132" i="22"/>
  <c r="AR131" i="22"/>
  <c r="AP131" i="22" s="1"/>
  <c r="BL133" i="116" l="1"/>
  <c r="BK133" i="116"/>
  <c r="BO131" i="116"/>
  <c r="BN131" i="116"/>
  <c r="BT131" i="116" s="1"/>
  <c r="BP130" i="116"/>
  <c r="BR130" i="116"/>
  <c r="BQ130" i="116"/>
  <c r="BO132" i="116"/>
  <c r="BN132" i="116"/>
  <c r="BT132" i="116" s="1"/>
  <c r="AQ133" i="22"/>
  <c r="AR132" i="22"/>
  <c r="AP132" i="22" s="1"/>
  <c r="BJ134" i="116"/>
  <c r="BH135" i="116"/>
  <c r="BS134" i="116"/>
  <c r="BP132" i="116" l="1"/>
  <c r="BR132" i="116"/>
  <c r="BQ132" i="116"/>
  <c r="BM133" i="116"/>
  <c r="BJ135" i="116"/>
  <c r="BH136" i="116"/>
  <c r="BS135" i="116"/>
  <c r="BK134" i="116"/>
  <c r="BL134" i="116"/>
  <c r="AQ134" i="22"/>
  <c r="AR133" i="22"/>
  <c r="AP133" i="22" s="1"/>
  <c r="BP131" i="116"/>
  <c r="BQ131" i="116"/>
  <c r="BR131" i="116"/>
  <c r="AQ135" i="22" l="1"/>
  <c r="AR134" i="22"/>
  <c r="AP134" i="22" s="1"/>
  <c r="BM134" i="116"/>
  <c r="BO133" i="116"/>
  <c r="BN133" i="116"/>
  <c r="BT133" i="116" s="1"/>
  <c r="BS136" i="116"/>
  <c r="BH137" i="116"/>
  <c r="BJ136" i="116"/>
  <c r="BL135" i="116"/>
  <c r="BK135" i="116"/>
  <c r="BP133" i="116" l="1"/>
  <c r="BR133" i="116"/>
  <c r="BQ133" i="116"/>
  <c r="BM135" i="116"/>
  <c r="BL136" i="116"/>
  <c r="BK136" i="116"/>
  <c r="BO134" i="116"/>
  <c r="BN134" i="116"/>
  <c r="BT134" i="116" s="1"/>
  <c r="BH138" i="116"/>
  <c r="BS137" i="116"/>
  <c r="BJ137" i="116"/>
  <c r="AQ136" i="22"/>
  <c r="AR135" i="22"/>
  <c r="AP135" i="22" s="1"/>
  <c r="BP134" i="116" l="1"/>
  <c r="BR134" i="116"/>
  <c r="BQ134" i="116"/>
  <c r="BL137" i="116"/>
  <c r="BK137" i="116"/>
  <c r="AQ137" i="22"/>
  <c r="AR136" i="22"/>
  <c r="AP136" i="22" s="1"/>
  <c r="BJ138" i="116"/>
  <c r="BH139" i="116"/>
  <c r="BS138" i="116"/>
  <c r="BM136" i="116"/>
  <c r="BO135" i="116"/>
  <c r="BN135" i="116"/>
  <c r="BT135" i="116" s="1"/>
  <c r="BM137" i="116" l="1"/>
  <c r="BO136" i="116"/>
  <c r="BN136" i="116"/>
  <c r="BT136" i="116" s="1"/>
  <c r="BK138" i="116"/>
  <c r="BL138" i="116"/>
  <c r="AQ138" i="22"/>
  <c r="AR137" i="22"/>
  <c r="AP137" i="22" s="1"/>
  <c r="BO137" i="116"/>
  <c r="BN137" i="116"/>
  <c r="BT137" i="116" s="1"/>
  <c r="BP135" i="116"/>
  <c r="BQ135" i="116"/>
  <c r="BR135" i="116"/>
  <c r="BJ139" i="116"/>
  <c r="BH140" i="116"/>
  <c r="BS139" i="116"/>
  <c r="BS140" i="116" l="1"/>
  <c r="BH141" i="116"/>
  <c r="BJ140" i="116"/>
  <c r="AQ139" i="22"/>
  <c r="AR138" i="22"/>
  <c r="AP138" i="22" s="1"/>
  <c r="BM138" i="116"/>
  <c r="BP136" i="116"/>
  <c r="BR136" i="116"/>
  <c r="BQ136" i="116"/>
  <c r="BL139" i="116"/>
  <c r="BK139" i="116"/>
  <c r="BM139" i="116" s="1"/>
  <c r="BP137" i="116"/>
  <c r="BQ137" i="116"/>
  <c r="BR137" i="116"/>
  <c r="BO139" i="116" l="1"/>
  <c r="BN139" i="116"/>
  <c r="BT139" i="116" s="1"/>
  <c r="BL140" i="116"/>
  <c r="BK140" i="116"/>
  <c r="BO138" i="116"/>
  <c r="BN138" i="116"/>
  <c r="BT138" i="116" s="1"/>
  <c r="AQ140" i="22"/>
  <c r="AR139" i="22"/>
  <c r="AP139" i="22" s="1"/>
  <c r="BH142" i="116"/>
  <c r="BS141" i="116"/>
  <c r="BJ141" i="116"/>
  <c r="BL141" i="116" l="1"/>
  <c r="BK141" i="116"/>
  <c r="BM141" i="116" s="1"/>
  <c r="BJ142" i="116"/>
  <c r="BH143" i="116"/>
  <c r="BS142" i="116"/>
  <c r="AQ141" i="22"/>
  <c r="AR140" i="22"/>
  <c r="AP140" i="22" s="1"/>
  <c r="BP138" i="116"/>
  <c r="BR138" i="116"/>
  <c r="BQ138" i="116"/>
  <c r="BM140" i="116"/>
  <c r="BP139" i="116"/>
  <c r="BR139" i="116"/>
  <c r="BQ139" i="116"/>
  <c r="BK142" i="116" l="1"/>
  <c r="BL142" i="116"/>
  <c r="BO140" i="116"/>
  <c r="BN140" i="116"/>
  <c r="BT140" i="116" s="1"/>
  <c r="AQ142" i="22"/>
  <c r="AR141" i="22"/>
  <c r="AP141" i="22" s="1"/>
  <c r="BJ143" i="116"/>
  <c r="BH144" i="116"/>
  <c r="BS143" i="116"/>
  <c r="BO141" i="116"/>
  <c r="BN141" i="116"/>
  <c r="BT141" i="116" s="1"/>
  <c r="AQ143" i="22" l="1"/>
  <c r="AR142" i="22"/>
  <c r="AP142" i="22" s="1"/>
  <c r="BP141" i="116"/>
  <c r="BQ141" i="116"/>
  <c r="BR141" i="116"/>
  <c r="BS144" i="116"/>
  <c r="BH145" i="116"/>
  <c r="BJ144" i="116"/>
  <c r="BL143" i="116"/>
  <c r="BK143" i="116"/>
  <c r="BP140" i="116"/>
  <c r="BQ140" i="116"/>
  <c r="BR140" i="116"/>
  <c r="BM142" i="116"/>
  <c r="BM143" i="116" l="1"/>
  <c r="BO143" i="116" s="1"/>
  <c r="BN143" i="116"/>
  <c r="BT143" i="116" s="1"/>
  <c r="BL144" i="116"/>
  <c r="BK144" i="116"/>
  <c r="BH146" i="116"/>
  <c r="BS145" i="116"/>
  <c r="BJ145" i="116"/>
  <c r="BO142" i="116"/>
  <c r="BN142" i="116"/>
  <c r="BT142" i="116" s="1"/>
  <c r="AQ144" i="22"/>
  <c r="AR143" i="22"/>
  <c r="AP143" i="22" s="1"/>
  <c r="BP142" i="116" l="1"/>
  <c r="BQ142" i="116"/>
  <c r="BR142" i="116"/>
  <c r="BL145" i="116"/>
  <c r="BK145" i="116"/>
  <c r="BM145" i="116" s="1"/>
  <c r="BJ146" i="116"/>
  <c r="BH147" i="116"/>
  <c r="BS146" i="116"/>
  <c r="BM144" i="116"/>
  <c r="BP143" i="116"/>
  <c r="BR143" i="116"/>
  <c r="BQ143" i="116"/>
  <c r="AQ145" i="22"/>
  <c r="AR144" i="22"/>
  <c r="AP144" i="22" s="1"/>
  <c r="BO145" i="116" l="1"/>
  <c r="BN145" i="116"/>
  <c r="BT145" i="116" s="1"/>
  <c r="AQ146" i="22"/>
  <c r="AR145" i="22"/>
  <c r="AP145" i="22" s="1"/>
  <c r="BO144" i="116"/>
  <c r="BN144" i="116"/>
  <c r="BT144" i="116" s="1"/>
  <c r="BJ147" i="116"/>
  <c r="BH148" i="116"/>
  <c r="BS147" i="116"/>
  <c r="BK146" i="116"/>
  <c r="BL146" i="116"/>
  <c r="BM146" i="116" l="1"/>
  <c r="BS148" i="116"/>
  <c r="BH149" i="116"/>
  <c r="BJ148" i="116"/>
  <c r="BL147" i="116"/>
  <c r="BK147" i="116"/>
  <c r="BP144" i="116"/>
  <c r="BR144" i="116"/>
  <c r="BQ144" i="116"/>
  <c r="BP145" i="116"/>
  <c r="BQ145" i="116"/>
  <c r="BR145" i="116"/>
  <c r="AQ147" i="22"/>
  <c r="AR146" i="22"/>
  <c r="AP146" i="22" s="1"/>
  <c r="BM147" i="116" l="1"/>
  <c r="BO147" i="116"/>
  <c r="BN147" i="116"/>
  <c r="BT147" i="116" s="1"/>
  <c r="BL148" i="116"/>
  <c r="BK148" i="116"/>
  <c r="AQ148" i="22"/>
  <c r="AR147" i="22"/>
  <c r="AP147" i="22" s="1"/>
  <c r="BH150" i="116"/>
  <c r="BS149" i="116"/>
  <c r="BJ149" i="116"/>
  <c r="BO146" i="116"/>
  <c r="BN146" i="116"/>
  <c r="BT146" i="116" s="1"/>
  <c r="BP146" i="116" l="1"/>
  <c r="BR146" i="116"/>
  <c r="BQ146" i="116"/>
  <c r="BL149" i="116"/>
  <c r="BK149" i="116"/>
  <c r="BM149" i="116" s="1"/>
  <c r="BJ150" i="116"/>
  <c r="BH151" i="116"/>
  <c r="BS150" i="116"/>
  <c r="AQ149" i="22"/>
  <c r="AR148" i="22"/>
  <c r="AP148" i="22" s="1"/>
  <c r="BM148" i="116"/>
  <c r="BP147" i="116"/>
  <c r="BQ147" i="116"/>
  <c r="BR147" i="116"/>
  <c r="BK150" i="116" l="1"/>
  <c r="BL150" i="116"/>
  <c r="BO148" i="116"/>
  <c r="BN148" i="116"/>
  <c r="BT148" i="116" s="1"/>
  <c r="AQ150" i="22"/>
  <c r="AR149" i="22"/>
  <c r="AP149" i="22" s="1"/>
  <c r="BJ151" i="116"/>
  <c r="BH152" i="116"/>
  <c r="BS151" i="116"/>
  <c r="BO149" i="116"/>
  <c r="BN149" i="116"/>
  <c r="BT149" i="116" s="1"/>
  <c r="AQ151" i="22" l="1"/>
  <c r="AR150" i="22"/>
  <c r="AP150" i="22" s="1"/>
  <c r="BP149" i="116"/>
  <c r="BR149" i="116"/>
  <c r="BQ149" i="116"/>
  <c r="BS152" i="116"/>
  <c r="BH153" i="116"/>
  <c r="BJ152" i="116"/>
  <c r="BL151" i="116"/>
  <c r="BK151" i="116"/>
  <c r="BP148" i="116"/>
  <c r="BR148" i="116"/>
  <c r="BQ148" i="116"/>
  <c r="BM150" i="116"/>
  <c r="BH154" i="116" l="1"/>
  <c r="BS153" i="116"/>
  <c r="BJ153" i="116"/>
  <c r="BM151" i="116"/>
  <c r="BL152" i="116"/>
  <c r="BK152" i="116"/>
  <c r="BO150" i="116"/>
  <c r="BN150" i="116"/>
  <c r="BT150" i="116" s="1"/>
  <c r="AQ152" i="22"/>
  <c r="AR151" i="22"/>
  <c r="AP151" i="22" s="1"/>
  <c r="AQ153" i="22" l="1"/>
  <c r="AR152" i="22"/>
  <c r="AP152" i="22" s="1"/>
  <c r="BL153" i="116"/>
  <c r="BK153" i="116"/>
  <c r="BP150" i="116"/>
  <c r="BQ150" i="116"/>
  <c r="BR150" i="116"/>
  <c r="BM152" i="116"/>
  <c r="BO151" i="116"/>
  <c r="BN151" i="116"/>
  <c r="BT151" i="116" s="1"/>
  <c r="BJ154" i="116"/>
  <c r="BH155" i="116"/>
  <c r="BS154" i="116"/>
  <c r="BM153" i="116" l="1"/>
  <c r="BK154" i="116"/>
  <c r="BL154" i="116"/>
  <c r="BO152" i="116"/>
  <c r="BN152" i="116"/>
  <c r="BT152" i="116" s="1"/>
  <c r="BJ155" i="116"/>
  <c r="BH156" i="116"/>
  <c r="BS155" i="116"/>
  <c r="BO153" i="116"/>
  <c r="BN153" i="116"/>
  <c r="BT153" i="116" s="1"/>
  <c r="BP151" i="116"/>
  <c r="BR151" i="116"/>
  <c r="BQ151" i="116"/>
  <c r="AQ154" i="22"/>
  <c r="AR153" i="22"/>
  <c r="AP153" i="22" s="1"/>
  <c r="BP153" i="116" l="1"/>
  <c r="BR153" i="116"/>
  <c r="BQ153" i="116"/>
  <c r="BS156" i="116"/>
  <c r="BH157" i="116"/>
  <c r="BJ156" i="116"/>
  <c r="BP152" i="116"/>
  <c r="BQ152" i="116"/>
  <c r="BR152" i="116"/>
  <c r="AQ155" i="22"/>
  <c r="AR154" i="22"/>
  <c r="AP154" i="22" s="1"/>
  <c r="BL155" i="116"/>
  <c r="BK155" i="116"/>
  <c r="BM154" i="116"/>
  <c r="AQ156" i="22" l="1"/>
  <c r="AR155" i="22"/>
  <c r="AP155" i="22" s="1"/>
  <c r="BM155" i="116"/>
  <c r="BH158" i="116"/>
  <c r="BS157" i="116"/>
  <c r="BJ157" i="116"/>
  <c r="BL156" i="116"/>
  <c r="BK156" i="116"/>
  <c r="BO154" i="116"/>
  <c r="BN154" i="116"/>
  <c r="BT154" i="116" s="1"/>
  <c r="BM156" i="116" l="1"/>
  <c r="BP154" i="116"/>
  <c r="BQ154" i="116"/>
  <c r="BR154" i="116"/>
  <c r="BL157" i="116"/>
  <c r="BK157" i="116"/>
  <c r="BJ158" i="116"/>
  <c r="BH159" i="116"/>
  <c r="BS158" i="116"/>
  <c r="BO155" i="116"/>
  <c r="BN155" i="116"/>
  <c r="BT155" i="116" s="1"/>
  <c r="AQ157" i="22"/>
  <c r="AR156" i="22"/>
  <c r="AP156" i="22" s="1"/>
  <c r="BM157" i="116" l="1"/>
  <c r="BP155" i="116"/>
  <c r="BQ155" i="116"/>
  <c r="BR155" i="116"/>
  <c r="BJ159" i="116"/>
  <c r="BH160" i="116"/>
  <c r="BS159" i="116"/>
  <c r="BO157" i="116"/>
  <c r="BN157" i="116"/>
  <c r="BT157" i="116" s="1"/>
  <c r="AQ158" i="22"/>
  <c r="AR157" i="22"/>
  <c r="AP157" i="22" s="1"/>
  <c r="BK158" i="116"/>
  <c r="BL158" i="116"/>
  <c r="BO156" i="116"/>
  <c r="BN156" i="116"/>
  <c r="BT156" i="116" s="1"/>
  <c r="AQ159" i="22" l="1"/>
  <c r="AR158" i="22"/>
  <c r="AP158" i="22" s="1"/>
  <c r="BJ160" i="116"/>
  <c r="BH161" i="116"/>
  <c r="BS160" i="116"/>
  <c r="BP157" i="116"/>
  <c r="BR157" i="116"/>
  <c r="BQ157" i="116"/>
  <c r="BL159" i="116"/>
  <c r="BK159" i="116"/>
  <c r="BM158" i="116"/>
  <c r="BP156" i="116"/>
  <c r="BQ156" i="116"/>
  <c r="BR156" i="116"/>
  <c r="BM159" i="116" l="1"/>
  <c r="BO158" i="116"/>
  <c r="BN158" i="116"/>
  <c r="BT158" i="116" s="1"/>
  <c r="BJ161" i="116"/>
  <c r="BS161" i="116"/>
  <c r="BH162" i="116"/>
  <c r="BL160" i="116"/>
  <c r="BK160" i="116"/>
  <c r="AQ160" i="22"/>
  <c r="AR159" i="22"/>
  <c r="AP159" i="22" s="1"/>
  <c r="AQ161" i="22" l="1"/>
  <c r="AR160" i="22"/>
  <c r="AP160" i="22" s="1"/>
  <c r="BH163" i="116"/>
  <c r="BS162" i="116"/>
  <c r="BJ162" i="116"/>
  <c r="BM160" i="116"/>
  <c r="BL161" i="116"/>
  <c r="BK161" i="116"/>
  <c r="BP158" i="116"/>
  <c r="BQ158" i="116"/>
  <c r="BR158" i="116"/>
  <c r="BO159" i="116"/>
  <c r="BN159" i="116"/>
  <c r="BT159" i="116" s="1"/>
  <c r="BP159" i="116" l="1"/>
  <c r="BR159" i="116"/>
  <c r="BQ159" i="116"/>
  <c r="BM161" i="116"/>
  <c r="BL162" i="116"/>
  <c r="BK162" i="116"/>
  <c r="BO160" i="116"/>
  <c r="BN160" i="116"/>
  <c r="BT160" i="116" s="1"/>
  <c r="BS163" i="116"/>
  <c r="BJ163" i="116"/>
  <c r="BH164" i="116"/>
  <c r="AQ162" i="22"/>
  <c r="AR161" i="22"/>
  <c r="AP161" i="22" s="1"/>
  <c r="BJ164" i="116" l="1"/>
  <c r="BH165" i="116"/>
  <c r="BS164" i="116"/>
  <c r="BL163" i="116"/>
  <c r="BK163" i="116"/>
  <c r="BP160" i="116"/>
  <c r="BQ160" i="116"/>
  <c r="BR160" i="116"/>
  <c r="AQ163" i="22"/>
  <c r="AR162" i="22"/>
  <c r="AP162" i="22" s="1"/>
  <c r="BM162" i="116"/>
  <c r="BO161" i="116"/>
  <c r="BN161" i="116"/>
  <c r="BT161" i="116" s="1"/>
  <c r="BO162" i="116" l="1"/>
  <c r="BN162" i="116"/>
  <c r="BT162" i="116" s="1"/>
  <c r="AQ164" i="22"/>
  <c r="AR163" i="22"/>
  <c r="AP163" i="22" s="1"/>
  <c r="BM163" i="116"/>
  <c r="BP161" i="116"/>
  <c r="BR161" i="116"/>
  <c r="BQ161" i="116"/>
  <c r="BJ165" i="116"/>
  <c r="BS165" i="116"/>
  <c r="BH166" i="116"/>
  <c r="BL164" i="116"/>
  <c r="BK164" i="116"/>
  <c r="BH167" i="116" l="1"/>
  <c r="BS166" i="116"/>
  <c r="BJ166" i="116"/>
  <c r="BM164" i="116"/>
  <c r="BL165" i="116"/>
  <c r="BK165" i="116"/>
  <c r="BN163" i="116"/>
  <c r="BT163" i="116" s="1"/>
  <c r="BO163" i="116"/>
  <c r="AQ165" i="22"/>
  <c r="AR164" i="22"/>
  <c r="AP164" i="22" s="1"/>
  <c r="BP162" i="116"/>
  <c r="BQ162" i="116"/>
  <c r="BR162" i="116"/>
  <c r="BM165" i="116" l="1"/>
  <c r="BP163" i="116"/>
  <c r="BR163" i="116"/>
  <c r="BQ163" i="116"/>
  <c r="AQ166" i="22"/>
  <c r="AR165" i="22"/>
  <c r="AP165" i="22" s="1"/>
  <c r="BO164" i="116"/>
  <c r="BN164" i="116"/>
  <c r="BT164" i="116" s="1"/>
  <c r="BL166" i="116"/>
  <c r="BK166" i="116"/>
  <c r="BH168" i="116"/>
  <c r="BS167" i="116"/>
  <c r="BJ167" i="116"/>
  <c r="BL167" i="116" l="1"/>
  <c r="BK167" i="116"/>
  <c r="BM167" i="116" s="1"/>
  <c r="BJ168" i="116"/>
  <c r="BS168" i="116"/>
  <c r="BM166" i="116"/>
  <c r="BP164" i="116"/>
  <c r="BR164" i="116"/>
  <c r="BQ164" i="116"/>
  <c r="AQ167" i="22"/>
  <c r="AR166" i="22"/>
  <c r="AP166" i="22" s="1"/>
  <c r="BO165" i="116"/>
  <c r="BN165" i="116"/>
  <c r="BT165" i="116" s="1"/>
  <c r="BO166" i="116" l="1"/>
  <c r="BN166" i="116"/>
  <c r="BT166" i="116" s="1"/>
  <c r="BP165" i="116"/>
  <c r="BR165" i="116"/>
  <c r="BQ165" i="116"/>
  <c r="AQ168" i="22"/>
  <c r="AR167" i="22"/>
  <c r="AP167" i="22" s="1"/>
  <c r="BN167" i="116"/>
  <c r="BT167" i="116" s="1"/>
  <c r="BO167" i="116"/>
  <c r="BL168" i="116"/>
  <c r="BK168" i="116"/>
  <c r="AQ169" i="22" l="1"/>
  <c r="AR168" i="22"/>
  <c r="AP168" i="22" s="1"/>
  <c r="BM168" i="116"/>
  <c r="BP167" i="116"/>
  <c r="BR167" i="116"/>
  <c r="BQ167" i="116"/>
  <c r="BP166" i="116"/>
  <c r="BQ166" i="116"/>
  <c r="BR166" i="116"/>
  <c r="BO168" i="116" l="1"/>
  <c r="BN168" i="116"/>
  <c r="BT168" i="116" s="1"/>
  <c r="AQ170" i="22"/>
  <c r="AR169" i="22"/>
  <c r="AP169" i="22" s="1"/>
  <c r="BP168" i="116" l="1"/>
  <c r="BR168" i="116"/>
  <c r="BS7" i="116" s="1"/>
  <c r="BS8" i="116" s="1"/>
  <c r="BQ168" i="116"/>
  <c r="AQ171" i="22"/>
  <c r="AR170" i="22"/>
  <c r="AP170" i="22" s="1"/>
  <c r="AQ172" i="22" l="1"/>
  <c r="AR171" i="22"/>
  <c r="AP171" i="22" s="1"/>
  <c r="AQ173" i="22" l="1"/>
  <c r="AR172" i="22"/>
  <c r="AP172" i="22" s="1"/>
  <c r="AQ174" i="22" l="1"/>
  <c r="AR173" i="22"/>
  <c r="AP173" i="22" s="1"/>
  <c r="AQ175" i="22" l="1"/>
  <c r="AR174" i="22"/>
  <c r="AP174" i="22" s="1"/>
  <c r="AQ176" i="22" l="1"/>
  <c r="AR175" i="22"/>
  <c r="AP175" i="22" s="1"/>
  <c r="AQ177" i="22" l="1"/>
  <c r="AR176" i="22"/>
  <c r="AP176" i="22" s="1"/>
  <c r="AQ178" i="22" l="1"/>
  <c r="AR177" i="22"/>
  <c r="AP177" i="22" s="1"/>
  <c r="AQ179" i="22" l="1"/>
  <c r="AR178" i="22"/>
  <c r="AP178" i="22" s="1"/>
  <c r="AQ180" i="22" l="1"/>
  <c r="AR179" i="22"/>
  <c r="AP179" i="22" s="1"/>
  <c r="AQ181" i="22" l="1"/>
  <c r="AR180" i="22"/>
  <c r="AP180" i="22" s="1"/>
  <c r="AQ182" i="22" l="1"/>
  <c r="AR181" i="22"/>
  <c r="AP181" i="22" s="1"/>
  <c r="AQ183" i="22" l="1"/>
  <c r="AR182" i="22"/>
  <c r="AP182" i="22" s="1"/>
  <c r="AQ184" i="22" l="1"/>
  <c r="AR183" i="22"/>
  <c r="AP183" i="22" s="1"/>
  <c r="AQ185" i="22" l="1"/>
  <c r="AR184" i="22"/>
  <c r="AP184" i="22" s="1"/>
  <c r="AQ186" i="22" l="1"/>
  <c r="AR185" i="22"/>
  <c r="AP185" i="22" s="1"/>
  <c r="AQ187" i="22" l="1"/>
  <c r="AR186" i="22"/>
  <c r="AP186" i="22" s="1"/>
  <c r="AQ188" i="22" l="1"/>
  <c r="AR187" i="22"/>
  <c r="AP187" i="22" s="1"/>
  <c r="AQ189" i="22" l="1"/>
  <c r="AR188" i="22"/>
  <c r="AP188" i="22" s="1"/>
  <c r="AQ190" i="22" l="1"/>
  <c r="AR189" i="22"/>
  <c r="AP189" i="22" s="1"/>
  <c r="AQ191" i="22" l="1"/>
  <c r="AR190" i="22"/>
  <c r="AP190" i="22" s="1"/>
  <c r="AQ192" i="22" l="1"/>
  <c r="AR191" i="22"/>
  <c r="AP191" i="22" s="1"/>
  <c r="AQ193" i="22" l="1"/>
  <c r="AR192" i="22"/>
  <c r="AP192" i="22" s="1"/>
  <c r="AQ194" i="22" l="1"/>
  <c r="AR193" i="22"/>
  <c r="AP193" i="22" s="1"/>
  <c r="AQ195" i="22" l="1"/>
  <c r="AR194" i="22"/>
  <c r="AP194" i="22" s="1"/>
  <c r="AQ196" i="22" l="1"/>
  <c r="AR195" i="22"/>
  <c r="AP195" i="22" s="1"/>
  <c r="AQ197" i="22" l="1"/>
  <c r="AR196" i="22"/>
  <c r="AP196" i="22" s="1"/>
  <c r="AQ198" i="22" l="1"/>
  <c r="AR197" i="22"/>
  <c r="AP197" i="22" s="1"/>
  <c r="AQ199" i="22" l="1"/>
  <c r="AR198" i="22"/>
  <c r="AP198" i="22" s="1"/>
  <c r="AQ200" i="22" l="1"/>
  <c r="AR199" i="22"/>
  <c r="AP199" i="22" s="1"/>
  <c r="AQ201" i="22" l="1"/>
  <c r="AR200" i="22"/>
  <c r="AP200" i="22" s="1"/>
  <c r="AQ202" i="22" l="1"/>
  <c r="AR201" i="22"/>
  <c r="AP201" i="22" s="1"/>
  <c r="AQ203" i="22" l="1"/>
  <c r="AR202" i="22"/>
  <c r="AP202" i="22" s="1"/>
  <c r="AQ204" i="22" l="1"/>
  <c r="AR203" i="22"/>
  <c r="AP203" i="22" s="1"/>
  <c r="AQ205" i="22" l="1"/>
  <c r="AR204" i="22"/>
  <c r="AP204" i="22" s="1"/>
  <c r="AQ206" i="22" l="1"/>
  <c r="AR205" i="22"/>
  <c r="AP205" i="22" s="1"/>
  <c r="AQ207" i="22" l="1"/>
  <c r="AR206" i="22"/>
  <c r="AP206" i="22" s="1"/>
  <c r="AQ208" i="22" l="1"/>
  <c r="AR207" i="22"/>
  <c r="AP207" i="22" s="1"/>
  <c r="AQ209" i="22" l="1"/>
  <c r="AR208" i="22"/>
  <c r="AP208" i="22" s="1"/>
  <c r="AQ210" i="22" l="1"/>
  <c r="AR209" i="22"/>
  <c r="AP209" i="22" s="1"/>
  <c r="AQ211" i="22" l="1"/>
  <c r="AR210" i="22"/>
  <c r="AP210" i="22" s="1"/>
  <c r="AQ212" i="22" l="1"/>
  <c r="AR211" i="22"/>
  <c r="AP211" i="22" s="1"/>
  <c r="AQ213" i="22" l="1"/>
  <c r="AR212" i="22"/>
  <c r="AP212" i="22" s="1"/>
  <c r="AQ214" i="22" l="1"/>
  <c r="AR213" i="22"/>
  <c r="AP213" i="22" s="1"/>
  <c r="AQ215" i="22" l="1"/>
  <c r="AR214" i="22"/>
  <c r="AP214" i="22" s="1"/>
  <c r="AQ216" i="22" l="1"/>
  <c r="AR215" i="22"/>
  <c r="AP215" i="22" s="1"/>
  <c r="AQ217" i="22" l="1"/>
  <c r="AR216" i="22"/>
  <c r="AP216" i="22" s="1"/>
  <c r="AQ218" i="22" l="1"/>
  <c r="AR217" i="22"/>
  <c r="AP217" i="22" s="1"/>
  <c r="AQ219" i="22" l="1"/>
  <c r="AR218" i="22"/>
  <c r="AP218" i="22" s="1"/>
  <c r="AQ220" i="22" l="1"/>
  <c r="AR219" i="22"/>
  <c r="AP219" i="22" s="1"/>
  <c r="AQ221" i="22" l="1"/>
  <c r="AR220" i="22"/>
  <c r="AP220" i="22" s="1"/>
  <c r="AQ222" i="22" l="1"/>
  <c r="AR221" i="22"/>
  <c r="AP221" i="22" s="1"/>
  <c r="AQ223" i="22" l="1"/>
  <c r="AR222" i="22"/>
  <c r="AP222" i="22" s="1"/>
  <c r="AQ224" i="22" l="1"/>
  <c r="AR223" i="22"/>
  <c r="AP223" i="22" s="1"/>
  <c r="AQ225" i="22" l="1"/>
  <c r="AR224" i="22"/>
  <c r="AP224" i="22" s="1"/>
  <c r="AQ226" i="22" l="1"/>
  <c r="AR225" i="22"/>
  <c r="AP225" i="22" s="1"/>
  <c r="AQ227" i="22" l="1"/>
  <c r="AR226" i="22"/>
  <c r="AP226" i="22" s="1"/>
  <c r="AQ228" i="22" l="1"/>
  <c r="AR227" i="22"/>
  <c r="AP227" i="22" s="1"/>
  <c r="AQ229" i="22" l="1"/>
  <c r="AR228" i="22"/>
  <c r="AP228" i="22" s="1"/>
  <c r="AQ230" i="22" l="1"/>
  <c r="AR229" i="22"/>
  <c r="AP229" i="22" s="1"/>
  <c r="AQ231" i="22" l="1"/>
  <c r="AR230" i="22"/>
  <c r="AP230" i="22" s="1"/>
  <c r="AQ232" i="22" l="1"/>
  <c r="AR231" i="22"/>
  <c r="AP231" i="22" s="1"/>
  <c r="AQ233" i="22" l="1"/>
  <c r="AR232" i="22"/>
  <c r="AP232" i="22" s="1"/>
  <c r="AQ234" i="22" l="1"/>
  <c r="AR233" i="22"/>
  <c r="AP233" i="22" s="1"/>
  <c r="AQ235" i="22" l="1"/>
  <c r="AR234" i="22"/>
  <c r="AP234" i="22" s="1"/>
  <c r="AQ236" i="22" l="1"/>
  <c r="AR235" i="22"/>
  <c r="AP235" i="22" s="1"/>
  <c r="AQ237" i="22" l="1"/>
  <c r="AR236" i="22"/>
  <c r="AP236" i="22" s="1"/>
  <c r="AQ238" i="22" l="1"/>
  <c r="AR237" i="22"/>
  <c r="AP237" i="22" s="1"/>
  <c r="AQ239" i="22" l="1"/>
  <c r="AR238" i="22"/>
  <c r="AP238" i="22" s="1"/>
  <c r="AQ240" i="22" l="1"/>
  <c r="AR239" i="22"/>
  <c r="AP239" i="22" s="1"/>
  <c r="AQ241" i="22" l="1"/>
  <c r="AR240" i="22"/>
  <c r="AP240" i="22" s="1"/>
  <c r="AQ242" i="22" l="1"/>
  <c r="AR241" i="22"/>
  <c r="AP241" i="22" s="1"/>
  <c r="AQ243" i="22" l="1"/>
  <c r="AR242" i="22"/>
  <c r="AP242" i="22" s="1"/>
  <c r="AQ244" i="22" l="1"/>
  <c r="AR243" i="22"/>
  <c r="AP243" i="22" s="1"/>
  <c r="AQ245" i="22" l="1"/>
  <c r="AR244" i="22"/>
  <c r="AP244" i="22" s="1"/>
  <c r="AQ246" i="22" l="1"/>
  <c r="AR245" i="22"/>
  <c r="AP245" i="22" s="1"/>
  <c r="AQ247" i="22" l="1"/>
  <c r="AR246" i="22"/>
  <c r="AP246" i="22" s="1"/>
  <c r="AQ248" i="22" l="1"/>
  <c r="AR247" i="22"/>
  <c r="AP247" i="22" s="1"/>
  <c r="AQ249" i="22" l="1"/>
  <c r="AR248" i="22"/>
  <c r="AP248" i="22" s="1"/>
  <c r="AQ250" i="22" l="1"/>
  <c r="AR249" i="22"/>
  <c r="AP249" i="22" s="1"/>
  <c r="AQ251" i="22" l="1"/>
  <c r="AR250" i="22"/>
  <c r="AP250" i="22" s="1"/>
  <c r="AQ252" i="22" l="1"/>
  <c r="AR251" i="22"/>
  <c r="AP251" i="22" s="1"/>
  <c r="AQ253" i="22" l="1"/>
  <c r="AR252" i="22"/>
  <c r="AP252" i="22" s="1"/>
  <c r="AQ254" i="22" l="1"/>
  <c r="AR253" i="22"/>
  <c r="AP253" i="22" s="1"/>
  <c r="AQ255" i="22" l="1"/>
  <c r="AR254" i="22"/>
  <c r="AP254" i="22" s="1"/>
  <c r="AQ256" i="22" l="1"/>
  <c r="AR255" i="22"/>
  <c r="AP255" i="22" s="1"/>
  <c r="AQ257" i="22" l="1"/>
  <c r="AR256" i="22"/>
  <c r="AP256" i="22" s="1"/>
  <c r="AQ258" i="22" l="1"/>
  <c r="AR257" i="22"/>
  <c r="AP257" i="22" s="1"/>
  <c r="AQ259" i="22" l="1"/>
  <c r="AR258" i="22"/>
  <c r="AP258" i="22" s="1"/>
  <c r="AQ260" i="22" l="1"/>
  <c r="AR259" i="22"/>
  <c r="AP259" i="22" s="1"/>
  <c r="AQ261" i="22" l="1"/>
  <c r="AR260" i="22"/>
  <c r="AP260" i="22" s="1"/>
  <c r="AQ262" i="22" l="1"/>
  <c r="AR261" i="22"/>
  <c r="AP261" i="22" s="1"/>
  <c r="AQ263" i="22" l="1"/>
  <c r="AR262" i="22"/>
  <c r="AP262" i="22" s="1"/>
  <c r="AQ264" i="22" l="1"/>
  <c r="AR263" i="22"/>
  <c r="AP263" i="22" s="1"/>
  <c r="AQ265" i="22" l="1"/>
  <c r="AR264" i="22"/>
  <c r="AP264" i="22" s="1"/>
  <c r="AQ266" i="22" l="1"/>
  <c r="AR265" i="22"/>
  <c r="AP265" i="22" s="1"/>
  <c r="AQ267" i="22" l="1"/>
  <c r="AR266" i="22"/>
  <c r="AP266" i="22" s="1"/>
  <c r="AQ268" i="22" l="1"/>
  <c r="AR267" i="22"/>
  <c r="AP267" i="22" s="1"/>
  <c r="AQ269" i="22" l="1"/>
  <c r="AR268" i="22"/>
  <c r="AP268" i="22" s="1"/>
  <c r="AQ270" i="22" l="1"/>
  <c r="AR269" i="22"/>
  <c r="AP269" i="22" s="1"/>
  <c r="AQ271" i="22" l="1"/>
  <c r="AR270" i="22"/>
  <c r="AP270" i="22" s="1"/>
  <c r="AQ272" i="22" l="1"/>
  <c r="AR271" i="22"/>
  <c r="AP271" i="22" s="1"/>
  <c r="AQ273" i="22" l="1"/>
  <c r="AR272" i="22"/>
  <c r="AP272" i="22" s="1"/>
  <c r="AQ274" i="22" l="1"/>
  <c r="AR273" i="22"/>
  <c r="AP273" i="22" s="1"/>
  <c r="AQ275" i="22" l="1"/>
  <c r="AR274" i="22"/>
  <c r="AP274" i="22" s="1"/>
  <c r="AQ276" i="22" l="1"/>
  <c r="AR275" i="22"/>
  <c r="AP275" i="22" s="1"/>
  <c r="AQ277" i="22" l="1"/>
  <c r="AR276" i="22"/>
  <c r="AP276" i="22" s="1"/>
  <c r="AQ278" i="22" l="1"/>
  <c r="AR277" i="22"/>
  <c r="AP277" i="22" s="1"/>
  <c r="AQ279" i="22" l="1"/>
  <c r="AR278" i="22"/>
  <c r="AP278" i="22" s="1"/>
  <c r="AQ280" i="22" l="1"/>
  <c r="AR279" i="22"/>
  <c r="AP279" i="22" s="1"/>
  <c r="AQ281" i="22" l="1"/>
  <c r="AR280" i="22"/>
  <c r="AP280" i="22" s="1"/>
  <c r="AQ282" i="22" l="1"/>
  <c r="AR281" i="22"/>
  <c r="AP281" i="22" s="1"/>
  <c r="AQ283" i="22" l="1"/>
  <c r="AR282" i="22"/>
  <c r="AP282" i="22" s="1"/>
  <c r="AQ284" i="22" l="1"/>
  <c r="AR283" i="22"/>
  <c r="AP283" i="22" s="1"/>
  <c r="AQ285" i="22" l="1"/>
  <c r="AR284" i="22"/>
  <c r="AP284" i="22" s="1"/>
  <c r="AQ286" i="22" l="1"/>
  <c r="AR285" i="22"/>
  <c r="AP285" i="22" s="1"/>
  <c r="AQ287" i="22" l="1"/>
  <c r="AR286" i="22"/>
  <c r="AP286" i="22" s="1"/>
  <c r="AQ288" i="22" l="1"/>
  <c r="AR287" i="22"/>
  <c r="AP287" i="22" s="1"/>
  <c r="AQ289" i="22" l="1"/>
  <c r="AR288" i="22"/>
  <c r="AP288" i="22" s="1"/>
  <c r="AQ290" i="22" l="1"/>
  <c r="AR289" i="22"/>
  <c r="AP289" i="22" s="1"/>
  <c r="AQ291" i="22" l="1"/>
  <c r="AR290" i="22"/>
  <c r="AP290" i="22" s="1"/>
  <c r="AQ292" i="22" l="1"/>
  <c r="AR291" i="22"/>
  <c r="AP291" i="22" s="1"/>
  <c r="AQ293" i="22" l="1"/>
  <c r="AR292" i="22"/>
  <c r="AP292" i="22" s="1"/>
  <c r="AQ294" i="22" l="1"/>
  <c r="AR293" i="22"/>
  <c r="AP293" i="22" s="1"/>
  <c r="AQ295" i="22" l="1"/>
  <c r="AR294" i="22"/>
  <c r="AP294" i="22" s="1"/>
  <c r="AQ296" i="22" l="1"/>
  <c r="AR295" i="22"/>
  <c r="AP295" i="22" s="1"/>
  <c r="AQ297" i="22" l="1"/>
  <c r="AR296" i="22"/>
  <c r="AP296" i="22" s="1"/>
  <c r="AQ298" i="22" l="1"/>
  <c r="AR297" i="22"/>
  <c r="AP297" i="22" s="1"/>
  <c r="AQ299" i="22" l="1"/>
  <c r="AR298" i="22"/>
  <c r="AP298" i="22" s="1"/>
  <c r="AQ300" i="22" l="1"/>
  <c r="AR299" i="22"/>
  <c r="AP299" i="22" s="1"/>
  <c r="AQ301" i="22" l="1"/>
  <c r="AR300" i="22"/>
  <c r="AP300" i="22" s="1"/>
  <c r="AQ302" i="22" l="1"/>
  <c r="AR301" i="22"/>
  <c r="AP301" i="22" s="1"/>
  <c r="AQ303" i="22" l="1"/>
  <c r="AR302" i="22"/>
  <c r="AP302" i="22" s="1"/>
  <c r="AQ304" i="22" l="1"/>
  <c r="AR303" i="22"/>
  <c r="AP303" i="22" s="1"/>
  <c r="AQ305" i="22" l="1"/>
  <c r="AR304" i="22"/>
  <c r="AP304" i="22" s="1"/>
  <c r="AQ306" i="22" l="1"/>
  <c r="AR305" i="22"/>
  <c r="AP305" i="22" s="1"/>
  <c r="AQ307" i="22" l="1"/>
  <c r="AR306" i="22"/>
  <c r="AP306" i="22" s="1"/>
  <c r="AQ308" i="22" l="1"/>
  <c r="AR307" i="22"/>
  <c r="AP307" i="22" s="1"/>
  <c r="AQ309" i="22" l="1"/>
  <c r="AR308" i="22"/>
  <c r="AP308" i="22" s="1"/>
  <c r="AQ310" i="22" l="1"/>
  <c r="AR309" i="22"/>
  <c r="AP309" i="22" s="1"/>
  <c r="AQ311" i="22" l="1"/>
  <c r="AR310" i="22"/>
  <c r="AP310" i="22" s="1"/>
  <c r="AQ312" i="22" l="1"/>
  <c r="AR311" i="22"/>
  <c r="AP311" i="22" s="1"/>
  <c r="AQ313" i="22" l="1"/>
  <c r="AR312" i="22"/>
  <c r="AP312" i="22" s="1"/>
  <c r="AQ314" i="22" l="1"/>
  <c r="AR313" i="22"/>
  <c r="AP313" i="22" s="1"/>
  <c r="AQ315" i="22" l="1"/>
  <c r="AR314" i="22"/>
  <c r="AP314" i="22" s="1"/>
  <c r="AQ316" i="22" l="1"/>
  <c r="AR315" i="22"/>
  <c r="AP315" i="22" s="1"/>
  <c r="AQ317" i="22" l="1"/>
  <c r="AR316" i="22"/>
  <c r="AP316" i="22" s="1"/>
  <c r="AQ318" i="22" l="1"/>
  <c r="AR317" i="22"/>
  <c r="AP317" i="22" s="1"/>
  <c r="AQ319" i="22" l="1"/>
  <c r="AR318" i="22"/>
  <c r="AP318" i="22" s="1"/>
  <c r="AQ320" i="22" l="1"/>
  <c r="AR319" i="22"/>
  <c r="AP319" i="22" s="1"/>
  <c r="AQ321" i="22" l="1"/>
  <c r="AR320" i="22"/>
  <c r="AP320" i="22" s="1"/>
  <c r="AQ322" i="22" l="1"/>
  <c r="AR321" i="22"/>
  <c r="AP321" i="22" s="1"/>
  <c r="AQ323" i="22" l="1"/>
  <c r="AR322" i="22"/>
  <c r="AP322" i="22" s="1"/>
  <c r="AQ324" i="22" l="1"/>
  <c r="AR323" i="22"/>
  <c r="AP323" i="22" s="1"/>
  <c r="AQ325" i="22" l="1"/>
  <c r="AR324" i="22"/>
  <c r="AP324" i="22" s="1"/>
  <c r="AQ326" i="22" l="1"/>
  <c r="AR325" i="22"/>
  <c r="AP325" i="22" s="1"/>
  <c r="AQ327" i="22" l="1"/>
  <c r="AR326" i="22"/>
  <c r="AP326" i="22" s="1"/>
  <c r="AQ328" i="22" l="1"/>
  <c r="AR327" i="22"/>
  <c r="AP327" i="22" s="1"/>
  <c r="AQ329" i="22" l="1"/>
  <c r="AR328" i="22"/>
  <c r="AP328" i="22" s="1"/>
  <c r="AQ330" i="22" l="1"/>
  <c r="AR329" i="22"/>
  <c r="AP329" i="22" s="1"/>
  <c r="AQ331" i="22" l="1"/>
  <c r="AR330" i="22"/>
  <c r="AP330" i="22" s="1"/>
  <c r="AQ332" i="22" l="1"/>
  <c r="AR331" i="22"/>
  <c r="AP331" i="22" s="1"/>
  <c r="AQ333" i="22" l="1"/>
  <c r="AR332" i="22"/>
  <c r="AP332" i="22" s="1"/>
  <c r="AQ334" i="22" l="1"/>
  <c r="AR333" i="22"/>
  <c r="AP333" i="22" s="1"/>
  <c r="AQ335" i="22" l="1"/>
  <c r="AR334" i="22"/>
  <c r="AP334" i="22" s="1"/>
  <c r="AQ336" i="22" l="1"/>
  <c r="AR335" i="22"/>
  <c r="AP335" i="22" s="1"/>
  <c r="AQ337" i="22" l="1"/>
  <c r="AR336" i="22"/>
  <c r="AP336" i="22" s="1"/>
  <c r="AQ338" i="22" l="1"/>
  <c r="AR337" i="22"/>
  <c r="AP337" i="22" s="1"/>
  <c r="AQ339" i="22" l="1"/>
  <c r="AR338" i="22"/>
  <c r="AP338" i="22" s="1"/>
  <c r="AQ340" i="22" l="1"/>
  <c r="AR339" i="22"/>
  <c r="AP339" i="22" s="1"/>
  <c r="AQ341" i="22" l="1"/>
  <c r="AR340" i="22"/>
  <c r="AP340" i="22" s="1"/>
  <c r="AQ342" i="22" l="1"/>
  <c r="AR341" i="22"/>
  <c r="AP341" i="22" s="1"/>
  <c r="AQ343" i="22" l="1"/>
  <c r="AR342" i="22"/>
  <c r="AP342" i="22" s="1"/>
  <c r="AQ344" i="22" l="1"/>
  <c r="AR343" i="22"/>
  <c r="AP343" i="22" s="1"/>
  <c r="AQ345" i="22" l="1"/>
  <c r="AR344" i="22"/>
  <c r="AP344" i="22" s="1"/>
  <c r="AQ346" i="22" l="1"/>
  <c r="AR345" i="22"/>
  <c r="AP345" i="22" s="1"/>
  <c r="AQ347" i="22" l="1"/>
  <c r="AR346" i="22"/>
  <c r="AP346" i="22" s="1"/>
  <c r="AQ348" i="22" l="1"/>
  <c r="AR347" i="22"/>
  <c r="AP347" i="22" s="1"/>
  <c r="AQ349" i="22" l="1"/>
  <c r="AR348" i="22"/>
  <c r="AP348" i="22" s="1"/>
  <c r="AQ350" i="22" l="1"/>
  <c r="AR349" i="22"/>
  <c r="AP349" i="22" s="1"/>
  <c r="AQ351" i="22" l="1"/>
  <c r="AR350" i="22"/>
  <c r="AP350" i="22" s="1"/>
  <c r="AQ352" i="22" l="1"/>
  <c r="AR351" i="22"/>
  <c r="AP351" i="22" s="1"/>
  <c r="AQ353" i="22" l="1"/>
  <c r="AR352" i="22"/>
  <c r="AP352" i="22" s="1"/>
  <c r="AQ354" i="22" l="1"/>
  <c r="AR353" i="22"/>
  <c r="AP353" i="22" s="1"/>
  <c r="AQ355" i="22" l="1"/>
  <c r="AR354" i="22"/>
  <c r="AP354" i="22" s="1"/>
  <c r="AQ356" i="22" l="1"/>
  <c r="AR355" i="22"/>
  <c r="AP355" i="22" s="1"/>
  <c r="AQ357" i="22" l="1"/>
  <c r="AR356" i="22"/>
  <c r="AP356" i="22" s="1"/>
  <c r="AQ358" i="22" l="1"/>
  <c r="AR357" i="22"/>
  <c r="AP357" i="22" s="1"/>
  <c r="AQ359" i="22" l="1"/>
  <c r="AR358" i="22"/>
  <c r="AP358" i="22" s="1"/>
  <c r="AQ360" i="22" l="1"/>
  <c r="AR359" i="22"/>
  <c r="AP359" i="22" s="1"/>
  <c r="AQ361" i="22" l="1"/>
  <c r="AR360" i="22"/>
  <c r="AP360" i="22" s="1"/>
  <c r="AQ362" i="22" l="1"/>
  <c r="AR361" i="22"/>
  <c r="AP361" i="22" s="1"/>
  <c r="AQ363" i="22" l="1"/>
  <c r="AR362" i="22"/>
  <c r="AP362" i="22" s="1"/>
  <c r="AQ364" i="22" l="1"/>
  <c r="AR363" i="22"/>
  <c r="AP363" i="22" s="1"/>
  <c r="AQ365" i="22" l="1"/>
  <c r="AR364" i="22"/>
  <c r="AP364" i="22" s="1"/>
  <c r="AQ366" i="22" l="1"/>
  <c r="AR365" i="22"/>
  <c r="AP365" i="22" s="1"/>
  <c r="AQ367" i="22" l="1"/>
  <c r="AR366" i="22"/>
  <c r="AP366" i="22" s="1"/>
  <c r="AQ368" i="22" l="1"/>
  <c r="AR367" i="22"/>
  <c r="AP367" i="22" s="1"/>
  <c r="AQ369" i="22" l="1"/>
  <c r="AR368" i="22"/>
  <c r="AP368" i="22" s="1"/>
  <c r="AQ370" i="22" l="1"/>
  <c r="AR369" i="22"/>
  <c r="AP369" i="22" s="1"/>
  <c r="AQ371" i="22" l="1"/>
  <c r="AR370" i="22"/>
  <c r="AP370" i="22" s="1"/>
  <c r="AQ372" i="22" l="1"/>
  <c r="AR371" i="22"/>
  <c r="AP371" i="22" s="1"/>
  <c r="AQ373" i="22" l="1"/>
  <c r="AR372" i="22"/>
  <c r="AP372" i="22" s="1"/>
  <c r="AQ374" i="22" l="1"/>
  <c r="AR373" i="22"/>
  <c r="AP373" i="22" s="1"/>
  <c r="AQ375" i="22" l="1"/>
  <c r="AR374" i="22"/>
  <c r="AP374" i="22" s="1"/>
  <c r="AQ376" i="22" l="1"/>
  <c r="AR375" i="22"/>
  <c r="AP375" i="22" s="1"/>
  <c r="AQ377" i="22" l="1"/>
  <c r="AR376" i="22"/>
  <c r="AP376" i="22" s="1"/>
  <c r="AQ378" i="22" l="1"/>
  <c r="AR377" i="22"/>
  <c r="AP377" i="22" s="1"/>
  <c r="AQ379" i="22" l="1"/>
  <c r="AR378" i="22"/>
  <c r="AP378" i="22" s="1"/>
  <c r="AQ380" i="22" l="1"/>
  <c r="AR379" i="22"/>
  <c r="AP379" i="22" s="1"/>
  <c r="AQ381" i="22" l="1"/>
  <c r="AR380" i="22"/>
  <c r="AP380" i="22" s="1"/>
  <c r="AQ382" i="22" l="1"/>
  <c r="AR381" i="22"/>
  <c r="AP381" i="22" s="1"/>
  <c r="AQ383" i="22" l="1"/>
  <c r="AR382" i="22"/>
  <c r="AP382" i="22" s="1"/>
  <c r="AQ384" i="22" l="1"/>
  <c r="AR383" i="22"/>
  <c r="AP383" i="22" s="1"/>
  <c r="AQ385" i="22" l="1"/>
  <c r="AR384" i="22"/>
  <c r="AP384" i="22" s="1"/>
  <c r="AQ386" i="22" l="1"/>
  <c r="AR385" i="22"/>
  <c r="AP385" i="22" s="1"/>
  <c r="AQ387" i="22" l="1"/>
  <c r="AR386" i="22"/>
  <c r="AP386" i="22" s="1"/>
  <c r="AQ388" i="22" l="1"/>
  <c r="AR387" i="22"/>
  <c r="AP387" i="22" s="1"/>
  <c r="AQ389" i="22" l="1"/>
  <c r="AR388" i="22"/>
  <c r="AP388" i="22" s="1"/>
  <c r="AQ390" i="22" l="1"/>
  <c r="AR389" i="22"/>
  <c r="AP389" i="22" s="1"/>
  <c r="AQ391" i="22" l="1"/>
  <c r="AR390" i="22"/>
  <c r="AP390" i="22" s="1"/>
  <c r="AQ392" i="22" l="1"/>
  <c r="AR391" i="22"/>
  <c r="AP391" i="22" s="1"/>
  <c r="AQ393" i="22" l="1"/>
  <c r="AR392" i="22"/>
  <c r="AP392" i="22" s="1"/>
  <c r="AQ394" i="22" l="1"/>
  <c r="AR393" i="22"/>
  <c r="AP393" i="22" s="1"/>
  <c r="AQ395" i="22" l="1"/>
  <c r="AR394" i="22"/>
  <c r="AP394" i="22" s="1"/>
  <c r="AQ396" i="22" l="1"/>
  <c r="AR395" i="22"/>
  <c r="AP395" i="22" s="1"/>
  <c r="AQ397" i="22" l="1"/>
  <c r="AR396" i="22"/>
  <c r="AP396" i="22" s="1"/>
  <c r="AQ398" i="22" l="1"/>
  <c r="AR397" i="22"/>
  <c r="AP397" i="22" s="1"/>
  <c r="AQ399" i="22" l="1"/>
  <c r="AR398" i="22"/>
  <c r="AP398" i="22" s="1"/>
  <c r="AQ400" i="22" l="1"/>
  <c r="AR399" i="22"/>
  <c r="AP399" i="22" s="1"/>
  <c r="AQ401" i="22" l="1"/>
  <c r="AR400" i="22"/>
  <c r="AP400" i="22" s="1"/>
  <c r="AQ402" i="22" l="1"/>
  <c r="AR401" i="22"/>
  <c r="AP401" i="22" s="1"/>
  <c r="AQ403" i="22" l="1"/>
  <c r="AR402" i="22"/>
  <c r="AP402" i="22" s="1"/>
  <c r="AQ404" i="22" l="1"/>
  <c r="AR403" i="22"/>
  <c r="AP403" i="22" s="1"/>
  <c r="AQ405" i="22" l="1"/>
  <c r="AR404" i="22"/>
  <c r="AP404" i="22" s="1"/>
  <c r="AQ406" i="22" l="1"/>
  <c r="AR405" i="22"/>
  <c r="AP405" i="22" s="1"/>
  <c r="AQ407" i="22" l="1"/>
  <c r="AR406" i="22"/>
  <c r="AP406" i="22" s="1"/>
  <c r="AQ408" i="22" l="1"/>
  <c r="AR407" i="22"/>
  <c r="AP407" i="22" s="1"/>
  <c r="AQ409" i="22" l="1"/>
  <c r="AR408" i="22"/>
  <c r="AP408" i="22" s="1"/>
  <c r="AQ410" i="22" l="1"/>
  <c r="AR409" i="22"/>
  <c r="AP409" i="22" s="1"/>
  <c r="AQ411" i="22" l="1"/>
  <c r="AR410" i="22"/>
  <c r="AP410" i="22" s="1"/>
  <c r="AQ412" i="22" l="1"/>
  <c r="AR411" i="22"/>
  <c r="AP411" i="22" s="1"/>
  <c r="AQ413" i="22" l="1"/>
  <c r="AR412" i="22"/>
  <c r="AP412" i="22" s="1"/>
  <c r="AQ414" i="22" l="1"/>
  <c r="AR413" i="22"/>
  <c r="AP413" i="22" s="1"/>
  <c r="AQ415" i="22" l="1"/>
  <c r="AR414" i="22"/>
  <c r="AP414" i="22" s="1"/>
  <c r="AQ416" i="22" l="1"/>
  <c r="AR415" i="22"/>
  <c r="AP415" i="22" s="1"/>
  <c r="AQ417" i="22" l="1"/>
  <c r="AR416" i="22"/>
  <c r="AP416" i="22" s="1"/>
  <c r="AQ418" i="22" l="1"/>
  <c r="AR417" i="22"/>
  <c r="AP417" i="22" s="1"/>
  <c r="AQ419" i="22" l="1"/>
  <c r="AR418" i="22"/>
  <c r="AP418" i="22" s="1"/>
  <c r="AQ420" i="22" l="1"/>
  <c r="AR419" i="22"/>
  <c r="AP419" i="22" s="1"/>
  <c r="AQ421" i="22" l="1"/>
  <c r="AR420" i="22"/>
  <c r="AP420" i="22" s="1"/>
  <c r="AQ422" i="22" l="1"/>
  <c r="AR421" i="22"/>
  <c r="AP421" i="22" s="1"/>
  <c r="AQ423" i="22" l="1"/>
  <c r="AR422" i="22"/>
  <c r="AP422" i="22" s="1"/>
  <c r="AQ424" i="22" l="1"/>
  <c r="AR423" i="22"/>
  <c r="AP423" i="22" s="1"/>
  <c r="AQ425" i="22" l="1"/>
  <c r="AR424" i="22"/>
  <c r="AP424" i="22" s="1"/>
  <c r="AQ426" i="22" l="1"/>
  <c r="AR425" i="22"/>
  <c r="AP425" i="22" s="1"/>
  <c r="AQ427" i="22" l="1"/>
  <c r="AR426" i="22"/>
  <c r="AP426" i="22" s="1"/>
  <c r="AQ428" i="22" l="1"/>
  <c r="AR427" i="22"/>
  <c r="AP427" i="22" s="1"/>
  <c r="AQ429" i="22" l="1"/>
  <c r="AR428" i="22"/>
  <c r="AP428" i="22" s="1"/>
  <c r="AQ430" i="22" l="1"/>
  <c r="AR429" i="22"/>
  <c r="AP429" i="22" s="1"/>
  <c r="AQ431" i="22" l="1"/>
  <c r="AR430" i="22"/>
  <c r="AP430" i="22" s="1"/>
  <c r="AQ432" i="22" l="1"/>
  <c r="AR431" i="22"/>
  <c r="AP431" i="22" s="1"/>
  <c r="AQ433" i="22" l="1"/>
  <c r="AR432" i="22"/>
  <c r="AP432" i="22" s="1"/>
  <c r="AQ434" i="22" l="1"/>
  <c r="AR433" i="22"/>
  <c r="AP433" i="22" s="1"/>
  <c r="AQ435" i="22" l="1"/>
  <c r="AR434" i="22"/>
  <c r="AP434" i="22" s="1"/>
  <c r="AQ436" i="22" l="1"/>
  <c r="AR435" i="22"/>
  <c r="AP435" i="22" s="1"/>
  <c r="AQ437" i="22" l="1"/>
  <c r="AR436" i="22"/>
  <c r="AP436" i="22" s="1"/>
  <c r="AQ438" i="22" l="1"/>
  <c r="AR437" i="22"/>
  <c r="AP437" i="22" s="1"/>
  <c r="AQ439" i="22" l="1"/>
  <c r="AR438" i="22"/>
  <c r="AP438" i="22" s="1"/>
  <c r="AQ440" i="22" l="1"/>
  <c r="AR439" i="22"/>
  <c r="AP439" i="22" s="1"/>
  <c r="AQ441" i="22" l="1"/>
  <c r="AR440" i="22"/>
  <c r="AP440" i="22" s="1"/>
  <c r="AQ442" i="22" l="1"/>
  <c r="AR441" i="22"/>
  <c r="AP441" i="22" s="1"/>
  <c r="AQ443" i="22" l="1"/>
  <c r="AR442" i="22"/>
  <c r="AP442" i="22" s="1"/>
  <c r="AQ444" i="22" l="1"/>
  <c r="AR443" i="22"/>
  <c r="AP443" i="22" s="1"/>
  <c r="AQ445" i="22" l="1"/>
  <c r="AR444" i="22"/>
  <c r="AP444" i="22" s="1"/>
  <c r="AQ446" i="22" l="1"/>
  <c r="AR445" i="22"/>
  <c r="AP445" i="22" s="1"/>
  <c r="AQ447" i="22" l="1"/>
  <c r="AR446" i="22"/>
  <c r="AP446" i="22" s="1"/>
  <c r="AQ448" i="22" l="1"/>
  <c r="AR447" i="22"/>
  <c r="AP447" i="22" s="1"/>
  <c r="AQ449" i="22" l="1"/>
  <c r="AR448" i="22"/>
  <c r="AP448" i="22" s="1"/>
  <c r="AQ450" i="22" l="1"/>
  <c r="AR449" i="22"/>
  <c r="AP449" i="22" s="1"/>
  <c r="AQ451" i="22" l="1"/>
  <c r="AR450" i="22"/>
  <c r="AP450" i="22" s="1"/>
  <c r="AQ452" i="22" l="1"/>
  <c r="AR451" i="22"/>
  <c r="AP451" i="22" s="1"/>
  <c r="AQ453" i="22" l="1"/>
  <c r="AR452" i="22"/>
  <c r="AP452" i="22" s="1"/>
  <c r="AQ454" i="22" l="1"/>
  <c r="AR453" i="22"/>
  <c r="AP453" i="22" s="1"/>
  <c r="AQ455" i="22" l="1"/>
  <c r="AR454" i="22"/>
  <c r="AP454" i="22" s="1"/>
  <c r="AQ456" i="22" l="1"/>
  <c r="AR455" i="22"/>
  <c r="AP455" i="22" s="1"/>
  <c r="AQ457" i="22" l="1"/>
  <c r="AR456" i="22"/>
  <c r="AP456" i="22" s="1"/>
  <c r="AQ458" i="22" l="1"/>
  <c r="AR457" i="22"/>
  <c r="AP457" i="22" s="1"/>
  <c r="AQ459" i="22" l="1"/>
  <c r="AR458" i="22"/>
  <c r="AP458" i="22" s="1"/>
  <c r="AQ460" i="22" l="1"/>
  <c r="AR459" i="22"/>
  <c r="AP459" i="22" s="1"/>
  <c r="AQ461" i="22" l="1"/>
  <c r="AR460" i="22"/>
  <c r="AP460" i="22" s="1"/>
  <c r="AQ462" i="22" l="1"/>
  <c r="AR461" i="22"/>
  <c r="AP461" i="22" s="1"/>
  <c r="AQ463" i="22" l="1"/>
  <c r="AR462" i="22"/>
  <c r="AP462" i="22" s="1"/>
  <c r="AQ464" i="22" l="1"/>
  <c r="AR463" i="22"/>
  <c r="AP463" i="22" s="1"/>
  <c r="AQ465" i="22" l="1"/>
  <c r="AR464" i="22"/>
  <c r="AP464" i="22" s="1"/>
  <c r="AQ466" i="22" l="1"/>
  <c r="AR465" i="22"/>
  <c r="AP465" i="22" s="1"/>
  <c r="AQ467" i="22" l="1"/>
  <c r="AR466" i="22"/>
  <c r="AP466" i="22" s="1"/>
  <c r="AQ468" i="22" l="1"/>
  <c r="AR467" i="22"/>
  <c r="AP467" i="22" s="1"/>
  <c r="AQ469" i="22" l="1"/>
  <c r="AR468" i="22"/>
  <c r="AP468" i="22" s="1"/>
  <c r="AQ470" i="22" l="1"/>
  <c r="AR469" i="22"/>
  <c r="AP469" i="22" s="1"/>
  <c r="AQ471" i="22" l="1"/>
  <c r="AR470" i="22"/>
  <c r="AP470" i="22" s="1"/>
  <c r="AQ472" i="22" l="1"/>
  <c r="AR471" i="22"/>
  <c r="AP471" i="22" s="1"/>
  <c r="AQ473" i="22" l="1"/>
  <c r="AR472" i="22"/>
  <c r="AP472" i="22" s="1"/>
  <c r="AQ474" i="22" l="1"/>
  <c r="AR473" i="22"/>
  <c r="AP473" i="22" s="1"/>
  <c r="AQ475" i="22" l="1"/>
  <c r="AR474" i="22"/>
  <c r="AP474" i="22" s="1"/>
  <c r="AQ476" i="22" l="1"/>
  <c r="AR475" i="22"/>
  <c r="AP475" i="22" s="1"/>
  <c r="AQ477" i="22" l="1"/>
  <c r="AR476" i="22"/>
  <c r="AP476" i="22" s="1"/>
  <c r="AQ478" i="22" l="1"/>
  <c r="AR477" i="22"/>
  <c r="AP477" i="22" s="1"/>
  <c r="AQ479" i="22" l="1"/>
  <c r="AR478" i="22"/>
  <c r="AP478" i="22" s="1"/>
  <c r="AQ480" i="22" l="1"/>
  <c r="AR479" i="22"/>
  <c r="AP479" i="22" s="1"/>
  <c r="AQ481" i="22" l="1"/>
  <c r="AR480" i="22"/>
  <c r="AP480" i="22" s="1"/>
  <c r="AQ482" i="22" l="1"/>
  <c r="AR481" i="22"/>
  <c r="AP481" i="22" s="1"/>
  <c r="AQ483" i="22" l="1"/>
  <c r="AR482" i="22"/>
  <c r="AP482" i="22" s="1"/>
  <c r="AQ484" i="22" l="1"/>
  <c r="AR483" i="22"/>
  <c r="AP483" i="22" s="1"/>
  <c r="AQ485" i="22" l="1"/>
  <c r="AR484" i="22"/>
  <c r="AP484" i="22" s="1"/>
  <c r="AQ486" i="22" l="1"/>
  <c r="AR485" i="22"/>
  <c r="AP485" i="22" s="1"/>
  <c r="AQ487" i="22" l="1"/>
  <c r="AR486" i="22"/>
  <c r="AP486" i="22" s="1"/>
  <c r="AQ488" i="22" l="1"/>
  <c r="AR487" i="22"/>
  <c r="AP487" i="22" s="1"/>
  <c r="AQ489" i="22" l="1"/>
  <c r="AR488" i="22"/>
  <c r="AP488" i="22" s="1"/>
  <c r="AQ490" i="22" l="1"/>
  <c r="AR489" i="22"/>
  <c r="AP489" i="22" s="1"/>
  <c r="AQ491" i="22" l="1"/>
  <c r="AR490" i="22"/>
  <c r="AP490" i="22" s="1"/>
  <c r="AQ492" i="22" l="1"/>
  <c r="AR491" i="22"/>
  <c r="AP491" i="22" s="1"/>
  <c r="AQ493" i="22" l="1"/>
  <c r="AR492" i="22"/>
  <c r="AP492" i="22" s="1"/>
  <c r="AQ494" i="22" l="1"/>
  <c r="AR493" i="22"/>
  <c r="AP493" i="22" s="1"/>
  <c r="AQ495" i="22" l="1"/>
  <c r="AR494" i="22"/>
  <c r="AP494" i="22" s="1"/>
  <c r="AQ496" i="22" l="1"/>
  <c r="AR495" i="22"/>
  <c r="AP495" i="22" s="1"/>
  <c r="AQ497" i="22" l="1"/>
  <c r="AR496" i="22"/>
  <c r="AP496" i="22" s="1"/>
  <c r="AQ498" i="22" l="1"/>
  <c r="AR497" i="22"/>
  <c r="AP497" i="22" s="1"/>
  <c r="AQ499" i="22" l="1"/>
  <c r="AR498" i="22"/>
  <c r="AP498" i="22" s="1"/>
  <c r="AQ500" i="22" l="1"/>
  <c r="AR499" i="22"/>
  <c r="AP499" i="22" s="1"/>
  <c r="AQ501" i="22" l="1"/>
  <c r="AR500" i="22"/>
  <c r="AP500" i="22" s="1"/>
  <c r="AQ502" i="22" l="1"/>
  <c r="AR501" i="22"/>
  <c r="AP501" i="22" s="1"/>
  <c r="AQ503" i="22" l="1"/>
  <c r="AR502" i="22"/>
  <c r="AP502" i="22" s="1"/>
  <c r="AQ504" i="22" l="1"/>
  <c r="AR503" i="22"/>
  <c r="AP503" i="22" s="1"/>
  <c r="AQ505" i="22" l="1"/>
  <c r="AR504" i="22"/>
  <c r="AP504" i="22" s="1"/>
  <c r="AQ506" i="22" l="1"/>
  <c r="AR505" i="22"/>
  <c r="AP505" i="22" s="1"/>
  <c r="AQ507" i="22" l="1"/>
  <c r="AR506" i="22"/>
  <c r="AP506" i="22" s="1"/>
  <c r="AQ508" i="22" l="1"/>
  <c r="AR507" i="22"/>
  <c r="AP507" i="22" s="1"/>
  <c r="AQ509" i="22" l="1"/>
  <c r="AR508" i="22"/>
  <c r="AP508" i="22" s="1"/>
  <c r="AQ510" i="22" l="1"/>
  <c r="AR509" i="22"/>
  <c r="AP509" i="22" s="1"/>
  <c r="AQ511" i="22" l="1"/>
  <c r="AR510" i="22"/>
  <c r="AP510" i="22" s="1"/>
  <c r="AQ512" i="22" l="1"/>
  <c r="AR511" i="22"/>
  <c r="AP511" i="22" s="1"/>
  <c r="AQ513" i="22" l="1"/>
  <c r="AR512" i="22"/>
  <c r="AP512" i="22" s="1"/>
  <c r="AQ514" i="22" l="1"/>
  <c r="AR513" i="22"/>
  <c r="AP513" i="22" s="1"/>
  <c r="AQ515" i="22" l="1"/>
  <c r="AR514" i="22"/>
  <c r="AP514" i="22" s="1"/>
  <c r="AQ516" i="22" l="1"/>
  <c r="AR515" i="22"/>
  <c r="AP515" i="22" s="1"/>
  <c r="AQ517" i="22" l="1"/>
  <c r="AR516" i="22"/>
  <c r="AP516" i="22" s="1"/>
  <c r="AQ518" i="22" l="1"/>
  <c r="AR517" i="22"/>
  <c r="AP517" i="22" s="1"/>
  <c r="AQ519" i="22" l="1"/>
  <c r="AR518" i="22"/>
  <c r="AP518" i="22" s="1"/>
  <c r="AQ520" i="22" l="1"/>
  <c r="AR519" i="22"/>
  <c r="AP519" i="22" s="1"/>
  <c r="AQ521" i="22" l="1"/>
  <c r="AR520" i="22"/>
  <c r="AP520" i="22" s="1"/>
  <c r="AQ522" i="22" l="1"/>
  <c r="AR521" i="22"/>
  <c r="AP521" i="22" s="1"/>
  <c r="AQ523" i="22" l="1"/>
  <c r="AR522" i="22"/>
  <c r="AP522" i="22" s="1"/>
  <c r="AQ524" i="22" l="1"/>
  <c r="AR523" i="22"/>
  <c r="AP523" i="22" s="1"/>
  <c r="AQ525" i="22" l="1"/>
  <c r="AR524" i="22"/>
  <c r="AP524" i="22" s="1"/>
  <c r="AQ526" i="22" l="1"/>
  <c r="AR525" i="22"/>
  <c r="AP525" i="22" s="1"/>
  <c r="AQ527" i="22" l="1"/>
  <c r="AR526" i="22"/>
  <c r="AP526" i="22" s="1"/>
  <c r="AQ528" i="22" l="1"/>
  <c r="AR527" i="22"/>
  <c r="AP527" i="22" s="1"/>
  <c r="AQ529" i="22" l="1"/>
  <c r="AR528" i="22"/>
  <c r="AP528" i="22" s="1"/>
  <c r="AQ530" i="22" l="1"/>
  <c r="AR529" i="22"/>
  <c r="AP529" i="22" s="1"/>
  <c r="AQ531" i="22" l="1"/>
  <c r="AR530" i="22"/>
  <c r="AP530" i="22" s="1"/>
  <c r="AQ532" i="22" l="1"/>
  <c r="AR531" i="22"/>
  <c r="AP531" i="22" s="1"/>
  <c r="AQ533" i="22" l="1"/>
  <c r="AR532" i="22"/>
  <c r="AP532" i="22" s="1"/>
  <c r="AQ534" i="22" l="1"/>
  <c r="AR533" i="22"/>
  <c r="AP533" i="22" s="1"/>
  <c r="AQ535" i="22" l="1"/>
  <c r="AR534" i="22"/>
  <c r="AP534" i="22" s="1"/>
  <c r="AQ536" i="22" l="1"/>
  <c r="AR535" i="22"/>
  <c r="AP535" i="22" s="1"/>
  <c r="AQ537" i="22" l="1"/>
  <c r="AR536" i="22"/>
  <c r="AP536" i="22" s="1"/>
  <c r="AQ538" i="22" l="1"/>
  <c r="AR537" i="22"/>
  <c r="AP537" i="22" s="1"/>
  <c r="AQ539" i="22" l="1"/>
  <c r="AR538" i="22"/>
  <c r="AP538" i="22" s="1"/>
  <c r="AQ540" i="22" l="1"/>
  <c r="AR539" i="22"/>
  <c r="AP539" i="22" s="1"/>
  <c r="AQ541" i="22" l="1"/>
  <c r="AR540" i="22"/>
  <c r="AP540" i="22" s="1"/>
  <c r="AQ542" i="22" l="1"/>
  <c r="AR541" i="22"/>
  <c r="AP541" i="22" s="1"/>
  <c r="AQ543" i="22" l="1"/>
  <c r="AR542" i="22"/>
  <c r="AP542" i="22" s="1"/>
  <c r="AQ544" i="22" l="1"/>
  <c r="AR543" i="22"/>
  <c r="AP543" i="22" s="1"/>
  <c r="AQ545" i="22" l="1"/>
  <c r="AR544" i="22"/>
  <c r="AP544" i="22" s="1"/>
  <c r="AQ546" i="22" l="1"/>
  <c r="AR545" i="22"/>
  <c r="AP545" i="22" s="1"/>
  <c r="AQ547" i="22" l="1"/>
  <c r="AR546" i="22"/>
  <c r="AP546" i="22" s="1"/>
  <c r="AQ548" i="22" l="1"/>
  <c r="AR547" i="22"/>
  <c r="AP547" i="22" s="1"/>
  <c r="AQ549" i="22" l="1"/>
  <c r="AR548" i="22"/>
  <c r="AP548" i="22" s="1"/>
  <c r="AQ550" i="22" l="1"/>
  <c r="AR549" i="22"/>
  <c r="AP549" i="22" s="1"/>
  <c r="AQ551" i="22" l="1"/>
  <c r="AR550" i="22"/>
  <c r="AP550" i="22" s="1"/>
  <c r="AQ552" i="22" l="1"/>
  <c r="AR551" i="22"/>
  <c r="AP551" i="22" s="1"/>
  <c r="AQ553" i="22" l="1"/>
  <c r="AR552" i="22"/>
  <c r="AP552" i="22" s="1"/>
  <c r="AQ554" i="22" l="1"/>
  <c r="AR553" i="22"/>
  <c r="AP553" i="22" s="1"/>
  <c r="AQ555" i="22" l="1"/>
  <c r="AR554" i="22"/>
  <c r="AP554" i="22" s="1"/>
  <c r="AQ556" i="22" l="1"/>
  <c r="AR555" i="22"/>
  <c r="AP555" i="22" s="1"/>
  <c r="AQ557" i="22" l="1"/>
  <c r="AR556" i="22"/>
  <c r="AP556" i="22" s="1"/>
  <c r="AQ558" i="22" l="1"/>
  <c r="AR557" i="22"/>
  <c r="AP557" i="22" s="1"/>
  <c r="AQ559" i="22" l="1"/>
  <c r="AR558" i="22"/>
  <c r="AP558" i="22" s="1"/>
  <c r="AQ560" i="22" l="1"/>
  <c r="AR559" i="22"/>
  <c r="AP559" i="22" s="1"/>
  <c r="AQ561" i="22" l="1"/>
  <c r="AR560" i="22"/>
  <c r="AP560" i="22" s="1"/>
  <c r="AQ562" i="22" l="1"/>
  <c r="AR561" i="22"/>
  <c r="AP561" i="22" s="1"/>
  <c r="AQ563" i="22" l="1"/>
  <c r="AR562" i="22"/>
  <c r="AP562" i="22" s="1"/>
  <c r="AQ564" i="22" l="1"/>
  <c r="AR563" i="22"/>
  <c r="AP563" i="22" s="1"/>
  <c r="AQ565" i="22" l="1"/>
  <c r="AR564" i="22"/>
  <c r="AP564" i="22" s="1"/>
  <c r="AQ566" i="22" l="1"/>
  <c r="AR565" i="22"/>
  <c r="AP565" i="22" s="1"/>
  <c r="AQ567" i="22" l="1"/>
  <c r="AR566" i="22"/>
  <c r="AP566" i="22" s="1"/>
  <c r="AQ568" i="22" l="1"/>
  <c r="AR567" i="22"/>
  <c r="AP567" i="22" s="1"/>
  <c r="AQ569" i="22" l="1"/>
  <c r="AR568" i="22"/>
  <c r="AP568" i="22" s="1"/>
  <c r="AQ570" i="22" l="1"/>
  <c r="AR569" i="22"/>
  <c r="AP569" i="22" s="1"/>
  <c r="AQ571" i="22" l="1"/>
  <c r="AR570" i="22"/>
  <c r="AP570" i="22" s="1"/>
  <c r="AQ572" i="22" l="1"/>
  <c r="AR571" i="22"/>
  <c r="AP571" i="22" s="1"/>
  <c r="AQ573" i="22" l="1"/>
  <c r="AR572" i="22"/>
  <c r="AP572" i="22" s="1"/>
  <c r="AQ574" i="22" l="1"/>
  <c r="AR573" i="22"/>
  <c r="AP573" i="22" s="1"/>
  <c r="AQ575" i="22" l="1"/>
  <c r="AR574" i="22"/>
  <c r="AP574" i="22" s="1"/>
  <c r="AQ576" i="22" l="1"/>
  <c r="AR575" i="22"/>
  <c r="AP575" i="22" s="1"/>
  <c r="AQ577" i="22" l="1"/>
  <c r="AR576" i="22"/>
  <c r="AP576" i="22" s="1"/>
  <c r="AQ578" i="22" l="1"/>
  <c r="AR577" i="22"/>
  <c r="AP577" i="22" s="1"/>
  <c r="AQ579" i="22" l="1"/>
  <c r="AR578" i="22"/>
  <c r="AP578" i="22" s="1"/>
  <c r="AQ580" i="22" l="1"/>
  <c r="AR579" i="22"/>
  <c r="AP579" i="22" s="1"/>
  <c r="AQ581" i="22" l="1"/>
  <c r="AR580" i="22"/>
  <c r="AP580" i="22" s="1"/>
  <c r="AQ582" i="22" l="1"/>
  <c r="AR581" i="22"/>
  <c r="AP581" i="22" s="1"/>
  <c r="AQ583" i="22" l="1"/>
  <c r="AR582" i="22"/>
  <c r="AP582" i="22" s="1"/>
  <c r="AQ584" i="22" l="1"/>
  <c r="AR583" i="22"/>
  <c r="AP583" i="22" s="1"/>
  <c r="AQ585" i="22" l="1"/>
  <c r="AR584" i="22"/>
  <c r="AP584" i="22" s="1"/>
  <c r="AQ586" i="22" l="1"/>
  <c r="AR585" i="22"/>
  <c r="AP585" i="22" s="1"/>
  <c r="AQ587" i="22" l="1"/>
  <c r="AR586" i="22"/>
  <c r="AP586" i="22" s="1"/>
  <c r="AQ588" i="22" l="1"/>
  <c r="AR587" i="22"/>
  <c r="AP587" i="22" s="1"/>
  <c r="AQ589" i="22" l="1"/>
  <c r="AR588" i="22"/>
  <c r="AP588" i="22" s="1"/>
  <c r="AQ590" i="22" l="1"/>
  <c r="AR589" i="22"/>
  <c r="AP589" i="22" s="1"/>
  <c r="AQ591" i="22" l="1"/>
  <c r="AR590" i="22"/>
  <c r="AP590" i="22" s="1"/>
  <c r="AQ592" i="22" l="1"/>
  <c r="AR591" i="22"/>
  <c r="AP591" i="22" s="1"/>
  <c r="AQ593" i="22" l="1"/>
  <c r="AR592" i="22"/>
  <c r="AP592" i="22" s="1"/>
  <c r="AQ594" i="22" l="1"/>
  <c r="AR593" i="22"/>
  <c r="AP593" i="22" s="1"/>
  <c r="AQ595" i="22" l="1"/>
  <c r="AR594" i="22"/>
  <c r="AP594" i="22" s="1"/>
  <c r="AQ596" i="22" l="1"/>
  <c r="AR595" i="22"/>
  <c r="AP595" i="22" s="1"/>
  <c r="AQ597" i="22" l="1"/>
  <c r="AR596" i="22"/>
  <c r="AP596" i="22" s="1"/>
  <c r="AQ598" i="22" l="1"/>
  <c r="AR597" i="22"/>
  <c r="AP597" i="22" s="1"/>
  <c r="AQ599" i="22" l="1"/>
  <c r="AR598" i="22"/>
  <c r="AP598" i="22" s="1"/>
  <c r="AQ600" i="22" l="1"/>
  <c r="AR599" i="22"/>
  <c r="AP599" i="22" s="1"/>
  <c r="AQ601" i="22" l="1"/>
  <c r="AR600" i="22"/>
  <c r="AP600" i="22" s="1"/>
  <c r="AQ602" i="22" l="1"/>
  <c r="AR601" i="22"/>
  <c r="AP601" i="22" s="1"/>
  <c r="AQ603" i="22" l="1"/>
  <c r="AR602" i="22"/>
  <c r="AP602" i="22" s="1"/>
  <c r="AQ604" i="22" l="1"/>
  <c r="AR603" i="22"/>
  <c r="AP603" i="22" s="1"/>
  <c r="AQ605" i="22" l="1"/>
  <c r="AR604" i="22"/>
  <c r="AP604" i="22" s="1"/>
  <c r="AQ606" i="22" l="1"/>
  <c r="AR605" i="22"/>
  <c r="AP605" i="22" s="1"/>
  <c r="AQ607" i="22" l="1"/>
  <c r="AR606" i="22"/>
  <c r="AP606" i="22" s="1"/>
  <c r="AQ608" i="22" l="1"/>
  <c r="AR607" i="22"/>
  <c r="AP607" i="22" s="1"/>
  <c r="AQ609" i="22" l="1"/>
  <c r="AR608" i="22"/>
  <c r="AP608" i="22" s="1"/>
  <c r="AQ610" i="22" l="1"/>
  <c r="AR609" i="22"/>
  <c r="AP609" i="22" s="1"/>
  <c r="AQ611" i="22" l="1"/>
  <c r="AR610" i="22"/>
  <c r="AP610" i="22" s="1"/>
  <c r="AQ612" i="22" l="1"/>
  <c r="AR611" i="22"/>
  <c r="AP611" i="22" s="1"/>
  <c r="AQ613" i="22" l="1"/>
  <c r="AR612" i="22"/>
  <c r="AP612" i="22" s="1"/>
  <c r="AQ614" i="22" l="1"/>
  <c r="AR613" i="22"/>
  <c r="AP613" i="22" s="1"/>
  <c r="AQ615" i="22" l="1"/>
  <c r="AR614" i="22"/>
  <c r="AP614" i="22" s="1"/>
  <c r="AQ616" i="22" l="1"/>
  <c r="AR615" i="22"/>
  <c r="AP615" i="22" s="1"/>
  <c r="AQ617" i="22" l="1"/>
  <c r="AR616" i="22"/>
  <c r="AP616" i="22" s="1"/>
  <c r="AQ618" i="22" l="1"/>
  <c r="AR617" i="22"/>
  <c r="AP617" i="22" s="1"/>
  <c r="AQ619" i="22" l="1"/>
  <c r="AR618" i="22"/>
  <c r="AP618" i="22" s="1"/>
  <c r="AQ620" i="22" l="1"/>
  <c r="AR619" i="22"/>
  <c r="AP619" i="22" s="1"/>
  <c r="AQ621" i="22" l="1"/>
  <c r="AR620" i="22"/>
  <c r="AP620" i="22" s="1"/>
  <c r="AQ622" i="22" l="1"/>
  <c r="AR621" i="22"/>
  <c r="AP621" i="22" s="1"/>
  <c r="AQ623" i="22" l="1"/>
  <c r="AR622" i="22"/>
  <c r="AP622" i="22" s="1"/>
  <c r="AQ624" i="22" l="1"/>
  <c r="AR623" i="22"/>
  <c r="AP623" i="22" s="1"/>
  <c r="AQ625" i="22" l="1"/>
  <c r="AR624" i="22"/>
  <c r="AP624" i="22" s="1"/>
  <c r="AQ626" i="22" l="1"/>
  <c r="AR625" i="22"/>
  <c r="AP625" i="22" s="1"/>
  <c r="AQ627" i="22" l="1"/>
  <c r="AR626" i="22"/>
  <c r="AP626" i="22" s="1"/>
  <c r="AQ628" i="22" l="1"/>
  <c r="AR627" i="22"/>
  <c r="AP627" i="22" s="1"/>
  <c r="AQ629" i="22" l="1"/>
  <c r="AR628" i="22"/>
  <c r="AP628" i="22" s="1"/>
  <c r="AQ630" i="22" l="1"/>
  <c r="AR629" i="22"/>
  <c r="AP629" i="22" s="1"/>
  <c r="AQ631" i="22" l="1"/>
  <c r="AR630" i="22"/>
  <c r="AP630" i="22" s="1"/>
  <c r="AQ632" i="22" l="1"/>
  <c r="AR631" i="22"/>
  <c r="AP631" i="22" s="1"/>
  <c r="AQ633" i="22" l="1"/>
  <c r="AR632" i="22"/>
  <c r="AP632" i="22" s="1"/>
  <c r="AQ634" i="22" l="1"/>
  <c r="AR633" i="22"/>
  <c r="AP633" i="22" s="1"/>
  <c r="AQ635" i="22" l="1"/>
  <c r="AR634" i="22"/>
  <c r="AP634" i="22" s="1"/>
  <c r="AQ636" i="22" l="1"/>
  <c r="AR635" i="22"/>
  <c r="AP635" i="22" s="1"/>
  <c r="AQ637" i="22" l="1"/>
  <c r="AR636" i="22"/>
  <c r="AP636" i="22" s="1"/>
  <c r="AQ638" i="22" l="1"/>
  <c r="AR637" i="22"/>
  <c r="AP637" i="22" s="1"/>
  <c r="AQ639" i="22" l="1"/>
  <c r="AR638" i="22"/>
  <c r="AP638" i="22" s="1"/>
  <c r="AQ640" i="22" l="1"/>
  <c r="AR639" i="22"/>
  <c r="AP639" i="22" s="1"/>
  <c r="AQ641" i="22" l="1"/>
  <c r="AR640" i="22"/>
  <c r="AP640" i="22" s="1"/>
  <c r="AQ642" i="22" l="1"/>
  <c r="AR641" i="22"/>
  <c r="AP641" i="22" s="1"/>
  <c r="AQ643" i="22" l="1"/>
  <c r="AR642" i="22"/>
  <c r="AP642" i="22" s="1"/>
  <c r="AQ644" i="22" l="1"/>
  <c r="AR643" i="22"/>
  <c r="AP643" i="22" s="1"/>
  <c r="AQ645" i="22" l="1"/>
  <c r="AR644" i="22"/>
  <c r="AP644" i="22" s="1"/>
  <c r="AQ646" i="22" l="1"/>
  <c r="AR645" i="22"/>
  <c r="AP645" i="22" s="1"/>
  <c r="AQ647" i="22" l="1"/>
  <c r="AR646" i="22"/>
  <c r="AP646" i="22" s="1"/>
  <c r="AQ648" i="22" l="1"/>
  <c r="AR647" i="22"/>
  <c r="AP647" i="22" s="1"/>
  <c r="AQ649" i="22" l="1"/>
  <c r="AR648" i="22"/>
  <c r="AP648" i="22" s="1"/>
  <c r="AQ650" i="22" l="1"/>
  <c r="AR649" i="22"/>
  <c r="AP649" i="22" s="1"/>
  <c r="AQ651" i="22" l="1"/>
  <c r="AR650" i="22"/>
  <c r="AP650" i="22" s="1"/>
  <c r="AQ652" i="22" l="1"/>
  <c r="AR651" i="22"/>
  <c r="AP651" i="22" s="1"/>
  <c r="AQ653" i="22" l="1"/>
  <c r="AR652" i="22"/>
  <c r="AP652" i="22" s="1"/>
  <c r="AQ654" i="22" l="1"/>
  <c r="AR653" i="22"/>
  <c r="AP653" i="22" s="1"/>
  <c r="AQ655" i="22" l="1"/>
  <c r="AR654" i="22"/>
  <c r="AP654" i="22" s="1"/>
  <c r="AQ656" i="22" l="1"/>
  <c r="AR655" i="22"/>
  <c r="AP655" i="22" s="1"/>
  <c r="AQ657" i="22" l="1"/>
  <c r="AR656" i="22"/>
  <c r="AP656" i="22" s="1"/>
  <c r="AQ658" i="22" l="1"/>
  <c r="AR657" i="22"/>
  <c r="AP657" i="22" s="1"/>
  <c r="AQ659" i="22" l="1"/>
  <c r="AR658" i="22"/>
  <c r="AP658" i="22" s="1"/>
  <c r="AQ660" i="22" l="1"/>
  <c r="AR659" i="22"/>
  <c r="AP659" i="22" s="1"/>
  <c r="AQ661" i="22" l="1"/>
  <c r="AR660" i="22"/>
  <c r="AP660" i="22" s="1"/>
  <c r="AQ662" i="22" l="1"/>
  <c r="AR661" i="22"/>
  <c r="AP661" i="22" s="1"/>
  <c r="AQ663" i="22" l="1"/>
  <c r="AR662" i="22"/>
  <c r="AP662" i="22" s="1"/>
  <c r="AQ664" i="22" l="1"/>
  <c r="AR663" i="22"/>
  <c r="AP663" i="22" s="1"/>
  <c r="AQ665" i="22" l="1"/>
  <c r="AR664" i="22"/>
  <c r="AP664" i="22" s="1"/>
  <c r="AQ666" i="22" l="1"/>
  <c r="AR665" i="22"/>
  <c r="AP665" i="22" s="1"/>
  <c r="AQ667" i="22" l="1"/>
  <c r="AR666" i="22"/>
  <c r="AP666" i="22" s="1"/>
  <c r="AQ668" i="22" l="1"/>
  <c r="AR667" i="22"/>
  <c r="AP667" i="22" s="1"/>
  <c r="AQ669" i="22" l="1"/>
  <c r="AR668" i="22"/>
  <c r="AP668" i="22" s="1"/>
  <c r="AQ670" i="22" l="1"/>
  <c r="AR669" i="22"/>
  <c r="AP669" i="22" s="1"/>
  <c r="AQ671" i="22" l="1"/>
  <c r="AR670" i="22"/>
  <c r="AP670" i="22" s="1"/>
  <c r="AQ672" i="22" l="1"/>
  <c r="AR671" i="22"/>
  <c r="AP671" i="22" s="1"/>
  <c r="AQ673" i="22" l="1"/>
  <c r="AR672" i="22"/>
  <c r="AP672" i="22" s="1"/>
  <c r="AQ674" i="22" l="1"/>
  <c r="AR673" i="22"/>
  <c r="AP673" i="22" s="1"/>
  <c r="AQ675" i="22" l="1"/>
  <c r="AR674" i="22"/>
  <c r="AP674" i="22" s="1"/>
  <c r="AQ676" i="22" l="1"/>
  <c r="AR675" i="22"/>
  <c r="AP675" i="22" s="1"/>
  <c r="AQ677" i="22" l="1"/>
  <c r="AR676" i="22"/>
  <c r="AP676" i="22" s="1"/>
  <c r="AQ678" i="22" l="1"/>
  <c r="AR677" i="22"/>
  <c r="AP677" i="22" s="1"/>
  <c r="AQ679" i="22" l="1"/>
  <c r="AR678" i="22"/>
  <c r="AP678" i="22" s="1"/>
  <c r="AQ680" i="22" l="1"/>
  <c r="AR679" i="22"/>
  <c r="AP679" i="22" s="1"/>
  <c r="AQ681" i="22" l="1"/>
  <c r="AR680" i="22"/>
  <c r="AP680" i="22" s="1"/>
  <c r="AQ682" i="22" l="1"/>
  <c r="AR681" i="22"/>
  <c r="AP681" i="22" s="1"/>
  <c r="AQ683" i="22" l="1"/>
  <c r="AR682" i="22"/>
  <c r="AP682" i="22" s="1"/>
  <c r="AQ684" i="22" l="1"/>
  <c r="AR683" i="22"/>
  <c r="AP683" i="22" s="1"/>
  <c r="AQ685" i="22" l="1"/>
  <c r="AR684" i="22"/>
  <c r="AP684" i="22" s="1"/>
  <c r="AQ686" i="22" l="1"/>
  <c r="AR685" i="22"/>
  <c r="AP685" i="22" s="1"/>
  <c r="AQ687" i="22" l="1"/>
  <c r="AR686" i="22"/>
  <c r="AP686" i="22" s="1"/>
  <c r="AQ688" i="22" l="1"/>
  <c r="AR687" i="22"/>
  <c r="AP687" i="22" s="1"/>
  <c r="AQ689" i="22" l="1"/>
  <c r="AR688" i="22"/>
  <c r="AP688" i="22" s="1"/>
  <c r="AQ690" i="22" l="1"/>
  <c r="AR689" i="22"/>
  <c r="AP689" i="22" s="1"/>
  <c r="AQ691" i="22" l="1"/>
  <c r="AR690" i="22"/>
  <c r="AP690" i="22" s="1"/>
  <c r="AQ692" i="22" l="1"/>
  <c r="AR691" i="22"/>
  <c r="AP691" i="22" s="1"/>
  <c r="AQ693" i="22" l="1"/>
  <c r="AR692" i="22"/>
  <c r="AP692" i="22" s="1"/>
  <c r="AQ694" i="22" l="1"/>
  <c r="AR693" i="22"/>
  <c r="AP693" i="22" s="1"/>
  <c r="AQ695" i="22" l="1"/>
  <c r="AR694" i="22"/>
  <c r="AP694" i="22" s="1"/>
  <c r="AQ696" i="22" l="1"/>
  <c r="AR695" i="22"/>
  <c r="AP695" i="22" s="1"/>
  <c r="AQ697" i="22" l="1"/>
  <c r="AR696" i="22"/>
  <c r="AP696" i="22" s="1"/>
  <c r="AQ698" i="22" l="1"/>
  <c r="AR697" i="22"/>
  <c r="AP697" i="22" s="1"/>
  <c r="AQ699" i="22" l="1"/>
  <c r="AR698" i="22"/>
  <c r="AP698" i="22" s="1"/>
  <c r="AQ700" i="22" l="1"/>
  <c r="AR699" i="22"/>
  <c r="AP699" i="22" s="1"/>
  <c r="AQ701" i="22" l="1"/>
  <c r="AR700" i="22"/>
  <c r="AP700" i="22" s="1"/>
  <c r="AQ702" i="22" l="1"/>
  <c r="AR701" i="22"/>
  <c r="AP701" i="22" s="1"/>
  <c r="AQ703" i="22" l="1"/>
  <c r="AR702" i="22"/>
  <c r="AP702" i="22" s="1"/>
  <c r="AQ704" i="22" l="1"/>
  <c r="AR703" i="22"/>
  <c r="AP703" i="22" s="1"/>
  <c r="AQ705" i="22" l="1"/>
  <c r="AR704" i="22"/>
  <c r="AP704" i="22" s="1"/>
  <c r="AQ706" i="22" l="1"/>
  <c r="AR705" i="22"/>
  <c r="AP705" i="22" s="1"/>
  <c r="AQ707" i="22" l="1"/>
  <c r="AR706" i="22"/>
  <c r="AP706" i="22" s="1"/>
  <c r="AQ708" i="22" l="1"/>
  <c r="AR707" i="22"/>
  <c r="AP707" i="22" s="1"/>
  <c r="AQ709" i="22" l="1"/>
  <c r="AR708" i="22"/>
  <c r="AP708" i="22" s="1"/>
  <c r="AQ710" i="22" l="1"/>
  <c r="AR709" i="22"/>
  <c r="AP709" i="22" s="1"/>
  <c r="AQ711" i="22" l="1"/>
  <c r="AR710" i="22"/>
  <c r="AP710" i="22" s="1"/>
  <c r="AQ712" i="22" l="1"/>
  <c r="AR711" i="22"/>
  <c r="AP711" i="22" s="1"/>
  <c r="AQ713" i="22" l="1"/>
  <c r="AR712" i="22"/>
  <c r="AP712" i="22" s="1"/>
  <c r="AQ714" i="22" l="1"/>
  <c r="AR713" i="22"/>
  <c r="AP713" i="22" s="1"/>
  <c r="AQ715" i="22" l="1"/>
  <c r="AR714" i="22"/>
  <c r="AP714" i="22" s="1"/>
  <c r="AQ716" i="22" l="1"/>
  <c r="AR715" i="22"/>
  <c r="AP715" i="22" s="1"/>
  <c r="AQ717" i="22" l="1"/>
  <c r="AR716" i="22"/>
  <c r="AP716" i="22" s="1"/>
  <c r="AQ718" i="22" l="1"/>
  <c r="AR717" i="22"/>
  <c r="AP717" i="22" s="1"/>
  <c r="AQ719" i="22" l="1"/>
  <c r="AR718" i="22"/>
  <c r="AP718" i="22" s="1"/>
  <c r="AQ720" i="22" l="1"/>
  <c r="AR719" i="22"/>
  <c r="AP719" i="22" s="1"/>
  <c r="AQ721" i="22" l="1"/>
  <c r="AR720" i="22"/>
  <c r="AP720" i="22" s="1"/>
  <c r="AQ722" i="22" l="1"/>
  <c r="AR721" i="22"/>
  <c r="AP721" i="22" s="1"/>
  <c r="AQ723" i="22" l="1"/>
  <c r="AR722" i="22"/>
  <c r="AP722" i="22" s="1"/>
  <c r="AQ724" i="22" l="1"/>
  <c r="AR723" i="22"/>
  <c r="AP723" i="22" s="1"/>
  <c r="AQ725" i="22" l="1"/>
  <c r="AR724" i="22"/>
  <c r="AP724" i="22" s="1"/>
  <c r="AQ726" i="22" l="1"/>
  <c r="AR725" i="22"/>
  <c r="AP725" i="22" s="1"/>
  <c r="AQ727" i="22" l="1"/>
  <c r="AR726" i="22"/>
  <c r="AP726" i="22" s="1"/>
  <c r="AQ728" i="22" l="1"/>
  <c r="AR727" i="22"/>
  <c r="AP727" i="22" s="1"/>
  <c r="AQ729" i="22" l="1"/>
  <c r="AR728" i="22"/>
  <c r="AP728" i="22" s="1"/>
  <c r="AQ730" i="22" l="1"/>
  <c r="AR729" i="22"/>
  <c r="AP729" i="22" s="1"/>
  <c r="AQ731" i="22" l="1"/>
  <c r="AR730" i="22"/>
  <c r="AP730" i="22" s="1"/>
  <c r="AQ732" i="22" l="1"/>
  <c r="AR731" i="22"/>
  <c r="AP731" i="22" s="1"/>
  <c r="AQ733" i="22" l="1"/>
  <c r="AR732" i="22"/>
  <c r="AP732" i="22" s="1"/>
  <c r="AQ734" i="22" l="1"/>
  <c r="AR733" i="22"/>
  <c r="AP733" i="22" s="1"/>
  <c r="AQ735" i="22" l="1"/>
  <c r="AR734" i="22"/>
  <c r="AP734" i="22" s="1"/>
  <c r="AQ736" i="22" l="1"/>
  <c r="AR735" i="22"/>
  <c r="AP735" i="22" s="1"/>
  <c r="AQ737" i="22" l="1"/>
  <c r="AR736" i="22"/>
  <c r="AP736" i="22" s="1"/>
  <c r="AQ738" i="22" l="1"/>
  <c r="AR737" i="22"/>
  <c r="AP737" i="22" s="1"/>
  <c r="AQ739" i="22" l="1"/>
  <c r="AR738" i="22"/>
  <c r="AP738" i="22" s="1"/>
  <c r="AQ740" i="22" l="1"/>
  <c r="AR739" i="22"/>
  <c r="AP739" i="22" s="1"/>
  <c r="AQ741" i="22" l="1"/>
  <c r="AR740" i="22"/>
  <c r="AP740" i="22" s="1"/>
  <c r="AQ742" i="22" l="1"/>
  <c r="AR741" i="22"/>
  <c r="AP741" i="22" s="1"/>
  <c r="AQ743" i="22" l="1"/>
  <c r="AR742" i="22"/>
  <c r="AP742" i="22" s="1"/>
  <c r="AQ744" i="22" l="1"/>
  <c r="AR743" i="22"/>
  <c r="AP743" i="22" s="1"/>
  <c r="AQ745" i="22" l="1"/>
  <c r="AR744" i="22"/>
  <c r="AP744" i="22" s="1"/>
  <c r="AQ746" i="22" l="1"/>
  <c r="AR745" i="22"/>
  <c r="AP745" i="22" s="1"/>
  <c r="AQ747" i="22" l="1"/>
  <c r="AR746" i="22"/>
  <c r="AP746" i="22" s="1"/>
  <c r="AQ748" i="22" l="1"/>
  <c r="AR747" i="22"/>
  <c r="AP747" i="22" s="1"/>
  <c r="AQ749" i="22" l="1"/>
  <c r="AR748" i="22"/>
  <c r="AP748" i="22" s="1"/>
  <c r="AQ750" i="22" l="1"/>
  <c r="AR749" i="22"/>
  <c r="AP749" i="22" s="1"/>
  <c r="AQ751" i="22" l="1"/>
  <c r="AR750" i="22"/>
  <c r="AP750" i="22" s="1"/>
  <c r="AQ752" i="22" l="1"/>
  <c r="AR751" i="22"/>
  <c r="AP751" i="22" s="1"/>
  <c r="AQ753" i="22" l="1"/>
  <c r="AR752" i="22"/>
  <c r="AP752" i="22" s="1"/>
  <c r="AQ754" i="22" l="1"/>
  <c r="AR753" i="22"/>
  <c r="AP753" i="22" s="1"/>
  <c r="AQ755" i="22" l="1"/>
  <c r="AR754" i="22"/>
  <c r="AP754" i="22" s="1"/>
  <c r="AQ756" i="22" l="1"/>
  <c r="AR755" i="22"/>
  <c r="AP755" i="22" s="1"/>
  <c r="AQ757" i="22" l="1"/>
  <c r="AR756" i="22"/>
  <c r="AP756" i="22" s="1"/>
  <c r="AQ758" i="22" l="1"/>
  <c r="AR757" i="22"/>
  <c r="AP757" i="22" s="1"/>
  <c r="AQ759" i="22" l="1"/>
  <c r="AR758" i="22"/>
  <c r="AP758" i="22" s="1"/>
  <c r="AQ760" i="22" l="1"/>
  <c r="AR759" i="22"/>
  <c r="AP759" i="22" s="1"/>
  <c r="AQ761" i="22" l="1"/>
  <c r="AR760" i="22"/>
  <c r="AP760" i="22" s="1"/>
  <c r="AQ762" i="22" l="1"/>
  <c r="AR761" i="22"/>
  <c r="AP761" i="22" s="1"/>
  <c r="AQ763" i="22" l="1"/>
  <c r="AR762" i="22"/>
  <c r="AP762" i="22" s="1"/>
  <c r="AQ764" i="22" l="1"/>
  <c r="AR763" i="22"/>
  <c r="AP763" i="22" s="1"/>
  <c r="AQ765" i="22" l="1"/>
  <c r="AR764" i="22"/>
  <c r="AP764" i="22" s="1"/>
  <c r="AQ766" i="22" l="1"/>
  <c r="AR765" i="22"/>
  <c r="AP765" i="22" s="1"/>
  <c r="AQ767" i="22" l="1"/>
  <c r="AR766" i="22"/>
  <c r="AP766" i="22" s="1"/>
  <c r="AQ768" i="22" l="1"/>
  <c r="AR767" i="22"/>
  <c r="AP767" i="22" s="1"/>
  <c r="AQ769" i="22" l="1"/>
  <c r="AR768" i="22"/>
  <c r="AP768" i="22" s="1"/>
  <c r="AQ770" i="22" l="1"/>
  <c r="AR769" i="22"/>
  <c r="AP769" i="22" s="1"/>
  <c r="AQ771" i="22" l="1"/>
  <c r="AR770" i="22"/>
  <c r="AP770" i="22" s="1"/>
  <c r="AQ772" i="22" l="1"/>
  <c r="AR771" i="22"/>
  <c r="AP771" i="22" s="1"/>
  <c r="AQ773" i="22" l="1"/>
  <c r="AR772" i="22"/>
  <c r="AP772" i="22" s="1"/>
  <c r="AQ774" i="22" l="1"/>
  <c r="AR773" i="22"/>
  <c r="AP773" i="22" s="1"/>
  <c r="AQ775" i="22" l="1"/>
  <c r="AR774" i="22"/>
  <c r="AP774" i="22" s="1"/>
  <c r="AQ776" i="22" l="1"/>
  <c r="AR775" i="22"/>
  <c r="AP775" i="22" s="1"/>
  <c r="AQ777" i="22" l="1"/>
  <c r="AR776" i="22"/>
  <c r="AP776" i="22" s="1"/>
  <c r="AQ778" i="22" l="1"/>
  <c r="AR777" i="22"/>
  <c r="AP777" i="22" s="1"/>
  <c r="AQ779" i="22" l="1"/>
  <c r="AR778" i="22"/>
  <c r="AP778" i="22" s="1"/>
  <c r="AQ780" i="22" l="1"/>
  <c r="AR779" i="22"/>
  <c r="AP779" i="22" s="1"/>
  <c r="AQ781" i="22" l="1"/>
  <c r="AR780" i="22"/>
  <c r="AP780" i="22" s="1"/>
  <c r="AQ782" i="22" l="1"/>
  <c r="AR781" i="22"/>
  <c r="AP781" i="22" s="1"/>
  <c r="AQ783" i="22" l="1"/>
  <c r="AR782" i="22"/>
  <c r="AP782" i="22" s="1"/>
  <c r="AQ784" i="22" l="1"/>
  <c r="AR783" i="22"/>
  <c r="AP783" i="22" s="1"/>
  <c r="AQ785" i="22" l="1"/>
  <c r="AR784" i="22"/>
  <c r="AP784" i="22" s="1"/>
  <c r="AQ786" i="22" l="1"/>
  <c r="AR785" i="22"/>
  <c r="AP785" i="22" s="1"/>
  <c r="AQ787" i="22" l="1"/>
  <c r="AR786" i="22"/>
  <c r="AP786" i="22" s="1"/>
  <c r="AQ788" i="22" l="1"/>
  <c r="AR787" i="22"/>
  <c r="AP787" i="22" s="1"/>
  <c r="AQ789" i="22" l="1"/>
  <c r="AR788" i="22"/>
  <c r="AP788" i="22" s="1"/>
  <c r="AQ790" i="22" l="1"/>
  <c r="AR789" i="22"/>
  <c r="AP789" i="22" s="1"/>
  <c r="AQ791" i="22" l="1"/>
  <c r="AR790" i="22"/>
  <c r="AP790" i="22" s="1"/>
  <c r="AQ792" i="22" l="1"/>
  <c r="AR791" i="22"/>
  <c r="AP791" i="22" s="1"/>
  <c r="AQ793" i="22" l="1"/>
  <c r="AR792" i="22"/>
  <c r="AP792" i="22" s="1"/>
  <c r="AQ794" i="22" l="1"/>
  <c r="AR793" i="22"/>
  <c r="AP793" i="22" s="1"/>
  <c r="AQ795" i="22" l="1"/>
  <c r="AR794" i="22"/>
  <c r="AP794" i="22" s="1"/>
  <c r="AQ796" i="22" l="1"/>
  <c r="AR795" i="22"/>
  <c r="AP795" i="22" s="1"/>
  <c r="AQ797" i="22" l="1"/>
  <c r="AR796" i="22"/>
  <c r="AP796" i="22" s="1"/>
  <c r="AQ798" i="22" l="1"/>
  <c r="AR797" i="22"/>
  <c r="AP797" i="22" s="1"/>
  <c r="AQ799" i="22" l="1"/>
  <c r="AR798" i="22"/>
  <c r="AP798" i="22" s="1"/>
  <c r="AQ800" i="22" l="1"/>
  <c r="AR799" i="22"/>
  <c r="AP799" i="22" s="1"/>
  <c r="AQ801" i="22" l="1"/>
  <c r="AR800" i="22"/>
  <c r="AP800" i="22" s="1"/>
  <c r="AQ802" i="22" l="1"/>
  <c r="AR801" i="22"/>
  <c r="AP801" i="22" s="1"/>
  <c r="AQ803" i="22" l="1"/>
  <c r="AR802" i="22"/>
  <c r="AP802" i="22" s="1"/>
  <c r="AQ804" i="22" l="1"/>
  <c r="AR803" i="22"/>
  <c r="AP803" i="22" s="1"/>
  <c r="AQ805" i="22" l="1"/>
  <c r="AR804" i="22"/>
  <c r="AP804" i="22" s="1"/>
  <c r="AQ806" i="22" l="1"/>
  <c r="AR805" i="22"/>
  <c r="AP805" i="22" s="1"/>
  <c r="AQ807" i="22" l="1"/>
  <c r="AR806" i="22"/>
  <c r="AP806" i="22" s="1"/>
  <c r="AQ808" i="22" l="1"/>
  <c r="AR807" i="22"/>
  <c r="AP807" i="22" s="1"/>
  <c r="AQ809" i="22" l="1"/>
  <c r="AR808" i="22"/>
  <c r="AP808" i="22" s="1"/>
  <c r="AQ810" i="22" l="1"/>
  <c r="AR809" i="22"/>
  <c r="AP809" i="22" s="1"/>
  <c r="AQ811" i="22" l="1"/>
  <c r="AR810" i="22"/>
  <c r="AP810" i="22" s="1"/>
  <c r="AQ812" i="22" l="1"/>
  <c r="AR811" i="22"/>
  <c r="AP811" i="22" s="1"/>
  <c r="AQ813" i="22" l="1"/>
  <c r="AR812" i="22"/>
  <c r="AP812" i="22" s="1"/>
  <c r="AQ814" i="22" l="1"/>
  <c r="AR813" i="22"/>
  <c r="AP813" i="22" s="1"/>
  <c r="AQ815" i="22" l="1"/>
  <c r="AR814" i="22"/>
  <c r="AP814" i="22" s="1"/>
  <c r="AQ816" i="22" l="1"/>
  <c r="AR815" i="22"/>
  <c r="AP815" i="22" s="1"/>
  <c r="AQ817" i="22" l="1"/>
  <c r="AR816" i="22"/>
  <c r="AP816" i="22" s="1"/>
  <c r="AQ818" i="22" l="1"/>
  <c r="AR817" i="22"/>
  <c r="AP817" i="22" s="1"/>
  <c r="AQ819" i="22" l="1"/>
  <c r="AR818" i="22"/>
  <c r="AP818" i="22" s="1"/>
  <c r="AQ820" i="22" l="1"/>
  <c r="AR819" i="22"/>
  <c r="AP819" i="22" s="1"/>
  <c r="AQ821" i="22" l="1"/>
  <c r="AR820" i="22"/>
  <c r="AP820" i="22" s="1"/>
  <c r="AQ822" i="22" l="1"/>
  <c r="AR821" i="22"/>
  <c r="AP821" i="22" s="1"/>
  <c r="AQ823" i="22" l="1"/>
  <c r="AR822" i="22"/>
  <c r="AP822" i="22" s="1"/>
  <c r="AQ824" i="22" l="1"/>
  <c r="AR823" i="22"/>
  <c r="AP823" i="22" s="1"/>
  <c r="AQ825" i="22" l="1"/>
  <c r="AR824" i="22"/>
  <c r="AP824" i="22" s="1"/>
  <c r="AQ826" i="22" l="1"/>
  <c r="AR825" i="22"/>
  <c r="AP825" i="22" s="1"/>
  <c r="AQ827" i="22" l="1"/>
  <c r="AR826" i="22"/>
  <c r="AP826" i="22" s="1"/>
  <c r="AQ828" i="22" l="1"/>
  <c r="AR827" i="22"/>
  <c r="AP827" i="22" s="1"/>
  <c r="AQ829" i="22" l="1"/>
  <c r="AR828" i="22"/>
  <c r="AP828" i="22" s="1"/>
  <c r="AQ830" i="22" l="1"/>
  <c r="AR829" i="22"/>
  <c r="AP829" i="22" s="1"/>
  <c r="AQ831" i="22" l="1"/>
  <c r="AR830" i="22"/>
  <c r="AP830" i="22" s="1"/>
  <c r="AQ832" i="22" l="1"/>
  <c r="AR831" i="22"/>
  <c r="AP831" i="22" s="1"/>
  <c r="AQ833" i="22" l="1"/>
  <c r="AR832" i="22"/>
  <c r="AP832" i="22" s="1"/>
  <c r="AQ834" i="22" l="1"/>
  <c r="AR833" i="22"/>
  <c r="AP833" i="22" s="1"/>
  <c r="AQ835" i="22" l="1"/>
  <c r="AR834" i="22"/>
  <c r="AP834" i="22" s="1"/>
  <c r="AQ836" i="22" l="1"/>
  <c r="AR835" i="22"/>
  <c r="AP835" i="22" s="1"/>
  <c r="AQ837" i="22" l="1"/>
  <c r="AR836" i="22"/>
  <c r="AP836" i="22" s="1"/>
  <c r="AQ838" i="22" l="1"/>
  <c r="AR837" i="22"/>
  <c r="AP837" i="22" s="1"/>
  <c r="AQ839" i="22" l="1"/>
  <c r="AR838" i="22"/>
  <c r="AP838" i="22" s="1"/>
  <c r="AQ840" i="22" l="1"/>
  <c r="AR839" i="22"/>
  <c r="AP839" i="22" s="1"/>
  <c r="AQ841" i="22" l="1"/>
  <c r="AR840" i="22"/>
  <c r="AP840" i="22" s="1"/>
  <c r="AQ842" i="22" l="1"/>
  <c r="AR841" i="22"/>
  <c r="AP841" i="22" s="1"/>
  <c r="AQ843" i="22" l="1"/>
  <c r="AR842" i="22"/>
  <c r="AP842" i="22" s="1"/>
  <c r="AQ844" i="22" l="1"/>
  <c r="AR843" i="22"/>
  <c r="AP843" i="22" s="1"/>
  <c r="AQ845" i="22" l="1"/>
  <c r="AR844" i="22"/>
  <c r="AP844" i="22" s="1"/>
  <c r="AQ846" i="22" l="1"/>
  <c r="AR845" i="22"/>
  <c r="AP845" i="22" s="1"/>
  <c r="AQ847" i="22" l="1"/>
  <c r="AR846" i="22"/>
  <c r="AP846" i="22" s="1"/>
  <c r="AQ848" i="22" l="1"/>
  <c r="AR847" i="22"/>
  <c r="AP847" i="22" s="1"/>
  <c r="AQ849" i="22" l="1"/>
  <c r="AR848" i="22"/>
  <c r="AP848" i="22" s="1"/>
  <c r="AQ850" i="22" l="1"/>
  <c r="AR849" i="22"/>
  <c r="AP849" i="22" s="1"/>
  <c r="AQ851" i="22" l="1"/>
  <c r="AR850" i="22"/>
  <c r="AP850" i="22" s="1"/>
  <c r="AQ852" i="22" l="1"/>
  <c r="AR851" i="22"/>
  <c r="AP851" i="22" s="1"/>
  <c r="AQ853" i="22" l="1"/>
  <c r="AR852" i="22"/>
  <c r="AP852" i="22" s="1"/>
  <c r="AQ854" i="22" l="1"/>
  <c r="AR853" i="22"/>
  <c r="AP853" i="22" s="1"/>
  <c r="AQ855" i="22" l="1"/>
  <c r="AR854" i="22"/>
  <c r="AP854" i="22" s="1"/>
  <c r="AQ856" i="22" l="1"/>
  <c r="AR855" i="22"/>
  <c r="AP855" i="22" s="1"/>
  <c r="AQ857" i="22" l="1"/>
  <c r="AR856" i="22"/>
  <c r="AP856" i="22" s="1"/>
  <c r="AQ858" i="22" l="1"/>
  <c r="AR857" i="22"/>
  <c r="AP857" i="22" s="1"/>
  <c r="AQ859" i="22" l="1"/>
  <c r="AR858" i="22"/>
  <c r="AP858" i="22" s="1"/>
  <c r="AQ860" i="22" l="1"/>
  <c r="AR859" i="22"/>
  <c r="AP859" i="22" s="1"/>
  <c r="AQ861" i="22" l="1"/>
  <c r="AR860" i="22"/>
  <c r="AP860" i="22" s="1"/>
  <c r="AQ862" i="22" l="1"/>
  <c r="AR861" i="22"/>
  <c r="AP861" i="22" s="1"/>
  <c r="AQ863" i="22" l="1"/>
  <c r="AR862" i="22"/>
  <c r="AP862" i="22" s="1"/>
  <c r="AQ864" i="22" l="1"/>
  <c r="AR863" i="22"/>
  <c r="AP863" i="22" s="1"/>
  <c r="AQ865" i="22" l="1"/>
  <c r="AR864" i="22"/>
  <c r="AP864" i="22" s="1"/>
  <c r="AQ866" i="22" l="1"/>
  <c r="AR865" i="22"/>
  <c r="AP865" i="22" s="1"/>
  <c r="AQ867" i="22" l="1"/>
  <c r="AR866" i="22"/>
  <c r="AP866" i="22" s="1"/>
  <c r="AQ868" i="22" l="1"/>
  <c r="AR867" i="22"/>
  <c r="AP867" i="22" s="1"/>
  <c r="AQ869" i="22" l="1"/>
  <c r="AR868" i="22"/>
  <c r="AP868" i="22" s="1"/>
  <c r="AQ870" i="22" l="1"/>
  <c r="AR869" i="22"/>
  <c r="AP869" i="22" s="1"/>
  <c r="AQ871" i="22" l="1"/>
  <c r="AR870" i="22"/>
  <c r="AP870" i="22" s="1"/>
  <c r="AQ872" i="22" l="1"/>
  <c r="AR871" i="22"/>
  <c r="AP871" i="22" s="1"/>
  <c r="AQ873" i="22" l="1"/>
  <c r="AR872" i="22"/>
  <c r="AP872" i="22" s="1"/>
  <c r="AQ874" i="22" l="1"/>
  <c r="AR873" i="22"/>
  <c r="AP873" i="22" s="1"/>
  <c r="AQ875" i="22" l="1"/>
  <c r="AR874" i="22"/>
  <c r="AP874" i="22" s="1"/>
  <c r="AQ876" i="22" l="1"/>
  <c r="AR875" i="22"/>
  <c r="AP875" i="22" s="1"/>
  <c r="AQ877" i="22" l="1"/>
  <c r="AR876" i="22"/>
  <c r="AP876" i="22" s="1"/>
  <c r="AQ878" i="22" l="1"/>
  <c r="AR877" i="22"/>
  <c r="AP877" i="22" s="1"/>
  <c r="AQ879" i="22" l="1"/>
  <c r="AR878" i="22"/>
  <c r="AP878" i="22" s="1"/>
  <c r="AQ880" i="22" l="1"/>
  <c r="AR879" i="22"/>
  <c r="AP879" i="22" s="1"/>
  <c r="AQ881" i="22" l="1"/>
  <c r="AR880" i="22"/>
  <c r="AP880" i="22" s="1"/>
  <c r="AQ882" i="22" l="1"/>
  <c r="AR881" i="22"/>
  <c r="AP881" i="22" s="1"/>
  <c r="AQ883" i="22" l="1"/>
  <c r="AR882" i="22"/>
  <c r="AP882" i="22" s="1"/>
  <c r="AQ884" i="22" l="1"/>
  <c r="AR883" i="22"/>
  <c r="AP883" i="22" s="1"/>
  <c r="AQ885" i="22" l="1"/>
  <c r="AR884" i="22"/>
  <c r="AP884" i="22" s="1"/>
  <c r="AQ886" i="22" l="1"/>
  <c r="AR885" i="22"/>
  <c r="AP885" i="22" s="1"/>
  <c r="AQ887" i="22" l="1"/>
  <c r="AR886" i="22"/>
  <c r="AP886" i="22" s="1"/>
  <c r="AQ888" i="22" l="1"/>
  <c r="AR887" i="22"/>
  <c r="AP887" i="22" s="1"/>
  <c r="AQ889" i="22" l="1"/>
  <c r="AR888" i="22"/>
  <c r="AP888" i="22" s="1"/>
  <c r="AQ890" i="22" l="1"/>
  <c r="AR889" i="22"/>
  <c r="AP889" i="22" s="1"/>
  <c r="AQ891" i="22" l="1"/>
  <c r="AR890" i="22"/>
  <c r="AP890" i="22" s="1"/>
  <c r="AQ892" i="22" l="1"/>
  <c r="AR891" i="22"/>
  <c r="AP891" i="22" s="1"/>
  <c r="AQ893" i="22" l="1"/>
  <c r="AR892" i="22"/>
  <c r="AP892" i="22" s="1"/>
  <c r="AQ894" i="22" l="1"/>
  <c r="AR893" i="22"/>
  <c r="AP893" i="22" s="1"/>
  <c r="AQ895" i="22" l="1"/>
  <c r="AR894" i="22"/>
  <c r="AP894" i="22" s="1"/>
  <c r="AQ896" i="22" l="1"/>
  <c r="AR895" i="22"/>
  <c r="AP895" i="22" s="1"/>
  <c r="AQ897" i="22" l="1"/>
  <c r="AR896" i="22"/>
  <c r="AP896" i="22" s="1"/>
  <c r="AQ898" i="22" l="1"/>
  <c r="AR897" i="22"/>
  <c r="AP897" i="22" s="1"/>
  <c r="AQ899" i="22" l="1"/>
  <c r="AR898" i="22"/>
  <c r="AP898" i="22" s="1"/>
  <c r="AQ900" i="22" l="1"/>
  <c r="AR899" i="22"/>
  <c r="AP899" i="22" s="1"/>
  <c r="AQ901" i="22" l="1"/>
  <c r="AR900" i="22"/>
  <c r="AP900" i="22" s="1"/>
  <c r="AQ902" i="22" l="1"/>
  <c r="AR901" i="22"/>
  <c r="AP901" i="22" s="1"/>
  <c r="AQ903" i="22" l="1"/>
  <c r="AR902" i="22"/>
  <c r="AP902" i="22" s="1"/>
  <c r="AQ904" i="22" l="1"/>
  <c r="AR903" i="22"/>
  <c r="AP903" i="22" s="1"/>
  <c r="AQ905" i="22" l="1"/>
  <c r="AR904" i="22"/>
  <c r="AP904" i="22" s="1"/>
  <c r="AQ906" i="22" l="1"/>
  <c r="AR905" i="22"/>
  <c r="AP905" i="22" s="1"/>
  <c r="AQ907" i="22" l="1"/>
  <c r="AR906" i="22"/>
  <c r="AP906" i="22" s="1"/>
  <c r="AQ908" i="22" l="1"/>
  <c r="AR907" i="22"/>
  <c r="AP907" i="22" s="1"/>
  <c r="AQ909" i="22" l="1"/>
  <c r="AR908" i="22"/>
  <c r="AP908" i="22" s="1"/>
  <c r="AQ910" i="22" l="1"/>
  <c r="AR909" i="22"/>
  <c r="AP909" i="22" s="1"/>
  <c r="AQ911" i="22" l="1"/>
  <c r="AR910" i="22"/>
  <c r="AP910" i="22" s="1"/>
  <c r="AQ912" i="22" l="1"/>
  <c r="AR911" i="22"/>
  <c r="AP911" i="22" s="1"/>
  <c r="AQ913" i="22" l="1"/>
  <c r="AR912" i="22"/>
  <c r="AP912" i="22" s="1"/>
  <c r="AQ914" i="22" l="1"/>
  <c r="AR913" i="22"/>
  <c r="AP913" i="22" s="1"/>
  <c r="AQ915" i="22" l="1"/>
  <c r="AR914" i="22"/>
  <c r="AP914" i="22" s="1"/>
  <c r="AQ916" i="22" l="1"/>
  <c r="AR915" i="22"/>
  <c r="AP915" i="22" s="1"/>
  <c r="AQ917" i="22" l="1"/>
  <c r="AR916" i="22"/>
  <c r="AP916" i="22" s="1"/>
  <c r="AQ918" i="22" l="1"/>
  <c r="AR917" i="22"/>
  <c r="AP917" i="22" s="1"/>
  <c r="AQ919" i="22" l="1"/>
  <c r="AR918" i="22"/>
  <c r="AP918" i="22" s="1"/>
  <c r="AQ920" i="22" l="1"/>
  <c r="AR919" i="22"/>
  <c r="AP919" i="22" s="1"/>
  <c r="AQ921" i="22" l="1"/>
  <c r="AR920" i="22"/>
  <c r="AP920" i="22" s="1"/>
  <c r="AQ922" i="22" l="1"/>
  <c r="AR921" i="22"/>
  <c r="AP921" i="22" s="1"/>
  <c r="AQ923" i="22" l="1"/>
  <c r="AR922" i="22"/>
  <c r="AP922" i="22" s="1"/>
  <c r="AQ924" i="22" l="1"/>
  <c r="AR923" i="22"/>
  <c r="AP923" i="22" s="1"/>
  <c r="AQ925" i="22" l="1"/>
  <c r="AR924" i="22"/>
  <c r="AP924" i="22" s="1"/>
  <c r="AQ926" i="22" l="1"/>
  <c r="AR925" i="22"/>
  <c r="AP925" i="22" s="1"/>
  <c r="AQ927" i="22" l="1"/>
  <c r="AR926" i="22"/>
  <c r="AP926" i="22" s="1"/>
  <c r="AQ928" i="22" l="1"/>
  <c r="AR927" i="22"/>
  <c r="AP927" i="22" s="1"/>
  <c r="AQ929" i="22" l="1"/>
  <c r="AR928" i="22"/>
  <c r="AP928" i="22" s="1"/>
  <c r="AQ930" i="22" l="1"/>
  <c r="AR929" i="22"/>
  <c r="AP929" i="22" s="1"/>
  <c r="AQ931" i="22" l="1"/>
  <c r="AR930" i="22"/>
  <c r="AP930" i="22" s="1"/>
  <c r="AQ932" i="22" l="1"/>
  <c r="AR931" i="22"/>
  <c r="AP931" i="22" s="1"/>
  <c r="AQ933" i="22" l="1"/>
  <c r="AR932" i="22"/>
  <c r="AP932" i="22" s="1"/>
  <c r="AQ934" i="22" l="1"/>
  <c r="AR933" i="22"/>
  <c r="AP933" i="22" s="1"/>
  <c r="AQ935" i="22" l="1"/>
  <c r="AR934" i="22"/>
  <c r="AP934" i="22" s="1"/>
  <c r="AQ936" i="22" l="1"/>
  <c r="AR935" i="22"/>
  <c r="AP935" i="22" s="1"/>
  <c r="AQ937" i="22" l="1"/>
  <c r="AR936" i="22"/>
  <c r="AP936" i="22" s="1"/>
  <c r="AQ938" i="22" l="1"/>
  <c r="AR937" i="22"/>
  <c r="AP937" i="22" s="1"/>
  <c r="AQ939" i="22" l="1"/>
  <c r="AR938" i="22"/>
  <c r="AP938" i="22" s="1"/>
  <c r="AQ940" i="22" l="1"/>
  <c r="AR939" i="22"/>
  <c r="AP939" i="22" s="1"/>
  <c r="AQ941" i="22" l="1"/>
  <c r="AR940" i="22"/>
  <c r="AP940" i="22" s="1"/>
  <c r="AQ942" i="22" l="1"/>
  <c r="AR941" i="22"/>
  <c r="AP941" i="22" s="1"/>
  <c r="AQ943" i="22" l="1"/>
  <c r="AR942" i="22"/>
  <c r="AP942" i="22" s="1"/>
  <c r="AQ944" i="22" l="1"/>
  <c r="AR943" i="22"/>
  <c r="AP943" i="22" s="1"/>
  <c r="AQ945" i="22" l="1"/>
  <c r="AR944" i="22"/>
  <c r="AP944" i="22" s="1"/>
  <c r="AQ946" i="22" l="1"/>
  <c r="AR945" i="22"/>
  <c r="AP945" i="22" s="1"/>
  <c r="AQ947" i="22" l="1"/>
  <c r="AR946" i="22"/>
  <c r="AP946" i="22" s="1"/>
  <c r="AQ948" i="22" l="1"/>
  <c r="AR947" i="22"/>
  <c r="AP947" i="22" s="1"/>
  <c r="AQ949" i="22" l="1"/>
  <c r="AR948" i="22"/>
  <c r="AP948" i="22" s="1"/>
  <c r="AQ950" i="22" l="1"/>
  <c r="AR949" i="22"/>
  <c r="AP949" i="22" s="1"/>
  <c r="AQ951" i="22" l="1"/>
  <c r="AR950" i="22"/>
  <c r="AP950" i="22" s="1"/>
  <c r="AQ952" i="22" l="1"/>
  <c r="AR951" i="22"/>
  <c r="AP951" i="22" s="1"/>
  <c r="AQ953" i="22" l="1"/>
  <c r="AR952" i="22"/>
  <c r="AP952" i="22" s="1"/>
  <c r="AQ954" i="22" l="1"/>
  <c r="AR953" i="22"/>
  <c r="AP953" i="22" s="1"/>
  <c r="AQ955" i="22" l="1"/>
  <c r="AR954" i="22"/>
  <c r="AP954" i="22" s="1"/>
  <c r="AQ956" i="22" l="1"/>
  <c r="AR955" i="22"/>
  <c r="AP955" i="22" s="1"/>
  <c r="AQ957" i="22" l="1"/>
  <c r="AR956" i="22"/>
  <c r="AP956" i="22" s="1"/>
  <c r="AQ958" i="22" l="1"/>
  <c r="AR957" i="22"/>
  <c r="AP957" i="22" s="1"/>
  <c r="AQ959" i="22" l="1"/>
  <c r="AR958" i="22"/>
  <c r="AP958" i="22" s="1"/>
  <c r="AQ960" i="22" l="1"/>
  <c r="AR959" i="22"/>
  <c r="AP959" i="22" s="1"/>
  <c r="AQ961" i="22" l="1"/>
  <c r="AR960" i="22"/>
  <c r="AP960" i="22" s="1"/>
  <c r="AQ962" i="22" l="1"/>
  <c r="AR961" i="22"/>
  <c r="AP961" i="22" s="1"/>
  <c r="AQ963" i="22" l="1"/>
  <c r="AR962" i="22"/>
  <c r="AP962" i="22" s="1"/>
  <c r="AQ964" i="22" l="1"/>
  <c r="AR963" i="22"/>
  <c r="AP963" i="22" s="1"/>
  <c r="AQ965" i="22" l="1"/>
  <c r="AR964" i="22"/>
  <c r="AP964" i="22" s="1"/>
  <c r="AQ966" i="22" l="1"/>
  <c r="AR965" i="22"/>
  <c r="AP965" i="22" s="1"/>
  <c r="AQ967" i="22" l="1"/>
  <c r="AR966" i="22"/>
  <c r="AP966" i="22" s="1"/>
  <c r="AQ968" i="22" l="1"/>
  <c r="AR967" i="22"/>
  <c r="AP967" i="22" s="1"/>
  <c r="AQ969" i="22" l="1"/>
  <c r="AR968" i="22"/>
  <c r="AP968" i="22" s="1"/>
  <c r="AQ970" i="22" l="1"/>
  <c r="AR969" i="22"/>
  <c r="AP969" i="22" s="1"/>
  <c r="AQ971" i="22" l="1"/>
  <c r="AR970" i="22"/>
  <c r="AP970" i="22" s="1"/>
  <c r="AQ972" i="22" l="1"/>
  <c r="AR971" i="22"/>
  <c r="AP971" i="22" s="1"/>
  <c r="AQ973" i="22" l="1"/>
  <c r="AR972" i="22"/>
  <c r="AP972" i="22" s="1"/>
  <c r="AQ974" i="22" l="1"/>
  <c r="AR973" i="22"/>
  <c r="AP973" i="22" s="1"/>
  <c r="AQ975" i="22" l="1"/>
  <c r="AR974" i="22"/>
  <c r="AP974" i="22" s="1"/>
  <c r="AQ976" i="22" l="1"/>
  <c r="AR975" i="22"/>
  <c r="AP975" i="22" s="1"/>
  <c r="AQ977" i="22" l="1"/>
  <c r="AR976" i="22"/>
  <c r="AP976" i="22" s="1"/>
  <c r="AQ978" i="22" l="1"/>
  <c r="AR977" i="22"/>
  <c r="AP977" i="22" s="1"/>
  <c r="AQ979" i="22" l="1"/>
  <c r="AR978" i="22"/>
  <c r="AP978" i="22" s="1"/>
  <c r="AQ980" i="22" l="1"/>
  <c r="AR979" i="22"/>
  <c r="AP979" i="22" s="1"/>
  <c r="AQ981" i="22" l="1"/>
  <c r="AR980" i="22"/>
  <c r="AP980" i="22" s="1"/>
  <c r="AQ982" i="22" l="1"/>
  <c r="AR981" i="22"/>
  <c r="AP981" i="22" s="1"/>
  <c r="AQ983" i="22" l="1"/>
  <c r="AR982" i="22"/>
  <c r="AP982" i="22" s="1"/>
  <c r="AQ984" i="22" l="1"/>
  <c r="AR983" i="22"/>
  <c r="AP983" i="22" s="1"/>
  <c r="AQ985" i="22" l="1"/>
  <c r="AR984" i="22"/>
  <c r="AP984" i="22" s="1"/>
  <c r="AQ986" i="22" l="1"/>
  <c r="AR985" i="22"/>
  <c r="AP985" i="22" s="1"/>
  <c r="AQ987" i="22" l="1"/>
  <c r="AR986" i="22"/>
  <c r="AP986" i="22" s="1"/>
  <c r="AQ988" i="22" l="1"/>
  <c r="AR987" i="22"/>
  <c r="AP987" i="22" s="1"/>
  <c r="AQ989" i="22" l="1"/>
  <c r="AR988" i="22"/>
  <c r="AP988" i="22" s="1"/>
  <c r="AQ990" i="22" l="1"/>
  <c r="AR989" i="22"/>
  <c r="AP989" i="22" s="1"/>
  <c r="AQ991" i="22" l="1"/>
  <c r="AR990" i="22"/>
  <c r="AP990" i="22" s="1"/>
  <c r="AQ992" i="22" l="1"/>
  <c r="AR991" i="22"/>
  <c r="AP991" i="22" s="1"/>
  <c r="AQ993" i="22" l="1"/>
  <c r="AR992" i="22"/>
  <c r="AP992" i="22" s="1"/>
  <c r="AQ994" i="22" l="1"/>
  <c r="AR993" i="22"/>
  <c r="AP993" i="22" s="1"/>
  <c r="AQ995" i="22" l="1"/>
  <c r="AR994" i="22"/>
  <c r="AP994" i="22" s="1"/>
  <c r="AQ996" i="22" l="1"/>
  <c r="AR995" i="22"/>
  <c r="AP995" i="22" s="1"/>
  <c r="AQ997" i="22" l="1"/>
  <c r="AR996" i="22"/>
  <c r="AP996" i="22" s="1"/>
  <c r="AQ998" i="22" l="1"/>
  <c r="AR997" i="22"/>
  <c r="AP997" i="22" s="1"/>
  <c r="AQ999" i="22" l="1"/>
  <c r="AR998" i="22"/>
  <c r="AP998" i="22" s="1"/>
  <c r="AQ1000" i="22" l="1"/>
  <c r="AR999" i="22"/>
  <c r="AP999" i="22" s="1"/>
  <c r="AQ1001" i="22" l="1"/>
  <c r="AR1000" i="22"/>
  <c r="AP1000" i="22" s="1"/>
  <c r="AQ1002" i="22" l="1"/>
  <c r="AR1001" i="22"/>
  <c r="AP1001" i="22" s="1"/>
  <c r="AQ1003" i="22" l="1"/>
  <c r="AR1002" i="22"/>
  <c r="AP1002" i="22" s="1"/>
  <c r="AQ1004" i="22" l="1"/>
  <c r="AR1003" i="22"/>
  <c r="AP1003" i="22" s="1"/>
  <c r="AQ1005" i="22" l="1"/>
  <c r="AR1004" i="22"/>
  <c r="AP1004" i="22" s="1"/>
  <c r="AQ1006" i="22" l="1"/>
  <c r="AR1005" i="22"/>
  <c r="AP1005" i="22" s="1"/>
  <c r="AQ1007" i="22" l="1"/>
  <c r="AR1006" i="22"/>
  <c r="AP1006" i="22" s="1"/>
  <c r="AQ1008" i="22" l="1"/>
  <c r="AR1007" i="22"/>
  <c r="AP1007" i="22" s="1"/>
  <c r="AQ1009" i="22" l="1"/>
  <c r="AR1008" i="22"/>
  <c r="AP1008" i="22" s="1"/>
  <c r="AQ1010" i="22" l="1"/>
  <c r="AR1009" i="22"/>
  <c r="AP1009" i="22" s="1"/>
  <c r="AQ1011" i="22" l="1"/>
  <c r="AR1010" i="22"/>
  <c r="AP1010" i="22" s="1"/>
  <c r="AQ1012" i="22" l="1"/>
  <c r="AR1011" i="22"/>
  <c r="AP1011" i="22" s="1"/>
  <c r="AQ1013" i="22" l="1"/>
  <c r="AR1012" i="22"/>
  <c r="AP1012" i="22" s="1"/>
  <c r="AQ1014" i="22" l="1"/>
  <c r="AR1013" i="22"/>
  <c r="AP1013" i="22" s="1"/>
  <c r="AQ1015" i="22" l="1"/>
  <c r="AR1014" i="22"/>
  <c r="AP1014" i="22" s="1"/>
  <c r="AQ1016" i="22" l="1"/>
  <c r="AR1015" i="22"/>
  <c r="AP1015" i="22" s="1"/>
  <c r="AQ1017" i="22" l="1"/>
  <c r="AR1016" i="22"/>
  <c r="AP1016" i="22" s="1"/>
  <c r="AQ1018" i="22" l="1"/>
  <c r="AR1017" i="22"/>
  <c r="AP1017" i="22" s="1"/>
  <c r="AQ1019" i="22" l="1"/>
  <c r="AR1018" i="22"/>
  <c r="AP1018" i="22" s="1"/>
  <c r="AQ1020" i="22" l="1"/>
  <c r="AR1019" i="22"/>
  <c r="AP1019" i="22" s="1"/>
  <c r="AQ1021" i="22" l="1"/>
  <c r="AR1020" i="22"/>
  <c r="AP1020" i="22" s="1"/>
  <c r="AQ1022" i="22" l="1"/>
  <c r="AR1021" i="22"/>
  <c r="AP1021" i="22" s="1"/>
  <c r="AQ1023" i="22" l="1"/>
  <c r="AR1022" i="22"/>
  <c r="AP1022" i="22" s="1"/>
  <c r="AQ1024" i="22" l="1"/>
  <c r="AR1023" i="22"/>
  <c r="AP1023" i="22" s="1"/>
  <c r="AQ1025" i="22" l="1"/>
  <c r="AR1024" i="22"/>
  <c r="AP1024" i="22" s="1"/>
  <c r="AQ1026" i="22" l="1"/>
  <c r="AR1025" i="22"/>
  <c r="AP1025" i="22" s="1"/>
  <c r="AQ1027" i="22" l="1"/>
  <c r="AR1026" i="22"/>
  <c r="AP1026" i="22" s="1"/>
  <c r="AQ1028" i="22" l="1"/>
  <c r="AR1027" i="22"/>
  <c r="AP1027" i="22" s="1"/>
  <c r="AQ1029" i="22" l="1"/>
  <c r="AR1028" i="22"/>
  <c r="AP1028" i="22" s="1"/>
  <c r="AQ1030" i="22" l="1"/>
  <c r="AR1029" i="22"/>
  <c r="AP1029" i="22" s="1"/>
  <c r="AQ1031" i="22" l="1"/>
  <c r="AR1030" i="22"/>
  <c r="AP1030" i="22" s="1"/>
  <c r="AQ1032" i="22" l="1"/>
  <c r="AR1031" i="22"/>
  <c r="AP1031" i="22" s="1"/>
  <c r="AQ1033" i="22" l="1"/>
  <c r="AR1032" i="22"/>
  <c r="AP1032" i="22" s="1"/>
  <c r="AQ1034" i="22" l="1"/>
  <c r="AR1033" i="22"/>
  <c r="AP1033" i="22" s="1"/>
  <c r="AQ1035" i="22" l="1"/>
  <c r="AR1034" i="22"/>
  <c r="AP1034" i="22" s="1"/>
  <c r="AQ1036" i="22" l="1"/>
  <c r="AR1035" i="22"/>
  <c r="AP1035" i="22" s="1"/>
  <c r="AQ1037" i="22" l="1"/>
  <c r="AR1036" i="22"/>
  <c r="AP1036" i="22" s="1"/>
  <c r="AQ1038" i="22" l="1"/>
  <c r="AR1037" i="22"/>
  <c r="AP1037" i="22" s="1"/>
  <c r="AQ1039" i="22" l="1"/>
  <c r="AR1038" i="22"/>
  <c r="AP1038" i="22" s="1"/>
  <c r="AQ1040" i="22" l="1"/>
  <c r="AR1039" i="22"/>
  <c r="AP1039" i="22" s="1"/>
  <c r="AQ1041" i="22" l="1"/>
  <c r="AR1040" i="22"/>
  <c r="AP1040" i="22" s="1"/>
  <c r="AQ1042" i="22" l="1"/>
  <c r="AR1041" i="22"/>
  <c r="AP1041" i="22" s="1"/>
  <c r="AQ1043" i="22" l="1"/>
  <c r="AR1042" i="22"/>
  <c r="AP1042" i="22" s="1"/>
  <c r="AQ1044" i="22" l="1"/>
  <c r="AR1043" i="22"/>
  <c r="AP1043" i="22" s="1"/>
  <c r="AQ1045" i="22" l="1"/>
  <c r="AR1044" i="22"/>
  <c r="AP1044" i="22" s="1"/>
  <c r="AQ1046" i="22" l="1"/>
  <c r="AR1045" i="22"/>
  <c r="AP1045" i="22" s="1"/>
  <c r="AQ1047" i="22" l="1"/>
  <c r="AR1046" i="22"/>
  <c r="AP1046" i="22" s="1"/>
  <c r="AQ1048" i="22" l="1"/>
  <c r="AR1047" i="22"/>
  <c r="AP1047" i="22" s="1"/>
  <c r="AQ1049" i="22" l="1"/>
  <c r="AR1048" i="22"/>
  <c r="AP1048" i="22" s="1"/>
  <c r="AQ1050" i="22" l="1"/>
  <c r="AR1049" i="22"/>
  <c r="AP1049" i="22" s="1"/>
  <c r="AQ1051" i="22" l="1"/>
  <c r="AR1050" i="22"/>
  <c r="AP1050" i="22" s="1"/>
  <c r="AQ1052" i="22" l="1"/>
  <c r="AR1051" i="22"/>
  <c r="AP1051" i="22" s="1"/>
  <c r="AQ1053" i="22" l="1"/>
  <c r="AR1052" i="22"/>
  <c r="AP1052" i="22" s="1"/>
  <c r="AQ1054" i="22" l="1"/>
  <c r="AR1053" i="22"/>
  <c r="AP1053" i="22" s="1"/>
  <c r="AQ1055" i="22" l="1"/>
  <c r="AR1054" i="22"/>
  <c r="AP1054" i="22" s="1"/>
  <c r="AQ1056" i="22" l="1"/>
  <c r="AR1055" i="22"/>
  <c r="AP1055" i="22" s="1"/>
  <c r="AQ1057" i="22" l="1"/>
  <c r="AR1056" i="22"/>
  <c r="AP1056" i="22" s="1"/>
  <c r="AQ1058" i="22" l="1"/>
  <c r="AR1057" i="22"/>
  <c r="AP1057" i="22" s="1"/>
  <c r="AQ1059" i="22" l="1"/>
  <c r="AR1058" i="22"/>
  <c r="AP1058" i="22" s="1"/>
  <c r="AQ1060" i="22" l="1"/>
  <c r="AR1059" i="22"/>
  <c r="AP1059" i="22" s="1"/>
  <c r="AQ1061" i="22" l="1"/>
  <c r="AR1060" i="22"/>
  <c r="AP1060" i="22" s="1"/>
  <c r="AQ1062" i="22" l="1"/>
  <c r="AR1061" i="22"/>
  <c r="AP1061" i="22" s="1"/>
  <c r="AQ1063" i="22" l="1"/>
  <c r="AR1062" i="22"/>
  <c r="AP1062" i="22" s="1"/>
  <c r="AQ1064" i="22" l="1"/>
  <c r="AR1063" i="22"/>
  <c r="AP1063" i="22" s="1"/>
  <c r="AQ1065" i="22" l="1"/>
  <c r="AR1064" i="22"/>
  <c r="AP1064" i="22" s="1"/>
  <c r="AQ1066" i="22" l="1"/>
  <c r="AR1065" i="22"/>
  <c r="AP1065" i="22" s="1"/>
  <c r="AQ1067" i="22" l="1"/>
  <c r="AR1066" i="22"/>
  <c r="AP1066" i="22" s="1"/>
  <c r="AQ1068" i="22" l="1"/>
  <c r="AR1067" i="22"/>
  <c r="AP1067" i="22" s="1"/>
  <c r="AQ1069" i="22" l="1"/>
  <c r="AR1068" i="22"/>
  <c r="AP1068" i="22" s="1"/>
  <c r="AQ1070" i="22" l="1"/>
  <c r="AR1069" i="22"/>
  <c r="AP1069" i="22" s="1"/>
  <c r="AQ1071" i="22" l="1"/>
  <c r="AR1070" i="22"/>
  <c r="AP1070" i="22" s="1"/>
  <c r="AQ1072" i="22" l="1"/>
  <c r="AR1071" i="22"/>
  <c r="AP1071" i="22" s="1"/>
  <c r="AQ1073" i="22" l="1"/>
  <c r="AR1072" i="22"/>
  <c r="AP1072" i="22" s="1"/>
  <c r="AQ1074" i="22" l="1"/>
  <c r="AR1073" i="22"/>
  <c r="AP1073" i="22" s="1"/>
  <c r="AQ1075" i="22" l="1"/>
  <c r="AR1074" i="22"/>
  <c r="AP1074" i="22" s="1"/>
  <c r="AQ1076" i="22" l="1"/>
  <c r="AR1075" i="22"/>
  <c r="AP1075" i="22" s="1"/>
  <c r="AQ1077" i="22" l="1"/>
  <c r="AR1076" i="22"/>
  <c r="AP1076" i="22" s="1"/>
  <c r="AQ1078" i="22" l="1"/>
  <c r="AR1077" i="22"/>
  <c r="AP1077" i="22" s="1"/>
  <c r="AQ1079" i="22" l="1"/>
  <c r="AR1078" i="22"/>
  <c r="AP1078" i="22" s="1"/>
  <c r="AQ1080" i="22" l="1"/>
  <c r="AR1079" i="22"/>
  <c r="AP1079" i="22" s="1"/>
  <c r="AQ1081" i="22" l="1"/>
  <c r="AR1080" i="22"/>
  <c r="AP1080" i="22" s="1"/>
  <c r="AQ1082" i="22" l="1"/>
  <c r="AR1081" i="22"/>
  <c r="AP1081" i="22" s="1"/>
  <c r="AQ1083" i="22" l="1"/>
  <c r="AR1082" i="22"/>
  <c r="AP1082" i="22" s="1"/>
  <c r="AQ1084" i="22" l="1"/>
  <c r="AR1083" i="22"/>
  <c r="AP1083" i="22" s="1"/>
  <c r="AQ1085" i="22" l="1"/>
  <c r="AR1084" i="22"/>
  <c r="AP1084" i="22" s="1"/>
  <c r="AQ1086" i="22" l="1"/>
  <c r="AR1085" i="22"/>
  <c r="AP1085" i="22" s="1"/>
  <c r="AQ1087" i="22" l="1"/>
  <c r="AR1086" i="22"/>
  <c r="AP1086" i="22" s="1"/>
  <c r="AQ1088" i="22" l="1"/>
  <c r="AR1087" i="22"/>
  <c r="AP1087" i="22" s="1"/>
  <c r="AQ1089" i="22" l="1"/>
  <c r="AR1088" i="22"/>
  <c r="AP1088" i="22" s="1"/>
  <c r="AQ1090" i="22" l="1"/>
  <c r="AR1089" i="22"/>
  <c r="AP1089" i="22" s="1"/>
  <c r="AQ1091" i="22" l="1"/>
  <c r="AR1090" i="22"/>
  <c r="AP1090" i="22" s="1"/>
  <c r="AQ1092" i="22" l="1"/>
  <c r="AR1091" i="22"/>
  <c r="AP1091" i="22" s="1"/>
  <c r="AQ1093" i="22" l="1"/>
  <c r="AR1092" i="22"/>
  <c r="AP1092" i="22" s="1"/>
  <c r="AQ1094" i="22" l="1"/>
  <c r="AR1093" i="22"/>
  <c r="AP1093" i="22" s="1"/>
  <c r="AQ1095" i="22" l="1"/>
  <c r="AR1094" i="22"/>
  <c r="AP1094" i="22" s="1"/>
  <c r="AQ1096" i="22" l="1"/>
  <c r="AR1095" i="22"/>
  <c r="AP1095" i="22" s="1"/>
  <c r="AQ1097" i="22" l="1"/>
  <c r="AR1096" i="22"/>
  <c r="AP1096" i="22" s="1"/>
  <c r="AQ1098" i="22" l="1"/>
  <c r="AR1097" i="22"/>
  <c r="AP1097" i="22" s="1"/>
  <c r="AQ1099" i="22" l="1"/>
  <c r="AR1098" i="22"/>
  <c r="AP1098" i="22" s="1"/>
  <c r="AQ1100" i="22" l="1"/>
  <c r="AR1099" i="22"/>
  <c r="AP1099" i="22" s="1"/>
  <c r="AQ1101" i="22" l="1"/>
  <c r="AR1100" i="22"/>
  <c r="AP1100" i="22" s="1"/>
  <c r="AQ1102" i="22" l="1"/>
  <c r="AR1101" i="22"/>
  <c r="AP1101" i="22" s="1"/>
  <c r="AQ1103" i="22" l="1"/>
  <c r="AR1102" i="22"/>
  <c r="AP1102" i="22" s="1"/>
  <c r="AQ1104" i="22" l="1"/>
  <c r="AR1103" i="22"/>
  <c r="AP1103" i="22" s="1"/>
  <c r="AQ1105" i="22" l="1"/>
  <c r="AR1104" i="22"/>
  <c r="AP1104" i="22" s="1"/>
  <c r="AQ1106" i="22" l="1"/>
  <c r="AR1105" i="22"/>
  <c r="AP1105" i="22" s="1"/>
  <c r="AQ1107" i="22" l="1"/>
  <c r="AR1106" i="22"/>
  <c r="AP1106" i="22" s="1"/>
  <c r="AQ1108" i="22" l="1"/>
  <c r="AR1107" i="22"/>
  <c r="AP1107" i="22" s="1"/>
  <c r="AQ1109" i="22" l="1"/>
  <c r="AR1108" i="22"/>
  <c r="AP1108" i="22" s="1"/>
  <c r="AQ1110" i="22" l="1"/>
  <c r="AR1109" i="22"/>
  <c r="AP1109" i="22" s="1"/>
  <c r="AQ1111" i="22" l="1"/>
  <c r="AR1110" i="22"/>
  <c r="AP1110" i="22" s="1"/>
  <c r="AQ1112" i="22" l="1"/>
  <c r="AR1111" i="22"/>
  <c r="AP1111" i="22" s="1"/>
  <c r="AQ1113" i="22" l="1"/>
  <c r="AR1112" i="22"/>
  <c r="AP1112" i="22" s="1"/>
  <c r="AQ1114" i="22" l="1"/>
  <c r="AR1113" i="22"/>
  <c r="AP1113" i="22" s="1"/>
  <c r="AQ1115" i="22" l="1"/>
  <c r="AR1114" i="22"/>
  <c r="AP1114" i="22" s="1"/>
  <c r="AQ1116" i="22" l="1"/>
  <c r="AR1115" i="22"/>
  <c r="AP1115" i="22" s="1"/>
  <c r="AQ1117" i="22" l="1"/>
  <c r="AR1116" i="22"/>
  <c r="AP1116" i="22" s="1"/>
  <c r="AQ1118" i="22" l="1"/>
  <c r="AR1117" i="22"/>
  <c r="AP1117" i="22" s="1"/>
  <c r="AQ1119" i="22" l="1"/>
  <c r="AR1118" i="22"/>
  <c r="AP1118" i="22" s="1"/>
  <c r="AQ1120" i="22" l="1"/>
  <c r="AR1119" i="22"/>
  <c r="AP1119" i="22" s="1"/>
  <c r="AQ1121" i="22" l="1"/>
  <c r="AR1120" i="22"/>
  <c r="AP1120" i="22" s="1"/>
  <c r="AQ1122" i="22" l="1"/>
  <c r="AR1121" i="22"/>
  <c r="AP1121" i="22" s="1"/>
  <c r="AQ1123" i="22" l="1"/>
  <c r="AR1122" i="22"/>
  <c r="AP1122" i="22" s="1"/>
  <c r="AQ1124" i="22" l="1"/>
  <c r="AR1123" i="22"/>
  <c r="AP1123" i="22" s="1"/>
  <c r="AQ1125" i="22" l="1"/>
  <c r="AR1124" i="22"/>
  <c r="AP1124" i="22" s="1"/>
  <c r="AQ1126" i="22" l="1"/>
  <c r="AR1125" i="22"/>
  <c r="AP1125" i="22" s="1"/>
  <c r="AQ1127" i="22" l="1"/>
  <c r="AR1126" i="22"/>
  <c r="AP1126" i="22" s="1"/>
  <c r="AQ1128" i="22" l="1"/>
  <c r="AR1127" i="22"/>
  <c r="AP1127" i="22" s="1"/>
  <c r="AQ1129" i="22" l="1"/>
  <c r="AR1128" i="22"/>
  <c r="AP1128" i="22" s="1"/>
  <c r="AQ1130" i="22" l="1"/>
  <c r="AR1129" i="22"/>
  <c r="AP1129" i="22" s="1"/>
  <c r="AQ1131" i="22" l="1"/>
  <c r="AR1130" i="22"/>
  <c r="AP1130" i="22" s="1"/>
  <c r="AQ1132" i="22" l="1"/>
  <c r="AR1131" i="22"/>
  <c r="AP1131" i="22" s="1"/>
  <c r="AQ1133" i="22" l="1"/>
  <c r="AR1132" i="22"/>
  <c r="AP1132" i="22" s="1"/>
  <c r="AQ1134" i="22" l="1"/>
  <c r="AR1133" i="22"/>
  <c r="AP1133" i="22" s="1"/>
  <c r="AQ1135" i="22" l="1"/>
  <c r="AR1134" i="22"/>
  <c r="AP1134" i="22" s="1"/>
  <c r="AQ1136" i="22" l="1"/>
  <c r="AR1135" i="22"/>
  <c r="AP1135" i="22" s="1"/>
  <c r="AQ1137" i="22" l="1"/>
  <c r="AR1136" i="22"/>
  <c r="AP1136" i="22" s="1"/>
  <c r="AQ1138" i="22" l="1"/>
  <c r="AR1137" i="22"/>
  <c r="AP1137" i="22" s="1"/>
  <c r="AQ1139" i="22" l="1"/>
  <c r="AR1138" i="22"/>
  <c r="AP1138" i="22" s="1"/>
  <c r="AQ1140" i="22" l="1"/>
  <c r="AR1139" i="22"/>
  <c r="AP1139" i="22" s="1"/>
  <c r="AQ1141" i="22" l="1"/>
  <c r="AR1140" i="22"/>
  <c r="AP1140" i="22" s="1"/>
  <c r="AQ1142" i="22" l="1"/>
  <c r="AR1141" i="22"/>
  <c r="AP1141" i="22" s="1"/>
  <c r="AQ1143" i="22" l="1"/>
  <c r="AR1142" i="22"/>
  <c r="AP1142" i="22" s="1"/>
  <c r="AQ1144" i="22" l="1"/>
  <c r="AR1143" i="22"/>
  <c r="AP1143" i="22" s="1"/>
  <c r="AQ1145" i="22" l="1"/>
  <c r="AR1144" i="22"/>
  <c r="AP1144" i="22" s="1"/>
  <c r="AQ1146" i="22" l="1"/>
  <c r="AR1145" i="22"/>
  <c r="AP1145" i="22" s="1"/>
  <c r="AQ1147" i="22" l="1"/>
  <c r="AR1146" i="22"/>
  <c r="AP1146" i="22" s="1"/>
  <c r="AQ1148" i="22" l="1"/>
  <c r="AR1147" i="22"/>
  <c r="AP1147" i="22" s="1"/>
  <c r="AQ1149" i="22" l="1"/>
  <c r="AR1148" i="22"/>
  <c r="AP1148" i="22" s="1"/>
  <c r="AQ1150" i="22" l="1"/>
  <c r="AR1149" i="22"/>
  <c r="AP1149" i="22" s="1"/>
  <c r="AQ1151" i="22" l="1"/>
  <c r="AR1150" i="22"/>
  <c r="AP1150" i="22" s="1"/>
  <c r="AQ1152" i="22" l="1"/>
  <c r="AR1151" i="22"/>
  <c r="AP1151" i="22" s="1"/>
  <c r="AQ1153" i="22" l="1"/>
  <c r="AR1152" i="22"/>
  <c r="AP1152" i="22" s="1"/>
  <c r="AQ1154" i="22" l="1"/>
  <c r="AR1153" i="22"/>
  <c r="AP1153" i="22" s="1"/>
  <c r="AQ1155" i="22" l="1"/>
  <c r="AR1154" i="22"/>
  <c r="AP1154" i="22" s="1"/>
  <c r="AQ1156" i="22" l="1"/>
  <c r="AR1155" i="22"/>
  <c r="AP1155" i="22" s="1"/>
  <c r="AQ1157" i="22" l="1"/>
  <c r="AR1156" i="22"/>
  <c r="AP1156" i="22" s="1"/>
  <c r="AQ1158" i="22" l="1"/>
  <c r="AR1157" i="22"/>
  <c r="AP1157" i="22" s="1"/>
  <c r="AQ1159" i="22" l="1"/>
  <c r="AR1158" i="22"/>
  <c r="AP1158" i="22" s="1"/>
  <c r="AQ1160" i="22" l="1"/>
  <c r="AR1159" i="22"/>
  <c r="AP1159" i="22" s="1"/>
  <c r="AQ1161" i="22" l="1"/>
  <c r="AR1160" i="22"/>
  <c r="AP1160" i="22" s="1"/>
  <c r="AQ1162" i="22" l="1"/>
  <c r="AR1161" i="22"/>
  <c r="AP1161" i="22" s="1"/>
  <c r="AQ1163" i="22" l="1"/>
  <c r="AR1162" i="22"/>
  <c r="AP1162" i="22" s="1"/>
  <c r="AQ1164" i="22" l="1"/>
  <c r="AR1163" i="22"/>
  <c r="AP1163" i="22" s="1"/>
  <c r="AQ1165" i="22" l="1"/>
  <c r="AR1164" i="22"/>
  <c r="AP1164" i="22" s="1"/>
  <c r="AQ1166" i="22" l="1"/>
  <c r="AR1165" i="22"/>
  <c r="AP1165" i="22" s="1"/>
  <c r="AQ1167" i="22" l="1"/>
  <c r="AR1166" i="22"/>
  <c r="AP1166" i="22" s="1"/>
  <c r="AQ1168" i="22" l="1"/>
  <c r="AR1167" i="22"/>
  <c r="AP1167" i="22" s="1"/>
  <c r="AQ1169" i="22" l="1"/>
  <c r="AR1168" i="22"/>
  <c r="AP1168" i="22" s="1"/>
  <c r="AQ1170" i="22" l="1"/>
  <c r="AR1169" i="22"/>
  <c r="AP1169" i="22" s="1"/>
  <c r="AQ1171" i="22" l="1"/>
  <c r="AR1170" i="22"/>
  <c r="AP1170" i="22" s="1"/>
  <c r="AQ1172" i="22" l="1"/>
  <c r="AR1171" i="22"/>
  <c r="AP1171" i="22" s="1"/>
  <c r="AQ1173" i="22" l="1"/>
  <c r="AR1172" i="22"/>
  <c r="AP1172" i="22" s="1"/>
  <c r="AQ1174" i="22" l="1"/>
  <c r="AR1173" i="22"/>
  <c r="AP1173" i="22" s="1"/>
  <c r="AQ1175" i="22" l="1"/>
  <c r="AR1174" i="22"/>
  <c r="AP1174" i="22" s="1"/>
  <c r="AQ1176" i="22" l="1"/>
  <c r="AR1175" i="22"/>
  <c r="AP1175" i="22" s="1"/>
  <c r="AQ1177" i="22" l="1"/>
  <c r="AR1176" i="22"/>
  <c r="AP1176" i="22" s="1"/>
  <c r="AQ1178" i="22" l="1"/>
  <c r="AR1177" i="22"/>
  <c r="AP1177" i="22" s="1"/>
  <c r="AQ1179" i="22" l="1"/>
  <c r="AR1178" i="22"/>
  <c r="AP1178" i="22" s="1"/>
  <c r="AQ1180" i="22" l="1"/>
  <c r="AR1179" i="22"/>
  <c r="AP1179" i="22" s="1"/>
  <c r="AQ1181" i="22" l="1"/>
  <c r="AR1180" i="22"/>
  <c r="AP1180" i="22" s="1"/>
  <c r="AQ1182" i="22" l="1"/>
  <c r="AR1181" i="22"/>
  <c r="AP1181" i="22" s="1"/>
  <c r="AQ1183" i="22" l="1"/>
  <c r="AR1182" i="22"/>
  <c r="AP1182" i="22" s="1"/>
  <c r="AQ1184" i="22" l="1"/>
  <c r="AR1183" i="22"/>
  <c r="AP1183" i="22" s="1"/>
  <c r="AQ1185" i="22" l="1"/>
  <c r="AR1184" i="22"/>
  <c r="AP1184" i="22" s="1"/>
  <c r="AQ1186" i="22" l="1"/>
  <c r="AR1185" i="22"/>
  <c r="AP1185" i="22" s="1"/>
  <c r="AQ1187" i="22" l="1"/>
  <c r="AR1186" i="22"/>
  <c r="AP1186" i="22" s="1"/>
  <c r="AQ1188" i="22" l="1"/>
  <c r="AR1187" i="22"/>
  <c r="AP1187" i="22" s="1"/>
  <c r="AQ1189" i="22" l="1"/>
  <c r="AR1188" i="22"/>
  <c r="AP1188" i="22" s="1"/>
  <c r="AQ1190" i="22" l="1"/>
  <c r="AR1189" i="22"/>
  <c r="AP1189" i="22" s="1"/>
  <c r="AQ1191" i="22" l="1"/>
  <c r="AR1190" i="22"/>
  <c r="AP1190" i="22" s="1"/>
  <c r="AQ1192" i="22" l="1"/>
  <c r="AR1191" i="22"/>
  <c r="AP1191" i="22" s="1"/>
  <c r="AQ1193" i="22" l="1"/>
  <c r="AR1192" i="22"/>
  <c r="AP1192" i="22" s="1"/>
  <c r="AQ1194" i="22" l="1"/>
  <c r="AR1193" i="22"/>
  <c r="AP1193" i="22" s="1"/>
  <c r="AQ1195" i="22" l="1"/>
  <c r="AR1194" i="22"/>
  <c r="AP1194" i="22" s="1"/>
  <c r="AQ1196" i="22" l="1"/>
  <c r="AR1195" i="22"/>
  <c r="AP1195" i="22" s="1"/>
  <c r="AQ1197" i="22" l="1"/>
  <c r="AR1196" i="22"/>
  <c r="AP1196" i="22" s="1"/>
  <c r="AQ1198" i="22" l="1"/>
  <c r="AR1197" i="22"/>
  <c r="AP1197" i="22" s="1"/>
  <c r="AQ1199" i="22" l="1"/>
  <c r="AR1198" i="22"/>
  <c r="AP1198" i="22" s="1"/>
  <c r="AQ1200" i="22" l="1"/>
  <c r="AR1199" i="22"/>
  <c r="AP1199" i="22" s="1"/>
  <c r="AQ1201" i="22" l="1"/>
  <c r="AR1200" i="22"/>
  <c r="AP1200" i="22" s="1"/>
  <c r="AQ1202" i="22" l="1"/>
  <c r="AR1201" i="22"/>
  <c r="AP1201" i="22" s="1"/>
  <c r="AQ1203" i="22" l="1"/>
  <c r="AR1202" i="22"/>
  <c r="AP1202" i="22" s="1"/>
  <c r="AQ1204" i="22" l="1"/>
  <c r="AR1203" i="22"/>
  <c r="AP1203" i="22" s="1"/>
  <c r="AQ1205" i="22" l="1"/>
  <c r="AR1204" i="22"/>
  <c r="AP1204" i="22" s="1"/>
  <c r="AQ1206" i="22" l="1"/>
  <c r="AR1205" i="22"/>
  <c r="AP1205" i="22" s="1"/>
  <c r="AQ1207" i="22" l="1"/>
  <c r="AR1206" i="22"/>
  <c r="AP1206" i="22" s="1"/>
  <c r="AQ1208" i="22" l="1"/>
  <c r="AR1207" i="22"/>
  <c r="AP1207" i="22" s="1"/>
  <c r="AQ1209" i="22" l="1"/>
  <c r="AR1208" i="22"/>
  <c r="AP1208" i="22" s="1"/>
  <c r="AQ1210" i="22" l="1"/>
  <c r="AR1209" i="22"/>
  <c r="AP1209" i="22" s="1"/>
  <c r="AQ1211" i="22" l="1"/>
  <c r="AR1210" i="22"/>
  <c r="AP1210" i="22" s="1"/>
  <c r="AQ1212" i="22" l="1"/>
  <c r="AR1211" i="22"/>
  <c r="AP1211" i="22" s="1"/>
  <c r="AQ1213" i="22" l="1"/>
  <c r="AR1212" i="22"/>
  <c r="AP1212" i="22" s="1"/>
  <c r="AQ1214" i="22" l="1"/>
  <c r="AR1213" i="22"/>
  <c r="AP1213" i="22" s="1"/>
  <c r="AQ1215" i="22" l="1"/>
  <c r="AR1214" i="22"/>
  <c r="AP1214" i="22" s="1"/>
  <c r="AQ1216" i="22" l="1"/>
  <c r="AR1215" i="22"/>
  <c r="AP1215" i="22" s="1"/>
  <c r="AQ1217" i="22" l="1"/>
  <c r="AR1216" i="22"/>
  <c r="AP1216" i="22" s="1"/>
  <c r="AQ1218" i="22" l="1"/>
  <c r="AR1217" i="22"/>
  <c r="AP1217" i="22" s="1"/>
  <c r="AQ1219" i="22" l="1"/>
  <c r="AR1218" i="22"/>
  <c r="AP1218" i="22" s="1"/>
  <c r="AQ1220" i="22" l="1"/>
  <c r="AR1219" i="22"/>
  <c r="AP1219" i="22" s="1"/>
  <c r="AQ1221" i="22" l="1"/>
  <c r="AR1220" i="22"/>
  <c r="AP1220" i="22" s="1"/>
  <c r="AQ1222" i="22" l="1"/>
  <c r="AR1221" i="22"/>
  <c r="AP1221" i="22" s="1"/>
  <c r="AQ1223" i="22" l="1"/>
  <c r="AR1222" i="22"/>
  <c r="AP1222" i="22" s="1"/>
  <c r="AQ1224" i="22" l="1"/>
  <c r="AR1223" i="22"/>
  <c r="AP1223" i="22" s="1"/>
  <c r="AQ1225" i="22" l="1"/>
  <c r="AR1224" i="22"/>
  <c r="AP1224" i="22" s="1"/>
  <c r="AQ1226" i="22" l="1"/>
  <c r="AR1225" i="22"/>
  <c r="AP1225" i="22" s="1"/>
  <c r="AQ1227" i="22" l="1"/>
  <c r="AR1226" i="22"/>
  <c r="AP1226" i="22" s="1"/>
  <c r="AQ1228" i="22" l="1"/>
  <c r="AR1227" i="22"/>
  <c r="AP1227" i="22" s="1"/>
  <c r="AQ1229" i="22" l="1"/>
  <c r="AR1228" i="22"/>
  <c r="AP1228" i="22" s="1"/>
  <c r="AQ1230" i="22" l="1"/>
  <c r="AR1229" i="22"/>
  <c r="AP1229" i="22" s="1"/>
  <c r="AQ1231" i="22" l="1"/>
  <c r="AR1230" i="22"/>
  <c r="AP1230" i="22" s="1"/>
  <c r="AQ1232" i="22" l="1"/>
  <c r="AR1231" i="22"/>
  <c r="AP1231" i="22" s="1"/>
  <c r="AQ1233" i="22" l="1"/>
  <c r="AR1232" i="22"/>
  <c r="AP1232" i="22" s="1"/>
  <c r="AQ1234" i="22" l="1"/>
  <c r="AR1233" i="22"/>
  <c r="AP1233" i="22" s="1"/>
  <c r="AQ1235" i="22" l="1"/>
  <c r="AR1234" i="22"/>
  <c r="AP1234" i="22" s="1"/>
  <c r="AQ1236" i="22" l="1"/>
  <c r="AR1235" i="22"/>
  <c r="AP1235" i="22" s="1"/>
  <c r="AQ1237" i="22" l="1"/>
  <c r="AR1236" i="22"/>
  <c r="AP1236" i="22" s="1"/>
  <c r="AQ1238" i="22" l="1"/>
  <c r="AR1237" i="22"/>
  <c r="AP1237" i="22" s="1"/>
  <c r="AQ1239" i="22" l="1"/>
  <c r="AR1238" i="22"/>
  <c r="AP1238" i="22" s="1"/>
  <c r="AQ1240" i="22" l="1"/>
  <c r="AR1239" i="22"/>
  <c r="AP1239" i="22" s="1"/>
  <c r="AQ1241" i="22" l="1"/>
  <c r="AR1240" i="22"/>
  <c r="AP1240" i="22" s="1"/>
  <c r="AQ1242" i="22" l="1"/>
  <c r="AR1241" i="22"/>
  <c r="AP1241" i="22" s="1"/>
  <c r="AQ1243" i="22" l="1"/>
  <c r="AR1242" i="22"/>
  <c r="AP1242" i="22" s="1"/>
  <c r="AQ1244" i="22" l="1"/>
  <c r="AR1243" i="22"/>
  <c r="AP1243" i="22" s="1"/>
  <c r="AQ1245" i="22" l="1"/>
  <c r="AR1244" i="22"/>
  <c r="AP1244" i="22" s="1"/>
  <c r="AQ1246" i="22" l="1"/>
  <c r="AR1245" i="22"/>
  <c r="AP1245" i="22" s="1"/>
  <c r="AQ1247" i="22" l="1"/>
  <c r="AR1246" i="22"/>
  <c r="AP1246" i="22" s="1"/>
  <c r="AQ1248" i="22" l="1"/>
  <c r="AR1247" i="22"/>
  <c r="AP1247" i="22" s="1"/>
  <c r="AQ1249" i="22" l="1"/>
  <c r="AR1248" i="22"/>
  <c r="AP1248" i="22" s="1"/>
  <c r="AQ1250" i="22" l="1"/>
  <c r="AR1249" i="22"/>
  <c r="AP1249" i="22" s="1"/>
  <c r="AQ1251" i="22" l="1"/>
  <c r="AR1250" i="22"/>
  <c r="AP1250" i="22" s="1"/>
  <c r="AQ1252" i="22" l="1"/>
  <c r="AR1251" i="22"/>
  <c r="AP1251" i="22" s="1"/>
  <c r="AQ1253" i="22" l="1"/>
  <c r="AR1252" i="22"/>
  <c r="AP1252" i="22" s="1"/>
  <c r="AQ1254" i="22" l="1"/>
  <c r="AR1253" i="22"/>
  <c r="AP1253" i="22" s="1"/>
  <c r="AQ1255" i="22" l="1"/>
  <c r="AR1254" i="22"/>
  <c r="AP1254" i="22" s="1"/>
  <c r="AQ1256" i="22" l="1"/>
  <c r="AR1255" i="22"/>
  <c r="AP1255" i="22" s="1"/>
  <c r="AQ1257" i="22" l="1"/>
  <c r="AR1256" i="22"/>
  <c r="AP1256" i="22" s="1"/>
  <c r="AQ1258" i="22" l="1"/>
  <c r="AR1257" i="22"/>
  <c r="AP1257" i="22" s="1"/>
  <c r="AQ1259" i="22" l="1"/>
  <c r="AR1258" i="22"/>
  <c r="AP1258" i="22" s="1"/>
  <c r="AQ1260" i="22" l="1"/>
  <c r="AR1259" i="22"/>
  <c r="AP1259" i="22" s="1"/>
  <c r="AQ1261" i="22" l="1"/>
  <c r="AR1260" i="22"/>
  <c r="AP1260" i="22" s="1"/>
  <c r="AQ1262" i="22" l="1"/>
  <c r="AR1261" i="22"/>
  <c r="AP1261" i="22" s="1"/>
  <c r="AQ1263" i="22" l="1"/>
  <c r="AR1262" i="22"/>
  <c r="AP1262" i="22" s="1"/>
  <c r="AQ1264" i="22" l="1"/>
  <c r="AR1263" i="22"/>
  <c r="AP1263" i="22" s="1"/>
  <c r="AQ1265" i="22" l="1"/>
  <c r="AR1264" i="22"/>
  <c r="AP1264" i="22" s="1"/>
  <c r="AQ1266" i="22" l="1"/>
  <c r="AR1265" i="22"/>
  <c r="AP1265" i="22" s="1"/>
  <c r="AQ1267" i="22" l="1"/>
  <c r="AR1266" i="22"/>
  <c r="AP1266" i="22" s="1"/>
  <c r="AQ1268" i="22" l="1"/>
  <c r="AR1267" i="22"/>
  <c r="AP1267" i="22" s="1"/>
  <c r="AQ1269" i="22" l="1"/>
  <c r="AR1268" i="22"/>
  <c r="AP1268" i="22" s="1"/>
  <c r="AQ1270" i="22" l="1"/>
  <c r="AR1269" i="22"/>
  <c r="AP1269" i="22" s="1"/>
  <c r="AQ1271" i="22" l="1"/>
  <c r="AR1270" i="22"/>
  <c r="AP1270" i="22" s="1"/>
  <c r="AQ1272" i="22" l="1"/>
  <c r="AR1271" i="22"/>
  <c r="AP1271" i="22" s="1"/>
  <c r="AQ1273" i="22" l="1"/>
  <c r="AR1272" i="22"/>
  <c r="AP1272" i="22" s="1"/>
  <c r="AQ1274" i="22" l="1"/>
  <c r="AR1273" i="22"/>
  <c r="AP1273" i="22" s="1"/>
  <c r="AQ1275" i="22" l="1"/>
  <c r="AR1274" i="22"/>
  <c r="AP1274" i="22" s="1"/>
  <c r="AQ1276" i="22" l="1"/>
  <c r="AR1275" i="22"/>
  <c r="AP1275" i="22" s="1"/>
  <c r="AQ1277" i="22" l="1"/>
  <c r="AR1276" i="22"/>
  <c r="AP1276" i="22" s="1"/>
  <c r="AQ1278" i="22" l="1"/>
  <c r="AR1277" i="22"/>
  <c r="AP1277" i="22" s="1"/>
  <c r="AQ1279" i="22" l="1"/>
  <c r="AR1278" i="22"/>
  <c r="AP1278" i="22" s="1"/>
  <c r="AQ1280" i="22" l="1"/>
  <c r="AR1279" i="22"/>
  <c r="AP1279" i="22" s="1"/>
  <c r="AQ1281" i="22" l="1"/>
  <c r="AR1280" i="22"/>
  <c r="AP1280" i="22" s="1"/>
  <c r="AQ1282" i="22" l="1"/>
  <c r="AR1281" i="22"/>
  <c r="AP1281" i="22" s="1"/>
  <c r="AQ1283" i="22" l="1"/>
  <c r="AR1282" i="22"/>
  <c r="AP1282" i="22" s="1"/>
  <c r="AQ1284" i="22" l="1"/>
  <c r="AR1283" i="22"/>
  <c r="AP1283" i="22" s="1"/>
  <c r="AQ1285" i="22" l="1"/>
  <c r="AR1284" i="22"/>
  <c r="AP1284" i="22" s="1"/>
  <c r="AQ1286" i="22" l="1"/>
  <c r="AR1285" i="22"/>
  <c r="AP1285" i="22" s="1"/>
  <c r="AQ1287" i="22" l="1"/>
  <c r="AR1286" i="22"/>
  <c r="AP1286" i="22" s="1"/>
  <c r="AQ1288" i="22" l="1"/>
  <c r="AR1287" i="22"/>
  <c r="AP1287" i="22" s="1"/>
  <c r="AQ1289" i="22" l="1"/>
  <c r="AR1288" i="22"/>
  <c r="AP1288" i="22" s="1"/>
  <c r="AQ1290" i="22" l="1"/>
  <c r="AR1289" i="22"/>
  <c r="AP1289" i="22" s="1"/>
  <c r="AQ1291" i="22" l="1"/>
  <c r="AR1290" i="22"/>
  <c r="AP1290" i="22" s="1"/>
  <c r="AQ1292" i="22" l="1"/>
  <c r="AR1291" i="22"/>
  <c r="AP1291" i="22" s="1"/>
  <c r="AQ1293" i="22" l="1"/>
  <c r="AR1292" i="22"/>
  <c r="AP1292" i="22" s="1"/>
  <c r="AQ1294" i="22" l="1"/>
  <c r="AR1293" i="22"/>
  <c r="AP1293" i="22" s="1"/>
  <c r="AQ1295" i="22" l="1"/>
  <c r="AR1294" i="22"/>
  <c r="AP1294" i="22" s="1"/>
  <c r="AQ1296" i="22" l="1"/>
  <c r="AR1295" i="22"/>
  <c r="AP1295" i="22" s="1"/>
  <c r="AQ1297" i="22" l="1"/>
  <c r="AR1296" i="22"/>
  <c r="AP1296" i="22" s="1"/>
  <c r="AQ1298" i="22" l="1"/>
  <c r="AR1297" i="22"/>
  <c r="AP1297" i="22" s="1"/>
  <c r="AQ1299" i="22" l="1"/>
  <c r="AR1298" i="22"/>
  <c r="AP1298" i="22" s="1"/>
  <c r="AQ1300" i="22" l="1"/>
  <c r="AR1299" i="22"/>
  <c r="AP1299" i="22" s="1"/>
  <c r="AQ1301" i="22" l="1"/>
  <c r="AR1300" i="22"/>
  <c r="AP1300" i="22" s="1"/>
  <c r="AQ1302" i="22" l="1"/>
  <c r="AR1301" i="22"/>
  <c r="AP1301" i="22" s="1"/>
  <c r="AQ1303" i="22" l="1"/>
  <c r="AR1302" i="22"/>
  <c r="AP1302" i="22" s="1"/>
  <c r="AQ1304" i="22" l="1"/>
  <c r="AR1303" i="22"/>
  <c r="AP1303" i="22" s="1"/>
  <c r="AQ1305" i="22" l="1"/>
  <c r="AR1304" i="22"/>
  <c r="AP1304" i="22" s="1"/>
  <c r="AQ1306" i="22" l="1"/>
  <c r="AR1305" i="22"/>
  <c r="AP1305" i="22" s="1"/>
  <c r="AQ1307" i="22" l="1"/>
  <c r="AR1306" i="22"/>
  <c r="AP1306" i="22" s="1"/>
  <c r="AQ1308" i="22" l="1"/>
  <c r="AR1307" i="22"/>
  <c r="AP1307" i="22" s="1"/>
  <c r="AQ1309" i="22" l="1"/>
  <c r="AR1308" i="22"/>
  <c r="AP1308" i="22" s="1"/>
  <c r="AQ1310" i="22" l="1"/>
  <c r="AR1309" i="22"/>
  <c r="AP1309" i="22" s="1"/>
  <c r="AQ1311" i="22" l="1"/>
  <c r="AR1310" i="22"/>
  <c r="AP1310" i="22" s="1"/>
  <c r="AQ1312" i="22" l="1"/>
  <c r="AR1311" i="22"/>
  <c r="AP1311" i="22" s="1"/>
  <c r="AQ1313" i="22" l="1"/>
  <c r="AR1312" i="22"/>
  <c r="AP1312" i="22" s="1"/>
  <c r="AQ1314" i="22" l="1"/>
  <c r="AR1313" i="22"/>
  <c r="AP1313" i="22" s="1"/>
  <c r="AQ1315" i="22" l="1"/>
  <c r="AR1314" i="22"/>
  <c r="AP1314" i="22" s="1"/>
  <c r="AQ1316" i="22" l="1"/>
  <c r="AR1315" i="22"/>
  <c r="AP1315" i="22" s="1"/>
  <c r="AQ1317" i="22" l="1"/>
  <c r="AR1316" i="22"/>
  <c r="AP1316" i="22" s="1"/>
  <c r="AQ1318" i="22" l="1"/>
  <c r="AR1317" i="22"/>
  <c r="AP1317" i="22" s="1"/>
  <c r="AQ1319" i="22" l="1"/>
  <c r="AR1318" i="22"/>
  <c r="AP1318" i="22" s="1"/>
  <c r="AQ1320" i="22" l="1"/>
  <c r="AR1319" i="22"/>
  <c r="AP1319" i="22" s="1"/>
  <c r="AQ1321" i="22" l="1"/>
  <c r="AR1320" i="22"/>
  <c r="AP1320" i="22" s="1"/>
  <c r="AQ1322" i="22" l="1"/>
  <c r="AR1321" i="22"/>
  <c r="AP1321" i="22" s="1"/>
  <c r="AQ1323" i="22" l="1"/>
  <c r="AR1322" i="22"/>
  <c r="AP1322" i="22" s="1"/>
  <c r="AQ1324" i="22" l="1"/>
  <c r="AR1323" i="22"/>
  <c r="AP1323" i="22" s="1"/>
  <c r="AQ1325" i="22" l="1"/>
  <c r="AR1324" i="22"/>
  <c r="AP1324" i="22" s="1"/>
  <c r="AQ1326" i="22" l="1"/>
  <c r="AR1325" i="22"/>
  <c r="AP1325" i="22" s="1"/>
  <c r="AQ1327" i="22" l="1"/>
  <c r="AR1326" i="22"/>
  <c r="AP1326" i="22" s="1"/>
  <c r="AQ1328" i="22" l="1"/>
  <c r="AR1327" i="22"/>
  <c r="AP1327" i="22" s="1"/>
  <c r="AQ1329" i="22" l="1"/>
  <c r="AR1328" i="22"/>
  <c r="AP1328" i="22" s="1"/>
  <c r="AQ1330" i="22" l="1"/>
  <c r="AR1329" i="22"/>
  <c r="AP1329" i="22" s="1"/>
  <c r="AQ1331" i="22" l="1"/>
  <c r="AR1330" i="22"/>
  <c r="AP1330" i="22" s="1"/>
  <c r="AQ1332" i="22" l="1"/>
  <c r="AR1331" i="22"/>
  <c r="AP1331" i="22" s="1"/>
  <c r="AQ1333" i="22" l="1"/>
  <c r="AR1332" i="22"/>
  <c r="AP1332" i="22" s="1"/>
  <c r="AQ1334" i="22" l="1"/>
  <c r="AR1333" i="22"/>
  <c r="AP1333" i="22" s="1"/>
  <c r="AQ1335" i="22" l="1"/>
  <c r="AR1334" i="22"/>
  <c r="AP1334" i="22" s="1"/>
  <c r="AQ1336" i="22" l="1"/>
  <c r="AR1335" i="22"/>
  <c r="AP1335" i="22" s="1"/>
  <c r="AQ1337" i="22" l="1"/>
  <c r="AR1336" i="22"/>
  <c r="AP1336" i="22" s="1"/>
  <c r="AQ1338" i="22" l="1"/>
  <c r="AR1337" i="22"/>
  <c r="AP1337" i="22" s="1"/>
  <c r="AQ1339" i="22" l="1"/>
  <c r="AR1338" i="22"/>
  <c r="AP1338" i="22" s="1"/>
  <c r="AQ1340" i="22" l="1"/>
  <c r="AR1339" i="22"/>
  <c r="AP1339" i="22" s="1"/>
  <c r="AQ1341" i="22" l="1"/>
  <c r="AR1340" i="22"/>
  <c r="AP1340" i="22" s="1"/>
  <c r="AQ1342" i="22" l="1"/>
  <c r="AR1341" i="22"/>
  <c r="AP1341" i="22" s="1"/>
  <c r="AQ1343" i="22" l="1"/>
  <c r="AR1342" i="22"/>
  <c r="AP1342" i="22" s="1"/>
  <c r="AQ1344" i="22" l="1"/>
  <c r="AR1343" i="22"/>
  <c r="AP1343" i="22" s="1"/>
  <c r="AQ1345" i="22" l="1"/>
  <c r="AR1344" i="22"/>
  <c r="AP1344" i="22" s="1"/>
  <c r="AQ1346" i="22" l="1"/>
  <c r="AR1345" i="22"/>
  <c r="AP1345" i="22" s="1"/>
  <c r="AQ1347" i="22" l="1"/>
  <c r="AR1346" i="22"/>
  <c r="AP1346" i="22" s="1"/>
  <c r="AQ1348" i="22" l="1"/>
  <c r="AR1347" i="22"/>
  <c r="AP1347" i="22" s="1"/>
  <c r="AQ1349" i="22" l="1"/>
  <c r="AR1348" i="22"/>
  <c r="AP1348" i="22" s="1"/>
  <c r="AQ1350" i="22" l="1"/>
  <c r="AR1349" i="22"/>
  <c r="AP1349" i="22" s="1"/>
  <c r="AQ1351" i="22" l="1"/>
  <c r="AR1350" i="22"/>
  <c r="AP1350" i="22" s="1"/>
  <c r="AQ1352" i="22" l="1"/>
  <c r="AR1351" i="22"/>
  <c r="AP1351" i="22" s="1"/>
  <c r="AQ1353" i="22" l="1"/>
  <c r="AR1352" i="22"/>
  <c r="AP1352" i="22" s="1"/>
  <c r="AQ1354" i="22" l="1"/>
  <c r="AR1353" i="22"/>
  <c r="AP1353" i="22" s="1"/>
  <c r="AQ1355" i="22" l="1"/>
  <c r="AR1354" i="22"/>
  <c r="AP1354" i="22" s="1"/>
  <c r="AQ1356" i="22" l="1"/>
  <c r="AR1355" i="22"/>
  <c r="AP1355" i="22" s="1"/>
  <c r="AQ1357" i="22" l="1"/>
  <c r="AR1356" i="22"/>
  <c r="AP1356" i="22" s="1"/>
  <c r="AQ1358" i="22" l="1"/>
  <c r="AR1357" i="22"/>
  <c r="AP1357" i="22" s="1"/>
  <c r="AQ1359" i="22" l="1"/>
  <c r="AR1358" i="22"/>
  <c r="AP1358" i="22" s="1"/>
  <c r="AQ1360" i="22" l="1"/>
  <c r="AR1359" i="22"/>
  <c r="AP1359" i="22" s="1"/>
  <c r="AQ1361" i="22" l="1"/>
  <c r="AR1360" i="22"/>
  <c r="AP1360" i="22" s="1"/>
  <c r="AQ1362" i="22" l="1"/>
  <c r="AR1361" i="22"/>
  <c r="AP1361" i="22" s="1"/>
  <c r="AQ1363" i="22" l="1"/>
  <c r="AR1362" i="22"/>
  <c r="AP1362" i="22" s="1"/>
  <c r="AQ1364" i="22" l="1"/>
  <c r="AR1363" i="22"/>
  <c r="AP1363" i="22" s="1"/>
  <c r="AQ1365" i="22" l="1"/>
  <c r="AR1364" i="22"/>
  <c r="AP1364" i="22" s="1"/>
  <c r="AQ1366" i="22" l="1"/>
  <c r="AR1365" i="22"/>
  <c r="AP1365" i="22" s="1"/>
  <c r="AQ1367" i="22" l="1"/>
  <c r="AR1366" i="22"/>
  <c r="AP1366" i="22" s="1"/>
  <c r="AQ1368" i="22" l="1"/>
  <c r="AR1367" i="22"/>
  <c r="AP1367" i="22" s="1"/>
  <c r="AQ1369" i="22" l="1"/>
  <c r="AR1368" i="22"/>
  <c r="AP1368" i="22" s="1"/>
  <c r="AQ1370" i="22" l="1"/>
  <c r="AR1369" i="22"/>
  <c r="AP1369" i="22" s="1"/>
  <c r="AQ1371" i="22" l="1"/>
  <c r="AR1370" i="22"/>
  <c r="AP1370" i="22" s="1"/>
  <c r="AQ1372" i="22" l="1"/>
  <c r="AR1371" i="22"/>
  <c r="AP1371" i="22" s="1"/>
  <c r="AQ1373" i="22" l="1"/>
  <c r="AR1372" i="22"/>
  <c r="AP1372" i="22" s="1"/>
  <c r="AQ1374" i="22" l="1"/>
  <c r="AR1373" i="22"/>
  <c r="AP1373" i="22" s="1"/>
  <c r="AQ1375" i="22" l="1"/>
  <c r="AR1374" i="22"/>
  <c r="AP1374" i="22" s="1"/>
  <c r="AQ1376" i="22" l="1"/>
  <c r="AR1375" i="22"/>
  <c r="AP1375" i="22" s="1"/>
  <c r="AQ1377" i="22" l="1"/>
  <c r="AR1376" i="22"/>
  <c r="AP1376" i="22" s="1"/>
  <c r="AQ1378" i="22" l="1"/>
  <c r="AR1377" i="22"/>
  <c r="AP1377" i="22" s="1"/>
  <c r="AQ1379" i="22" l="1"/>
  <c r="AR1378" i="22"/>
  <c r="AP1378" i="22" s="1"/>
  <c r="AQ1380" i="22" l="1"/>
  <c r="AR1379" i="22"/>
  <c r="AP1379" i="22" s="1"/>
  <c r="AQ1381" i="22" l="1"/>
  <c r="AR1380" i="22"/>
  <c r="AP1380" i="22" s="1"/>
  <c r="AQ1382" i="22" l="1"/>
  <c r="AR1381" i="22"/>
  <c r="AP1381" i="22" s="1"/>
  <c r="AQ1383" i="22" l="1"/>
  <c r="AR1382" i="22"/>
  <c r="AP1382" i="22" s="1"/>
  <c r="AQ1384" i="22" l="1"/>
  <c r="AR1383" i="22"/>
  <c r="AP1383" i="22" s="1"/>
  <c r="AQ1385" i="22" l="1"/>
  <c r="AR1384" i="22"/>
  <c r="AP1384" i="22" s="1"/>
  <c r="AQ1386" i="22" l="1"/>
  <c r="AR1385" i="22"/>
  <c r="AP1385" i="22" s="1"/>
  <c r="AQ1387" i="22" l="1"/>
  <c r="AR1386" i="22"/>
  <c r="AP1386" i="22" s="1"/>
  <c r="AQ1388" i="22" l="1"/>
  <c r="AR1387" i="22"/>
  <c r="AP1387" i="22" s="1"/>
  <c r="AQ1389" i="22" l="1"/>
  <c r="AR1388" i="22"/>
  <c r="AP1388" i="22" s="1"/>
  <c r="AQ1390" i="22" l="1"/>
  <c r="AR1389" i="22"/>
  <c r="AP1389" i="22" s="1"/>
  <c r="AQ1391" i="22" l="1"/>
  <c r="AR1390" i="22"/>
  <c r="AP1390" i="22" s="1"/>
  <c r="AQ1392" i="22" l="1"/>
  <c r="AR1391" i="22"/>
  <c r="AP1391" i="22" s="1"/>
  <c r="AQ1393" i="22" l="1"/>
  <c r="AR1392" i="22"/>
  <c r="AP1392" i="22" s="1"/>
  <c r="AQ1394" i="22" l="1"/>
  <c r="AR1393" i="22"/>
  <c r="AP1393" i="22" s="1"/>
  <c r="AQ1395" i="22" l="1"/>
  <c r="AR1394" i="22"/>
  <c r="AP1394" i="22" s="1"/>
  <c r="AQ1396" i="22" l="1"/>
  <c r="AR1395" i="22"/>
  <c r="AP1395" i="22" s="1"/>
  <c r="AQ1397" i="22" l="1"/>
  <c r="AR1396" i="22"/>
  <c r="AP1396" i="22" s="1"/>
  <c r="AQ1398" i="22" l="1"/>
  <c r="AR1397" i="22"/>
  <c r="AP1397" i="22" s="1"/>
  <c r="AQ1399" i="22" l="1"/>
  <c r="AR1398" i="22"/>
  <c r="AP1398" i="22" s="1"/>
  <c r="AQ1400" i="22" l="1"/>
  <c r="AR1399" i="22"/>
  <c r="AP1399" i="22" s="1"/>
  <c r="AQ1401" i="22" l="1"/>
  <c r="AR1400" i="22"/>
  <c r="AP1400" i="22" s="1"/>
  <c r="AQ1402" i="22" l="1"/>
  <c r="AR1401" i="22"/>
  <c r="AP1401" i="22" s="1"/>
  <c r="AQ1403" i="22" l="1"/>
  <c r="AR1402" i="22"/>
  <c r="AP1402" i="22" s="1"/>
  <c r="AQ1404" i="22" l="1"/>
  <c r="AR1403" i="22"/>
  <c r="AP1403" i="22" s="1"/>
  <c r="AQ1405" i="22" l="1"/>
  <c r="AR1404" i="22"/>
  <c r="AP1404" i="22" s="1"/>
  <c r="AQ1406" i="22" l="1"/>
  <c r="AR1405" i="22"/>
  <c r="AP1405" i="22" s="1"/>
  <c r="AQ1407" i="22" l="1"/>
  <c r="AR1406" i="22"/>
  <c r="AP1406" i="22" s="1"/>
  <c r="AQ1408" i="22" l="1"/>
  <c r="AR1407" i="22"/>
  <c r="AP1407" i="22" s="1"/>
  <c r="AQ1409" i="22" l="1"/>
  <c r="AR1408" i="22"/>
  <c r="AP1408" i="22" s="1"/>
  <c r="AQ1410" i="22" l="1"/>
  <c r="AR1409" i="22"/>
  <c r="AP1409" i="22" s="1"/>
  <c r="AQ1411" i="22" l="1"/>
  <c r="AR1410" i="22"/>
  <c r="AP1410" i="22" s="1"/>
  <c r="AQ1412" i="22" l="1"/>
  <c r="AR1411" i="22"/>
  <c r="AP1411" i="22" s="1"/>
  <c r="AQ1413" i="22" l="1"/>
  <c r="AR1412" i="22"/>
  <c r="AP1412" i="22" s="1"/>
  <c r="AQ1414" i="22" l="1"/>
  <c r="AR1413" i="22"/>
  <c r="AP1413" i="22" s="1"/>
  <c r="AQ1415" i="22" l="1"/>
  <c r="AR1414" i="22"/>
  <c r="AP1414" i="22" s="1"/>
  <c r="AQ1416" i="22" l="1"/>
  <c r="AR1415" i="22"/>
  <c r="AP1415" i="22" s="1"/>
  <c r="AQ1417" i="22" l="1"/>
  <c r="AR1416" i="22"/>
  <c r="AP1416" i="22" s="1"/>
  <c r="AQ1418" i="22" l="1"/>
  <c r="AR1417" i="22"/>
  <c r="AP1417" i="22" s="1"/>
  <c r="AQ1419" i="22" l="1"/>
  <c r="AR1418" i="22"/>
  <c r="AP1418" i="22" s="1"/>
  <c r="AQ1420" i="22" l="1"/>
  <c r="AR1419" i="22"/>
  <c r="AP1419" i="22" s="1"/>
  <c r="AQ1421" i="22" l="1"/>
  <c r="AR1420" i="22"/>
  <c r="AP1420" i="22" s="1"/>
  <c r="AQ1422" i="22" l="1"/>
  <c r="AR1421" i="22"/>
  <c r="AP1421" i="22" s="1"/>
  <c r="AQ1423" i="22" l="1"/>
  <c r="AR1422" i="22"/>
  <c r="AP1422" i="22" s="1"/>
  <c r="AQ1424" i="22" l="1"/>
  <c r="AR1423" i="22"/>
  <c r="AP1423" i="22" s="1"/>
  <c r="AQ1425" i="22" l="1"/>
  <c r="AR1424" i="22"/>
  <c r="AP1424" i="22" s="1"/>
  <c r="AQ1426" i="22" l="1"/>
  <c r="AR1425" i="22"/>
  <c r="AP1425" i="22" s="1"/>
  <c r="AQ1427" i="22" l="1"/>
  <c r="AR1426" i="22"/>
  <c r="AP1426" i="22" s="1"/>
  <c r="AQ1428" i="22" l="1"/>
  <c r="AR1427" i="22"/>
  <c r="AP1427" i="22" s="1"/>
  <c r="AQ1429" i="22" l="1"/>
  <c r="AR1428" i="22"/>
  <c r="AP1428" i="22" s="1"/>
  <c r="AQ1430" i="22" l="1"/>
  <c r="AR1429" i="22"/>
  <c r="AP1429" i="22" s="1"/>
  <c r="AQ1431" i="22" l="1"/>
  <c r="AR1430" i="22"/>
  <c r="AP1430" i="22" s="1"/>
  <c r="AQ1432" i="22" l="1"/>
  <c r="AR1431" i="22"/>
  <c r="AP1431" i="22" s="1"/>
  <c r="AQ1433" i="22" l="1"/>
  <c r="AR1432" i="22"/>
  <c r="AP1432" i="22" s="1"/>
  <c r="AQ1434" i="22" l="1"/>
  <c r="AR1433" i="22"/>
  <c r="AP1433" i="22" s="1"/>
  <c r="AQ1435" i="22" l="1"/>
  <c r="AR1434" i="22"/>
  <c r="AP1434" i="22" s="1"/>
  <c r="AQ1436" i="22" l="1"/>
  <c r="AR1435" i="22"/>
  <c r="AP1435" i="22" s="1"/>
  <c r="AQ1437" i="22" l="1"/>
  <c r="AR1436" i="22"/>
  <c r="AP1436" i="22" s="1"/>
  <c r="AQ1438" i="22" l="1"/>
  <c r="AR1437" i="22"/>
  <c r="AP1437" i="22" s="1"/>
  <c r="AQ1439" i="22" l="1"/>
  <c r="AR1438" i="22"/>
  <c r="AP1438" i="22" s="1"/>
  <c r="AQ1440" i="22" l="1"/>
  <c r="AR1439" i="22"/>
  <c r="AP1439" i="22" s="1"/>
  <c r="AQ1441" i="22" l="1"/>
  <c r="AR1440" i="22"/>
  <c r="AP1440" i="22" s="1"/>
  <c r="AQ1442" i="22" l="1"/>
  <c r="AR1441" i="22"/>
  <c r="AP1441" i="22" s="1"/>
  <c r="AQ1443" i="22" l="1"/>
  <c r="AR1442" i="22"/>
  <c r="AP1442" i="22" s="1"/>
  <c r="AQ1444" i="22" l="1"/>
  <c r="AR1443" i="22"/>
  <c r="AP1443" i="22" s="1"/>
  <c r="AQ1445" i="22" l="1"/>
  <c r="AR1444" i="22"/>
  <c r="AP1444" i="22" s="1"/>
  <c r="AQ1446" i="22" l="1"/>
  <c r="AR1445" i="22"/>
  <c r="AP1445" i="22" s="1"/>
  <c r="AQ1447" i="22" l="1"/>
  <c r="AR1446" i="22"/>
  <c r="AP1446" i="22" s="1"/>
  <c r="AQ1448" i="22" l="1"/>
  <c r="AR1447" i="22"/>
  <c r="AP1447" i="22" s="1"/>
  <c r="AQ1449" i="22" l="1"/>
  <c r="AR1448" i="22"/>
  <c r="AP1448" i="22" s="1"/>
  <c r="AQ1450" i="22" l="1"/>
  <c r="AR1449" i="22"/>
  <c r="AP1449" i="22" s="1"/>
  <c r="AQ1451" i="22" l="1"/>
  <c r="AR1450" i="22"/>
  <c r="AP1450" i="22" s="1"/>
  <c r="AQ1452" i="22" l="1"/>
  <c r="AR1451" i="22"/>
  <c r="AP1451" i="22" s="1"/>
  <c r="AQ1453" i="22" l="1"/>
  <c r="AR1452" i="22"/>
  <c r="AP1452" i="22" s="1"/>
  <c r="AQ1454" i="22" l="1"/>
  <c r="AR1453" i="22"/>
  <c r="AP1453" i="22" s="1"/>
  <c r="AQ1455" i="22" l="1"/>
  <c r="AR1454" i="22"/>
  <c r="AP1454" i="22" s="1"/>
  <c r="AQ1456" i="22" l="1"/>
  <c r="AR1455" i="22"/>
  <c r="AP1455" i="22" s="1"/>
  <c r="AQ1457" i="22" l="1"/>
  <c r="AR1456" i="22"/>
  <c r="AP1456" i="22" s="1"/>
  <c r="AQ1458" i="22" l="1"/>
  <c r="AR1457" i="22"/>
  <c r="AP1457" i="22" s="1"/>
  <c r="AQ1459" i="22" l="1"/>
  <c r="AR1458" i="22"/>
  <c r="AP1458" i="22" s="1"/>
  <c r="AQ1460" i="22" l="1"/>
  <c r="AR1459" i="22"/>
  <c r="AP1459" i="22" s="1"/>
  <c r="AQ1461" i="22" l="1"/>
  <c r="AR1460" i="22"/>
  <c r="AP1460" i="22" s="1"/>
  <c r="AQ1462" i="22" l="1"/>
  <c r="AR1461" i="22"/>
  <c r="AP1461" i="22" s="1"/>
  <c r="AQ1463" i="22" l="1"/>
  <c r="AR1462" i="22"/>
  <c r="AP1462" i="22" s="1"/>
  <c r="AQ1464" i="22" l="1"/>
  <c r="AR1463" i="22"/>
  <c r="AP1463" i="22" s="1"/>
  <c r="AQ1465" i="22" l="1"/>
  <c r="AR1464" i="22"/>
  <c r="AP1464" i="22" s="1"/>
  <c r="AQ1466" i="22" l="1"/>
  <c r="AR1465" i="22"/>
  <c r="AP1465" i="22" s="1"/>
  <c r="AQ1467" i="22" l="1"/>
  <c r="AR1466" i="22"/>
  <c r="AP1466" i="22" s="1"/>
  <c r="AQ1468" i="22" l="1"/>
  <c r="AR1467" i="22"/>
  <c r="AP1467" i="22" s="1"/>
  <c r="AQ1469" i="22" l="1"/>
  <c r="AR1468" i="22"/>
  <c r="AP1468" i="22" s="1"/>
  <c r="AQ1470" i="22" l="1"/>
  <c r="AR1469" i="22"/>
  <c r="AP1469" i="22" s="1"/>
  <c r="AQ1471" i="22" l="1"/>
  <c r="AR1470" i="22"/>
  <c r="AP1470" i="22" s="1"/>
  <c r="AQ1472" i="22" l="1"/>
  <c r="AR1471" i="22"/>
  <c r="AP1471" i="22" s="1"/>
  <c r="AQ1473" i="22" l="1"/>
  <c r="AR1472" i="22"/>
  <c r="AP1472" i="22" s="1"/>
  <c r="AQ1474" i="22" l="1"/>
  <c r="AR1473" i="22"/>
  <c r="AP1473" i="22" s="1"/>
  <c r="AQ1475" i="22" l="1"/>
  <c r="AR1474" i="22"/>
  <c r="AP1474" i="22" s="1"/>
  <c r="AQ1476" i="22" l="1"/>
  <c r="AR1475" i="22"/>
  <c r="AP1475" i="22" s="1"/>
  <c r="AQ1477" i="22" l="1"/>
  <c r="AR1476" i="22"/>
  <c r="AP1476" i="22" s="1"/>
  <c r="AQ1478" i="22" l="1"/>
  <c r="AR1477" i="22"/>
  <c r="AP1477" i="22" s="1"/>
  <c r="AQ1479" i="22" l="1"/>
  <c r="AR1478" i="22"/>
  <c r="AP1478" i="22" s="1"/>
  <c r="AQ1480" i="22" l="1"/>
  <c r="AR1479" i="22"/>
  <c r="AP1479" i="22" s="1"/>
  <c r="AQ1481" i="22" l="1"/>
  <c r="AR1480" i="22"/>
  <c r="AP1480" i="22" s="1"/>
  <c r="AQ1482" i="22" l="1"/>
  <c r="AR1481" i="22"/>
  <c r="AP1481" i="22" s="1"/>
  <c r="AQ1483" i="22" l="1"/>
  <c r="AR1482" i="22"/>
  <c r="AP1482" i="22" s="1"/>
  <c r="AQ1484" i="22" l="1"/>
  <c r="AR1483" i="22"/>
  <c r="AP1483" i="22" s="1"/>
  <c r="AQ1485" i="22" l="1"/>
  <c r="AR1484" i="22"/>
  <c r="AP1484" i="22" s="1"/>
  <c r="AQ1486" i="22" l="1"/>
  <c r="AR1485" i="22"/>
  <c r="AP1485" i="22" s="1"/>
  <c r="AQ1487" i="22" l="1"/>
  <c r="AR1486" i="22"/>
  <c r="AP1486" i="22" s="1"/>
  <c r="AQ1488" i="22" l="1"/>
  <c r="AR1487" i="22"/>
  <c r="AP1487" i="22" s="1"/>
  <c r="AQ1489" i="22" l="1"/>
  <c r="AR1488" i="22"/>
  <c r="AP1488" i="22" s="1"/>
  <c r="AQ1490" i="22" l="1"/>
  <c r="AR1489" i="22"/>
  <c r="AP1489" i="22" s="1"/>
  <c r="AQ1491" i="22" l="1"/>
  <c r="AR1490" i="22"/>
  <c r="AP1490" i="22" s="1"/>
  <c r="AQ1492" i="22" l="1"/>
  <c r="AR1491" i="22"/>
  <c r="AP1491" i="22" s="1"/>
  <c r="AQ1493" i="22" l="1"/>
  <c r="AR1492" i="22"/>
  <c r="AP1492" i="22" s="1"/>
  <c r="AQ1494" i="22" l="1"/>
  <c r="AR1493" i="22"/>
  <c r="AP1493" i="22" s="1"/>
  <c r="AQ1495" i="22" l="1"/>
  <c r="AR1494" i="22"/>
  <c r="AP1494" i="22" s="1"/>
  <c r="AQ1496" i="22" l="1"/>
  <c r="AR1495" i="22"/>
  <c r="AP1495" i="22" s="1"/>
  <c r="AQ1497" i="22" l="1"/>
  <c r="AR1496" i="22"/>
  <c r="AP1496" i="22" s="1"/>
  <c r="AQ1498" i="22" l="1"/>
  <c r="AR1497" i="22"/>
  <c r="AP1497" i="22" s="1"/>
  <c r="AQ1499" i="22" l="1"/>
  <c r="AR1498" i="22"/>
  <c r="AP1498" i="22" s="1"/>
  <c r="AQ1500" i="22" l="1"/>
  <c r="AR1499" i="22"/>
  <c r="AP1499" i="22" s="1"/>
  <c r="AQ1501" i="22" l="1"/>
  <c r="AR1500" i="22"/>
  <c r="AP1500" i="22" s="1"/>
  <c r="AQ1502" i="22" l="1"/>
  <c r="AR1501" i="22"/>
  <c r="AP1501" i="22" s="1"/>
  <c r="AQ1503" i="22" l="1"/>
  <c r="AR1502" i="22"/>
  <c r="AP1502" i="22" s="1"/>
  <c r="AQ1504" i="22" l="1"/>
  <c r="AR1503" i="22"/>
  <c r="AP1503" i="22" s="1"/>
  <c r="AQ1505" i="22" l="1"/>
  <c r="AR1504" i="22"/>
  <c r="AP1504" i="22" s="1"/>
  <c r="AQ1506" i="22" l="1"/>
  <c r="AR1505" i="22"/>
  <c r="AP1505" i="22" s="1"/>
  <c r="AQ1507" i="22" l="1"/>
  <c r="AR1506" i="22"/>
  <c r="AP1506" i="22" s="1"/>
  <c r="AQ1508" i="22" l="1"/>
  <c r="AR1507" i="22"/>
  <c r="AP1507" i="22" s="1"/>
  <c r="AQ1509" i="22" l="1"/>
  <c r="AR1508" i="22"/>
  <c r="AP1508" i="22" s="1"/>
  <c r="AQ1510" i="22" l="1"/>
  <c r="AR1509" i="22"/>
  <c r="AP1509" i="22" s="1"/>
  <c r="AQ1511" i="22" l="1"/>
  <c r="AR1510" i="22"/>
  <c r="AP1510" i="22" s="1"/>
  <c r="AQ1512" i="22" l="1"/>
  <c r="AR1511" i="22"/>
  <c r="AP1511" i="22" s="1"/>
  <c r="AQ1513" i="22" l="1"/>
  <c r="AR1512" i="22"/>
  <c r="AP1512" i="22" s="1"/>
  <c r="AQ1514" i="22" l="1"/>
  <c r="AR1513" i="22"/>
  <c r="AP1513" i="22" s="1"/>
  <c r="AQ1515" i="22" l="1"/>
  <c r="AR1514" i="22"/>
  <c r="AP1514" i="22" s="1"/>
  <c r="AQ1516" i="22" l="1"/>
  <c r="AR1515" i="22"/>
  <c r="AP1515" i="22" s="1"/>
  <c r="AQ1517" i="22" l="1"/>
  <c r="AR1516" i="22"/>
  <c r="AP1516" i="22" s="1"/>
  <c r="AQ1518" i="22" l="1"/>
  <c r="AR1517" i="22"/>
  <c r="AP1517" i="22" s="1"/>
  <c r="AQ1519" i="22" l="1"/>
  <c r="AR1518" i="22"/>
  <c r="AP1518" i="22" s="1"/>
  <c r="AQ1520" i="22" l="1"/>
  <c r="AR1519" i="22"/>
  <c r="AP1519" i="22" s="1"/>
  <c r="AQ1521" i="22" l="1"/>
  <c r="AR1520" i="22"/>
  <c r="AP1520" i="22" s="1"/>
  <c r="AQ1522" i="22" l="1"/>
  <c r="AR1521" i="22"/>
  <c r="AP1521" i="22" s="1"/>
  <c r="AQ1523" i="22" l="1"/>
  <c r="AR1522" i="22"/>
  <c r="AP1522" i="22" s="1"/>
  <c r="AQ1524" i="22" l="1"/>
  <c r="AR1523" i="22"/>
  <c r="AP1523" i="22" s="1"/>
  <c r="AQ1525" i="22" l="1"/>
  <c r="AR1524" i="22"/>
  <c r="AP1524" i="22" s="1"/>
  <c r="AQ1526" i="22" l="1"/>
  <c r="AR1525" i="22"/>
  <c r="AP1525" i="22" s="1"/>
  <c r="AQ1527" i="22" l="1"/>
  <c r="AR1526" i="22"/>
  <c r="AP1526" i="22" s="1"/>
  <c r="AQ1528" i="22" l="1"/>
  <c r="AR1527" i="22"/>
  <c r="AP1527" i="22" s="1"/>
  <c r="AQ1529" i="22" l="1"/>
  <c r="AR1528" i="22"/>
  <c r="AP1528" i="22" s="1"/>
  <c r="AQ1530" i="22" l="1"/>
  <c r="AR1529" i="22"/>
  <c r="AP1529" i="22" s="1"/>
  <c r="AQ1531" i="22" l="1"/>
  <c r="AR1530" i="22"/>
  <c r="AP1530" i="22" s="1"/>
  <c r="AQ1532" i="22" l="1"/>
  <c r="AR1531" i="22"/>
  <c r="AP1531" i="22" s="1"/>
  <c r="AQ1533" i="22" l="1"/>
  <c r="AR1532" i="22"/>
  <c r="AP1532" i="22" s="1"/>
  <c r="AQ1534" i="22" l="1"/>
  <c r="AR1533" i="22"/>
  <c r="AP1533" i="22" s="1"/>
  <c r="AQ1535" i="22" l="1"/>
  <c r="AR1534" i="22"/>
  <c r="AP1534" i="22" s="1"/>
  <c r="AQ1536" i="22" l="1"/>
  <c r="AR1535" i="22"/>
  <c r="AP1535" i="22" s="1"/>
  <c r="AQ1537" i="22" l="1"/>
  <c r="AR1536" i="22"/>
  <c r="AP1536" i="22" s="1"/>
  <c r="AQ1538" i="22" l="1"/>
  <c r="AR1537" i="22"/>
  <c r="AP1537" i="22" s="1"/>
  <c r="AQ1539" i="22" l="1"/>
  <c r="AR1538" i="22"/>
  <c r="AP1538" i="22" s="1"/>
  <c r="AQ1540" i="22" l="1"/>
  <c r="AR1539" i="22"/>
  <c r="AP1539" i="22" s="1"/>
  <c r="AQ1541" i="22" l="1"/>
  <c r="AR1540" i="22"/>
  <c r="AP1540" i="22" s="1"/>
  <c r="AQ1542" i="22" l="1"/>
  <c r="AR1541" i="22"/>
  <c r="AP1541" i="22" s="1"/>
  <c r="AQ1543" i="22" l="1"/>
  <c r="AR1542" i="22"/>
  <c r="AP1542" i="22" s="1"/>
  <c r="AQ1544" i="22" l="1"/>
  <c r="AR1543" i="22"/>
  <c r="AP1543" i="22" s="1"/>
  <c r="AQ1545" i="22" l="1"/>
  <c r="AR1544" i="22"/>
  <c r="AP1544" i="22" s="1"/>
  <c r="AQ1546" i="22" l="1"/>
  <c r="AR1545" i="22"/>
  <c r="AP1545" i="22" s="1"/>
  <c r="AQ1547" i="22" l="1"/>
  <c r="AR1546" i="22"/>
  <c r="AP1546" i="22" s="1"/>
  <c r="AQ1548" i="22" l="1"/>
  <c r="AR1547" i="22"/>
  <c r="AP1547" i="22" s="1"/>
  <c r="AQ1549" i="22" l="1"/>
  <c r="AR1548" i="22"/>
  <c r="AP1548" i="22" s="1"/>
  <c r="AQ1550" i="22" l="1"/>
  <c r="AR1549" i="22"/>
  <c r="AP1549" i="22" s="1"/>
  <c r="AQ1551" i="22" l="1"/>
  <c r="AR1550" i="22"/>
  <c r="AP1550" i="22" s="1"/>
  <c r="AQ1552" i="22" l="1"/>
  <c r="AR1551" i="22"/>
  <c r="AP1551" i="22" s="1"/>
  <c r="AQ1553" i="22" l="1"/>
  <c r="AR1552" i="22"/>
  <c r="AP1552" i="22" s="1"/>
  <c r="AQ1554" i="22" l="1"/>
  <c r="AR1553" i="22"/>
  <c r="AP1553" i="22" s="1"/>
  <c r="AQ1555" i="22" l="1"/>
  <c r="AR1554" i="22"/>
  <c r="AP1554" i="22" s="1"/>
  <c r="AQ1556" i="22" l="1"/>
  <c r="AR1555" i="22"/>
  <c r="AP1555" i="22" s="1"/>
  <c r="AQ1557" i="22" l="1"/>
  <c r="AR1556" i="22"/>
  <c r="AP1556" i="22" s="1"/>
  <c r="AQ1558" i="22" l="1"/>
  <c r="AR1557" i="22"/>
  <c r="AP1557" i="22" s="1"/>
  <c r="AQ1559" i="22" l="1"/>
  <c r="AR1558" i="22"/>
  <c r="AP1558" i="22" s="1"/>
  <c r="AQ1560" i="22" l="1"/>
  <c r="AR1559" i="22"/>
  <c r="AP1559" i="22" s="1"/>
  <c r="AQ1561" i="22" l="1"/>
  <c r="AR1560" i="22"/>
  <c r="AP1560" i="22" s="1"/>
  <c r="AQ1562" i="22" l="1"/>
  <c r="AR1561" i="22"/>
  <c r="AP1561" i="22" s="1"/>
  <c r="AQ1563" i="22" l="1"/>
  <c r="AR1562" i="22"/>
  <c r="AP1562" i="22" s="1"/>
  <c r="AQ1564" i="22" l="1"/>
  <c r="AR1563" i="22"/>
  <c r="AP1563" i="22" s="1"/>
  <c r="AQ1565" i="22" l="1"/>
  <c r="AR1564" i="22"/>
  <c r="AP1564" i="22" s="1"/>
  <c r="AQ1566" i="22" l="1"/>
  <c r="AR1565" i="22"/>
  <c r="AP1565" i="22" s="1"/>
  <c r="AQ1567" i="22" l="1"/>
  <c r="AR1566" i="22"/>
  <c r="AP1566" i="22" s="1"/>
  <c r="AQ1568" i="22" l="1"/>
  <c r="AR1567" i="22"/>
  <c r="AP1567" i="22" s="1"/>
  <c r="AQ1569" i="22" l="1"/>
  <c r="AR1568" i="22"/>
  <c r="AP1568" i="22" s="1"/>
  <c r="AQ1570" i="22" l="1"/>
  <c r="AR1569" i="22"/>
  <c r="AP1569" i="22" s="1"/>
  <c r="AQ1571" i="22" l="1"/>
  <c r="AR1570" i="22"/>
  <c r="AP1570" i="22" s="1"/>
  <c r="AQ1572" i="22" l="1"/>
  <c r="AR1571" i="22"/>
  <c r="AP1571" i="22" s="1"/>
  <c r="AQ1573" i="22" l="1"/>
  <c r="AR1572" i="22"/>
  <c r="AP1572" i="22" s="1"/>
  <c r="AQ1574" i="22" l="1"/>
  <c r="AR1573" i="22"/>
  <c r="AP1573" i="22" s="1"/>
  <c r="AQ1575" i="22" l="1"/>
  <c r="AR1574" i="22"/>
  <c r="AP1574" i="22" s="1"/>
  <c r="AQ1576" i="22" l="1"/>
  <c r="AR1575" i="22"/>
  <c r="AP1575" i="22" s="1"/>
  <c r="AQ1577" i="22" l="1"/>
  <c r="AR1576" i="22"/>
  <c r="AP1576" i="22" s="1"/>
  <c r="AQ1578" i="22" l="1"/>
  <c r="AR1577" i="22"/>
  <c r="AP1577" i="22" s="1"/>
  <c r="AQ1579" i="22" l="1"/>
  <c r="AR1578" i="22"/>
  <c r="AP1578" i="22" s="1"/>
  <c r="AQ1580" i="22" l="1"/>
  <c r="AR1579" i="22"/>
  <c r="AP1579" i="22" s="1"/>
  <c r="AQ1581" i="22" l="1"/>
  <c r="AR1580" i="22"/>
  <c r="AP1580" i="22" s="1"/>
  <c r="AQ1582" i="22" l="1"/>
  <c r="AR1581" i="22"/>
  <c r="AP1581" i="22" s="1"/>
  <c r="AQ1583" i="22" l="1"/>
  <c r="AR1582" i="22"/>
  <c r="AP1582" i="22" s="1"/>
  <c r="AQ1584" i="22" l="1"/>
  <c r="AR1583" i="22"/>
  <c r="AP1583" i="22" s="1"/>
  <c r="AQ1585" i="22" l="1"/>
  <c r="AR1584" i="22"/>
  <c r="AP1584" i="22" s="1"/>
  <c r="AQ1586" i="22" l="1"/>
  <c r="AR1585" i="22"/>
  <c r="AP1585" i="22" s="1"/>
  <c r="AQ1587" i="22" l="1"/>
  <c r="AR1586" i="22"/>
  <c r="AP1586" i="22" s="1"/>
  <c r="AQ1588" i="22" l="1"/>
  <c r="AR1587" i="22"/>
  <c r="AP1587" i="22" s="1"/>
  <c r="AQ1589" i="22" l="1"/>
  <c r="AR1588" i="22"/>
  <c r="AP1588" i="22" s="1"/>
  <c r="AQ1590" i="22" l="1"/>
  <c r="AR1589" i="22"/>
  <c r="AP1589" i="22" s="1"/>
  <c r="AQ1591" i="22" l="1"/>
  <c r="AR1590" i="22"/>
  <c r="AP1590" i="22" s="1"/>
  <c r="AQ1592" i="22" l="1"/>
  <c r="AR1591" i="22"/>
  <c r="AP1591" i="22" s="1"/>
  <c r="AQ1593" i="22" l="1"/>
  <c r="AR1592" i="22"/>
  <c r="AP1592" i="22" s="1"/>
  <c r="AQ1594" i="22" l="1"/>
  <c r="AR1593" i="22"/>
  <c r="AP1593" i="22" s="1"/>
  <c r="AQ1595" i="22" l="1"/>
  <c r="AR1594" i="22"/>
  <c r="AP1594" i="22" s="1"/>
  <c r="AQ1596" i="22" l="1"/>
  <c r="AR1595" i="22"/>
  <c r="AP1595" i="22" s="1"/>
  <c r="AQ1597" i="22" l="1"/>
  <c r="AR1596" i="22"/>
  <c r="AP1596" i="22" s="1"/>
  <c r="AQ1598" i="22" l="1"/>
  <c r="AR1597" i="22"/>
  <c r="AP1597" i="22" s="1"/>
  <c r="AQ1599" i="22" l="1"/>
  <c r="AR1598" i="22"/>
  <c r="AP1598" i="22" s="1"/>
  <c r="AQ1600" i="22" l="1"/>
  <c r="AR1599" i="22"/>
  <c r="AP1599" i="22" s="1"/>
  <c r="AQ1601" i="22" l="1"/>
  <c r="AR1600" i="22"/>
  <c r="AP1600" i="22" s="1"/>
  <c r="AQ1602" i="22" l="1"/>
  <c r="AR1601" i="22"/>
  <c r="AP1601" i="22" s="1"/>
  <c r="AQ1603" i="22" l="1"/>
  <c r="AR1602" i="22"/>
  <c r="AP1602" i="22" s="1"/>
  <c r="AQ1604" i="22" l="1"/>
  <c r="AR1603" i="22"/>
  <c r="AP1603" i="22" s="1"/>
  <c r="AQ1605" i="22" l="1"/>
  <c r="AR1604" i="22"/>
  <c r="AP1604" i="22" s="1"/>
  <c r="AQ1606" i="22" l="1"/>
  <c r="AR1605" i="22"/>
  <c r="AP1605" i="22" s="1"/>
  <c r="AQ1607" i="22" l="1"/>
  <c r="AR1606" i="22"/>
  <c r="AP1606" i="22" s="1"/>
  <c r="AQ1608" i="22" l="1"/>
  <c r="AR1607" i="22"/>
  <c r="AP1607" i="22" s="1"/>
  <c r="AQ1609" i="22" l="1"/>
  <c r="AR1608" i="22"/>
  <c r="AP1608" i="22" s="1"/>
  <c r="AQ1610" i="22" l="1"/>
  <c r="AR1609" i="22"/>
  <c r="AP1609" i="22" s="1"/>
  <c r="AQ1611" i="22" l="1"/>
  <c r="AR1610" i="22"/>
  <c r="AP1610" i="22" s="1"/>
  <c r="AQ1612" i="22" l="1"/>
  <c r="AR1611" i="22"/>
  <c r="AP1611" i="22" s="1"/>
  <c r="AQ1613" i="22" l="1"/>
  <c r="AR1612" i="22"/>
  <c r="AP1612" i="22" s="1"/>
  <c r="AQ1614" i="22" l="1"/>
  <c r="AR1613" i="22"/>
  <c r="AP1613" i="22" s="1"/>
  <c r="AQ1615" i="22" l="1"/>
  <c r="AR1614" i="22"/>
  <c r="AP1614" i="22" s="1"/>
  <c r="AQ1616" i="22" l="1"/>
  <c r="AR1615" i="22"/>
  <c r="AP1615" i="22" s="1"/>
  <c r="AQ1617" i="22" l="1"/>
  <c r="AR1616" i="22"/>
  <c r="AP1616" i="22" s="1"/>
  <c r="AQ1618" i="22" l="1"/>
  <c r="AR1617" i="22"/>
  <c r="AP1617" i="22" s="1"/>
  <c r="AQ1619" i="22" l="1"/>
  <c r="AR1618" i="22"/>
  <c r="AP1618" i="22" s="1"/>
  <c r="AQ1620" i="22" l="1"/>
  <c r="AR1619" i="22"/>
  <c r="AP1619" i="22" s="1"/>
  <c r="AQ1621" i="22" l="1"/>
  <c r="AR1620" i="22"/>
  <c r="AP1620" i="22" s="1"/>
  <c r="AQ1622" i="22" l="1"/>
  <c r="AR1621" i="22"/>
  <c r="AP1621" i="22" s="1"/>
  <c r="AQ1623" i="22" l="1"/>
  <c r="AR1622" i="22"/>
  <c r="AP1622" i="22" s="1"/>
  <c r="AQ1624" i="22" l="1"/>
  <c r="AR1623" i="22"/>
  <c r="AP1623" i="22" s="1"/>
  <c r="AQ1625" i="22" l="1"/>
  <c r="AR1624" i="22"/>
  <c r="AP1624" i="22" s="1"/>
  <c r="AQ1626" i="22" l="1"/>
  <c r="AR1625" i="22"/>
  <c r="AP1625" i="22" s="1"/>
  <c r="AQ1627" i="22" l="1"/>
  <c r="AR1626" i="22"/>
  <c r="AP1626" i="22" s="1"/>
  <c r="AQ1628" i="22" l="1"/>
  <c r="AR1627" i="22"/>
  <c r="AP1627" i="22" s="1"/>
  <c r="AQ1629" i="22" l="1"/>
  <c r="AR1628" i="22"/>
  <c r="AP1628" i="22" s="1"/>
  <c r="AQ1630" i="22" l="1"/>
  <c r="AR1629" i="22"/>
  <c r="AP1629" i="22" s="1"/>
  <c r="AQ1631" i="22" l="1"/>
  <c r="AR1630" i="22"/>
  <c r="AP1630" i="22" s="1"/>
  <c r="AQ1632" i="22" l="1"/>
  <c r="AR1631" i="22"/>
  <c r="AP1631" i="22" s="1"/>
  <c r="AQ1633" i="22" l="1"/>
  <c r="AR1632" i="22"/>
  <c r="AP1632" i="22" s="1"/>
  <c r="AQ1634" i="22" l="1"/>
  <c r="AR1633" i="22"/>
  <c r="AP1633" i="22" s="1"/>
  <c r="AQ1635" i="22" l="1"/>
  <c r="AR1634" i="22"/>
  <c r="AP1634" i="22" s="1"/>
  <c r="AQ1636" i="22" l="1"/>
  <c r="AR1635" i="22"/>
  <c r="AP1635" i="22" s="1"/>
  <c r="AQ1637" i="22" l="1"/>
  <c r="AR1636" i="22"/>
  <c r="AP1636" i="22" s="1"/>
  <c r="AQ1638" i="22" l="1"/>
  <c r="AR1637" i="22"/>
  <c r="AP1637" i="22" s="1"/>
  <c r="AQ1639" i="22" l="1"/>
  <c r="AR1638" i="22"/>
  <c r="AP1638" i="22" s="1"/>
  <c r="AQ1640" i="22" l="1"/>
  <c r="AR1639" i="22"/>
  <c r="AP1639" i="22" s="1"/>
  <c r="AQ1641" i="22" l="1"/>
  <c r="AR1640" i="22"/>
  <c r="AP1640" i="22" s="1"/>
  <c r="AQ1642" i="22" l="1"/>
  <c r="AR1641" i="22"/>
  <c r="AP1641" i="22" s="1"/>
  <c r="AQ1643" i="22" l="1"/>
  <c r="AR1642" i="22"/>
  <c r="AP1642" i="22" s="1"/>
  <c r="AQ1644" i="22" l="1"/>
  <c r="AR1643" i="22"/>
  <c r="AP1643" i="22" s="1"/>
  <c r="AQ1645" i="22" l="1"/>
  <c r="AR1644" i="22"/>
  <c r="AP1644" i="22" s="1"/>
  <c r="AQ1646" i="22" l="1"/>
  <c r="AR1645" i="22"/>
  <c r="AP1645" i="22" s="1"/>
  <c r="AQ1647" i="22" l="1"/>
  <c r="AR1646" i="22"/>
  <c r="AP1646" i="22" s="1"/>
  <c r="AQ1648" i="22" l="1"/>
  <c r="AR1647" i="22"/>
  <c r="AP1647" i="22" s="1"/>
  <c r="AQ1649" i="22" l="1"/>
  <c r="AR1648" i="22"/>
  <c r="AP1648" i="22" s="1"/>
  <c r="AQ1650" i="22" l="1"/>
  <c r="AR1649" i="22"/>
  <c r="AP1649" i="22" s="1"/>
  <c r="AQ1651" i="22" l="1"/>
  <c r="AR1650" i="22"/>
  <c r="AP1650" i="22" s="1"/>
  <c r="AQ1652" i="22" l="1"/>
  <c r="AR1651" i="22"/>
  <c r="AP1651" i="22" s="1"/>
  <c r="AQ1653" i="22" l="1"/>
  <c r="AR1652" i="22"/>
  <c r="AP1652" i="22" s="1"/>
  <c r="AQ1654" i="22" l="1"/>
  <c r="AR1653" i="22"/>
  <c r="AP1653" i="22" s="1"/>
  <c r="AQ1655" i="22" l="1"/>
  <c r="AR1654" i="22"/>
  <c r="AP1654" i="22" s="1"/>
  <c r="AQ1656" i="22" l="1"/>
  <c r="AR1655" i="22"/>
  <c r="AP1655" i="22" s="1"/>
  <c r="AQ1657" i="22" l="1"/>
  <c r="AR1656" i="22"/>
  <c r="AP1656" i="22" s="1"/>
  <c r="AQ1658" i="22" l="1"/>
  <c r="AR1657" i="22"/>
  <c r="AP1657" i="22" s="1"/>
  <c r="AQ1659" i="22" l="1"/>
  <c r="AR1658" i="22"/>
  <c r="AP1658" i="22" s="1"/>
  <c r="AQ1660" i="22" l="1"/>
  <c r="AR1659" i="22"/>
  <c r="AP1659" i="22" s="1"/>
  <c r="AQ1661" i="22" l="1"/>
  <c r="AR1660" i="22"/>
  <c r="AP1660" i="22" s="1"/>
  <c r="AQ1662" i="22" l="1"/>
  <c r="AR1661" i="22"/>
  <c r="AP1661" i="22" s="1"/>
  <c r="AQ1663" i="22" l="1"/>
  <c r="AR1662" i="22"/>
  <c r="AP1662" i="22" s="1"/>
  <c r="AQ1664" i="22" l="1"/>
  <c r="AR1663" i="22"/>
  <c r="AP1663" i="22" s="1"/>
  <c r="AQ1665" i="22" l="1"/>
  <c r="AR1664" i="22"/>
  <c r="AP1664" i="22" s="1"/>
  <c r="AQ1666" i="22" l="1"/>
  <c r="AR1665" i="22"/>
  <c r="AP1665" i="22" s="1"/>
  <c r="AQ1667" i="22" l="1"/>
  <c r="AR1666" i="22"/>
  <c r="AP1666" i="22" s="1"/>
  <c r="AQ1668" i="22" l="1"/>
  <c r="AR1667" i="22"/>
  <c r="AP1667" i="22" s="1"/>
  <c r="AQ1669" i="22" l="1"/>
  <c r="AR1668" i="22"/>
  <c r="AP1668" i="22" s="1"/>
  <c r="AQ1670" i="22" l="1"/>
  <c r="AR1669" i="22"/>
  <c r="AP1669" i="22" s="1"/>
  <c r="AQ1671" i="22" l="1"/>
  <c r="AR1670" i="22"/>
  <c r="AP1670" i="22" s="1"/>
  <c r="AQ1672" i="22" l="1"/>
  <c r="AR1671" i="22"/>
  <c r="AP1671" i="22" s="1"/>
  <c r="AQ1673" i="22" l="1"/>
  <c r="AR1672" i="22"/>
  <c r="AP1672" i="22" s="1"/>
  <c r="AQ1674" i="22" l="1"/>
  <c r="AR1673" i="22"/>
  <c r="AP1673" i="22" s="1"/>
  <c r="AQ1675" i="22" l="1"/>
  <c r="AR1674" i="22"/>
  <c r="AP1674" i="22" s="1"/>
  <c r="AQ1676" i="22" l="1"/>
  <c r="AR1675" i="22"/>
  <c r="AP1675" i="22" s="1"/>
  <c r="AQ1677" i="22" l="1"/>
  <c r="AR1676" i="22"/>
  <c r="AP1676" i="22" s="1"/>
  <c r="AQ1678" i="22" l="1"/>
  <c r="AR1677" i="22"/>
  <c r="AP1677" i="22" s="1"/>
  <c r="AQ1679" i="22" l="1"/>
  <c r="AR1678" i="22"/>
  <c r="AP1678" i="22" s="1"/>
  <c r="AQ1680" i="22" l="1"/>
  <c r="AR1679" i="22"/>
  <c r="AP1679" i="22" s="1"/>
  <c r="AQ1681" i="22" l="1"/>
  <c r="AR1680" i="22"/>
  <c r="AP1680" i="22" s="1"/>
  <c r="AQ1682" i="22" l="1"/>
  <c r="AR1681" i="22"/>
  <c r="AP1681" i="22" s="1"/>
  <c r="AQ1683" i="22" l="1"/>
  <c r="AR1682" i="22"/>
  <c r="AP1682" i="22" s="1"/>
  <c r="AQ1684" i="22" l="1"/>
  <c r="AR1683" i="22"/>
  <c r="AP1683" i="22" s="1"/>
  <c r="AQ1685" i="22" l="1"/>
  <c r="AR1684" i="22"/>
  <c r="AP1684" i="22" s="1"/>
  <c r="AQ1686" i="22" l="1"/>
  <c r="AR1685" i="22"/>
  <c r="AP1685" i="22" s="1"/>
  <c r="AQ1687" i="22" l="1"/>
  <c r="AR1686" i="22"/>
  <c r="AP1686" i="22" s="1"/>
  <c r="AQ1688" i="22" l="1"/>
  <c r="AR1687" i="22"/>
  <c r="AP1687" i="22" s="1"/>
  <c r="AQ1689" i="22" l="1"/>
  <c r="AR1688" i="22"/>
  <c r="AP1688" i="22" s="1"/>
  <c r="AQ1690" i="22" l="1"/>
  <c r="AR1689" i="22"/>
  <c r="AP1689" i="22" s="1"/>
  <c r="AQ1691" i="22" l="1"/>
  <c r="AR1690" i="22"/>
  <c r="AP1690" i="22" s="1"/>
  <c r="AQ1692" i="22" l="1"/>
  <c r="AR1691" i="22"/>
  <c r="AP1691" i="22" s="1"/>
  <c r="AQ1693" i="22" l="1"/>
  <c r="AR1692" i="22"/>
  <c r="AP1692" i="22" s="1"/>
  <c r="AQ1694" i="22" l="1"/>
  <c r="AR1693" i="22"/>
  <c r="AP1693" i="22" s="1"/>
  <c r="AQ1695" i="22" l="1"/>
  <c r="AR1694" i="22"/>
  <c r="AP1694" i="22" s="1"/>
  <c r="AQ1696" i="22" l="1"/>
  <c r="AR1695" i="22"/>
  <c r="AP1695" i="22" s="1"/>
  <c r="AQ1697" i="22" l="1"/>
  <c r="AR1696" i="22"/>
  <c r="AP1696" i="22" s="1"/>
  <c r="AQ1698" i="22" l="1"/>
  <c r="AR1697" i="22"/>
  <c r="AP1697" i="22" s="1"/>
  <c r="AQ1699" i="22" l="1"/>
  <c r="AR1698" i="22"/>
  <c r="AP1698" i="22" s="1"/>
  <c r="AQ1700" i="22" l="1"/>
  <c r="AR1699" i="22"/>
  <c r="AP1699" i="22" s="1"/>
  <c r="AQ1701" i="22" l="1"/>
  <c r="AR1700" i="22"/>
  <c r="AP1700" i="22" s="1"/>
  <c r="AQ1702" i="22" l="1"/>
  <c r="AR1701" i="22"/>
  <c r="AP1701" i="22" s="1"/>
  <c r="AQ1703" i="22" l="1"/>
  <c r="AR1702" i="22"/>
  <c r="AP1702" i="22" s="1"/>
  <c r="AQ1704" i="22" l="1"/>
  <c r="AR1703" i="22"/>
  <c r="AP1703" i="22" s="1"/>
  <c r="AQ1705" i="22" l="1"/>
  <c r="AR1704" i="22"/>
  <c r="AP1704" i="22" s="1"/>
  <c r="AQ1706" i="22" l="1"/>
  <c r="AR1705" i="22"/>
  <c r="AP1705" i="22" s="1"/>
  <c r="AQ1707" i="22" l="1"/>
  <c r="AR1706" i="22"/>
  <c r="AP1706" i="22" s="1"/>
  <c r="AQ1708" i="22" l="1"/>
  <c r="AR1707" i="22"/>
  <c r="AP1707" i="22" s="1"/>
  <c r="AQ1709" i="22" l="1"/>
  <c r="AR1708" i="22"/>
  <c r="AP1708" i="22" s="1"/>
  <c r="AQ1710" i="22" l="1"/>
  <c r="AR1709" i="22"/>
  <c r="AP1709" i="22" s="1"/>
  <c r="AQ1711" i="22" l="1"/>
  <c r="AR1710" i="22"/>
  <c r="AP1710" i="22" s="1"/>
  <c r="AQ1712" i="22" l="1"/>
  <c r="AR1711" i="22"/>
  <c r="AP1711" i="22" s="1"/>
  <c r="AQ1713" i="22" l="1"/>
  <c r="AR1712" i="22"/>
  <c r="AP1712" i="22" s="1"/>
  <c r="AQ1714" i="22" l="1"/>
  <c r="AR1713" i="22"/>
  <c r="AP1713" i="22" s="1"/>
  <c r="AQ1715" i="22" l="1"/>
  <c r="AR1714" i="22"/>
  <c r="AP1714" i="22" s="1"/>
  <c r="AQ1716" i="22" l="1"/>
  <c r="AR1715" i="22"/>
  <c r="AP1715" i="22" s="1"/>
  <c r="AQ1717" i="22" l="1"/>
  <c r="AR1716" i="22"/>
  <c r="AP1716" i="22" s="1"/>
  <c r="AQ1718" i="22" l="1"/>
  <c r="AR1717" i="22"/>
  <c r="AP1717" i="22" s="1"/>
  <c r="AQ1719" i="22" l="1"/>
  <c r="AR1718" i="22"/>
  <c r="AP1718" i="22" s="1"/>
  <c r="AQ1720" i="22" l="1"/>
  <c r="AR1719" i="22"/>
  <c r="AP1719" i="22" s="1"/>
  <c r="AQ1721" i="22" l="1"/>
  <c r="AR1720" i="22"/>
  <c r="AP1720" i="22" s="1"/>
  <c r="AQ1722" i="22" l="1"/>
  <c r="AR1721" i="22"/>
  <c r="AP1721" i="22" s="1"/>
  <c r="AQ1723" i="22" l="1"/>
  <c r="AR1722" i="22"/>
  <c r="AP1722" i="22" s="1"/>
  <c r="AQ1724" i="22" l="1"/>
  <c r="AR1723" i="22"/>
  <c r="AP1723" i="22" s="1"/>
  <c r="AQ1725" i="22" l="1"/>
  <c r="AR1724" i="22"/>
  <c r="AP1724" i="22" s="1"/>
  <c r="AQ1726" i="22" l="1"/>
  <c r="AR1725" i="22"/>
  <c r="AP1725" i="22" s="1"/>
  <c r="AQ1727" i="22" l="1"/>
  <c r="AR1726" i="22"/>
  <c r="AP1726" i="22" s="1"/>
  <c r="AQ1728" i="22" l="1"/>
  <c r="AR1727" i="22"/>
  <c r="AP1727" i="22" s="1"/>
  <c r="AQ1729" i="22" l="1"/>
  <c r="AR1728" i="22"/>
  <c r="AP1728" i="22" s="1"/>
  <c r="AQ1730" i="22" l="1"/>
  <c r="AR1729" i="22"/>
  <c r="AP1729" i="22" s="1"/>
  <c r="AQ1731" i="22" l="1"/>
  <c r="AR1730" i="22"/>
  <c r="AP1730" i="22" s="1"/>
  <c r="AQ1732" i="22" l="1"/>
  <c r="AR1731" i="22"/>
  <c r="AP1731" i="22" s="1"/>
  <c r="AQ1733" i="22" l="1"/>
  <c r="AR1732" i="22"/>
  <c r="AP1732" i="22" s="1"/>
  <c r="AQ1734" i="22" l="1"/>
  <c r="AR1733" i="22"/>
  <c r="AP1733" i="22" s="1"/>
  <c r="AQ1735" i="22" l="1"/>
  <c r="AR1734" i="22"/>
  <c r="AP1734" i="22" s="1"/>
  <c r="AQ1736" i="22" l="1"/>
  <c r="AR1735" i="22"/>
  <c r="AP1735" i="22" s="1"/>
  <c r="AQ1737" i="22" l="1"/>
  <c r="AR1736" i="22"/>
  <c r="AP1736" i="22" s="1"/>
  <c r="AQ1738" i="22" l="1"/>
  <c r="AR1737" i="22"/>
  <c r="AP1737" i="22" s="1"/>
  <c r="AQ1739" i="22" l="1"/>
  <c r="AR1738" i="22"/>
  <c r="AP1738" i="22" s="1"/>
  <c r="AQ1740" i="22" l="1"/>
  <c r="AR1739" i="22"/>
  <c r="AP1739" i="22" s="1"/>
  <c r="AQ1741" i="22" l="1"/>
  <c r="AR1740" i="22"/>
  <c r="AP1740" i="22" s="1"/>
  <c r="AQ1742" i="22" l="1"/>
  <c r="AR1741" i="22"/>
  <c r="AP1741" i="22" s="1"/>
  <c r="AQ1743" i="22" l="1"/>
  <c r="AR1742" i="22"/>
  <c r="AP1742" i="22" s="1"/>
  <c r="AQ1744" i="22" l="1"/>
  <c r="AR1743" i="22"/>
  <c r="AP1743" i="22" s="1"/>
  <c r="AQ1745" i="22" l="1"/>
  <c r="AR1744" i="22"/>
  <c r="AP1744" i="22" s="1"/>
  <c r="AQ1746" i="22" l="1"/>
  <c r="AR1745" i="22"/>
  <c r="AP1745" i="22" s="1"/>
  <c r="AQ1747" i="22" l="1"/>
  <c r="AR1746" i="22"/>
  <c r="AP1746" i="22" s="1"/>
  <c r="AQ1748" i="22" l="1"/>
  <c r="AR1747" i="22"/>
  <c r="AP1747" i="22" s="1"/>
  <c r="AQ1749" i="22" l="1"/>
  <c r="AR1748" i="22"/>
  <c r="AP1748" i="22" s="1"/>
  <c r="AQ1750" i="22" l="1"/>
  <c r="AR1749" i="22"/>
  <c r="AP1749" i="22" s="1"/>
  <c r="AQ1751" i="22" l="1"/>
  <c r="AR1750" i="22"/>
  <c r="AP1750" i="22" s="1"/>
  <c r="AQ1752" i="22" l="1"/>
  <c r="AR1751" i="22"/>
  <c r="AP1751" i="22" s="1"/>
  <c r="AQ1753" i="22" l="1"/>
  <c r="AR1752" i="22"/>
  <c r="AP1752" i="22" s="1"/>
  <c r="AQ1754" i="22" l="1"/>
  <c r="AR1753" i="22"/>
  <c r="AP1753" i="22" s="1"/>
  <c r="AQ1755" i="22" l="1"/>
  <c r="AR1754" i="22"/>
  <c r="AP1754" i="22" s="1"/>
  <c r="AQ1756" i="22" l="1"/>
  <c r="AR1755" i="22"/>
  <c r="AP1755" i="22" s="1"/>
  <c r="AQ1757" i="22" l="1"/>
  <c r="AR1756" i="22"/>
  <c r="AP1756" i="22" s="1"/>
  <c r="AQ1758" i="22" l="1"/>
  <c r="AR1757" i="22"/>
  <c r="AP1757" i="22" s="1"/>
  <c r="AQ1759" i="22" l="1"/>
  <c r="AR1758" i="22"/>
  <c r="AP1758" i="22" s="1"/>
  <c r="AQ1760" i="22" l="1"/>
  <c r="AR1759" i="22"/>
  <c r="AP1759" i="22" s="1"/>
  <c r="AQ1761" i="22" l="1"/>
  <c r="AR1760" i="22"/>
  <c r="AP1760" i="22" s="1"/>
  <c r="AQ1762" i="22" l="1"/>
  <c r="AR1761" i="22"/>
  <c r="AP1761" i="22" s="1"/>
  <c r="AQ1763" i="22" l="1"/>
  <c r="AR1762" i="22"/>
  <c r="AP1762" i="22" s="1"/>
  <c r="AQ1764" i="22" l="1"/>
  <c r="AR1763" i="22"/>
  <c r="AP1763" i="22" s="1"/>
  <c r="AQ1765" i="22" l="1"/>
  <c r="AR1764" i="22"/>
  <c r="AP1764" i="22" s="1"/>
  <c r="AQ1766" i="22" l="1"/>
  <c r="AR1765" i="22"/>
  <c r="AP1765" i="22" s="1"/>
  <c r="AQ1767" i="22" l="1"/>
  <c r="AR1766" i="22"/>
  <c r="AP1766" i="22" s="1"/>
  <c r="AQ1768" i="22" l="1"/>
  <c r="AR1767" i="22"/>
  <c r="AP1767" i="22" s="1"/>
  <c r="AQ1769" i="22" l="1"/>
  <c r="AR1768" i="22"/>
  <c r="AP1768" i="22" s="1"/>
  <c r="AQ1770" i="22" l="1"/>
  <c r="AR1769" i="22"/>
  <c r="AP1769" i="22" s="1"/>
  <c r="AQ1771" i="22" l="1"/>
  <c r="AR1770" i="22"/>
  <c r="AP1770" i="22" s="1"/>
  <c r="AQ1772" i="22" l="1"/>
  <c r="AR1771" i="22"/>
  <c r="AP1771" i="22" s="1"/>
  <c r="AQ1773" i="22" l="1"/>
  <c r="AR1772" i="22"/>
  <c r="AP1772" i="22" s="1"/>
  <c r="AQ1774" i="22" l="1"/>
  <c r="AR1773" i="22"/>
  <c r="AP1773" i="22" s="1"/>
  <c r="AQ1775" i="22" l="1"/>
  <c r="AR1774" i="22"/>
  <c r="AP1774" i="22" s="1"/>
  <c r="AQ1776" i="22" l="1"/>
  <c r="AR1775" i="22"/>
  <c r="AP1775" i="22" s="1"/>
  <c r="AQ1777" i="22" l="1"/>
  <c r="AR1776" i="22"/>
  <c r="AP1776" i="22" s="1"/>
  <c r="AQ1778" i="22" l="1"/>
  <c r="AR1777" i="22"/>
  <c r="AP1777" i="22" s="1"/>
  <c r="AQ1779" i="22" l="1"/>
  <c r="AR1778" i="22"/>
  <c r="AP1778" i="22" s="1"/>
  <c r="AQ1780" i="22" l="1"/>
  <c r="AR1779" i="22"/>
  <c r="AP1779" i="22" s="1"/>
  <c r="AQ1781" i="22" l="1"/>
  <c r="AR1780" i="22"/>
  <c r="AP1780" i="22" s="1"/>
  <c r="AQ1782" i="22" l="1"/>
  <c r="AR1781" i="22"/>
  <c r="AP1781" i="22" s="1"/>
  <c r="AQ1783" i="22" l="1"/>
  <c r="AR1782" i="22"/>
  <c r="AP1782" i="22" s="1"/>
  <c r="AQ1784" i="22" l="1"/>
  <c r="AR1783" i="22"/>
  <c r="AP1783" i="22" s="1"/>
  <c r="AQ1785" i="22" l="1"/>
  <c r="AR1784" i="22"/>
  <c r="AP1784" i="22" s="1"/>
  <c r="AQ1786" i="22" l="1"/>
  <c r="AR1785" i="22"/>
  <c r="AP1785" i="22" s="1"/>
  <c r="AQ1787" i="22" l="1"/>
  <c r="AR1786" i="22"/>
  <c r="AP1786" i="22" s="1"/>
  <c r="AQ1788" i="22" l="1"/>
  <c r="AR1787" i="22"/>
  <c r="AP1787" i="22" s="1"/>
  <c r="AQ1789" i="22" l="1"/>
  <c r="AR1788" i="22"/>
  <c r="AP1788" i="22" s="1"/>
  <c r="AQ1790" i="22" l="1"/>
  <c r="AR1789" i="22"/>
  <c r="AP1789" i="22" s="1"/>
  <c r="AQ1791" i="22" l="1"/>
  <c r="AR1790" i="22"/>
  <c r="AP1790" i="22" s="1"/>
  <c r="AQ1792" i="22" l="1"/>
  <c r="AR1791" i="22"/>
  <c r="AP1791" i="22" s="1"/>
  <c r="AQ1793" i="22" l="1"/>
  <c r="AR1792" i="22"/>
  <c r="AP1792" i="22" s="1"/>
  <c r="AQ1794" i="22" l="1"/>
  <c r="AR1793" i="22"/>
  <c r="AP1793" i="22" s="1"/>
  <c r="AQ1795" i="22" l="1"/>
  <c r="AR1794" i="22"/>
  <c r="AP1794" i="22" s="1"/>
  <c r="AQ1796" i="22" l="1"/>
  <c r="AR1795" i="22"/>
  <c r="AP1795" i="22" s="1"/>
  <c r="AQ1797" i="22" l="1"/>
  <c r="AR1796" i="22"/>
  <c r="AP1796" i="22" s="1"/>
  <c r="AQ1798" i="22" l="1"/>
  <c r="AR1797" i="22"/>
  <c r="AP1797" i="22" s="1"/>
  <c r="AQ1799" i="22" l="1"/>
  <c r="AR1798" i="22"/>
  <c r="AP1798" i="22" s="1"/>
  <c r="AQ1800" i="22" l="1"/>
  <c r="AR1799" i="22"/>
  <c r="AP1799" i="22" s="1"/>
  <c r="AQ1801" i="22" l="1"/>
  <c r="AR1800" i="22"/>
  <c r="AP1800" i="22" s="1"/>
  <c r="AQ1802" i="22" l="1"/>
  <c r="AR1801" i="22"/>
  <c r="AP1801" i="22" s="1"/>
  <c r="AQ1803" i="22" l="1"/>
  <c r="AR1802" i="22"/>
  <c r="AP1802" i="22" s="1"/>
  <c r="AQ1804" i="22" l="1"/>
  <c r="AR1803" i="22"/>
  <c r="AP1803" i="22" s="1"/>
  <c r="AQ1805" i="22" l="1"/>
  <c r="AR1804" i="22"/>
  <c r="AP1804" i="22" s="1"/>
  <c r="AQ1806" i="22" l="1"/>
  <c r="AR1805" i="22"/>
  <c r="AP1805" i="22" s="1"/>
  <c r="AQ1807" i="22" l="1"/>
  <c r="AR1806" i="22"/>
  <c r="AP1806" i="22" s="1"/>
  <c r="AQ1808" i="22" l="1"/>
  <c r="AR1807" i="22"/>
  <c r="AP1807" i="22" s="1"/>
  <c r="AQ1809" i="22" l="1"/>
  <c r="AR1808" i="22"/>
  <c r="AP1808" i="22" s="1"/>
  <c r="AQ1810" i="22" l="1"/>
  <c r="AR1809" i="22"/>
  <c r="AP1809" i="22" s="1"/>
  <c r="AQ1811" i="22" l="1"/>
  <c r="AR1810" i="22"/>
  <c r="AP1810" i="22" s="1"/>
  <c r="AQ1812" i="22" l="1"/>
  <c r="AR1811" i="22"/>
  <c r="AP1811" i="22" s="1"/>
  <c r="AQ1813" i="22" l="1"/>
  <c r="AR1812" i="22"/>
  <c r="AP1812" i="22" s="1"/>
  <c r="AQ1814" i="22" l="1"/>
  <c r="AR1813" i="22"/>
  <c r="AP1813" i="22" s="1"/>
  <c r="AQ1815" i="22" l="1"/>
  <c r="AR1814" i="22"/>
  <c r="AP1814" i="22" s="1"/>
  <c r="AQ1816" i="22" l="1"/>
  <c r="AR1815" i="22"/>
  <c r="AP1815" i="22" s="1"/>
  <c r="AQ1817" i="22" l="1"/>
  <c r="AR1816" i="22"/>
  <c r="AP1816" i="22" s="1"/>
  <c r="AQ1818" i="22" l="1"/>
  <c r="AR1817" i="22"/>
  <c r="AP1817" i="22" s="1"/>
  <c r="AQ1819" i="22" l="1"/>
  <c r="AR1818" i="22"/>
  <c r="AP1818" i="22" s="1"/>
  <c r="AQ1820" i="22" l="1"/>
  <c r="AR1819" i="22"/>
  <c r="AP1819" i="22" s="1"/>
  <c r="AQ1821" i="22" l="1"/>
  <c r="AR1820" i="22"/>
  <c r="AP1820" i="22" s="1"/>
  <c r="AQ1822" i="22" l="1"/>
  <c r="AR1821" i="22"/>
  <c r="AP1821" i="22" s="1"/>
  <c r="AQ1823" i="22" l="1"/>
  <c r="AR1822" i="22"/>
  <c r="AP1822" i="22" s="1"/>
  <c r="AQ1824" i="22" l="1"/>
  <c r="AR1823" i="22"/>
  <c r="AP1823" i="22" s="1"/>
  <c r="AQ1825" i="22" l="1"/>
  <c r="AR1824" i="22"/>
  <c r="AP1824" i="22" s="1"/>
  <c r="AQ1826" i="22" l="1"/>
  <c r="AR1825" i="22"/>
  <c r="AP1825" i="22" s="1"/>
  <c r="AQ1827" i="22" l="1"/>
  <c r="AR1826" i="22"/>
  <c r="AP1826" i="22" s="1"/>
  <c r="AQ1828" i="22" l="1"/>
  <c r="AR1827" i="22"/>
  <c r="AP1827" i="22" s="1"/>
  <c r="AQ1829" i="22" l="1"/>
  <c r="AR1828" i="22"/>
  <c r="AP1828" i="22" s="1"/>
  <c r="AQ1830" i="22" l="1"/>
  <c r="AR1829" i="22"/>
  <c r="AP1829" i="22" s="1"/>
  <c r="AQ1831" i="22" l="1"/>
  <c r="AR1830" i="22"/>
  <c r="AP1830" i="22" s="1"/>
  <c r="AQ1832" i="22" l="1"/>
  <c r="AR1831" i="22"/>
  <c r="AP1831" i="22" s="1"/>
  <c r="AQ1833" i="22" l="1"/>
  <c r="AR1832" i="22"/>
  <c r="AP1832" i="22" s="1"/>
  <c r="AQ1834" i="22" l="1"/>
  <c r="AR1833" i="22"/>
  <c r="AP1833" i="22" s="1"/>
  <c r="AQ1835" i="22" l="1"/>
  <c r="AR1834" i="22"/>
  <c r="AP1834" i="22" s="1"/>
  <c r="AQ1836" i="22" l="1"/>
  <c r="AR1835" i="22"/>
  <c r="AP1835" i="22" s="1"/>
  <c r="AQ1837" i="22" l="1"/>
  <c r="AR1836" i="22"/>
  <c r="AP1836" i="22" s="1"/>
  <c r="AQ1838" i="22" l="1"/>
  <c r="AR1837" i="22"/>
  <c r="AP1837" i="22" s="1"/>
  <c r="AQ1839" i="22" l="1"/>
  <c r="AR1838" i="22"/>
  <c r="AP1838" i="22" s="1"/>
  <c r="AQ1840" i="22" l="1"/>
  <c r="AR1839" i="22"/>
  <c r="AP1839" i="22" s="1"/>
  <c r="AQ1841" i="22" l="1"/>
  <c r="AR1840" i="22"/>
  <c r="AP1840" i="22" s="1"/>
  <c r="AQ1842" i="22" l="1"/>
  <c r="AR1841" i="22"/>
  <c r="AP1841" i="22" s="1"/>
  <c r="AQ1843" i="22" l="1"/>
  <c r="AR1842" i="22"/>
  <c r="AP1842" i="22" s="1"/>
  <c r="AQ1844" i="22" l="1"/>
  <c r="AR1843" i="22"/>
  <c r="AP1843" i="22" s="1"/>
  <c r="AQ1845" i="22" l="1"/>
  <c r="AR1844" i="22"/>
  <c r="AP1844" i="22" s="1"/>
  <c r="AQ1846" i="22" l="1"/>
  <c r="AR1845" i="22"/>
  <c r="AP1845" i="22" s="1"/>
  <c r="AQ1847" i="22" l="1"/>
  <c r="AR1846" i="22"/>
  <c r="AP1846" i="22" s="1"/>
  <c r="AQ1848" i="22" l="1"/>
  <c r="AR1847" i="22"/>
  <c r="AP1847" i="22" s="1"/>
  <c r="AQ1849" i="22" l="1"/>
  <c r="AR1848" i="22"/>
  <c r="AP1848" i="22" s="1"/>
  <c r="AQ1850" i="22" l="1"/>
  <c r="AR1849" i="22"/>
  <c r="AP1849" i="22" s="1"/>
  <c r="AQ1851" i="22" l="1"/>
  <c r="AR1850" i="22"/>
  <c r="AP1850" i="22" s="1"/>
  <c r="AQ1852" i="22" l="1"/>
  <c r="AR1851" i="22"/>
  <c r="AP1851" i="22" s="1"/>
  <c r="AQ1853" i="22" l="1"/>
  <c r="AR1852" i="22"/>
  <c r="AP1852" i="22" s="1"/>
  <c r="AQ1854" i="22" l="1"/>
  <c r="AR1853" i="22"/>
  <c r="AP1853" i="22" s="1"/>
  <c r="AQ1855" i="22" l="1"/>
  <c r="AR1854" i="22"/>
  <c r="AP1854" i="22" s="1"/>
  <c r="AQ1856" i="22" l="1"/>
  <c r="AR1855" i="22"/>
  <c r="AP1855" i="22" s="1"/>
  <c r="AQ1857" i="22" l="1"/>
  <c r="AR1856" i="22"/>
  <c r="AP1856" i="22" s="1"/>
  <c r="AQ1858" i="22" l="1"/>
  <c r="AR1857" i="22"/>
  <c r="AP1857" i="22" s="1"/>
  <c r="AQ1859" i="22" l="1"/>
  <c r="AR1858" i="22"/>
  <c r="AP1858" i="22" s="1"/>
  <c r="AQ1860" i="22" l="1"/>
  <c r="AR1859" i="22"/>
  <c r="AP1859" i="22" s="1"/>
  <c r="AQ1861" i="22" l="1"/>
  <c r="AR1860" i="22"/>
  <c r="AP1860" i="22" s="1"/>
  <c r="AQ1862" i="22" l="1"/>
  <c r="AR1861" i="22"/>
  <c r="AP1861" i="22" s="1"/>
  <c r="AQ1863" i="22" l="1"/>
  <c r="AR1862" i="22"/>
  <c r="AP1862" i="22" s="1"/>
  <c r="AQ1864" i="22" l="1"/>
  <c r="AR1863" i="22"/>
  <c r="AP1863" i="22" s="1"/>
  <c r="AQ1865" i="22" l="1"/>
  <c r="AR1864" i="22"/>
  <c r="AP1864" i="22" s="1"/>
  <c r="AQ1866" i="22" l="1"/>
  <c r="AR1865" i="22"/>
  <c r="AP1865" i="22" s="1"/>
  <c r="AQ1867" i="22" l="1"/>
  <c r="AR1866" i="22"/>
  <c r="AP1866" i="22" s="1"/>
  <c r="AQ1868" i="22" l="1"/>
  <c r="AR1867" i="22"/>
  <c r="AP1867" i="22" s="1"/>
  <c r="AQ1869" i="22" l="1"/>
  <c r="AR1868" i="22"/>
  <c r="AP1868" i="22" s="1"/>
  <c r="AQ1870" i="22" l="1"/>
  <c r="AR1869" i="22"/>
  <c r="AP1869" i="22" s="1"/>
  <c r="AQ1871" i="22" l="1"/>
  <c r="AR1870" i="22"/>
  <c r="AP1870" i="22" s="1"/>
  <c r="AQ1872" i="22" l="1"/>
  <c r="AR1871" i="22"/>
  <c r="AP1871" i="22" s="1"/>
  <c r="AQ1873" i="22" l="1"/>
  <c r="AR1872" i="22"/>
  <c r="AP1872" i="22" s="1"/>
  <c r="AQ1874" i="22" l="1"/>
  <c r="AR1873" i="22"/>
  <c r="AP1873" i="22" s="1"/>
  <c r="AQ1875" i="22" l="1"/>
  <c r="AR1874" i="22"/>
  <c r="AP1874" i="22" s="1"/>
  <c r="AQ1876" i="22" l="1"/>
  <c r="AR1875" i="22"/>
  <c r="AP1875" i="22" s="1"/>
  <c r="AQ1877" i="22" l="1"/>
  <c r="AR1876" i="22"/>
  <c r="AP1876" i="22" s="1"/>
  <c r="AQ1878" i="22" l="1"/>
  <c r="AR1877" i="22"/>
  <c r="AP1877" i="22" s="1"/>
  <c r="AQ1879" i="22" l="1"/>
  <c r="AR1878" i="22"/>
  <c r="AP1878" i="22" s="1"/>
  <c r="AQ1880" i="22" l="1"/>
  <c r="AR1879" i="22"/>
  <c r="AP1879" i="22" s="1"/>
  <c r="AQ1881" i="22" l="1"/>
  <c r="AR1880" i="22"/>
  <c r="AP1880" i="22" s="1"/>
  <c r="AQ1882" i="22" l="1"/>
  <c r="AR1881" i="22"/>
  <c r="AP1881" i="22" s="1"/>
  <c r="AQ1883" i="22" l="1"/>
  <c r="AR1882" i="22"/>
  <c r="AP1882" i="22" s="1"/>
  <c r="AQ1884" i="22" l="1"/>
  <c r="AR1883" i="22"/>
  <c r="AP1883" i="22" s="1"/>
  <c r="AQ1885" i="22" l="1"/>
  <c r="AR1884" i="22"/>
  <c r="AP1884" i="22" s="1"/>
  <c r="AQ1886" i="22" l="1"/>
  <c r="AR1885" i="22"/>
  <c r="AP1885" i="22" s="1"/>
  <c r="AQ1887" i="22" l="1"/>
  <c r="AR1886" i="22"/>
  <c r="AP1886" i="22" s="1"/>
  <c r="AQ1888" i="22" l="1"/>
  <c r="AR1887" i="22"/>
  <c r="AP1887" i="22" s="1"/>
  <c r="AQ1889" i="22" l="1"/>
  <c r="AR1888" i="22"/>
  <c r="AP1888" i="22" s="1"/>
  <c r="AQ1890" i="22" l="1"/>
  <c r="AR1889" i="22"/>
  <c r="AP1889" i="22" s="1"/>
  <c r="AQ1891" i="22" l="1"/>
  <c r="AR1890" i="22"/>
  <c r="AP1890" i="22" s="1"/>
  <c r="AQ1892" i="22" l="1"/>
  <c r="AR1891" i="22"/>
  <c r="AP1891" i="22" s="1"/>
  <c r="AQ1893" i="22" l="1"/>
  <c r="AR1892" i="22"/>
  <c r="AP1892" i="22" s="1"/>
  <c r="AQ1894" i="22" l="1"/>
  <c r="AR1893" i="22"/>
  <c r="AP1893" i="22" s="1"/>
  <c r="AQ1895" i="22" l="1"/>
  <c r="AR1894" i="22"/>
  <c r="AP1894" i="22" s="1"/>
  <c r="AQ1896" i="22" l="1"/>
  <c r="AR1895" i="22"/>
  <c r="AP1895" i="22" s="1"/>
  <c r="AQ1897" i="22" l="1"/>
  <c r="AR1896" i="22"/>
  <c r="AP1896" i="22" s="1"/>
  <c r="AQ1898" i="22" l="1"/>
  <c r="AR1897" i="22"/>
  <c r="AP1897" i="22" s="1"/>
  <c r="AQ1899" i="22" l="1"/>
  <c r="AR1898" i="22"/>
  <c r="AP1898" i="22" s="1"/>
  <c r="AQ1900" i="22" l="1"/>
  <c r="AR1899" i="22"/>
  <c r="AP1899" i="22" s="1"/>
  <c r="AQ1901" i="22" l="1"/>
  <c r="AR1900" i="22"/>
  <c r="AP1900" i="22" s="1"/>
  <c r="AQ1902" i="22" l="1"/>
  <c r="AR1901" i="22"/>
  <c r="AP1901" i="22" s="1"/>
  <c r="AQ1903" i="22" l="1"/>
  <c r="AR1902" i="22"/>
  <c r="AP1902" i="22" s="1"/>
  <c r="AQ1904" i="22" l="1"/>
  <c r="AR1903" i="22"/>
  <c r="AP1903" i="22" s="1"/>
  <c r="AQ1905" i="22" l="1"/>
  <c r="AR1904" i="22"/>
  <c r="AP1904" i="22" s="1"/>
  <c r="AQ1906" i="22" l="1"/>
  <c r="AR1905" i="22"/>
  <c r="AP1905" i="22" s="1"/>
  <c r="AQ1907" i="22" l="1"/>
  <c r="AR1906" i="22"/>
  <c r="AP1906" i="22" s="1"/>
  <c r="AQ1908" i="22" l="1"/>
  <c r="AR1907" i="22"/>
  <c r="AP1907" i="22" s="1"/>
  <c r="AQ1909" i="22" l="1"/>
  <c r="AR1908" i="22"/>
  <c r="AP1908" i="22" s="1"/>
  <c r="AQ1910" i="22" l="1"/>
  <c r="AR1909" i="22"/>
  <c r="AP1909" i="22" s="1"/>
  <c r="AQ1911" i="22" l="1"/>
  <c r="AR1910" i="22"/>
  <c r="AP1910" i="22" s="1"/>
  <c r="AQ1912" i="22" l="1"/>
  <c r="AR1911" i="22"/>
  <c r="AP1911" i="22" s="1"/>
  <c r="AQ1913" i="22" l="1"/>
  <c r="AR1912" i="22"/>
  <c r="AP1912" i="22" s="1"/>
  <c r="AQ1914" i="22" l="1"/>
  <c r="AR1913" i="22"/>
  <c r="AP1913" i="22" s="1"/>
  <c r="AQ1915" i="22" l="1"/>
  <c r="AR1914" i="22"/>
  <c r="AP1914" i="22" s="1"/>
  <c r="AQ1916" i="22" l="1"/>
  <c r="AR1915" i="22"/>
  <c r="AP1915" i="22" s="1"/>
  <c r="AQ1917" i="22" l="1"/>
  <c r="AR1916" i="22"/>
  <c r="AP1916" i="22" s="1"/>
  <c r="AQ1918" i="22" l="1"/>
  <c r="AR1917" i="22"/>
  <c r="AP1917" i="22" s="1"/>
  <c r="AQ1919" i="22" l="1"/>
  <c r="AR1918" i="22"/>
  <c r="AP1918" i="22" s="1"/>
  <c r="AQ1920" i="22" l="1"/>
  <c r="AR1919" i="22"/>
  <c r="AP1919" i="22" s="1"/>
  <c r="AQ1921" i="22" l="1"/>
  <c r="AR1920" i="22"/>
  <c r="AP1920" i="22" s="1"/>
  <c r="AQ1922" i="22" l="1"/>
  <c r="AR1921" i="22"/>
  <c r="AP1921" i="22" s="1"/>
  <c r="AQ1923" i="22" l="1"/>
  <c r="AR1922" i="22"/>
  <c r="AP1922" i="22" s="1"/>
  <c r="AQ1924" i="22" l="1"/>
  <c r="AR1923" i="22"/>
  <c r="AP1923" i="22" s="1"/>
  <c r="AQ1925" i="22" l="1"/>
  <c r="AR1924" i="22"/>
  <c r="AP1924" i="22" s="1"/>
  <c r="AQ1926" i="22" l="1"/>
  <c r="AR1925" i="22"/>
  <c r="AP1925" i="22" s="1"/>
  <c r="AQ1927" i="22" l="1"/>
  <c r="AR1926" i="22"/>
  <c r="AP1926" i="22" s="1"/>
  <c r="AQ1928" i="22" l="1"/>
  <c r="AR1927" i="22"/>
  <c r="AP1927" i="22" s="1"/>
  <c r="AQ1929" i="22" l="1"/>
  <c r="AR1928" i="22"/>
  <c r="AP1928" i="22" s="1"/>
  <c r="AQ1930" i="22" l="1"/>
  <c r="AR1929" i="22"/>
  <c r="AP1929" i="22" s="1"/>
  <c r="AQ1931" i="22" l="1"/>
  <c r="AR1930" i="22"/>
  <c r="AP1930" i="22" s="1"/>
  <c r="AQ1932" i="22" l="1"/>
  <c r="AR1931" i="22"/>
  <c r="AP1931" i="22" s="1"/>
  <c r="AQ1933" i="22" l="1"/>
  <c r="AR1932" i="22"/>
  <c r="AP1932" i="22" s="1"/>
  <c r="AQ1934" i="22" l="1"/>
  <c r="AR1933" i="22"/>
  <c r="AP1933" i="22" s="1"/>
  <c r="AQ1935" i="22" l="1"/>
  <c r="AR1934" i="22"/>
  <c r="AP1934" i="22" s="1"/>
  <c r="AQ1936" i="22" l="1"/>
  <c r="AR1935" i="22"/>
  <c r="AP1935" i="22" s="1"/>
  <c r="AQ1937" i="22" l="1"/>
  <c r="AR1936" i="22"/>
  <c r="AP1936" i="22" s="1"/>
  <c r="AQ1938" i="22" l="1"/>
  <c r="AR1937" i="22"/>
  <c r="AP1937" i="22" s="1"/>
  <c r="AQ1939" i="22" l="1"/>
  <c r="AR1938" i="22"/>
  <c r="AP1938" i="22" s="1"/>
  <c r="AQ1940" i="22" l="1"/>
  <c r="AR1939" i="22"/>
  <c r="AP1939" i="22" s="1"/>
  <c r="AQ1941" i="22" l="1"/>
  <c r="AR1940" i="22"/>
  <c r="AP1940" i="22" s="1"/>
  <c r="AQ1942" i="22" l="1"/>
  <c r="AR1941" i="22"/>
  <c r="AP1941" i="22" s="1"/>
  <c r="AQ1943" i="22" l="1"/>
  <c r="AR1942" i="22"/>
  <c r="AP1942" i="22" s="1"/>
  <c r="AQ1944" i="22" l="1"/>
  <c r="AR1943" i="22"/>
  <c r="AP1943" i="22" s="1"/>
  <c r="AQ1945" i="22" l="1"/>
  <c r="AR1944" i="22"/>
  <c r="AP1944" i="22" s="1"/>
  <c r="AQ1946" i="22" l="1"/>
  <c r="AR1945" i="22"/>
  <c r="AP1945" i="22" s="1"/>
  <c r="AQ1947" i="22" l="1"/>
  <c r="AR1946" i="22"/>
  <c r="AP1946" i="22" s="1"/>
  <c r="AQ1948" i="22" l="1"/>
  <c r="AR1947" i="22"/>
  <c r="AP1947" i="22" s="1"/>
  <c r="AQ1949" i="22" l="1"/>
  <c r="AR1948" i="22"/>
  <c r="AP1948" i="22" s="1"/>
  <c r="AQ1950" i="22" l="1"/>
  <c r="AR1949" i="22"/>
  <c r="AP1949" i="22" s="1"/>
  <c r="AQ1951" i="22" l="1"/>
  <c r="AR1950" i="22"/>
  <c r="AP1950" i="22" s="1"/>
  <c r="AQ1952" i="22" l="1"/>
  <c r="AR1951" i="22"/>
  <c r="AP1951" i="22" s="1"/>
  <c r="AQ1953" i="22" l="1"/>
  <c r="AR1952" i="22"/>
  <c r="AP1952" i="22" s="1"/>
  <c r="AQ1954" i="22" l="1"/>
  <c r="AR1953" i="22"/>
  <c r="AP1953" i="22" s="1"/>
  <c r="AQ1955" i="22" l="1"/>
  <c r="AR1954" i="22"/>
  <c r="AP1954" i="22" s="1"/>
  <c r="AQ1956" i="22" l="1"/>
  <c r="AR1955" i="22"/>
  <c r="AP1955" i="22" s="1"/>
  <c r="AQ1957" i="22" l="1"/>
  <c r="AR1956" i="22"/>
  <c r="AP1956" i="22" s="1"/>
  <c r="AQ1958" i="22" l="1"/>
  <c r="AR1957" i="22"/>
  <c r="AP1957" i="22" s="1"/>
  <c r="AQ1959" i="22" l="1"/>
  <c r="AR1958" i="22"/>
  <c r="AP1958" i="22" s="1"/>
  <c r="AQ1960" i="22" l="1"/>
  <c r="AR1959" i="22"/>
  <c r="AP1959" i="22" s="1"/>
  <c r="AQ1961" i="22" l="1"/>
  <c r="AR1960" i="22"/>
  <c r="AP1960" i="22" s="1"/>
  <c r="AQ1962" i="22" l="1"/>
  <c r="AR1961" i="22"/>
  <c r="AP1961" i="22" s="1"/>
  <c r="AQ1963" i="22" l="1"/>
  <c r="AR1962" i="22"/>
  <c r="AP1962" i="22" s="1"/>
  <c r="AQ1964" i="22" l="1"/>
  <c r="AR1963" i="22"/>
  <c r="AP1963" i="22" s="1"/>
  <c r="AQ1965" i="22" l="1"/>
  <c r="AR1964" i="22"/>
  <c r="AP1964" i="22" s="1"/>
  <c r="AQ1966" i="22" l="1"/>
  <c r="AR1965" i="22"/>
  <c r="AP1965" i="22" s="1"/>
  <c r="AQ1967" i="22" l="1"/>
  <c r="AR1966" i="22"/>
  <c r="AP1966" i="22" s="1"/>
  <c r="AQ1968" i="22" l="1"/>
  <c r="AR1967" i="22"/>
  <c r="AP1967" i="22" s="1"/>
  <c r="AQ1969" i="22" l="1"/>
  <c r="AR1968" i="22"/>
  <c r="AP1968" i="22" s="1"/>
  <c r="AQ1970" i="22" l="1"/>
  <c r="AR1969" i="22"/>
  <c r="AP1969" i="22" s="1"/>
  <c r="AQ1971" i="22" l="1"/>
  <c r="AR1970" i="22"/>
  <c r="AP1970" i="22" s="1"/>
  <c r="AQ1972" i="22" l="1"/>
  <c r="AR1971" i="22"/>
  <c r="AP1971" i="22" s="1"/>
  <c r="AQ1973" i="22" l="1"/>
  <c r="AR1972" i="22"/>
  <c r="AP1972" i="22" s="1"/>
  <c r="AQ1974" i="22" l="1"/>
  <c r="AR1973" i="22"/>
  <c r="AP1973" i="22" s="1"/>
  <c r="AQ1975" i="22" l="1"/>
  <c r="AR1974" i="22"/>
  <c r="AP1974" i="22" s="1"/>
  <c r="AQ1976" i="22" l="1"/>
  <c r="AR1975" i="22"/>
  <c r="AP1975" i="22" s="1"/>
  <c r="AQ1977" i="22" l="1"/>
  <c r="AR1976" i="22"/>
  <c r="AP1976" i="22" s="1"/>
  <c r="AQ1978" i="22" l="1"/>
  <c r="AR1977" i="22"/>
  <c r="AP1977" i="22" s="1"/>
  <c r="AQ1979" i="22" l="1"/>
  <c r="AR1978" i="22"/>
  <c r="AP1978" i="22" s="1"/>
  <c r="AQ1980" i="22" l="1"/>
  <c r="AR1979" i="22"/>
  <c r="AP1979" i="22" s="1"/>
  <c r="AQ1981" i="22" l="1"/>
  <c r="AR1980" i="22"/>
  <c r="AP1980" i="22" s="1"/>
  <c r="AQ1982" i="22" l="1"/>
  <c r="AR1981" i="22"/>
  <c r="AP1981" i="22" s="1"/>
  <c r="AQ1983" i="22" l="1"/>
  <c r="AR1982" i="22"/>
  <c r="AP1982" i="22" s="1"/>
  <c r="AQ1984" i="22" l="1"/>
  <c r="AR1983" i="22"/>
  <c r="AP1983" i="22" s="1"/>
  <c r="AQ1985" i="22" l="1"/>
  <c r="AR1984" i="22"/>
  <c r="AP1984" i="22" s="1"/>
  <c r="AQ1986" i="22" l="1"/>
  <c r="AR1985" i="22"/>
  <c r="AP1985" i="22" s="1"/>
  <c r="AQ1987" i="22" l="1"/>
  <c r="AR1986" i="22"/>
  <c r="AP1986" i="22" s="1"/>
  <c r="AQ1988" i="22" l="1"/>
  <c r="AR1987" i="22"/>
  <c r="AP1987" i="22" s="1"/>
  <c r="AQ1989" i="22" l="1"/>
  <c r="AR1988" i="22"/>
  <c r="AP1988" i="22" s="1"/>
  <c r="AQ1990" i="22" l="1"/>
  <c r="AR1989" i="22"/>
  <c r="AP1989" i="22" s="1"/>
  <c r="AQ1991" i="22" l="1"/>
  <c r="AR1990" i="22"/>
  <c r="AP1990" i="22" s="1"/>
  <c r="AQ1992" i="22" l="1"/>
  <c r="AR1991" i="22"/>
  <c r="AP1991" i="22" s="1"/>
  <c r="AQ1993" i="22" l="1"/>
  <c r="AR1992" i="22"/>
  <c r="AP1992" i="22" s="1"/>
  <c r="AQ1994" i="22" l="1"/>
  <c r="AR1993" i="22"/>
  <c r="AP1993" i="22" s="1"/>
  <c r="AQ1995" i="22" l="1"/>
  <c r="AR1994" i="22"/>
  <c r="AP1994" i="22" s="1"/>
  <c r="AQ1996" i="22" l="1"/>
  <c r="AR1995" i="22"/>
  <c r="AP1995" i="22" s="1"/>
  <c r="AQ1997" i="22" l="1"/>
  <c r="AR1996" i="22"/>
  <c r="AP1996" i="22" s="1"/>
  <c r="AQ1998" i="22" l="1"/>
  <c r="AR1997" i="22"/>
  <c r="AP1997" i="22" s="1"/>
  <c r="AQ1999" i="22" l="1"/>
  <c r="AR1998" i="22"/>
  <c r="AP1998" i="22" s="1"/>
  <c r="AQ2000" i="22" l="1"/>
  <c r="AR1999" i="22"/>
  <c r="AP1999" i="22" s="1"/>
  <c r="AQ2001" i="22" l="1"/>
  <c r="AR2000" i="22"/>
  <c r="AP2000" i="22" s="1"/>
  <c r="AQ2002" i="22" l="1"/>
  <c r="AR2001" i="22"/>
  <c r="AP2001" i="22" s="1"/>
  <c r="AQ2003" i="22" l="1"/>
  <c r="AR2002" i="22"/>
  <c r="AP2002" i="22" s="1"/>
  <c r="AQ2004" i="22" l="1"/>
  <c r="AR2003" i="22"/>
  <c r="AP2003" i="22" s="1"/>
  <c r="AQ2005" i="22" l="1"/>
  <c r="AR2004" i="22"/>
  <c r="AP2004" i="22" s="1"/>
  <c r="AQ2006" i="22" l="1"/>
  <c r="AR2005" i="22"/>
  <c r="AP2005" i="22" s="1"/>
  <c r="AQ2007" i="22" l="1"/>
  <c r="AR2006" i="22"/>
  <c r="AP2006" i="22" s="1"/>
  <c r="AQ2008" i="22" l="1"/>
  <c r="AR2007" i="22"/>
  <c r="AP2007" i="22" s="1"/>
  <c r="AQ2009" i="22" l="1"/>
  <c r="AR2008" i="22"/>
  <c r="AP2008" i="22" s="1"/>
  <c r="AQ2010" i="22" l="1"/>
  <c r="AR2009" i="22"/>
  <c r="AP2009" i="22" s="1"/>
  <c r="AQ2011" i="22" l="1"/>
  <c r="AR2010" i="22"/>
  <c r="AP2010" i="22" s="1"/>
  <c r="AQ2012" i="22" l="1"/>
  <c r="AR2011" i="22"/>
  <c r="AP2011" i="22" s="1"/>
  <c r="AQ2013" i="22" l="1"/>
  <c r="AR2012" i="22"/>
  <c r="AP2012" i="22" s="1"/>
  <c r="AQ2014" i="22" l="1"/>
  <c r="AR2013" i="22"/>
  <c r="AP2013" i="22" s="1"/>
  <c r="AQ2015" i="22" l="1"/>
  <c r="AR2014" i="22"/>
  <c r="AP2014" i="22" s="1"/>
  <c r="AQ2016" i="22" l="1"/>
  <c r="AR2015" i="22"/>
  <c r="AP2015" i="22" s="1"/>
  <c r="AQ2017" i="22" l="1"/>
  <c r="AR2016" i="22"/>
  <c r="AP2016" i="22" s="1"/>
  <c r="AQ2018" i="22" l="1"/>
  <c r="AR2017" i="22"/>
  <c r="AP2017" i="22" s="1"/>
  <c r="AQ2019" i="22" l="1"/>
  <c r="AR2018" i="22"/>
  <c r="AP2018" i="22" s="1"/>
  <c r="AQ2020" i="22" l="1"/>
  <c r="AR2019" i="22"/>
  <c r="AP2019" i="22" s="1"/>
  <c r="AQ2021" i="22" l="1"/>
  <c r="AR2020" i="22"/>
  <c r="AP2020" i="22" s="1"/>
  <c r="AQ2022" i="22" l="1"/>
  <c r="AR2021" i="22"/>
  <c r="AP2021" i="22" s="1"/>
  <c r="AQ2023" i="22" l="1"/>
  <c r="AR2022" i="22"/>
  <c r="AP2022" i="22" s="1"/>
  <c r="AQ2024" i="22" l="1"/>
  <c r="AR2023" i="22"/>
  <c r="AP2023" i="22" s="1"/>
  <c r="AQ2025" i="22" l="1"/>
  <c r="AR2024" i="22"/>
  <c r="AP2024" i="22" s="1"/>
  <c r="AQ2026" i="22" l="1"/>
  <c r="AR2025" i="22"/>
  <c r="AP2025" i="22" s="1"/>
  <c r="AQ2027" i="22" l="1"/>
  <c r="AR2026" i="22"/>
  <c r="AP2026" i="22" s="1"/>
  <c r="AQ2028" i="22" l="1"/>
  <c r="AR2027" i="22"/>
  <c r="AP2027" i="22" s="1"/>
  <c r="AQ2029" i="22" l="1"/>
  <c r="AR2028" i="22"/>
  <c r="AP2028" i="22" s="1"/>
  <c r="AQ2030" i="22" l="1"/>
  <c r="AR2029" i="22"/>
  <c r="AP2029" i="22" s="1"/>
  <c r="AQ2031" i="22" l="1"/>
  <c r="AR2030" i="22"/>
  <c r="AP2030" i="22" s="1"/>
  <c r="AQ2032" i="22" l="1"/>
  <c r="AR2031" i="22"/>
  <c r="AP2031" i="22" s="1"/>
  <c r="AQ2033" i="22" l="1"/>
  <c r="AR2032" i="22"/>
  <c r="AP2032" i="22" s="1"/>
  <c r="AQ2034" i="22" l="1"/>
  <c r="AR2033" i="22"/>
  <c r="AP2033" i="22" s="1"/>
  <c r="AQ2035" i="22" l="1"/>
  <c r="AR2034" i="22"/>
  <c r="AP2034" i="22" s="1"/>
  <c r="AQ2036" i="22" l="1"/>
  <c r="AR2035" i="22"/>
  <c r="AP2035" i="22" s="1"/>
  <c r="AQ2037" i="22" l="1"/>
  <c r="AR2036" i="22"/>
  <c r="AP2036" i="22" s="1"/>
  <c r="AQ2038" i="22" l="1"/>
  <c r="AR2037" i="22"/>
  <c r="AP2037" i="22" s="1"/>
  <c r="AQ2039" i="22" l="1"/>
  <c r="AR2038" i="22"/>
  <c r="AP2038" i="22" s="1"/>
  <c r="AQ2040" i="22" l="1"/>
  <c r="AR2039" i="22"/>
  <c r="AP2039" i="22" s="1"/>
  <c r="AQ2041" i="22" l="1"/>
  <c r="AR2040" i="22"/>
  <c r="AP2040" i="22" s="1"/>
  <c r="AQ2042" i="22" l="1"/>
  <c r="AR2041" i="22"/>
  <c r="AP2041" i="22" s="1"/>
  <c r="AQ2043" i="22" l="1"/>
  <c r="AR2042" i="22"/>
  <c r="AP2042" i="22" s="1"/>
  <c r="AQ2044" i="22" l="1"/>
  <c r="AR2043" i="22"/>
  <c r="AP2043" i="22" s="1"/>
  <c r="AQ2045" i="22" l="1"/>
  <c r="AR2044" i="22"/>
  <c r="AP2044" i="22" s="1"/>
  <c r="AQ2046" i="22" l="1"/>
  <c r="AR2045" i="22"/>
  <c r="AP2045" i="22" s="1"/>
  <c r="AQ2047" i="22" l="1"/>
  <c r="AR2046" i="22"/>
  <c r="AP2046" i="22" s="1"/>
  <c r="AQ2048" i="22" l="1"/>
  <c r="AR2047" i="22"/>
  <c r="AP2047" i="22" s="1"/>
  <c r="AQ2049" i="22" l="1"/>
  <c r="AR2048" i="22"/>
  <c r="AP2048" i="22" s="1"/>
  <c r="AQ2050" i="22" l="1"/>
  <c r="AR2049" i="22"/>
  <c r="AP2049" i="22" s="1"/>
  <c r="AQ2051" i="22" l="1"/>
  <c r="AR2050" i="22"/>
  <c r="AP2050" i="22" s="1"/>
  <c r="AQ2052" i="22" l="1"/>
  <c r="AR2051" i="22"/>
  <c r="AP2051" i="22" s="1"/>
  <c r="AQ2053" i="22" l="1"/>
  <c r="AR2052" i="22"/>
  <c r="AP2052" i="22" s="1"/>
  <c r="AQ2054" i="22" l="1"/>
  <c r="AR2053" i="22"/>
  <c r="AP2053" i="22" s="1"/>
  <c r="AQ2055" i="22" l="1"/>
  <c r="AR2054" i="22"/>
  <c r="AP2054" i="22" s="1"/>
  <c r="AQ2056" i="22" l="1"/>
  <c r="AR2055" i="22"/>
  <c r="AP2055" i="22" s="1"/>
  <c r="AQ2057" i="22" l="1"/>
  <c r="AR2056" i="22"/>
  <c r="AP2056" i="22" s="1"/>
  <c r="AQ2058" i="22" l="1"/>
  <c r="AR2057" i="22"/>
  <c r="AP2057" i="22" s="1"/>
  <c r="AQ2059" i="22" l="1"/>
  <c r="AR2058" i="22"/>
  <c r="AP2058" i="22" s="1"/>
  <c r="AQ2060" i="22" l="1"/>
  <c r="AR2059" i="22"/>
  <c r="AP2059" i="22" s="1"/>
  <c r="AQ2061" i="22" l="1"/>
  <c r="AR2060" i="22"/>
  <c r="AP2060" i="22" s="1"/>
  <c r="AQ2062" i="22" l="1"/>
  <c r="AR2061" i="22"/>
  <c r="AP2061" i="22" s="1"/>
  <c r="AQ2063" i="22" l="1"/>
  <c r="AR2062" i="22"/>
  <c r="AP2062" i="22" s="1"/>
  <c r="AQ2064" i="22" l="1"/>
  <c r="AR2063" i="22"/>
  <c r="AP2063" i="22" s="1"/>
  <c r="AQ2065" i="22" l="1"/>
  <c r="AR2064" i="22"/>
  <c r="AP2064" i="22" s="1"/>
  <c r="AQ2066" i="22" l="1"/>
  <c r="AR2065" i="22"/>
  <c r="AP2065" i="22" s="1"/>
  <c r="AQ2067" i="22" l="1"/>
  <c r="AR2066" i="22"/>
  <c r="AP2066" i="22" s="1"/>
  <c r="AQ2068" i="22" l="1"/>
  <c r="AR2067" i="22"/>
  <c r="AP2067" i="22" s="1"/>
  <c r="AQ2069" i="22" l="1"/>
  <c r="AR2068" i="22"/>
  <c r="AP2068" i="22" s="1"/>
  <c r="AQ2070" i="22" l="1"/>
  <c r="AR2069" i="22"/>
  <c r="AP2069" i="22" s="1"/>
  <c r="AQ2071" i="22" l="1"/>
  <c r="AR2070" i="22"/>
  <c r="AP2070" i="22" s="1"/>
  <c r="AQ2072" i="22" l="1"/>
  <c r="AR2071" i="22"/>
  <c r="AP2071" i="22" s="1"/>
  <c r="AQ2073" i="22" l="1"/>
  <c r="AR2072" i="22"/>
  <c r="AP2072" i="22" s="1"/>
  <c r="AQ2074" i="22" l="1"/>
  <c r="AR2073" i="22"/>
  <c r="AP2073" i="22" s="1"/>
  <c r="AQ2075" i="22" l="1"/>
  <c r="AR2074" i="22"/>
  <c r="AP2074" i="22" s="1"/>
  <c r="AQ2076" i="22" l="1"/>
  <c r="AR2075" i="22"/>
  <c r="AP2075" i="22" s="1"/>
  <c r="AQ2077" i="22" l="1"/>
  <c r="AR2076" i="22"/>
  <c r="AP2076" i="22" s="1"/>
  <c r="AQ2078" i="22" l="1"/>
  <c r="AR2077" i="22"/>
  <c r="AP2077" i="22" s="1"/>
  <c r="AQ2079" i="22" l="1"/>
  <c r="AR2078" i="22"/>
  <c r="AP2078" i="22" s="1"/>
  <c r="AQ2080" i="22" l="1"/>
  <c r="AR2079" i="22"/>
  <c r="AP2079" i="22" s="1"/>
  <c r="AQ2081" i="22" l="1"/>
  <c r="AR2080" i="22"/>
  <c r="AP2080" i="22" s="1"/>
  <c r="AQ2082" i="22" l="1"/>
  <c r="AR2081" i="22"/>
  <c r="AP2081" i="22" s="1"/>
  <c r="AQ2083" i="22" l="1"/>
  <c r="AR2082" i="22"/>
  <c r="AP2082" i="22" s="1"/>
  <c r="AQ2084" i="22" l="1"/>
  <c r="AR2083" i="22"/>
  <c r="AP2083" i="22" s="1"/>
  <c r="AQ2085" i="22" l="1"/>
  <c r="AR2084" i="22"/>
  <c r="AP2084" i="22" s="1"/>
  <c r="AQ2086" i="22" l="1"/>
  <c r="AR2085" i="22"/>
  <c r="AP2085" i="22" s="1"/>
  <c r="AQ2087" i="22" l="1"/>
  <c r="AR2086" i="22"/>
  <c r="AP2086" i="22" s="1"/>
  <c r="AQ2088" i="22" l="1"/>
  <c r="AR2087" i="22"/>
  <c r="AP2087" i="22" s="1"/>
  <c r="AQ2089" i="22" l="1"/>
  <c r="AR2088" i="22"/>
  <c r="AP2088" i="22" s="1"/>
  <c r="AQ2090" i="22" l="1"/>
  <c r="AR2089" i="22"/>
  <c r="AP2089" i="22" s="1"/>
  <c r="AQ2091" i="22" l="1"/>
  <c r="AR2090" i="22"/>
  <c r="AP2090" i="22" s="1"/>
  <c r="AQ2092" i="22" l="1"/>
  <c r="AR2091" i="22"/>
  <c r="AP2091" i="22" s="1"/>
  <c r="AQ2093" i="22" l="1"/>
  <c r="AR2092" i="22"/>
  <c r="AP2092" i="22" s="1"/>
  <c r="AQ2094" i="22" l="1"/>
  <c r="AR2093" i="22"/>
  <c r="AP2093" i="22" s="1"/>
  <c r="AQ2095" i="22" l="1"/>
  <c r="AR2094" i="22"/>
  <c r="AP2094" i="22" s="1"/>
  <c r="AQ2096" i="22" l="1"/>
  <c r="AR2095" i="22"/>
  <c r="AP2095" i="22" s="1"/>
  <c r="AQ2097" i="22" l="1"/>
  <c r="AR2096" i="22"/>
  <c r="AP2096" i="22" s="1"/>
  <c r="AQ2098" i="22" l="1"/>
  <c r="AR2097" i="22"/>
  <c r="AP2097" i="22" s="1"/>
  <c r="AQ2099" i="22" l="1"/>
  <c r="AR2098" i="22"/>
  <c r="AP2098" i="22" s="1"/>
  <c r="AQ2100" i="22" l="1"/>
  <c r="AR2099" i="22"/>
  <c r="AP2099" i="22" s="1"/>
  <c r="AQ2101" i="22" l="1"/>
  <c r="AR2100" i="22"/>
  <c r="AP2100" i="22" s="1"/>
  <c r="AQ2102" i="22" l="1"/>
  <c r="AR2101" i="22"/>
  <c r="AP2101" i="22" s="1"/>
  <c r="AQ2103" i="22" l="1"/>
  <c r="AR2102" i="22"/>
  <c r="AP2102" i="22" s="1"/>
  <c r="AQ2104" i="22" l="1"/>
  <c r="AR2103" i="22"/>
  <c r="AP2103" i="22" s="1"/>
  <c r="AQ2105" i="22" l="1"/>
  <c r="AR2104" i="22"/>
  <c r="AP2104" i="22" s="1"/>
  <c r="AQ2106" i="22" l="1"/>
  <c r="AR2105" i="22"/>
  <c r="AP2105" i="22" s="1"/>
  <c r="AQ2107" i="22" l="1"/>
  <c r="AR2106" i="22"/>
  <c r="AP2106" i="22" s="1"/>
  <c r="AQ2108" i="22" l="1"/>
  <c r="AR2107" i="22"/>
  <c r="AP2107" i="22" s="1"/>
  <c r="AQ2109" i="22" l="1"/>
  <c r="AR2108" i="22"/>
  <c r="AP2108" i="22" s="1"/>
  <c r="AQ2110" i="22" l="1"/>
  <c r="AR2109" i="22"/>
  <c r="AP2109" i="22" s="1"/>
  <c r="AQ2111" i="22" l="1"/>
  <c r="AR2110" i="22"/>
  <c r="AP2110" i="22" s="1"/>
  <c r="AQ2112" i="22" l="1"/>
  <c r="AR2111" i="22"/>
  <c r="AP2111" i="22" s="1"/>
  <c r="AQ2113" i="22" l="1"/>
  <c r="AR2112" i="22"/>
  <c r="AP2112" i="22" s="1"/>
  <c r="AQ2114" i="22" l="1"/>
  <c r="AR2113" i="22"/>
  <c r="AP2113" i="22" s="1"/>
  <c r="AQ2115" i="22" l="1"/>
  <c r="AR2114" i="22"/>
  <c r="AP2114" i="22" s="1"/>
  <c r="AQ2116" i="22" l="1"/>
  <c r="AR2115" i="22"/>
  <c r="AP2115" i="22" s="1"/>
  <c r="AQ2117" i="22" l="1"/>
  <c r="AR2116" i="22"/>
  <c r="AP2116" i="22" s="1"/>
  <c r="AQ2118" i="22" l="1"/>
  <c r="AR2117" i="22"/>
  <c r="AP2117" i="22" s="1"/>
  <c r="AQ2119" i="22" l="1"/>
  <c r="AR2118" i="22"/>
  <c r="AP2118" i="22" s="1"/>
  <c r="AQ2120" i="22" l="1"/>
  <c r="AR2119" i="22"/>
  <c r="AP2119" i="22" s="1"/>
  <c r="AQ2121" i="22" l="1"/>
  <c r="AR2120" i="22"/>
  <c r="AP2120" i="22" s="1"/>
  <c r="AQ2122" i="22" l="1"/>
  <c r="AR2121" i="22"/>
  <c r="AP2121" i="22" s="1"/>
  <c r="AQ2123" i="22" l="1"/>
  <c r="AR2122" i="22"/>
  <c r="AP2122" i="22" s="1"/>
  <c r="AQ2124" i="22" l="1"/>
  <c r="AR2123" i="22"/>
  <c r="AP2123" i="22" s="1"/>
  <c r="AQ2125" i="22" l="1"/>
  <c r="AR2124" i="22"/>
  <c r="AP2124" i="22" s="1"/>
  <c r="AQ2126" i="22" l="1"/>
  <c r="AR2125" i="22"/>
  <c r="AP2125" i="22" s="1"/>
  <c r="AQ2127" i="22" l="1"/>
  <c r="AR2126" i="22"/>
  <c r="AP2126" i="22" s="1"/>
  <c r="AQ2128" i="22" l="1"/>
  <c r="AR2127" i="22"/>
  <c r="AP2127" i="22" s="1"/>
  <c r="AQ2129" i="22" l="1"/>
  <c r="AR2128" i="22"/>
  <c r="AP2128" i="22" s="1"/>
  <c r="AQ2130" i="22" l="1"/>
  <c r="AR2129" i="22"/>
  <c r="AP2129" i="22" s="1"/>
  <c r="AQ2131" i="22" l="1"/>
  <c r="AR2130" i="22"/>
  <c r="AP2130" i="22" s="1"/>
  <c r="AQ2132" i="22" l="1"/>
  <c r="AR2131" i="22"/>
  <c r="AP2131" i="22" s="1"/>
  <c r="AQ2133" i="22" l="1"/>
  <c r="AR2132" i="22"/>
  <c r="AP2132" i="22" s="1"/>
  <c r="AQ2134" i="22" l="1"/>
  <c r="AR2133" i="22"/>
  <c r="AP2133" i="22" s="1"/>
  <c r="AQ2135" i="22" l="1"/>
  <c r="AR2134" i="22"/>
  <c r="AP2134" i="22" s="1"/>
  <c r="AQ2136" i="22" l="1"/>
  <c r="AR2135" i="22"/>
  <c r="AP2135" i="22" s="1"/>
  <c r="AQ2137" i="22" l="1"/>
  <c r="AR2136" i="22"/>
  <c r="AP2136" i="22" s="1"/>
  <c r="AQ2138" i="22" l="1"/>
  <c r="AR2137" i="22"/>
  <c r="AP2137" i="22" s="1"/>
  <c r="AQ2139" i="22" l="1"/>
  <c r="AR2138" i="22"/>
  <c r="AP2138" i="22" s="1"/>
  <c r="AQ2140" i="22" l="1"/>
  <c r="AR2139" i="22"/>
  <c r="AP2139" i="22" s="1"/>
  <c r="AQ2141" i="22" l="1"/>
  <c r="AR2140" i="22"/>
  <c r="AP2140" i="22" s="1"/>
  <c r="AQ2142" i="22" l="1"/>
  <c r="AR2141" i="22"/>
  <c r="AP2141" i="22" s="1"/>
  <c r="AQ2143" i="22" l="1"/>
  <c r="AR2142" i="22"/>
  <c r="AP2142" i="22" s="1"/>
  <c r="AQ2144" i="22" l="1"/>
  <c r="AR2143" i="22"/>
  <c r="AP2143" i="22" s="1"/>
  <c r="AQ2145" i="22" l="1"/>
  <c r="AR2144" i="22"/>
  <c r="AP2144" i="22" s="1"/>
  <c r="AQ2146" i="22" l="1"/>
  <c r="AR2145" i="22"/>
  <c r="AP2145" i="22" s="1"/>
  <c r="AQ2147" i="22" l="1"/>
  <c r="AR2146" i="22"/>
  <c r="AP2146" i="22" s="1"/>
  <c r="AQ2148" i="22" l="1"/>
  <c r="AR2147" i="22"/>
  <c r="AP2147" i="22" s="1"/>
  <c r="AQ2149" i="22" l="1"/>
  <c r="AR2148" i="22"/>
  <c r="AP2148" i="22" s="1"/>
  <c r="AQ2150" i="22" l="1"/>
  <c r="AR2149" i="22"/>
  <c r="AP2149" i="22" s="1"/>
  <c r="AQ2151" i="22" l="1"/>
  <c r="AR2150" i="22"/>
  <c r="AP2150" i="22" s="1"/>
  <c r="AQ2152" i="22" l="1"/>
  <c r="AR2151" i="22"/>
  <c r="AP2151" i="22" s="1"/>
  <c r="AQ2153" i="22" l="1"/>
  <c r="AR2152" i="22"/>
  <c r="AP2152" i="22" s="1"/>
  <c r="AQ2154" i="22" l="1"/>
  <c r="AR2153" i="22"/>
  <c r="AP2153" i="22" s="1"/>
  <c r="AQ2155" i="22" l="1"/>
  <c r="AR2154" i="22"/>
  <c r="AP2154" i="22" s="1"/>
  <c r="AQ2156" i="22" l="1"/>
  <c r="AR2155" i="22"/>
  <c r="AP2155" i="22" s="1"/>
  <c r="AQ2157" i="22" l="1"/>
  <c r="AR2156" i="22"/>
  <c r="AP2156" i="22" s="1"/>
  <c r="AQ2158" i="22" l="1"/>
  <c r="AR2157" i="22"/>
  <c r="AP2157" i="22" s="1"/>
  <c r="AQ2159" i="22" l="1"/>
  <c r="AR2158" i="22"/>
  <c r="AP2158" i="22" s="1"/>
  <c r="AQ2160" i="22" l="1"/>
  <c r="AR2159" i="22"/>
  <c r="AP2159" i="22" s="1"/>
  <c r="AQ2161" i="22" l="1"/>
  <c r="AR2160" i="22"/>
  <c r="AP2160" i="22" s="1"/>
  <c r="AQ2162" i="22" l="1"/>
  <c r="AR2161" i="22"/>
  <c r="AP2161" i="22" s="1"/>
  <c r="AQ2163" i="22" l="1"/>
  <c r="AR2162" i="22"/>
  <c r="AP2162" i="22" s="1"/>
  <c r="AQ2164" i="22" l="1"/>
  <c r="AR2163" i="22"/>
  <c r="AP2163" i="22" s="1"/>
  <c r="AQ2165" i="22" l="1"/>
  <c r="AR2164" i="22"/>
  <c r="AP2164" i="22" s="1"/>
  <c r="AQ2166" i="22" l="1"/>
  <c r="AR2165" i="22"/>
  <c r="AP2165" i="22" s="1"/>
  <c r="AQ2167" i="22" l="1"/>
  <c r="AR2166" i="22"/>
  <c r="AP2166" i="22" s="1"/>
  <c r="AQ2168" i="22" l="1"/>
  <c r="AR2167" i="22"/>
  <c r="AP2167" i="22" s="1"/>
  <c r="AQ2169" i="22" l="1"/>
  <c r="AR2168" i="22"/>
  <c r="AP2168" i="22" s="1"/>
  <c r="AQ2170" i="22" l="1"/>
  <c r="AR2169" i="22"/>
  <c r="AP2169" i="22" s="1"/>
  <c r="AQ2171" i="22" l="1"/>
  <c r="AR2170" i="22"/>
  <c r="AP2170" i="22" s="1"/>
  <c r="AQ2172" i="22" l="1"/>
  <c r="AR2171" i="22"/>
  <c r="AP2171" i="22" s="1"/>
  <c r="AQ2173" i="22" l="1"/>
  <c r="AR2172" i="22"/>
  <c r="AP2172" i="22" s="1"/>
  <c r="AQ2174" i="22" l="1"/>
  <c r="AR2173" i="22"/>
  <c r="AP2173" i="22" s="1"/>
  <c r="AQ2175" i="22" l="1"/>
  <c r="AR2174" i="22"/>
  <c r="AP2174" i="22" s="1"/>
  <c r="AQ2176" i="22" l="1"/>
  <c r="AR2175" i="22"/>
  <c r="AP2175" i="22" s="1"/>
  <c r="AQ2177" i="22" l="1"/>
  <c r="AR2176" i="22"/>
  <c r="AP2176" i="22" s="1"/>
  <c r="AQ2178" i="22" l="1"/>
  <c r="AR2177" i="22"/>
  <c r="AP2177" i="22" s="1"/>
  <c r="AQ2179" i="22" l="1"/>
  <c r="AR2178" i="22"/>
  <c r="AP2178" i="22" s="1"/>
  <c r="AQ2180" i="22" l="1"/>
  <c r="AR2179" i="22"/>
  <c r="AP2179" i="22" s="1"/>
  <c r="AQ2181" i="22" l="1"/>
  <c r="AR2180" i="22"/>
  <c r="AP2180" i="22" s="1"/>
  <c r="AQ2182" i="22" l="1"/>
  <c r="AR2181" i="22"/>
  <c r="AP2181" i="22" s="1"/>
  <c r="AQ2183" i="22" l="1"/>
  <c r="AR2182" i="22"/>
  <c r="AP2182" i="22" s="1"/>
  <c r="AQ2184" i="22" l="1"/>
  <c r="AR2183" i="22"/>
  <c r="AP2183" i="22" s="1"/>
  <c r="AQ2185" i="22" l="1"/>
  <c r="AR2184" i="22"/>
  <c r="AP2184" i="22" s="1"/>
  <c r="AQ2186" i="22" l="1"/>
  <c r="AR2185" i="22"/>
  <c r="AP2185" i="22" s="1"/>
  <c r="AQ2187" i="22" l="1"/>
  <c r="AR2186" i="22"/>
  <c r="AP2186" i="22" s="1"/>
  <c r="AQ2188" i="22" l="1"/>
  <c r="AR2187" i="22"/>
  <c r="AP2187" i="22" s="1"/>
  <c r="AQ2189" i="22" l="1"/>
  <c r="AR2188" i="22"/>
  <c r="AP2188" i="22" s="1"/>
  <c r="AQ2190" i="22" l="1"/>
  <c r="AR2189" i="22"/>
  <c r="AP2189" i="22" s="1"/>
  <c r="AQ2191" i="22" l="1"/>
  <c r="AR2190" i="22"/>
  <c r="AP2190" i="22" s="1"/>
  <c r="AQ2192" i="22" l="1"/>
  <c r="AR2191" i="22"/>
  <c r="AP2191" i="22" s="1"/>
  <c r="AQ2193" i="22" l="1"/>
  <c r="AR2192" i="22"/>
  <c r="AP2192" i="22" s="1"/>
  <c r="AQ2194" i="22" l="1"/>
  <c r="AR2193" i="22"/>
  <c r="AP2193" i="22" s="1"/>
  <c r="AQ2195" i="22" l="1"/>
  <c r="AR2194" i="22"/>
  <c r="AP2194" i="22" s="1"/>
  <c r="AQ2196" i="22" l="1"/>
  <c r="AR2195" i="22"/>
  <c r="AP2195" i="22" s="1"/>
  <c r="AQ2197" i="22" l="1"/>
  <c r="AR2196" i="22"/>
  <c r="AP2196" i="22" s="1"/>
  <c r="AQ2198" i="22" l="1"/>
  <c r="AR2197" i="22"/>
  <c r="AP2197" i="22" s="1"/>
  <c r="AQ2199" i="22" l="1"/>
  <c r="AR2198" i="22"/>
  <c r="AP2198" i="22" s="1"/>
  <c r="AQ2200" i="22" l="1"/>
  <c r="AR2199" i="22"/>
  <c r="AP2199" i="22" s="1"/>
  <c r="AQ2201" i="22" l="1"/>
  <c r="AR2200" i="22"/>
  <c r="AP2200" i="22" s="1"/>
  <c r="AQ2202" i="22" l="1"/>
  <c r="AR2201" i="22"/>
  <c r="AP2201" i="22" s="1"/>
  <c r="AQ2203" i="22" l="1"/>
  <c r="AR2202" i="22"/>
  <c r="AP2202" i="22" s="1"/>
  <c r="AQ2204" i="22" l="1"/>
  <c r="AR2203" i="22"/>
  <c r="AP2203" i="22" s="1"/>
  <c r="AQ2205" i="22" l="1"/>
  <c r="AR2204" i="22"/>
  <c r="AP2204" i="22" s="1"/>
  <c r="AQ2206" i="22" l="1"/>
  <c r="AR2205" i="22"/>
  <c r="AP2205" i="22" s="1"/>
  <c r="AQ2207" i="22" l="1"/>
  <c r="AR2206" i="22"/>
  <c r="AP2206" i="22" s="1"/>
  <c r="AQ2208" i="22" l="1"/>
  <c r="AR2207" i="22"/>
  <c r="AP2207" i="22" s="1"/>
  <c r="AQ2209" i="22" l="1"/>
  <c r="AR2208" i="22"/>
  <c r="AP2208" i="22" s="1"/>
  <c r="AQ2210" i="22" l="1"/>
  <c r="AR2209" i="22"/>
  <c r="AP2209" i="22" s="1"/>
  <c r="AQ2211" i="22" l="1"/>
  <c r="AR2210" i="22"/>
  <c r="AP2210" i="22" s="1"/>
  <c r="AQ2212" i="22" l="1"/>
  <c r="AR2211" i="22"/>
  <c r="AP2211" i="22" s="1"/>
  <c r="AQ2213" i="22" l="1"/>
  <c r="AR2212" i="22"/>
  <c r="AP2212" i="22" s="1"/>
  <c r="AQ2214" i="22" l="1"/>
  <c r="AR2213" i="22"/>
  <c r="AP2213" i="22" s="1"/>
  <c r="AQ2215" i="22" l="1"/>
  <c r="AR2214" i="22"/>
  <c r="AP2214" i="22" s="1"/>
  <c r="AQ2216" i="22" l="1"/>
  <c r="AR2215" i="22"/>
  <c r="AP2215" i="22" s="1"/>
  <c r="AQ2217" i="22" l="1"/>
  <c r="AR2216" i="22"/>
  <c r="AP2216" i="22" s="1"/>
  <c r="AQ2218" i="22" l="1"/>
  <c r="AR2217" i="22"/>
  <c r="AP2217" i="22" s="1"/>
  <c r="AQ2219" i="22" l="1"/>
  <c r="AR2218" i="22"/>
  <c r="AP2218" i="22" s="1"/>
  <c r="AQ2220" i="22" l="1"/>
  <c r="AR2219" i="22"/>
  <c r="AP2219" i="22" s="1"/>
  <c r="AQ2221" i="22" l="1"/>
  <c r="AR2220" i="22"/>
  <c r="AP2220" i="22" s="1"/>
  <c r="AQ2222" i="22" l="1"/>
  <c r="AR2221" i="22"/>
  <c r="AP2221" i="22" s="1"/>
  <c r="AQ2223" i="22" l="1"/>
  <c r="AR2222" i="22"/>
  <c r="AP2222" i="22" s="1"/>
  <c r="AQ2224" i="22" l="1"/>
  <c r="AR2223" i="22"/>
  <c r="AP2223" i="22" s="1"/>
  <c r="AQ2225" i="22" l="1"/>
  <c r="AR2224" i="22"/>
  <c r="AP2224" i="22" s="1"/>
  <c r="AQ2226" i="22" l="1"/>
  <c r="AR2225" i="22"/>
  <c r="AP2225" i="22" s="1"/>
  <c r="AQ2227" i="22" l="1"/>
  <c r="AR2226" i="22"/>
  <c r="AP2226" i="22" s="1"/>
  <c r="AQ2228" i="22" l="1"/>
  <c r="AR2227" i="22"/>
  <c r="AP2227" i="22" s="1"/>
  <c r="AQ2229" i="22" l="1"/>
  <c r="AR2228" i="22"/>
  <c r="AP2228" i="22" s="1"/>
  <c r="AQ2230" i="22" l="1"/>
  <c r="AR2229" i="22"/>
  <c r="AP2229" i="22" s="1"/>
  <c r="AQ2231" i="22" l="1"/>
  <c r="AR2230" i="22"/>
  <c r="AP2230" i="22" s="1"/>
  <c r="AQ2232" i="22" l="1"/>
  <c r="AR2231" i="22"/>
  <c r="AP2231" i="22" s="1"/>
  <c r="AQ2233" i="22" l="1"/>
  <c r="AR2232" i="22"/>
  <c r="AP2232" i="22" s="1"/>
  <c r="AQ2234" i="22" l="1"/>
  <c r="AR2233" i="22"/>
  <c r="AP2233" i="22" s="1"/>
  <c r="AQ2235" i="22" l="1"/>
  <c r="AR2234" i="22"/>
  <c r="AP2234" i="22" s="1"/>
  <c r="AQ2236" i="22" l="1"/>
  <c r="AR2235" i="22"/>
  <c r="AP2235" i="22" s="1"/>
  <c r="AQ2237" i="22" l="1"/>
  <c r="AR2236" i="22"/>
  <c r="AP2236" i="22" s="1"/>
  <c r="AQ2238" i="22" l="1"/>
  <c r="AR2237" i="22"/>
  <c r="AP2237" i="22" s="1"/>
  <c r="AQ2239" i="22" l="1"/>
  <c r="AR2238" i="22"/>
  <c r="AP2238" i="22" s="1"/>
  <c r="AQ2240" i="22" l="1"/>
  <c r="AR2239" i="22"/>
  <c r="AP2239" i="22" s="1"/>
  <c r="AQ2241" i="22" l="1"/>
  <c r="AR2240" i="22"/>
  <c r="AP2240" i="22" s="1"/>
  <c r="AQ2242" i="22" l="1"/>
  <c r="AR2241" i="22"/>
  <c r="AP2241" i="22" s="1"/>
  <c r="AQ2243" i="22" l="1"/>
  <c r="AR2242" i="22"/>
  <c r="AP2242" i="22" s="1"/>
  <c r="AQ2244" i="22" l="1"/>
  <c r="AR2243" i="22"/>
  <c r="AP2243" i="22" s="1"/>
  <c r="AQ2245" i="22" l="1"/>
  <c r="AR2244" i="22"/>
  <c r="AP2244" i="22" s="1"/>
  <c r="AQ2246" i="22" l="1"/>
  <c r="AR2245" i="22"/>
  <c r="AP2245" i="22" s="1"/>
  <c r="AQ2247" i="22" l="1"/>
  <c r="AR2246" i="22"/>
  <c r="AP2246" i="22" s="1"/>
  <c r="AQ2248" i="22" l="1"/>
  <c r="AR2247" i="22"/>
  <c r="AP2247" i="22" s="1"/>
  <c r="AQ2249" i="22" l="1"/>
  <c r="AR2248" i="22"/>
  <c r="AP2248" i="22" s="1"/>
  <c r="AQ2250" i="22" l="1"/>
  <c r="AR2249" i="22"/>
  <c r="AP2249" i="22" s="1"/>
  <c r="AQ2251" i="22" l="1"/>
  <c r="AR2250" i="22"/>
  <c r="AP2250" i="22" s="1"/>
  <c r="AQ2252" i="22" l="1"/>
  <c r="AR2251" i="22"/>
  <c r="AP2251" i="22" s="1"/>
  <c r="AQ2253" i="22" l="1"/>
  <c r="AR2252" i="22"/>
  <c r="AP2252" i="22" s="1"/>
  <c r="AQ2254" i="22" l="1"/>
  <c r="AR2253" i="22"/>
  <c r="AP2253" i="22" s="1"/>
  <c r="AQ2255" i="22" l="1"/>
  <c r="AR2254" i="22"/>
  <c r="AP2254" i="22" s="1"/>
  <c r="AQ2256" i="22" l="1"/>
  <c r="AR2255" i="22"/>
  <c r="AP2255" i="22" s="1"/>
  <c r="AQ2257" i="22" l="1"/>
  <c r="AR2256" i="22"/>
  <c r="AP2256" i="22" s="1"/>
  <c r="AQ2258" i="22" l="1"/>
  <c r="AR2257" i="22"/>
  <c r="AP2257" i="22" s="1"/>
  <c r="AQ2259" i="22" l="1"/>
  <c r="AR2258" i="22"/>
  <c r="AP2258" i="22" s="1"/>
  <c r="AQ2260" i="22" l="1"/>
  <c r="AR2259" i="22"/>
  <c r="AP2259" i="22" s="1"/>
  <c r="AQ2261" i="22" l="1"/>
  <c r="AR2260" i="22"/>
  <c r="AP2260" i="22" s="1"/>
  <c r="AQ2262" i="22" l="1"/>
  <c r="AR2261" i="22"/>
  <c r="AP2261" i="22" s="1"/>
  <c r="AQ2263" i="22" l="1"/>
  <c r="AR2262" i="22"/>
  <c r="AP2262" i="22" s="1"/>
  <c r="AQ2264" i="22" l="1"/>
  <c r="AR2263" i="22"/>
  <c r="AP2263" i="22" s="1"/>
  <c r="AQ2265" i="22" l="1"/>
  <c r="AR2264" i="22"/>
  <c r="AP2264" i="22" s="1"/>
  <c r="AQ2266" i="22" l="1"/>
  <c r="AR2265" i="22"/>
  <c r="AP2265" i="22" s="1"/>
  <c r="AQ2267" i="22" l="1"/>
  <c r="AR2266" i="22"/>
  <c r="AP2266" i="22" s="1"/>
  <c r="AQ2268" i="22" l="1"/>
  <c r="AR2267" i="22"/>
  <c r="AP2267" i="22" s="1"/>
  <c r="AQ2269" i="22" l="1"/>
  <c r="AR2268" i="22"/>
  <c r="AP2268" i="22" s="1"/>
  <c r="AQ2270" i="22" l="1"/>
  <c r="AR2269" i="22"/>
  <c r="AP2269" i="22" s="1"/>
  <c r="AQ2271" i="22" l="1"/>
  <c r="AR2270" i="22"/>
  <c r="AP2270" i="22" s="1"/>
  <c r="AQ2272" i="22" l="1"/>
  <c r="AR2271" i="22"/>
  <c r="AP2271" i="22" s="1"/>
  <c r="AQ2273" i="22" l="1"/>
  <c r="AR2272" i="22"/>
  <c r="AP2272" i="22" s="1"/>
  <c r="AQ2274" i="22" l="1"/>
  <c r="AR2273" i="22"/>
  <c r="AP2273" i="22" s="1"/>
  <c r="AQ2275" i="22" l="1"/>
  <c r="AR2274" i="22"/>
  <c r="AP2274" i="22" s="1"/>
  <c r="AQ2276" i="22" l="1"/>
  <c r="AR2275" i="22"/>
  <c r="AP2275" i="22" s="1"/>
  <c r="AQ2277" i="22" l="1"/>
  <c r="AR2276" i="22"/>
  <c r="AP2276" i="22" s="1"/>
  <c r="AQ2278" i="22" l="1"/>
  <c r="AR2277" i="22"/>
  <c r="AP2277" i="22" s="1"/>
  <c r="AQ2279" i="22" l="1"/>
  <c r="AR2278" i="22"/>
  <c r="AP2278" i="22" s="1"/>
  <c r="AQ2280" i="22" l="1"/>
  <c r="AR2279" i="22"/>
  <c r="AP2279" i="22" s="1"/>
  <c r="AQ2281" i="22" l="1"/>
  <c r="AR2280" i="22"/>
  <c r="AP2280" i="22" s="1"/>
  <c r="AQ2282" i="22" l="1"/>
  <c r="AR2281" i="22"/>
  <c r="AP2281" i="22" s="1"/>
  <c r="AQ2283" i="22" l="1"/>
  <c r="AR2282" i="22"/>
  <c r="AP2282" i="22" s="1"/>
  <c r="AQ2284" i="22" l="1"/>
  <c r="AR2283" i="22"/>
  <c r="AP2283" i="22" s="1"/>
  <c r="AQ2285" i="22" l="1"/>
  <c r="AR2284" i="22"/>
  <c r="AP2284" i="22" s="1"/>
  <c r="AQ2286" i="22" l="1"/>
  <c r="AR2285" i="22"/>
  <c r="AP2285" i="22" s="1"/>
  <c r="AQ2287" i="22" l="1"/>
  <c r="AR2286" i="22"/>
  <c r="AP2286" i="22" s="1"/>
  <c r="AQ2288" i="22" l="1"/>
  <c r="AR2287" i="22"/>
  <c r="AP2287" i="22" s="1"/>
  <c r="AQ2289" i="22" l="1"/>
  <c r="AR2288" i="22"/>
  <c r="AP2288" i="22" s="1"/>
  <c r="AQ2290" i="22" l="1"/>
  <c r="AR2289" i="22"/>
  <c r="AP2289" i="22" s="1"/>
  <c r="AQ2291" i="22" l="1"/>
  <c r="AR2290" i="22"/>
  <c r="AP2290" i="22" s="1"/>
  <c r="AQ2292" i="22" l="1"/>
  <c r="AR2291" i="22"/>
  <c r="AP2291" i="22" s="1"/>
  <c r="AQ2293" i="22" l="1"/>
  <c r="AR2292" i="22"/>
  <c r="AP2292" i="22" s="1"/>
  <c r="AQ2294" i="22" l="1"/>
  <c r="AR2293" i="22"/>
  <c r="AP2293" i="22" s="1"/>
  <c r="AQ2295" i="22" l="1"/>
  <c r="AR2294" i="22"/>
  <c r="AP2294" i="22" s="1"/>
  <c r="AQ2296" i="22" l="1"/>
  <c r="AR2295" i="22"/>
  <c r="AP2295" i="22" s="1"/>
  <c r="AQ2297" i="22" l="1"/>
  <c r="AR2296" i="22"/>
  <c r="AP2296" i="22" s="1"/>
  <c r="AQ2298" i="22" l="1"/>
  <c r="AR2297" i="22"/>
  <c r="AP2297" i="22" s="1"/>
  <c r="AQ2299" i="22" l="1"/>
  <c r="AR2298" i="22"/>
  <c r="AP2298" i="22" s="1"/>
  <c r="AQ2300" i="22" l="1"/>
  <c r="AR2299" i="22"/>
  <c r="AP2299" i="22" s="1"/>
  <c r="AQ2301" i="22" l="1"/>
  <c r="AR2300" i="22"/>
  <c r="AP2300" i="22" s="1"/>
  <c r="AQ2302" i="22" l="1"/>
  <c r="AR2301" i="22"/>
  <c r="AP2301" i="22" s="1"/>
  <c r="AQ2303" i="22" l="1"/>
  <c r="AR2302" i="22"/>
  <c r="AP2302" i="22" s="1"/>
  <c r="AQ2304" i="22" l="1"/>
  <c r="AR2303" i="22"/>
  <c r="AP2303" i="22" s="1"/>
  <c r="AQ2305" i="22" l="1"/>
  <c r="AR2304" i="22"/>
  <c r="AP2304" i="22" s="1"/>
  <c r="AQ2306" i="22" l="1"/>
  <c r="AR2305" i="22"/>
  <c r="AP2305" i="22" s="1"/>
  <c r="AQ2307" i="22" l="1"/>
  <c r="AR2306" i="22"/>
  <c r="AP2306" i="22" s="1"/>
  <c r="AQ2308" i="22" l="1"/>
  <c r="AR2307" i="22"/>
  <c r="AP2307" i="22" s="1"/>
  <c r="AQ2309" i="22" l="1"/>
  <c r="AR2308" i="22"/>
  <c r="AP2308" i="22" s="1"/>
  <c r="AQ2310" i="22" l="1"/>
  <c r="AR2309" i="22"/>
  <c r="AP2309" i="22" s="1"/>
  <c r="AQ2311" i="22" l="1"/>
  <c r="AR2310" i="22"/>
  <c r="AP2310" i="22" s="1"/>
  <c r="AQ2312" i="22" l="1"/>
  <c r="AR2311" i="22"/>
  <c r="AP2311" i="22" s="1"/>
  <c r="AQ2313" i="22" l="1"/>
  <c r="AR2312" i="22"/>
  <c r="AP2312" i="22" s="1"/>
  <c r="AQ2314" i="22" l="1"/>
  <c r="AR2313" i="22"/>
  <c r="AP2313" i="22" s="1"/>
  <c r="AQ2315" i="22" l="1"/>
  <c r="AR2314" i="22"/>
  <c r="AP2314" i="22" s="1"/>
  <c r="AQ2316" i="22" l="1"/>
  <c r="AR2315" i="22"/>
  <c r="AP2315" i="22" s="1"/>
  <c r="AQ2317" i="22" l="1"/>
  <c r="AR2316" i="22"/>
  <c r="AP2316" i="22" s="1"/>
  <c r="AQ2318" i="22" l="1"/>
  <c r="AR2317" i="22"/>
  <c r="AP2317" i="22" s="1"/>
  <c r="AQ2319" i="22" l="1"/>
  <c r="AR2318" i="22"/>
  <c r="AP2318" i="22" s="1"/>
  <c r="AQ2320" i="22" l="1"/>
  <c r="AR2319" i="22"/>
  <c r="AP2319" i="22" s="1"/>
  <c r="AQ2321" i="22" l="1"/>
  <c r="AR2320" i="22"/>
  <c r="AP2320" i="22" s="1"/>
  <c r="AQ2322" i="22" l="1"/>
  <c r="AR2321" i="22"/>
  <c r="AP2321" i="22" s="1"/>
  <c r="AQ2323" i="22" l="1"/>
  <c r="AR2322" i="22"/>
  <c r="AP2322" i="22" s="1"/>
  <c r="AQ2324" i="22" l="1"/>
  <c r="AR2323" i="22"/>
  <c r="AP2323" i="22" s="1"/>
  <c r="AQ2325" i="22" l="1"/>
  <c r="AR2324" i="22"/>
  <c r="AP2324" i="22" s="1"/>
  <c r="AQ2326" i="22" l="1"/>
  <c r="AR2325" i="22"/>
  <c r="AP2325" i="22" s="1"/>
  <c r="AQ2327" i="22" l="1"/>
  <c r="AR2326" i="22"/>
  <c r="AP2326" i="22" s="1"/>
  <c r="AQ2328" i="22" l="1"/>
  <c r="AR2327" i="22"/>
  <c r="AP2327" i="22" s="1"/>
  <c r="AQ2329" i="22" l="1"/>
  <c r="AR2328" i="22"/>
  <c r="AP2328" i="22" s="1"/>
  <c r="AQ2330" i="22" l="1"/>
  <c r="AR2329" i="22"/>
  <c r="AP2329" i="22" s="1"/>
  <c r="AQ2331" i="22" l="1"/>
  <c r="AR2330" i="22"/>
  <c r="AP2330" i="22" s="1"/>
  <c r="AQ2332" i="22" l="1"/>
  <c r="AR2331" i="22"/>
  <c r="AP2331" i="22" s="1"/>
  <c r="AQ2333" i="22" l="1"/>
  <c r="AR2332" i="22"/>
  <c r="AP2332" i="22" s="1"/>
  <c r="AQ2334" i="22" l="1"/>
  <c r="AR2333" i="22"/>
  <c r="AP2333" i="22" s="1"/>
  <c r="AQ2335" i="22" l="1"/>
  <c r="AR2334" i="22"/>
  <c r="AP2334" i="22" s="1"/>
  <c r="AQ2336" i="22" l="1"/>
  <c r="AR2335" i="22"/>
  <c r="AP2335" i="22" s="1"/>
  <c r="AQ2337" i="22" l="1"/>
  <c r="AR2336" i="22"/>
  <c r="AP2336" i="22" s="1"/>
  <c r="AQ2338" i="22" l="1"/>
  <c r="AR2337" i="22"/>
  <c r="AP2337" i="22" s="1"/>
  <c r="AQ2339" i="22" l="1"/>
  <c r="AR2338" i="22"/>
  <c r="AP2338" i="22" s="1"/>
  <c r="AQ2340" i="22" l="1"/>
  <c r="AR2339" i="22"/>
  <c r="AP2339" i="22" s="1"/>
  <c r="AQ2341" i="22" l="1"/>
  <c r="AR2340" i="22"/>
  <c r="AP2340" i="22" s="1"/>
  <c r="AQ2342" i="22" l="1"/>
  <c r="AR2341" i="22"/>
  <c r="AP2341" i="22" s="1"/>
  <c r="AQ2343" i="22" l="1"/>
  <c r="AR2342" i="22"/>
  <c r="AP2342" i="22" s="1"/>
  <c r="AQ2344" i="22" l="1"/>
  <c r="AR2343" i="22"/>
  <c r="AP2343" i="22" s="1"/>
  <c r="AQ2345" i="22" l="1"/>
  <c r="AR2344" i="22"/>
  <c r="AP2344" i="22" s="1"/>
  <c r="AQ2346" i="22" l="1"/>
  <c r="AR2345" i="22"/>
  <c r="AP2345" i="22" s="1"/>
  <c r="AQ2347" i="22" l="1"/>
  <c r="AR2346" i="22"/>
  <c r="AP2346" i="22" s="1"/>
  <c r="AQ2348" i="22" l="1"/>
  <c r="AR2347" i="22"/>
  <c r="AP2347" i="22" s="1"/>
  <c r="AQ2349" i="22" l="1"/>
  <c r="AR2348" i="22"/>
  <c r="AP2348" i="22" s="1"/>
  <c r="AQ2350" i="22" l="1"/>
  <c r="AR2349" i="22"/>
  <c r="AP2349" i="22" s="1"/>
  <c r="AQ2351" i="22" l="1"/>
  <c r="AR2350" i="22"/>
  <c r="AP2350" i="22" s="1"/>
  <c r="AQ2352" i="22" l="1"/>
  <c r="AR2351" i="22"/>
  <c r="AP2351" i="22" s="1"/>
  <c r="AQ2353" i="22" l="1"/>
  <c r="AR2352" i="22"/>
  <c r="AP2352" i="22" s="1"/>
  <c r="AQ2354" i="22" l="1"/>
  <c r="AR2353" i="22"/>
  <c r="AP2353" i="22" s="1"/>
  <c r="AQ2355" i="22" l="1"/>
  <c r="AR2354" i="22"/>
  <c r="AP2354" i="22" s="1"/>
  <c r="AQ2356" i="22" l="1"/>
  <c r="AR2355" i="22"/>
  <c r="AP2355" i="22" s="1"/>
  <c r="AQ2357" i="22" l="1"/>
  <c r="AR2356" i="22"/>
  <c r="AP2356" i="22" s="1"/>
  <c r="AQ2358" i="22" l="1"/>
  <c r="AR2357" i="22"/>
  <c r="AP2357" i="22" s="1"/>
  <c r="AQ2359" i="22" l="1"/>
  <c r="AR2358" i="22"/>
  <c r="AP2358" i="22" s="1"/>
  <c r="AQ2360" i="22" l="1"/>
  <c r="AR2359" i="22"/>
  <c r="AP2359" i="22" s="1"/>
  <c r="AQ2361" i="22" l="1"/>
  <c r="AR2360" i="22"/>
  <c r="AP2360" i="22" s="1"/>
  <c r="AQ2362" i="22" l="1"/>
  <c r="AR2361" i="22"/>
  <c r="AP2361" i="22" s="1"/>
  <c r="AQ2363" i="22" l="1"/>
  <c r="AR2362" i="22"/>
  <c r="AP2362" i="22" s="1"/>
  <c r="AQ2364" i="22" l="1"/>
  <c r="AR2363" i="22"/>
  <c r="AP2363" i="22" s="1"/>
  <c r="AQ2365" i="22" l="1"/>
  <c r="AR2364" i="22"/>
  <c r="AP2364" i="22" s="1"/>
  <c r="AQ2366" i="22" l="1"/>
  <c r="AR2365" i="22"/>
  <c r="AP2365" i="22" s="1"/>
  <c r="AQ2367" i="22" l="1"/>
  <c r="AR2366" i="22"/>
  <c r="AP2366" i="22" s="1"/>
  <c r="AQ2368" i="22" l="1"/>
  <c r="AR2367" i="22"/>
  <c r="AP2367" i="22" s="1"/>
  <c r="AQ2369" i="22" l="1"/>
  <c r="AR2368" i="22"/>
  <c r="AP2368" i="22" s="1"/>
  <c r="AQ2370" i="22" l="1"/>
  <c r="AR2369" i="22"/>
  <c r="AP2369" i="22" s="1"/>
  <c r="AQ2371" i="22" l="1"/>
  <c r="AR2370" i="22"/>
  <c r="AP2370" i="22" s="1"/>
  <c r="AQ2372" i="22" l="1"/>
  <c r="AR2371" i="22"/>
  <c r="AP2371" i="22" s="1"/>
  <c r="AQ2373" i="22" l="1"/>
  <c r="AR2372" i="22"/>
  <c r="AP2372" i="22" s="1"/>
  <c r="AQ2374" i="22" l="1"/>
  <c r="AR2373" i="22"/>
  <c r="AP2373" i="22" s="1"/>
  <c r="AQ2375" i="22" l="1"/>
  <c r="AR2374" i="22"/>
  <c r="AP2374" i="22" s="1"/>
  <c r="AQ2376" i="22" l="1"/>
  <c r="AR2375" i="22"/>
  <c r="AP2375" i="22" s="1"/>
  <c r="AQ2377" i="22" l="1"/>
  <c r="AR2376" i="22"/>
  <c r="AP2376" i="22" s="1"/>
  <c r="AQ2378" i="22" l="1"/>
  <c r="AR2377" i="22"/>
  <c r="AP2377" i="22" s="1"/>
  <c r="AQ2379" i="22" l="1"/>
  <c r="AR2378" i="22"/>
  <c r="AP2378" i="22" s="1"/>
  <c r="AQ2380" i="22" l="1"/>
  <c r="AR2379" i="22"/>
  <c r="AP2379" i="22" s="1"/>
  <c r="AQ2381" i="22" l="1"/>
  <c r="AR2380" i="22"/>
  <c r="AP2380" i="22" s="1"/>
  <c r="AQ2382" i="22" l="1"/>
  <c r="AR2381" i="22"/>
  <c r="AP2381" i="22" s="1"/>
  <c r="AQ2383" i="22" l="1"/>
  <c r="AR2382" i="22"/>
  <c r="AP2382" i="22" s="1"/>
  <c r="AQ2384" i="22" l="1"/>
  <c r="AR2383" i="22"/>
  <c r="AP2383" i="22" s="1"/>
  <c r="AQ2385" i="22" l="1"/>
  <c r="AR2384" i="22"/>
  <c r="AP2384" i="22" s="1"/>
  <c r="AQ2386" i="22" l="1"/>
  <c r="AR2385" i="22"/>
  <c r="AP2385" i="22" s="1"/>
  <c r="AQ2387" i="22" l="1"/>
  <c r="AR2386" i="22"/>
  <c r="AP2386" i="22" s="1"/>
  <c r="AQ2388" i="22" l="1"/>
  <c r="AR2387" i="22"/>
  <c r="AP2387" i="22" s="1"/>
  <c r="AQ2389" i="22" l="1"/>
  <c r="AR2388" i="22"/>
  <c r="AP2388" i="22" s="1"/>
  <c r="AQ2390" i="22" l="1"/>
  <c r="AR2389" i="22"/>
  <c r="AP2389" i="22" s="1"/>
  <c r="AQ2391" i="22" l="1"/>
  <c r="AR2390" i="22"/>
  <c r="AP2390" i="22" s="1"/>
  <c r="AQ2392" i="22" l="1"/>
  <c r="AR2391" i="22"/>
  <c r="AP2391" i="22" s="1"/>
  <c r="AQ2393" i="22" l="1"/>
  <c r="AR2392" i="22"/>
  <c r="AP2392" i="22" s="1"/>
  <c r="AQ2394" i="22" l="1"/>
  <c r="AR2393" i="22"/>
  <c r="AP2393" i="22" s="1"/>
  <c r="AQ2395" i="22" l="1"/>
  <c r="AR2394" i="22"/>
  <c r="AP2394" i="22" s="1"/>
  <c r="AQ2396" i="22" l="1"/>
  <c r="AR2395" i="22"/>
  <c r="AP2395" i="22" s="1"/>
  <c r="AQ2397" i="22" l="1"/>
  <c r="AR2396" i="22"/>
  <c r="AP2396" i="22" s="1"/>
  <c r="AQ2398" i="22" l="1"/>
  <c r="AR2397" i="22"/>
  <c r="AP2397" i="22" s="1"/>
  <c r="AQ2399" i="22" l="1"/>
  <c r="AR2398" i="22"/>
  <c r="AP2398" i="22" s="1"/>
  <c r="AQ2400" i="22" l="1"/>
  <c r="AR2399" i="22"/>
  <c r="AP2399" i="22" s="1"/>
  <c r="AQ2401" i="22" l="1"/>
  <c r="AR2400" i="22"/>
  <c r="AP2400" i="22" s="1"/>
  <c r="AQ2402" i="22" l="1"/>
  <c r="AR2401" i="22"/>
  <c r="AP2401" i="22" s="1"/>
  <c r="AQ2403" i="22" l="1"/>
  <c r="AR2402" i="22"/>
  <c r="AP2402" i="22" s="1"/>
  <c r="AQ2404" i="22" l="1"/>
  <c r="AR2403" i="22"/>
  <c r="AP2403" i="22" s="1"/>
  <c r="AQ2405" i="22" l="1"/>
  <c r="AR2404" i="22"/>
  <c r="AP2404" i="22" s="1"/>
  <c r="AQ2406" i="22" l="1"/>
  <c r="AR2405" i="22"/>
  <c r="AP2405" i="22" s="1"/>
  <c r="AQ2407" i="22" l="1"/>
  <c r="AR2406" i="22"/>
  <c r="AP2406" i="22" s="1"/>
  <c r="AQ2408" i="22" l="1"/>
  <c r="AR2407" i="22"/>
  <c r="AP2407" i="22" s="1"/>
  <c r="AQ2409" i="22" l="1"/>
  <c r="AR2408" i="22"/>
  <c r="AP2408" i="22" s="1"/>
  <c r="AQ2410" i="22" l="1"/>
  <c r="AR2409" i="22"/>
  <c r="AP2409" i="22" s="1"/>
  <c r="AQ2411" i="22" l="1"/>
  <c r="AR2410" i="22"/>
  <c r="AP2410" i="22" s="1"/>
  <c r="AQ2412" i="22" l="1"/>
  <c r="AR2411" i="22"/>
  <c r="AP2411" i="22" s="1"/>
  <c r="AQ2413" i="22" l="1"/>
  <c r="AR2412" i="22"/>
  <c r="AP2412" i="22" s="1"/>
  <c r="AQ2414" i="22" l="1"/>
  <c r="AR2413" i="22"/>
  <c r="AP2413" i="22" s="1"/>
  <c r="AQ2415" i="22" l="1"/>
  <c r="AR2414" i="22"/>
  <c r="AP2414" i="22" s="1"/>
  <c r="AQ2416" i="22" l="1"/>
  <c r="AR2415" i="22"/>
  <c r="AP2415" i="22" s="1"/>
  <c r="AQ2417" i="22" l="1"/>
  <c r="AR2416" i="22"/>
  <c r="AP2416" i="22" s="1"/>
  <c r="AQ2418" i="22" l="1"/>
  <c r="AR2417" i="22"/>
  <c r="AP2417" i="22" s="1"/>
  <c r="AQ2419" i="22" l="1"/>
  <c r="AR2418" i="22"/>
  <c r="AP2418" i="22" s="1"/>
  <c r="AQ2420" i="22" l="1"/>
  <c r="AR2419" i="22"/>
  <c r="AP2419" i="22" s="1"/>
  <c r="AQ2421" i="22" l="1"/>
  <c r="AR2420" i="22"/>
  <c r="AP2420" i="22" s="1"/>
  <c r="AQ2422" i="22" l="1"/>
  <c r="AR2421" i="22"/>
  <c r="AP2421" i="22" s="1"/>
  <c r="AQ2423" i="22" l="1"/>
  <c r="AR2422" i="22"/>
  <c r="AP2422" i="22" s="1"/>
  <c r="AQ2424" i="22" l="1"/>
  <c r="AR2423" i="22"/>
  <c r="AP2423" i="22" s="1"/>
  <c r="AQ2425" i="22" l="1"/>
  <c r="AR2424" i="22"/>
  <c r="AP2424" i="22" s="1"/>
  <c r="AQ2426" i="22" l="1"/>
  <c r="AR2425" i="22"/>
  <c r="AP2425" i="22" s="1"/>
  <c r="AQ2427" i="22" l="1"/>
  <c r="AR2426" i="22"/>
  <c r="AP2426" i="22" s="1"/>
  <c r="AQ2428" i="22" l="1"/>
  <c r="AR2427" i="22"/>
  <c r="AP2427" i="22" s="1"/>
  <c r="AQ2429" i="22" l="1"/>
  <c r="AR2428" i="22"/>
  <c r="AP2428" i="22" s="1"/>
  <c r="AQ2430" i="22" l="1"/>
  <c r="AR2429" i="22"/>
  <c r="AP2429" i="22" s="1"/>
  <c r="AQ2431" i="22" l="1"/>
  <c r="AR2430" i="22"/>
  <c r="AP2430" i="22" s="1"/>
  <c r="AQ2432" i="22" l="1"/>
  <c r="AR2431" i="22"/>
  <c r="AP2431" i="22" s="1"/>
  <c r="AQ2433" i="22" l="1"/>
  <c r="AR2432" i="22"/>
  <c r="AP2432" i="22" s="1"/>
  <c r="AQ2434" i="22" l="1"/>
  <c r="AR2433" i="22"/>
  <c r="AP2433" i="22" s="1"/>
  <c r="AQ2435" i="22" l="1"/>
  <c r="AR2434" i="22"/>
  <c r="AP2434" i="22" s="1"/>
  <c r="AQ2436" i="22" l="1"/>
  <c r="AR2435" i="22"/>
  <c r="AP2435" i="22" s="1"/>
  <c r="AQ2437" i="22" l="1"/>
  <c r="AR2436" i="22"/>
  <c r="AP2436" i="22" s="1"/>
  <c r="AQ2438" i="22" l="1"/>
  <c r="AR2437" i="22"/>
  <c r="AP2437" i="22" s="1"/>
  <c r="AQ2439" i="22" l="1"/>
  <c r="AR2438" i="22"/>
  <c r="AP2438" i="22" s="1"/>
  <c r="AQ2440" i="22" l="1"/>
  <c r="AR2439" i="22"/>
  <c r="AP2439" i="22" s="1"/>
  <c r="AQ2441" i="22" l="1"/>
  <c r="AR2440" i="22"/>
  <c r="AP2440" i="22" s="1"/>
  <c r="AQ2442" i="22" l="1"/>
  <c r="AR2441" i="22"/>
  <c r="AP2441" i="22" s="1"/>
  <c r="AQ2443" i="22" l="1"/>
  <c r="AR2442" i="22"/>
  <c r="AP2442" i="22" s="1"/>
  <c r="AQ2444" i="22" l="1"/>
  <c r="AR2443" i="22"/>
  <c r="AP2443" i="22" s="1"/>
  <c r="AQ2445" i="22" l="1"/>
  <c r="AR2444" i="22"/>
  <c r="AP2444" i="22" s="1"/>
  <c r="AQ2446" i="22" l="1"/>
  <c r="AR2445" i="22"/>
  <c r="AP2445" i="22" s="1"/>
  <c r="AQ2447" i="22" l="1"/>
  <c r="AR2446" i="22"/>
  <c r="AP2446" i="22" s="1"/>
  <c r="AQ2448" i="22" l="1"/>
  <c r="AR2447" i="22"/>
  <c r="AP2447" i="22" s="1"/>
  <c r="AQ2449" i="22" l="1"/>
  <c r="AR2448" i="22"/>
  <c r="AP2448" i="22" s="1"/>
  <c r="AQ2450" i="22" l="1"/>
  <c r="AR2449" i="22"/>
  <c r="AP2449" i="22" s="1"/>
  <c r="AQ2451" i="22" l="1"/>
  <c r="AR2450" i="22"/>
  <c r="AP2450" i="22" s="1"/>
  <c r="AQ2452" i="22" l="1"/>
  <c r="AR2451" i="22"/>
  <c r="AP2451" i="22" s="1"/>
  <c r="AQ2453" i="22" l="1"/>
  <c r="AR2452" i="22"/>
  <c r="AP2452" i="22" s="1"/>
  <c r="AQ2454" i="22" l="1"/>
  <c r="AR2453" i="22"/>
  <c r="AP2453" i="22" s="1"/>
  <c r="AQ2455" i="22" l="1"/>
  <c r="AR2454" i="22"/>
  <c r="AP2454" i="22" s="1"/>
  <c r="AQ2456" i="22" l="1"/>
  <c r="AR2455" i="22"/>
  <c r="AP2455" i="22" s="1"/>
  <c r="AQ2457" i="22" l="1"/>
  <c r="AR2456" i="22"/>
  <c r="AP2456" i="22" s="1"/>
  <c r="AQ2458" i="22" l="1"/>
  <c r="AR2457" i="22"/>
  <c r="AP2457" i="22" s="1"/>
  <c r="AQ2459" i="22" l="1"/>
  <c r="AR2458" i="22"/>
  <c r="AP2458" i="22" s="1"/>
  <c r="AQ2460" i="22" l="1"/>
  <c r="AR2459" i="22"/>
  <c r="AP2459" i="22" s="1"/>
  <c r="AQ2461" i="22" l="1"/>
  <c r="AR2460" i="22"/>
  <c r="AP2460" i="22" s="1"/>
  <c r="AQ2462" i="22" l="1"/>
  <c r="AR2461" i="22"/>
  <c r="AP2461" i="22" s="1"/>
  <c r="AQ2463" i="22" l="1"/>
  <c r="AR2462" i="22"/>
  <c r="AP2462" i="22" s="1"/>
  <c r="AQ2464" i="22" l="1"/>
  <c r="AR2463" i="22"/>
  <c r="AP2463" i="22" s="1"/>
  <c r="AQ2465" i="22" l="1"/>
  <c r="AR2464" i="22"/>
  <c r="AP2464" i="22" s="1"/>
  <c r="AQ2466" i="22" l="1"/>
  <c r="AR2465" i="22"/>
  <c r="AP2465" i="22" s="1"/>
  <c r="AQ2467" i="22" l="1"/>
  <c r="AR2466" i="22"/>
  <c r="AP2466" i="22" s="1"/>
  <c r="AQ2468" i="22" l="1"/>
  <c r="AR2467" i="22"/>
  <c r="AP2467" i="22" s="1"/>
  <c r="AQ2469" i="22" l="1"/>
  <c r="AR2468" i="22"/>
  <c r="AP2468" i="22" s="1"/>
  <c r="AQ2470" i="22" l="1"/>
  <c r="AR2469" i="22"/>
  <c r="AP2469" i="22" s="1"/>
  <c r="AQ2471" i="22" l="1"/>
  <c r="AR2470" i="22"/>
  <c r="AP2470" i="22" s="1"/>
  <c r="AQ2472" i="22" l="1"/>
  <c r="AR2471" i="22"/>
  <c r="AP2471" i="22" s="1"/>
  <c r="AQ2473" i="22" l="1"/>
  <c r="AR2472" i="22"/>
  <c r="AP2472" i="22" s="1"/>
  <c r="AQ2474" i="22" l="1"/>
  <c r="AR2473" i="22"/>
  <c r="AP2473" i="22" s="1"/>
  <c r="AQ2475" i="22" l="1"/>
  <c r="AR2474" i="22"/>
  <c r="AP2474" i="22" s="1"/>
  <c r="AQ2476" i="22" l="1"/>
  <c r="AR2475" i="22"/>
  <c r="AP2475" i="22" s="1"/>
  <c r="AQ2477" i="22" l="1"/>
  <c r="AR2476" i="22"/>
  <c r="AP2476" i="22" s="1"/>
  <c r="AQ2478" i="22" l="1"/>
  <c r="AR2477" i="22"/>
  <c r="AP2477" i="22" s="1"/>
  <c r="AQ2479" i="22" l="1"/>
  <c r="AR2478" i="22"/>
  <c r="AP2478" i="22" s="1"/>
  <c r="AQ2480" i="22" l="1"/>
  <c r="AR2479" i="22"/>
  <c r="AP2479" i="22" s="1"/>
  <c r="AQ2481" i="22" l="1"/>
  <c r="AR2480" i="22"/>
  <c r="AP2480" i="22" s="1"/>
  <c r="AQ2482" i="22" l="1"/>
  <c r="AR2481" i="22"/>
  <c r="AP2481" i="22" s="1"/>
  <c r="AQ2483" i="22" l="1"/>
  <c r="AR2482" i="22"/>
  <c r="AP2482" i="22" s="1"/>
  <c r="AQ2484" i="22" l="1"/>
  <c r="AR2483" i="22"/>
  <c r="AP2483" i="22" s="1"/>
  <c r="AQ2485" i="22" l="1"/>
  <c r="AR2484" i="22"/>
  <c r="AP2484" i="22" s="1"/>
  <c r="AQ2486" i="22" l="1"/>
  <c r="AR2485" i="22"/>
  <c r="AP2485" i="22" s="1"/>
  <c r="AQ2487" i="22" l="1"/>
  <c r="AR2486" i="22"/>
  <c r="AP2486" i="22" s="1"/>
  <c r="AQ2488" i="22" l="1"/>
  <c r="AR2487" i="22"/>
  <c r="AP2487" i="22" s="1"/>
  <c r="AQ2489" i="22" l="1"/>
  <c r="AR2488" i="22"/>
  <c r="AP2488" i="22" s="1"/>
  <c r="AQ2490" i="22" l="1"/>
  <c r="AR2489" i="22"/>
  <c r="AP2489" i="22" s="1"/>
  <c r="AQ2491" i="22" l="1"/>
  <c r="AR2490" i="22"/>
  <c r="AP2490" i="22" s="1"/>
  <c r="AQ2492" i="22" l="1"/>
  <c r="AR2491" i="22"/>
  <c r="AP2491" i="22" s="1"/>
  <c r="AQ2493" i="22" l="1"/>
  <c r="AR2492" i="22"/>
  <c r="AP2492" i="22" s="1"/>
  <c r="AQ2494" i="22" l="1"/>
  <c r="AR2493" i="22"/>
  <c r="AP2493" i="22" s="1"/>
  <c r="AQ2495" i="22" l="1"/>
  <c r="AR2494" i="22"/>
  <c r="AP2494" i="22" s="1"/>
  <c r="AQ2496" i="22" l="1"/>
  <c r="AR2495" i="22"/>
  <c r="AP2495" i="22" s="1"/>
  <c r="AQ2497" i="22" l="1"/>
  <c r="AR2496" i="22"/>
  <c r="AP2496" i="22" s="1"/>
  <c r="AQ2498" i="22" l="1"/>
  <c r="AR2497" i="22"/>
  <c r="AP2497" i="22" s="1"/>
  <c r="AQ2499" i="22" l="1"/>
  <c r="AR2498" i="22"/>
  <c r="AP2498" i="22" s="1"/>
  <c r="AQ2500" i="22" l="1"/>
  <c r="AR2499" i="22"/>
  <c r="AP2499" i="22" s="1"/>
  <c r="AQ2501" i="22" l="1"/>
  <c r="AR2500" i="22"/>
  <c r="AP2500" i="22" s="1"/>
  <c r="AQ2502" i="22" l="1"/>
  <c r="AR2501" i="22"/>
  <c r="AP2501" i="22" s="1"/>
  <c r="AQ2503" i="22" l="1"/>
  <c r="AR2502" i="22"/>
  <c r="AP2502" i="22" s="1"/>
  <c r="AQ2504" i="22" l="1"/>
  <c r="AR2503" i="22"/>
  <c r="AP2503" i="22" s="1"/>
  <c r="AQ2505" i="22" l="1"/>
  <c r="AR2504" i="22"/>
  <c r="AP2504" i="22" s="1"/>
  <c r="AQ2506" i="22" l="1"/>
  <c r="AR2505" i="22"/>
  <c r="AP2505" i="22" s="1"/>
  <c r="AQ2507" i="22" l="1"/>
  <c r="AR2506" i="22"/>
  <c r="AP2506" i="22" s="1"/>
  <c r="AQ2508" i="22" l="1"/>
  <c r="AR2507" i="22"/>
  <c r="AP2507" i="22" s="1"/>
  <c r="AQ2509" i="22" l="1"/>
  <c r="AR2508" i="22"/>
  <c r="AP2508" i="22" s="1"/>
  <c r="AQ2510" i="22" l="1"/>
  <c r="AR2509" i="22"/>
  <c r="AP2509" i="22" s="1"/>
  <c r="AQ2511" i="22" l="1"/>
  <c r="AR2510" i="22"/>
  <c r="AP2510" i="22" s="1"/>
  <c r="AQ2512" i="22" l="1"/>
  <c r="AR2511" i="22"/>
  <c r="AP2511" i="22" s="1"/>
  <c r="AQ2513" i="22" l="1"/>
  <c r="AR2512" i="22"/>
  <c r="AP2512" i="22" s="1"/>
  <c r="AQ2514" i="22" l="1"/>
  <c r="AR2513" i="22"/>
  <c r="AP2513" i="22" s="1"/>
  <c r="AQ2515" i="22" l="1"/>
  <c r="AR2514" i="22"/>
  <c r="AP2514" i="22" s="1"/>
  <c r="AQ2516" i="22" l="1"/>
  <c r="AR2515" i="22"/>
  <c r="AP2515" i="22" s="1"/>
  <c r="AQ2517" i="22" l="1"/>
  <c r="AR2516" i="22"/>
  <c r="AP2516" i="22" s="1"/>
  <c r="AQ2518" i="22" l="1"/>
  <c r="AR2517" i="22"/>
  <c r="AP2517" i="22" s="1"/>
  <c r="AQ2519" i="22" l="1"/>
  <c r="AR2518" i="22"/>
  <c r="AP2518" i="22" s="1"/>
  <c r="AQ2520" i="22" l="1"/>
  <c r="AR2519" i="22"/>
  <c r="AP2519" i="22" s="1"/>
  <c r="AQ2521" i="22" l="1"/>
  <c r="AR2520" i="22"/>
  <c r="AP2520" i="22" s="1"/>
  <c r="AQ2522" i="22" l="1"/>
  <c r="AR2521" i="22"/>
  <c r="AP2521" i="22" s="1"/>
  <c r="AQ2523" i="22" l="1"/>
  <c r="AR2522" i="22"/>
  <c r="AP2522" i="22" s="1"/>
  <c r="AQ2524" i="22" l="1"/>
  <c r="AR2523" i="22"/>
  <c r="AP2523" i="22" s="1"/>
  <c r="AQ2525" i="22" l="1"/>
  <c r="AR2524" i="22"/>
  <c r="AP2524" i="22" s="1"/>
  <c r="AQ2526" i="22" l="1"/>
  <c r="AR2525" i="22"/>
  <c r="AP2525" i="22" s="1"/>
  <c r="AQ2527" i="22" l="1"/>
  <c r="AR2526" i="22"/>
  <c r="AP2526" i="22" s="1"/>
  <c r="AQ2528" i="22" l="1"/>
  <c r="AR2527" i="22"/>
  <c r="AP2527" i="22" s="1"/>
  <c r="AQ2529" i="22" l="1"/>
  <c r="AR2528" i="22"/>
  <c r="AP2528" i="22" s="1"/>
  <c r="AQ2530" i="22" l="1"/>
  <c r="AR2529" i="22"/>
  <c r="AP2529" i="22" s="1"/>
  <c r="AQ2531" i="22" l="1"/>
  <c r="AR2530" i="22"/>
  <c r="AP2530" i="22" s="1"/>
  <c r="AQ2532" i="22" l="1"/>
  <c r="AR2531" i="22"/>
  <c r="AP2531" i="22" s="1"/>
  <c r="AQ2533" i="22" l="1"/>
  <c r="AR2532" i="22"/>
  <c r="AP2532" i="22" s="1"/>
  <c r="AQ2534" i="22" l="1"/>
  <c r="AR2533" i="22"/>
  <c r="AP2533" i="22" s="1"/>
  <c r="AQ2535" i="22" l="1"/>
  <c r="AR2534" i="22"/>
  <c r="AP2534" i="22" s="1"/>
  <c r="AQ2536" i="22" l="1"/>
  <c r="AR2535" i="22"/>
  <c r="AP2535" i="22" s="1"/>
  <c r="AQ2537" i="22" l="1"/>
  <c r="AR2536" i="22"/>
  <c r="AP2536" i="22" s="1"/>
  <c r="AQ2538" i="22" l="1"/>
  <c r="AR2537" i="22"/>
  <c r="AP2537" i="22" s="1"/>
  <c r="AQ2539" i="22" l="1"/>
  <c r="AR2538" i="22"/>
  <c r="AP2538" i="22" s="1"/>
  <c r="AQ2540" i="22" l="1"/>
  <c r="AR2539" i="22"/>
  <c r="AP2539" i="22" s="1"/>
  <c r="AQ2541" i="22" l="1"/>
  <c r="AR2540" i="22"/>
  <c r="AP2540" i="22" s="1"/>
  <c r="AQ2542" i="22" l="1"/>
  <c r="AR2541" i="22"/>
  <c r="AP2541" i="22" s="1"/>
  <c r="AQ2543" i="22" l="1"/>
  <c r="AR2542" i="22"/>
  <c r="AP2542" i="22" s="1"/>
  <c r="AQ2544" i="22" l="1"/>
  <c r="AR2543" i="22"/>
  <c r="AP2543" i="22" s="1"/>
  <c r="AQ2545" i="22" l="1"/>
  <c r="AR2544" i="22"/>
  <c r="AP2544" i="22" s="1"/>
  <c r="AQ2546" i="22" l="1"/>
  <c r="AR2545" i="22"/>
  <c r="AP2545" i="22" s="1"/>
  <c r="AQ2547" i="22" l="1"/>
  <c r="AR2546" i="22"/>
  <c r="AP2546" i="22" s="1"/>
  <c r="AQ2548" i="22" l="1"/>
  <c r="AR2547" i="22"/>
  <c r="AP2547" i="22" s="1"/>
  <c r="AQ2549" i="22" l="1"/>
  <c r="AR2548" i="22"/>
  <c r="AP2548" i="22" s="1"/>
  <c r="AQ2550" i="22" l="1"/>
  <c r="AR2549" i="22"/>
  <c r="AP2549" i="22" s="1"/>
  <c r="AQ2551" i="22" l="1"/>
  <c r="AR2550" i="22"/>
  <c r="AP2550" i="22" s="1"/>
  <c r="AQ2552" i="22" l="1"/>
  <c r="AR2551" i="22"/>
  <c r="AP2551" i="22" s="1"/>
  <c r="AQ2553" i="22" l="1"/>
  <c r="AR2552" i="22"/>
  <c r="AP2552" i="22" s="1"/>
  <c r="AQ2554" i="22" l="1"/>
  <c r="AR2553" i="22"/>
  <c r="AP2553" i="22" s="1"/>
  <c r="AQ2555" i="22" l="1"/>
  <c r="AR2554" i="22"/>
  <c r="AP2554" i="22" s="1"/>
  <c r="AQ2556" i="22" l="1"/>
  <c r="AR2555" i="22"/>
  <c r="AP2555" i="22" s="1"/>
  <c r="AQ2557" i="22" l="1"/>
  <c r="AR2556" i="22"/>
  <c r="AP2556" i="22" s="1"/>
  <c r="AQ2558" i="22" l="1"/>
  <c r="AR2557" i="22"/>
  <c r="AP2557" i="22" s="1"/>
  <c r="AQ2559" i="22" l="1"/>
  <c r="AR2558" i="22"/>
  <c r="AP2558" i="22" s="1"/>
  <c r="AQ2560" i="22" l="1"/>
  <c r="AR2559" i="22"/>
  <c r="AP2559" i="22" s="1"/>
  <c r="AQ2561" i="22" l="1"/>
  <c r="AR2560" i="22"/>
  <c r="AP2560" i="22" s="1"/>
  <c r="AQ2562" i="22" l="1"/>
  <c r="AR2561" i="22"/>
  <c r="AP2561" i="22" s="1"/>
  <c r="AQ2563" i="22" l="1"/>
  <c r="AR2562" i="22"/>
  <c r="AP2562" i="22" s="1"/>
  <c r="AQ2564" i="22" l="1"/>
  <c r="AR2563" i="22"/>
  <c r="AP2563" i="22" s="1"/>
  <c r="AQ2565" i="22" l="1"/>
  <c r="AR2564" i="22"/>
  <c r="AP2564" i="22" s="1"/>
  <c r="AQ2566" i="22" l="1"/>
  <c r="AR2565" i="22"/>
  <c r="AP2565" i="22" s="1"/>
  <c r="AQ2567" i="22" l="1"/>
  <c r="AR2566" i="22"/>
  <c r="AP2566" i="22" s="1"/>
  <c r="AQ2568" i="22" l="1"/>
  <c r="AR2567" i="22"/>
  <c r="AP2567" i="22" s="1"/>
  <c r="AQ2569" i="22" l="1"/>
  <c r="AR2568" i="22"/>
  <c r="AP2568" i="22" s="1"/>
  <c r="AQ2570" i="22" l="1"/>
  <c r="AR2569" i="22"/>
  <c r="AP2569" i="22" s="1"/>
  <c r="AQ2571" i="22" l="1"/>
  <c r="AR2570" i="22"/>
  <c r="AP2570" i="22" s="1"/>
  <c r="AQ2572" i="22" l="1"/>
  <c r="AR2571" i="22"/>
  <c r="AP2571" i="22" s="1"/>
  <c r="AQ2573" i="22" l="1"/>
  <c r="AR2572" i="22"/>
  <c r="AP2572" i="22" s="1"/>
  <c r="AQ2574" i="22" l="1"/>
  <c r="AR2573" i="22"/>
  <c r="AP2573" i="22" s="1"/>
  <c r="AQ2575" i="22" l="1"/>
  <c r="AR2574" i="22"/>
  <c r="AP2574" i="22" s="1"/>
  <c r="AQ2576" i="22" l="1"/>
  <c r="AR2575" i="22"/>
  <c r="AP2575" i="22" s="1"/>
  <c r="AQ2577" i="22" l="1"/>
  <c r="AR2576" i="22"/>
  <c r="AP2576" i="22" s="1"/>
  <c r="AQ2578" i="22" l="1"/>
  <c r="AR2577" i="22"/>
  <c r="AP2577" i="22" s="1"/>
  <c r="AQ2579" i="22" l="1"/>
  <c r="AR2578" i="22"/>
  <c r="AP2578" i="22" s="1"/>
  <c r="AQ2580" i="22" l="1"/>
  <c r="AR2579" i="22"/>
  <c r="AP2579" i="22" s="1"/>
  <c r="AQ2581" i="22" l="1"/>
  <c r="AR2580" i="22"/>
  <c r="AP2580" i="22" s="1"/>
  <c r="AQ2582" i="22" l="1"/>
  <c r="AR2581" i="22"/>
  <c r="AP2581" i="22" s="1"/>
  <c r="AQ2583" i="22" l="1"/>
  <c r="AR2582" i="22"/>
  <c r="AP2582" i="22" s="1"/>
  <c r="AQ2584" i="22" l="1"/>
  <c r="AR2583" i="22"/>
  <c r="AP2583" i="22" s="1"/>
  <c r="AQ2585" i="22" l="1"/>
  <c r="AR2584" i="22"/>
  <c r="AP2584" i="22" s="1"/>
  <c r="AQ2586" i="22" l="1"/>
  <c r="AR2585" i="22"/>
  <c r="AP2585" i="22" s="1"/>
  <c r="AQ2587" i="22" l="1"/>
  <c r="AR2586" i="22"/>
  <c r="AP2586" i="22" s="1"/>
  <c r="AQ2588" i="22" l="1"/>
  <c r="AR2587" i="22"/>
  <c r="AP2587" i="22" s="1"/>
  <c r="AQ2589" i="22" l="1"/>
  <c r="AR2588" i="22"/>
  <c r="AP2588" i="22" s="1"/>
  <c r="AQ2590" i="22" l="1"/>
  <c r="AR2589" i="22"/>
  <c r="AP2589" i="22" s="1"/>
  <c r="AQ2591" i="22" l="1"/>
  <c r="AR2590" i="22"/>
  <c r="AP2590" i="22" s="1"/>
  <c r="AQ2592" i="22" l="1"/>
  <c r="AR2591" i="22"/>
  <c r="AP2591" i="22" s="1"/>
  <c r="AQ2593" i="22" l="1"/>
  <c r="AR2592" i="22"/>
  <c r="AP2592" i="22" s="1"/>
  <c r="AQ2594" i="22" l="1"/>
  <c r="AR2593" i="22"/>
  <c r="AP2593" i="22" s="1"/>
  <c r="AQ2595" i="22" l="1"/>
  <c r="AR2594" i="22"/>
  <c r="AP2594" i="22" s="1"/>
  <c r="AQ2596" i="22" l="1"/>
  <c r="AR2595" i="22"/>
  <c r="AP2595" i="22" s="1"/>
  <c r="AQ2597" i="22" l="1"/>
  <c r="AR2596" i="22"/>
  <c r="AP2596" i="22" s="1"/>
  <c r="AQ2598" i="22" l="1"/>
  <c r="AR2597" i="22"/>
  <c r="AP2597" i="22" s="1"/>
  <c r="AQ2599" i="22" l="1"/>
  <c r="AR2598" i="22"/>
  <c r="AP2598" i="22" s="1"/>
  <c r="AQ2600" i="22" l="1"/>
  <c r="AR2599" i="22"/>
  <c r="AP2599" i="22" s="1"/>
  <c r="AQ2601" i="22" l="1"/>
  <c r="AR2600" i="22"/>
  <c r="AP2600" i="22" s="1"/>
  <c r="AQ2602" i="22" l="1"/>
  <c r="AR2601" i="22"/>
  <c r="AP2601" i="22" s="1"/>
  <c r="AQ2603" i="22" l="1"/>
  <c r="AR2602" i="22"/>
  <c r="AP2602" i="22" s="1"/>
  <c r="AQ2604" i="22" l="1"/>
  <c r="AR2603" i="22"/>
  <c r="AP2603" i="22" s="1"/>
  <c r="AQ2605" i="22" l="1"/>
  <c r="AR2604" i="22"/>
  <c r="AP2604" i="22" s="1"/>
  <c r="AQ2606" i="22" l="1"/>
  <c r="AR2605" i="22"/>
  <c r="AP2605" i="22" s="1"/>
  <c r="AQ2607" i="22" l="1"/>
  <c r="AR2606" i="22"/>
  <c r="AP2606" i="22" s="1"/>
  <c r="AQ2608" i="22" l="1"/>
  <c r="AR2607" i="22"/>
  <c r="AP2607" i="22" s="1"/>
  <c r="AQ2609" i="22" l="1"/>
  <c r="AR2608" i="22"/>
  <c r="AP2608" i="22" s="1"/>
  <c r="AQ2610" i="22" l="1"/>
  <c r="AR2609" i="22"/>
  <c r="AP2609" i="22" s="1"/>
  <c r="AQ2611" i="22" l="1"/>
  <c r="AR2610" i="22"/>
  <c r="AP2610" i="22" s="1"/>
  <c r="AQ2612" i="22" l="1"/>
  <c r="AR2611" i="22"/>
  <c r="AP2611" i="22" s="1"/>
  <c r="AQ2613" i="22" l="1"/>
  <c r="AR2612" i="22"/>
  <c r="AP2612" i="22" s="1"/>
  <c r="AQ2614" i="22" l="1"/>
  <c r="AR2613" i="22"/>
  <c r="AP2613" i="22" s="1"/>
  <c r="AQ2615" i="22" l="1"/>
  <c r="AR2614" i="22"/>
  <c r="AP2614" i="22" s="1"/>
  <c r="AQ2616" i="22" l="1"/>
  <c r="AR2615" i="22"/>
  <c r="AP2615" i="22" s="1"/>
  <c r="AQ2617" i="22" l="1"/>
  <c r="AR2616" i="22"/>
  <c r="AP2616" i="22" s="1"/>
  <c r="AQ2618" i="22" l="1"/>
  <c r="AR2617" i="22"/>
  <c r="AP2617" i="22" s="1"/>
  <c r="AQ2619" i="22" l="1"/>
  <c r="AR2618" i="22"/>
  <c r="AP2618" i="22" s="1"/>
  <c r="AQ2620" i="22" l="1"/>
  <c r="AR2619" i="22"/>
  <c r="AP2619" i="22" s="1"/>
  <c r="AQ2621" i="22" l="1"/>
  <c r="AR2620" i="22"/>
  <c r="AP2620" i="22" s="1"/>
  <c r="AQ2622" i="22" l="1"/>
  <c r="AR2621" i="22"/>
  <c r="AP2621" i="22" s="1"/>
  <c r="AQ2623" i="22" l="1"/>
  <c r="AR2622" i="22"/>
  <c r="AP2622" i="22" s="1"/>
  <c r="AQ2624" i="22" l="1"/>
  <c r="AR2623" i="22"/>
  <c r="AP2623" i="22" s="1"/>
  <c r="AQ2625" i="22" l="1"/>
  <c r="AR2624" i="22"/>
  <c r="AP2624" i="22" s="1"/>
  <c r="AQ2626" i="22" l="1"/>
  <c r="AR2625" i="22"/>
  <c r="AP2625" i="22" s="1"/>
  <c r="AQ2627" i="22" l="1"/>
  <c r="AR2626" i="22"/>
  <c r="AP2626" i="22" s="1"/>
  <c r="AQ2628" i="22" l="1"/>
  <c r="AR2627" i="22"/>
  <c r="AP2627" i="22" s="1"/>
  <c r="AQ2629" i="22" l="1"/>
  <c r="AR2628" i="22"/>
  <c r="AP2628" i="22" s="1"/>
  <c r="AQ2630" i="22" l="1"/>
  <c r="AR2629" i="22"/>
  <c r="AP2629" i="22" s="1"/>
  <c r="AQ2631" i="22" l="1"/>
  <c r="AR2630" i="22"/>
  <c r="AP2630" i="22" s="1"/>
  <c r="AQ2632" i="22" l="1"/>
  <c r="AR2631" i="22"/>
  <c r="AP2631" i="22" s="1"/>
  <c r="AQ2633" i="22" l="1"/>
  <c r="AR2632" i="22"/>
  <c r="AP2632" i="22" s="1"/>
  <c r="AQ2634" i="22" l="1"/>
  <c r="AR2633" i="22"/>
  <c r="AP2633" i="22" s="1"/>
  <c r="AQ2635" i="22" l="1"/>
  <c r="AR2634" i="22"/>
  <c r="AP2634" i="22" s="1"/>
  <c r="AQ2636" i="22" l="1"/>
  <c r="AR2635" i="22"/>
  <c r="AP2635" i="22" s="1"/>
  <c r="AQ2637" i="22" l="1"/>
  <c r="AR2636" i="22"/>
  <c r="AP2636" i="22" s="1"/>
  <c r="AQ2638" i="22" l="1"/>
  <c r="AR2637" i="22"/>
  <c r="AP2637" i="22" s="1"/>
  <c r="AQ2639" i="22" l="1"/>
  <c r="AR2638" i="22"/>
  <c r="AP2638" i="22" s="1"/>
  <c r="AQ2640" i="22" l="1"/>
  <c r="AR2639" i="22"/>
  <c r="AP2639" i="22" s="1"/>
  <c r="AQ2641" i="22" l="1"/>
  <c r="AR2640" i="22"/>
  <c r="AP2640" i="22" s="1"/>
  <c r="AQ2642" i="22" l="1"/>
  <c r="AR2641" i="22"/>
  <c r="AP2641" i="22" s="1"/>
  <c r="AQ2643" i="22" l="1"/>
  <c r="AR2642" i="22"/>
  <c r="AP2642" i="22" s="1"/>
  <c r="AQ2644" i="22" l="1"/>
  <c r="AR2643" i="22"/>
  <c r="AP2643" i="22" s="1"/>
  <c r="AQ2645" i="22" l="1"/>
  <c r="AR2644" i="22"/>
  <c r="AP2644" i="22" s="1"/>
  <c r="AQ2646" i="22" l="1"/>
  <c r="AR2645" i="22"/>
  <c r="AP2645" i="22" s="1"/>
  <c r="AQ2647" i="22" l="1"/>
  <c r="AR2646" i="22"/>
  <c r="AP2646" i="22" s="1"/>
  <c r="AQ2648" i="22" l="1"/>
  <c r="AR2647" i="22"/>
  <c r="AP2647" i="22" s="1"/>
  <c r="AQ2649" i="22" l="1"/>
  <c r="AR2648" i="22"/>
  <c r="AP2648" i="22" s="1"/>
  <c r="AQ2650" i="22" l="1"/>
  <c r="AR2649" i="22"/>
  <c r="AP2649" i="22" s="1"/>
  <c r="AQ2651" i="22" l="1"/>
  <c r="AR2650" i="22"/>
  <c r="AP2650" i="22" s="1"/>
  <c r="AQ2652" i="22" l="1"/>
  <c r="AR2651" i="22"/>
  <c r="AP2651" i="22" s="1"/>
  <c r="AQ2653" i="22" l="1"/>
  <c r="AR2652" i="22"/>
  <c r="AP2652" i="22" s="1"/>
  <c r="AQ2654" i="22" l="1"/>
  <c r="AR2653" i="22"/>
  <c r="AP2653" i="22" s="1"/>
  <c r="AQ2655" i="22" l="1"/>
  <c r="AR2654" i="22"/>
  <c r="AP2654" i="22" s="1"/>
  <c r="AQ2656" i="22" l="1"/>
  <c r="AR2655" i="22"/>
  <c r="AP2655" i="22" s="1"/>
  <c r="AQ2657" i="22" l="1"/>
  <c r="AR2656" i="22"/>
  <c r="AP2656" i="22" s="1"/>
  <c r="AQ2658" i="22" l="1"/>
  <c r="AR2657" i="22"/>
  <c r="AP2657" i="22" s="1"/>
  <c r="AQ2659" i="22" l="1"/>
  <c r="AR2658" i="22"/>
  <c r="AP2658" i="22" s="1"/>
  <c r="AQ2660" i="22" l="1"/>
  <c r="AR2659" i="22"/>
  <c r="AP2659" i="22" s="1"/>
  <c r="AQ2661" i="22" l="1"/>
  <c r="AR2660" i="22"/>
  <c r="AP2660" i="22" s="1"/>
  <c r="AQ2662" i="22" l="1"/>
  <c r="AR2661" i="22"/>
  <c r="AP2661" i="22" s="1"/>
  <c r="AQ2663" i="22" l="1"/>
  <c r="AR2662" i="22"/>
  <c r="AP2662" i="22" s="1"/>
  <c r="AQ2664" i="22" l="1"/>
  <c r="AR2663" i="22"/>
  <c r="AP2663" i="22" s="1"/>
  <c r="AQ2665" i="22" l="1"/>
  <c r="AR2664" i="22"/>
  <c r="AP2664" i="22" s="1"/>
  <c r="AQ2666" i="22" l="1"/>
  <c r="AR2665" i="22"/>
  <c r="AP2665" i="22" s="1"/>
  <c r="AQ2667" i="22" l="1"/>
  <c r="AR2666" i="22"/>
  <c r="AP2666" i="22" s="1"/>
  <c r="AQ2668" i="22" l="1"/>
  <c r="AR2667" i="22"/>
  <c r="AP2667" i="22" s="1"/>
  <c r="AQ2669" i="22" l="1"/>
  <c r="AR2668" i="22"/>
  <c r="AP2668" i="22" s="1"/>
  <c r="AQ2670" i="22" l="1"/>
  <c r="AR2669" i="22"/>
  <c r="AP2669" i="22" s="1"/>
  <c r="AQ2671" i="22" l="1"/>
  <c r="AR2670" i="22"/>
  <c r="AP2670" i="22" s="1"/>
  <c r="AQ2672" i="22" l="1"/>
  <c r="AR2671" i="22"/>
  <c r="AP2671" i="22" s="1"/>
  <c r="AQ2673" i="22" l="1"/>
  <c r="AR2672" i="22"/>
  <c r="AP2672" i="22" s="1"/>
  <c r="AQ2674" i="22" l="1"/>
  <c r="AR2673" i="22"/>
  <c r="AP2673" i="22" s="1"/>
  <c r="AQ2675" i="22" l="1"/>
  <c r="AR2674" i="22"/>
  <c r="AP2674" i="22" s="1"/>
  <c r="AQ2676" i="22" l="1"/>
  <c r="AR2675" i="22"/>
  <c r="AP2675" i="22" s="1"/>
  <c r="AQ2677" i="22" l="1"/>
  <c r="AR2676" i="22"/>
  <c r="AP2676" i="22" s="1"/>
  <c r="AQ2678" i="22" l="1"/>
  <c r="AR2677" i="22"/>
  <c r="AP2677" i="22" s="1"/>
  <c r="AQ2679" i="22" l="1"/>
  <c r="AR2678" i="22"/>
  <c r="AP2678" i="22" s="1"/>
  <c r="AQ2680" i="22" l="1"/>
  <c r="AR2679" i="22"/>
  <c r="AP2679" i="22" s="1"/>
  <c r="AQ2681" i="22" l="1"/>
  <c r="AR2680" i="22"/>
  <c r="AP2680" i="22" s="1"/>
  <c r="AQ2682" i="22" l="1"/>
  <c r="AR2681" i="22"/>
  <c r="AP2681" i="22" s="1"/>
  <c r="AQ2683" i="22" l="1"/>
  <c r="AR2682" i="22"/>
  <c r="AP2682" i="22" s="1"/>
  <c r="AQ2684" i="22" l="1"/>
  <c r="AR2683" i="22"/>
  <c r="AP2683" i="22" s="1"/>
  <c r="AQ2685" i="22" l="1"/>
  <c r="AR2684" i="22"/>
  <c r="AP2684" i="22" s="1"/>
  <c r="AQ2686" i="22" l="1"/>
  <c r="AR2685" i="22"/>
  <c r="AP2685" i="22" s="1"/>
  <c r="AQ2687" i="22" l="1"/>
  <c r="AR2686" i="22"/>
  <c r="AP2686" i="22" s="1"/>
  <c r="AQ2688" i="22" l="1"/>
  <c r="AR2687" i="22"/>
  <c r="AP2687" i="22" s="1"/>
  <c r="AQ2689" i="22" l="1"/>
  <c r="AR2688" i="22"/>
  <c r="AP2688" i="22" s="1"/>
  <c r="AQ2690" i="22" l="1"/>
  <c r="AR2689" i="22"/>
  <c r="AP2689" i="22" s="1"/>
  <c r="AQ2691" i="22" l="1"/>
  <c r="AR2690" i="22"/>
  <c r="AP2690" i="22" s="1"/>
  <c r="AQ2692" i="22" l="1"/>
  <c r="AR2691" i="22"/>
  <c r="AP2691" i="22" s="1"/>
  <c r="AQ2693" i="22" l="1"/>
  <c r="AR2692" i="22"/>
  <c r="AP2692" i="22" s="1"/>
  <c r="AQ2694" i="22" l="1"/>
  <c r="AR2693" i="22"/>
  <c r="AP2693" i="22" s="1"/>
  <c r="AQ2695" i="22" l="1"/>
  <c r="AR2694" i="22"/>
  <c r="AP2694" i="22" s="1"/>
  <c r="AQ2696" i="22" l="1"/>
  <c r="AR2695" i="22"/>
  <c r="AP2695" i="22" s="1"/>
  <c r="AQ2697" i="22" l="1"/>
  <c r="AR2696" i="22"/>
  <c r="AP2696" i="22" s="1"/>
  <c r="AQ2698" i="22" l="1"/>
  <c r="AR2697" i="22"/>
  <c r="AP2697" i="22" s="1"/>
  <c r="AQ2699" i="22" l="1"/>
  <c r="AR2698" i="22"/>
  <c r="AP2698" i="22" s="1"/>
  <c r="AQ2700" i="22" l="1"/>
  <c r="AR2699" i="22"/>
  <c r="AP2699" i="22" s="1"/>
  <c r="AQ2701" i="22" l="1"/>
  <c r="AR2700" i="22"/>
  <c r="AP2700" i="22" s="1"/>
  <c r="AQ2702" i="22" l="1"/>
  <c r="AR2701" i="22"/>
  <c r="AP2701" i="22" s="1"/>
  <c r="AQ2703" i="22" l="1"/>
  <c r="AR2702" i="22"/>
  <c r="AP2702" i="22" s="1"/>
  <c r="AQ2704" i="22" l="1"/>
  <c r="AR2703" i="22"/>
  <c r="AP2703" i="22" s="1"/>
  <c r="AQ2705" i="22" l="1"/>
  <c r="AR2704" i="22"/>
  <c r="AP2704" i="22" s="1"/>
  <c r="AQ2706" i="22" l="1"/>
  <c r="AR2705" i="22"/>
  <c r="AP2705" i="22" s="1"/>
  <c r="AQ2707" i="22" l="1"/>
  <c r="AR2706" i="22"/>
  <c r="AP2706" i="22" s="1"/>
  <c r="AQ2708" i="22" l="1"/>
  <c r="AR2707" i="22"/>
  <c r="AP2707" i="22" s="1"/>
  <c r="AQ2709" i="22" l="1"/>
  <c r="AR2708" i="22"/>
  <c r="AP2708" i="22" s="1"/>
  <c r="AQ2710" i="22" l="1"/>
  <c r="AR2709" i="22"/>
  <c r="AP2709" i="22" s="1"/>
  <c r="AQ2711" i="22" l="1"/>
  <c r="AR2710" i="22"/>
  <c r="AP2710" i="22" s="1"/>
  <c r="AQ2712" i="22" l="1"/>
  <c r="AR2711" i="22"/>
  <c r="AP2711" i="22" s="1"/>
  <c r="AQ2713" i="22" l="1"/>
  <c r="AR2712" i="22"/>
  <c r="AP2712" i="22" s="1"/>
  <c r="AQ2714" i="22" l="1"/>
  <c r="AR2713" i="22"/>
  <c r="AP2713" i="22" s="1"/>
  <c r="AQ2715" i="22" l="1"/>
  <c r="AR2714" i="22"/>
  <c r="AP2714" i="22" s="1"/>
  <c r="AQ2716" i="22" l="1"/>
  <c r="AR2715" i="22"/>
  <c r="AP2715" i="22" s="1"/>
  <c r="AQ2717" i="22" l="1"/>
  <c r="AR2716" i="22"/>
  <c r="AP2716" i="22" s="1"/>
  <c r="AQ2718" i="22" l="1"/>
  <c r="AR2717" i="22"/>
  <c r="AP2717" i="22" s="1"/>
  <c r="AQ2719" i="22" l="1"/>
  <c r="AR2718" i="22"/>
  <c r="AP2718" i="22" s="1"/>
  <c r="AQ2720" i="22" l="1"/>
  <c r="AR2719" i="22"/>
  <c r="AP2719" i="22" s="1"/>
  <c r="AQ2721" i="22" l="1"/>
  <c r="AR2720" i="22"/>
  <c r="AP2720" i="22" s="1"/>
  <c r="AQ2722" i="22" l="1"/>
  <c r="AR2721" i="22"/>
  <c r="AP2721" i="22" s="1"/>
  <c r="AQ2723" i="22" l="1"/>
  <c r="AR2722" i="22"/>
  <c r="AP2722" i="22" s="1"/>
  <c r="AQ2724" i="22" l="1"/>
  <c r="AR2723" i="22"/>
  <c r="AP2723" i="22" s="1"/>
  <c r="AQ2725" i="22" l="1"/>
  <c r="AR2724" i="22"/>
  <c r="AP2724" i="22" s="1"/>
  <c r="AQ2726" i="22" l="1"/>
  <c r="AR2725" i="22"/>
  <c r="AP2725" i="22" s="1"/>
  <c r="AQ2727" i="22" l="1"/>
  <c r="AR2726" i="22"/>
  <c r="AP2726" i="22" s="1"/>
  <c r="AQ2728" i="22" l="1"/>
  <c r="AR2727" i="22"/>
  <c r="AP2727" i="22" s="1"/>
  <c r="AQ2729" i="22" l="1"/>
  <c r="AR2728" i="22"/>
  <c r="AP2728" i="22" s="1"/>
  <c r="AQ2730" i="22" l="1"/>
  <c r="AR2729" i="22"/>
  <c r="AP2729" i="22" s="1"/>
  <c r="AQ2731" i="22" l="1"/>
  <c r="AR2730" i="22"/>
  <c r="AP2730" i="22" s="1"/>
  <c r="AQ2732" i="22" l="1"/>
  <c r="AR2731" i="22"/>
  <c r="AP2731" i="22" s="1"/>
  <c r="AQ2733" i="22" l="1"/>
  <c r="AR2732" i="22"/>
  <c r="AP2732" i="22" s="1"/>
  <c r="AQ2734" i="22" l="1"/>
  <c r="AR2733" i="22"/>
  <c r="AP2733" i="22" s="1"/>
  <c r="AQ2735" i="22" l="1"/>
  <c r="AR2734" i="22"/>
  <c r="AP2734" i="22" s="1"/>
  <c r="AQ2736" i="22" l="1"/>
  <c r="AR2735" i="22"/>
  <c r="AP2735" i="22" s="1"/>
  <c r="AQ2737" i="22" l="1"/>
  <c r="AR2736" i="22"/>
  <c r="AP2736" i="22" s="1"/>
  <c r="AQ2738" i="22" l="1"/>
  <c r="AR2737" i="22"/>
  <c r="AP2737" i="22" s="1"/>
  <c r="AQ2739" i="22" l="1"/>
  <c r="AR2738" i="22"/>
  <c r="AP2738" i="22" s="1"/>
  <c r="AQ2740" i="22" l="1"/>
  <c r="AR2739" i="22"/>
  <c r="AP2739" i="22" s="1"/>
  <c r="AQ2741" i="22" l="1"/>
  <c r="AR2740" i="22"/>
  <c r="AP2740" i="22" s="1"/>
  <c r="AQ2742" i="22" l="1"/>
  <c r="AR2741" i="22"/>
  <c r="AP2741" i="22" s="1"/>
  <c r="AQ2743" i="22" l="1"/>
  <c r="AR2742" i="22"/>
  <c r="AP2742" i="22" s="1"/>
  <c r="AQ2744" i="22" l="1"/>
  <c r="AR2743" i="22"/>
  <c r="AP2743" i="22" s="1"/>
  <c r="AQ2745" i="22" l="1"/>
  <c r="AR2744" i="22"/>
  <c r="AP2744" i="22" s="1"/>
  <c r="AQ2746" i="22" l="1"/>
  <c r="AR2745" i="22"/>
  <c r="AP2745" i="22" s="1"/>
  <c r="AQ2747" i="22" l="1"/>
  <c r="AR2746" i="22"/>
  <c r="AP2746" i="22" s="1"/>
  <c r="AQ2748" i="22" l="1"/>
  <c r="AR2747" i="22"/>
  <c r="AP2747" i="22" s="1"/>
  <c r="AQ2749" i="22" l="1"/>
  <c r="AR2748" i="22"/>
  <c r="AP2748" i="22" s="1"/>
  <c r="AQ2750" i="22" l="1"/>
  <c r="AR2749" i="22"/>
  <c r="AP2749" i="22" s="1"/>
  <c r="AQ2751" i="22" l="1"/>
  <c r="AR2750" i="22"/>
  <c r="AP2750" i="22" s="1"/>
  <c r="AQ2752" i="22" l="1"/>
  <c r="AR2751" i="22"/>
  <c r="AP2751" i="22" s="1"/>
  <c r="AQ2753" i="22" l="1"/>
  <c r="AR2752" i="22"/>
  <c r="AP2752" i="22" s="1"/>
  <c r="AQ2754" i="22" l="1"/>
  <c r="AR2753" i="22"/>
  <c r="AP2753" i="22" s="1"/>
  <c r="AQ2755" i="22" l="1"/>
  <c r="AR2754" i="22"/>
  <c r="AP2754" i="22" s="1"/>
  <c r="AQ2756" i="22" l="1"/>
  <c r="AR2755" i="22"/>
  <c r="AP2755" i="22" s="1"/>
  <c r="AQ2757" i="22" l="1"/>
  <c r="AR2756" i="22"/>
  <c r="AP2756" i="22" s="1"/>
  <c r="AQ2758" i="22" l="1"/>
  <c r="AR2757" i="22"/>
  <c r="AP2757" i="22" s="1"/>
  <c r="AQ2759" i="22" l="1"/>
  <c r="AR2758" i="22"/>
  <c r="AP2758" i="22" s="1"/>
  <c r="AQ2760" i="22" l="1"/>
  <c r="AR2759" i="22"/>
  <c r="AP2759" i="22" s="1"/>
  <c r="AQ2761" i="22" l="1"/>
  <c r="AR2760" i="22"/>
  <c r="AP2760" i="22" s="1"/>
  <c r="AQ2762" i="22" l="1"/>
  <c r="AR2761" i="22"/>
  <c r="AP2761" i="22" s="1"/>
  <c r="AQ2763" i="22" l="1"/>
  <c r="AR2762" i="22"/>
  <c r="AP2762" i="22" s="1"/>
  <c r="AQ2764" i="22" l="1"/>
  <c r="AR2763" i="22"/>
  <c r="AP2763" i="22" s="1"/>
  <c r="AQ2765" i="22" l="1"/>
  <c r="AR2764" i="22"/>
  <c r="AP2764" i="22" s="1"/>
  <c r="AQ2766" i="22" l="1"/>
  <c r="AR2765" i="22"/>
  <c r="AP2765" i="22" s="1"/>
  <c r="AQ2767" i="22" l="1"/>
  <c r="AR2766" i="22"/>
  <c r="AP2766" i="22" s="1"/>
  <c r="AQ2768" i="22" l="1"/>
  <c r="AR2767" i="22"/>
  <c r="AP2767" i="22" s="1"/>
  <c r="AQ2769" i="22" l="1"/>
  <c r="AR2768" i="22"/>
  <c r="AP2768" i="22" s="1"/>
  <c r="AQ2770" i="22" l="1"/>
  <c r="AR2769" i="22"/>
  <c r="AP2769" i="22" s="1"/>
  <c r="AQ2771" i="22" l="1"/>
  <c r="AR2770" i="22"/>
  <c r="AP2770" i="22" s="1"/>
  <c r="AQ2772" i="22" l="1"/>
  <c r="AR2771" i="22"/>
  <c r="AP2771" i="22" s="1"/>
  <c r="AQ2773" i="22" l="1"/>
  <c r="AR2772" i="22"/>
  <c r="AP2772" i="22" s="1"/>
  <c r="AQ2774" i="22" l="1"/>
  <c r="AR2773" i="22"/>
  <c r="AP2773" i="22" s="1"/>
  <c r="AQ2775" i="22" l="1"/>
  <c r="AR2774" i="22"/>
  <c r="AP2774" i="22" s="1"/>
  <c r="AQ2776" i="22" l="1"/>
  <c r="AR2775" i="22"/>
  <c r="AP2775" i="22" s="1"/>
  <c r="AQ2777" i="22" l="1"/>
  <c r="AR2776" i="22"/>
  <c r="AP2776" i="22" s="1"/>
  <c r="AQ2778" i="22" l="1"/>
  <c r="AR2777" i="22"/>
  <c r="AP2777" i="22" s="1"/>
  <c r="AQ2779" i="22" l="1"/>
  <c r="AR2778" i="22"/>
  <c r="AP2778" i="22" s="1"/>
  <c r="AQ2780" i="22" l="1"/>
  <c r="AR2779" i="22"/>
  <c r="AP2779" i="22" s="1"/>
  <c r="AQ2781" i="22" l="1"/>
  <c r="AR2780" i="22"/>
  <c r="AP2780" i="22" s="1"/>
  <c r="AQ2782" i="22" l="1"/>
  <c r="AR2781" i="22"/>
  <c r="AP2781" i="22" s="1"/>
  <c r="AQ2783" i="22" l="1"/>
  <c r="AR2782" i="22"/>
  <c r="AP2782" i="22" s="1"/>
  <c r="AQ2784" i="22" l="1"/>
  <c r="AR2783" i="22"/>
  <c r="AP2783" i="22" s="1"/>
  <c r="AQ2785" i="22" l="1"/>
  <c r="AR2784" i="22"/>
  <c r="AP2784" i="22" s="1"/>
  <c r="AQ2786" i="22" l="1"/>
  <c r="AR2785" i="22"/>
  <c r="AP2785" i="22" s="1"/>
  <c r="AQ2787" i="22" l="1"/>
  <c r="AR2786" i="22"/>
  <c r="AP2786" i="22" s="1"/>
  <c r="AQ2788" i="22" l="1"/>
  <c r="AR2787" i="22"/>
  <c r="AP2787" i="22" s="1"/>
  <c r="AQ2789" i="22" l="1"/>
  <c r="AR2788" i="22"/>
  <c r="AP2788" i="22" s="1"/>
  <c r="AQ2790" i="22" l="1"/>
  <c r="AR2789" i="22"/>
  <c r="AP2789" i="22" s="1"/>
  <c r="AQ2791" i="22" l="1"/>
  <c r="AR2790" i="22"/>
  <c r="AP2790" i="22" s="1"/>
  <c r="AQ2792" i="22" l="1"/>
  <c r="AR2791" i="22"/>
  <c r="AP2791" i="22" s="1"/>
  <c r="AQ2793" i="22" l="1"/>
  <c r="AR2792" i="22"/>
  <c r="AP2792" i="22" s="1"/>
  <c r="AQ2794" i="22" l="1"/>
  <c r="AR2793" i="22"/>
  <c r="AP2793" i="22" s="1"/>
  <c r="AQ2795" i="22" l="1"/>
  <c r="AR2794" i="22"/>
  <c r="AP2794" i="22" s="1"/>
  <c r="AQ2796" i="22" l="1"/>
  <c r="AR2795" i="22"/>
  <c r="AP2795" i="22" s="1"/>
  <c r="AQ2797" i="22" l="1"/>
  <c r="AR2796" i="22"/>
  <c r="AP2796" i="22" s="1"/>
  <c r="AQ2798" i="22" l="1"/>
  <c r="AR2797" i="22"/>
  <c r="AP2797" i="22" s="1"/>
  <c r="AQ2799" i="22" l="1"/>
  <c r="AR2798" i="22"/>
  <c r="AP2798" i="22" s="1"/>
  <c r="AQ2800" i="22" l="1"/>
  <c r="AR2799" i="22"/>
  <c r="AP2799" i="22" s="1"/>
  <c r="AQ2801" i="22" l="1"/>
  <c r="AR2800" i="22"/>
  <c r="AP2800" i="22" s="1"/>
  <c r="AQ2802" i="22" l="1"/>
  <c r="AR2801" i="22"/>
  <c r="AP2801" i="22" s="1"/>
  <c r="AQ2803" i="22" l="1"/>
  <c r="AR2802" i="22"/>
  <c r="AP2802" i="22" s="1"/>
  <c r="AQ2804" i="22" l="1"/>
  <c r="AR2803" i="22"/>
  <c r="AP2803" i="22" s="1"/>
  <c r="AQ2805" i="22" l="1"/>
  <c r="AR2804" i="22"/>
  <c r="AP2804" i="22" s="1"/>
  <c r="AQ2806" i="22" l="1"/>
  <c r="AR2805" i="22"/>
  <c r="AP2805" i="22" s="1"/>
  <c r="AQ2807" i="22" l="1"/>
  <c r="AR2806" i="22"/>
  <c r="AP2806" i="22" s="1"/>
  <c r="AQ2808" i="22" l="1"/>
  <c r="AR2807" i="22"/>
  <c r="AP2807" i="22" s="1"/>
  <c r="AQ2809" i="22" l="1"/>
  <c r="AR2808" i="22"/>
  <c r="AP2808" i="22" s="1"/>
  <c r="AQ2810" i="22" l="1"/>
  <c r="AR2809" i="22"/>
  <c r="AP2809" i="22" s="1"/>
  <c r="AQ2811" i="22" l="1"/>
  <c r="AR2810" i="22"/>
  <c r="AP2810" i="22" s="1"/>
  <c r="AQ2812" i="22" l="1"/>
  <c r="AR2811" i="22"/>
  <c r="AP2811" i="22" s="1"/>
  <c r="AQ2813" i="22" l="1"/>
  <c r="AR2812" i="22"/>
  <c r="AP2812" i="22" s="1"/>
  <c r="AQ2814" i="22" l="1"/>
  <c r="AR2813" i="22"/>
  <c r="AP2813" i="22" s="1"/>
  <c r="AQ2815" i="22" l="1"/>
  <c r="AR2814" i="22"/>
  <c r="AP2814" i="22" s="1"/>
  <c r="AQ2816" i="22" l="1"/>
  <c r="AR2815" i="22"/>
  <c r="AP2815" i="22" s="1"/>
  <c r="AQ2817" i="22" l="1"/>
  <c r="AR2816" i="22"/>
  <c r="AP2816" i="22" s="1"/>
  <c r="AQ2818" i="22" l="1"/>
  <c r="AR2817" i="22"/>
  <c r="AP2817" i="22" s="1"/>
  <c r="AQ2819" i="22" l="1"/>
  <c r="AR2818" i="22"/>
  <c r="AP2818" i="22" s="1"/>
  <c r="AQ2820" i="22" l="1"/>
  <c r="AR2819" i="22"/>
  <c r="AP2819" i="22" s="1"/>
  <c r="AQ2821" i="22" l="1"/>
  <c r="AR2820" i="22"/>
  <c r="AP2820" i="22" s="1"/>
  <c r="AQ2822" i="22" l="1"/>
  <c r="AR2821" i="22"/>
  <c r="AP2821" i="22" s="1"/>
  <c r="AQ2823" i="22" l="1"/>
  <c r="AR2822" i="22"/>
  <c r="AP2822" i="22" s="1"/>
  <c r="AQ2824" i="22" l="1"/>
  <c r="AR2823" i="22"/>
  <c r="AP2823" i="22" s="1"/>
  <c r="AQ2825" i="22" l="1"/>
  <c r="AR2824" i="22"/>
  <c r="AP2824" i="22" s="1"/>
  <c r="AQ2826" i="22" l="1"/>
  <c r="AR2825" i="22"/>
  <c r="AP2825" i="22" s="1"/>
  <c r="AQ2827" i="22" l="1"/>
  <c r="AR2826" i="22"/>
  <c r="AP2826" i="22" s="1"/>
  <c r="AQ2828" i="22" l="1"/>
  <c r="AR2827" i="22"/>
  <c r="AP2827" i="22" s="1"/>
  <c r="AQ2829" i="22" l="1"/>
  <c r="AR2828" i="22"/>
  <c r="AP2828" i="22" s="1"/>
  <c r="AQ2830" i="22" l="1"/>
  <c r="AR2829" i="22"/>
  <c r="AP2829" i="22" s="1"/>
  <c r="AQ2831" i="22" l="1"/>
  <c r="AR2830" i="22"/>
  <c r="AP2830" i="22" s="1"/>
  <c r="AQ2832" i="22" l="1"/>
  <c r="AR2831" i="22"/>
  <c r="AP2831" i="22" s="1"/>
  <c r="AQ2833" i="22" l="1"/>
  <c r="AR2832" i="22"/>
  <c r="AP2832" i="22" s="1"/>
  <c r="AQ2834" i="22" l="1"/>
  <c r="AR2833" i="22"/>
  <c r="AP2833" i="22" s="1"/>
  <c r="AQ2835" i="22" l="1"/>
  <c r="AR2834" i="22"/>
  <c r="AP2834" i="22" s="1"/>
  <c r="AQ2836" i="22" l="1"/>
  <c r="AR2835" i="22"/>
  <c r="AP2835" i="22" s="1"/>
  <c r="AQ2837" i="22" l="1"/>
  <c r="AR2836" i="22"/>
  <c r="AP2836" i="22" s="1"/>
  <c r="AQ2838" i="22" l="1"/>
  <c r="AR2837" i="22"/>
  <c r="AP2837" i="22" s="1"/>
  <c r="AQ2839" i="22" l="1"/>
  <c r="AR2838" i="22"/>
  <c r="AP2838" i="22" s="1"/>
  <c r="AQ2840" i="22" l="1"/>
  <c r="AR2839" i="22"/>
  <c r="AP2839" i="22" s="1"/>
  <c r="AQ2841" i="22" l="1"/>
  <c r="AR2840" i="22"/>
  <c r="AP2840" i="22" s="1"/>
  <c r="AQ2842" i="22" l="1"/>
  <c r="AR2841" i="22"/>
  <c r="AP2841" i="22" s="1"/>
  <c r="AQ2843" i="22" l="1"/>
  <c r="AR2842" i="22"/>
  <c r="AP2842" i="22" s="1"/>
  <c r="AQ2844" i="22" l="1"/>
  <c r="AR2843" i="22"/>
  <c r="AP2843" i="22" s="1"/>
  <c r="AQ2845" i="22" l="1"/>
  <c r="AR2844" i="22"/>
  <c r="AP2844" i="22" s="1"/>
  <c r="AQ2846" i="22" l="1"/>
  <c r="AR2845" i="22"/>
  <c r="AP2845" i="22" s="1"/>
  <c r="AQ2847" i="22" l="1"/>
  <c r="AR2846" i="22"/>
  <c r="AP2846" i="22" s="1"/>
  <c r="AQ2848" i="22" l="1"/>
  <c r="AR2847" i="22"/>
  <c r="AP2847" i="22" s="1"/>
  <c r="AQ2849" i="22" l="1"/>
  <c r="AR2848" i="22"/>
  <c r="AP2848" i="22" s="1"/>
  <c r="AQ2850" i="22" l="1"/>
  <c r="AR2849" i="22"/>
  <c r="AP2849" i="22" s="1"/>
  <c r="AQ2851" i="22" l="1"/>
  <c r="AR2850" i="22"/>
  <c r="AP2850" i="22" s="1"/>
  <c r="AQ2852" i="22" l="1"/>
  <c r="AR2851" i="22"/>
  <c r="AP2851" i="22" s="1"/>
  <c r="AQ2853" i="22" l="1"/>
  <c r="AR2852" i="22"/>
  <c r="AP2852" i="22" s="1"/>
  <c r="AQ2854" i="22" l="1"/>
  <c r="AR2853" i="22"/>
  <c r="AP2853" i="22" s="1"/>
  <c r="AQ2855" i="22" l="1"/>
  <c r="AR2854" i="22"/>
  <c r="AP2854" i="22" s="1"/>
  <c r="AQ2856" i="22" l="1"/>
  <c r="AR2855" i="22"/>
  <c r="AP2855" i="22" s="1"/>
  <c r="AQ2857" i="22" l="1"/>
  <c r="AR2856" i="22"/>
  <c r="AP2856" i="22" s="1"/>
  <c r="AQ2858" i="22" l="1"/>
  <c r="AR2857" i="22"/>
  <c r="AP2857" i="22" s="1"/>
  <c r="AQ2859" i="22" l="1"/>
  <c r="AR2858" i="22"/>
  <c r="AP2858" i="22" s="1"/>
  <c r="AQ2860" i="22" l="1"/>
  <c r="AR2859" i="22"/>
  <c r="AP2859" i="22" s="1"/>
  <c r="AQ2861" i="22" l="1"/>
  <c r="AR2860" i="22"/>
  <c r="AP2860" i="22" s="1"/>
  <c r="AQ2862" i="22" l="1"/>
  <c r="AR2861" i="22"/>
  <c r="AP2861" i="22" s="1"/>
  <c r="AQ2863" i="22" l="1"/>
  <c r="AR2862" i="22"/>
  <c r="AP2862" i="22" s="1"/>
  <c r="AQ2864" i="22" l="1"/>
  <c r="AR2863" i="22"/>
  <c r="AP2863" i="22" s="1"/>
  <c r="AQ2865" i="22" l="1"/>
  <c r="AR2864" i="22"/>
  <c r="AP2864" i="22" s="1"/>
  <c r="AQ2866" i="22" l="1"/>
  <c r="AR2865" i="22"/>
  <c r="AP2865" i="22" s="1"/>
  <c r="AQ2867" i="22" l="1"/>
  <c r="AR2866" i="22"/>
  <c r="AP2866" i="22" s="1"/>
  <c r="AQ2868" i="22" l="1"/>
  <c r="AR2867" i="22"/>
  <c r="AP2867" i="22" s="1"/>
  <c r="AQ2869" i="22" l="1"/>
  <c r="AR2868" i="22"/>
  <c r="AP2868" i="22" s="1"/>
  <c r="AQ2870" i="22" l="1"/>
  <c r="AR2869" i="22"/>
  <c r="AP2869" i="22" s="1"/>
  <c r="AQ2871" i="22" l="1"/>
  <c r="AR2870" i="22"/>
  <c r="AP2870" i="22" s="1"/>
  <c r="AQ2872" i="22" l="1"/>
  <c r="AR2871" i="22"/>
  <c r="AP2871" i="22" s="1"/>
  <c r="AQ2873" i="22" l="1"/>
  <c r="AR2872" i="22"/>
  <c r="AP2872" i="22" s="1"/>
  <c r="AQ2874" i="22" l="1"/>
  <c r="AR2873" i="22"/>
  <c r="AP2873" i="22" s="1"/>
  <c r="AQ2875" i="22" l="1"/>
  <c r="AR2874" i="22"/>
  <c r="AP2874" i="22" s="1"/>
  <c r="AQ2876" i="22" l="1"/>
  <c r="AR2875" i="22"/>
  <c r="AP2875" i="22" s="1"/>
  <c r="AQ2877" i="22" l="1"/>
  <c r="AR2876" i="22"/>
  <c r="AP2876" i="22" s="1"/>
  <c r="AQ2878" i="22" l="1"/>
  <c r="AR2877" i="22"/>
  <c r="AP2877" i="22" s="1"/>
  <c r="AQ2879" i="22" l="1"/>
  <c r="AR2878" i="22"/>
  <c r="AP2878" i="22" s="1"/>
  <c r="AQ2880" i="22" l="1"/>
  <c r="AR2879" i="22"/>
  <c r="AP2879" i="22" s="1"/>
  <c r="AQ2881" i="22" l="1"/>
  <c r="AR2880" i="22"/>
  <c r="AP2880" i="22" s="1"/>
  <c r="AQ2882" i="22" l="1"/>
  <c r="AR2881" i="22"/>
  <c r="AP2881" i="22" s="1"/>
  <c r="AQ2883" i="22" l="1"/>
  <c r="AR2882" i="22"/>
  <c r="AP2882" i="22" s="1"/>
  <c r="AQ2884" i="22" l="1"/>
  <c r="AR2883" i="22"/>
  <c r="AP2883" i="22" s="1"/>
  <c r="AQ2885" i="22" l="1"/>
  <c r="AR2884" i="22"/>
  <c r="AP2884" i="22" s="1"/>
  <c r="AQ2886" i="22" l="1"/>
  <c r="AR2885" i="22"/>
  <c r="AP2885" i="22" s="1"/>
  <c r="AQ2887" i="22" l="1"/>
  <c r="AR2886" i="22"/>
  <c r="AP2886" i="22" s="1"/>
  <c r="AQ2888" i="22" l="1"/>
  <c r="AR2887" i="22"/>
  <c r="AP2887" i="22" s="1"/>
  <c r="AQ2889" i="22" l="1"/>
  <c r="AR2888" i="22"/>
  <c r="AP2888" i="22" s="1"/>
  <c r="AQ2890" i="22" l="1"/>
  <c r="AR2889" i="22"/>
  <c r="AP2889" i="22" s="1"/>
  <c r="AQ2891" i="22" l="1"/>
  <c r="AR2890" i="22"/>
  <c r="AP2890" i="22" s="1"/>
  <c r="AQ2892" i="22" l="1"/>
  <c r="AR2891" i="22"/>
  <c r="AP2891" i="22" s="1"/>
  <c r="AQ2893" i="22" l="1"/>
  <c r="AR2892" i="22"/>
  <c r="AP2892" i="22" s="1"/>
  <c r="AQ2894" i="22" l="1"/>
  <c r="AR2893" i="22"/>
  <c r="AP2893" i="22" s="1"/>
  <c r="AQ2895" i="22" l="1"/>
  <c r="AR2894" i="22"/>
  <c r="AP2894" i="22" s="1"/>
  <c r="AQ2896" i="22" l="1"/>
  <c r="AR2895" i="22"/>
  <c r="AP2895" i="22" s="1"/>
  <c r="AQ2897" i="22" l="1"/>
  <c r="AR2896" i="22"/>
  <c r="AP2896" i="22" s="1"/>
  <c r="AQ2898" i="22" l="1"/>
  <c r="AR2897" i="22"/>
  <c r="AP2897" i="22" s="1"/>
  <c r="AQ2899" i="22" l="1"/>
  <c r="AR2898" i="22"/>
  <c r="AP2898" i="22" s="1"/>
  <c r="AQ2900" i="22" l="1"/>
  <c r="AR2899" i="22"/>
  <c r="AP2899" i="22" s="1"/>
  <c r="AQ2901" i="22" l="1"/>
  <c r="AR2900" i="22"/>
  <c r="AP2900" i="22" s="1"/>
  <c r="AQ2902" i="22" l="1"/>
  <c r="AR2901" i="22"/>
  <c r="AP2901" i="22" s="1"/>
  <c r="AQ2903" i="22" l="1"/>
  <c r="AR2902" i="22"/>
  <c r="AP2902" i="22" s="1"/>
  <c r="AQ2904" i="22" l="1"/>
  <c r="AR2903" i="22"/>
  <c r="AP2903" i="22" s="1"/>
  <c r="AQ2905" i="22" l="1"/>
  <c r="AR2904" i="22"/>
  <c r="AP2904" i="22" s="1"/>
  <c r="AQ2906" i="22" l="1"/>
  <c r="AR2905" i="22"/>
  <c r="AP2905" i="22" s="1"/>
  <c r="AQ2907" i="22" l="1"/>
  <c r="AR2906" i="22"/>
  <c r="AP2906" i="22" s="1"/>
  <c r="AQ2908" i="22" l="1"/>
  <c r="AR2907" i="22"/>
  <c r="AP2907" i="22" s="1"/>
  <c r="AQ2909" i="22" l="1"/>
  <c r="AR2908" i="22"/>
  <c r="AP2908" i="22" s="1"/>
  <c r="AQ2910" i="22" l="1"/>
  <c r="AR2909" i="22"/>
  <c r="AP2909" i="22" s="1"/>
  <c r="AQ2911" i="22" l="1"/>
  <c r="AR2910" i="22"/>
  <c r="AP2910" i="22" s="1"/>
  <c r="AQ2912" i="22" l="1"/>
  <c r="AR2911" i="22"/>
  <c r="AP2911" i="22" s="1"/>
  <c r="AQ2913" i="22" l="1"/>
  <c r="AR2912" i="22"/>
  <c r="AP2912" i="22" s="1"/>
  <c r="AQ2914" i="22" l="1"/>
  <c r="AR2913" i="22"/>
  <c r="AP2913" i="22" s="1"/>
  <c r="AQ2915" i="22" l="1"/>
  <c r="AR2914" i="22"/>
  <c r="AP2914" i="22" s="1"/>
  <c r="AQ2916" i="22" l="1"/>
  <c r="AR2915" i="22"/>
  <c r="AP2915" i="22" s="1"/>
  <c r="AQ2917" i="22" l="1"/>
  <c r="AR2916" i="22"/>
  <c r="AP2916" i="22" s="1"/>
  <c r="AQ2918" i="22" l="1"/>
  <c r="AR2917" i="22"/>
  <c r="AP2917" i="22" s="1"/>
  <c r="AQ2919" i="22" l="1"/>
  <c r="AR2918" i="22"/>
  <c r="AP2918" i="22" s="1"/>
  <c r="AQ2920" i="22" l="1"/>
  <c r="AR2919" i="22"/>
  <c r="AP2919" i="22" s="1"/>
  <c r="AQ2921" i="22" l="1"/>
  <c r="AR2920" i="22"/>
  <c r="AP2920" i="22" s="1"/>
  <c r="AQ2922" i="22" l="1"/>
  <c r="AR2921" i="22"/>
  <c r="AP2921" i="22" s="1"/>
  <c r="AQ2923" i="22" l="1"/>
  <c r="AR2922" i="22"/>
  <c r="AP2922" i="22" s="1"/>
  <c r="AQ2924" i="22" l="1"/>
  <c r="AR2923" i="22"/>
  <c r="AP2923" i="22" s="1"/>
  <c r="AQ2925" i="22" l="1"/>
  <c r="AR2924" i="22"/>
  <c r="AP2924" i="22" s="1"/>
  <c r="AQ2926" i="22" l="1"/>
  <c r="AR2925" i="22"/>
  <c r="AP2925" i="22" s="1"/>
  <c r="AQ2927" i="22" l="1"/>
  <c r="AR2926" i="22"/>
  <c r="AP2926" i="22" s="1"/>
  <c r="AQ2928" i="22" l="1"/>
  <c r="AR2927" i="22"/>
  <c r="AP2927" i="22" s="1"/>
  <c r="AQ2929" i="22" l="1"/>
  <c r="AR2928" i="22"/>
  <c r="AP2928" i="22" s="1"/>
  <c r="AQ2930" i="22" l="1"/>
  <c r="AR2929" i="22"/>
  <c r="AP2929" i="22" s="1"/>
  <c r="AQ2931" i="22" l="1"/>
  <c r="AR2930" i="22"/>
  <c r="AP2930" i="22" s="1"/>
  <c r="AQ2932" i="22" l="1"/>
  <c r="AR2931" i="22"/>
  <c r="AP2931" i="22" s="1"/>
  <c r="AQ2933" i="22" l="1"/>
  <c r="AR2932" i="22"/>
  <c r="AP2932" i="22" s="1"/>
  <c r="AQ2934" i="22" l="1"/>
  <c r="AR2933" i="22"/>
  <c r="AP2933" i="22" s="1"/>
  <c r="AQ2935" i="22" l="1"/>
  <c r="AR2934" i="22"/>
  <c r="AP2934" i="22" s="1"/>
  <c r="AQ2936" i="22" l="1"/>
  <c r="AR2935" i="22"/>
  <c r="AP2935" i="22" s="1"/>
  <c r="AQ2937" i="22" l="1"/>
  <c r="AR2936" i="22"/>
  <c r="AP2936" i="22" s="1"/>
  <c r="AQ2938" i="22" l="1"/>
  <c r="AR2937" i="22"/>
  <c r="AP2937" i="22" s="1"/>
  <c r="AQ2939" i="22" l="1"/>
  <c r="AR2938" i="22"/>
  <c r="AP2938" i="22" s="1"/>
  <c r="AQ2940" i="22" l="1"/>
  <c r="AR2939" i="22"/>
  <c r="AP2939" i="22" s="1"/>
  <c r="AQ2941" i="22" l="1"/>
  <c r="AR2940" i="22"/>
  <c r="AP2940" i="22" s="1"/>
  <c r="AQ2942" i="22" l="1"/>
  <c r="AR2941" i="22"/>
  <c r="AP2941" i="22" s="1"/>
  <c r="AQ2943" i="22" l="1"/>
  <c r="AR2942" i="22"/>
  <c r="AP2942" i="22" s="1"/>
  <c r="AQ2944" i="22" l="1"/>
  <c r="AR2943" i="22"/>
  <c r="AP2943" i="22" s="1"/>
  <c r="AQ2945" i="22" l="1"/>
  <c r="AR2944" i="22"/>
  <c r="AP2944" i="22" s="1"/>
  <c r="AQ2946" i="22" l="1"/>
  <c r="AR2945" i="22"/>
  <c r="AP2945" i="22" s="1"/>
  <c r="AQ2947" i="22" l="1"/>
  <c r="AR2946" i="22"/>
  <c r="AP2946" i="22" s="1"/>
  <c r="AQ2948" i="22" l="1"/>
  <c r="AR2947" i="22"/>
  <c r="AP2947" i="22" s="1"/>
  <c r="AQ2949" i="22" l="1"/>
  <c r="AR2948" i="22"/>
  <c r="AP2948" i="22" s="1"/>
  <c r="AQ2950" i="22" l="1"/>
  <c r="AR2949" i="22"/>
  <c r="AP2949" i="22" s="1"/>
  <c r="AQ2951" i="22" l="1"/>
  <c r="AR2950" i="22"/>
  <c r="AP2950" i="22" s="1"/>
  <c r="AQ2952" i="22" l="1"/>
  <c r="AR2951" i="22"/>
  <c r="AP2951" i="22" s="1"/>
  <c r="AQ2953" i="22" l="1"/>
  <c r="AR2952" i="22"/>
  <c r="AP2952" i="22" s="1"/>
  <c r="AQ2954" i="22" l="1"/>
  <c r="AR2953" i="22"/>
  <c r="AP2953" i="22" s="1"/>
  <c r="AQ2955" i="22" l="1"/>
  <c r="AR2954" i="22"/>
  <c r="AP2954" i="22" s="1"/>
  <c r="AQ2956" i="22" l="1"/>
  <c r="AR2955" i="22"/>
  <c r="AP2955" i="22" s="1"/>
  <c r="AQ2957" i="22" l="1"/>
  <c r="AR2956" i="22"/>
  <c r="AP2956" i="22" s="1"/>
  <c r="AQ2958" i="22" l="1"/>
  <c r="AR2957" i="22"/>
  <c r="AP2957" i="22" s="1"/>
  <c r="AQ2959" i="22" l="1"/>
  <c r="AR2958" i="22"/>
  <c r="AP2958" i="22" s="1"/>
  <c r="AQ2960" i="22" l="1"/>
  <c r="AR2959" i="22"/>
  <c r="AP2959" i="22" s="1"/>
  <c r="AQ2961" i="22" l="1"/>
  <c r="AR2960" i="22"/>
  <c r="AP2960" i="22" s="1"/>
  <c r="AQ2962" i="22" l="1"/>
  <c r="AR2961" i="22"/>
  <c r="AP2961" i="22" s="1"/>
  <c r="AQ2963" i="22" l="1"/>
  <c r="AR2962" i="22"/>
  <c r="AP2962" i="22" s="1"/>
  <c r="AQ2964" i="22" l="1"/>
  <c r="AR2963" i="22"/>
  <c r="AP2963" i="22" s="1"/>
  <c r="AQ2965" i="22" l="1"/>
  <c r="AR2964" i="22"/>
  <c r="AP2964" i="22" s="1"/>
  <c r="AQ2966" i="22" l="1"/>
  <c r="AR2965" i="22"/>
  <c r="AP2965" i="22" s="1"/>
  <c r="AQ2967" i="22" l="1"/>
  <c r="AR2966" i="22"/>
  <c r="AP2966" i="22" s="1"/>
  <c r="AQ2968" i="22" l="1"/>
  <c r="AR2967" i="22"/>
  <c r="AP2967" i="22" s="1"/>
  <c r="AQ2969" i="22" l="1"/>
  <c r="AR2968" i="22"/>
  <c r="AP2968" i="22" s="1"/>
  <c r="AQ2970" i="22" l="1"/>
  <c r="AR2969" i="22"/>
  <c r="AP2969" i="22" s="1"/>
  <c r="AQ2971" i="22" l="1"/>
  <c r="AR2970" i="22"/>
  <c r="AP2970" i="22" s="1"/>
  <c r="AQ2972" i="22" l="1"/>
  <c r="AR2971" i="22"/>
  <c r="AP2971" i="22" s="1"/>
  <c r="AQ2973" i="22" l="1"/>
  <c r="AR2972" i="22"/>
  <c r="AP2972" i="22" s="1"/>
  <c r="AQ2974" i="22" l="1"/>
  <c r="AR2973" i="22"/>
  <c r="AP2973" i="22" s="1"/>
  <c r="AQ2975" i="22" l="1"/>
  <c r="AR2974" i="22"/>
  <c r="AP2974" i="22" s="1"/>
  <c r="AQ2976" i="22" l="1"/>
  <c r="AR2975" i="22"/>
  <c r="AP2975" i="22" s="1"/>
  <c r="AQ2977" i="22" l="1"/>
  <c r="AR2976" i="22"/>
  <c r="AP2976" i="22" s="1"/>
  <c r="AQ2978" i="22" l="1"/>
  <c r="AR2977" i="22"/>
  <c r="AP2977" i="22" s="1"/>
  <c r="AQ2979" i="22" l="1"/>
  <c r="AR2978" i="22"/>
  <c r="AP2978" i="22" s="1"/>
  <c r="AQ2980" i="22" l="1"/>
  <c r="AR2979" i="22"/>
  <c r="AP2979" i="22" s="1"/>
  <c r="AQ2981" i="22" l="1"/>
  <c r="AR2980" i="22"/>
  <c r="AP2980" i="22" s="1"/>
  <c r="AQ2982" i="22" l="1"/>
  <c r="AR2981" i="22"/>
  <c r="AP2981" i="22" s="1"/>
  <c r="AQ2983" i="22" l="1"/>
  <c r="AR2982" i="22"/>
  <c r="AP2982" i="22" s="1"/>
  <c r="AQ2984" i="22" l="1"/>
  <c r="AR2983" i="22"/>
  <c r="AP2983" i="22" s="1"/>
  <c r="AQ2985" i="22" l="1"/>
  <c r="AR2984" i="22"/>
  <c r="AP2984" i="22" s="1"/>
  <c r="AQ2986" i="22" l="1"/>
  <c r="AR2985" i="22"/>
  <c r="AP2985" i="22" s="1"/>
  <c r="AQ2987" i="22" l="1"/>
  <c r="AR2986" i="22"/>
  <c r="AP2986" i="22" s="1"/>
  <c r="AQ2988" i="22" l="1"/>
  <c r="AR2987" i="22"/>
  <c r="AP2987" i="22" s="1"/>
  <c r="AQ2989" i="22" l="1"/>
  <c r="AR2988" i="22"/>
  <c r="AP2988" i="22" s="1"/>
  <c r="AQ2990" i="22" l="1"/>
  <c r="AR2989" i="22"/>
  <c r="AP2989" i="22" s="1"/>
  <c r="AQ2991" i="22" l="1"/>
  <c r="AR2990" i="22"/>
  <c r="AP2990" i="22" s="1"/>
  <c r="AQ2992" i="22" l="1"/>
  <c r="AR2991" i="22"/>
  <c r="AP2991" i="22" s="1"/>
  <c r="AQ2993" i="22" l="1"/>
  <c r="AR2992" i="22"/>
  <c r="AP2992" i="22" s="1"/>
  <c r="AQ2994" i="22" l="1"/>
  <c r="AR2993" i="22"/>
  <c r="AP2993" i="22" s="1"/>
  <c r="AQ2995" i="22" l="1"/>
  <c r="AR2994" i="22"/>
  <c r="AP2994" i="22" s="1"/>
  <c r="AQ2996" i="22" l="1"/>
  <c r="AR2995" i="22"/>
  <c r="AP2995" i="22" s="1"/>
  <c r="AQ2997" i="22" l="1"/>
  <c r="AR2996" i="22"/>
  <c r="AP2996" i="22" s="1"/>
  <c r="AQ2998" i="22" l="1"/>
  <c r="AR2997" i="22"/>
  <c r="AP2997" i="22" s="1"/>
  <c r="AQ2999" i="22" l="1"/>
  <c r="AR2998" i="22"/>
  <c r="AP2998" i="22" s="1"/>
  <c r="AQ3000" i="22" l="1"/>
  <c r="AR2999" i="22"/>
  <c r="AP2999" i="22" s="1"/>
  <c r="AQ3001" i="22" l="1"/>
  <c r="AR3000" i="22"/>
  <c r="AP3000" i="22" s="1"/>
  <c r="AQ3002" i="22" l="1"/>
  <c r="AR3001" i="22"/>
  <c r="AP3001" i="22" s="1"/>
  <c r="AQ3003" i="22" l="1"/>
  <c r="AR3002" i="22"/>
  <c r="AP3002" i="22" s="1"/>
  <c r="AQ3004" i="22" l="1"/>
  <c r="AR3003" i="22"/>
  <c r="AP3003" i="22" s="1"/>
  <c r="AQ3005" i="22" l="1"/>
  <c r="AR3004" i="22"/>
  <c r="AP3004" i="22" s="1"/>
  <c r="AQ3006" i="22" l="1"/>
  <c r="AR3005" i="22"/>
  <c r="AP3005" i="22" s="1"/>
  <c r="AQ3007" i="22" l="1"/>
  <c r="AR3006" i="22"/>
  <c r="AP3006" i="22" s="1"/>
  <c r="AQ3008" i="22" l="1"/>
  <c r="AR3007" i="22"/>
  <c r="AP3007" i="22" s="1"/>
  <c r="AQ3009" i="22" l="1"/>
  <c r="AR3008" i="22"/>
  <c r="AP3008" i="22" s="1"/>
  <c r="AQ3010" i="22" l="1"/>
  <c r="AR3009" i="22"/>
  <c r="AP3009" i="22" s="1"/>
  <c r="AQ3011" i="22" l="1"/>
  <c r="AR3010" i="22"/>
  <c r="AP3010" i="22" s="1"/>
  <c r="AQ3012" i="22" l="1"/>
  <c r="AR3011" i="22"/>
  <c r="AP3011" i="22" s="1"/>
  <c r="AQ3013" i="22" l="1"/>
  <c r="AR3012" i="22"/>
  <c r="AP3012" i="22" s="1"/>
  <c r="AQ3014" i="22" l="1"/>
  <c r="AR3013" i="22"/>
  <c r="AP3013" i="22" s="1"/>
  <c r="AQ3015" i="22" l="1"/>
  <c r="AR3014" i="22"/>
  <c r="AP3014" i="22" s="1"/>
  <c r="AQ3016" i="22" l="1"/>
  <c r="AR3015" i="22"/>
  <c r="AP3015" i="22" s="1"/>
  <c r="AQ3017" i="22" l="1"/>
  <c r="AR3016" i="22"/>
  <c r="AP3016" i="22" s="1"/>
  <c r="AQ3018" i="22" l="1"/>
  <c r="AR3017" i="22"/>
  <c r="AP3017" i="22" s="1"/>
  <c r="AQ3019" i="22" l="1"/>
  <c r="AR3018" i="22"/>
  <c r="AP3018" i="22" s="1"/>
  <c r="AQ3020" i="22" l="1"/>
  <c r="AR3019" i="22"/>
  <c r="AP3019" i="22" s="1"/>
  <c r="AQ3021" i="22" l="1"/>
  <c r="AR3020" i="22"/>
  <c r="AP3020" i="22" s="1"/>
  <c r="AQ3022" i="22" l="1"/>
  <c r="AR3021" i="22"/>
  <c r="AP3021" i="22" s="1"/>
  <c r="AQ3023" i="22" l="1"/>
  <c r="AR3022" i="22"/>
  <c r="AP3022" i="22" s="1"/>
  <c r="AQ3024" i="22" l="1"/>
  <c r="AR3023" i="22"/>
  <c r="AP3023" i="22" s="1"/>
  <c r="AQ3025" i="22" l="1"/>
  <c r="AR3024" i="22"/>
  <c r="AP3024" i="22" s="1"/>
  <c r="AQ3026" i="22" l="1"/>
  <c r="AR3025" i="22"/>
  <c r="AP3025" i="22" s="1"/>
  <c r="AQ3027" i="22" l="1"/>
  <c r="AR3026" i="22"/>
  <c r="AP3026" i="22" s="1"/>
  <c r="AQ3028" i="22" l="1"/>
  <c r="AR3027" i="22"/>
  <c r="AP3027" i="22" s="1"/>
  <c r="AQ3029" i="22" l="1"/>
  <c r="AR3028" i="22"/>
  <c r="AP3028" i="22" s="1"/>
  <c r="AQ3030" i="22" l="1"/>
  <c r="AR3029" i="22"/>
  <c r="AP3029" i="22" s="1"/>
  <c r="AQ3031" i="22" l="1"/>
  <c r="AR3030" i="22"/>
  <c r="AP3030" i="22" s="1"/>
  <c r="AQ3032" i="22" l="1"/>
  <c r="AR3031" i="22"/>
  <c r="AP3031" i="22" s="1"/>
  <c r="AQ3033" i="22" l="1"/>
  <c r="AR3032" i="22"/>
  <c r="AP3032" i="22" s="1"/>
  <c r="AQ3034" i="22" l="1"/>
  <c r="AR3033" i="22"/>
  <c r="AP3033" i="22" s="1"/>
  <c r="AQ3035" i="22" l="1"/>
  <c r="AR3034" i="22"/>
  <c r="AP3034" i="22" s="1"/>
  <c r="AQ3036" i="22" l="1"/>
  <c r="AR3035" i="22"/>
  <c r="AP3035" i="22" s="1"/>
  <c r="AQ3037" i="22" l="1"/>
  <c r="AR3036" i="22"/>
  <c r="AP3036" i="22" s="1"/>
  <c r="AQ3038" i="22" l="1"/>
  <c r="AR3037" i="22"/>
  <c r="AP3037" i="22" s="1"/>
  <c r="AQ3039" i="22" l="1"/>
  <c r="AR3038" i="22"/>
  <c r="AP3038" i="22" s="1"/>
  <c r="AQ3040" i="22" l="1"/>
  <c r="AR3039" i="22"/>
  <c r="AP3039" i="22" s="1"/>
  <c r="AQ3041" i="22" l="1"/>
  <c r="AR3040" i="22"/>
  <c r="AP3040" i="22" s="1"/>
  <c r="AQ3042" i="22" l="1"/>
  <c r="AR3041" i="22"/>
  <c r="AP3041" i="22" s="1"/>
  <c r="AQ3043" i="22" l="1"/>
  <c r="AR3042" i="22"/>
  <c r="AP3042" i="22" s="1"/>
  <c r="AQ3044" i="22" l="1"/>
  <c r="AR3043" i="22"/>
  <c r="AP3043" i="22" s="1"/>
  <c r="AQ3045" i="22" l="1"/>
  <c r="AR3044" i="22"/>
  <c r="AP3044" i="22" s="1"/>
  <c r="AQ3046" i="22" l="1"/>
  <c r="AR3045" i="22"/>
  <c r="AP3045" i="22" s="1"/>
  <c r="AQ3047" i="22" l="1"/>
  <c r="AR3046" i="22"/>
  <c r="AP3046" i="22" s="1"/>
  <c r="AQ3048" i="22" l="1"/>
  <c r="AR3047" i="22"/>
  <c r="AP3047" i="22" s="1"/>
  <c r="AQ3049" i="22" l="1"/>
  <c r="AR3048" i="22"/>
  <c r="AP3048" i="22" s="1"/>
  <c r="AQ3050" i="22" l="1"/>
  <c r="AR3049" i="22"/>
  <c r="AP3049" i="22" s="1"/>
  <c r="AQ3051" i="22" l="1"/>
  <c r="AR3050" i="22"/>
  <c r="AP3050" i="22" s="1"/>
  <c r="AQ3052" i="22" l="1"/>
  <c r="AR3051" i="22"/>
  <c r="AP3051" i="22" s="1"/>
  <c r="AQ3053" i="22" l="1"/>
  <c r="AR3052" i="22"/>
  <c r="AP3052" i="22" s="1"/>
  <c r="AQ3054" i="22" l="1"/>
  <c r="AR3053" i="22"/>
  <c r="AP3053" i="22" s="1"/>
  <c r="AQ3055" i="22" l="1"/>
  <c r="AR3054" i="22"/>
  <c r="AP3054" i="22" s="1"/>
  <c r="AQ3056" i="22" l="1"/>
  <c r="AR3055" i="22"/>
  <c r="AP3055" i="22" s="1"/>
  <c r="AQ3057" i="22" l="1"/>
  <c r="AR3056" i="22"/>
  <c r="AP3056" i="22" s="1"/>
  <c r="AQ3058" i="22" l="1"/>
  <c r="AR3057" i="22"/>
  <c r="AP3057" i="22" s="1"/>
  <c r="AQ3059" i="22" l="1"/>
  <c r="AR3058" i="22"/>
  <c r="AP3058" i="22" s="1"/>
  <c r="AQ3060" i="22" l="1"/>
  <c r="AR3059" i="22"/>
  <c r="AP3059" i="22" s="1"/>
  <c r="AQ3061" i="22" l="1"/>
  <c r="AR3060" i="22"/>
  <c r="AP3060" i="22" s="1"/>
  <c r="AQ3062" i="22" l="1"/>
  <c r="AR3061" i="22"/>
  <c r="AP3061" i="22" s="1"/>
  <c r="AQ3063" i="22" l="1"/>
  <c r="AR3062" i="22"/>
  <c r="AP3062" i="22" s="1"/>
  <c r="AQ3064" i="22" l="1"/>
  <c r="AR3063" i="22"/>
  <c r="AP3063" i="22" s="1"/>
  <c r="AQ3065" i="22" l="1"/>
  <c r="AR3064" i="22"/>
  <c r="AP3064" i="22" s="1"/>
  <c r="AQ3066" i="22" l="1"/>
  <c r="AR3065" i="22"/>
  <c r="AP3065" i="22" s="1"/>
  <c r="AQ3067" i="22" l="1"/>
  <c r="AR3066" i="22"/>
  <c r="AP3066" i="22" s="1"/>
  <c r="AQ3068" i="22" l="1"/>
  <c r="AR3067" i="22"/>
  <c r="AP3067" i="22" s="1"/>
  <c r="AQ3069" i="22" l="1"/>
  <c r="AR3068" i="22"/>
  <c r="AP3068" i="22" s="1"/>
  <c r="AQ3070" i="22" l="1"/>
  <c r="AR3069" i="22"/>
  <c r="AP3069" i="22" s="1"/>
  <c r="AQ3071" i="22" l="1"/>
  <c r="AR3070" i="22"/>
  <c r="AP3070" i="22" s="1"/>
  <c r="AQ3072" i="22" l="1"/>
  <c r="AR3071" i="22"/>
  <c r="AP3071" i="22" s="1"/>
  <c r="AQ3073" i="22" l="1"/>
  <c r="AR3072" i="22"/>
  <c r="AP3072" i="22" s="1"/>
  <c r="AQ3074" i="22" l="1"/>
  <c r="AR3073" i="22"/>
  <c r="AP3073" i="22" s="1"/>
  <c r="AQ3075" i="22" l="1"/>
  <c r="AR3074" i="22"/>
  <c r="AP3074" i="22" s="1"/>
  <c r="AQ3076" i="22" l="1"/>
  <c r="AR3075" i="22"/>
  <c r="AP3075" i="22" s="1"/>
  <c r="AQ3077" i="22" l="1"/>
  <c r="AR3076" i="22"/>
  <c r="AP3076" i="22" s="1"/>
  <c r="AQ3078" i="22" l="1"/>
  <c r="AR3077" i="22"/>
  <c r="AP3077" i="22" s="1"/>
  <c r="AQ3079" i="22" l="1"/>
  <c r="AR3078" i="22"/>
  <c r="AP3078" i="22" s="1"/>
  <c r="AQ3080" i="22" l="1"/>
  <c r="AR3079" i="22"/>
  <c r="AP3079" i="22" s="1"/>
  <c r="AQ3081" i="22" l="1"/>
  <c r="AR3080" i="22"/>
  <c r="AP3080" i="22" s="1"/>
  <c r="AQ3082" i="22" l="1"/>
  <c r="AR3081" i="22"/>
  <c r="AP3081" i="22" s="1"/>
  <c r="AQ3083" i="22" l="1"/>
  <c r="AR3082" i="22"/>
  <c r="AP3082" i="22" s="1"/>
  <c r="AQ3084" i="22" l="1"/>
  <c r="AR3083" i="22"/>
  <c r="AP3083" i="22" s="1"/>
  <c r="AQ3085" i="22" l="1"/>
  <c r="AR3084" i="22"/>
  <c r="AP3084" i="22" s="1"/>
  <c r="AQ3086" i="22" l="1"/>
  <c r="AR3085" i="22"/>
  <c r="AP3085" i="22" s="1"/>
  <c r="AQ3087" i="22" l="1"/>
  <c r="AR3086" i="22"/>
  <c r="AP3086" i="22" s="1"/>
  <c r="AQ3088" i="22" l="1"/>
  <c r="AR3087" i="22"/>
  <c r="AP3087" i="22" s="1"/>
  <c r="AQ3089" i="22" l="1"/>
  <c r="AR3088" i="22"/>
  <c r="AP3088" i="22" s="1"/>
  <c r="AQ3090" i="22" l="1"/>
  <c r="AR3089" i="22"/>
  <c r="AP3089" i="22" s="1"/>
  <c r="AQ3091" i="22" l="1"/>
  <c r="AR3090" i="22"/>
  <c r="AP3090" i="22" s="1"/>
  <c r="AQ3092" i="22" l="1"/>
  <c r="AR3091" i="22"/>
  <c r="AP3091" i="22" s="1"/>
  <c r="AQ3093" i="22" l="1"/>
  <c r="AR3092" i="22"/>
  <c r="AP3092" i="22" s="1"/>
  <c r="AQ3094" i="22" l="1"/>
  <c r="AR3093" i="22"/>
  <c r="AP3093" i="22" s="1"/>
  <c r="AQ3095" i="22" l="1"/>
  <c r="AR3094" i="22"/>
  <c r="AP3094" i="22" s="1"/>
  <c r="AQ3096" i="22" l="1"/>
  <c r="AR3095" i="22"/>
  <c r="AP3095" i="22" s="1"/>
  <c r="AQ3097" i="22" l="1"/>
  <c r="AR3096" i="22"/>
  <c r="AP3096" i="22" s="1"/>
  <c r="AQ3098" i="22" l="1"/>
  <c r="AR3097" i="22"/>
  <c r="AP3097" i="22" s="1"/>
  <c r="AQ3099" i="22" l="1"/>
  <c r="AR3098" i="22"/>
  <c r="AP3098" i="22" s="1"/>
  <c r="AQ3100" i="22" l="1"/>
  <c r="AR3099" i="22"/>
  <c r="AP3099" i="22" s="1"/>
  <c r="AQ3101" i="22" l="1"/>
  <c r="AR3100" i="22"/>
  <c r="AP3100" i="22" s="1"/>
  <c r="AQ3102" i="22" l="1"/>
  <c r="AR3101" i="22"/>
  <c r="AP3101" i="22" s="1"/>
  <c r="AQ3103" i="22" l="1"/>
  <c r="AR3102" i="22"/>
  <c r="AP3102" i="22" s="1"/>
  <c r="AQ3104" i="22" l="1"/>
  <c r="AR3103" i="22"/>
  <c r="AP3103" i="22" s="1"/>
  <c r="AQ3105" i="22" l="1"/>
  <c r="AR3104" i="22"/>
  <c r="AP3104" i="22" s="1"/>
  <c r="AQ3106" i="22" l="1"/>
  <c r="AR3105" i="22"/>
  <c r="AP3105" i="22" s="1"/>
  <c r="AQ3107" i="22" l="1"/>
  <c r="AR3106" i="22"/>
  <c r="AP3106" i="22" s="1"/>
  <c r="AQ3108" i="22" l="1"/>
  <c r="AR3107" i="22"/>
  <c r="AP3107" i="22" s="1"/>
  <c r="AQ3109" i="22" l="1"/>
  <c r="AR3108" i="22"/>
  <c r="AP3108" i="22" s="1"/>
  <c r="AQ3110" i="22" l="1"/>
  <c r="AR3109" i="22"/>
  <c r="AP3109" i="22" s="1"/>
  <c r="AQ3111" i="22" l="1"/>
  <c r="AR3110" i="22"/>
  <c r="AP3110" i="22" s="1"/>
  <c r="AQ3112" i="22" l="1"/>
  <c r="AR3111" i="22"/>
  <c r="AP3111" i="22" s="1"/>
  <c r="AQ3113" i="22" l="1"/>
  <c r="AR3112" i="22"/>
  <c r="AP3112" i="22" s="1"/>
  <c r="AQ3114" i="22" l="1"/>
  <c r="AR3113" i="22"/>
  <c r="AP3113" i="22" s="1"/>
  <c r="AQ3115" i="22" l="1"/>
  <c r="AR3114" i="22"/>
  <c r="AP3114" i="22" s="1"/>
  <c r="AQ3116" i="22" l="1"/>
  <c r="AR3115" i="22"/>
  <c r="AP3115" i="22" s="1"/>
  <c r="AQ3117" i="22" l="1"/>
  <c r="AR3116" i="22"/>
  <c r="AP3116" i="22" s="1"/>
  <c r="AQ3118" i="22" l="1"/>
  <c r="AR3117" i="22"/>
  <c r="AP3117" i="22" s="1"/>
  <c r="AQ3119" i="22" l="1"/>
  <c r="AR3118" i="22"/>
  <c r="AP3118" i="22" s="1"/>
  <c r="AQ3120" i="22" l="1"/>
  <c r="AR3119" i="22"/>
  <c r="AP3119" i="22" s="1"/>
  <c r="AQ3121" i="22" l="1"/>
  <c r="AR3120" i="22"/>
  <c r="AP3120" i="22" s="1"/>
  <c r="AQ3122" i="22" l="1"/>
  <c r="AR3121" i="22"/>
  <c r="AP3121" i="22" s="1"/>
  <c r="AQ3123" i="22" l="1"/>
  <c r="AR3122" i="22"/>
  <c r="AP3122" i="22" s="1"/>
  <c r="AQ3124" i="22" l="1"/>
  <c r="AR3123" i="22"/>
  <c r="AP3123" i="22" s="1"/>
  <c r="AQ3125" i="22" l="1"/>
  <c r="AR3124" i="22"/>
  <c r="AP3124" i="22" s="1"/>
  <c r="AQ3126" i="22" l="1"/>
  <c r="AR3125" i="22"/>
  <c r="AP3125" i="22" s="1"/>
  <c r="AQ3127" i="22" l="1"/>
  <c r="AR3126" i="22"/>
  <c r="AP3126" i="22" s="1"/>
  <c r="AQ3128" i="22" l="1"/>
  <c r="AR3127" i="22"/>
  <c r="AP3127" i="22" s="1"/>
  <c r="AQ3129" i="22" l="1"/>
  <c r="AR3128" i="22"/>
  <c r="AP3128" i="22" s="1"/>
  <c r="AQ3130" i="22" l="1"/>
  <c r="AR3129" i="22"/>
  <c r="AP3129" i="22" s="1"/>
  <c r="AQ3131" i="22" l="1"/>
  <c r="AR3130" i="22"/>
  <c r="AP3130" i="22" s="1"/>
  <c r="AQ3132" i="22" l="1"/>
  <c r="AR3131" i="22"/>
  <c r="AP3131" i="22" s="1"/>
  <c r="AQ3133" i="22" l="1"/>
  <c r="AR3132" i="22"/>
  <c r="AP3132" i="22" s="1"/>
  <c r="AQ3134" i="22" l="1"/>
  <c r="AR3133" i="22"/>
  <c r="AP3133" i="22" s="1"/>
  <c r="AQ3135" i="22" l="1"/>
  <c r="AR3134" i="22"/>
  <c r="AP3134" i="22" s="1"/>
  <c r="AQ3136" i="22" l="1"/>
  <c r="AR3135" i="22"/>
  <c r="AP3135" i="22" s="1"/>
  <c r="AQ3137" i="22" l="1"/>
  <c r="AR3136" i="22"/>
  <c r="AP3136" i="22" s="1"/>
  <c r="AQ3138" i="22" l="1"/>
  <c r="AR3137" i="22"/>
  <c r="AP3137" i="22" s="1"/>
  <c r="AQ3139" i="22" l="1"/>
  <c r="AR3138" i="22"/>
  <c r="AP3138" i="22" s="1"/>
  <c r="AQ3140" i="22" l="1"/>
  <c r="AR3139" i="22"/>
  <c r="AP3139" i="22" s="1"/>
  <c r="AQ3141" i="22" l="1"/>
  <c r="AR3140" i="22"/>
  <c r="AP3140" i="22" s="1"/>
  <c r="AQ3142" i="22" l="1"/>
  <c r="AR3141" i="22"/>
  <c r="AP3141" i="22" s="1"/>
  <c r="AQ3143" i="22" l="1"/>
  <c r="AR3142" i="22"/>
  <c r="AP3142" i="22" s="1"/>
  <c r="AQ3144" i="22" l="1"/>
  <c r="AR3143" i="22"/>
  <c r="AP3143" i="22" s="1"/>
  <c r="AQ3145" i="22" l="1"/>
  <c r="AR3144" i="22"/>
  <c r="AP3144" i="22" s="1"/>
  <c r="AQ3146" i="22" l="1"/>
  <c r="AR3145" i="22"/>
  <c r="AP3145" i="22" s="1"/>
  <c r="AQ3147" i="22" l="1"/>
  <c r="AR3146" i="22"/>
  <c r="AP3146" i="22" s="1"/>
  <c r="AQ3148" i="22" l="1"/>
  <c r="AR3147" i="22"/>
  <c r="AP3147" i="22" s="1"/>
  <c r="AQ3149" i="22" l="1"/>
  <c r="AR3148" i="22"/>
  <c r="AP3148" i="22" s="1"/>
  <c r="AQ3150" i="22" l="1"/>
  <c r="AR3149" i="22"/>
  <c r="AP3149" i="22" s="1"/>
  <c r="AQ3151" i="22" l="1"/>
  <c r="AR3150" i="22"/>
  <c r="AP3150" i="22" s="1"/>
  <c r="AQ3152" i="22" l="1"/>
  <c r="AR3151" i="22"/>
  <c r="AP3151" i="22" s="1"/>
  <c r="AQ3153" i="22" l="1"/>
  <c r="AR3152" i="22"/>
  <c r="AP3152" i="22" s="1"/>
  <c r="AQ3154" i="22" l="1"/>
  <c r="AR3153" i="22"/>
  <c r="AP3153" i="22" s="1"/>
  <c r="AQ3155" i="22" l="1"/>
  <c r="AR3154" i="22"/>
  <c r="AP3154" i="22" s="1"/>
  <c r="AQ3156" i="22" l="1"/>
  <c r="AR3155" i="22"/>
  <c r="AP3155" i="22" s="1"/>
  <c r="AQ3157" i="22" l="1"/>
  <c r="AR3156" i="22"/>
  <c r="AP3156" i="22" s="1"/>
  <c r="AQ3158" i="22" l="1"/>
  <c r="AR3157" i="22"/>
  <c r="AP3157" i="22" s="1"/>
  <c r="AQ3159" i="22" l="1"/>
  <c r="AR3158" i="22"/>
  <c r="AP3158" i="22" s="1"/>
  <c r="AQ3160" i="22" l="1"/>
  <c r="AR3159" i="22"/>
  <c r="AP3159" i="22" s="1"/>
  <c r="AQ3161" i="22" l="1"/>
  <c r="AR3160" i="22"/>
  <c r="AP3160" i="22" s="1"/>
  <c r="AQ3162" i="22" l="1"/>
  <c r="AR3161" i="22"/>
  <c r="AP3161" i="22" s="1"/>
  <c r="AQ3163" i="22" l="1"/>
  <c r="AR3162" i="22"/>
  <c r="AP3162" i="22" s="1"/>
  <c r="AQ3164" i="22" l="1"/>
  <c r="AR3163" i="22"/>
  <c r="AP3163" i="22" s="1"/>
  <c r="AQ3165" i="22" l="1"/>
  <c r="AR3164" i="22"/>
  <c r="AP3164" i="22" s="1"/>
  <c r="AQ3166" i="22" l="1"/>
  <c r="AR3165" i="22"/>
  <c r="AP3165" i="22" s="1"/>
  <c r="AQ3167" i="22" l="1"/>
  <c r="AR3166" i="22"/>
  <c r="AP3166" i="22" s="1"/>
  <c r="AQ3168" i="22" l="1"/>
  <c r="AR3167" i="22"/>
  <c r="AP3167" i="22" s="1"/>
  <c r="AQ3169" i="22" l="1"/>
  <c r="AR3168" i="22"/>
  <c r="AP3168" i="22" s="1"/>
  <c r="AQ3170" i="22" l="1"/>
  <c r="AR3169" i="22"/>
  <c r="AP3169" i="22" s="1"/>
  <c r="AQ3171" i="22" l="1"/>
  <c r="AR3170" i="22"/>
  <c r="AP3170" i="22" s="1"/>
  <c r="AQ3172" i="22" l="1"/>
  <c r="AR3171" i="22"/>
  <c r="AP3171" i="22" s="1"/>
  <c r="AQ3173" i="22" l="1"/>
  <c r="AR3172" i="22"/>
  <c r="AP3172" i="22" s="1"/>
  <c r="AQ3174" i="22" l="1"/>
  <c r="AR3173" i="22"/>
  <c r="AP3173" i="22" s="1"/>
  <c r="AQ3175" i="22" l="1"/>
  <c r="AR3174" i="22"/>
  <c r="AP3174" i="22" s="1"/>
  <c r="AQ3176" i="22" l="1"/>
  <c r="AR3175" i="22"/>
  <c r="AP3175" i="22" s="1"/>
  <c r="AQ3177" i="22" l="1"/>
  <c r="AR3176" i="22"/>
  <c r="AP3176" i="22" s="1"/>
  <c r="AQ3178" i="22" l="1"/>
  <c r="AR3177" i="22"/>
  <c r="AP3177" i="22" s="1"/>
  <c r="AQ3179" i="22" l="1"/>
  <c r="AR3178" i="22"/>
  <c r="AP3178" i="22" s="1"/>
  <c r="AQ3180" i="22" l="1"/>
  <c r="AR3179" i="22"/>
  <c r="AP3179" i="22" s="1"/>
  <c r="AQ3181" i="22" l="1"/>
  <c r="AR3180" i="22"/>
  <c r="AP3180" i="22" s="1"/>
  <c r="AQ3182" i="22" l="1"/>
  <c r="AR3181" i="22"/>
  <c r="AP3181" i="22" s="1"/>
  <c r="AQ3183" i="22" l="1"/>
  <c r="AR3182" i="22"/>
  <c r="AP3182" i="22" s="1"/>
  <c r="AQ3184" i="22" l="1"/>
  <c r="AR3183" i="22"/>
  <c r="AP3183" i="22" s="1"/>
  <c r="AQ3185" i="22" l="1"/>
  <c r="AR3184" i="22"/>
  <c r="AP3184" i="22" s="1"/>
  <c r="AQ3186" i="22" l="1"/>
  <c r="AR3185" i="22"/>
  <c r="AP3185" i="22" s="1"/>
  <c r="AQ3187" i="22" l="1"/>
  <c r="AR3186" i="22"/>
  <c r="AP3186" i="22" s="1"/>
  <c r="AQ3188" i="22" l="1"/>
  <c r="AR3187" i="22"/>
  <c r="AP3187" i="22" s="1"/>
  <c r="AQ3189" i="22" l="1"/>
  <c r="AR3188" i="22"/>
  <c r="AP3188" i="22" s="1"/>
  <c r="AQ3190" i="22" l="1"/>
  <c r="AR3189" i="22"/>
  <c r="AP3189" i="22" s="1"/>
  <c r="AQ3191" i="22" l="1"/>
  <c r="AR3190" i="22"/>
  <c r="AP3190" i="22" s="1"/>
  <c r="AQ3192" i="22" l="1"/>
  <c r="AR3191" i="22"/>
  <c r="AP3191" i="22" s="1"/>
  <c r="AQ3193" i="22" l="1"/>
  <c r="AR3192" i="22"/>
  <c r="AP3192" i="22" s="1"/>
  <c r="AQ3194" i="22" l="1"/>
  <c r="AR3193" i="22"/>
  <c r="AP3193" i="22" s="1"/>
  <c r="AQ3195" i="22" l="1"/>
  <c r="AR3194" i="22"/>
  <c r="AP3194" i="22" s="1"/>
  <c r="AQ3196" i="22" l="1"/>
  <c r="AR3195" i="22"/>
  <c r="AP3195" i="22" s="1"/>
  <c r="AQ3197" i="22" l="1"/>
  <c r="AR3196" i="22"/>
  <c r="AP3196" i="22" s="1"/>
  <c r="AQ3198" i="22" l="1"/>
  <c r="AR3197" i="22"/>
  <c r="AP3197" i="22" s="1"/>
  <c r="AQ3199" i="22" l="1"/>
  <c r="AR3198" i="22"/>
  <c r="AP3198" i="22" s="1"/>
  <c r="AQ3200" i="22" l="1"/>
  <c r="AR3199" i="22"/>
  <c r="AP3199" i="22" s="1"/>
  <c r="AQ3201" i="22" l="1"/>
  <c r="AR3200" i="22"/>
  <c r="AP3200" i="22" s="1"/>
  <c r="AQ3202" i="22" l="1"/>
  <c r="AR3201" i="22"/>
  <c r="AP3201" i="22" s="1"/>
  <c r="AQ3203" i="22" l="1"/>
  <c r="AR3202" i="22"/>
  <c r="AP3202" i="22" s="1"/>
  <c r="AQ3204" i="22" l="1"/>
  <c r="AR3203" i="22"/>
  <c r="AP3203" i="22" s="1"/>
  <c r="AQ3205" i="22" l="1"/>
  <c r="AR3204" i="22"/>
  <c r="AP3204" i="22" s="1"/>
  <c r="AQ3206" i="22" l="1"/>
  <c r="AR3205" i="22"/>
  <c r="AP3205" i="22" s="1"/>
  <c r="AQ3207" i="22" l="1"/>
  <c r="AR3206" i="22"/>
  <c r="AP3206" i="22" s="1"/>
  <c r="AQ3208" i="22" l="1"/>
  <c r="AR3207" i="22"/>
  <c r="AP3207" i="22" s="1"/>
  <c r="AQ3209" i="22" l="1"/>
  <c r="AR3208" i="22"/>
  <c r="AP3208" i="22" s="1"/>
  <c r="AQ3210" i="22" l="1"/>
  <c r="AR3209" i="22"/>
  <c r="AP3209" i="22" s="1"/>
  <c r="AQ3211" i="22" l="1"/>
  <c r="AR3210" i="22"/>
  <c r="AP3210" i="22" s="1"/>
  <c r="AQ3212" i="22" l="1"/>
  <c r="AR3211" i="22"/>
  <c r="AP3211" i="22" s="1"/>
  <c r="AQ3213" i="22" l="1"/>
  <c r="AR3212" i="22"/>
  <c r="AP3212" i="22" s="1"/>
  <c r="AQ3214" i="22" l="1"/>
  <c r="AR3213" i="22"/>
  <c r="AP3213" i="22" s="1"/>
  <c r="AQ3215" i="22" l="1"/>
  <c r="AR3214" i="22"/>
  <c r="AP3214" i="22" s="1"/>
  <c r="AQ3216" i="22" l="1"/>
  <c r="AR3215" i="22"/>
  <c r="AP3215" i="22" s="1"/>
  <c r="AQ3217" i="22" l="1"/>
  <c r="AR3216" i="22"/>
  <c r="AP3216" i="22" s="1"/>
  <c r="AQ3218" i="22" l="1"/>
  <c r="AR3217" i="22"/>
  <c r="AP3217" i="22" s="1"/>
  <c r="AQ3219" i="22" l="1"/>
  <c r="AR3218" i="22"/>
  <c r="AP3218" i="22" s="1"/>
  <c r="AQ3220" i="22" l="1"/>
  <c r="AR3219" i="22"/>
  <c r="AP3219" i="22" s="1"/>
  <c r="AQ3221" i="22" l="1"/>
  <c r="AR3220" i="22"/>
  <c r="AP3220" i="22" s="1"/>
  <c r="AQ3222" i="22" l="1"/>
  <c r="AR3221" i="22"/>
  <c r="AP3221" i="22" s="1"/>
  <c r="AQ3223" i="22" l="1"/>
  <c r="AR3222" i="22"/>
  <c r="AP3222" i="22" s="1"/>
  <c r="AQ3224" i="22" l="1"/>
  <c r="AR3223" i="22"/>
  <c r="AP3223" i="22" s="1"/>
  <c r="AQ3225" i="22" l="1"/>
  <c r="AR3224" i="22"/>
  <c r="AP3224" i="22" s="1"/>
  <c r="AQ3226" i="22" l="1"/>
  <c r="AR3225" i="22"/>
  <c r="AP3225" i="22" s="1"/>
  <c r="AQ3227" i="22" l="1"/>
  <c r="AR3226" i="22"/>
  <c r="AP3226" i="22" s="1"/>
  <c r="AQ3228" i="22" l="1"/>
  <c r="AR3227" i="22"/>
  <c r="AP3227" i="22" s="1"/>
  <c r="AQ3229" i="22" l="1"/>
  <c r="AR3228" i="22"/>
  <c r="AP3228" i="22" s="1"/>
  <c r="AQ3230" i="22" l="1"/>
  <c r="AR3229" i="22"/>
  <c r="AP3229" i="22" s="1"/>
  <c r="AQ3231" i="22" l="1"/>
  <c r="AR3230" i="22"/>
  <c r="AP3230" i="22" s="1"/>
  <c r="AQ3232" i="22" l="1"/>
  <c r="AR3231" i="22"/>
  <c r="AP3231" i="22" s="1"/>
  <c r="AQ3233" i="22" l="1"/>
  <c r="AR3232" i="22"/>
  <c r="AP3232" i="22" s="1"/>
  <c r="AQ3234" i="22" l="1"/>
  <c r="AR3233" i="22"/>
  <c r="AP3233" i="22" s="1"/>
  <c r="AQ3235" i="22" l="1"/>
  <c r="AR3234" i="22"/>
  <c r="AP3234" i="22" s="1"/>
  <c r="AQ3236" i="22" l="1"/>
  <c r="AR3235" i="22"/>
  <c r="AP3235" i="22" s="1"/>
  <c r="AQ3237" i="22" l="1"/>
  <c r="AR3236" i="22"/>
  <c r="AP3236" i="22" s="1"/>
  <c r="AQ3238" i="22" l="1"/>
  <c r="AR3237" i="22"/>
  <c r="AP3237" i="22" s="1"/>
  <c r="AQ3239" i="22" l="1"/>
  <c r="AR3238" i="22"/>
  <c r="AP3238" i="22" s="1"/>
  <c r="AQ3240" i="22" l="1"/>
  <c r="AR3239" i="22"/>
  <c r="AP3239" i="22" s="1"/>
  <c r="AQ3241" i="22" l="1"/>
  <c r="AR3240" i="22"/>
  <c r="AP3240" i="22" s="1"/>
  <c r="AQ3242" i="22" l="1"/>
  <c r="AR3241" i="22"/>
  <c r="AP3241" i="22" s="1"/>
  <c r="AQ3243" i="22" l="1"/>
  <c r="AR3242" i="22"/>
  <c r="AP3242" i="22" s="1"/>
  <c r="AQ3244" i="22" l="1"/>
  <c r="AR3243" i="22"/>
  <c r="AP3243" i="22" s="1"/>
  <c r="AQ3245" i="22" l="1"/>
  <c r="AR3244" i="22"/>
  <c r="AP3244" i="22" s="1"/>
  <c r="AQ3246" i="22" l="1"/>
  <c r="AR3245" i="22"/>
  <c r="AP3245" i="22" s="1"/>
  <c r="AQ3247" i="22" l="1"/>
  <c r="AR3246" i="22"/>
  <c r="AP3246" i="22" s="1"/>
  <c r="AQ3248" i="22" l="1"/>
  <c r="AR3247" i="22"/>
  <c r="AP3247" i="22" s="1"/>
  <c r="AQ3249" i="22" l="1"/>
  <c r="AR3248" i="22"/>
  <c r="AP3248" i="22" s="1"/>
  <c r="AQ3250" i="22" l="1"/>
  <c r="AR3249" i="22"/>
  <c r="AP3249" i="22" s="1"/>
  <c r="AQ3251" i="22" l="1"/>
  <c r="AR3250" i="22"/>
  <c r="AP3250" i="22" s="1"/>
  <c r="AQ3252" i="22" l="1"/>
  <c r="AR3251" i="22"/>
  <c r="AP3251" i="22" s="1"/>
  <c r="AQ3253" i="22" l="1"/>
  <c r="AR3252" i="22"/>
  <c r="AP3252" i="22" s="1"/>
  <c r="AQ3254" i="22" l="1"/>
  <c r="AR3253" i="22"/>
  <c r="AP3253" i="22" s="1"/>
  <c r="AQ3255" i="22" l="1"/>
  <c r="AR3254" i="22"/>
  <c r="AP3254" i="22" s="1"/>
  <c r="AQ3256" i="22" l="1"/>
  <c r="AR3255" i="22"/>
  <c r="AP3255" i="22" s="1"/>
  <c r="AQ3257" i="22" l="1"/>
  <c r="AR3256" i="22"/>
  <c r="AP3256" i="22" s="1"/>
  <c r="AQ3258" i="22" l="1"/>
  <c r="AR3257" i="22"/>
  <c r="AP3257" i="22" s="1"/>
  <c r="AQ3259" i="22" l="1"/>
  <c r="AR3258" i="22"/>
  <c r="AP3258" i="22" s="1"/>
  <c r="AQ3260" i="22" l="1"/>
  <c r="AR3259" i="22"/>
  <c r="AP3259" i="22" s="1"/>
  <c r="AQ3261" i="22" l="1"/>
  <c r="AR3260" i="22"/>
  <c r="AP3260" i="22" s="1"/>
  <c r="AQ3262" i="22" l="1"/>
  <c r="AR3261" i="22"/>
  <c r="AP3261" i="22" s="1"/>
  <c r="AQ3263" i="22" l="1"/>
  <c r="AR3262" i="22"/>
  <c r="AP3262" i="22" s="1"/>
  <c r="AQ3264" i="22" l="1"/>
  <c r="AR3263" i="22"/>
  <c r="AP3263" i="22" s="1"/>
  <c r="AQ3265" i="22" l="1"/>
  <c r="AR3264" i="22"/>
  <c r="AP3264" i="22" s="1"/>
  <c r="AQ3266" i="22" l="1"/>
  <c r="AR3265" i="22"/>
  <c r="AP3265" i="22" s="1"/>
  <c r="AQ3267" i="22" l="1"/>
  <c r="AR3266" i="22"/>
  <c r="AP3266" i="22" s="1"/>
  <c r="AQ3268" i="22" l="1"/>
  <c r="AR3267" i="22"/>
  <c r="AP3267" i="22" s="1"/>
  <c r="AQ3269" i="22" l="1"/>
  <c r="AR3268" i="22"/>
  <c r="AP3268" i="22" s="1"/>
  <c r="AQ3270" i="22" l="1"/>
  <c r="AR3269" i="22"/>
  <c r="AP3269" i="22" s="1"/>
  <c r="AQ3271" i="22" l="1"/>
  <c r="AR3270" i="22"/>
  <c r="AP3270" i="22" s="1"/>
  <c r="AQ3272" i="22" l="1"/>
  <c r="AR3271" i="22"/>
  <c r="AP3271" i="22" s="1"/>
  <c r="AQ3273" i="22" l="1"/>
  <c r="AR3272" i="22"/>
  <c r="AP3272" i="22" s="1"/>
  <c r="AQ3274" i="22" l="1"/>
  <c r="AR3273" i="22"/>
  <c r="AP3273" i="22" s="1"/>
  <c r="AQ3275" i="22" l="1"/>
  <c r="AR3274" i="22"/>
  <c r="AP3274" i="22" s="1"/>
  <c r="AQ3276" i="22" l="1"/>
  <c r="AR3275" i="22"/>
  <c r="AP3275" i="22" s="1"/>
  <c r="AQ3277" i="22" l="1"/>
  <c r="AR3276" i="22"/>
  <c r="AP3276" i="22" s="1"/>
  <c r="AQ3278" i="22" l="1"/>
  <c r="AR3277" i="22"/>
  <c r="AP3277" i="22" s="1"/>
  <c r="AQ3279" i="22" l="1"/>
  <c r="AR3278" i="22"/>
  <c r="AP3278" i="22" s="1"/>
  <c r="AQ3280" i="22" l="1"/>
  <c r="AR3279" i="22"/>
  <c r="AP3279" i="22" s="1"/>
  <c r="AQ3281" i="22" l="1"/>
  <c r="AR3280" i="22"/>
  <c r="AP3280" i="22" s="1"/>
  <c r="AQ3282" i="22" l="1"/>
  <c r="AR3281" i="22"/>
  <c r="AP3281" i="22" s="1"/>
  <c r="AQ3283" i="22" l="1"/>
  <c r="AR3282" i="22"/>
  <c r="AP3282" i="22" s="1"/>
  <c r="AQ3284" i="22" l="1"/>
  <c r="AR3283" i="22"/>
  <c r="AP3283" i="22" s="1"/>
  <c r="AQ3285" i="22" l="1"/>
  <c r="AR3284" i="22"/>
  <c r="AP3284" i="22" s="1"/>
  <c r="AQ3286" i="22" l="1"/>
  <c r="AR3285" i="22"/>
  <c r="AP3285" i="22" s="1"/>
  <c r="AQ3287" i="22" l="1"/>
  <c r="AR3286" i="22"/>
  <c r="AP3286" i="22" s="1"/>
  <c r="AQ3288" i="22" l="1"/>
  <c r="AR3287" i="22"/>
  <c r="AP3287" i="22" s="1"/>
  <c r="AQ3289" i="22" l="1"/>
  <c r="AR3288" i="22"/>
  <c r="AP3288" i="22" s="1"/>
  <c r="AQ3290" i="22" l="1"/>
  <c r="AR3289" i="22"/>
  <c r="AP3289" i="22" s="1"/>
  <c r="AQ3291" i="22" l="1"/>
  <c r="AR3290" i="22"/>
  <c r="AP3290" i="22" s="1"/>
  <c r="AQ3292" i="22" l="1"/>
  <c r="AR3291" i="22"/>
  <c r="AP3291" i="22" s="1"/>
  <c r="AQ3293" i="22" l="1"/>
  <c r="AR3292" i="22"/>
  <c r="AP3292" i="22" s="1"/>
  <c r="AQ3294" i="22" l="1"/>
  <c r="AR3293" i="22"/>
  <c r="AP3293" i="22" s="1"/>
  <c r="AQ3295" i="22" l="1"/>
  <c r="AR3294" i="22"/>
  <c r="AP3294" i="22" s="1"/>
  <c r="AQ3296" i="22" l="1"/>
  <c r="AR3295" i="22"/>
  <c r="AP3295" i="22" s="1"/>
  <c r="AQ3297" i="22" l="1"/>
  <c r="AR3296" i="22"/>
  <c r="AP3296" i="22" s="1"/>
  <c r="AQ3298" i="22" l="1"/>
  <c r="AR3297" i="22"/>
  <c r="AP3297" i="22" s="1"/>
  <c r="AQ3299" i="22" l="1"/>
  <c r="AR3298" i="22"/>
  <c r="AP3298" i="22" s="1"/>
  <c r="AQ3300" i="22" l="1"/>
  <c r="AR3299" i="22"/>
  <c r="AP3299" i="22" s="1"/>
  <c r="AQ3301" i="22" l="1"/>
  <c r="AR3300" i="22"/>
  <c r="AP3300" i="22" s="1"/>
  <c r="AQ3302" i="22" l="1"/>
  <c r="AR3301" i="22"/>
  <c r="AP3301" i="22" s="1"/>
  <c r="AQ3303" i="22" l="1"/>
  <c r="AR3302" i="22"/>
  <c r="AP3302" i="22" s="1"/>
  <c r="AQ3304" i="22" l="1"/>
  <c r="AR3303" i="22"/>
  <c r="AP3303" i="22" s="1"/>
  <c r="AQ3305" i="22" l="1"/>
  <c r="AR3304" i="22"/>
  <c r="AP3304" i="22" s="1"/>
  <c r="AQ3306" i="22" l="1"/>
  <c r="AR3305" i="22"/>
  <c r="AP3305" i="22" s="1"/>
  <c r="AQ3307" i="22" l="1"/>
  <c r="AR3306" i="22"/>
  <c r="AP3306" i="22" s="1"/>
  <c r="AQ3308" i="22" l="1"/>
  <c r="AR3307" i="22"/>
  <c r="AP3307" i="22" s="1"/>
  <c r="AQ3309" i="22" l="1"/>
  <c r="AR3308" i="22"/>
  <c r="AP3308" i="22" s="1"/>
  <c r="AQ3310" i="22" l="1"/>
  <c r="AR3309" i="22"/>
  <c r="AP3309" i="22" s="1"/>
  <c r="AQ3311" i="22" l="1"/>
  <c r="AR3310" i="22"/>
  <c r="AP3310" i="22" s="1"/>
  <c r="AQ3312" i="22" l="1"/>
  <c r="AR3311" i="22"/>
  <c r="AP3311" i="22" s="1"/>
  <c r="AQ3313" i="22" l="1"/>
  <c r="AR3312" i="22"/>
  <c r="AP3312" i="22" s="1"/>
  <c r="AQ3314" i="22" l="1"/>
  <c r="AR3313" i="22"/>
  <c r="AP3313" i="22" s="1"/>
  <c r="AQ3315" i="22" l="1"/>
  <c r="AR3314" i="22"/>
  <c r="AP3314" i="22" s="1"/>
  <c r="AQ3316" i="22" l="1"/>
  <c r="AR3315" i="22"/>
  <c r="AP3315" i="22" s="1"/>
  <c r="AQ3317" i="22" l="1"/>
  <c r="AR3316" i="22"/>
  <c r="AP3316" i="22" s="1"/>
  <c r="AQ3318" i="22" l="1"/>
  <c r="AR3317" i="22"/>
  <c r="AP3317" i="22" s="1"/>
  <c r="AQ3319" i="22" l="1"/>
  <c r="AR3318" i="22"/>
  <c r="AP3318" i="22" s="1"/>
  <c r="AQ3320" i="22" l="1"/>
  <c r="AR3319" i="22"/>
  <c r="AP3319" i="22" s="1"/>
  <c r="AQ3321" i="22" l="1"/>
  <c r="AR3320" i="22"/>
  <c r="AP3320" i="22" s="1"/>
  <c r="AQ3322" i="22" l="1"/>
  <c r="AR3321" i="22"/>
  <c r="AP3321" i="22" s="1"/>
  <c r="AQ3323" i="22" l="1"/>
  <c r="AR3322" i="22"/>
  <c r="AP3322" i="22" s="1"/>
  <c r="AQ3324" i="22" l="1"/>
  <c r="AR3323" i="22"/>
  <c r="AP3323" i="22" s="1"/>
  <c r="AQ3325" i="22" l="1"/>
  <c r="AR3324" i="22"/>
  <c r="AP3324" i="22" s="1"/>
  <c r="AQ3326" i="22" l="1"/>
  <c r="AR3325" i="22"/>
  <c r="AP3325" i="22" s="1"/>
  <c r="AQ3327" i="22" l="1"/>
  <c r="AR3326" i="22"/>
  <c r="AP3326" i="22" s="1"/>
  <c r="AQ3328" i="22" l="1"/>
  <c r="AR3327" i="22"/>
  <c r="AP3327" i="22" s="1"/>
  <c r="AQ3329" i="22" l="1"/>
  <c r="AR3328" i="22"/>
  <c r="AP3328" i="22" s="1"/>
  <c r="AQ3330" i="22" l="1"/>
  <c r="AR3329" i="22"/>
  <c r="AP3329" i="22" s="1"/>
  <c r="AQ3331" i="22" l="1"/>
  <c r="AR3330" i="22"/>
  <c r="AP3330" i="22" s="1"/>
  <c r="AQ3332" i="22" l="1"/>
  <c r="AR3331" i="22"/>
  <c r="AP3331" i="22" s="1"/>
  <c r="AQ3333" i="22" l="1"/>
  <c r="AR3332" i="22"/>
  <c r="AP3332" i="22" s="1"/>
  <c r="AQ3334" i="22" l="1"/>
  <c r="AR3333" i="22"/>
  <c r="AP3333" i="22" s="1"/>
  <c r="AQ3335" i="22" l="1"/>
  <c r="AR3334" i="22"/>
  <c r="AP3334" i="22" s="1"/>
  <c r="AQ3336" i="22" l="1"/>
  <c r="AR3335" i="22"/>
  <c r="AP3335" i="22" s="1"/>
  <c r="AQ3337" i="22" l="1"/>
  <c r="AR3336" i="22"/>
  <c r="AP3336" i="22" s="1"/>
  <c r="AQ3338" i="22" l="1"/>
  <c r="AR3337" i="22"/>
  <c r="AP3337" i="22" s="1"/>
  <c r="AQ3339" i="22" l="1"/>
  <c r="AR3338" i="22"/>
  <c r="AP3338" i="22" s="1"/>
  <c r="AQ3340" i="22" l="1"/>
  <c r="AR3339" i="22"/>
  <c r="AP3339" i="22" s="1"/>
  <c r="AQ3341" i="22" l="1"/>
  <c r="AR3340" i="22"/>
  <c r="AP3340" i="22" s="1"/>
  <c r="AQ3342" i="22" l="1"/>
  <c r="AR3341" i="22"/>
  <c r="AP3341" i="22" s="1"/>
  <c r="AQ3343" i="22" l="1"/>
  <c r="AR3342" i="22"/>
  <c r="AP3342" i="22" s="1"/>
  <c r="AQ3344" i="22" l="1"/>
  <c r="AR3343" i="22"/>
  <c r="AP3343" i="22" s="1"/>
  <c r="AQ3345" i="22" l="1"/>
  <c r="AR3344" i="22"/>
  <c r="AP3344" i="22" s="1"/>
  <c r="AQ3346" i="22" l="1"/>
  <c r="AR3345" i="22"/>
  <c r="AP3345" i="22" s="1"/>
  <c r="AQ3347" i="22" l="1"/>
  <c r="AR3346" i="22"/>
  <c r="AP3346" i="22" s="1"/>
  <c r="AQ3348" i="22" l="1"/>
  <c r="AR3347" i="22"/>
  <c r="AP3347" i="22" s="1"/>
  <c r="AQ3349" i="22" l="1"/>
  <c r="AR3348" i="22"/>
  <c r="AP3348" i="22" s="1"/>
  <c r="AQ3350" i="22" l="1"/>
  <c r="AR3349" i="22"/>
  <c r="AP3349" i="22" s="1"/>
  <c r="AQ3351" i="22" l="1"/>
  <c r="AR3350" i="22"/>
  <c r="AP3350" i="22" s="1"/>
  <c r="AQ3352" i="22" l="1"/>
  <c r="AR3351" i="22"/>
  <c r="AP3351" i="22" s="1"/>
  <c r="AQ3353" i="22" l="1"/>
  <c r="AR3352" i="22"/>
  <c r="AP3352" i="22" s="1"/>
  <c r="AQ3354" i="22" l="1"/>
  <c r="AR3353" i="22"/>
  <c r="AP3353" i="22" s="1"/>
  <c r="AQ3355" i="22" l="1"/>
  <c r="AR3354" i="22"/>
  <c r="AP3354" i="22" s="1"/>
  <c r="AQ3356" i="22" l="1"/>
  <c r="AR3355" i="22"/>
  <c r="AP3355" i="22" s="1"/>
  <c r="AQ3357" i="22" l="1"/>
  <c r="AR3356" i="22"/>
  <c r="AP3356" i="22" s="1"/>
  <c r="AQ3358" i="22" l="1"/>
  <c r="AR3357" i="22"/>
  <c r="AP3357" i="22" s="1"/>
  <c r="AQ3359" i="22" l="1"/>
  <c r="AR3358" i="22"/>
  <c r="AP3358" i="22" s="1"/>
  <c r="AQ3360" i="22" l="1"/>
  <c r="AR3359" i="22"/>
  <c r="AP3359" i="22" s="1"/>
  <c r="AQ3361" i="22" l="1"/>
  <c r="AR3360" i="22"/>
  <c r="AP3360" i="22" s="1"/>
  <c r="AQ3362" i="22" l="1"/>
  <c r="AR3361" i="22"/>
  <c r="AP3361" i="22" s="1"/>
  <c r="AQ3363" i="22" l="1"/>
  <c r="AR3362" i="22"/>
  <c r="AP3362" i="22" s="1"/>
  <c r="AQ3364" i="22" l="1"/>
  <c r="AR3363" i="22"/>
  <c r="AP3363" i="22" s="1"/>
  <c r="AQ3365" i="22" l="1"/>
  <c r="AR3364" i="22"/>
  <c r="AP3364" i="22" s="1"/>
  <c r="AQ3366" i="22" l="1"/>
  <c r="AR3365" i="22"/>
  <c r="AP3365" i="22" s="1"/>
  <c r="AQ3367" i="22" l="1"/>
  <c r="AR3366" i="22"/>
  <c r="AP3366" i="22" s="1"/>
  <c r="AQ3368" i="22" l="1"/>
  <c r="AR3367" i="22"/>
  <c r="AP3367" i="22" s="1"/>
  <c r="AQ3369" i="22" l="1"/>
  <c r="AR3368" i="22"/>
  <c r="AP3368" i="22" s="1"/>
  <c r="AQ3370" i="22" l="1"/>
  <c r="AR3369" i="22"/>
  <c r="AP3369" i="22" s="1"/>
  <c r="AQ3371" i="22" l="1"/>
  <c r="AR3370" i="22"/>
  <c r="AP3370" i="22" s="1"/>
  <c r="AQ3372" i="22" l="1"/>
  <c r="AR3371" i="22"/>
  <c r="AP3371" i="22" s="1"/>
  <c r="AQ3373" i="22" l="1"/>
  <c r="AR3372" i="22"/>
  <c r="AP3372" i="22" s="1"/>
  <c r="AQ3374" i="22" l="1"/>
  <c r="AR3373" i="22"/>
  <c r="AP3373" i="22" s="1"/>
  <c r="AQ3375" i="22" l="1"/>
  <c r="AR3374" i="22"/>
  <c r="AP3374" i="22" s="1"/>
  <c r="AQ3376" i="22" l="1"/>
  <c r="AR3375" i="22"/>
  <c r="AP3375" i="22" s="1"/>
  <c r="AQ3377" i="22" l="1"/>
  <c r="AR3376" i="22"/>
  <c r="AP3376" i="22" s="1"/>
  <c r="AQ3378" i="22" l="1"/>
  <c r="AR3377" i="22"/>
  <c r="AP3377" i="22" s="1"/>
  <c r="AQ3379" i="22" l="1"/>
  <c r="AR3378" i="22"/>
  <c r="AP3378" i="22" s="1"/>
  <c r="AQ3380" i="22" l="1"/>
  <c r="AR3379" i="22"/>
  <c r="AP3379" i="22" s="1"/>
  <c r="AQ3381" i="22" l="1"/>
  <c r="AR3380" i="22"/>
  <c r="AP3380" i="22" s="1"/>
  <c r="AQ3382" i="22" l="1"/>
  <c r="AR3381" i="22"/>
  <c r="AP3381" i="22" s="1"/>
  <c r="AQ3383" i="22" l="1"/>
  <c r="AR3382" i="22"/>
  <c r="AP3382" i="22" s="1"/>
  <c r="AQ3384" i="22" l="1"/>
  <c r="AR3383" i="22"/>
  <c r="AP3383" i="22" s="1"/>
  <c r="AQ3385" i="22" l="1"/>
  <c r="AR3384" i="22"/>
  <c r="AP3384" i="22" s="1"/>
  <c r="AQ3386" i="22" l="1"/>
  <c r="AR3385" i="22"/>
  <c r="AP3385" i="22" s="1"/>
  <c r="AQ3387" i="22" l="1"/>
  <c r="AR3386" i="22"/>
  <c r="AP3386" i="22" s="1"/>
  <c r="AQ3388" i="22" l="1"/>
  <c r="AR3387" i="22"/>
  <c r="AP3387" i="22" s="1"/>
  <c r="AQ3389" i="22" l="1"/>
  <c r="AR3388" i="22"/>
  <c r="AP3388" i="22" s="1"/>
  <c r="AQ3390" i="22" l="1"/>
  <c r="AR3389" i="22"/>
  <c r="AP3389" i="22" s="1"/>
  <c r="AQ3391" i="22" l="1"/>
  <c r="AR3390" i="22"/>
  <c r="AP3390" i="22" s="1"/>
  <c r="AQ3392" i="22" l="1"/>
  <c r="AR3391" i="22"/>
  <c r="AP3391" i="22" s="1"/>
  <c r="AQ3393" i="22" l="1"/>
  <c r="AR3392" i="22"/>
  <c r="AP3392" i="22" s="1"/>
  <c r="AQ3394" i="22" l="1"/>
  <c r="AR3393" i="22"/>
  <c r="AP3393" i="22" s="1"/>
  <c r="AQ3395" i="22" l="1"/>
  <c r="AR3394" i="22"/>
  <c r="AP3394" i="22" s="1"/>
  <c r="AQ3396" i="22" l="1"/>
  <c r="AR3395" i="22"/>
  <c r="AP3395" i="22" s="1"/>
  <c r="AQ3397" i="22" l="1"/>
  <c r="AR3396" i="22"/>
  <c r="AP3396" i="22" s="1"/>
  <c r="AQ3398" i="22" l="1"/>
  <c r="AR3397" i="22"/>
  <c r="AP3397" i="22" s="1"/>
  <c r="AQ3399" i="22" l="1"/>
  <c r="AR3398" i="22"/>
  <c r="AP3398" i="22" s="1"/>
  <c r="AQ3400" i="22" l="1"/>
  <c r="AR3399" i="22"/>
  <c r="AP3399" i="22" s="1"/>
  <c r="AQ3401" i="22" l="1"/>
  <c r="AR3400" i="22"/>
  <c r="AP3400" i="22" s="1"/>
  <c r="AQ3402" i="22" l="1"/>
  <c r="AR3401" i="22"/>
  <c r="AP3401" i="22" s="1"/>
  <c r="AQ3403" i="22" l="1"/>
  <c r="AR3402" i="22"/>
  <c r="AP3402" i="22" s="1"/>
  <c r="AQ3404" i="22" l="1"/>
  <c r="AR3403" i="22"/>
  <c r="AP3403" i="22" s="1"/>
  <c r="AQ3405" i="22" l="1"/>
  <c r="AR3404" i="22"/>
  <c r="AP3404" i="22" s="1"/>
  <c r="AQ3406" i="22" l="1"/>
  <c r="AR3405" i="22"/>
  <c r="AP3405" i="22" s="1"/>
  <c r="AQ3407" i="22" l="1"/>
  <c r="AR3406" i="22"/>
  <c r="AP3406" i="22" s="1"/>
  <c r="AQ3408" i="22" l="1"/>
  <c r="AR3407" i="22"/>
  <c r="AP3407" i="22" s="1"/>
  <c r="AQ3409" i="22" l="1"/>
  <c r="AR3408" i="22"/>
  <c r="AP3408" i="22" s="1"/>
  <c r="AQ3410" i="22" l="1"/>
  <c r="AR3409" i="22"/>
  <c r="AP3409" i="22" s="1"/>
  <c r="AQ3411" i="22" l="1"/>
  <c r="AR3410" i="22"/>
  <c r="AP3410" i="22" s="1"/>
  <c r="AQ3412" i="22" l="1"/>
  <c r="AR3411" i="22"/>
  <c r="AP3411" i="22" s="1"/>
  <c r="AQ3413" i="22" l="1"/>
  <c r="AR3412" i="22"/>
  <c r="AP3412" i="22" s="1"/>
  <c r="AQ3414" i="22" l="1"/>
  <c r="AR3413" i="22"/>
  <c r="AP3413" i="22" s="1"/>
  <c r="AQ3415" i="22" l="1"/>
  <c r="AR3414" i="22"/>
  <c r="AP3414" i="22" s="1"/>
  <c r="AQ3416" i="22" l="1"/>
  <c r="AR3415" i="22"/>
  <c r="AP3415" i="22" s="1"/>
  <c r="AQ3417" i="22" l="1"/>
  <c r="AR3416" i="22"/>
  <c r="AP3416" i="22" s="1"/>
  <c r="AQ3418" i="22" l="1"/>
  <c r="AR3417" i="22"/>
  <c r="AP3417" i="22" s="1"/>
  <c r="AQ3419" i="22" l="1"/>
  <c r="AR3418" i="22"/>
  <c r="AP3418" i="22" s="1"/>
  <c r="AQ3420" i="22" l="1"/>
  <c r="AR3419" i="22"/>
  <c r="AP3419" i="22" s="1"/>
  <c r="AQ3421" i="22" l="1"/>
  <c r="AR3420" i="22"/>
  <c r="AP3420" i="22" s="1"/>
  <c r="AQ3422" i="22" l="1"/>
  <c r="AR3421" i="22"/>
  <c r="AP3421" i="22" s="1"/>
  <c r="AQ3423" i="22" l="1"/>
  <c r="AR3422" i="22"/>
  <c r="AP3422" i="22" s="1"/>
  <c r="AQ3424" i="22" l="1"/>
  <c r="AR3423" i="22"/>
  <c r="AP3423" i="22" s="1"/>
  <c r="AQ3425" i="22" l="1"/>
  <c r="AR3424" i="22"/>
  <c r="AP3424" i="22" s="1"/>
  <c r="AQ3426" i="22" l="1"/>
  <c r="AR3425" i="22"/>
  <c r="AP3425" i="22" s="1"/>
  <c r="AQ3427" i="22" l="1"/>
  <c r="AR3426" i="22"/>
  <c r="AP3426" i="22" s="1"/>
  <c r="AQ3428" i="22" l="1"/>
  <c r="AR3427" i="22"/>
  <c r="AP3427" i="22" s="1"/>
  <c r="AQ3429" i="22" l="1"/>
  <c r="AR3428" i="22"/>
  <c r="AP3428" i="22" s="1"/>
  <c r="AQ3430" i="22" l="1"/>
  <c r="AR3429" i="22"/>
  <c r="AP3429" i="22" s="1"/>
  <c r="AQ3431" i="22" l="1"/>
  <c r="AR3430" i="22"/>
  <c r="AP3430" i="22" s="1"/>
  <c r="AQ3432" i="22" l="1"/>
  <c r="AR3431" i="22"/>
  <c r="AP3431" i="22" s="1"/>
  <c r="AQ3433" i="22" l="1"/>
  <c r="AR3432" i="22"/>
  <c r="AP3432" i="22" s="1"/>
  <c r="AQ3434" i="22" l="1"/>
  <c r="AR3433" i="22"/>
  <c r="AP3433" i="22" s="1"/>
  <c r="AQ3435" i="22" l="1"/>
  <c r="AR3434" i="22"/>
  <c r="AP3434" i="22" s="1"/>
  <c r="AQ3436" i="22" l="1"/>
  <c r="AR3435" i="22"/>
  <c r="AP3435" i="22" s="1"/>
  <c r="AQ3437" i="22" l="1"/>
  <c r="AR3436" i="22"/>
  <c r="AP3436" i="22" s="1"/>
  <c r="AQ3438" i="22" l="1"/>
  <c r="AR3437" i="22"/>
  <c r="AP3437" i="22" s="1"/>
  <c r="AQ3439" i="22" l="1"/>
  <c r="AR3438" i="22"/>
  <c r="AP3438" i="22" s="1"/>
  <c r="AQ3440" i="22" l="1"/>
  <c r="AR3439" i="22"/>
  <c r="AP3439" i="22" s="1"/>
  <c r="AQ3441" i="22" l="1"/>
  <c r="AR3440" i="22"/>
  <c r="AP3440" i="22" s="1"/>
  <c r="AQ3442" i="22" l="1"/>
  <c r="AR3441" i="22"/>
  <c r="AP3441" i="22" s="1"/>
  <c r="AQ3443" i="22" l="1"/>
  <c r="AR3442" i="22"/>
  <c r="AP3442" i="22" s="1"/>
  <c r="AQ3444" i="22" l="1"/>
  <c r="AR3443" i="22"/>
  <c r="AP3443" i="22" s="1"/>
  <c r="AQ3445" i="22" l="1"/>
  <c r="AR3444" i="22"/>
  <c r="AP3444" i="22" s="1"/>
  <c r="AQ3446" i="22" l="1"/>
  <c r="AR3445" i="22"/>
  <c r="AP3445" i="22" s="1"/>
  <c r="AQ3447" i="22" l="1"/>
  <c r="AR3446" i="22"/>
  <c r="AP3446" i="22" s="1"/>
  <c r="AQ3448" i="22" l="1"/>
  <c r="AR3447" i="22"/>
  <c r="AP3447" i="22" s="1"/>
  <c r="AQ3449" i="22" l="1"/>
  <c r="AR3448" i="22"/>
  <c r="AP3448" i="22" s="1"/>
  <c r="AQ3450" i="22" l="1"/>
  <c r="AR3449" i="22"/>
  <c r="AP3449" i="22" s="1"/>
  <c r="AQ3451" i="22" l="1"/>
  <c r="AR3450" i="22"/>
  <c r="AP3450" i="22" s="1"/>
  <c r="AQ3452" i="22" l="1"/>
  <c r="AR3451" i="22"/>
  <c r="AP3451" i="22" s="1"/>
  <c r="AQ3453" i="22" l="1"/>
  <c r="AR3452" i="22"/>
  <c r="AP3452" i="22" s="1"/>
  <c r="AQ3454" i="22" l="1"/>
  <c r="AR3453" i="22"/>
  <c r="AP3453" i="22" s="1"/>
  <c r="AQ3455" i="22" l="1"/>
  <c r="AR3454" i="22"/>
  <c r="AP3454" i="22" s="1"/>
  <c r="AQ3456" i="22" l="1"/>
  <c r="AR3455" i="22"/>
  <c r="AP3455" i="22" s="1"/>
  <c r="AQ3457" i="22" l="1"/>
  <c r="AR3456" i="22"/>
  <c r="AP3456" i="22" s="1"/>
  <c r="AQ3458" i="22" l="1"/>
  <c r="AR3457" i="22"/>
  <c r="AP3457" i="22" s="1"/>
  <c r="AQ3459" i="22" l="1"/>
  <c r="AR3458" i="22"/>
  <c r="AP3458" i="22" s="1"/>
  <c r="AQ3460" i="22" l="1"/>
  <c r="AR3459" i="22"/>
  <c r="AP3459" i="22" s="1"/>
  <c r="AQ3461" i="22" l="1"/>
  <c r="AR3460" i="22"/>
  <c r="AP3460" i="22" s="1"/>
  <c r="AQ3462" i="22" l="1"/>
  <c r="AR3461" i="22"/>
  <c r="AP3461" i="22" s="1"/>
  <c r="AQ3463" i="22" l="1"/>
  <c r="AR3462" i="22"/>
  <c r="AP3462" i="22" s="1"/>
  <c r="AQ3464" i="22" l="1"/>
  <c r="AR3463" i="22"/>
  <c r="AP3463" i="22" s="1"/>
  <c r="AQ3465" i="22" l="1"/>
  <c r="AR3464" i="22"/>
  <c r="AP3464" i="22" s="1"/>
  <c r="AQ3466" i="22" l="1"/>
  <c r="AR3465" i="22"/>
  <c r="AP3465" i="22" s="1"/>
  <c r="AQ3467" i="22" l="1"/>
  <c r="AR3466" i="22"/>
  <c r="AP3466" i="22" s="1"/>
  <c r="AQ3468" i="22" l="1"/>
  <c r="AR3467" i="22"/>
  <c r="AP3467" i="22" s="1"/>
  <c r="AQ3469" i="22" l="1"/>
  <c r="AR3468" i="22"/>
  <c r="AP3468" i="22" s="1"/>
  <c r="AQ3470" i="22" l="1"/>
  <c r="AR3469" i="22"/>
  <c r="AP3469" i="22" s="1"/>
  <c r="AQ3471" i="22" l="1"/>
  <c r="AR3470" i="22"/>
  <c r="AP3470" i="22" s="1"/>
  <c r="AQ3472" i="22" l="1"/>
  <c r="AR3471" i="22"/>
  <c r="AP3471" i="22" s="1"/>
  <c r="AQ3473" i="22" l="1"/>
  <c r="AR3472" i="22"/>
  <c r="AP3472" i="22" s="1"/>
  <c r="AQ3474" i="22" l="1"/>
  <c r="AR3473" i="22"/>
  <c r="AP3473" i="22" s="1"/>
  <c r="AQ3475" i="22" l="1"/>
  <c r="AR3474" i="22"/>
  <c r="AP3474" i="22" s="1"/>
  <c r="AQ3476" i="22" l="1"/>
  <c r="AR3475" i="22"/>
  <c r="AP3475" i="22" s="1"/>
  <c r="AQ3477" i="22" l="1"/>
  <c r="AR3476" i="22"/>
  <c r="AP3476" i="22" s="1"/>
  <c r="AQ3478" i="22" l="1"/>
  <c r="AR3477" i="22"/>
  <c r="AP3477" i="22" s="1"/>
  <c r="AQ3479" i="22" l="1"/>
  <c r="AR3478" i="22"/>
  <c r="AP3478" i="22" s="1"/>
  <c r="AQ3480" i="22" l="1"/>
  <c r="AR3479" i="22"/>
  <c r="AP3479" i="22" s="1"/>
  <c r="AQ3481" i="22" l="1"/>
  <c r="AR3480" i="22"/>
  <c r="AP3480" i="22" s="1"/>
  <c r="AQ3482" i="22" l="1"/>
  <c r="AR3481" i="22"/>
  <c r="AP3481" i="22" s="1"/>
  <c r="AQ3483" i="22" l="1"/>
  <c r="AR3482" i="22"/>
  <c r="AP3482" i="22" s="1"/>
  <c r="AQ3484" i="22" l="1"/>
  <c r="AR3483" i="22"/>
  <c r="AP3483" i="22" s="1"/>
  <c r="AQ3485" i="22" l="1"/>
  <c r="AR3484" i="22"/>
  <c r="AP3484" i="22" s="1"/>
  <c r="AQ3486" i="22" l="1"/>
  <c r="AR3485" i="22"/>
  <c r="AP3485" i="22" s="1"/>
  <c r="AQ3487" i="22" l="1"/>
  <c r="AR3486" i="22"/>
  <c r="AP3486" i="22" s="1"/>
  <c r="AQ3488" i="22" l="1"/>
  <c r="AR3487" i="22"/>
  <c r="AP3487" i="22" s="1"/>
  <c r="AQ3489" i="22" l="1"/>
  <c r="AR3488" i="22"/>
  <c r="AP3488" i="22" s="1"/>
  <c r="AQ3490" i="22" l="1"/>
  <c r="AR3489" i="22"/>
  <c r="AP3489" i="22" s="1"/>
  <c r="AQ3491" i="22" l="1"/>
  <c r="AR3490" i="22"/>
  <c r="AP3490" i="22" s="1"/>
  <c r="AQ3492" i="22" l="1"/>
  <c r="AR3491" i="22"/>
  <c r="AP3491" i="22" s="1"/>
  <c r="AQ3493" i="22" l="1"/>
  <c r="AR3492" i="22"/>
  <c r="AP3492" i="22" s="1"/>
  <c r="AQ3494" i="22" l="1"/>
  <c r="AR3493" i="22"/>
  <c r="AP3493" i="22" s="1"/>
  <c r="AQ3495" i="22" l="1"/>
  <c r="AR3494" i="22"/>
  <c r="AP3494" i="22" s="1"/>
  <c r="AQ3496" i="22" l="1"/>
  <c r="AR3495" i="22"/>
  <c r="AP3495" i="22" s="1"/>
  <c r="AQ3497" i="22" l="1"/>
  <c r="AR3496" i="22"/>
  <c r="AP3496" i="22" s="1"/>
  <c r="AQ3498" i="22" l="1"/>
  <c r="AR3497" i="22"/>
  <c r="AP3497" i="22" s="1"/>
  <c r="AQ3499" i="22" l="1"/>
  <c r="AR3498" i="22"/>
  <c r="AP3498" i="22" s="1"/>
  <c r="AQ3500" i="22" l="1"/>
  <c r="AR3499" i="22"/>
  <c r="AP3499" i="22" s="1"/>
  <c r="AQ3501" i="22" l="1"/>
  <c r="AR3500" i="22"/>
  <c r="AP3500" i="22" s="1"/>
  <c r="AQ3502" i="22" l="1"/>
  <c r="AR3501" i="22"/>
  <c r="AP3501" i="22" s="1"/>
  <c r="AQ3503" i="22" l="1"/>
  <c r="AR3502" i="22"/>
  <c r="AP3502" i="22" s="1"/>
  <c r="AQ3504" i="22" l="1"/>
  <c r="AR3503" i="22"/>
  <c r="AP3503" i="22" s="1"/>
  <c r="AQ3505" i="22" l="1"/>
  <c r="AR3504" i="22"/>
  <c r="AP3504" i="22" s="1"/>
  <c r="AQ3506" i="22" l="1"/>
  <c r="AR3505" i="22"/>
  <c r="AP3505" i="22" s="1"/>
  <c r="AQ3507" i="22" l="1"/>
  <c r="AR3506" i="22"/>
  <c r="AP3506" i="22" s="1"/>
  <c r="AQ3508" i="22" l="1"/>
  <c r="AR3507" i="22"/>
  <c r="AP3507" i="22" s="1"/>
  <c r="AQ3509" i="22" l="1"/>
  <c r="AR3508" i="22"/>
  <c r="AP3508" i="22" s="1"/>
  <c r="AQ3510" i="22" l="1"/>
  <c r="AR3509" i="22"/>
  <c r="AP3509" i="22" s="1"/>
  <c r="AQ3511" i="22" l="1"/>
  <c r="AR3510" i="22"/>
  <c r="AP3510" i="22" s="1"/>
  <c r="AQ3512" i="22" l="1"/>
  <c r="AR3511" i="22"/>
  <c r="AP3511" i="22" s="1"/>
  <c r="AQ3513" i="22" l="1"/>
  <c r="AR3512" i="22"/>
  <c r="AP3512" i="22" s="1"/>
  <c r="AQ3514" i="22" l="1"/>
  <c r="AR3513" i="22"/>
  <c r="AP3513" i="22" s="1"/>
  <c r="AQ3515" i="22" l="1"/>
  <c r="AR3514" i="22"/>
  <c r="AP3514" i="22" s="1"/>
  <c r="AQ3516" i="22" l="1"/>
  <c r="AR3515" i="22"/>
  <c r="AP3515" i="22" s="1"/>
  <c r="AQ3517" i="22" l="1"/>
  <c r="AR3516" i="22"/>
  <c r="AP3516" i="22" s="1"/>
  <c r="AQ3518" i="22" l="1"/>
  <c r="AR3517" i="22"/>
  <c r="AP3517" i="22" s="1"/>
  <c r="AQ3519" i="22" l="1"/>
  <c r="AR3518" i="22"/>
  <c r="AP3518" i="22" s="1"/>
  <c r="AQ3520" i="22" l="1"/>
  <c r="AR3519" i="22"/>
  <c r="AP3519" i="22" s="1"/>
  <c r="AQ3521" i="22" l="1"/>
  <c r="AR3520" i="22"/>
  <c r="AP3520" i="22" s="1"/>
  <c r="AQ3522" i="22" l="1"/>
  <c r="AR3521" i="22"/>
  <c r="AP3521" i="22" s="1"/>
  <c r="AQ3523" i="22" l="1"/>
  <c r="AR3522" i="22"/>
  <c r="AP3522" i="22" s="1"/>
  <c r="AQ3524" i="22" l="1"/>
  <c r="AR3523" i="22"/>
  <c r="AP3523" i="22" s="1"/>
  <c r="AQ3525" i="22" l="1"/>
  <c r="AR3524" i="22"/>
  <c r="AP3524" i="22" s="1"/>
  <c r="AQ3526" i="22" l="1"/>
  <c r="AR3525" i="22"/>
  <c r="AP3525" i="22" s="1"/>
  <c r="AQ3527" i="22" l="1"/>
  <c r="AR3526" i="22"/>
  <c r="AP3526" i="22" s="1"/>
  <c r="AQ3528" i="22" l="1"/>
  <c r="AR3527" i="22"/>
  <c r="AP3527" i="22" s="1"/>
  <c r="AQ3529" i="22" l="1"/>
  <c r="AR3528" i="22"/>
  <c r="AP3528" i="22" s="1"/>
  <c r="AQ3530" i="22" l="1"/>
  <c r="AR3529" i="22"/>
  <c r="AP3529" i="22" s="1"/>
  <c r="AQ3531" i="22" l="1"/>
  <c r="AR3530" i="22"/>
  <c r="AP3530" i="22" s="1"/>
  <c r="AQ3532" i="22" l="1"/>
  <c r="AR3531" i="22"/>
  <c r="AP3531" i="22" s="1"/>
  <c r="AQ3533" i="22" l="1"/>
  <c r="AR3532" i="22"/>
  <c r="AP3532" i="22" s="1"/>
  <c r="AQ3534" i="22" l="1"/>
  <c r="AR3533" i="22"/>
  <c r="AP3533" i="22" s="1"/>
  <c r="AQ3535" i="22" l="1"/>
  <c r="AR3534" i="22"/>
  <c r="AP3534" i="22" s="1"/>
  <c r="AQ3536" i="22" l="1"/>
  <c r="AR3535" i="22"/>
  <c r="AP3535" i="22" s="1"/>
  <c r="AQ3537" i="22" l="1"/>
  <c r="AR3536" i="22"/>
  <c r="AP3536" i="22" s="1"/>
  <c r="AQ3538" i="22" l="1"/>
  <c r="AR3537" i="22"/>
  <c r="AP3537" i="22" s="1"/>
  <c r="AQ3539" i="22" l="1"/>
  <c r="AR3538" i="22"/>
  <c r="AP3538" i="22" s="1"/>
  <c r="AQ3540" i="22" l="1"/>
  <c r="AR3539" i="22"/>
  <c r="AP3539" i="22" s="1"/>
  <c r="AQ3541" i="22" l="1"/>
  <c r="AR3540" i="22"/>
  <c r="AP3540" i="22" s="1"/>
  <c r="AQ3542" i="22" l="1"/>
  <c r="AR3541" i="22"/>
  <c r="AP3541" i="22" s="1"/>
  <c r="AQ3543" i="22" l="1"/>
  <c r="AR3542" i="22"/>
  <c r="AP3542" i="22" s="1"/>
  <c r="AQ3544" i="22" l="1"/>
  <c r="AR3543" i="22"/>
  <c r="AP3543" i="22" s="1"/>
  <c r="AQ3545" i="22" l="1"/>
  <c r="AR3544" i="22"/>
  <c r="AP3544" i="22" s="1"/>
  <c r="AQ3546" i="22" l="1"/>
  <c r="AR3545" i="22"/>
  <c r="AP3545" i="22" s="1"/>
  <c r="AQ3547" i="22" l="1"/>
  <c r="AR3546" i="22"/>
  <c r="AP3546" i="22" s="1"/>
  <c r="AQ3548" i="22" l="1"/>
  <c r="AR3547" i="22"/>
  <c r="AP3547" i="22" s="1"/>
  <c r="AQ3549" i="22" l="1"/>
  <c r="AR3548" i="22"/>
  <c r="AP3548" i="22" s="1"/>
  <c r="AQ3550" i="22" l="1"/>
  <c r="AR3549" i="22"/>
  <c r="AP3549" i="22" s="1"/>
  <c r="AQ3551" i="22" l="1"/>
  <c r="AR3550" i="22"/>
  <c r="AP3550" i="22" s="1"/>
  <c r="AQ3552" i="22" l="1"/>
  <c r="AR3551" i="22"/>
  <c r="AP3551" i="22" s="1"/>
  <c r="AQ3553" i="22" l="1"/>
  <c r="AR3552" i="22"/>
  <c r="AP3552" i="22" s="1"/>
  <c r="AQ3554" i="22" l="1"/>
  <c r="AR3553" i="22"/>
  <c r="AP3553" i="22" s="1"/>
  <c r="AQ3555" i="22" l="1"/>
  <c r="AR3554" i="22"/>
  <c r="AP3554" i="22" s="1"/>
  <c r="AQ3556" i="22" l="1"/>
  <c r="AR3555" i="22"/>
  <c r="AP3555" i="22" s="1"/>
  <c r="AQ3557" i="22" l="1"/>
  <c r="AR3556" i="22"/>
  <c r="AP3556" i="22" s="1"/>
  <c r="AQ3558" i="22" l="1"/>
  <c r="AR3557" i="22"/>
  <c r="AP3557" i="22" s="1"/>
  <c r="AQ3559" i="22" l="1"/>
  <c r="AR3558" i="22"/>
  <c r="AP3558" i="22" s="1"/>
  <c r="AQ3560" i="22" l="1"/>
  <c r="AR3559" i="22"/>
  <c r="AP3559" i="22" s="1"/>
  <c r="AQ3561" i="22" l="1"/>
  <c r="AR3560" i="22"/>
  <c r="AP3560" i="22" s="1"/>
  <c r="AQ3562" i="22" l="1"/>
  <c r="AR3561" i="22"/>
  <c r="AP3561" i="22" s="1"/>
  <c r="AQ3563" i="22" l="1"/>
  <c r="AR3562" i="22"/>
  <c r="AP3562" i="22" s="1"/>
  <c r="AQ3564" i="22" l="1"/>
  <c r="AR3563" i="22"/>
  <c r="AP3563" i="22" s="1"/>
  <c r="AQ3565" i="22" l="1"/>
  <c r="AR3564" i="22"/>
  <c r="AP3564" i="22" s="1"/>
  <c r="AQ3566" i="22" l="1"/>
  <c r="AR3565" i="22"/>
  <c r="AP3565" i="22" s="1"/>
  <c r="AQ3567" i="22" l="1"/>
  <c r="AR3566" i="22"/>
  <c r="AP3566" i="22" s="1"/>
  <c r="AQ3568" i="22" l="1"/>
  <c r="AR3567" i="22"/>
  <c r="AP3567" i="22" s="1"/>
  <c r="AQ3569" i="22" l="1"/>
  <c r="AR3568" i="22"/>
  <c r="AP3568" i="22" s="1"/>
  <c r="AQ3570" i="22" l="1"/>
  <c r="AR3569" i="22"/>
  <c r="AP3569" i="22" s="1"/>
  <c r="AQ3571" i="22" l="1"/>
  <c r="AR3570" i="22"/>
  <c r="AP3570" i="22" s="1"/>
  <c r="AQ3572" i="22" l="1"/>
  <c r="AR3571" i="22"/>
  <c r="AP3571" i="22" s="1"/>
  <c r="AQ3573" i="22" l="1"/>
  <c r="AR3572" i="22"/>
  <c r="AP3572" i="22" s="1"/>
  <c r="AQ3574" i="22" l="1"/>
  <c r="AR3573" i="22"/>
  <c r="AP3573" i="22" s="1"/>
  <c r="AQ3575" i="22" l="1"/>
  <c r="AR3574" i="22"/>
  <c r="AP3574" i="22" s="1"/>
  <c r="AQ3576" i="22" l="1"/>
  <c r="AR3575" i="22"/>
  <c r="AP3575" i="22" s="1"/>
  <c r="AQ3577" i="22" l="1"/>
  <c r="AR3576" i="22"/>
  <c r="AP3576" i="22" s="1"/>
  <c r="AQ3578" i="22" l="1"/>
  <c r="AR3577" i="22"/>
  <c r="AP3577" i="22" s="1"/>
  <c r="AQ3579" i="22" l="1"/>
  <c r="AR3578" i="22"/>
  <c r="AP3578" i="22" s="1"/>
  <c r="AQ3580" i="22" l="1"/>
  <c r="AR3579" i="22"/>
  <c r="AP3579" i="22" s="1"/>
  <c r="AQ3581" i="22" l="1"/>
  <c r="AR3580" i="22"/>
  <c r="AP3580" i="22" s="1"/>
  <c r="AQ3582" i="22" l="1"/>
  <c r="AR3581" i="22"/>
  <c r="AP3581" i="22" s="1"/>
  <c r="AQ3583" i="22" l="1"/>
  <c r="AR3582" i="22"/>
  <c r="AP3582" i="22" s="1"/>
  <c r="AQ3584" i="22" l="1"/>
  <c r="AR3583" i="22"/>
  <c r="AP3583" i="22" s="1"/>
  <c r="AQ3585" i="22" l="1"/>
  <c r="AR3584" i="22"/>
  <c r="AP3584" i="22" s="1"/>
  <c r="AQ3586" i="22" l="1"/>
  <c r="AR3585" i="22"/>
  <c r="AP3585" i="22" s="1"/>
  <c r="AQ3587" i="22" l="1"/>
  <c r="AR3586" i="22"/>
  <c r="AP3586" i="22" s="1"/>
  <c r="AQ3588" i="22" l="1"/>
  <c r="AR3587" i="22"/>
  <c r="AP3587" i="22" s="1"/>
  <c r="AQ3589" i="22" l="1"/>
  <c r="AR3588" i="22"/>
  <c r="AP3588" i="22" s="1"/>
  <c r="AQ3590" i="22" l="1"/>
  <c r="AR3589" i="22"/>
  <c r="AP3589" i="22" s="1"/>
  <c r="AQ3591" i="22" l="1"/>
  <c r="AR3590" i="22"/>
  <c r="AP3590" i="22" s="1"/>
  <c r="AQ3592" i="22" l="1"/>
  <c r="AR3591" i="22"/>
  <c r="AP3591" i="22" s="1"/>
  <c r="AQ3593" i="22" l="1"/>
  <c r="AR3592" i="22"/>
  <c r="AP3592" i="22" s="1"/>
  <c r="AQ3594" i="22" l="1"/>
  <c r="AR3593" i="22"/>
  <c r="AP3593" i="22" s="1"/>
  <c r="AQ3595" i="22" l="1"/>
  <c r="AR3594" i="22"/>
  <c r="AP3594" i="22" s="1"/>
  <c r="AQ3596" i="22" l="1"/>
  <c r="AR3595" i="22"/>
  <c r="AP3595" i="22" s="1"/>
  <c r="AQ3597" i="22" l="1"/>
  <c r="AR3596" i="22"/>
  <c r="AP3596" i="22" s="1"/>
  <c r="AQ3598" i="22" l="1"/>
  <c r="AR3597" i="22"/>
  <c r="AP3597" i="22" s="1"/>
  <c r="AQ3599" i="22" l="1"/>
  <c r="AR3598" i="22"/>
  <c r="AP3598" i="22" s="1"/>
  <c r="AQ3600" i="22" l="1"/>
  <c r="AR3599" i="22"/>
  <c r="AP3599" i="22" s="1"/>
  <c r="AQ3601" i="22" l="1"/>
  <c r="AR3600" i="22"/>
  <c r="AP3600" i="22" s="1"/>
  <c r="AQ3602" i="22" l="1"/>
  <c r="AR3601" i="22"/>
  <c r="AP3601" i="22" s="1"/>
  <c r="AQ3603" i="22" l="1"/>
  <c r="AR3602" i="22"/>
  <c r="AP3602" i="22" s="1"/>
  <c r="AQ3604" i="22" l="1"/>
  <c r="AR3603" i="22"/>
  <c r="AP3603" i="22" s="1"/>
  <c r="AQ3605" i="22" l="1"/>
  <c r="AR3604" i="22"/>
  <c r="AP3604" i="22" s="1"/>
  <c r="AQ3606" i="22" l="1"/>
  <c r="AR3605" i="22"/>
  <c r="AP3605" i="22" s="1"/>
  <c r="AQ3607" i="22" l="1"/>
  <c r="AR3606" i="22"/>
  <c r="AP3606" i="22" s="1"/>
  <c r="AQ3608" i="22" l="1"/>
  <c r="AR3607" i="22"/>
  <c r="AP3607" i="22" s="1"/>
  <c r="AQ3609" i="22" l="1"/>
  <c r="AR3608" i="22"/>
  <c r="AP3608" i="22" s="1"/>
  <c r="AQ3610" i="22" l="1"/>
  <c r="AR3609" i="22"/>
  <c r="AP3609" i="22" s="1"/>
  <c r="AQ3611" i="22" l="1"/>
  <c r="AR3610" i="22"/>
  <c r="AP3610" i="22" s="1"/>
  <c r="AQ3612" i="22" l="1"/>
  <c r="AR3611" i="22"/>
  <c r="AP3611" i="22" s="1"/>
  <c r="AQ3613" i="22" l="1"/>
  <c r="AR3612" i="22"/>
  <c r="AP3612" i="22" s="1"/>
  <c r="AQ3614" i="22" l="1"/>
  <c r="AR3613" i="22"/>
  <c r="AP3613" i="22" s="1"/>
  <c r="AQ3615" i="22" l="1"/>
  <c r="AR3614" i="22"/>
  <c r="AP3614" i="22" s="1"/>
  <c r="AQ3616" i="22" l="1"/>
  <c r="AR3615" i="22"/>
  <c r="AP3615" i="22" s="1"/>
  <c r="AQ3617" i="22" l="1"/>
  <c r="AR3616" i="22"/>
  <c r="AP3616" i="22" s="1"/>
  <c r="AQ3618" i="22" l="1"/>
  <c r="AR3617" i="22"/>
  <c r="AP3617" i="22" s="1"/>
  <c r="AQ3619" i="22" l="1"/>
  <c r="AR3618" i="22"/>
  <c r="AP3618" i="22" s="1"/>
  <c r="AQ3620" i="22" l="1"/>
  <c r="AR3619" i="22"/>
  <c r="AP3619" i="22" s="1"/>
  <c r="AQ3621" i="22" l="1"/>
  <c r="AR3620" i="22"/>
  <c r="AP3620" i="22" s="1"/>
  <c r="AQ3622" i="22" l="1"/>
  <c r="AR3621" i="22"/>
  <c r="AP3621" i="22" s="1"/>
  <c r="AQ3623" i="22" l="1"/>
  <c r="AR3622" i="22"/>
  <c r="AP3622" i="22" s="1"/>
  <c r="AQ3624" i="22" l="1"/>
  <c r="AR3623" i="22"/>
  <c r="AP3623" i="22" s="1"/>
  <c r="AQ3625" i="22" l="1"/>
  <c r="AR3624" i="22"/>
  <c r="AP3624" i="22" s="1"/>
  <c r="AQ3626" i="22" l="1"/>
  <c r="AR3625" i="22"/>
  <c r="AP3625" i="22" s="1"/>
  <c r="AQ3627" i="22" l="1"/>
  <c r="AR3626" i="22"/>
  <c r="AP3626" i="22" s="1"/>
  <c r="AQ3628" i="22" l="1"/>
  <c r="AR3627" i="22"/>
  <c r="AP3627" i="22" s="1"/>
  <c r="AQ3629" i="22" l="1"/>
  <c r="AR3628" i="22"/>
  <c r="AP3628" i="22" s="1"/>
  <c r="AQ3630" i="22" l="1"/>
  <c r="AR3629" i="22"/>
  <c r="AP3629" i="22" s="1"/>
  <c r="AQ3631" i="22" l="1"/>
  <c r="AR3630" i="22"/>
  <c r="AP3630" i="22" s="1"/>
  <c r="AQ3632" i="22" l="1"/>
  <c r="AR3631" i="22"/>
  <c r="AP3631" i="22" s="1"/>
  <c r="AQ3633" i="22" l="1"/>
  <c r="AR3632" i="22"/>
  <c r="AP3632" i="22" s="1"/>
  <c r="AQ3634" i="22" l="1"/>
  <c r="AR3633" i="22"/>
  <c r="AP3633" i="22" s="1"/>
  <c r="AQ3635" i="22" l="1"/>
  <c r="AR3634" i="22"/>
  <c r="AP3634" i="22" s="1"/>
  <c r="AQ3636" i="22" l="1"/>
  <c r="AR3635" i="22"/>
  <c r="AP3635" i="22" s="1"/>
  <c r="AQ3637" i="22" l="1"/>
  <c r="AR3636" i="22"/>
  <c r="AP3636" i="22" s="1"/>
  <c r="AQ3638" i="22" l="1"/>
  <c r="AR3637" i="22"/>
  <c r="AP3637" i="22" s="1"/>
  <c r="AQ3639" i="22" l="1"/>
  <c r="AR3638" i="22"/>
  <c r="AP3638" i="22" s="1"/>
  <c r="AQ3640" i="22" l="1"/>
  <c r="AR3639" i="22"/>
  <c r="AP3639" i="22" s="1"/>
  <c r="AQ3641" i="22" l="1"/>
  <c r="AR3640" i="22"/>
  <c r="AP3640" i="22" s="1"/>
  <c r="AQ3642" i="22" l="1"/>
  <c r="AR3641" i="22"/>
  <c r="AP3641" i="22" s="1"/>
  <c r="AQ3643" i="22" l="1"/>
  <c r="AR3642" i="22"/>
  <c r="AP3642" i="22" s="1"/>
  <c r="AQ3644" i="22" l="1"/>
  <c r="AR3643" i="22"/>
  <c r="AP3643" i="22" s="1"/>
  <c r="AQ3645" i="22" l="1"/>
  <c r="AR3644" i="22"/>
  <c r="AP3644" i="22" s="1"/>
  <c r="AQ3646" i="22" l="1"/>
  <c r="AR3645" i="22"/>
  <c r="AP3645" i="22" s="1"/>
  <c r="AQ3647" i="22" l="1"/>
  <c r="AR3646" i="22"/>
  <c r="AP3646" i="22" s="1"/>
  <c r="AQ3648" i="22" l="1"/>
  <c r="AR3647" i="22"/>
  <c r="AP3647" i="22" s="1"/>
  <c r="AQ3649" i="22" l="1"/>
  <c r="AR3648" i="22"/>
  <c r="AP3648" i="22" s="1"/>
  <c r="AQ3650" i="22" l="1"/>
  <c r="AR3649" i="22"/>
  <c r="AP3649" i="22" s="1"/>
  <c r="AQ3651" i="22" l="1"/>
  <c r="AR3650" i="22"/>
  <c r="AP3650" i="22" s="1"/>
  <c r="AQ3652" i="22" l="1"/>
  <c r="AR3651" i="22"/>
  <c r="AP3651" i="22" s="1"/>
  <c r="AQ3653" i="22" l="1"/>
  <c r="AR3652" i="22"/>
  <c r="AP3652" i="22" s="1"/>
  <c r="AQ3654" i="22" l="1"/>
  <c r="AR3653" i="22"/>
  <c r="AP3653" i="22" s="1"/>
  <c r="AQ3655" i="22" l="1"/>
  <c r="AR3654" i="22"/>
  <c r="AP3654" i="22" s="1"/>
  <c r="AQ3656" i="22" l="1"/>
  <c r="AR3655" i="22"/>
  <c r="AP3655" i="22" s="1"/>
  <c r="AQ3657" i="22" l="1"/>
  <c r="AR3656" i="22"/>
  <c r="AP3656" i="22" s="1"/>
  <c r="AQ3658" i="22" l="1"/>
  <c r="AR3657" i="22"/>
  <c r="AP3657" i="22" s="1"/>
  <c r="AQ3659" i="22" l="1"/>
  <c r="AR3658" i="22"/>
  <c r="AP3658" i="22" s="1"/>
  <c r="AQ3660" i="22" l="1"/>
  <c r="AR3659" i="22"/>
  <c r="AP3659" i="22" s="1"/>
  <c r="AQ3661" i="22" l="1"/>
  <c r="AR3660" i="22"/>
  <c r="AP3660" i="22" s="1"/>
  <c r="AQ3662" i="22" l="1"/>
  <c r="AR3661" i="22"/>
  <c r="AP3661" i="22" s="1"/>
  <c r="AQ3663" i="22" l="1"/>
  <c r="AR3662" i="22"/>
  <c r="AP3662" i="22" s="1"/>
  <c r="AQ3664" i="22" l="1"/>
  <c r="AR3663" i="22"/>
  <c r="AP3663" i="22" s="1"/>
  <c r="AQ3665" i="22" l="1"/>
  <c r="AR3664" i="22"/>
  <c r="AP3664" i="22" s="1"/>
  <c r="AQ3666" i="22" l="1"/>
  <c r="AR3665" i="22"/>
  <c r="AP3665" i="22" s="1"/>
  <c r="AQ3667" i="22" l="1"/>
  <c r="AR3666" i="22"/>
  <c r="AP3666" i="22" s="1"/>
  <c r="AQ3668" i="22" l="1"/>
  <c r="AR3667" i="22"/>
  <c r="AP3667" i="22" s="1"/>
  <c r="AQ3669" i="22" l="1"/>
  <c r="AR3668" i="22"/>
  <c r="AP3668" i="22" s="1"/>
  <c r="AQ3670" i="22" l="1"/>
  <c r="AR3669" i="22"/>
  <c r="AP3669" i="22" s="1"/>
  <c r="AQ3671" i="22" l="1"/>
  <c r="AR3670" i="22"/>
  <c r="AP3670" i="22" s="1"/>
  <c r="AQ3672" i="22" l="1"/>
  <c r="AR3671" i="22"/>
  <c r="AP3671" i="22" s="1"/>
  <c r="AQ3673" i="22" l="1"/>
  <c r="AR3672" i="22"/>
  <c r="AP3672" i="22" s="1"/>
  <c r="AQ3674" i="22" l="1"/>
  <c r="AR3673" i="22"/>
  <c r="AP3673" i="22" s="1"/>
  <c r="AQ3675" i="22" l="1"/>
  <c r="AR3674" i="22"/>
  <c r="AP3674" i="22" s="1"/>
  <c r="AQ3676" i="22" l="1"/>
  <c r="AR3675" i="22"/>
  <c r="AP3675" i="22" s="1"/>
  <c r="AQ3677" i="22" l="1"/>
  <c r="AR3676" i="22"/>
  <c r="AP3676" i="22" s="1"/>
  <c r="AQ3678" i="22" l="1"/>
  <c r="AR3677" i="22"/>
  <c r="AP3677" i="22" s="1"/>
  <c r="AQ3679" i="22" l="1"/>
  <c r="AR3678" i="22"/>
  <c r="AP3678" i="22" s="1"/>
  <c r="AQ3680" i="22" l="1"/>
  <c r="AR3679" i="22"/>
  <c r="AP3679" i="22" s="1"/>
  <c r="AQ3681" i="22" l="1"/>
  <c r="AR3680" i="22"/>
  <c r="AP3680" i="22" s="1"/>
  <c r="AQ3682" i="22" l="1"/>
  <c r="AR3681" i="22"/>
  <c r="AP3681" i="22" s="1"/>
  <c r="AQ3683" i="22" l="1"/>
  <c r="AR3682" i="22"/>
  <c r="AP3682" i="22" s="1"/>
  <c r="AQ3684" i="22" l="1"/>
  <c r="AR3683" i="22"/>
  <c r="AP3683" i="22" s="1"/>
  <c r="AQ3685" i="22" l="1"/>
  <c r="AR3684" i="22"/>
  <c r="AP3684" i="22" s="1"/>
  <c r="AQ3686" i="22" l="1"/>
  <c r="AR3685" i="22"/>
  <c r="AP3685" i="22" s="1"/>
  <c r="AQ3687" i="22" l="1"/>
  <c r="AR3686" i="22"/>
  <c r="AP3686" i="22" s="1"/>
  <c r="AQ3688" i="22" l="1"/>
  <c r="AR3687" i="22"/>
  <c r="AP3687" i="22" s="1"/>
  <c r="AQ3689" i="22" l="1"/>
  <c r="AR3688" i="22"/>
  <c r="AP3688" i="22" s="1"/>
  <c r="AQ3690" i="22" l="1"/>
  <c r="AR3689" i="22"/>
  <c r="AP3689" i="22" s="1"/>
  <c r="AQ3691" i="22" l="1"/>
  <c r="AR3690" i="22"/>
  <c r="AP3690" i="22" s="1"/>
  <c r="AQ3692" i="22" l="1"/>
  <c r="AR3691" i="22"/>
  <c r="AP3691" i="22" s="1"/>
  <c r="AQ3693" i="22" l="1"/>
  <c r="AR3692" i="22"/>
  <c r="AP3692" i="22" s="1"/>
  <c r="AQ3694" i="22" l="1"/>
  <c r="AR3693" i="22"/>
  <c r="AP3693" i="22" s="1"/>
  <c r="AQ3695" i="22" l="1"/>
  <c r="AR3694" i="22"/>
  <c r="AP3694" i="22" s="1"/>
  <c r="AQ3696" i="22" l="1"/>
  <c r="AR3695" i="22"/>
  <c r="AP3695" i="22" s="1"/>
  <c r="AQ3697" i="22" l="1"/>
  <c r="AR3696" i="22"/>
  <c r="AP3696" i="22" s="1"/>
  <c r="AQ3698" i="22" l="1"/>
  <c r="AR3697" i="22"/>
  <c r="AP3697" i="22" s="1"/>
  <c r="AQ3699" i="22" l="1"/>
  <c r="AR3698" i="22"/>
  <c r="AP3698" i="22" s="1"/>
  <c r="AQ3700" i="22" l="1"/>
  <c r="AR3699" i="22"/>
  <c r="AP3699" i="22" s="1"/>
  <c r="AQ3701" i="22" l="1"/>
  <c r="AR3700" i="22"/>
  <c r="AP3700" i="22" s="1"/>
  <c r="AQ3702" i="22" l="1"/>
  <c r="AR3701" i="22"/>
  <c r="AP3701" i="22" s="1"/>
  <c r="AQ3703" i="22" l="1"/>
  <c r="AR3702" i="22"/>
  <c r="AP3702" i="22" s="1"/>
  <c r="AQ3704" i="22" l="1"/>
  <c r="AR3703" i="22"/>
  <c r="AP3703" i="22" s="1"/>
  <c r="AQ3705" i="22" l="1"/>
  <c r="AR3704" i="22"/>
  <c r="AP3704" i="22" s="1"/>
  <c r="AQ3706" i="22" l="1"/>
  <c r="AR3705" i="22"/>
  <c r="AP3705" i="22" s="1"/>
  <c r="AQ3707" i="22" l="1"/>
  <c r="AR3706" i="22"/>
  <c r="AP3706" i="22" s="1"/>
  <c r="AQ3708" i="22" l="1"/>
  <c r="AR3707" i="22"/>
  <c r="AP3707" i="22" s="1"/>
  <c r="AQ3709" i="22" l="1"/>
  <c r="AR3708" i="22"/>
  <c r="AP3708" i="22" s="1"/>
  <c r="AQ3710" i="22" l="1"/>
  <c r="AR3709" i="22"/>
  <c r="AP3709" i="22" s="1"/>
  <c r="AQ3711" i="22" l="1"/>
  <c r="AR3710" i="22"/>
  <c r="AP3710" i="22" s="1"/>
  <c r="AQ3712" i="22" l="1"/>
  <c r="AR3711" i="22"/>
  <c r="AP3711" i="22" s="1"/>
  <c r="AQ3713" i="22" l="1"/>
  <c r="AR3712" i="22"/>
  <c r="AP3712" i="22" s="1"/>
  <c r="AQ3714" i="22" l="1"/>
  <c r="AR3713" i="22"/>
  <c r="AP3713" i="22" s="1"/>
  <c r="AQ3715" i="22" l="1"/>
  <c r="AR3714" i="22"/>
  <c r="AP3714" i="22" s="1"/>
  <c r="AQ3716" i="22" l="1"/>
  <c r="AR3715" i="22"/>
  <c r="AP3715" i="22" s="1"/>
  <c r="AQ3717" i="22" l="1"/>
  <c r="AR3716" i="22"/>
  <c r="AP3716" i="22" s="1"/>
  <c r="AQ3718" i="22" l="1"/>
  <c r="AR3717" i="22"/>
  <c r="AP3717" i="22" s="1"/>
  <c r="AQ3719" i="22" l="1"/>
  <c r="AR3718" i="22"/>
  <c r="AP3718" i="22" s="1"/>
  <c r="AQ3720" i="22" l="1"/>
  <c r="AR3719" i="22"/>
  <c r="AP3719" i="22" s="1"/>
  <c r="AQ3721" i="22" l="1"/>
  <c r="AR3720" i="22"/>
  <c r="AP3720" i="22" s="1"/>
  <c r="AQ3722" i="22" l="1"/>
  <c r="AR3721" i="22"/>
  <c r="AP3721" i="22" s="1"/>
  <c r="AQ3723" i="22" l="1"/>
  <c r="AR3722" i="22"/>
  <c r="AP3722" i="22" s="1"/>
  <c r="AQ3724" i="22" l="1"/>
  <c r="AR3723" i="22"/>
  <c r="AP3723" i="22" s="1"/>
  <c r="AQ3725" i="22" l="1"/>
  <c r="AR3724" i="22"/>
  <c r="AP3724" i="22" s="1"/>
  <c r="AQ3726" i="22" l="1"/>
  <c r="AR3725" i="22"/>
  <c r="AP3725" i="22" s="1"/>
  <c r="AQ3727" i="22" l="1"/>
  <c r="AR3726" i="22"/>
  <c r="AP3726" i="22" s="1"/>
  <c r="AQ3728" i="22" l="1"/>
  <c r="AR3727" i="22"/>
  <c r="AP3727" i="22" s="1"/>
  <c r="AQ3729" i="22" l="1"/>
  <c r="AR3728" i="22"/>
  <c r="AP3728" i="22" s="1"/>
  <c r="AQ3730" i="22" l="1"/>
  <c r="AR3729" i="22"/>
  <c r="AP3729" i="22" s="1"/>
  <c r="AQ3731" i="22" l="1"/>
  <c r="AR3730" i="22"/>
  <c r="AP3730" i="22" s="1"/>
  <c r="AQ3732" i="22" l="1"/>
  <c r="AR3731" i="22"/>
  <c r="AP3731" i="22" s="1"/>
  <c r="AQ3733" i="22" l="1"/>
  <c r="AR3732" i="22"/>
  <c r="AP3732" i="22" s="1"/>
  <c r="AQ3734" i="22" l="1"/>
  <c r="AR3733" i="22"/>
  <c r="AP3733" i="22" s="1"/>
  <c r="AQ3735" i="22" l="1"/>
  <c r="AR3734" i="22"/>
  <c r="AP3734" i="22" s="1"/>
  <c r="AQ3736" i="22" l="1"/>
  <c r="AR3735" i="22"/>
  <c r="AP3735" i="22" s="1"/>
  <c r="AQ3737" i="22" l="1"/>
  <c r="AR3736" i="22"/>
  <c r="AP3736" i="22" s="1"/>
  <c r="AQ3738" i="22" l="1"/>
  <c r="AR3737" i="22"/>
  <c r="AP3737" i="22" s="1"/>
  <c r="AQ3739" i="22" l="1"/>
  <c r="AR3738" i="22"/>
  <c r="AP3738" i="22" s="1"/>
  <c r="AQ3740" i="22" l="1"/>
  <c r="AR3739" i="22"/>
  <c r="AP3739" i="22" s="1"/>
  <c r="AQ3741" i="22" l="1"/>
  <c r="AR3740" i="22"/>
  <c r="AP3740" i="22" s="1"/>
  <c r="AQ3742" i="22" l="1"/>
  <c r="AR3741" i="22"/>
  <c r="AP3741" i="22" s="1"/>
  <c r="AQ3743" i="22" l="1"/>
  <c r="AR3742" i="22"/>
  <c r="AP3742" i="22" s="1"/>
  <c r="AQ3744" i="22" l="1"/>
  <c r="AR3743" i="22"/>
  <c r="AP3743" i="22" s="1"/>
  <c r="AQ3745" i="22" l="1"/>
  <c r="AR3744" i="22"/>
  <c r="AP3744" i="22" s="1"/>
  <c r="AQ3746" i="22" l="1"/>
  <c r="AR3745" i="22"/>
  <c r="AP3745" i="22" s="1"/>
  <c r="AQ3747" i="22" l="1"/>
  <c r="AR3746" i="22"/>
  <c r="AP3746" i="22" s="1"/>
  <c r="AQ3748" i="22" l="1"/>
  <c r="AR3747" i="22"/>
  <c r="AP3747" i="22" s="1"/>
  <c r="AQ3749" i="22" l="1"/>
  <c r="AR3748" i="22"/>
  <c r="AP3748" i="22" s="1"/>
  <c r="AQ3750" i="22" l="1"/>
  <c r="AR3749" i="22"/>
  <c r="AP3749" i="22" s="1"/>
  <c r="AQ3751" i="22" l="1"/>
  <c r="AR3750" i="22"/>
  <c r="AP3750" i="22" s="1"/>
  <c r="AQ3752" i="22" l="1"/>
  <c r="AR3751" i="22"/>
  <c r="AP3751" i="22" s="1"/>
  <c r="AQ3753" i="22" l="1"/>
  <c r="AR3752" i="22"/>
  <c r="AP3752" i="22" s="1"/>
  <c r="AQ3754" i="22" l="1"/>
  <c r="AR3753" i="22"/>
  <c r="AP3753" i="22" s="1"/>
  <c r="AQ3755" i="22" l="1"/>
  <c r="AR3754" i="22"/>
  <c r="AP3754" i="22" s="1"/>
  <c r="AQ3756" i="22" l="1"/>
  <c r="AR3755" i="22"/>
  <c r="AP3755" i="22" s="1"/>
  <c r="AQ3757" i="22" l="1"/>
  <c r="AR3756" i="22"/>
  <c r="AP3756" i="22" s="1"/>
  <c r="AQ3758" i="22" l="1"/>
  <c r="AR3757" i="22"/>
  <c r="AP3757" i="22" s="1"/>
  <c r="AQ3759" i="22" l="1"/>
  <c r="AR3758" i="22"/>
  <c r="AP3758" i="22" s="1"/>
  <c r="AQ3760" i="22" l="1"/>
  <c r="AR3759" i="22"/>
  <c r="AP3759" i="22" s="1"/>
  <c r="AQ3761" i="22" l="1"/>
  <c r="AR3760" i="22"/>
  <c r="AP3760" i="22" s="1"/>
  <c r="AQ3762" i="22" l="1"/>
  <c r="AR3761" i="22"/>
  <c r="AP3761" i="22" s="1"/>
  <c r="AQ3763" i="22" l="1"/>
  <c r="AR3762" i="22"/>
  <c r="AP3762" i="22" s="1"/>
  <c r="AQ3764" i="22" l="1"/>
  <c r="AR3763" i="22"/>
  <c r="AP3763" i="22" s="1"/>
  <c r="AQ3765" i="22" l="1"/>
  <c r="AR3764" i="22"/>
  <c r="AP3764" i="22" s="1"/>
  <c r="AQ3766" i="22" l="1"/>
  <c r="AR3765" i="22"/>
  <c r="AP3765" i="22" s="1"/>
  <c r="AQ3767" i="22" l="1"/>
  <c r="AR3766" i="22"/>
  <c r="AP3766" i="22" s="1"/>
  <c r="AQ3768" i="22" l="1"/>
  <c r="AR3767" i="22"/>
  <c r="AP3767" i="22" s="1"/>
  <c r="AQ3769" i="22" l="1"/>
  <c r="AR3768" i="22"/>
  <c r="AP3768" i="22" s="1"/>
  <c r="AQ3770" i="22" l="1"/>
  <c r="AR3769" i="22"/>
  <c r="AP3769" i="22" s="1"/>
  <c r="AQ3771" i="22" l="1"/>
  <c r="AR3770" i="22"/>
  <c r="AP3770" i="22" s="1"/>
  <c r="AQ3772" i="22" l="1"/>
  <c r="AR3771" i="22"/>
  <c r="AP3771" i="22" s="1"/>
  <c r="AQ3773" i="22" l="1"/>
  <c r="AR3772" i="22"/>
  <c r="AP3772" i="22" s="1"/>
  <c r="AQ3774" i="22" l="1"/>
  <c r="AR3773" i="22"/>
  <c r="AP3773" i="22" s="1"/>
  <c r="AQ3775" i="22" l="1"/>
  <c r="AR3774" i="22"/>
  <c r="AP3774" i="22" s="1"/>
  <c r="AQ3776" i="22" l="1"/>
  <c r="AR3775" i="22"/>
  <c r="AP3775" i="22" s="1"/>
  <c r="AQ3777" i="22" l="1"/>
  <c r="AR3776" i="22"/>
  <c r="AP3776" i="22" s="1"/>
  <c r="AQ3778" i="22" l="1"/>
  <c r="AR3777" i="22"/>
  <c r="AP3777" i="22" s="1"/>
  <c r="AQ3779" i="22" l="1"/>
  <c r="AR3778" i="22"/>
  <c r="AP3778" i="22" s="1"/>
  <c r="AQ3780" i="22" l="1"/>
  <c r="AR3779" i="22"/>
  <c r="AP3779" i="22" s="1"/>
  <c r="AQ3781" i="22" l="1"/>
  <c r="AR3780" i="22"/>
  <c r="AP3780" i="22" s="1"/>
  <c r="AQ3782" i="22" l="1"/>
  <c r="AR3781" i="22"/>
  <c r="AP3781" i="22" s="1"/>
  <c r="AQ3783" i="22" l="1"/>
  <c r="AR3782" i="22"/>
  <c r="AP3782" i="22" s="1"/>
  <c r="AQ3784" i="22" l="1"/>
  <c r="AR3783" i="22"/>
  <c r="AP3783" i="22" s="1"/>
  <c r="AQ3785" i="22" l="1"/>
  <c r="AR3784" i="22"/>
  <c r="AP3784" i="22" s="1"/>
  <c r="AQ3786" i="22" l="1"/>
  <c r="AR3785" i="22"/>
  <c r="AP3785" i="22" s="1"/>
  <c r="AQ3787" i="22" l="1"/>
  <c r="AR3786" i="22"/>
  <c r="AP3786" i="22" s="1"/>
  <c r="AQ3788" i="22" l="1"/>
  <c r="AR3787" i="22"/>
  <c r="AP3787" i="22" s="1"/>
  <c r="AQ3789" i="22" l="1"/>
  <c r="AR3788" i="22"/>
  <c r="AP3788" i="22" s="1"/>
  <c r="AQ3790" i="22" l="1"/>
  <c r="AR3789" i="22"/>
  <c r="AP3789" i="22" s="1"/>
  <c r="AQ3791" i="22" l="1"/>
  <c r="AR3790" i="22"/>
  <c r="AP3790" i="22" s="1"/>
  <c r="AQ3792" i="22" l="1"/>
  <c r="AR3791" i="22"/>
  <c r="AP3791" i="22" s="1"/>
  <c r="AQ3793" i="22" l="1"/>
  <c r="AR3792" i="22"/>
  <c r="AP3792" i="22" s="1"/>
  <c r="AQ3794" i="22" l="1"/>
  <c r="AR3793" i="22"/>
  <c r="AP3793" i="22" s="1"/>
  <c r="AQ3795" i="22" l="1"/>
  <c r="AR3794" i="22"/>
  <c r="AP3794" i="22" s="1"/>
  <c r="AQ3796" i="22" l="1"/>
  <c r="AR3795" i="22"/>
  <c r="AP3795" i="22" s="1"/>
  <c r="AQ3797" i="22" l="1"/>
  <c r="AR3796" i="22"/>
  <c r="AP3796" i="22" s="1"/>
  <c r="AQ3798" i="22" l="1"/>
  <c r="AR3797" i="22"/>
  <c r="AP3797" i="22" s="1"/>
  <c r="AQ3799" i="22" l="1"/>
  <c r="AR3798" i="22"/>
  <c r="AP3798" i="22" s="1"/>
  <c r="AQ3800" i="22" l="1"/>
  <c r="AR3799" i="22"/>
  <c r="AP3799" i="22" s="1"/>
  <c r="AQ3801" i="22" l="1"/>
  <c r="AR3800" i="22"/>
  <c r="AP3800" i="22" s="1"/>
  <c r="AQ3802" i="22" l="1"/>
  <c r="AR3801" i="22"/>
  <c r="AP3801" i="22" s="1"/>
  <c r="AQ3803" i="22" l="1"/>
  <c r="AR3802" i="22"/>
  <c r="AP3802" i="22" s="1"/>
  <c r="AQ3804" i="22" l="1"/>
  <c r="AR3803" i="22"/>
  <c r="AP3803" i="22" s="1"/>
  <c r="AQ3805" i="22" l="1"/>
  <c r="AR3804" i="22"/>
  <c r="AP3804" i="22" s="1"/>
  <c r="AQ3806" i="22" l="1"/>
  <c r="AR3805" i="22"/>
  <c r="AP3805" i="22" s="1"/>
  <c r="AQ3807" i="22" l="1"/>
  <c r="AR3806" i="22"/>
  <c r="AP3806" i="22" s="1"/>
  <c r="AQ3808" i="22" l="1"/>
  <c r="AR3807" i="22"/>
  <c r="AP3807" i="22" s="1"/>
  <c r="AQ3809" i="22" l="1"/>
  <c r="AR3808" i="22"/>
  <c r="AP3808" i="22" s="1"/>
  <c r="AQ3810" i="22" l="1"/>
  <c r="AR3809" i="22"/>
  <c r="AP3809" i="22" s="1"/>
  <c r="AQ3811" i="22" l="1"/>
  <c r="AR3810" i="22"/>
  <c r="AP3810" i="22" s="1"/>
  <c r="AQ3812" i="22" l="1"/>
  <c r="AR3811" i="22"/>
  <c r="AP3811" i="22" s="1"/>
  <c r="AQ3813" i="22" l="1"/>
  <c r="AR3812" i="22"/>
  <c r="AP3812" i="22" s="1"/>
  <c r="AQ3814" i="22" l="1"/>
  <c r="AR3813" i="22"/>
  <c r="AP3813" i="22" s="1"/>
  <c r="AQ3815" i="22" l="1"/>
  <c r="AR3814" i="22"/>
  <c r="AP3814" i="22" s="1"/>
  <c r="AQ3816" i="22" l="1"/>
  <c r="AR3815" i="22"/>
  <c r="AP3815" i="22" s="1"/>
  <c r="AQ3817" i="22" l="1"/>
  <c r="AR3816" i="22"/>
  <c r="AP3816" i="22" s="1"/>
  <c r="AQ3818" i="22" l="1"/>
  <c r="AR3817" i="22"/>
  <c r="AP3817" i="22" s="1"/>
  <c r="AQ3819" i="22" l="1"/>
  <c r="AR3818" i="22"/>
  <c r="AP3818" i="22" s="1"/>
  <c r="AQ3820" i="22" l="1"/>
  <c r="AR3819" i="22"/>
  <c r="AP3819" i="22" s="1"/>
  <c r="AQ3821" i="22" l="1"/>
  <c r="AR3820" i="22"/>
  <c r="AP3820" i="22" s="1"/>
  <c r="AQ3822" i="22" l="1"/>
  <c r="AR3821" i="22"/>
  <c r="AP3821" i="22" s="1"/>
  <c r="AQ3823" i="22" l="1"/>
  <c r="AR3822" i="22"/>
  <c r="AP3822" i="22" s="1"/>
  <c r="AQ3824" i="22" l="1"/>
  <c r="AR3823" i="22"/>
  <c r="AP3823" i="22" s="1"/>
  <c r="AQ3825" i="22" l="1"/>
  <c r="AR3824" i="22"/>
  <c r="AP3824" i="22" s="1"/>
  <c r="AQ3826" i="22" l="1"/>
  <c r="AR3825" i="22"/>
  <c r="AP3825" i="22" s="1"/>
  <c r="AQ3827" i="22" l="1"/>
  <c r="AR3826" i="22"/>
  <c r="AP3826" i="22" s="1"/>
  <c r="AQ3828" i="22" l="1"/>
  <c r="AR3827" i="22"/>
  <c r="AP3827" i="22" s="1"/>
  <c r="AQ3829" i="22" l="1"/>
  <c r="AR3828" i="22"/>
  <c r="AP3828" i="22" s="1"/>
  <c r="AQ3830" i="22" l="1"/>
  <c r="AR3829" i="22"/>
  <c r="AP3829" i="22" s="1"/>
  <c r="AQ3831" i="22" l="1"/>
  <c r="AR3830" i="22"/>
  <c r="AP3830" i="22" s="1"/>
  <c r="AQ3832" i="22" l="1"/>
  <c r="AR3831" i="22"/>
  <c r="AP3831" i="22" s="1"/>
  <c r="AQ3833" i="22" l="1"/>
  <c r="AR3832" i="22"/>
  <c r="AP3832" i="22" s="1"/>
  <c r="AQ3834" i="22" l="1"/>
  <c r="AR3833" i="22"/>
  <c r="AP3833" i="22" s="1"/>
  <c r="AQ3835" i="22" l="1"/>
  <c r="AR3834" i="22"/>
  <c r="AP3834" i="22" s="1"/>
  <c r="AQ3836" i="22" l="1"/>
  <c r="AR3835" i="22"/>
  <c r="AP3835" i="22" s="1"/>
  <c r="AQ3837" i="22" l="1"/>
  <c r="AR3836" i="22"/>
  <c r="AP3836" i="22" s="1"/>
  <c r="AQ3838" i="22" l="1"/>
  <c r="AR3837" i="22"/>
  <c r="AP3837" i="22" s="1"/>
  <c r="AQ3839" i="22" l="1"/>
  <c r="AR3838" i="22"/>
  <c r="AP3838" i="22" s="1"/>
  <c r="AQ3840" i="22" l="1"/>
  <c r="AR3839" i="22"/>
  <c r="AP3839" i="22" s="1"/>
  <c r="AQ3841" i="22" l="1"/>
  <c r="AR3840" i="22"/>
  <c r="AP3840" i="22" s="1"/>
  <c r="AQ3842" i="22" l="1"/>
  <c r="AR3841" i="22"/>
  <c r="AP3841" i="22" s="1"/>
  <c r="AQ3843" i="22" l="1"/>
  <c r="AR3842" i="22"/>
  <c r="AP3842" i="22" s="1"/>
  <c r="AQ3844" i="22" l="1"/>
  <c r="AR3843" i="22"/>
  <c r="AP3843" i="22" s="1"/>
  <c r="AQ3845" i="22" l="1"/>
  <c r="AR3844" i="22"/>
  <c r="AP3844" i="22" s="1"/>
  <c r="AQ3846" i="22" l="1"/>
  <c r="AR3845" i="22"/>
  <c r="AP3845" i="22" s="1"/>
  <c r="AQ3847" i="22" l="1"/>
  <c r="AR3846" i="22"/>
  <c r="AP3846" i="22" s="1"/>
  <c r="AQ3848" i="22" l="1"/>
  <c r="AR3847" i="22"/>
  <c r="AP3847" i="22" s="1"/>
  <c r="AQ3849" i="22" l="1"/>
  <c r="AR3848" i="22"/>
  <c r="AP3848" i="22" s="1"/>
  <c r="AQ3850" i="22" l="1"/>
  <c r="AR3849" i="22"/>
  <c r="AP3849" i="22" s="1"/>
  <c r="AQ3851" i="22" l="1"/>
  <c r="AR3850" i="22"/>
  <c r="AP3850" i="22" s="1"/>
  <c r="AQ3852" i="22" l="1"/>
  <c r="AR3851" i="22"/>
  <c r="AP3851" i="22" s="1"/>
  <c r="AQ3853" i="22" l="1"/>
  <c r="AR3852" i="22"/>
  <c r="AP3852" i="22" s="1"/>
  <c r="AQ3854" i="22" l="1"/>
  <c r="AR3853" i="22"/>
  <c r="AP3853" i="22" s="1"/>
  <c r="AQ3855" i="22" l="1"/>
  <c r="AR3854" i="22"/>
  <c r="AP3854" i="22" s="1"/>
  <c r="AQ3856" i="22" l="1"/>
  <c r="AR3855" i="22"/>
  <c r="AP3855" i="22" s="1"/>
  <c r="AQ3857" i="22" l="1"/>
  <c r="AR3856" i="22"/>
  <c r="AP3856" i="22" s="1"/>
  <c r="AQ3858" i="22" l="1"/>
  <c r="AR3857" i="22"/>
  <c r="AP3857" i="22" s="1"/>
  <c r="AQ3859" i="22" l="1"/>
  <c r="AR3858" i="22"/>
  <c r="AP3858" i="22" s="1"/>
  <c r="AQ3860" i="22" l="1"/>
  <c r="AR3859" i="22"/>
  <c r="AP3859" i="22" s="1"/>
  <c r="AQ3861" i="22" l="1"/>
  <c r="AR3860" i="22"/>
  <c r="AP3860" i="22" s="1"/>
  <c r="AQ3862" i="22" l="1"/>
  <c r="AR3861" i="22"/>
  <c r="AP3861" i="22" s="1"/>
  <c r="AQ3863" i="22" l="1"/>
  <c r="AR3862" i="22"/>
  <c r="AP3862" i="22" s="1"/>
  <c r="AQ3864" i="22" l="1"/>
  <c r="AR3863" i="22"/>
  <c r="AP3863" i="22" s="1"/>
  <c r="AQ3865" i="22" l="1"/>
  <c r="AR3864" i="22"/>
  <c r="AP3864" i="22" s="1"/>
  <c r="AQ3866" i="22" l="1"/>
  <c r="AR3865" i="22"/>
  <c r="AP3865" i="22" s="1"/>
  <c r="AQ3867" i="22" l="1"/>
  <c r="AR3866" i="22"/>
  <c r="AP3866" i="22" s="1"/>
  <c r="AQ3868" i="22" l="1"/>
  <c r="AR3867" i="22"/>
  <c r="AP3867" i="22" s="1"/>
  <c r="AQ3869" i="22" l="1"/>
  <c r="AR3868" i="22"/>
  <c r="AP3868" i="22" s="1"/>
  <c r="AQ3870" i="22" l="1"/>
  <c r="AR3869" i="22"/>
  <c r="AP3869" i="22" s="1"/>
  <c r="AQ3871" i="22" l="1"/>
  <c r="AR3870" i="22"/>
  <c r="AP3870" i="22" s="1"/>
  <c r="AQ3872" i="22" l="1"/>
  <c r="AR3871" i="22"/>
  <c r="AP3871" i="22" s="1"/>
  <c r="AQ3873" i="22" l="1"/>
  <c r="AR3872" i="22"/>
  <c r="AP3872" i="22" s="1"/>
  <c r="AQ3874" i="22" l="1"/>
  <c r="AR3873" i="22"/>
  <c r="AP3873" i="22" s="1"/>
  <c r="AQ3875" i="22" l="1"/>
  <c r="AR3874" i="22"/>
  <c r="AP3874" i="22" s="1"/>
  <c r="AQ3876" i="22" l="1"/>
  <c r="AR3875" i="22"/>
  <c r="AP3875" i="22" s="1"/>
  <c r="AQ3877" i="22" l="1"/>
  <c r="AR3876" i="22"/>
  <c r="AP3876" i="22" s="1"/>
  <c r="AQ3878" i="22" l="1"/>
  <c r="AR3877" i="22"/>
  <c r="AP3877" i="22" s="1"/>
  <c r="AQ3879" i="22" l="1"/>
  <c r="AR3878" i="22"/>
  <c r="AP3878" i="22" s="1"/>
  <c r="AQ3880" i="22" l="1"/>
  <c r="AR3879" i="22"/>
  <c r="AP3879" i="22" s="1"/>
  <c r="AQ3881" i="22" l="1"/>
  <c r="AR3880" i="22"/>
  <c r="AP3880" i="22" s="1"/>
  <c r="AQ3882" i="22" l="1"/>
  <c r="AR3881" i="22"/>
  <c r="AP3881" i="22" s="1"/>
  <c r="AQ3883" i="22" l="1"/>
  <c r="AR3882" i="22"/>
  <c r="AP3882" i="22" s="1"/>
  <c r="AQ3884" i="22" l="1"/>
  <c r="AR3883" i="22"/>
  <c r="AP3883" i="22" s="1"/>
  <c r="AQ3885" i="22" l="1"/>
  <c r="AR3884" i="22"/>
  <c r="AP3884" i="22" s="1"/>
  <c r="AQ3886" i="22" l="1"/>
  <c r="AR3885" i="22"/>
  <c r="AP3885" i="22" s="1"/>
  <c r="AQ3887" i="22" l="1"/>
  <c r="AR3886" i="22"/>
  <c r="AP3886" i="22" s="1"/>
  <c r="AQ3888" i="22" l="1"/>
  <c r="AR3887" i="22"/>
  <c r="AP3887" i="22" s="1"/>
  <c r="AQ3889" i="22" l="1"/>
  <c r="AR3888" i="22"/>
  <c r="AP3888" i="22" s="1"/>
  <c r="AQ3890" i="22" l="1"/>
  <c r="AR3889" i="22"/>
  <c r="AP3889" i="22" s="1"/>
  <c r="AQ3891" i="22" l="1"/>
  <c r="AR3890" i="22"/>
  <c r="AP3890" i="22" s="1"/>
  <c r="AQ3892" i="22" l="1"/>
  <c r="AR3891" i="22"/>
  <c r="AP3891" i="22" s="1"/>
  <c r="AQ3893" i="22" l="1"/>
  <c r="AR3892" i="22"/>
  <c r="AP3892" i="22" s="1"/>
  <c r="AQ3894" i="22" l="1"/>
  <c r="AR3893" i="22"/>
  <c r="AP3893" i="22" s="1"/>
  <c r="AQ3895" i="22" l="1"/>
  <c r="AR3894" i="22"/>
  <c r="AP3894" i="22" s="1"/>
  <c r="AQ3896" i="22" l="1"/>
  <c r="AR3895" i="22"/>
  <c r="AP3895" i="22" s="1"/>
  <c r="AQ3897" i="22" l="1"/>
  <c r="AR3896" i="22"/>
  <c r="AP3896" i="22" s="1"/>
  <c r="AQ3898" i="22" l="1"/>
  <c r="AR3897" i="22"/>
  <c r="AP3897" i="22" s="1"/>
  <c r="AQ3899" i="22" l="1"/>
  <c r="AR3898" i="22"/>
  <c r="AP3898" i="22" s="1"/>
  <c r="AQ3900" i="22" l="1"/>
  <c r="AR3899" i="22"/>
  <c r="AP3899" i="22" s="1"/>
  <c r="AQ3901" i="22" l="1"/>
  <c r="AR3900" i="22"/>
  <c r="AP3900" i="22" s="1"/>
  <c r="AQ3902" i="22" l="1"/>
  <c r="AR3901" i="22"/>
  <c r="AP3901" i="22" s="1"/>
  <c r="AQ3903" i="22" l="1"/>
  <c r="AR3902" i="22"/>
  <c r="AP3902" i="22" s="1"/>
  <c r="AQ3904" i="22" l="1"/>
  <c r="AR3903" i="22"/>
  <c r="AP3903" i="22" s="1"/>
  <c r="AQ3905" i="22" l="1"/>
  <c r="AR3904" i="22"/>
  <c r="AP3904" i="22" s="1"/>
  <c r="AQ3906" i="22" l="1"/>
  <c r="AR3905" i="22"/>
  <c r="AP3905" i="22" s="1"/>
  <c r="AQ3907" i="22" l="1"/>
  <c r="AR3906" i="22"/>
  <c r="AP3906" i="22" s="1"/>
  <c r="AQ3908" i="22" l="1"/>
  <c r="AR3907" i="22"/>
  <c r="AP3907" i="22" s="1"/>
  <c r="AQ3909" i="22" l="1"/>
  <c r="AR3908" i="22"/>
  <c r="AP3908" i="22" s="1"/>
  <c r="AQ3910" i="22" l="1"/>
  <c r="AR3909" i="22"/>
  <c r="AP3909" i="22" s="1"/>
  <c r="AQ3911" i="22" l="1"/>
  <c r="AR3910" i="22"/>
  <c r="AP3910" i="22" s="1"/>
  <c r="AQ3912" i="22" l="1"/>
  <c r="AR3911" i="22"/>
  <c r="AP3911" i="22" s="1"/>
  <c r="AQ3913" i="22" l="1"/>
  <c r="AR3912" i="22"/>
  <c r="AP3912" i="22" s="1"/>
  <c r="AQ3914" i="22" l="1"/>
  <c r="AR3913" i="22"/>
  <c r="AP3913" i="22" s="1"/>
  <c r="AQ3915" i="22" l="1"/>
  <c r="AR3914" i="22"/>
  <c r="AP3914" i="22" s="1"/>
  <c r="AQ3916" i="22" l="1"/>
  <c r="AR3915" i="22"/>
  <c r="AP3915" i="22" s="1"/>
  <c r="AQ3917" i="22" l="1"/>
  <c r="AR3916" i="22"/>
  <c r="AP3916" i="22" s="1"/>
  <c r="AQ3918" i="22" l="1"/>
  <c r="AR3917" i="22"/>
  <c r="AP3917" i="22" s="1"/>
  <c r="AQ3919" i="22" l="1"/>
  <c r="AR3918" i="22"/>
  <c r="AP3918" i="22" s="1"/>
  <c r="AQ3920" i="22" l="1"/>
  <c r="AR3919" i="22"/>
  <c r="AP3919" i="22" s="1"/>
  <c r="AQ3921" i="22" l="1"/>
  <c r="AR3920" i="22"/>
  <c r="AP3920" i="22" s="1"/>
  <c r="AQ3922" i="22" l="1"/>
  <c r="AR3921" i="22"/>
  <c r="AP3921" i="22" s="1"/>
  <c r="AQ3923" i="22" l="1"/>
  <c r="AR3922" i="22"/>
  <c r="AP3922" i="22" s="1"/>
  <c r="AQ3924" i="22" l="1"/>
  <c r="AR3923" i="22"/>
  <c r="AP3923" i="22" s="1"/>
  <c r="AQ3925" i="22" l="1"/>
  <c r="AR3924" i="22"/>
  <c r="AP3924" i="22" s="1"/>
  <c r="AQ3926" i="22" l="1"/>
  <c r="AR3925" i="22"/>
  <c r="AP3925" i="22" s="1"/>
  <c r="AQ3927" i="22" l="1"/>
  <c r="AR3926" i="22"/>
  <c r="AP3926" i="22" s="1"/>
  <c r="AQ3928" i="22" l="1"/>
  <c r="AR3927" i="22"/>
  <c r="AP3927" i="22" s="1"/>
  <c r="AQ3929" i="22" l="1"/>
  <c r="AR3928" i="22"/>
  <c r="AP3928" i="22" s="1"/>
  <c r="AQ3930" i="22" l="1"/>
  <c r="AR3929" i="22"/>
  <c r="AP3929" i="22" s="1"/>
  <c r="AQ3931" i="22" l="1"/>
  <c r="AR3930" i="22"/>
  <c r="AP3930" i="22" s="1"/>
  <c r="AQ3932" i="22" l="1"/>
  <c r="AR3931" i="22"/>
  <c r="AP3931" i="22" s="1"/>
  <c r="AQ3933" i="22" l="1"/>
  <c r="AR3932" i="22"/>
  <c r="AP3932" i="22" s="1"/>
  <c r="AQ3934" i="22" l="1"/>
  <c r="AR3933" i="22"/>
  <c r="AP3933" i="22" s="1"/>
  <c r="AQ3935" i="22" l="1"/>
  <c r="AR3934" i="22"/>
  <c r="AP3934" i="22" s="1"/>
  <c r="AQ3936" i="22" l="1"/>
  <c r="AR3935" i="22"/>
  <c r="AP3935" i="22" s="1"/>
  <c r="AQ3937" i="22" l="1"/>
  <c r="AR3936" i="22"/>
  <c r="AP3936" i="22" s="1"/>
  <c r="AQ3938" i="22" l="1"/>
  <c r="AR3937" i="22"/>
  <c r="AP3937" i="22" s="1"/>
  <c r="AQ3939" i="22" l="1"/>
  <c r="AR3938" i="22"/>
  <c r="AP3938" i="22" s="1"/>
  <c r="AQ3940" i="22" l="1"/>
  <c r="AR3939" i="22"/>
  <c r="AP3939" i="22" s="1"/>
  <c r="AQ3941" i="22" l="1"/>
  <c r="AR3940" i="22"/>
  <c r="AP3940" i="22" s="1"/>
  <c r="AQ3942" i="22" l="1"/>
  <c r="AR3941" i="22"/>
  <c r="AP3941" i="22" s="1"/>
  <c r="AQ3943" i="22" l="1"/>
  <c r="AR3942" i="22"/>
  <c r="AP3942" i="22" s="1"/>
  <c r="AQ3944" i="22" l="1"/>
  <c r="AR3943" i="22"/>
  <c r="AP3943" i="22" s="1"/>
  <c r="AQ3945" i="22" l="1"/>
  <c r="AR3944" i="22"/>
  <c r="AP3944" i="22" s="1"/>
  <c r="AQ3946" i="22" l="1"/>
  <c r="AR3945" i="22"/>
  <c r="AP3945" i="22" s="1"/>
  <c r="AQ3947" i="22" l="1"/>
  <c r="AR3946" i="22"/>
  <c r="AP3946" i="22" s="1"/>
  <c r="AQ3948" i="22" l="1"/>
  <c r="AR3947" i="22"/>
  <c r="AP3947" i="22" s="1"/>
  <c r="AQ3949" i="22" l="1"/>
  <c r="AR3948" i="22"/>
  <c r="AP3948" i="22" s="1"/>
  <c r="AQ3950" i="22" l="1"/>
  <c r="AR3949" i="22"/>
  <c r="AP3949" i="22" s="1"/>
  <c r="AQ3951" i="22" l="1"/>
  <c r="AR3950" i="22"/>
  <c r="AP3950" i="22" s="1"/>
  <c r="AQ3952" i="22" l="1"/>
  <c r="AR3951" i="22"/>
  <c r="AP3951" i="22" s="1"/>
  <c r="AQ3953" i="22" l="1"/>
  <c r="AR3952" i="22"/>
  <c r="AP3952" i="22" s="1"/>
  <c r="AQ3954" i="22" l="1"/>
  <c r="AR3953" i="22"/>
  <c r="AP3953" i="22" s="1"/>
  <c r="AQ3955" i="22" l="1"/>
  <c r="AR3954" i="22"/>
  <c r="AP3954" i="22" s="1"/>
  <c r="AQ3956" i="22" l="1"/>
  <c r="AR3955" i="22"/>
  <c r="AP3955" i="22" s="1"/>
  <c r="AQ3957" i="22" l="1"/>
  <c r="AR3956" i="22"/>
  <c r="AP3956" i="22" s="1"/>
  <c r="AQ3958" i="22" l="1"/>
  <c r="AR3957" i="22"/>
  <c r="AP3957" i="22" s="1"/>
  <c r="AQ3959" i="22" l="1"/>
  <c r="AR3958" i="22"/>
  <c r="AP3958" i="22" s="1"/>
  <c r="AQ3960" i="22" l="1"/>
  <c r="AR3959" i="22"/>
  <c r="AP3959" i="22" s="1"/>
  <c r="AQ3961" i="22" l="1"/>
  <c r="AR3960" i="22"/>
  <c r="AP3960" i="22" s="1"/>
  <c r="AQ3962" i="22" l="1"/>
  <c r="AR3961" i="22"/>
  <c r="AP3961" i="22" s="1"/>
  <c r="AQ3963" i="22" l="1"/>
  <c r="AR3962" i="22"/>
  <c r="AP3962" i="22" s="1"/>
  <c r="AQ3964" i="22" l="1"/>
  <c r="AR3963" i="22"/>
  <c r="AP3963" i="22" s="1"/>
  <c r="AQ3965" i="22" l="1"/>
  <c r="AR3964" i="22"/>
  <c r="AP3964" i="22" s="1"/>
  <c r="AQ3966" i="22" l="1"/>
  <c r="AR3965" i="22"/>
  <c r="AP3965" i="22" s="1"/>
  <c r="AQ3967" i="22" l="1"/>
  <c r="AR3966" i="22"/>
  <c r="AP3966" i="22" s="1"/>
  <c r="AQ3968" i="22" l="1"/>
  <c r="AR3967" i="22"/>
  <c r="AP3967" i="22" s="1"/>
  <c r="AQ3969" i="22" l="1"/>
  <c r="AR3968" i="22"/>
  <c r="AP3968" i="22" s="1"/>
  <c r="AQ3970" i="22" l="1"/>
  <c r="AR3969" i="22"/>
  <c r="AP3969" i="22" s="1"/>
  <c r="AQ3971" i="22" l="1"/>
  <c r="AR3970" i="22"/>
  <c r="AP3970" i="22" s="1"/>
  <c r="AQ3972" i="22" l="1"/>
  <c r="AR3971" i="22"/>
  <c r="AP3971" i="22" s="1"/>
  <c r="AQ3973" i="22" l="1"/>
  <c r="AR3972" i="22"/>
  <c r="AP3972" i="22" s="1"/>
  <c r="AQ3974" i="22" l="1"/>
  <c r="AR3973" i="22"/>
  <c r="AP3973" i="22" s="1"/>
  <c r="AQ3975" i="22" l="1"/>
  <c r="AR3974" i="22"/>
  <c r="AP3974" i="22" s="1"/>
  <c r="AQ3976" i="22" l="1"/>
  <c r="AR3975" i="22"/>
  <c r="AP3975" i="22" s="1"/>
  <c r="AQ3977" i="22" l="1"/>
  <c r="AR3976" i="22"/>
  <c r="AP3976" i="22" s="1"/>
  <c r="AQ3978" i="22" l="1"/>
  <c r="AR3977" i="22"/>
  <c r="AP3977" i="22" s="1"/>
  <c r="AQ3979" i="22" l="1"/>
  <c r="AR3978" i="22"/>
  <c r="AP3978" i="22" s="1"/>
  <c r="AQ3980" i="22" l="1"/>
  <c r="AR3979" i="22"/>
  <c r="AP3979" i="22" s="1"/>
  <c r="AQ3981" i="22" l="1"/>
  <c r="AR3980" i="22"/>
  <c r="AP3980" i="22" s="1"/>
  <c r="AQ3982" i="22" l="1"/>
  <c r="AR3981" i="22"/>
  <c r="AP3981" i="22" s="1"/>
  <c r="AQ3983" i="22" l="1"/>
  <c r="AR3982" i="22"/>
  <c r="AP3982" i="22" s="1"/>
  <c r="AQ3984" i="22" l="1"/>
  <c r="AR3983" i="22"/>
  <c r="AP3983" i="22" s="1"/>
  <c r="AQ3985" i="22" l="1"/>
  <c r="AR3984" i="22"/>
  <c r="AP3984" i="22" s="1"/>
  <c r="AQ3986" i="22" l="1"/>
  <c r="AR3985" i="22"/>
  <c r="AP3985" i="22" s="1"/>
  <c r="AQ3987" i="22" l="1"/>
  <c r="AR3986" i="22"/>
  <c r="AP3986" i="22" s="1"/>
  <c r="AQ3988" i="22" l="1"/>
  <c r="AR3987" i="22"/>
  <c r="AP3987" i="22" s="1"/>
  <c r="AQ3989" i="22" l="1"/>
  <c r="AR3988" i="22"/>
  <c r="AP3988" i="22" s="1"/>
  <c r="AQ3990" i="22" l="1"/>
  <c r="AR3989" i="22"/>
  <c r="AP3989" i="22" s="1"/>
  <c r="AQ3991" i="22" l="1"/>
  <c r="AR3990" i="22"/>
  <c r="AP3990" i="22" s="1"/>
  <c r="AQ3992" i="22" l="1"/>
  <c r="AR3991" i="22"/>
  <c r="AP3991" i="22" s="1"/>
  <c r="AQ3993" i="22" l="1"/>
  <c r="AR3992" i="22"/>
  <c r="AP3992" i="22" s="1"/>
  <c r="AQ3994" i="22" l="1"/>
  <c r="AR3993" i="22"/>
  <c r="AP3993" i="22" s="1"/>
  <c r="AQ3995" i="22" l="1"/>
  <c r="AR3994" i="22"/>
  <c r="AP3994" i="22" s="1"/>
  <c r="AQ3996" i="22" l="1"/>
  <c r="AR3995" i="22"/>
  <c r="AP3995" i="22" s="1"/>
  <c r="AQ3997" i="22" l="1"/>
  <c r="AR3996" i="22"/>
  <c r="AP3996" i="22" s="1"/>
  <c r="AQ3998" i="22" l="1"/>
  <c r="AR3997" i="22"/>
  <c r="AP3997" i="22" s="1"/>
  <c r="AQ3999" i="22" l="1"/>
  <c r="AR3998" i="22"/>
  <c r="AP3998" i="22" s="1"/>
  <c r="AQ4000" i="22" l="1"/>
  <c r="AR3999" i="22"/>
  <c r="AP3999" i="22" s="1"/>
  <c r="AQ4001" i="22" l="1"/>
  <c r="AR4000" i="22"/>
  <c r="AP4000" i="22" s="1"/>
  <c r="AQ4002" i="22" l="1"/>
  <c r="AR4001" i="22"/>
  <c r="AP4001" i="22" s="1"/>
  <c r="AQ4003" i="22" l="1"/>
  <c r="AR4002" i="22"/>
  <c r="AP4002" i="22" s="1"/>
  <c r="AQ4004" i="22" l="1"/>
  <c r="AR4003" i="22"/>
  <c r="AP4003" i="22" s="1"/>
  <c r="AQ4005" i="22" l="1"/>
  <c r="AR4004" i="22"/>
  <c r="AP4004" i="22" s="1"/>
  <c r="AQ4006" i="22" l="1"/>
  <c r="AR4005" i="22"/>
  <c r="AP4005" i="22" s="1"/>
  <c r="AQ4007" i="22" l="1"/>
  <c r="AR4006" i="22"/>
  <c r="AP4006" i="22" s="1"/>
  <c r="AQ4008" i="22" l="1"/>
  <c r="AR4007" i="22"/>
  <c r="AP4007" i="22" s="1"/>
  <c r="AQ4009" i="22" l="1"/>
  <c r="AR4008" i="22"/>
  <c r="AP4008" i="22" s="1"/>
  <c r="AQ4010" i="22" l="1"/>
  <c r="AR4009" i="22"/>
  <c r="AP4009" i="22" s="1"/>
  <c r="AQ4011" i="22" l="1"/>
  <c r="AR4010" i="22"/>
  <c r="AP4010" i="22" s="1"/>
  <c r="AQ4012" i="22" l="1"/>
  <c r="AR4011" i="22"/>
  <c r="AP4011" i="22" s="1"/>
  <c r="AQ4013" i="22" l="1"/>
  <c r="AR4012" i="22"/>
  <c r="AP4012" i="22" s="1"/>
  <c r="AQ4014" i="22" l="1"/>
  <c r="AR4013" i="22"/>
  <c r="AP4013" i="22" s="1"/>
  <c r="AQ4015" i="22" l="1"/>
  <c r="AR4014" i="22"/>
  <c r="AP4014" i="22" s="1"/>
  <c r="AQ4016" i="22" l="1"/>
  <c r="AR4015" i="22"/>
  <c r="AP4015" i="22" s="1"/>
  <c r="AQ4017" i="22" l="1"/>
  <c r="AR4016" i="22"/>
  <c r="AP4016" i="22" s="1"/>
  <c r="AQ4018" i="22" l="1"/>
  <c r="AR4017" i="22"/>
  <c r="AP4017" i="22" s="1"/>
  <c r="AQ4019" i="22" l="1"/>
  <c r="AR4018" i="22"/>
  <c r="AP4018" i="22" s="1"/>
  <c r="AQ4020" i="22" l="1"/>
  <c r="AR4019" i="22"/>
  <c r="AP4019" i="22" s="1"/>
  <c r="AQ4021" i="22" l="1"/>
  <c r="AR4020" i="22"/>
  <c r="AP4020" i="22" s="1"/>
  <c r="AQ4022" i="22" l="1"/>
  <c r="AR4021" i="22"/>
  <c r="AP4021" i="22" s="1"/>
  <c r="AQ4023" i="22" l="1"/>
  <c r="AR4022" i="22"/>
  <c r="AP4022" i="22" s="1"/>
  <c r="AQ4024" i="22" l="1"/>
  <c r="AR4023" i="22"/>
  <c r="AP4023" i="22" s="1"/>
  <c r="AQ4025" i="22" l="1"/>
  <c r="AR4024" i="22"/>
  <c r="AP4024" i="22" s="1"/>
  <c r="AQ4026" i="22" l="1"/>
  <c r="AR4025" i="22"/>
  <c r="AP4025" i="22" s="1"/>
  <c r="AQ4027" i="22" l="1"/>
  <c r="AR4026" i="22"/>
  <c r="AP4026" i="22" s="1"/>
  <c r="AQ4028" i="22" l="1"/>
  <c r="AR4027" i="22"/>
  <c r="AP4027" i="22" s="1"/>
  <c r="AQ4029" i="22" l="1"/>
  <c r="AR4028" i="22"/>
  <c r="AP4028" i="22" s="1"/>
  <c r="AQ4030" i="22" l="1"/>
  <c r="AR4029" i="22"/>
  <c r="AP4029" i="22" s="1"/>
  <c r="AQ4031" i="22" l="1"/>
  <c r="AR4030" i="22"/>
  <c r="AP4030" i="22" s="1"/>
  <c r="AQ4032" i="22" l="1"/>
  <c r="AR4031" i="22"/>
  <c r="AP4031" i="22" s="1"/>
  <c r="AQ4033" i="22" l="1"/>
  <c r="AR4032" i="22"/>
  <c r="AP4032" i="22" s="1"/>
  <c r="AQ4034" i="22" l="1"/>
  <c r="AR4033" i="22"/>
  <c r="AP4033" i="22" s="1"/>
  <c r="AQ4035" i="22" l="1"/>
  <c r="AR4034" i="22"/>
  <c r="AP4034" i="22" s="1"/>
  <c r="AQ4036" i="22" l="1"/>
  <c r="AR4035" i="22"/>
  <c r="AP4035" i="22" s="1"/>
  <c r="AQ4037" i="22" l="1"/>
  <c r="AR4036" i="22"/>
  <c r="AP4036" i="22" s="1"/>
  <c r="AQ4038" i="22" l="1"/>
  <c r="AR4037" i="22"/>
  <c r="AP4037" i="22" s="1"/>
  <c r="AQ4039" i="22" l="1"/>
  <c r="AR4038" i="22"/>
  <c r="AP4038" i="22" s="1"/>
  <c r="AQ4040" i="22" l="1"/>
  <c r="AR4039" i="22"/>
  <c r="AP4039" i="22" s="1"/>
  <c r="AQ4041" i="22" l="1"/>
  <c r="AR4040" i="22"/>
  <c r="AP4040" i="22" s="1"/>
  <c r="AQ4042" i="22" l="1"/>
  <c r="AR4041" i="22"/>
  <c r="AP4041" i="22" s="1"/>
  <c r="AQ4043" i="22" l="1"/>
  <c r="AR4042" i="22"/>
  <c r="AP4042" i="22" s="1"/>
  <c r="AQ4044" i="22" l="1"/>
  <c r="AR4043" i="22"/>
  <c r="AP4043" i="22" s="1"/>
  <c r="AQ4045" i="22" l="1"/>
  <c r="AR4044" i="22"/>
  <c r="AP4044" i="22" s="1"/>
  <c r="AQ4046" i="22" l="1"/>
  <c r="AR4045" i="22"/>
  <c r="AP4045" i="22" s="1"/>
  <c r="AQ4047" i="22" l="1"/>
  <c r="AR4046" i="22"/>
  <c r="AP4046" i="22" s="1"/>
  <c r="AQ4048" i="22" l="1"/>
  <c r="AR4047" i="22"/>
  <c r="AP4047" i="22" s="1"/>
  <c r="AQ4049" i="22" l="1"/>
  <c r="AR4048" i="22"/>
  <c r="AP4048" i="22" s="1"/>
  <c r="AQ4050" i="22" l="1"/>
  <c r="AR4049" i="22"/>
  <c r="AP4049" i="22" s="1"/>
  <c r="AQ4051" i="22" l="1"/>
  <c r="AR4050" i="22"/>
  <c r="AP4050" i="22" s="1"/>
  <c r="AQ4052" i="22" l="1"/>
  <c r="AR4051" i="22"/>
  <c r="AP4051" i="22" s="1"/>
  <c r="AQ4053" i="22" l="1"/>
  <c r="AR4052" i="22"/>
  <c r="AP4052" i="22" s="1"/>
  <c r="AQ4054" i="22" l="1"/>
  <c r="AR4053" i="22"/>
  <c r="AP4053" i="22" s="1"/>
  <c r="AQ4055" i="22" l="1"/>
  <c r="AR4054" i="22"/>
  <c r="AP4054" i="22" s="1"/>
  <c r="AQ4056" i="22" l="1"/>
  <c r="AR4055" i="22"/>
  <c r="AP4055" i="22" s="1"/>
  <c r="AQ4057" i="22" l="1"/>
  <c r="AR4056" i="22"/>
  <c r="AP4056" i="22" s="1"/>
  <c r="AQ4058" i="22" l="1"/>
  <c r="AR4057" i="22"/>
  <c r="AP4057" i="22" s="1"/>
  <c r="AQ4059" i="22" l="1"/>
  <c r="AR4058" i="22"/>
  <c r="AP4058" i="22" s="1"/>
  <c r="AQ4060" i="22" l="1"/>
  <c r="AR4059" i="22"/>
  <c r="AP4059" i="22" s="1"/>
  <c r="AQ4061" i="22" l="1"/>
  <c r="AR4060" i="22"/>
  <c r="AP4060" i="22" s="1"/>
  <c r="AQ4062" i="22" l="1"/>
  <c r="AR4061" i="22"/>
  <c r="AP4061" i="22" s="1"/>
  <c r="AQ4063" i="22" l="1"/>
  <c r="AR4062" i="22"/>
  <c r="AP4062" i="22" s="1"/>
  <c r="AQ4064" i="22" l="1"/>
  <c r="AR4063" i="22"/>
  <c r="AP4063" i="22" s="1"/>
  <c r="AQ4065" i="22" l="1"/>
  <c r="AR4064" i="22"/>
  <c r="AP4064" i="22" s="1"/>
  <c r="AQ4066" i="22" l="1"/>
  <c r="AR4065" i="22"/>
  <c r="AP4065" i="22" s="1"/>
  <c r="AQ4067" i="22" l="1"/>
  <c r="AR4066" i="22"/>
  <c r="AP4066" i="22" s="1"/>
  <c r="AQ4068" i="22" l="1"/>
  <c r="AR4067" i="22"/>
  <c r="AP4067" i="22" s="1"/>
  <c r="AQ4069" i="22" l="1"/>
  <c r="AR4068" i="22"/>
  <c r="AP4068" i="22" s="1"/>
  <c r="AQ4070" i="22" l="1"/>
  <c r="AR4069" i="22"/>
  <c r="AP4069" i="22" s="1"/>
  <c r="AQ4071" i="22" l="1"/>
  <c r="AR4070" i="22"/>
  <c r="AP4070" i="22" s="1"/>
  <c r="AQ4072" i="22" l="1"/>
  <c r="AR4071" i="22"/>
  <c r="AP4071" i="22" s="1"/>
  <c r="AQ4073" i="22" l="1"/>
  <c r="AR4072" i="22"/>
  <c r="AP4072" i="22" s="1"/>
  <c r="AQ4074" i="22" l="1"/>
  <c r="AR4073" i="22"/>
  <c r="AP4073" i="22" s="1"/>
  <c r="AQ4075" i="22" l="1"/>
  <c r="AR4074" i="22"/>
  <c r="AP4074" i="22" s="1"/>
  <c r="AQ4076" i="22" l="1"/>
  <c r="AR4075" i="22"/>
  <c r="AP4075" i="22" s="1"/>
  <c r="AQ4077" i="22" l="1"/>
  <c r="AR4076" i="22"/>
  <c r="AP4076" i="22" s="1"/>
  <c r="AQ4078" i="22" l="1"/>
  <c r="AR4077" i="22"/>
  <c r="AP4077" i="22" s="1"/>
  <c r="AQ4079" i="22" l="1"/>
  <c r="AR4078" i="22"/>
  <c r="AP4078" i="22" s="1"/>
  <c r="AQ4080" i="22" l="1"/>
  <c r="AR4079" i="22"/>
  <c r="AP4079" i="22" s="1"/>
  <c r="AQ4081" i="22" l="1"/>
  <c r="AR4080" i="22"/>
  <c r="AP4080" i="22" s="1"/>
  <c r="AQ4082" i="22" l="1"/>
  <c r="AR4081" i="22"/>
  <c r="AP4081" i="22" s="1"/>
  <c r="AQ4083" i="22" l="1"/>
  <c r="AR4082" i="22"/>
  <c r="AP4082" i="22" s="1"/>
  <c r="AQ4084" i="22" l="1"/>
  <c r="AR4083" i="22"/>
  <c r="AP4083" i="22" s="1"/>
  <c r="AQ4085" i="22" l="1"/>
  <c r="AR4084" i="22"/>
  <c r="AP4084" i="22" s="1"/>
  <c r="AQ4086" i="22" l="1"/>
  <c r="AR4085" i="22"/>
  <c r="AP4085" i="22" s="1"/>
  <c r="AQ4087" i="22" l="1"/>
  <c r="AR4086" i="22"/>
  <c r="AP4086" i="22" s="1"/>
  <c r="AQ4088" i="22" l="1"/>
  <c r="AR4087" i="22"/>
  <c r="AP4087" i="22" s="1"/>
  <c r="AQ4089" i="22" l="1"/>
  <c r="AR4088" i="22"/>
  <c r="AP4088" i="22" s="1"/>
  <c r="AQ4090" i="22" l="1"/>
  <c r="AR4089" i="22"/>
  <c r="AP4089" i="22" s="1"/>
  <c r="AQ4091" i="22" l="1"/>
  <c r="AR4090" i="22"/>
  <c r="AP4090" i="22" s="1"/>
  <c r="AQ4092" i="22" l="1"/>
  <c r="AR4091" i="22"/>
  <c r="AP4091" i="22" s="1"/>
  <c r="AQ4093" i="22" l="1"/>
  <c r="AR4092" i="22"/>
  <c r="AP4092" i="22" s="1"/>
  <c r="AQ4094" i="22" l="1"/>
  <c r="AR4093" i="22"/>
  <c r="AP4093" i="22" s="1"/>
  <c r="AQ4095" i="22" l="1"/>
  <c r="AR4094" i="22"/>
  <c r="AP4094" i="22" s="1"/>
  <c r="AQ4096" i="22" l="1"/>
  <c r="AR4095" i="22"/>
  <c r="AP4095" i="22" s="1"/>
  <c r="AQ4097" i="22" l="1"/>
  <c r="AR4096" i="22"/>
  <c r="AP4096" i="22" s="1"/>
  <c r="AQ4098" i="22" l="1"/>
  <c r="AR4097" i="22"/>
  <c r="AP4097" i="22" s="1"/>
  <c r="AQ4099" i="22" l="1"/>
  <c r="AR4098" i="22"/>
  <c r="AP4098" i="22" s="1"/>
  <c r="AQ4100" i="22" l="1"/>
  <c r="AR4099" i="22"/>
  <c r="AP4099" i="22" s="1"/>
  <c r="AQ4101" i="22" l="1"/>
  <c r="AR4100" i="22"/>
  <c r="AP4100" i="22" s="1"/>
  <c r="AQ4102" i="22" l="1"/>
  <c r="AR4101" i="22"/>
  <c r="AP4101" i="22" s="1"/>
  <c r="AQ4103" i="22" l="1"/>
  <c r="AR4102" i="22"/>
  <c r="AP4102" i="22" s="1"/>
  <c r="AQ4104" i="22" l="1"/>
  <c r="AR4103" i="22"/>
  <c r="AP4103" i="22" s="1"/>
  <c r="AQ4105" i="22" l="1"/>
  <c r="AR4104" i="22"/>
  <c r="AP4104" i="22" s="1"/>
  <c r="AQ4106" i="22" l="1"/>
  <c r="AR4105" i="22"/>
  <c r="AP4105" i="22" s="1"/>
  <c r="AQ4107" i="22" l="1"/>
  <c r="AR4106" i="22"/>
  <c r="AP4106" i="22" s="1"/>
  <c r="AQ4108" i="22" l="1"/>
  <c r="AR4107" i="22"/>
  <c r="AP4107" i="22" s="1"/>
  <c r="AQ4109" i="22" l="1"/>
  <c r="AR4108" i="22"/>
  <c r="AP4108" i="22" s="1"/>
  <c r="AQ4110" i="22" l="1"/>
  <c r="AR4109" i="22"/>
  <c r="AP4109" i="22" s="1"/>
  <c r="AQ4111" i="22" l="1"/>
  <c r="AR4110" i="22"/>
  <c r="AP4110" i="22" s="1"/>
  <c r="AQ4112" i="22" l="1"/>
  <c r="AR4111" i="22"/>
  <c r="AP4111" i="22" s="1"/>
  <c r="AQ4113" i="22" l="1"/>
  <c r="AR4112" i="22"/>
  <c r="AP4112" i="22" s="1"/>
  <c r="AQ4114" i="22" l="1"/>
  <c r="AR4113" i="22"/>
  <c r="AP4113" i="22" s="1"/>
  <c r="AQ4115" i="22" l="1"/>
  <c r="AR4114" i="22"/>
  <c r="AP4114" i="22" s="1"/>
  <c r="AQ4116" i="22" l="1"/>
  <c r="AR4115" i="22"/>
  <c r="AP4115" i="22" s="1"/>
  <c r="AQ4117" i="22" l="1"/>
  <c r="AR4116" i="22"/>
  <c r="AP4116" i="22" s="1"/>
  <c r="AQ4118" i="22" l="1"/>
  <c r="AR4117" i="22"/>
  <c r="AP4117" i="22" s="1"/>
  <c r="AQ4119" i="22" l="1"/>
  <c r="AR4118" i="22"/>
  <c r="AP4118" i="22" s="1"/>
  <c r="AQ4120" i="22" l="1"/>
  <c r="AR4119" i="22"/>
  <c r="AP4119" i="22" s="1"/>
  <c r="AQ4121" i="22" l="1"/>
  <c r="AR4120" i="22"/>
  <c r="AP4120" i="22" s="1"/>
  <c r="AQ4122" i="22" l="1"/>
  <c r="AR4121" i="22"/>
  <c r="AP4121" i="22" s="1"/>
  <c r="AQ4123" i="22" l="1"/>
  <c r="AR4122" i="22"/>
  <c r="AP4122" i="22" s="1"/>
  <c r="AQ4124" i="22" l="1"/>
  <c r="AR4123" i="22"/>
  <c r="AP4123" i="22" s="1"/>
  <c r="AQ4125" i="22" l="1"/>
  <c r="AR4124" i="22"/>
  <c r="AP4124" i="22" s="1"/>
  <c r="AQ4126" i="22" l="1"/>
  <c r="AR4125" i="22"/>
  <c r="AP4125" i="22" s="1"/>
  <c r="AQ4127" i="22" l="1"/>
  <c r="AR4126" i="22"/>
  <c r="AP4126" i="22" s="1"/>
  <c r="AQ4128" i="22" l="1"/>
  <c r="AR4127" i="22"/>
  <c r="AP4127" i="22" s="1"/>
  <c r="AQ4129" i="22" l="1"/>
  <c r="AR4128" i="22"/>
  <c r="AP4128" i="22" s="1"/>
  <c r="AQ4130" i="22" l="1"/>
  <c r="AR4129" i="22"/>
  <c r="AP4129" i="22" s="1"/>
  <c r="AQ4131" i="22" l="1"/>
  <c r="AR4130" i="22"/>
  <c r="AP4130" i="22" s="1"/>
  <c r="AQ4132" i="22" l="1"/>
  <c r="AR4131" i="22"/>
  <c r="AP4131" i="22" s="1"/>
  <c r="AQ4133" i="22" l="1"/>
  <c r="AR4132" i="22"/>
  <c r="AP4132" i="22" s="1"/>
  <c r="AQ4134" i="22" l="1"/>
  <c r="AR4133" i="22"/>
  <c r="AP4133" i="22" s="1"/>
  <c r="AQ4135" i="22" l="1"/>
  <c r="AR4134" i="22"/>
  <c r="AP4134" i="22" s="1"/>
  <c r="AQ4136" i="22" l="1"/>
  <c r="AR4135" i="22"/>
  <c r="AP4135" i="22" s="1"/>
  <c r="AQ4137" i="22" l="1"/>
  <c r="AR4136" i="22"/>
  <c r="AP4136" i="22" s="1"/>
  <c r="AQ4138" i="22" l="1"/>
  <c r="AR4137" i="22"/>
  <c r="AP4137" i="22" s="1"/>
  <c r="AQ4139" i="22" l="1"/>
  <c r="AR4138" i="22"/>
  <c r="AP4138" i="22" s="1"/>
  <c r="AQ4140" i="22" l="1"/>
  <c r="AR4139" i="22"/>
  <c r="AP4139" i="22" s="1"/>
  <c r="AQ4141" i="22" l="1"/>
  <c r="AR4140" i="22"/>
  <c r="AP4140" i="22" s="1"/>
  <c r="AQ4142" i="22" l="1"/>
  <c r="AR4141" i="22"/>
  <c r="AP4141" i="22" s="1"/>
  <c r="AQ4143" i="22" l="1"/>
  <c r="AR4142" i="22"/>
  <c r="AP4142" i="22" s="1"/>
  <c r="AQ4144" i="22" l="1"/>
  <c r="AR4143" i="22"/>
  <c r="AP4143" i="22" s="1"/>
  <c r="AQ4145" i="22" l="1"/>
  <c r="AR4144" i="22"/>
  <c r="AP4144" i="22" s="1"/>
  <c r="AQ4146" i="22" l="1"/>
  <c r="AR4145" i="22"/>
  <c r="AP4145" i="22" s="1"/>
  <c r="AQ4147" i="22" l="1"/>
  <c r="AR4146" i="22"/>
  <c r="AP4146" i="22" s="1"/>
  <c r="AQ4148" i="22" l="1"/>
  <c r="AR4147" i="22"/>
  <c r="AP4147" i="22" s="1"/>
  <c r="AQ4149" i="22" l="1"/>
  <c r="AR4148" i="22"/>
  <c r="AP4148" i="22" s="1"/>
  <c r="AQ4150" i="22" l="1"/>
  <c r="AR4149" i="22"/>
  <c r="AP4149" i="22" s="1"/>
  <c r="AQ4151" i="22" l="1"/>
  <c r="AR4150" i="22"/>
  <c r="AP4150" i="22" s="1"/>
  <c r="AQ4152" i="22" l="1"/>
  <c r="AR4151" i="22"/>
  <c r="AP4151" i="22" s="1"/>
  <c r="AQ4153" i="22" l="1"/>
  <c r="AR4152" i="22"/>
  <c r="AP4152" i="22" s="1"/>
  <c r="AQ4154" i="22" l="1"/>
  <c r="AR4153" i="22"/>
  <c r="AP4153" i="22" s="1"/>
  <c r="AQ4155" i="22" l="1"/>
  <c r="AR4154" i="22"/>
  <c r="AP4154" i="22" s="1"/>
  <c r="AQ4156" i="22" l="1"/>
  <c r="AR4155" i="22"/>
  <c r="AP4155" i="22" s="1"/>
  <c r="AQ4157" i="22" l="1"/>
  <c r="AR4156" i="22"/>
  <c r="AP4156" i="22" s="1"/>
  <c r="AQ4158" i="22" l="1"/>
  <c r="AR4157" i="22"/>
  <c r="AP4157" i="22" s="1"/>
  <c r="AQ4159" i="22" l="1"/>
  <c r="AR4158" i="22"/>
  <c r="AP4158" i="22" s="1"/>
  <c r="AQ4160" i="22" l="1"/>
  <c r="AR4159" i="22"/>
  <c r="AP4159" i="22" s="1"/>
  <c r="AQ4161" i="22" l="1"/>
  <c r="AR4160" i="22"/>
  <c r="AP4160" i="22" s="1"/>
  <c r="AQ4162" i="22" l="1"/>
  <c r="AR4161" i="22"/>
  <c r="AP4161" i="22" s="1"/>
  <c r="AQ4163" i="22" l="1"/>
  <c r="AR4162" i="22"/>
  <c r="AP4162" i="22" s="1"/>
  <c r="AQ4164" i="22" l="1"/>
  <c r="AR4163" i="22"/>
  <c r="AP4163" i="22" s="1"/>
  <c r="AQ4165" i="22" l="1"/>
  <c r="AR4164" i="22"/>
  <c r="AP4164" i="22" s="1"/>
  <c r="AQ4166" i="22" l="1"/>
  <c r="AR4165" i="22"/>
  <c r="AP4165" i="22" s="1"/>
  <c r="AQ4167" i="22" l="1"/>
  <c r="AR4166" i="22"/>
  <c r="AP4166" i="22" s="1"/>
  <c r="AQ4168" i="22" l="1"/>
  <c r="AR4167" i="22"/>
  <c r="AP4167" i="22" s="1"/>
  <c r="AQ4169" i="22" l="1"/>
  <c r="AR4168" i="22"/>
  <c r="AP4168" i="22" s="1"/>
  <c r="AQ4170" i="22" l="1"/>
  <c r="AR4169" i="22"/>
  <c r="AP4169" i="22" s="1"/>
  <c r="AQ4171" i="22" l="1"/>
  <c r="AR4170" i="22"/>
  <c r="AP4170" i="22" s="1"/>
  <c r="AQ4172" i="22" l="1"/>
  <c r="AR4171" i="22"/>
  <c r="AP4171" i="22" s="1"/>
  <c r="AQ4173" i="22" l="1"/>
  <c r="AR4172" i="22"/>
  <c r="AP4172" i="22" s="1"/>
  <c r="AQ4174" i="22" l="1"/>
  <c r="AR4173" i="22"/>
  <c r="AP4173" i="22" s="1"/>
  <c r="AQ4175" i="22" l="1"/>
  <c r="AR4174" i="22"/>
  <c r="AP4174" i="22" s="1"/>
  <c r="AQ4176" i="22" l="1"/>
  <c r="AR4175" i="22"/>
  <c r="AP4175" i="22" s="1"/>
  <c r="AQ4177" i="22" l="1"/>
  <c r="AR4176" i="22"/>
  <c r="AP4176" i="22" s="1"/>
  <c r="AQ4178" i="22" l="1"/>
  <c r="AR4177" i="22"/>
  <c r="AP4177" i="22" s="1"/>
  <c r="AQ4179" i="22" l="1"/>
  <c r="AR4178" i="22"/>
  <c r="AP4178" i="22" s="1"/>
  <c r="AQ4180" i="22" l="1"/>
  <c r="AR4179" i="22"/>
  <c r="AP4179" i="22" s="1"/>
  <c r="AQ4181" i="22" l="1"/>
  <c r="AR4180" i="22"/>
  <c r="AP4180" i="22" s="1"/>
  <c r="AQ4182" i="22" l="1"/>
  <c r="AR4181" i="22"/>
  <c r="AP4181" i="22" s="1"/>
  <c r="AQ4183" i="22" l="1"/>
  <c r="AR4182" i="22"/>
  <c r="AP4182" i="22" s="1"/>
  <c r="AQ4184" i="22" l="1"/>
  <c r="AR4183" i="22"/>
  <c r="AP4183" i="22" s="1"/>
  <c r="AQ4185" i="22" l="1"/>
  <c r="AR4184" i="22"/>
  <c r="AP4184" i="22" s="1"/>
  <c r="AQ4186" i="22" l="1"/>
  <c r="AR4185" i="22"/>
  <c r="AP4185" i="22" s="1"/>
  <c r="AQ4187" i="22" l="1"/>
  <c r="AR4186" i="22"/>
  <c r="AP4186" i="22" s="1"/>
  <c r="AQ4188" i="22" l="1"/>
  <c r="AR4187" i="22"/>
  <c r="AP4187" i="22" s="1"/>
  <c r="AQ4189" i="22" l="1"/>
  <c r="AR4188" i="22"/>
  <c r="AP4188" i="22" s="1"/>
  <c r="AQ4190" i="22" l="1"/>
  <c r="AR4189" i="22"/>
  <c r="AP4189" i="22" s="1"/>
  <c r="AQ4191" i="22" l="1"/>
  <c r="AR4190" i="22"/>
  <c r="AP4190" i="22" s="1"/>
  <c r="AQ4192" i="22" l="1"/>
  <c r="AR4191" i="22"/>
  <c r="AP4191" i="22" s="1"/>
  <c r="AQ4193" i="22" l="1"/>
  <c r="AR4192" i="22"/>
  <c r="AP4192" i="22" s="1"/>
  <c r="AQ4194" i="22" l="1"/>
  <c r="AR4193" i="22"/>
  <c r="AP4193" i="22" s="1"/>
  <c r="AQ4195" i="22" l="1"/>
  <c r="AR4194" i="22"/>
  <c r="AP4194" i="22" s="1"/>
  <c r="AQ4196" i="22" l="1"/>
  <c r="AR4195" i="22"/>
  <c r="AP4195" i="22" s="1"/>
  <c r="AQ4197" i="22" l="1"/>
  <c r="AR4196" i="22"/>
  <c r="AP4196" i="22" s="1"/>
  <c r="AQ4198" i="22" l="1"/>
  <c r="AR4197" i="22"/>
  <c r="AP4197" i="22" s="1"/>
  <c r="AQ4199" i="22" l="1"/>
  <c r="AR4198" i="22"/>
  <c r="AP4198" i="22" s="1"/>
  <c r="AQ4200" i="22" l="1"/>
  <c r="AR4199" i="22"/>
  <c r="AP4199" i="22" s="1"/>
  <c r="AQ4201" i="22" l="1"/>
  <c r="AR4200" i="22"/>
  <c r="AP4200" i="22" s="1"/>
  <c r="AQ4202" i="22" l="1"/>
  <c r="AR4201" i="22"/>
  <c r="AP4201" i="22" s="1"/>
  <c r="AQ4203" i="22" l="1"/>
  <c r="AR4202" i="22"/>
  <c r="AP4202" i="22" s="1"/>
  <c r="AQ4204" i="22" l="1"/>
  <c r="AR4203" i="22"/>
  <c r="AP4203" i="22" s="1"/>
  <c r="AQ4205" i="22" l="1"/>
  <c r="AR4204" i="22"/>
  <c r="AP4204" i="22" s="1"/>
  <c r="AQ4206" i="22" l="1"/>
  <c r="AR4205" i="22"/>
  <c r="AP4205" i="22" s="1"/>
  <c r="AQ4207" i="22" l="1"/>
  <c r="AR4206" i="22"/>
  <c r="AP4206" i="22" s="1"/>
  <c r="AQ4208" i="22" l="1"/>
  <c r="AR4207" i="22"/>
  <c r="AP4207" i="22" s="1"/>
  <c r="AQ4209" i="22" l="1"/>
  <c r="AR4208" i="22"/>
  <c r="AP4208" i="22" s="1"/>
  <c r="AQ4210" i="22" l="1"/>
  <c r="AR4209" i="22"/>
  <c r="AP4209" i="22" s="1"/>
  <c r="AQ4211" i="22" l="1"/>
  <c r="AR4210" i="22"/>
  <c r="AP4210" i="22" s="1"/>
  <c r="AQ4212" i="22" l="1"/>
  <c r="AR4211" i="22"/>
  <c r="AP4211" i="22" s="1"/>
  <c r="AQ4213" i="22" l="1"/>
  <c r="AR4212" i="22"/>
  <c r="AP4212" i="22" s="1"/>
  <c r="AQ4214" i="22" l="1"/>
  <c r="AR4213" i="22"/>
  <c r="AP4213" i="22" s="1"/>
  <c r="AQ4215" i="22" l="1"/>
  <c r="AR4214" i="22"/>
  <c r="AP4214" i="22" s="1"/>
  <c r="AQ4216" i="22" l="1"/>
  <c r="AR4215" i="22"/>
  <c r="AP4215" i="22" s="1"/>
  <c r="AQ4217" i="22" l="1"/>
  <c r="AR4216" i="22"/>
  <c r="AP4216" i="22" s="1"/>
  <c r="AQ4218" i="22" l="1"/>
  <c r="AR4217" i="22"/>
  <c r="AP4217" i="22" s="1"/>
  <c r="AQ4219" i="22" l="1"/>
  <c r="AR4218" i="22"/>
  <c r="AP4218" i="22" s="1"/>
  <c r="AQ4220" i="22" l="1"/>
  <c r="AR4219" i="22"/>
  <c r="AP4219" i="22" s="1"/>
  <c r="AQ4221" i="22" l="1"/>
  <c r="AR4220" i="22"/>
  <c r="AP4220" i="22" s="1"/>
  <c r="AQ4222" i="22" l="1"/>
  <c r="AR4221" i="22"/>
  <c r="AP4221" i="22" s="1"/>
  <c r="AQ4223" i="22" l="1"/>
  <c r="AR4222" i="22"/>
  <c r="AP4222" i="22" s="1"/>
  <c r="AQ4224" i="22" l="1"/>
  <c r="AR4223" i="22"/>
  <c r="AP4223" i="22" s="1"/>
  <c r="AQ4225" i="22" l="1"/>
  <c r="AR4224" i="22"/>
  <c r="AP4224" i="22" s="1"/>
  <c r="AQ4226" i="22" l="1"/>
  <c r="AR4225" i="22"/>
  <c r="AP4225" i="22" s="1"/>
  <c r="AQ4227" i="22" l="1"/>
  <c r="AR4226" i="22"/>
  <c r="AP4226" i="22" s="1"/>
  <c r="AQ4228" i="22" l="1"/>
  <c r="AR4227" i="22"/>
  <c r="AP4227" i="22" s="1"/>
  <c r="AQ4229" i="22" l="1"/>
  <c r="AR4228" i="22"/>
  <c r="AP4228" i="22" s="1"/>
  <c r="AQ4230" i="22" l="1"/>
  <c r="AR4229" i="22"/>
  <c r="AP4229" i="22" s="1"/>
  <c r="AQ4231" i="22" l="1"/>
  <c r="AR4230" i="22"/>
  <c r="AP4230" i="22" s="1"/>
  <c r="AQ4232" i="22" l="1"/>
  <c r="AR4231" i="22"/>
  <c r="AP4231" i="22" s="1"/>
  <c r="AQ4233" i="22" l="1"/>
  <c r="AR4232" i="22"/>
  <c r="AP4232" i="22" s="1"/>
  <c r="AQ4234" i="22" l="1"/>
  <c r="AR4233" i="22"/>
  <c r="AP4233" i="22" s="1"/>
  <c r="AQ4235" i="22" l="1"/>
  <c r="AR4234" i="22"/>
  <c r="AP4234" i="22" s="1"/>
  <c r="AQ4236" i="22" l="1"/>
  <c r="AR4235" i="22"/>
  <c r="AP4235" i="22" s="1"/>
  <c r="AQ4237" i="22" l="1"/>
  <c r="AR4236" i="22"/>
  <c r="AP4236" i="22" s="1"/>
  <c r="AQ4238" i="22" l="1"/>
  <c r="AR4237" i="22"/>
  <c r="AP4237" i="22" s="1"/>
  <c r="AQ4239" i="22" l="1"/>
  <c r="AR4238" i="22"/>
  <c r="AP4238" i="22" s="1"/>
  <c r="AQ4240" i="22" l="1"/>
  <c r="AR4239" i="22"/>
  <c r="AP4239" i="22" s="1"/>
  <c r="AQ4241" i="22" l="1"/>
  <c r="AR4240" i="22"/>
  <c r="AP4240" i="22" s="1"/>
  <c r="AQ4242" i="22" l="1"/>
  <c r="AR4241" i="22"/>
  <c r="AP4241" i="22" s="1"/>
  <c r="AQ4243" i="22" l="1"/>
  <c r="AR4242" i="22"/>
  <c r="AP4242" i="22" s="1"/>
  <c r="AQ4244" i="22" l="1"/>
  <c r="AR4243" i="22"/>
  <c r="AP4243" i="22" s="1"/>
  <c r="AQ4245" i="22" l="1"/>
  <c r="AR4244" i="22"/>
  <c r="AP4244" i="22" s="1"/>
  <c r="AQ4246" i="22" l="1"/>
  <c r="AR4245" i="22"/>
  <c r="AP4245" i="22" s="1"/>
  <c r="AQ4247" i="22" l="1"/>
  <c r="AR4246" i="22"/>
  <c r="AP4246" i="22" s="1"/>
  <c r="AQ4248" i="22" l="1"/>
  <c r="AR4247" i="22"/>
  <c r="AP4247" i="22" s="1"/>
  <c r="AQ4249" i="22" l="1"/>
  <c r="AR4248" i="22"/>
  <c r="AP4248" i="22" s="1"/>
  <c r="AQ4250" i="22" l="1"/>
  <c r="AR4249" i="22"/>
  <c r="AP4249" i="22" s="1"/>
  <c r="AQ4251" i="22" l="1"/>
  <c r="AR4250" i="22"/>
  <c r="AP4250" i="22" s="1"/>
  <c r="AQ4252" i="22" l="1"/>
  <c r="AR4251" i="22"/>
  <c r="AP4251" i="22" s="1"/>
  <c r="AQ4253" i="22" l="1"/>
  <c r="AR4252" i="22"/>
  <c r="AP4252" i="22" s="1"/>
  <c r="AQ4254" i="22" l="1"/>
  <c r="AR4253" i="22"/>
  <c r="AP4253" i="22" s="1"/>
  <c r="AQ4255" i="22" l="1"/>
  <c r="AR4254" i="22"/>
  <c r="AP4254" i="22" s="1"/>
  <c r="AQ4256" i="22" l="1"/>
  <c r="AR4255" i="22"/>
  <c r="AP4255" i="22" s="1"/>
  <c r="AQ4257" i="22" l="1"/>
  <c r="AR4256" i="22"/>
  <c r="AP4256" i="22" s="1"/>
  <c r="AQ4258" i="22" l="1"/>
  <c r="AR4257" i="22"/>
  <c r="AP4257" i="22" s="1"/>
  <c r="AQ4259" i="22" l="1"/>
  <c r="AR4258" i="22"/>
  <c r="AP4258" i="22" s="1"/>
  <c r="AQ4260" i="22" l="1"/>
  <c r="AR4259" i="22"/>
  <c r="AP4259" i="22" s="1"/>
  <c r="AQ4261" i="22" l="1"/>
  <c r="AR4260" i="22"/>
  <c r="AP4260" i="22" s="1"/>
  <c r="AQ4262" i="22" l="1"/>
  <c r="AR4261" i="22"/>
  <c r="AP4261" i="22" s="1"/>
  <c r="AQ4263" i="22" l="1"/>
  <c r="AR4262" i="22"/>
  <c r="AP4262" i="22" s="1"/>
  <c r="AQ4264" i="22" l="1"/>
  <c r="AR4263" i="22"/>
  <c r="AP4263" i="22" s="1"/>
  <c r="AQ4265" i="22" l="1"/>
  <c r="AR4264" i="22"/>
  <c r="AP4264" i="22" s="1"/>
  <c r="AQ4266" i="22" l="1"/>
  <c r="AR4265" i="22"/>
  <c r="AP4265" i="22" s="1"/>
  <c r="AQ4267" i="22" l="1"/>
  <c r="AR4266" i="22"/>
  <c r="AP4266" i="22" s="1"/>
  <c r="AQ4268" i="22" l="1"/>
  <c r="AR4267" i="22"/>
  <c r="AP4267" i="22" s="1"/>
  <c r="AQ4269" i="22" l="1"/>
  <c r="AR4268" i="22"/>
  <c r="AP4268" i="22" s="1"/>
  <c r="AQ4270" i="22" l="1"/>
  <c r="AR4269" i="22"/>
  <c r="AP4269" i="22" s="1"/>
  <c r="AQ4271" i="22" l="1"/>
  <c r="AR4270" i="22"/>
  <c r="AP4270" i="22" s="1"/>
  <c r="AQ4272" i="22" l="1"/>
  <c r="AR4271" i="22"/>
  <c r="AP4271" i="22" s="1"/>
  <c r="AQ4273" i="22" l="1"/>
  <c r="AR4272" i="22"/>
  <c r="AP4272" i="22" s="1"/>
  <c r="AQ4274" i="22" l="1"/>
  <c r="AR4273" i="22"/>
  <c r="AP4273" i="22" s="1"/>
  <c r="AQ4275" i="22" l="1"/>
  <c r="AR4274" i="22"/>
  <c r="AP4274" i="22" s="1"/>
  <c r="AQ4276" i="22" l="1"/>
  <c r="AR4275" i="22"/>
  <c r="AP4275" i="22" s="1"/>
  <c r="AQ4277" i="22" l="1"/>
  <c r="AR4276" i="22"/>
  <c r="AP4276" i="22" s="1"/>
  <c r="AQ4278" i="22" l="1"/>
  <c r="AR4277" i="22"/>
  <c r="AP4277" i="22" s="1"/>
  <c r="AQ4279" i="22" l="1"/>
  <c r="AR4278" i="22"/>
  <c r="AP4278" i="22" s="1"/>
  <c r="AQ4280" i="22" l="1"/>
  <c r="AR4279" i="22"/>
  <c r="AP4279" i="22" s="1"/>
  <c r="AQ4281" i="22" l="1"/>
  <c r="AR4280" i="22"/>
  <c r="AP4280" i="22" s="1"/>
  <c r="AQ4282" i="22" l="1"/>
  <c r="AR4281" i="22"/>
  <c r="AP4281" i="22" s="1"/>
  <c r="AQ4283" i="22" l="1"/>
  <c r="AR4282" i="22"/>
  <c r="AP4282" i="22" s="1"/>
  <c r="AQ4284" i="22" l="1"/>
  <c r="AR4283" i="22"/>
  <c r="AP4283" i="22" s="1"/>
  <c r="AQ4285" i="22" l="1"/>
  <c r="AR4284" i="22"/>
  <c r="AP4284" i="22" s="1"/>
  <c r="AQ4286" i="22" l="1"/>
  <c r="AR4285" i="22"/>
  <c r="AP4285" i="22" s="1"/>
  <c r="AQ4287" i="22" l="1"/>
  <c r="AR4286" i="22"/>
  <c r="AP4286" i="22" s="1"/>
  <c r="AQ4288" i="22" l="1"/>
  <c r="AR4287" i="22"/>
  <c r="AP4287" i="22" s="1"/>
  <c r="AQ4289" i="22" l="1"/>
  <c r="AR4288" i="22"/>
  <c r="AP4288" i="22" s="1"/>
  <c r="AQ4290" i="22" l="1"/>
  <c r="AR4289" i="22"/>
  <c r="AP4289" i="22" s="1"/>
  <c r="AQ4291" i="22" l="1"/>
  <c r="AR4290" i="22"/>
  <c r="AP4290" i="22" s="1"/>
  <c r="AQ4292" i="22" l="1"/>
  <c r="AR4291" i="22"/>
  <c r="AP4291" i="22" s="1"/>
  <c r="AQ4293" i="22" l="1"/>
  <c r="AR4292" i="22"/>
  <c r="AP4292" i="22" s="1"/>
  <c r="AQ4294" i="22" l="1"/>
  <c r="AR4293" i="22"/>
  <c r="AP4293" i="22" s="1"/>
  <c r="AQ4295" i="22" l="1"/>
  <c r="AR4294" i="22"/>
  <c r="AP4294" i="22" s="1"/>
  <c r="AQ4296" i="22" l="1"/>
  <c r="AR4295" i="22"/>
  <c r="AP4295" i="22" s="1"/>
  <c r="AQ4297" i="22" l="1"/>
  <c r="AR4296" i="22"/>
  <c r="AP4296" i="22" s="1"/>
  <c r="AQ4298" i="22" l="1"/>
  <c r="AR4297" i="22"/>
  <c r="AP4297" i="22" s="1"/>
  <c r="AQ4299" i="22" l="1"/>
  <c r="AR4298" i="22"/>
  <c r="AP4298" i="22" s="1"/>
  <c r="AQ4300" i="22" l="1"/>
  <c r="AR4299" i="22"/>
  <c r="AP4299" i="22" s="1"/>
  <c r="AQ4301" i="22" l="1"/>
  <c r="AR4300" i="22"/>
  <c r="AP4300" i="22" s="1"/>
  <c r="AQ4302" i="22" l="1"/>
  <c r="AR4301" i="22"/>
  <c r="AP4301" i="22" s="1"/>
  <c r="AQ4303" i="22" l="1"/>
  <c r="AR4302" i="22"/>
  <c r="AP4302" i="22" s="1"/>
  <c r="AQ4304" i="22" l="1"/>
  <c r="AR4303" i="22"/>
  <c r="AP4303" i="22" s="1"/>
  <c r="AQ4305" i="22" l="1"/>
  <c r="AR4304" i="22"/>
  <c r="AP4304" i="22" s="1"/>
  <c r="AQ4306" i="22" l="1"/>
  <c r="AR4305" i="22"/>
  <c r="AP4305" i="22" s="1"/>
  <c r="AQ4307" i="22" l="1"/>
  <c r="AR4306" i="22"/>
  <c r="AP4306" i="22" s="1"/>
  <c r="AQ4308" i="22" l="1"/>
  <c r="AR4307" i="22"/>
  <c r="AP4307" i="22" s="1"/>
  <c r="AQ4309" i="22" l="1"/>
  <c r="AR4308" i="22"/>
  <c r="AP4308" i="22" s="1"/>
  <c r="AQ4310" i="22" l="1"/>
  <c r="AR4309" i="22"/>
  <c r="AP4309" i="22" s="1"/>
  <c r="AQ4311" i="22" l="1"/>
  <c r="AR4310" i="22"/>
  <c r="AP4310" i="22" s="1"/>
  <c r="AQ4312" i="22" l="1"/>
  <c r="AR4311" i="22"/>
  <c r="AP4311" i="22" s="1"/>
  <c r="AQ4313" i="22" l="1"/>
  <c r="AR4312" i="22"/>
  <c r="AP4312" i="22" s="1"/>
  <c r="AQ4314" i="22" l="1"/>
  <c r="AR4313" i="22"/>
  <c r="AP4313" i="22" s="1"/>
  <c r="AQ4315" i="22" l="1"/>
  <c r="AR4314" i="22"/>
  <c r="AP4314" i="22" s="1"/>
  <c r="AQ4316" i="22" l="1"/>
  <c r="AR4315" i="22"/>
  <c r="AP4315" i="22" s="1"/>
  <c r="AQ4317" i="22" l="1"/>
  <c r="AR4316" i="22"/>
  <c r="AP4316" i="22" s="1"/>
  <c r="AQ4318" i="22" l="1"/>
  <c r="AR4317" i="22"/>
  <c r="AP4317" i="22" s="1"/>
  <c r="AQ4319" i="22" l="1"/>
  <c r="AR4318" i="22"/>
  <c r="AP4318" i="22" s="1"/>
  <c r="AQ4320" i="22" l="1"/>
  <c r="AR4319" i="22"/>
  <c r="AP4319" i="22" s="1"/>
  <c r="AQ4321" i="22" l="1"/>
  <c r="AR4320" i="22"/>
  <c r="AP4320" i="22" s="1"/>
  <c r="AQ4322" i="22" l="1"/>
  <c r="AR4321" i="22"/>
  <c r="AP4321" i="22" s="1"/>
  <c r="AQ4323" i="22" l="1"/>
  <c r="AR4322" i="22"/>
  <c r="AP4322" i="22" s="1"/>
  <c r="AQ4324" i="22" l="1"/>
  <c r="AR4323" i="22"/>
  <c r="AP4323" i="22" s="1"/>
  <c r="AQ4325" i="22" l="1"/>
  <c r="AR4324" i="22"/>
  <c r="AP4324" i="22" s="1"/>
  <c r="AQ4326" i="22" l="1"/>
  <c r="AR4325" i="22"/>
  <c r="AP4325" i="22" s="1"/>
  <c r="AQ4327" i="22" l="1"/>
  <c r="AR4326" i="22"/>
  <c r="AP4326" i="22" s="1"/>
  <c r="AQ4328" i="22" l="1"/>
  <c r="AR4327" i="22"/>
  <c r="AP4327" i="22" s="1"/>
  <c r="AQ4329" i="22" l="1"/>
  <c r="AR4328" i="22"/>
  <c r="AP4328" i="22" s="1"/>
  <c r="AQ4330" i="22" l="1"/>
  <c r="AR4329" i="22"/>
  <c r="AP4329" i="22" s="1"/>
  <c r="AQ4331" i="22" l="1"/>
  <c r="AR4330" i="22"/>
  <c r="AP4330" i="22" s="1"/>
  <c r="AQ4332" i="22" l="1"/>
  <c r="AR4331" i="22"/>
  <c r="AP4331" i="22" s="1"/>
  <c r="AQ4333" i="22" l="1"/>
  <c r="AR4332" i="22"/>
  <c r="AP4332" i="22" s="1"/>
  <c r="AQ4334" i="22" l="1"/>
  <c r="AR4333" i="22"/>
  <c r="AP4333" i="22" s="1"/>
  <c r="AQ4335" i="22" l="1"/>
  <c r="AR4334" i="22"/>
  <c r="AP4334" i="22" s="1"/>
  <c r="AQ4336" i="22" l="1"/>
  <c r="AR4335" i="22"/>
  <c r="AP4335" i="22" s="1"/>
  <c r="AQ4337" i="22" l="1"/>
  <c r="AR4336" i="22"/>
  <c r="AP4336" i="22" s="1"/>
  <c r="AQ4338" i="22" l="1"/>
  <c r="AR4337" i="22"/>
  <c r="AP4337" i="22" s="1"/>
  <c r="AQ4339" i="22" l="1"/>
  <c r="AR4338" i="22"/>
  <c r="AP4338" i="22" s="1"/>
  <c r="AQ4340" i="22" l="1"/>
  <c r="AR4339" i="22"/>
  <c r="AP4339" i="22" s="1"/>
  <c r="AQ4341" i="22" l="1"/>
  <c r="AR4340" i="22"/>
  <c r="AP4340" i="22" s="1"/>
  <c r="AQ4342" i="22" l="1"/>
  <c r="AR4341" i="22"/>
  <c r="AP4341" i="22" s="1"/>
  <c r="AQ4343" i="22" l="1"/>
  <c r="AR4342" i="22"/>
  <c r="AP4342" i="22" s="1"/>
  <c r="AQ4344" i="22" l="1"/>
  <c r="AR4343" i="22"/>
  <c r="AP4343" i="22" s="1"/>
  <c r="AQ4345" i="22" l="1"/>
  <c r="AR4344" i="22"/>
  <c r="AP4344" i="22" s="1"/>
  <c r="AQ4346" i="22" l="1"/>
  <c r="AR4345" i="22"/>
  <c r="AP4345" i="22" s="1"/>
  <c r="AQ4347" i="22" l="1"/>
  <c r="AR4346" i="22"/>
  <c r="AP4346" i="22" s="1"/>
  <c r="AQ4348" i="22" l="1"/>
  <c r="AR4347" i="22"/>
  <c r="AP4347" i="22" s="1"/>
  <c r="AQ4349" i="22" l="1"/>
  <c r="AR4348" i="22"/>
  <c r="AP4348" i="22" s="1"/>
  <c r="AQ4350" i="22" l="1"/>
  <c r="AR4349" i="22"/>
  <c r="AP4349" i="22" s="1"/>
  <c r="AQ4351" i="22" l="1"/>
  <c r="AR4350" i="22"/>
  <c r="AP4350" i="22" s="1"/>
  <c r="AQ4352" i="22" l="1"/>
  <c r="AR4351" i="22"/>
  <c r="AP4351" i="22" s="1"/>
  <c r="AQ4353" i="22" l="1"/>
  <c r="AR4352" i="22"/>
  <c r="AP4352" i="22" s="1"/>
  <c r="AQ4354" i="22" l="1"/>
  <c r="AR4353" i="22"/>
  <c r="AP4353" i="22" s="1"/>
  <c r="AQ4355" i="22" l="1"/>
  <c r="AR4354" i="22"/>
  <c r="AP4354" i="22" s="1"/>
  <c r="AQ4356" i="22" l="1"/>
  <c r="AR4355" i="22"/>
  <c r="AP4355" i="22" s="1"/>
  <c r="AQ4357" i="22" l="1"/>
  <c r="AR4356" i="22"/>
  <c r="AP4356" i="22" s="1"/>
  <c r="AQ4358" i="22" l="1"/>
  <c r="AR4357" i="22"/>
  <c r="AP4357" i="22" s="1"/>
  <c r="AQ4359" i="22" l="1"/>
  <c r="AR4358" i="22"/>
  <c r="AP4358" i="22" s="1"/>
  <c r="AQ4360" i="22" l="1"/>
  <c r="AR4359" i="22"/>
  <c r="AP4359" i="22" s="1"/>
  <c r="AQ4361" i="22" l="1"/>
  <c r="AR4360" i="22"/>
  <c r="AP4360" i="22" s="1"/>
  <c r="AQ4362" i="22" l="1"/>
  <c r="AR4361" i="22"/>
  <c r="AP4361" i="22" s="1"/>
  <c r="AQ4363" i="22" l="1"/>
  <c r="AR4362" i="22"/>
  <c r="AP4362" i="22" s="1"/>
  <c r="AQ4364" i="22" l="1"/>
  <c r="AR4363" i="22"/>
  <c r="AP4363" i="22" s="1"/>
  <c r="AQ4365" i="22" l="1"/>
  <c r="AR4364" i="22"/>
  <c r="AP4364" i="22" s="1"/>
  <c r="AQ4366" i="22" l="1"/>
  <c r="AR4365" i="22"/>
  <c r="AP4365" i="22" s="1"/>
  <c r="AQ4367" i="22" l="1"/>
  <c r="AR4366" i="22"/>
  <c r="AP4366" i="22" s="1"/>
  <c r="AQ4368" i="22" l="1"/>
  <c r="AR4367" i="22"/>
  <c r="AP4367" i="22" s="1"/>
  <c r="AQ4369" i="22" l="1"/>
  <c r="AR4368" i="22"/>
  <c r="AP4368" i="22" s="1"/>
  <c r="AQ4370" i="22" l="1"/>
  <c r="AR4369" i="22"/>
  <c r="AP4369" i="22" s="1"/>
  <c r="AQ4371" i="22" l="1"/>
  <c r="AR4370" i="22"/>
  <c r="AP4370" i="22" s="1"/>
  <c r="AQ4372" i="22" l="1"/>
  <c r="AR4371" i="22"/>
  <c r="AP4371" i="22" s="1"/>
  <c r="AQ4373" i="22" l="1"/>
  <c r="AR4372" i="22"/>
  <c r="AP4372" i="22" s="1"/>
  <c r="AQ4374" i="22" l="1"/>
  <c r="AR4373" i="22"/>
  <c r="AP4373" i="22" s="1"/>
  <c r="AQ4375" i="22" l="1"/>
  <c r="AR4374" i="22"/>
  <c r="AP4374" i="22" s="1"/>
  <c r="AQ4376" i="22" l="1"/>
  <c r="AR4375" i="22"/>
  <c r="AP4375" i="22" s="1"/>
  <c r="AQ4377" i="22" l="1"/>
  <c r="AR4376" i="22"/>
  <c r="AP4376" i="22" s="1"/>
  <c r="AQ4378" i="22" l="1"/>
  <c r="AR4377" i="22"/>
  <c r="AP4377" i="22" s="1"/>
  <c r="AQ4379" i="22" l="1"/>
  <c r="AR4378" i="22"/>
  <c r="AP4378" i="22" s="1"/>
  <c r="AQ4380" i="22" l="1"/>
  <c r="AR4379" i="22"/>
  <c r="AP4379" i="22" s="1"/>
  <c r="AQ4381" i="22" l="1"/>
  <c r="AR4380" i="22"/>
  <c r="AP4380" i="22" s="1"/>
  <c r="AQ4382" i="22" l="1"/>
  <c r="AR4381" i="22"/>
  <c r="AP4381" i="22" s="1"/>
  <c r="AQ4383" i="22" l="1"/>
  <c r="AR4382" i="22"/>
  <c r="AP4382" i="22" s="1"/>
  <c r="AQ4384" i="22" l="1"/>
  <c r="AR4383" i="22"/>
  <c r="AP4383" i="22" s="1"/>
  <c r="AQ4385" i="22" l="1"/>
  <c r="AR4384" i="22"/>
  <c r="AP4384" i="22" s="1"/>
  <c r="AQ4386" i="22" l="1"/>
  <c r="AR4385" i="22"/>
  <c r="AP4385" i="22" s="1"/>
  <c r="AQ4387" i="22" l="1"/>
  <c r="AR4386" i="22"/>
  <c r="AP4386" i="22" s="1"/>
  <c r="AQ4388" i="22" l="1"/>
  <c r="AR4387" i="22"/>
  <c r="AP4387" i="22" s="1"/>
  <c r="AQ4389" i="22" l="1"/>
  <c r="AR4388" i="22"/>
  <c r="AP4388" i="22" s="1"/>
  <c r="AQ4390" i="22" l="1"/>
  <c r="AR4389" i="22"/>
  <c r="AP4389" i="22" s="1"/>
  <c r="AQ4391" i="22" l="1"/>
  <c r="AR4390" i="22"/>
  <c r="AP4390" i="22" s="1"/>
  <c r="AQ4392" i="22" l="1"/>
  <c r="AR4391" i="22"/>
  <c r="AP4391" i="22" s="1"/>
  <c r="AQ4393" i="22" l="1"/>
  <c r="AR4392" i="22"/>
  <c r="AP4392" i="22" s="1"/>
  <c r="AQ4394" i="22" l="1"/>
  <c r="AR4393" i="22"/>
  <c r="AP4393" i="22" s="1"/>
  <c r="AQ4395" i="22" l="1"/>
  <c r="AR4394" i="22"/>
  <c r="AP4394" i="22" s="1"/>
  <c r="AQ4396" i="22" l="1"/>
  <c r="AR4395" i="22"/>
  <c r="AP4395" i="22" s="1"/>
  <c r="AQ4397" i="22" l="1"/>
  <c r="AR4396" i="22"/>
  <c r="AP4396" i="22" s="1"/>
  <c r="AQ4398" i="22" l="1"/>
  <c r="AR4397" i="22"/>
  <c r="AP4397" i="22" s="1"/>
  <c r="AQ4399" i="22" l="1"/>
  <c r="AR4398" i="22"/>
  <c r="AP4398" i="22" s="1"/>
  <c r="AQ4400" i="22" l="1"/>
  <c r="AR4399" i="22"/>
  <c r="AP4399" i="22" s="1"/>
  <c r="AQ4401" i="22" l="1"/>
  <c r="AR4400" i="22"/>
  <c r="AP4400" i="22" s="1"/>
  <c r="AQ4402" i="22" l="1"/>
  <c r="AR4401" i="22"/>
  <c r="AP4401" i="22" s="1"/>
  <c r="AQ4403" i="22" l="1"/>
  <c r="AR4402" i="22"/>
  <c r="AP4402" i="22" s="1"/>
  <c r="AQ4404" i="22" l="1"/>
  <c r="AR4403" i="22"/>
  <c r="AP4403" i="22" s="1"/>
  <c r="AQ4405" i="22" l="1"/>
  <c r="AR4404" i="22"/>
  <c r="AP4404" i="22" s="1"/>
  <c r="AQ4406" i="22" l="1"/>
  <c r="AR4405" i="22"/>
  <c r="AP4405" i="22" s="1"/>
  <c r="AQ4407" i="22" l="1"/>
  <c r="AR4406" i="22"/>
  <c r="AP4406" i="22" s="1"/>
  <c r="AQ4408" i="22" l="1"/>
  <c r="AR4407" i="22"/>
  <c r="AP4407" i="22" s="1"/>
  <c r="AQ4409" i="22" l="1"/>
  <c r="AR4408" i="22"/>
  <c r="AP4408" i="22" s="1"/>
  <c r="AQ4410" i="22" l="1"/>
  <c r="AR4409" i="22"/>
  <c r="AP4409" i="22" s="1"/>
  <c r="AQ4411" i="22" l="1"/>
  <c r="AR4410" i="22"/>
  <c r="AP4410" i="22" s="1"/>
  <c r="AQ4412" i="22" l="1"/>
  <c r="AR4411" i="22"/>
  <c r="AP4411" i="22" s="1"/>
  <c r="AQ4413" i="22" l="1"/>
  <c r="AR4412" i="22"/>
  <c r="AP4412" i="22" s="1"/>
  <c r="AQ4414" i="22" l="1"/>
  <c r="AR4413" i="22"/>
  <c r="AP4413" i="22" s="1"/>
  <c r="AQ4415" i="22" l="1"/>
  <c r="AR4414" i="22"/>
  <c r="AP4414" i="22" s="1"/>
  <c r="AQ4416" i="22" l="1"/>
  <c r="AR4415" i="22"/>
  <c r="AP4415" i="22" s="1"/>
  <c r="AQ4417" i="22" l="1"/>
  <c r="AR4416" i="22"/>
  <c r="AP4416" i="22" s="1"/>
  <c r="AQ4418" i="22" l="1"/>
  <c r="AR4417" i="22"/>
  <c r="AP4417" i="22" s="1"/>
  <c r="AQ4419" i="22" l="1"/>
  <c r="AR4418" i="22"/>
  <c r="AP4418" i="22" s="1"/>
  <c r="AQ4420" i="22" l="1"/>
  <c r="AR4419" i="22"/>
  <c r="AP4419" i="22" s="1"/>
  <c r="AQ4421" i="22" l="1"/>
  <c r="AR4420" i="22"/>
  <c r="AP4420" i="22" s="1"/>
  <c r="AQ4422" i="22" l="1"/>
  <c r="AR4421" i="22"/>
  <c r="AP4421" i="22" s="1"/>
  <c r="AQ4423" i="22" l="1"/>
  <c r="AR4422" i="22"/>
  <c r="AP4422" i="22" s="1"/>
  <c r="AQ4424" i="22" l="1"/>
  <c r="AR4423" i="22"/>
  <c r="AP4423" i="22" s="1"/>
  <c r="AQ4425" i="22" l="1"/>
  <c r="AR4424" i="22"/>
  <c r="AP4424" i="22" s="1"/>
  <c r="AQ4426" i="22" l="1"/>
  <c r="AR4425" i="22"/>
  <c r="AP4425" i="22" s="1"/>
  <c r="AQ4427" i="22" l="1"/>
  <c r="AR4426" i="22"/>
  <c r="AP4426" i="22" s="1"/>
  <c r="AQ4428" i="22" l="1"/>
  <c r="AR4427" i="22"/>
  <c r="AP4427" i="22" s="1"/>
  <c r="AQ4429" i="22" l="1"/>
  <c r="AR4428" i="22"/>
  <c r="AP4428" i="22" s="1"/>
  <c r="AQ4430" i="22" l="1"/>
  <c r="AR4429" i="22"/>
  <c r="AP4429" i="22" s="1"/>
  <c r="AQ4431" i="22" l="1"/>
  <c r="AR4430" i="22"/>
  <c r="AP4430" i="22" s="1"/>
  <c r="AQ4432" i="22" l="1"/>
  <c r="AR4431" i="22"/>
  <c r="AP4431" i="22" s="1"/>
  <c r="AQ4433" i="22" l="1"/>
  <c r="AR4432" i="22"/>
  <c r="AP4432" i="22" s="1"/>
  <c r="AQ4434" i="22" l="1"/>
  <c r="AR4433" i="22"/>
  <c r="AP4433" i="22" s="1"/>
  <c r="AQ4435" i="22" l="1"/>
  <c r="AR4434" i="22"/>
  <c r="AP4434" i="22" s="1"/>
  <c r="AQ4436" i="22" l="1"/>
  <c r="AR4435" i="22"/>
  <c r="AP4435" i="22" s="1"/>
  <c r="AQ4437" i="22" l="1"/>
  <c r="AR4436" i="22"/>
  <c r="AP4436" i="22" s="1"/>
  <c r="AQ4438" i="22" l="1"/>
  <c r="AR4437" i="22"/>
  <c r="AP4437" i="22" s="1"/>
  <c r="AQ4439" i="22" l="1"/>
  <c r="AR4438" i="22"/>
  <c r="AP4438" i="22" s="1"/>
  <c r="AQ4440" i="22" l="1"/>
  <c r="AR4439" i="22"/>
  <c r="AP4439" i="22" s="1"/>
  <c r="AQ4441" i="22" l="1"/>
  <c r="AR4440" i="22"/>
  <c r="AP4440" i="22" s="1"/>
  <c r="AQ4442" i="22" l="1"/>
  <c r="AR4441" i="22"/>
  <c r="AP4441" i="22" s="1"/>
  <c r="AQ4443" i="22" l="1"/>
  <c r="AR4442" i="22"/>
  <c r="AP4442" i="22" s="1"/>
  <c r="AQ4444" i="22" l="1"/>
  <c r="AR4443" i="22"/>
  <c r="AP4443" i="22" s="1"/>
  <c r="AQ4445" i="22" l="1"/>
  <c r="AR4444" i="22"/>
  <c r="AP4444" i="22" s="1"/>
  <c r="AQ4446" i="22" l="1"/>
  <c r="AR4445" i="22"/>
  <c r="AP4445" i="22" s="1"/>
  <c r="AQ4447" i="22" l="1"/>
  <c r="AR4446" i="22"/>
  <c r="AP4446" i="22" s="1"/>
  <c r="AQ4448" i="22" l="1"/>
  <c r="AR4447" i="22"/>
  <c r="AP4447" i="22" s="1"/>
  <c r="AQ4449" i="22" l="1"/>
  <c r="AR4448" i="22"/>
  <c r="AP4448" i="22" s="1"/>
  <c r="AQ4450" i="22" l="1"/>
  <c r="AR4449" i="22"/>
  <c r="AP4449" i="22" s="1"/>
  <c r="AQ4451" i="22" l="1"/>
  <c r="AR4450" i="22"/>
  <c r="AP4450" i="22" s="1"/>
  <c r="AQ4452" i="22" l="1"/>
  <c r="AR4451" i="22"/>
  <c r="AP4451" i="22" s="1"/>
  <c r="AQ4453" i="22" l="1"/>
  <c r="AR4452" i="22"/>
  <c r="AP4452" i="22" s="1"/>
  <c r="AQ4454" i="22" l="1"/>
  <c r="AR4453" i="22"/>
  <c r="AP4453" i="22" s="1"/>
  <c r="AQ4455" i="22" l="1"/>
  <c r="AR4454" i="22"/>
  <c r="AP4454" i="22" s="1"/>
  <c r="AQ4456" i="22" l="1"/>
  <c r="AR4455" i="22"/>
  <c r="AP4455" i="22" s="1"/>
  <c r="AQ4457" i="22" l="1"/>
  <c r="AR4456" i="22"/>
  <c r="AP4456" i="22" s="1"/>
  <c r="AQ4458" i="22" l="1"/>
  <c r="AR4457" i="22"/>
  <c r="AP4457" i="22" s="1"/>
  <c r="AQ4459" i="22" l="1"/>
  <c r="AR4458" i="22"/>
  <c r="AP4458" i="22" s="1"/>
  <c r="AQ4460" i="22" l="1"/>
  <c r="AR4459" i="22"/>
  <c r="AP4459" i="22" s="1"/>
  <c r="AQ4461" i="22" l="1"/>
  <c r="AR4460" i="22"/>
  <c r="AP4460" i="22" s="1"/>
  <c r="AQ4462" i="22" l="1"/>
  <c r="AR4461" i="22"/>
  <c r="AP4461" i="22" s="1"/>
  <c r="AQ4463" i="22" l="1"/>
  <c r="AR4462" i="22"/>
  <c r="AP4462" i="22" s="1"/>
  <c r="AQ4464" i="22" l="1"/>
  <c r="AR4463" i="22"/>
  <c r="AP4463" i="22" s="1"/>
  <c r="AQ4465" i="22" l="1"/>
  <c r="AR4464" i="22"/>
  <c r="AP4464" i="22" s="1"/>
  <c r="AQ4466" i="22" l="1"/>
  <c r="AR4465" i="22"/>
  <c r="AP4465" i="22" s="1"/>
  <c r="AQ4467" i="22" l="1"/>
  <c r="AR4466" i="22"/>
  <c r="AP4466" i="22" s="1"/>
  <c r="AQ4468" i="22" l="1"/>
  <c r="AR4467" i="22"/>
  <c r="AP4467" i="22" s="1"/>
  <c r="AQ4469" i="22" l="1"/>
  <c r="AR4468" i="22"/>
  <c r="AP4468" i="22" s="1"/>
  <c r="AQ4470" i="22" l="1"/>
  <c r="AR4469" i="22"/>
  <c r="AP4469" i="22" s="1"/>
  <c r="AQ4471" i="22" l="1"/>
  <c r="AR4470" i="22"/>
  <c r="AP4470" i="22" s="1"/>
  <c r="AQ4472" i="22" l="1"/>
  <c r="AR4471" i="22"/>
  <c r="AP4471" i="22" s="1"/>
  <c r="AQ4473" i="22" l="1"/>
  <c r="AR4472" i="22"/>
  <c r="AP4472" i="22" s="1"/>
  <c r="AQ4474" i="22" l="1"/>
  <c r="AR4473" i="22"/>
  <c r="AP4473" i="22" s="1"/>
  <c r="AQ4475" i="22" l="1"/>
  <c r="AR4474" i="22"/>
  <c r="AP4474" i="22" s="1"/>
  <c r="AQ4476" i="22" l="1"/>
  <c r="AR4475" i="22"/>
  <c r="AP4475" i="22" s="1"/>
  <c r="AQ4477" i="22" l="1"/>
  <c r="AR4476" i="22"/>
  <c r="AP4476" i="22" s="1"/>
  <c r="AQ4478" i="22" l="1"/>
  <c r="AR4477" i="22"/>
  <c r="AP4477" i="22" s="1"/>
  <c r="AQ4479" i="22" l="1"/>
  <c r="AR4478" i="22"/>
  <c r="AP4478" i="22" s="1"/>
  <c r="AQ4480" i="22" l="1"/>
  <c r="AR4479" i="22"/>
  <c r="AP4479" i="22" s="1"/>
  <c r="AQ4481" i="22" l="1"/>
  <c r="AR4480" i="22"/>
  <c r="AP4480" i="22" s="1"/>
  <c r="AQ4482" i="22" l="1"/>
  <c r="AR4481" i="22"/>
  <c r="AP4481" i="22" s="1"/>
  <c r="AQ4483" i="22" l="1"/>
  <c r="AR4482" i="22"/>
  <c r="AP4482" i="22" s="1"/>
  <c r="AQ4484" i="22" l="1"/>
  <c r="AR4483" i="22"/>
  <c r="AP4483" i="22" s="1"/>
  <c r="AQ4485" i="22" l="1"/>
  <c r="AR4484" i="22"/>
  <c r="AP4484" i="22" s="1"/>
  <c r="AQ4486" i="22" l="1"/>
  <c r="AR4485" i="22"/>
  <c r="AP4485" i="22" s="1"/>
  <c r="AQ4487" i="22" l="1"/>
  <c r="AR4486" i="22"/>
  <c r="AP4486" i="22" s="1"/>
  <c r="AQ4488" i="22" l="1"/>
  <c r="AR4487" i="22"/>
  <c r="AP4487" i="22" s="1"/>
  <c r="AQ4489" i="22" l="1"/>
  <c r="AR4488" i="22"/>
  <c r="AP4488" i="22" s="1"/>
  <c r="AQ4490" i="22" l="1"/>
  <c r="AR4489" i="22"/>
  <c r="AP4489" i="22" s="1"/>
  <c r="AQ4491" i="22" l="1"/>
  <c r="AR4490" i="22"/>
  <c r="AP4490" i="22" s="1"/>
  <c r="AQ4492" i="22" l="1"/>
  <c r="AR4491" i="22"/>
  <c r="AP4491" i="22" s="1"/>
  <c r="AQ4493" i="22" l="1"/>
  <c r="AR4492" i="22"/>
  <c r="AP4492" i="22" s="1"/>
  <c r="AQ4494" i="22" l="1"/>
  <c r="AR4493" i="22"/>
  <c r="AP4493" i="22" s="1"/>
  <c r="AQ4495" i="22" l="1"/>
  <c r="AR4494" i="22"/>
  <c r="AP4494" i="22" s="1"/>
  <c r="AQ4496" i="22" l="1"/>
  <c r="AR4495" i="22"/>
  <c r="AP4495" i="22" s="1"/>
  <c r="AQ4497" i="22" l="1"/>
  <c r="AR4496" i="22"/>
  <c r="AP4496" i="22" s="1"/>
  <c r="AQ4498" i="22" l="1"/>
  <c r="AR4497" i="22"/>
  <c r="AP4497" i="22" s="1"/>
  <c r="AQ4499" i="22" l="1"/>
  <c r="AR4498" i="22"/>
  <c r="AP4498" i="22" s="1"/>
  <c r="AQ4500" i="22" l="1"/>
  <c r="AR4499" i="22"/>
  <c r="AP4499" i="22" s="1"/>
  <c r="AQ4501" i="22" l="1"/>
  <c r="AR4500" i="22"/>
  <c r="AP4500" i="22" s="1"/>
  <c r="AQ4502" i="22" l="1"/>
  <c r="AR4501" i="22"/>
  <c r="AP4501" i="22" s="1"/>
  <c r="AQ4503" i="22" l="1"/>
  <c r="AR4502" i="22"/>
  <c r="AP4502" i="22" s="1"/>
  <c r="AQ4504" i="22" l="1"/>
  <c r="AR4503" i="22"/>
  <c r="AP4503" i="22" s="1"/>
  <c r="AQ4505" i="22" l="1"/>
  <c r="AR4504" i="22"/>
  <c r="AP4504" i="22" s="1"/>
  <c r="AQ4506" i="22" l="1"/>
  <c r="AR4505" i="22"/>
  <c r="AP4505" i="22" s="1"/>
  <c r="AQ4507" i="22" l="1"/>
  <c r="AR4506" i="22"/>
  <c r="AP4506" i="22" s="1"/>
  <c r="AQ4508" i="22" l="1"/>
  <c r="AR4507" i="22"/>
  <c r="AP4507" i="22" s="1"/>
  <c r="AQ4509" i="22" l="1"/>
  <c r="AR4508" i="22"/>
  <c r="AP4508" i="22" s="1"/>
  <c r="AQ4510" i="22" l="1"/>
  <c r="AR4509" i="22"/>
  <c r="AP4509" i="22" s="1"/>
  <c r="AQ4511" i="22" l="1"/>
  <c r="AR4510" i="22"/>
  <c r="AP4510" i="22" s="1"/>
  <c r="AQ4512" i="22" l="1"/>
  <c r="AR4511" i="22"/>
  <c r="AP4511" i="22" s="1"/>
  <c r="AQ4513" i="22" l="1"/>
  <c r="AR4512" i="22"/>
  <c r="AP4512" i="22" s="1"/>
  <c r="AQ4514" i="22" l="1"/>
  <c r="AR4513" i="22"/>
  <c r="AP4513" i="22" s="1"/>
  <c r="AQ4515" i="22" l="1"/>
  <c r="AR4514" i="22"/>
  <c r="AP4514" i="22" s="1"/>
  <c r="AQ4516" i="22" l="1"/>
  <c r="AR4515" i="22"/>
  <c r="AP4515" i="22" s="1"/>
  <c r="AQ4517" i="22" l="1"/>
  <c r="AR4516" i="22"/>
  <c r="AP4516" i="22" s="1"/>
  <c r="AQ4518" i="22" l="1"/>
  <c r="AR4517" i="22"/>
  <c r="AP4517" i="22" s="1"/>
  <c r="AQ4519" i="22" l="1"/>
  <c r="AR4518" i="22"/>
  <c r="AP4518" i="22" s="1"/>
  <c r="AQ4520" i="22" l="1"/>
  <c r="AR4519" i="22"/>
  <c r="AP4519" i="22" s="1"/>
  <c r="AQ4521" i="22" l="1"/>
  <c r="AR4520" i="22"/>
  <c r="AP4520" i="22" s="1"/>
  <c r="AQ4522" i="22" l="1"/>
  <c r="AR4521" i="22"/>
  <c r="AP4521" i="22" s="1"/>
  <c r="AQ4523" i="22" l="1"/>
  <c r="AR4522" i="22"/>
  <c r="AP4522" i="22" s="1"/>
  <c r="AQ4524" i="22" l="1"/>
  <c r="AR4523" i="22"/>
  <c r="AP4523" i="22" s="1"/>
  <c r="AQ4525" i="22" l="1"/>
  <c r="AR4524" i="22"/>
  <c r="AP4524" i="22" s="1"/>
  <c r="AQ4526" i="22" l="1"/>
  <c r="AR4525" i="22"/>
  <c r="AP4525" i="22" s="1"/>
  <c r="AQ4527" i="22" l="1"/>
  <c r="AR4526" i="22"/>
  <c r="AP4526" i="22" s="1"/>
  <c r="AQ4528" i="22" l="1"/>
  <c r="AR4527" i="22"/>
  <c r="AP4527" i="22" s="1"/>
  <c r="AQ4529" i="22" l="1"/>
  <c r="AR4528" i="22"/>
  <c r="AP4528" i="22" s="1"/>
  <c r="AQ4530" i="22" l="1"/>
  <c r="AR4529" i="22"/>
  <c r="AP4529" i="22" s="1"/>
  <c r="AQ4531" i="22" l="1"/>
  <c r="AR4530" i="22"/>
  <c r="AP4530" i="22" s="1"/>
  <c r="AQ4532" i="22" l="1"/>
  <c r="AR4531" i="22"/>
  <c r="AP4531" i="22" s="1"/>
  <c r="AQ4533" i="22" l="1"/>
  <c r="AR4532" i="22"/>
  <c r="AP4532" i="22" s="1"/>
  <c r="AQ4534" i="22" l="1"/>
  <c r="AR4533" i="22"/>
  <c r="AP4533" i="22" s="1"/>
  <c r="AQ4535" i="22" l="1"/>
  <c r="AR4534" i="22"/>
  <c r="AP4534" i="22" s="1"/>
  <c r="AQ4536" i="22" l="1"/>
  <c r="AR4535" i="22"/>
  <c r="AP4535" i="22" s="1"/>
  <c r="AQ4537" i="22" l="1"/>
  <c r="AR4536" i="22"/>
  <c r="AP4536" i="22" s="1"/>
  <c r="AQ4538" i="22" l="1"/>
  <c r="AR4537" i="22"/>
  <c r="AP4537" i="22" s="1"/>
  <c r="AQ4539" i="22" l="1"/>
  <c r="AR4538" i="22"/>
  <c r="AP4538" i="22" s="1"/>
  <c r="AQ4540" i="22" l="1"/>
  <c r="AR4539" i="22"/>
  <c r="AP4539" i="22" s="1"/>
  <c r="AQ4541" i="22" l="1"/>
  <c r="AR4540" i="22"/>
  <c r="AP4540" i="22" s="1"/>
  <c r="AQ4542" i="22" l="1"/>
  <c r="AR4541" i="22"/>
  <c r="AP4541" i="22" s="1"/>
  <c r="AQ4543" i="22" l="1"/>
  <c r="AR4542" i="22"/>
  <c r="AP4542" i="22" s="1"/>
  <c r="AQ4544" i="22" l="1"/>
  <c r="AR4543" i="22"/>
  <c r="AP4543" i="22" s="1"/>
  <c r="AQ4545" i="22" l="1"/>
  <c r="AR4544" i="22"/>
  <c r="AP4544" i="22" s="1"/>
  <c r="AQ4546" i="22" l="1"/>
  <c r="AR4545" i="22"/>
  <c r="AP4545" i="22" s="1"/>
  <c r="AQ4547" i="22" l="1"/>
  <c r="AR4546" i="22"/>
  <c r="AP4546" i="22" s="1"/>
  <c r="AQ4548" i="22" l="1"/>
  <c r="AR4547" i="22"/>
  <c r="AP4547" i="22" s="1"/>
  <c r="AQ4549" i="22" l="1"/>
  <c r="AR4548" i="22"/>
  <c r="AP4548" i="22" s="1"/>
  <c r="AQ4550" i="22" l="1"/>
  <c r="AR4549" i="22"/>
  <c r="AP4549" i="22" s="1"/>
  <c r="AQ4551" i="22" l="1"/>
  <c r="AR4550" i="22"/>
  <c r="AP4550" i="22" s="1"/>
  <c r="AQ4552" i="22" l="1"/>
  <c r="AR4551" i="22"/>
  <c r="AP4551" i="22" s="1"/>
  <c r="AQ4553" i="22" l="1"/>
  <c r="AR4552" i="22"/>
  <c r="AP4552" i="22" s="1"/>
  <c r="AQ4554" i="22" l="1"/>
  <c r="AR4553" i="22"/>
  <c r="AP4553" i="22" s="1"/>
  <c r="AQ4555" i="22" l="1"/>
  <c r="AR4554" i="22"/>
  <c r="AP4554" i="22" s="1"/>
  <c r="AQ4556" i="22" l="1"/>
  <c r="AR4555" i="22"/>
  <c r="AP4555" i="22" s="1"/>
  <c r="AQ4557" i="22" l="1"/>
  <c r="AR4556" i="22"/>
  <c r="AP4556" i="22" s="1"/>
  <c r="AQ4558" i="22" l="1"/>
  <c r="AR4557" i="22"/>
  <c r="AP4557" i="22" s="1"/>
  <c r="AQ4559" i="22" l="1"/>
  <c r="AR4558" i="22"/>
  <c r="AP4558" i="22" s="1"/>
  <c r="AQ4560" i="22" l="1"/>
  <c r="AR4559" i="22"/>
  <c r="AP4559" i="22" s="1"/>
  <c r="AQ4561" i="22" l="1"/>
  <c r="AR4560" i="22"/>
  <c r="AP4560" i="22" s="1"/>
  <c r="AQ4562" i="22" l="1"/>
  <c r="AR4561" i="22"/>
  <c r="AP4561" i="22" s="1"/>
  <c r="AQ4563" i="22" l="1"/>
  <c r="AR4562" i="22"/>
  <c r="AP4562" i="22" s="1"/>
  <c r="AQ4564" i="22" l="1"/>
  <c r="AR4563" i="22"/>
  <c r="AP4563" i="22" s="1"/>
  <c r="AQ4565" i="22" l="1"/>
  <c r="AR4564" i="22"/>
  <c r="AP4564" i="22" s="1"/>
  <c r="AQ4566" i="22" l="1"/>
  <c r="AR4565" i="22"/>
  <c r="AP4565" i="22" s="1"/>
  <c r="AQ4567" i="22" l="1"/>
  <c r="AR4566" i="22"/>
  <c r="AP4566" i="22" s="1"/>
  <c r="AQ4568" i="22" l="1"/>
  <c r="AR4567" i="22"/>
  <c r="AP4567" i="22" s="1"/>
  <c r="AQ4569" i="22" l="1"/>
  <c r="AR4568" i="22"/>
  <c r="AP4568" i="22" s="1"/>
  <c r="AQ4570" i="22" l="1"/>
  <c r="AR4569" i="22"/>
  <c r="AP4569" i="22" s="1"/>
  <c r="AQ4571" i="22" l="1"/>
  <c r="AR4570" i="22"/>
  <c r="AP4570" i="22" s="1"/>
  <c r="AQ4572" i="22" l="1"/>
  <c r="AR4571" i="22"/>
  <c r="AP4571" i="22" s="1"/>
  <c r="AQ4573" i="22" l="1"/>
  <c r="AR4572" i="22"/>
  <c r="AP4572" i="22" s="1"/>
  <c r="AQ4574" i="22" l="1"/>
  <c r="AR4573" i="22"/>
  <c r="AP4573" i="22" s="1"/>
  <c r="AQ4575" i="22" l="1"/>
  <c r="AR4574" i="22"/>
  <c r="AP4574" i="22" s="1"/>
  <c r="AQ4576" i="22" l="1"/>
  <c r="AR4575" i="22"/>
  <c r="AP4575" i="22" s="1"/>
  <c r="AQ4577" i="22" l="1"/>
  <c r="AR4576" i="22"/>
  <c r="AP4576" i="22" s="1"/>
  <c r="AQ4578" i="22" l="1"/>
  <c r="AR4577" i="22"/>
  <c r="AP4577" i="22" s="1"/>
  <c r="AQ4579" i="22" l="1"/>
  <c r="AR4578" i="22"/>
  <c r="AP4578" i="22" s="1"/>
  <c r="AQ4580" i="22" l="1"/>
  <c r="AR4579" i="22"/>
  <c r="AP4579" i="22" s="1"/>
  <c r="AQ4581" i="22" l="1"/>
  <c r="AR4580" i="22"/>
  <c r="AP4580" i="22" s="1"/>
  <c r="AQ4582" i="22" l="1"/>
  <c r="AR4581" i="22"/>
  <c r="AP4581" i="22" s="1"/>
  <c r="AQ4583" i="22" l="1"/>
  <c r="AR4582" i="22"/>
  <c r="AP4582" i="22" s="1"/>
  <c r="AQ4584" i="22" l="1"/>
  <c r="AR4583" i="22"/>
  <c r="AP4583" i="22" s="1"/>
  <c r="AQ4585" i="22" l="1"/>
  <c r="AR4584" i="22"/>
  <c r="AP4584" i="22" s="1"/>
  <c r="AQ4586" i="22" l="1"/>
  <c r="AR4585" i="22"/>
  <c r="AP4585" i="22" s="1"/>
  <c r="AQ4587" i="22" l="1"/>
  <c r="AR4586" i="22"/>
  <c r="AP4586" i="22" s="1"/>
  <c r="AQ4588" i="22" l="1"/>
  <c r="AR4587" i="22"/>
  <c r="AP4587" i="22" s="1"/>
  <c r="AQ4589" i="22" l="1"/>
  <c r="AR4588" i="22"/>
  <c r="AP4588" i="22" s="1"/>
  <c r="AQ4590" i="22" l="1"/>
  <c r="AR4589" i="22"/>
  <c r="AP4589" i="22" s="1"/>
  <c r="AQ4591" i="22" l="1"/>
  <c r="AR4590" i="22"/>
  <c r="AP4590" i="22" s="1"/>
  <c r="AQ4592" i="22" l="1"/>
  <c r="AR4591" i="22"/>
  <c r="AP4591" i="22" s="1"/>
  <c r="AQ4593" i="22" l="1"/>
  <c r="AR4592" i="22"/>
  <c r="AP4592" i="22" s="1"/>
  <c r="AQ4594" i="22" l="1"/>
  <c r="AR4593" i="22"/>
  <c r="AP4593" i="22" s="1"/>
  <c r="AQ4595" i="22" l="1"/>
  <c r="AR4594" i="22"/>
  <c r="AP4594" i="22" s="1"/>
  <c r="AQ4596" i="22" l="1"/>
  <c r="AR4595" i="22"/>
  <c r="AP4595" i="22" s="1"/>
  <c r="AQ4597" i="22" l="1"/>
  <c r="AR4596" i="22"/>
  <c r="AP4596" i="22" s="1"/>
  <c r="AQ4598" i="22" l="1"/>
  <c r="AR4597" i="22"/>
  <c r="AP4597" i="22" s="1"/>
  <c r="AQ4599" i="22" l="1"/>
  <c r="AR4598" i="22"/>
  <c r="AP4598" i="22" s="1"/>
  <c r="AQ4600" i="22" l="1"/>
  <c r="AR4599" i="22"/>
  <c r="AP4599" i="22" s="1"/>
  <c r="AQ4601" i="22" l="1"/>
  <c r="AR4600" i="22"/>
  <c r="AP4600" i="22" s="1"/>
  <c r="AQ4602" i="22" l="1"/>
  <c r="AR4601" i="22"/>
  <c r="AP4601" i="22" s="1"/>
  <c r="AQ4603" i="22" l="1"/>
  <c r="AR4602" i="22"/>
  <c r="AP4602" i="22" s="1"/>
  <c r="AQ4604" i="22" l="1"/>
  <c r="AR4603" i="22"/>
  <c r="AP4603" i="22" s="1"/>
  <c r="AQ4605" i="22" l="1"/>
  <c r="AR4604" i="22"/>
  <c r="AP4604" i="22" s="1"/>
  <c r="AQ4606" i="22" l="1"/>
  <c r="AR4605" i="22"/>
  <c r="AP4605" i="22" s="1"/>
  <c r="AQ4607" i="22" l="1"/>
  <c r="AR4606" i="22"/>
  <c r="AP4606" i="22" s="1"/>
  <c r="AQ4608" i="22" l="1"/>
  <c r="AR4607" i="22"/>
  <c r="AP4607" i="22" s="1"/>
  <c r="AQ4609" i="22" l="1"/>
  <c r="AR4608" i="22"/>
  <c r="AP4608" i="22" s="1"/>
  <c r="AQ4610" i="22" l="1"/>
  <c r="AR4609" i="22"/>
  <c r="AP4609" i="22" s="1"/>
  <c r="AQ4611" i="22" l="1"/>
  <c r="AR4610" i="22"/>
  <c r="AP4610" i="22" s="1"/>
  <c r="AQ4612" i="22" l="1"/>
  <c r="AR4611" i="22"/>
  <c r="AP4611" i="22" s="1"/>
  <c r="AQ4613" i="22" l="1"/>
  <c r="AR4612" i="22"/>
  <c r="AP4612" i="22" s="1"/>
  <c r="AQ4614" i="22" l="1"/>
  <c r="AR4613" i="22"/>
  <c r="AP4613" i="22" s="1"/>
  <c r="AQ4615" i="22" l="1"/>
  <c r="AR4614" i="22"/>
  <c r="AP4614" i="22" s="1"/>
  <c r="AQ4616" i="22" l="1"/>
  <c r="AR4615" i="22"/>
  <c r="AP4615" i="22" s="1"/>
  <c r="AQ4617" i="22" l="1"/>
  <c r="AR4616" i="22"/>
  <c r="AP4616" i="22" s="1"/>
  <c r="AQ4618" i="22" l="1"/>
  <c r="AR4617" i="22"/>
  <c r="AP4617" i="22" s="1"/>
  <c r="AQ4619" i="22" l="1"/>
  <c r="AR4618" i="22"/>
  <c r="AP4618" i="22" s="1"/>
  <c r="AQ4620" i="22" l="1"/>
  <c r="AR4619" i="22"/>
  <c r="AP4619" i="22" s="1"/>
  <c r="AQ4621" i="22" l="1"/>
  <c r="AR4620" i="22"/>
  <c r="AP4620" i="22" s="1"/>
  <c r="AQ4622" i="22" l="1"/>
  <c r="AR4621" i="22"/>
  <c r="AP4621" i="22" s="1"/>
  <c r="AQ4623" i="22" l="1"/>
  <c r="AR4622" i="22"/>
  <c r="AP4622" i="22" s="1"/>
  <c r="AQ4624" i="22" l="1"/>
  <c r="AR4623" i="22"/>
  <c r="AP4623" i="22" s="1"/>
  <c r="AQ4625" i="22" l="1"/>
  <c r="AR4624" i="22"/>
  <c r="AP4624" i="22" s="1"/>
  <c r="AQ4626" i="22" l="1"/>
  <c r="AR4625" i="22"/>
  <c r="AP4625" i="22" s="1"/>
  <c r="AQ4627" i="22" l="1"/>
  <c r="AR4626" i="22"/>
  <c r="AP4626" i="22" s="1"/>
  <c r="AQ4628" i="22" l="1"/>
  <c r="AR4627" i="22"/>
  <c r="AP4627" i="22" s="1"/>
  <c r="AQ4629" i="22" l="1"/>
  <c r="AR4628" i="22"/>
  <c r="AP4628" i="22" s="1"/>
  <c r="AQ4630" i="22" l="1"/>
  <c r="AR4629" i="22"/>
  <c r="AP4629" i="22" s="1"/>
  <c r="AQ4631" i="22" l="1"/>
  <c r="AR4630" i="22"/>
  <c r="AP4630" i="22" s="1"/>
  <c r="AQ4632" i="22" l="1"/>
  <c r="AR4631" i="22"/>
  <c r="AP4631" i="22" s="1"/>
  <c r="AQ4633" i="22" l="1"/>
  <c r="AR4632" i="22"/>
  <c r="AP4632" i="22" s="1"/>
  <c r="AQ4634" i="22" l="1"/>
  <c r="AR4633" i="22"/>
  <c r="AP4633" i="22" s="1"/>
  <c r="AQ4635" i="22" l="1"/>
  <c r="AR4634" i="22"/>
  <c r="AP4634" i="22" s="1"/>
  <c r="AQ4636" i="22" l="1"/>
  <c r="AR4635" i="22"/>
  <c r="AP4635" i="22" s="1"/>
  <c r="AQ4637" i="22" l="1"/>
  <c r="AR4636" i="22"/>
  <c r="AP4636" i="22" s="1"/>
  <c r="AQ4638" i="22" l="1"/>
  <c r="AR4637" i="22"/>
  <c r="AP4637" i="22" s="1"/>
  <c r="AQ4639" i="22" l="1"/>
  <c r="AR4638" i="22"/>
  <c r="AP4638" i="22" s="1"/>
  <c r="AQ4640" i="22" l="1"/>
  <c r="AR4639" i="22"/>
  <c r="AP4639" i="22" s="1"/>
  <c r="AQ4641" i="22" l="1"/>
  <c r="AR4640" i="22"/>
  <c r="AP4640" i="22" s="1"/>
  <c r="AQ4642" i="22" l="1"/>
  <c r="AR4641" i="22"/>
  <c r="AP4641" i="22" s="1"/>
  <c r="AQ4643" i="22" l="1"/>
  <c r="AR4642" i="22"/>
  <c r="AP4642" i="22" s="1"/>
  <c r="AQ4644" i="22" l="1"/>
  <c r="AR4643" i="22"/>
  <c r="AP4643" i="22" s="1"/>
  <c r="AQ4645" i="22" l="1"/>
  <c r="AR4644" i="22"/>
  <c r="AP4644" i="22" s="1"/>
  <c r="AQ4646" i="22" l="1"/>
  <c r="AR4645" i="22"/>
  <c r="AP4645" i="22" s="1"/>
  <c r="AQ4647" i="22" l="1"/>
  <c r="AR4646" i="22"/>
  <c r="AP4646" i="22" s="1"/>
  <c r="AQ4648" i="22" l="1"/>
  <c r="AR4647" i="22"/>
  <c r="AP4647" i="22" s="1"/>
  <c r="AQ4649" i="22" l="1"/>
  <c r="AR4648" i="22"/>
  <c r="AP4648" i="22" s="1"/>
  <c r="AQ4650" i="22" l="1"/>
  <c r="AR4649" i="22"/>
  <c r="AP4649" i="22" s="1"/>
  <c r="AQ4651" i="22" l="1"/>
  <c r="AR4650" i="22"/>
  <c r="AP4650" i="22" s="1"/>
  <c r="AQ4652" i="22" l="1"/>
  <c r="AR4651" i="22"/>
  <c r="AP4651" i="22" s="1"/>
  <c r="AQ4653" i="22" l="1"/>
  <c r="AR4652" i="22"/>
  <c r="AP4652" i="22" s="1"/>
  <c r="AQ4654" i="22" l="1"/>
  <c r="AR4653" i="22"/>
  <c r="AP4653" i="22" s="1"/>
  <c r="AQ4655" i="22" l="1"/>
  <c r="AR4654" i="22"/>
  <c r="AP4654" i="22" s="1"/>
  <c r="AQ4656" i="22" l="1"/>
  <c r="AR4655" i="22"/>
  <c r="AP4655" i="22" s="1"/>
  <c r="AQ4657" i="22" l="1"/>
  <c r="AR4656" i="22"/>
  <c r="AP4656" i="22" s="1"/>
  <c r="AQ4658" i="22" l="1"/>
  <c r="AR4657" i="22"/>
  <c r="AP4657" i="22" s="1"/>
  <c r="AQ4659" i="22" l="1"/>
  <c r="AR4658" i="22"/>
  <c r="AP4658" i="22" s="1"/>
  <c r="AQ4660" i="22" l="1"/>
  <c r="AR4659" i="22"/>
  <c r="AP4659" i="22" s="1"/>
  <c r="AQ4661" i="22" l="1"/>
  <c r="AR4660" i="22"/>
  <c r="AP4660" i="22" s="1"/>
  <c r="AQ4662" i="22" l="1"/>
  <c r="AR4661" i="22"/>
  <c r="AP4661" i="22" s="1"/>
  <c r="AQ4663" i="22" l="1"/>
  <c r="AR4662" i="22"/>
  <c r="AP4662" i="22" s="1"/>
  <c r="AQ4664" i="22" l="1"/>
  <c r="AR4663" i="22"/>
  <c r="AP4663" i="22" s="1"/>
  <c r="AQ4665" i="22" l="1"/>
  <c r="AR4664" i="22"/>
  <c r="AP4664" i="22" s="1"/>
  <c r="AQ4666" i="22" l="1"/>
  <c r="AR4665" i="22"/>
  <c r="AP4665" i="22" s="1"/>
  <c r="AQ4667" i="22" l="1"/>
  <c r="AR4666" i="22"/>
  <c r="AP4666" i="22" s="1"/>
  <c r="AQ4668" i="22" l="1"/>
  <c r="AR4667" i="22"/>
  <c r="AP4667" i="22" s="1"/>
  <c r="AQ4669" i="22" l="1"/>
  <c r="AR4668" i="22"/>
  <c r="AP4668" i="22" s="1"/>
  <c r="AQ4670" i="22" l="1"/>
  <c r="AR4669" i="22"/>
  <c r="AP4669" i="22" s="1"/>
  <c r="AQ4671" i="22" l="1"/>
  <c r="AR4670" i="22"/>
  <c r="AP4670" i="22" s="1"/>
  <c r="AQ4672" i="22" l="1"/>
  <c r="AR4671" i="22"/>
  <c r="AP4671" i="22" s="1"/>
  <c r="AQ4673" i="22" l="1"/>
  <c r="AR4672" i="22"/>
  <c r="AP4672" i="22" s="1"/>
  <c r="AQ4674" i="22" l="1"/>
  <c r="AR4673" i="22"/>
  <c r="AP4673" i="22" s="1"/>
  <c r="AQ4675" i="22" l="1"/>
  <c r="AR4674" i="22"/>
  <c r="AP4674" i="22" s="1"/>
  <c r="AQ4676" i="22" l="1"/>
  <c r="AR4675" i="22"/>
  <c r="AP4675" i="22" s="1"/>
  <c r="AQ4677" i="22" l="1"/>
  <c r="AR4676" i="22"/>
  <c r="AP4676" i="22" s="1"/>
  <c r="AQ4678" i="22" l="1"/>
  <c r="AR4677" i="22"/>
  <c r="AP4677" i="22" s="1"/>
  <c r="AQ4679" i="22" l="1"/>
  <c r="AR4678" i="22"/>
  <c r="AP4678" i="22" s="1"/>
  <c r="AQ4680" i="22" l="1"/>
  <c r="AR4679" i="22"/>
  <c r="AP4679" i="22" s="1"/>
  <c r="AQ4681" i="22" l="1"/>
  <c r="AR4680" i="22"/>
  <c r="AP4680" i="22" s="1"/>
  <c r="AQ4682" i="22" l="1"/>
  <c r="AR4681" i="22"/>
  <c r="AP4681" i="22" s="1"/>
  <c r="AQ4683" i="22" l="1"/>
  <c r="AR4682" i="22"/>
  <c r="AP4682" i="22" s="1"/>
  <c r="AQ4684" i="22" l="1"/>
  <c r="AR4683" i="22"/>
  <c r="AP4683" i="22" s="1"/>
  <c r="AQ4685" i="22" l="1"/>
  <c r="AR4684" i="22"/>
  <c r="AP4684" i="22" s="1"/>
  <c r="AQ4686" i="22" l="1"/>
  <c r="AR4685" i="22"/>
  <c r="AP4685" i="22" s="1"/>
  <c r="AQ4687" i="22" l="1"/>
  <c r="AR4686" i="22"/>
  <c r="AP4686" i="22" s="1"/>
  <c r="AQ4688" i="22" l="1"/>
  <c r="AR4687" i="22"/>
  <c r="AP4687" i="22" s="1"/>
  <c r="AQ4689" i="22" l="1"/>
  <c r="AR4688" i="22"/>
  <c r="AP4688" i="22" s="1"/>
  <c r="AQ4690" i="22" l="1"/>
  <c r="AR4689" i="22"/>
  <c r="AP4689" i="22" s="1"/>
  <c r="AQ4691" i="22" l="1"/>
  <c r="AR4690" i="22"/>
  <c r="AP4690" i="22" s="1"/>
  <c r="AQ4692" i="22" l="1"/>
  <c r="AR4691" i="22"/>
  <c r="AP4691" i="22" s="1"/>
  <c r="AQ4693" i="22" l="1"/>
  <c r="AR4692" i="22"/>
  <c r="AP4692" i="22" s="1"/>
  <c r="AQ4694" i="22" l="1"/>
  <c r="AR4693" i="22"/>
  <c r="AP4693" i="22" s="1"/>
  <c r="AQ4695" i="22" l="1"/>
  <c r="AR4694" i="22"/>
  <c r="AP4694" i="22" s="1"/>
  <c r="AQ4696" i="22" l="1"/>
  <c r="AR4695" i="22"/>
  <c r="AP4695" i="22" s="1"/>
  <c r="AQ4697" i="22" l="1"/>
  <c r="AR4696" i="22"/>
  <c r="AP4696" i="22" s="1"/>
  <c r="AQ4698" i="22" l="1"/>
  <c r="AR4697" i="22"/>
  <c r="AP4697" i="22" s="1"/>
  <c r="AQ4699" i="22" l="1"/>
  <c r="AR4698" i="22"/>
  <c r="AP4698" i="22" s="1"/>
  <c r="AQ4700" i="22" l="1"/>
  <c r="AR4699" i="22"/>
  <c r="AP4699" i="22" s="1"/>
  <c r="AQ4701" i="22" l="1"/>
  <c r="AR4700" i="22"/>
  <c r="AP4700" i="22" s="1"/>
  <c r="AQ4702" i="22" l="1"/>
  <c r="AR4701" i="22"/>
  <c r="AP4701" i="22" s="1"/>
  <c r="AQ4703" i="22" l="1"/>
  <c r="AR4702" i="22"/>
  <c r="AP4702" i="22" s="1"/>
  <c r="AQ4704" i="22" l="1"/>
  <c r="AR4703" i="22"/>
  <c r="AP4703" i="22" s="1"/>
  <c r="AQ4705" i="22" l="1"/>
  <c r="AR4704" i="22"/>
  <c r="AP4704" i="22" s="1"/>
  <c r="AQ4706" i="22" l="1"/>
  <c r="AR4705" i="22"/>
  <c r="AP4705" i="22" s="1"/>
  <c r="AQ4707" i="22" l="1"/>
  <c r="AR4706" i="22"/>
  <c r="AP4706" i="22" s="1"/>
  <c r="AQ4708" i="22" l="1"/>
  <c r="AR4707" i="22"/>
  <c r="AP4707" i="22" s="1"/>
  <c r="AQ4709" i="22" l="1"/>
  <c r="AR4708" i="22"/>
  <c r="AP4708" i="22" s="1"/>
  <c r="AQ4710" i="22" l="1"/>
  <c r="AR4709" i="22"/>
  <c r="AP4709" i="22" s="1"/>
  <c r="AQ4711" i="22" l="1"/>
  <c r="AR4710" i="22"/>
  <c r="AP4710" i="22" s="1"/>
  <c r="AQ4712" i="22" l="1"/>
  <c r="AR4711" i="22"/>
  <c r="AP4711" i="22" s="1"/>
  <c r="AQ4713" i="22" l="1"/>
  <c r="AR4712" i="22"/>
  <c r="AP4712" i="22" s="1"/>
  <c r="AQ4714" i="22" l="1"/>
  <c r="AR4713" i="22"/>
  <c r="AP4713" i="22" s="1"/>
  <c r="AQ4715" i="22" l="1"/>
  <c r="AR4714" i="22"/>
  <c r="AP4714" i="22" s="1"/>
  <c r="AQ4716" i="22" l="1"/>
  <c r="AR4715" i="22"/>
  <c r="AP4715" i="22" s="1"/>
  <c r="AQ4717" i="22" l="1"/>
  <c r="AR4716" i="22"/>
  <c r="AP4716" i="22" s="1"/>
  <c r="AQ4718" i="22" l="1"/>
  <c r="AR4717" i="22"/>
  <c r="AP4717" i="22" s="1"/>
  <c r="AQ4719" i="22" l="1"/>
  <c r="AR4718" i="22"/>
  <c r="AP4718" i="22" s="1"/>
  <c r="AQ4720" i="22" l="1"/>
  <c r="AR4719" i="22"/>
  <c r="AP4719" i="22" s="1"/>
  <c r="AQ4721" i="22" l="1"/>
  <c r="AR4720" i="22"/>
  <c r="AP4720" i="22" s="1"/>
  <c r="AQ4722" i="22" l="1"/>
  <c r="AR4721" i="22"/>
  <c r="AP4721" i="22" s="1"/>
  <c r="AQ4723" i="22" l="1"/>
  <c r="AR4722" i="22"/>
  <c r="AP4722" i="22" s="1"/>
  <c r="AQ4724" i="22" l="1"/>
  <c r="AR4723" i="22"/>
  <c r="AP4723" i="22" s="1"/>
  <c r="AQ4725" i="22" l="1"/>
  <c r="AR4724" i="22"/>
  <c r="AP4724" i="22" s="1"/>
  <c r="AQ4726" i="22" l="1"/>
  <c r="AR4725" i="22"/>
  <c r="AP4725" i="22" s="1"/>
  <c r="AQ4727" i="22" l="1"/>
  <c r="AR4726" i="22"/>
  <c r="AP4726" i="22" s="1"/>
  <c r="AQ4728" i="22" l="1"/>
  <c r="AR4727" i="22"/>
  <c r="AP4727" i="22" s="1"/>
  <c r="AQ4729" i="22" l="1"/>
  <c r="AR4728" i="22"/>
  <c r="AP4728" i="22" s="1"/>
  <c r="AQ4730" i="22" l="1"/>
  <c r="AR4729" i="22"/>
  <c r="AP4729" i="22" s="1"/>
  <c r="AQ4731" i="22" l="1"/>
  <c r="AR4730" i="22"/>
  <c r="AP4730" i="22" s="1"/>
  <c r="AQ4732" i="22" l="1"/>
  <c r="AR4731" i="22"/>
  <c r="AP4731" i="22" s="1"/>
  <c r="AQ4733" i="22" l="1"/>
  <c r="AR4732" i="22"/>
  <c r="AP4732" i="22" s="1"/>
  <c r="AQ4734" i="22" l="1"/>
  <c r="AR4733" i="22"/>
  <c r="AP4733" i="22" s="1"/>
  <c r="AQ4735" i="22" l="1"/>
  <c r="AR4734" i="22"/>
  <c r="AP4734" i="22" s="1"/>
  <c r="AQ4736" i="22" l="1"/>
  <c r="AR4735" i="22"/>
  <c r="AP4735" i="22" s="1"/>
  <c r="AQ4737" i="22" l="1"/>
  <c r="AR4736" i="22"/>
  <c r="AP4736" i="22" s="1"/>
  <c r="AQ4738" i="22" l="1"/>
  <c r="AR4737" i="22"/>
  <c r="AP4737" i="22" s="1"/>
  <c r="AQ4739" i="22" l="1"/>
  <c r="AR4738" i="22"/>
  <c r="AP4738" i="22" s="1"/>
  <c r="AQ4740" i="22" l="1"/>
  <c r="AR4739" i="22"/>
  <c r="AP4739" i="22" s="1"/>
  <c r="AQ4741" i="22" l="1"/>
  <c r="AR4740" i="22"/>
  <c r="AP4740" i="22" s="1"/>
  <c r="AQ4742" i="22" l="1"/>
  <c r="AR4741" i="22"/>
  <c r="AP4741" i="22" s="1"/>
  <c r="AQ4743" i="22" l="1"/>
  <c r="AR4742" i="22"/>
  <c r="AP4742" i="22" s="1"/>
  <c r="AQ4744" i="22" l="1"/>
  <c r="AR4743" i="22"/>
  <c r="AP4743" i="22" s="1"/>
  <c r="AQ4745" i="22" l="1"/>
  <c r="AR4744" i="22"/>
  <c r="AP4744" i="22" s="1"/>
  <c r="AQ4746" i="22" l="1"/>
  <c r="AR4745" i="22"/>
  <c r="AP4745" i="22" s="1"/>
  <c r="AQ4747" i="22" l="1"/>
  <c r="AR4746" i="22"/>
  <c r="AP4746" i="22" s="1"/>
  <c r="AQ4748" i="22" l="1"/>
  <c r="AR4747" i="22"/>
  <c r="AP4747" i="22" s="1"/>
  <c r="AQ4749" i="22" l="1"/>
  <c r="AR4748" i="22"/>
  <c r="AP4748" i="22" s="1"/>
  <c r="AQ4750" i="22" l="1"/>
  <c r="AR4749" i="22"/>
  <c r="AP4749" i="22" s="1"/>
  <c r="AQ4751" i="22" l="1"/>
  <c r="AR4750" i="22"/>
  <c r="AP4750" i="22" s="1"/>
  <c r="AQ4752" i="22" l="1"/>
  <c r="AR4751" i="22"/>
  <c r="AP4751" i="22" s="1"/>
  <c r="AQ4753" i="22" l="1"/>
  <c r="AR4752" i="22"/>
  <c r="AP4752" i="22" s="1"/>
  <c r="AQ4754" i="22" l="1"/>
  <c r="AR4753" i="22"/>
  <c r="AP4753" i="22" s="1"/>
  <c r="AQ4755" i="22" l="1"/>
  <c r="AR4754" i="22"/>
  <c r="AP4754" i="22" s="1"/>
  <c r="AQ4756" i="22" l="1"/>
  <c r="AR4755" i="22"/>
  <c r="AP4755" i="22" s="1"/>
  <c r="AQ4757" i="22" l="1"/>
  <c r="AR4756" i="22"/>
  <c r="AP4756" i="22" s="1"/>
  <c r="AQ4758" i="22" l="1"/>
  <c r="AR4757" i="22"/>
  <c r="AP4757" i="22" s="1"/>
  <c r="AQ4759" i="22" l="1"/>
  <c r="AR4758" i="22"/>
  <c r="AP4758" i="22" s="1"/>
  <c r="AQ4760" i="22" l="1"/>
  <c r="AR4759" i="22"/>
  <c r="AP4759" i="22" s="1"/>
  <c r="AQ4761" i="22" l="1"/>
  <c r="AR4760" i="22"/>
  <c r="AP4760" i="22" s="1"/>
  <c r="AQ4762" i="22" l="1"/>
  <c r="AR4761" i="22"/>
  <c r="AP4761" i="22" s="1"/>
  <c r="AQ4763" i="22" l="1"/>
  <c r="AR4762" i="22"/>
  <c r="AP4762" i="22" s="1"/>
  <c r="AQ4764" i="22" l="1"/>
  <c r="AR4763" i="22"/>
  <c r="AP4763" i="22" s="1"/>
  <c r="AQ4765" i="22" l="1"/>
  <c r="AR4764" i="22"/>
  <c r="AP4764" i="22" s="1"/>
  <c r="AQ4766" i="22" l="1"/>
  <c r="AR4765" i="22"/>
  <c r="AP4765" i="22" s="1"/>
  <c r="AQ4767" i="22" l="1"/>
  <c r="AR4766" i="22"/>
  <c r="AP4766" i="22" s="1"/>
  <c r="AQ4768" i="22" l="1"/>
  <c r="AR4767" i="22"/>
  <c r="AP4767" i="22" s="1"/>
  <c r="AQ4769" i="22" l="1"/>
  <c r="AR4768" i="22"/>
  <c r="AP4768" i="22" s="1"/>
  <c r="AQ4770" i="22" l="1"/>
  <c r="AR4769" i="22"/>
  <c r="AP4769" i="22" s="1"/>
  <c r="AQ4771" i="22" l="1"/>
  <c r="AR4770" i="22"/>
  <c r="AP4770" i="22" s="1"/>
  <c r="AQ4772" i="22" l="1"/>
  <c r="AR4771" i="22"/>
  <c r="AP4771" i="22" s="1"/>
  <c r="AQ4773" i="22" l="1"/>
  <c r="AR4772" i="22"/>
  <c r="AP4772" i="22" s="1"/>
  <c r="AQ4774" i="22" l="1"/>
  <c r="AR4773" i="22"/>
  <c r="AP4773" i="22" s="1"/>
  <c r="AQ4775" i="22" l="1"/>
  <c r="AR4774" i="22"/>
  <c r="AP4774" i="22" s="1"/>
  <c r="AQ4776" i="22" l="1"/>
  <c r="AR4775" i="22"/>
  <c r="AP4775" i="22" s="1"/>
  <c r="AQ4777" i="22" l="1"/>
  <c r="AR4776" i="22"/>
  <c r="AP4776" i="22" s="1"/>
  <c r="AQ4778" i="22" l="1"/>
  <c r="AR4777" i="22"/>
  <c r="AP4777" i="22" s="1"/>
  <c r="AQ4779" i="22" l="1"/>
  <c r="AR4778" i="22"/>
  <c r="AP4778" i="22" s="1"/>
  <c r="AQ4780" i="22" l="1"/>
  <c r="AR4779" i="22"/>
  <c r="AP4779" i="22" s="1"/>
  <c r="AQ4781" i="22" l="1"/>
  <c r="AR4780" i="22"/>
  <c r="AP4780" i="22" s="1"/>
  <c r="AQ4782" i="22" l="1"/>
  <c r="AR4781" i="22"/>
  <c r="AP4781" i="22" s="1"/>
  <c r="AQ4783" i="22" l="1"/>
  <c r="AR4782" i="22"/>
  <c r="AP4782" i="22" s="1"/>
  <c r="AQ4784" i="22" l="1"/>
  <c r="AR4783" i="22"/>
  <c r="AP4783" i="22" s="1"/>
  <c r="AQ4785" i="22" l="1"/>
  <c r="AR4784" i="22"/>
  <c r="AP4784" i="22" s="1"/>
  <c r="AQ4786" i="22" l="1"/>
  <c r="AR4785" i="22"/>
  <c r="AP4785" i="22" s="1"/>
  <c r="AQ4787" i="22" l="1"/>
  <c r="AR4786" i="22"/>
  <c r="AP4786" i="22" s="1"/>
  <c r="AQ4788" i="22" l="1"/>
  <c r="AR4787" i="22"/>
  <c r="AP4787" i="22" s="1"/>
  <c r="AQ4789" i="22" l="1"/>
  <c r="AR4788" i="22"/>
  <c r="AP4788" i="22" s="1"/>
  <c r="AQ4790" i="22" l="1"/>
  <c r="AR4789" i="22"/>
  <c r="AP4789" i="22" s="1"/>
  <c r="AQ4791" i="22" l="1"/>
  <c r="AR4790" i="22"/>
  <c r="AP4790" i="22" s="1"/>
  <c r="AQ4792" i="22" l="1"/>
  <c r="AR4791" i="22"/>
  <c r="AP4791" i="22" s="1"/>
  <c r="AQ4793" i="22" l="1"/>
  <c r="AR4792" i="22"/>
  <c r="AP4792" i="22" s="1"/>
  <c r="AQ4794" i="22" l="1"/>
  <c r="AR4793" i="22"/>
  <c r="AP4793" i="22" s="1"/>
  <c r="AQ4795" i="22" l="1"/>
  <c r="AR4794" i="22"/>
  <c r="AP4794" i="22" s="1"/>
  <c r="AQ4796" i="22" l="1"/>
  <c r="AR4795" i="22"/>
  <c r="AP4795" i="22" s="1"/>
  <c r="AQ4797" i="22" l="1"/>
  <c r="AR4796" i="22"/>
  <c r="AP4796" i="22" s="1"/>
  <c r="AQ4798" i="22" l="1"/>
  <c r="AR4797" i="22"/>
  <c r="AP4797" i="22" s="1"/>
  <c r="AQ4799" i="22" l="1"/>
  <c r="AR4798" i="22"/>
  <c r="AP4798" i="22" s="1"/>
  <c r="AQ4800" i="22" l="1"/>
  <c r="AR4799" i="22"/>
  <c r="AP4799" i="22" s="1"/>
  <c r="AQ4801" i="22" l="1"/>
  <c r="AR4800" i="22"/>
  <c r="AP4800" i="22" s="1"/>
  <c r="AQ4802" i="22" l="1"/>
  <c r="AR4801" i="22"/>
  <c r="AP4801" i="22" s="1"/>
  <c r="AQ4803" i="22" l="1"/>
  <c r="AR4802" i="22"/>
  <c r="AP4802" i="22" s="1"/>
  <c r="AQ4804" i="22" l="1"/>
  <c r="AR4803" i="22"/>
  <c r="AP4803" i="22" s="1"/>
  <c r="AQ4805" i="22" l="1"/>
  <c r="AR4804" i="22"/>
  <c r="AP4804" i="22" s="1"/>
  <c r="AQ4806" i="22" l="1"/>
  <c r="AR4805" i="22"/>
  <c r="AP4805" i="22" s="1"/>
  <c r="AQ4807" i="22" l="1"/>
  <c r="AR4806" i="22"/>
  <c r="AP4806" i="22" s="1"/>
  <c r="AQ4808" i="22" l="1"/>
  <c r="AR4807" i="22"/>
  <c r="AP4807" i="22" s="1"/>
  <c r="AQ4809" i="22" l="1"/>
  <c r="AR4808" i="22"/>
  <c r="AP4808" i="22" s="1"/>
  <c r="AQ4810" i="22" l="1"/>
  <c r="AR4809" i="22"/>
  <c r="AP4809" i="22" s="1"/>
  <c r="AQ4811" i="22" l="1"/>
  <c r="AR4810" i="22"/>
  <c r="AP4810" i="22" s="1"/>
  <c r="AQ4812" i="22" l="1"/>
  <c r="AR4811" i="22"/>
  <c r="AP4811" i="22" s="1"/>
  <c r="AQ4813" i="22" l="1"/>
  <c r="AR4812" i="22"/>
  <c r="AP4812" i="22" s="1"/>
  <c r="AQ4814" i="22" l="1"/>
  <c r="AR4813" i="22"/>
  <c r="AP4813" i="22" s="1"/>
  <c r="AQ4815" i="22" l="1"/>
  <c r="AR4814" i="22"/>
  <c r="AP4814" i="22" s="1"/>
  <c r="AQ4816" i="22" l="1"/>
  <c r="AR4815" i="22"/>
  <c r="AP4815" i="22" s="1"/>
  <c r="AQ4817" i="22" l="1"/>
  <c r="AR4816" i="22"/>
  <c r="AP4816" i="22" s="1"/>
  <c r="AQ4818" i="22" l="1"/>
  <c r="AR4817" i="22"/>
  <c r="AP4817" i="22" s="1"/>
  <c r="AQ4819" i="22" l="1"/>
  <c r="AR4818" i="22"/>
  <c r="AP4818" i="22" s="1"/>
  <c r="AQ4820" i="22" l="1"/>
  <c r="AR4819" i="22"/>
  <c r="AP4819" i="22" s="1"/>
  <c r="AQ4821" i="22" l="1"/>
  <c r="AR4820" i="22"/>
  <c r="AP4820" i="22" s="1"/>
  <c r="AQ4822" i="22" l="1"/>
  <c r="AR4821" i="22"/>
  <c r="AP4821" i="22" s="1"/>
  <c r="AQ4823" i="22" l="1"/>
  <c r="AR4822" i="22"/>
  <c r="AP4822" i="22" s="1"/>
  <c r="AQ4824" i="22" l="1"/>
  <c r="AR4823" i="22"/>
  <c r="AP4823" i="22" s="1"/>
  <c r="AQ4825" i="22" l="1"/>
  <c r="AR4824" i="22"/>
  <c r="AP4824" i="22" s="1"/>
  <c r="AQ4826" i="22" l="1"/>
  <c r="AR4825" i="22"/>
  <c r="AP4825" i="22" s="1"/>
  <c r="AQ4827" i="22" l="1"/>
  <c r="AR4826" i="22"/>
  <c r="AP4826" i="22" s="1"/>
  <c r="AQ4828" i="22" l="1"/>
  <c r="AR4827" i="22"/>
  <c r="AP4827" i="22" s="1"/>
  <c r="AQ4829" i="22" l="1"/>
  <c r="AR4828" i="22"/>
  <c r="AP4828" i="22" s="1"/>
  <c r="AQ4830" i="22" l="1"/>
  <c r="AR4829" i="22"/>
  <c r="AP4829" i="22" s="1"/>
  <c r="AQ4831" i="22" l="1"/>
  <c r="AR4830" i="22"/>
  <c r="AP4830" i="22" s="1"/>
  <c r="AQ4832" i="22" l="1"/>
  <c r="AR4831" i="22"/>
  <c r="AP4831" i="22" s="1"/>
  <c r="AQ4833" i="22" l="1"/>
  <c r="AR4832" i="22"/>
  <c r="AP4832" i="22" s="1"/>
  <c r="AQ4834" i="22" l="1"/>
  <c r="AR4833" i="22"/>
  <c r="AP4833" i="22" s="1"/>
  <c r="AQ4835" i="22" l="1"/>
  <c r="AR4834" i="22"/>
  <c r="AP4834" i="22" s="1"/>
  <c r="AQ4836" i="22" l="1"/>
  <c r="AR4835" i="22"/>
  <c r="AP4835" i="22" s="1"/>
  <c r="AQ4837" i="22" l="1"/>
  <c r="AR4836" i="22"/>
  <c r="AP4836" i="22" s="1"/>
  <c r="AQ4838" i="22" l="1"/>
  <c r="AR4837" i="22"/>
  <c r="AP4837" i="22" s="1"/>
  <c r="AQ4839" i="22" l="1"/>
  <c r="AR4838" i="22"/>
  <c r="AP4838" i="22" s="1"/>
  <c r="AQ4840" i="22" l="1"/>
  <c r="AR4839" i="22"/>
  <c r="AP4839" i="22" s="1"/>
  <c r="AQ4841" i="22" l="1"/>
  <c r="AR4840" i="22"/>
  <c r="AP4840" i="22" s="1"/>
  <c r="AQ4842" i="22" l="1"/>
  <c r="AR4841" i="22"/>
  <c r="AP4841" i="22" s="1"/>
  <c r="AQ4843" i="22" l="1"/>
  <c r="AR4842" i="22"/>
  <c r="AP4842" i="22" s="1"/>
  <c r="AQ4844" i="22" l="1"/>
  <c r="AR4843" i="22"/>
  <c r="AP4843" i="22" s="1"/>
  <c r="AQ4845" i="22" l="1"/>
  <c r="AR4844" i="22"/>
  <c r="AP4844" i="22" s="1"/>
  <c r="AQ4846" i="22" l="1"/>
  <c r="AR4845" i="22"/>
  <c r="AP4845" i="22" s="1"/>
  <c r="AQ4847" i="22" l="1"/>
  <c r="AR4846" i="22"/>
  <c r="AP4846" i="22" s="1"/>
  <c r="AQ4848" i="22" l="1"/>
  <c r="AR4847" i="22"/>
  <c r="AP4847" i="22" s="1"/>
  <c r="AQ4849" i="22" l="1"/>
  <c r="AR4848" i="22"/>
  <c r="AP4848" i="22" s="1"/>
  <c r="AQ4850" i="22" l="1"/>
  <c r="AR4849" i="22"/>
  <c r="AP4849" i="22" s="1"/>
  <c r="AQ4851" i="22" l="1"/>
  <c r="AR4850" i="22"/>
  <c r="AP4850" i="22" s="1"/>
  <c r="AQ4852" i="22" l="1"/>
  <c r="AR4851" i="22"/>
  <c r="AP4851" i="22" s="1"/>
  <c r="AQ4853" i="22" l="1"/>
  <c r="AR4852" i="22"/>
  <c r="AP4852" i="22" s="1"/>
  <c r="AQ4854" i="22" l="1"/>
  <c r="AR4853" i="22"/>
  <c r="AP4853" i="22" s="1"/>
  <c r="AQ4855" i="22" l="1"/>
  <c r="AR4854" i="22"/>
  <c r="AP4854" i="22" s="1"/>
  <c r="AQ4856" i="22" l="1"/>
  <c r="AR4855" i="22"/>
  <c r="AP4855" i="22" s="1"/>
  <c r="AQ4857" i="22" l="1"/>
  <c r="AR4856" i="22"/>
  <c r="AP4856" i="22" s="1"/>
  <c r="AQ4858" i="22" l="1"/>
  <c r="AR4857" i="22"/>
  <c r="AP4857" i="22" s="1"/>
  <c r="AQ4859" i="22" l="1"/>
  <c r="AR4858" i="22"/>
  <c r="AP4858" i="22" s="1"/>
  <c r="AQ4860" i="22" l="1"/>
  <c r="AR4859" i="22"/>
  <c r="AP4859" i="22" s="1"/>
  <c r="AQ4861" i="22" l="1"/>
  <c r="AR4860" i="22"/>
  <c r="AP4860" i="22" s="1"/>
  <c r="AQ4862" i="22" l="1"/>
  <c r="AR4861" i="22"/>
  <c r="AP4861" i="22" s="1"/>
  <c r="AQ4863" i="22" l="1"/>
  <c r="AR4862" i="22"/>
  <c r="AP4862" i="22" s="1"/>
  <c r="AQ4864" i="22" l="1"/>
  <c r="AR4863" i="22"/>
  <c r="AP4863" i="22" s="1"/>
  <c r="AQ4865" i="22" l="1"/>
  <c r="AR4864" i="22"/>
  <c r="AP4864" i="22" s="1"/>
  <c r="AQ4866" i="22" l="1"/>
  <c r="AR4865" i="22"/>
  <c r="AP4865" i="22" s="1"/>
  <c r="AQ4867" i="22" l="1"/>
  <c r="AR4866" i="22"/>
  <c r="AP4866" i="22" s="1"/>
  <c r="AQ4868" i="22" l="1"/>
  <c r="AR4867" i="22"/>
  <c r="AP4867" i="22" s="1"/>
  <c r="AQ4869" i="22" l="1"/>
  <c r="AR4868" i="22"/>
  <c r="AP4868" i="22" s="1"/>
  <c r="AQ4870" i="22" l="1"/>
  <c r="AR4869" i="22"/>
  <c r="AP4869" i="22" s="1"/>
  <c r="AQ4871" i="22" l="1"/>
  <c r="AR4870" i="22"/>
  <c r="AP4870" i="22" s="1"/>
  <c r="AQ4872" i="22" l="1"/>
  <c r="AR4871" i="22"/>
  <c r="AP4871" i="22" s="1"/>
  <c r="AQ4873" i="22" l="1"/>
  <c r="AR4872" i="22"/>
  <c r="AP4872" i="22" s="1"/>
  <c r="AQ4874" i="22" l="1"/>
  <c r="AR4873" i="22"/>
  <c r="AP4873" i="22" s="1"/>
  <c r="AQ4875" i="22" l="1"/>
  <c r="AR4874" i="22"/>
  <c r="AP4874" i="22" s="1"/>
  <c r="AQ4876" i="22" l="1"/>
  <c r="AR4875" i="22"/>
  <c r="AP4875" i="22" s="1"/>
  <c r="AQ4877" i="22" l="1"/>
  <c r="AR4876" i="22"/>
  <c r="AP4876" i="22" s="1"/>
  <c r="AQ4878" i="22" l="1"/>
  <c r="AR4877" i="22"/>
  <c r="AP4877" i="22" s="1"/>
  <c r="AQ4879" i="22" l="1"/>
  <c r="AR4878" i="22"/>
  <c r="AP4878" i="22" s="1"/>
  <c r="AQ4880" i="22" l="1"/>
  <c r="AR4879" i="22"/>
  <c r="AP4879" i="22" s="1"/>
  <c r="AQ4881" i="22" l="1"/>
  <c r="AR4880" i="22"/>
  <c r="AP4880" i="22" s="1"/>
  <c r="AQ4882" i="22" l="1"/>
  <c r="AR4881" i="22"/>
  <c r="AP4881" i="22" s="1"/>
  <c r="AQ4883" i="22" l="1"/>
  <c r="AR4882" i="22"/>
  <c r="AP4882" i="22" s="1"/>
  <c r="AQ4884" i="22" l="1"/>
  <c r="AR4883" i="22"/>
  <c r="AP4883" i="22" s="1"/>
  <c r="AQ4885" i="22" l="1"/>
  <c r="AR4884" i="22"/>
  <c r="AP4884" i="22" s="1"/>
  <c r="AQ4886" i="22" l="1"/>
  <c r="AR4885" i="22"/>
  <c r="AP4885" i="22" s="1"/>
  <c r="AQ4887" i="22" l="1"/>
  <c r="AR4886" i="22"/>
  <c r="AP4886" i="22" s="1"/>
  <c r="AQ4888" i="22" l="1"/>
  <c r="AR4887" i="22"/>
  <c r="AP4887" i="22" s="1"/>
  <c r="AQ4889" i="22" l="1"/>
  <c r="AR4888" i="22"/>
  <c r="AP4888" i="22" s="1"/>
  <c r="AQ4890" i="22" l="1"/>
  <c r="AR4889" i="22"/>
  <c r="AP4889" i="22" s="1"/>
  <c r="AQ4891" i="22" l="1"/>
  <c r="AR4890" i="22"/>
  <c r="AP4890" i="22" s="1"/>
  <c r="AQ4892" i="22" l="1"/>
  <c r="AR4891" i="22"/>
  <c r="AP4891" i="22" s="1"/>
  <c r="AQ4893" i="22" l="1"/>
  <c r="AR4892" i="22"/>
  <c r="AP4892" i="22" s="1"/>
  <c r="AQ4894" i="22" l="1"/>
  <c r="AR4893" i="22"/>
  <c r="AP4893" i="22" s="1"/>
  <c r="AQ4895" i="22" l="1"/>
  <c r="AR4894" i="22"/>
  <c r="AP4894" i="22" s="1"/>
  <c r="AQ4896" i="22" l="1"/>
  <c r="AR4895" i="22"/>
  <c r="AP4895" i="22" s="1"/>
  <c r="AQ4897" i="22" l="1"/>
  <c r="AR4896" i="22"/>
  <c r="AP4896" i="22" s="1"/>
  <c r="AQ4898" i="22" l="1"/>
  <c r="AR4897" i="22"/>
  <c r="AP4897" i="22" s="1"/>
  <c r="AQ4899" i="22" l="1"/>
  <c r="AR4898" i="22"/>
  <c r="AP4898" i="22" s="1"/>
  <c r="AQ4900" i="22" l="1"/>
  <c r="AR4899" i="22"/>
  <c r="AP4899" i="22" s="1"/>
  <c r="AQ4901" i="22" l="1"/>
  <c r="AR4900" i="22"/>
  <c r="AP4900" i="22" s="1"/>
  <c r="AQ4902" i="22" l="1"/>
  <c r="AR4901" i="22"/>
  <c r="AP4901" i="22" s="1"/>
  <c r="AQ4903" i="22" l="1"/>
  <c r="AR4902" i="22"/>
  <c r="AP4902" i="22" s="1"/>
  <c r="AQ4904" i="22" l="1"/>
  <c r="AR4903" i="22"/>
  <c r="AP4903" i="22" s="1"/>
  <c r="AQ4905" i="22" l="1"/>
  <c r="AR4904" i="22"/>
  <c r="AP4904" i="22" s="1"/>
  <c r="AQ4906" i="22" l="1"/>
  <c r="AR4905" i="22"/>
  <c r="AP4905" i="22" s="1"/>
  <c r="AQ4907" i="22" l="1"/>
  <c r="AR4906" i="22"/>
  <c r="AP4906" i="22" s="1"/>
  <c r="AQ4908" i="22" l="1"/>
  <c r="AR4907" i="22"/>
  <c r="AP4907" i="22" s="1"/>
  <c r="AQ4909" i="22" l="1"/>
  <c r="AR4908" i="22"/>
  <c r="AP4908" i="22" s="1"/>
  <c r="AQ4910" i="22" l="1"/>
  <c r="AR4909" i="22"/>
  <c r="AP4909" i="22" s="1"/>
  <c r="AQ4911" i="22" l="1"/>
  <c r="AR4910" i="22"/>
  <c r="AP4910" i="22" s="1"/>
  <c r="AQ4912" i="22" l="1"/>
  <c r="AR4911" i="22"/>
  <c r="AP4911" i="22" s="1"/>
  <c r="AQ4913" i="22" l="1"/>
  <c r="AR4912" i="22"/>
  <c r="AP4912" i="22" s="1"/>
  <c r="AQ4914" i="22" l="1"/>
  <c r="AR4913" i="22"/>
  <c r="AP4913" i="22" s="1"/>
  <c r="AQ4915" i="22" l="1"/>
  <c r="AR4914" i="22"/>
  <c r="AP4914" i="22" s="1"/>
  <c r="AQ4916" i="22" l="1"/>
  <c r="AR4915" i="22"/>
  <c r="AP4915" i="22" s="1"/>
  <c r="AQ4917" i="22" l="1"/>
  <c r="AR4916" i="22"/>
  <c r="AP4916" i="22" s="1"/>
  <c r="AQ4918" i="22" l="1"/>
  <c r="AR4917" i="22"/>
  <c r="AP4917" i="22" s="1"/>
  <c r="AQ4919" i="22" l="1"/>
  <c r="AR4918" i="22"/>
  <c r="AP4918" i="22" s="1"/>
  <c r="AQ4920" i="22" l="1"/>
  <c r="AR4919" i="22"/>
  <c r="AP4919" i="22" s="1"/>
  <c r="AQ4921" i="22" l="1"/>
  <c r="AR4920" i="22"/>
  <c r="AP4920" i="22" s="1"/>
  <c r="AQ4922" i="22" l="1"/>
  <c r="AR4921" i="22"/>
  <c r="AP4921" i="22" s="1"/>
  <c r="AQ4923" i="22" l="1"/>
  <c r="AR4922" i="22"/>
  <c r="AP4922" i="22" s="1"/>
  <c r="AQ4924" i="22" l="1"/>
  <c r="AR4923" i="22"/>
  <c r="AP4923" i="22" s="1"/>
  <c r="AQ4925" i="22" l="1"/>
  <c r="AR4924" i="22"/>
  <c r="AP4924" i="22" s="1"/>
  <c r="AQ4926" i="22" l="1"/>
  <c r="AR4925" i="22"/>
  <c r="AP4925" i="22" s="1"/>
  <c r="AQ4927" i="22" l="1"/>
  <c r="AR4926" i="22"/>
  <c r="AP4926" i="22" s="1"/>
  <c r="AQ4928" i="22" l="1"/>
  <c r="AR4927" i="22"/>
  <c r="AP4927" i="22" s="1"/>
  <c r="AQ4929" i="22" l="1"/>
  <c r="AR4928" i="22"/>
  <c r="AP4928" i="22" s="1"/>
  <c r="AQ4930" i="22" l="1"/>
  <c r="AR4929" i="22"/>
  <c r="AP4929" i="22" s="1"/>
  <c r="AQ4931" i="22" l="1"/>
  <c r="AR4930" i="22"/>
  <c r="AP4930" i="22" s="1"/>
  <c r="AQ4932" i="22" l="1"/>
  <c r="AR4931" i="22"/>
  <c r="AP4931" i="22" s="1"/>
  <c r="AQ4933" i="22" l="1"/>
  <c r="AR4932" i="22"/>
  <c r="AP4932" i="22" s="1"/>
  <c r="AQ4934" i="22" l="1"/>
  <c r="AR4933" i="22"/>
  <c r="AP4933" i="22" s="1"/>
  <c r="AQ4935" i="22" l="1"/>
  <c r="AR4934" i="22"/>
  <c r="AP4934" i="22" s="1"/>
  <c r="AQ4936" i="22" l="1"/>
  <c r="AR4935" i="22"/>
  <c r="AP4935" i="22" s="1"/>
  <c r="AQ4937" i="22" l="1"/>
  <c r="AR4936" i="22"/>
  <c r="AP4936" i="22" s="1"/>
  <c r="AQ4938" i="22" l="1"/>
  <c r="AR4937" i="22"/>
  <c r="AP4937" i="22" s="1"/>
  <c r="AQ4939" i="22" l="1"/>
  <c r="AR4938" i="22"/>
  <c r="AP4938" i="22" s="1"/>
  <c r="AQ4940" i="22" l="1"/>
  <c r="AR4939" i="22"/>
  <c r="AP4939" i="22" s="1"/>
  <c r="AQ4941" i="22" l="1"/>
  <c r="AR4940" i="22"/>
  <c r="AP4940" i="22" s="1"/>
  <c r="AQ4942" i="22" l="1"/>
  <c r="AR4941" i="22"/>
  <c r="AP4941" i="22" s="1"/>
  <c r="AQ4943" i="22" l="1"/>
  <c r="AR4942" i="22"/>
  <c r="AP4942" i="22" s="1"/>
  <c r="AQ4944" i="22" l="1"/>
  <c r="AR4943" i="22"/>
  <c r="AP4943" i="22" s="1"/>
  <c r="AQ4945" i="22" l="1"/>
  <c r="AR4944" i="22"/>
  <c r="AP4944" i="22" s="1"/>
  <c r="AQ4946" i="22" l="1"/>
  <c r="AR4945" i="22"/>
  <c r="AP4945" i="22" s="1"/>
  <c r="AQ4947" i="22" l="1"/>
  <c r="AR4946" i="22"/>
  <c r="AP4946" i="22" s="1"/>
  <c r="AQ4948" i="22" l="1"/>
  <c r="AR4947" i="22"/>
  <c r="AP4947" i="22" s="1"/>
  <c r="AQ4949" i="22" l="1"/>
  <c r="AR4948" i="22"/>
  <c r="AP4948" i="22" s="1"/>
  <c r="AQ4950" i="22" l="1"/>
  <c r="AR4949" i="22"/>
  <c r="AP4949" i="22" s="1"/>
  <c r="AQ4951" i="22" l="1"/>
  <c r="AR4950" i="22"/>
  <c r="AP4950" i="22" s="1"/>
  <c r="AQ4952" i="22" l="1"/>
  <c r="AR4951" i="22"/>
  <c r="AP4951" i="22" s="1"/>
  <c r="AQ4953" i="22" l="1"/>
  <c r="AR4952" i="22"/>
  <c r="AP4952" i="22" s="1"/>
  <c r="AQ4954" i="22" l="1"/>
  <c r="AR4953" i="22"/>
  <c r="AP4953" i="22" s="1"/>
  <c r="AQ4955" i="22" l="1"/>
  <c r="AR4954" i="22"/>
  <c r="AP4954" i="22" s="1"/>
  <c r="AQ4956" i="22" l="1"/>
  <c r="AR4955" i="22"/>
  <c r="AP4955" i="22" s="1"/>
  <c r="AQ4957" i="22" l="1"/>
  <c r="AR4956" i="22"/>
  <c r="AP4956" i="22" s="1"/>
  <c r="AQ4958" i="22" l="1"/>
  <c r="AR4957" i="22"/>
  <c r="AP4957" i="22" s="1"/>
  <c r="AQ4959" i="22" l="1"/>
  <c r="AR4958" i="22"/>
  <c r="AP4958" i="22" s="1"/>
  <c r="AQ4960" i="22" l="1"/>
  <c r="AR4959" i="22"/>
  <c r="AP4959" i="22" s="1"/>
  <c r="AQ4961" i="22" l="1"/>
  <c r="AR4960" i="22"/>
  <c r="AP4960" i="22" s="1"/>
  <c r="AQ4962" i="22" l="1"/>
  <c r="AR4961" i="22"/>
  <c r="AP4961" i="22" s="1"/>
  <c r="AQ4963" i="22" l="1"/>
  <c r="AR4962" i="22"/>
  <c r="AP4962" i="22" s="1"/>
  <c r="AQ4964" i="22" l="1"/>
  <c r="AR4963" i="22"/>
  <c r="AP4963" i="22" s="1"/>
  <c r="AQ4965" i="22" l="1"/>
  <c r="AR4964" i="22"/>
  <c r="AP4964" i="22" s="1"/>
  <c r="AQ4966" i="22" l="1"/>
  <c r="AR4965" i="22"/>
  <c r="AP4965" i="22" s="1"/>
  <c r="AQ4967" i="22" l="1"/>
  <c r="AR4966" i="22"/>
  <c r="AP4966" i="22" s="1"/>
  <c r="AQ4968" i="22" l="1"/>
  <c r="AR4967" i="22"/>
  <c r="AP4967" i="22" s="1"/>
  <c r="AQ4969" i="22" l="1"/>
  <c r="AR4968" i="22"/>
  <c r="AP4968" i="22" s="1"/>
  <c r="AQ4970" i="22" l="1"/>
  <c r="AR4969" i="22"/>
  <c r="AP4969" i="22" s="1"/>
  <c r="AQ4971" i="22" l="1"/>
  <c r="AR4970" i="22"/>
  <c r="AP4970" i="22" s="1"/>
  <c r="AQ4972" i="22" l="1"/>
  <c r="AR4971" i="22"/>
  <c r="AP4971" i="22" s="1"/>
  <c r="AQ4973" i="22" l="1"/>
  <c r="AR4972" i="22"/>
  <c r="AP4972" i="22" s="1"/>
  <c r="AQ4974" i="22" l="1"/>
  <c r="AR4973" i="22"/>
  <c r="AP4973" i="22" s="1"/>
  <c r="AQ4975" i="22" l="1"/>
  <c r="AR4974" i="22"/>
  <c r="AP4974" i="22" s="1"/>
  <c r="AQ4976" i="22" l="1"/>
  <c r="AR4975" i="22"/>
  <c r="AP4975" i="22" s="1"/>
  <c r="AQ4977" i="22" l="1"/>
  <c r="AR4976" i="22"/>
  <c r="AP4976" i="22" s="1"/>
  <c r="AQ4978" i="22" l="1"/>
  <c r="AR4977" i="22"/>
  <c r="AP4977" i="22" s="1"/>
  <c r="AQ4979" i="22" l="1"/>
  <c r="AR4978" i="22"/>
  <c r="AP4978" i="22" s="1"/>
  <c r="AQ4980" i="22" l="1"/>
  <c r="AR4979" i="22"/>
  <c r="AP4979" i="22" s="1"/>
  <c r="AQ4981" i="22" l="1"/>
  <c r="AR4980" i="22"/>
  <c r="AP4980" i="22" s="1"/>
  <c r="AQ4982" i="22" l="1"/>
  <c r="AR4981" i="22"/>
  <c r="AP4981" i="22" s="1"/>
  <c r="AQ4983" i="22" l="1"/>
  <c r="AR4982" i="22"/>
  <c r="AP4982" i="22" s="1"/>
  <c r="AQ4984" i="22" l="1"/>
  <c r="AR4983" i="22"/>
  <c r="AP4983" i="22" s="1"/>
  <c r="AQ4985" i="22" l="1"/>
  <c r="AR4984" i="22"/>
  <c r="AP4984" i="22" s="1"/>
  <c r="AQ4986" i="22" l="1"/>
  <c r="AR4985" i="22"/>
  <c r="AP4985" i="22" s="1"/>
  <c r="AQ4987" i="22" l="1"/>
  <c r="AR4986" i="22"/>
  <c r="AP4986" i="22" s="1"/>
  <c r="AQ4988" i="22" l="1"/>
  <c r="AR4987" i="22"/>
  <c r="AP4987" i="22" s="1"/>
  <c r="AQ4989" i="22" l="1"/>
  <c r="AR4988" i="22"/>
  <c r="AP4988" i="22" s="1"/>
  <c r="AQ4990" i="22" l="1"/>
  <c r="AR4989" i="22"/>
  <c r="AP4989" i="22" s="1"/>
  <c r="AQ4991" i="22" l="1"/>
  <c r="AR4990" i="22"/>
  <c r="AP4990" i="22" s="1"/>
  <c r="AQ4992" i="22" l="1"/>
  <c r="AR4991" i="22"/>
  <c r="AP4991" i="22" s="1"/>
  <c r="AQ4993" i="22" l="1"/>
  <c r="AR4992" i="22"/>
  <c r="AP4992" i="22" s="1"/>
  <c r="AQ4994" i="22" l="1"/>
  <c r="AR4993" i="22"/>
  <c r="AP4993" i="22" s="1"/>
  <c r="AQ4995" i="22" l="1"/>
  <c r="AR4994" i="22"/>
  <c r="AP4994" i="22" s="1"/>
  <c r="AQ4996" i="22" l="1"/>
  <c r="AR4995" i="22"/>
  <c r="AP4995" i="22" s="1"/>
  <c r="AQ4997" i="22" l="1"/>
  <c r="AR4996" i="22"/>
  <c r="AP4996" i="22" s="1"/>
  <c r="AQ4998" i="22" l="1"/>
  <c r="AR4997" i="22"/>
  <c r="AP4997" i="22" s="1"/>
  <c r="AQ4999" i="22" l="1"/>
  <c r="AR4998" i="22"/>
  <c r="AP4998" i="22" s="1"/>
  <c r="AQ5000" i="22" l="1"/>
  <c r="AR4999" i="22"/>
  <c r="AP4999" i="22" s="1"/>
  <c r="AQ5001" i="22" l="1"/>
  <c r="AR5000" i="22"/>
  <c r="AP5000" i="22" s="1"/>
  <c r="AQ5002" i="22" l="1"/>
  <c r="AR5001" i="22"/>
  <c r="AP5001" i="22" s="1"/>
  <c r="AQ5003" i="22" l="1"/>
  <c r="AR5003" i="22" s="1"/>
  <c r="AP5003" i="22" s="1"/>
  <c r="AR5002" i="22"/>
  <c r="AP5002"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Leung, Benjamin</author>
  </authors>
  <commentList>
    <comment ref="P7" authorId="0" shapeId="0" xr:uid="{00000000-0006-0000-0100-000001000000}">
      <text/>
    </comment>
    <comment ref="AC12" authorId="1" shapeId="0" xr:uid="{00000000-0006-0000-0100-000002000000}">
      <text>
        <r>
          <rPr>
            <sz val="9"/>
            <color indexed="81"/>
            <rFont val="Tahoma"/>
            <family val="2"/>
          </rPr>
          <t>Based on 45% NFA</t>
        </r>
      </text>
    </comment>
    <comment ref="AD18" authorId="1" shapeId="0" xr:uid="{00000000-0006-0000-0100-000003000000}">
      <text>
        <r>
          <rPr>
            <sz val="9"/>
            <color indexed="81"/>
            <rFont val="Tahoma"/>
            <family val="2"/>
          </rPr>
          <t>100% = no decorative louvre</t>
        </r>
      </text>
    </comment>
    <comment ref="P36" authorId="1" shapeId="0" xr:uid="{00000000-0006-0000-0100-000004000000}">
      <text>
        <r>
          <rPr>
            <sz val="9"/>
            <color indexed="81"/>
            <rFont val="Tahoma"/>
            <family val="2"/>
          </rPr>
          <t xml:space="preserve">CIBSE Guide C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CF42" authorId="0" shapeId="0" xr:uid="{00000000-0006-0000-0200-000001000000}">
      <text>
        <r>
          <rPr>
            <b/>
            <sz val="8"/>
            <color indexed="81"/>
            <rFont val="Tahoma"/>
            <family val="2"/>
          </rPr>
          <t xml:space="preserve">from steam table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Leung, Benjamin</author>
  </authors>
  <commentList>
    <comment ref="E17" authorId="0" shapeId="0" xr:uid="{00000000-0006-0000-0400-000001000000}">
      <text>
        <r>
          <rPr>
            <sz val="9"/>
            <color indexed="81"/>
            <rFont val="Tahoma"/>
            <family val="2"/>
          </rPr>
          <t>Subject to manufacturer's selection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CityU</author>
  </authors>
  <commentList>
    <comment ref="A1" authorId="0" shapeId="0" xr:uid="{00000000-0006-0000-0700-000001000000}">
      <text>
        <r>
          <rPr>
            <b/>
            <sz val="9"/>
            <color indexed="81"/>
            <rFont val="Times New Roman"/>
            <family val="1"/>
          </rPr>
          <t>Refer to: 1997 ASHRAE Handbook Fundamental - 6.5 (Table 3)</t>
        </r>
      </text>
    </comment>
    <comment ref="C1" authorId="0" shapeId="0" xr:uid="{00000000-0006-0000-0700-000002000000}">
      <text>
        <r>
          <rPr>
            <b/>
            <sz val="9"/>
            <color indexed="81"/>
            <rFont val="Times New Roman"/>
            <family val="1"/>
          </rPr>
          <t>Refer to: 1997 ASHRAE Handbook Fundamental - 6.5 (Table 3)</t>
        </r>
      </text>
    </comment>
    <comment ref="A12" authorId="0" shapeId="0" xr:uid="{00000000-0006-0000-0700-000003000000}">
      <text>
        <r>
          <rPr>
            <b/>
            <sz val="9"/>
            <color indexed="81"/>
            <rFont val="Times New Roman"/>
            <family val="1"/>
          </rPr>
          <t>Refer to: 1997 ASHRAE Handbook Fundamental - 6.5 (Table 3)</t>
        </r>
      </text>
    </comment>
    <comment ref="C12" authorId="0" shapeId="0" xr:uid="{00000000-0006-0000-0700-000004000000}">
      <text>
        <r>
          <rPr>
            <b/>
            <sz val="9"/>
            <color indexed="81"/>
            <rFont val="Times New Roman"/>
            <family val="1"/>
          </rPr>
          <t>Refer to: 1997 ASHRAE Handbook Fundamental - 6.5 (Table 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CityU</author>
  </authors>
  <commentList>
    <comment ref="A1" authorId="0" shapeId="0" xr:uid="{00000000-0006-0000-0800-000001000000}">
      <text>
        <r>
          <rPr>
            <b/>
            <sz val="9"/>
            <color indexed="81"/>
            <rFont val="Times New Roman"/>
            <family val="1"/>
          </rPr>
          <t>Refer to: 1997 ASHRAE Handbook Fundamental - 6.5 (Table 3)</t>
        </r>
      </text>
    </comment>
    <comment ref="C1" authorId="0" shapeId="0" xr:uid="{00000000-0006-0000-0800-000002000000}">
      <text>
        <r>
          <rPr>
            <b/>
            <sz val="9"/>
            <color indexed="81"/>
            <rFont val="Times New Roman"/>
            <family val="1"/>
          </rPr>
          <t>Refer to: 1997 ASHRAE Handbook Fundamental - 6.5 (Table 3)</t>
        </r>
      </text>
    </comment>
    <comment ref="A9" authorId="0" shapeId="0" xr:uid="{00000000-0006-0000-0800-000003000000}">
      <text>
        <r>
          <rPr>
            <b/>
            <sz val="9"/>
            <color indexed="81"/>
            <rFont val="Times New Roman"/>
            <family val="1"/>
          </rPr>
          <t>Refer to: 1997 ASHRAE Handbook Fundamental - 6.5 (Table 3)</t>
        </r>
      </text>
    </comment>
    <comment ref="C9" authorId="0" shapeId="0" xr:uid="{00000000-0006-0000-0800-000004000000}">
      <text>
        <r>
          <rPr>
            <b/>
            <sz val="9"/>
            <color indexed="81"/>
            <rFont val="Times New Roman"/>
            <family val="1"/>
          </rPr>
          <t>Refer to: 1997 ASHRAE Handbook Fundamental - 6.5 (Table 3)</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CityU</author>
  </authors>
  <commentList>
    <comment ref="A1" authorId="0" shapeId="0" xr:uid="{00000000-0006-0000-0A00-000001000000}">
      <text>
        <r>
          <rPr>
            <b/>
            <sz val="9"/>
            <color indexed="81"/>
            <rFont val="Times New Roman"/>
            <family val="1"/>
          </rPr>
          <t>Refer to: 1997 ASHRAE Handbook Fundamental - 6.5 (Table 3)</t>
        </r>
      </text>
    </comment>
    <comment ref="C1" authorId="0" shapeId="0" xr:uid="{00000000-0006-0000-0A00-000002000000}">
      <text>
        <r>
          <rPr>
            <b/>
            <sz val="9"/>
            <color indexed="81"/>
            <rFont val="Times New Roman"/>
            <family val="1"/>
          </rPr>
          <t>Refer to: 1997 ASHRAE Handbook Fundamental - 6.5 (Table 3)</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CityU</author>
  </authors>
  <commentList>
    <comment ref="A1" authorId="0" shapeId="0" xr:uid="{00000000-0006-0000-0C00-000001000000}">
      <text>
        <r>
          <rPr>
            <b/>
            <sz val="9"/>
            <color indexed="81"/>
            <rFont val="Times New Roman"/>
            <family val="1"/>
          </rPr>
          <t>Refer to: 1997 ASHRAE Handbook Fundamental - 6.5 (Table 3)</t>
        </r>
      </text>
    </comment>
    <comment ref="C1" authorId="0" shapeId="0" xr:uid="{00000000-0006-0000-0C00-000002000000}">
      <text>
        <r>
          <rPr>
            <b/>
            <sz val="9"/>
            <color indexed="81"/>
            <rFont val="Times New Roman"/>
            <family val="1"/>
          </rPr>
          <t>Refer to: 1997 ASHRAE Handbook Fundamental - 6.5 (Table 3)</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CityU</author>
  </authors>
  <commentList>
    <comment ref="A1" authorId="0" shapeId="0" xr:uid="{00000000-0006-0000-0D00-000001000000}">
      <text>
        <r>
          <rPr>
            <b/>
            <sz val="9"/>
            <color indexed="81"/>
            <rFont val="Times New Roman"/>
            <family val="1"/>
          </rPr>
          <t>Refer to: 1997 ASHRAE Handbook Fundamental - 6.5 (Table 3)</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CityU</author>
  </authors>
  <commentList>
    <comment ref="A1" authorId="0" shapeId="0" xr:uid="{00000000-0006-0000-0E00-000001000000}">
      <text>
        <r>
          <rPr>
            <b/>
            <sz val="9"/>
            <color indexed="81"/>
            <rFont val="Times New Roman"/>
            <family val="1"/>
          </rPr>
          <t>Refer to: 1997 ASHRAE Handbook Fundamental - 6.5 (Table 3)</t>
        </r>
      </text>
    </comment>
    <comment ref="C1" authorId="0" shapeId="0" xr:uid="{00000000-0006-0000-0E00-000002000000}">
      <text>
        <r>
          <rPr>
            <b/>
            <sz val="9"/>
            <color indexed="81"/>
            <rFont val="Times New Roman"/>
            <family val="1"/>
          </rPr>
          <t>Refer to: 1997 ASHRAE Handbook Fundamental - 6.5 (Table 3)</t>
        </r>
      </text>
    </comment>
    <comment ref="A9" authorId="0" shapeId="0" xr:uid="{00000000-0006-0000-0E00-000003000000}">
      <text>
        <r>
          <rPr>
            <b/>
            <sz val="9"/>
            <color indexed="81"/>
            <rFont val="Times New Roman"/>
            <family val="1"/>
          </rPr>
          <t>Refer to: 1997 ASHRAE Handbook Fundamental - 6.5 (Table 3)</t>
        </r>
      </text>
    </comment>
    <comment ref="C9" authorId="0" shapeId="0" xr:uid="{00000000-0006-0000-0E00-000004000000}">
      <text>
        <r>
          <rPr>
            <b/>
            <sz val="9"/>
            <color indexed="81"/>
            <rFont val="Times New Roman"/>
            <family val="1"/>
          </rPr>
          <t>Refer to: 1997 ASHRAE Handbook Fundamental - 6.5 (Table 3)</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CityU</author>
  </authors>
  <commentList>
    <comment ref="A1" authorId="0" shapeId="0" xr:uid="{00000000-0006-0000-1000-000001000000}">
      <text>
        <r>
          <rPr>
            <b/>
            <sz val="9"/>
            <color indexed="81"/>
            <rFont val="Times New Roman"/>
            <family val="1"/>
          </rPr>
          <t>Refer to: 1997 ASHRAE Handbook Fundamental - 6.5 (Table 3)</t>
        </r>
      </text>
    </comment>
    <comment ref="C1" authorId="0" shapeId="0" xr:uid="{00000000-0006-0000-1000-000002000000}">
      <text>
        <r>
          <rPr>
            <b/>
            <sz val="9"/>
            <color indexed="81"/>
            <rFont val="Times New Roman"/>
            <family val="1"/>
          </rPr>
          <t>Refer to: 1997 ASHRAE Handbook Fundamental - 6.5 (Table 3)</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 xml:space="preserve"> </author>
    <author>Leung, Benjamin</author>
  </authors>
  <commentList>
    <comment ref="EE25" authorId="0" shapeId="0" xr:uid="{00000000-0006-0000-1200-000001000000}">
      <text>
        <r>
          <rPr>
            <b/>
            <sz val="8"/>
            <color indexed="81"/>
            <rFont val="Tahoma"/>
            <family val="2"/>
          </rPr>
          <t xml:space="preserve">from steam table
</t>
        </r>
      </text>
    </comment>
    <comment ref="EE41" authorId="1" shapeId="0" xr:uid="{00000000-0006-0000-1200-000002000000}">
      <text>
        <r>
          <rPr>
            <b/>
            <sz val="8"/>
            <color indexed="81"/>
            <rFont val="Tahoma"/>
            <family val="2"/>
          </rPr>
          <t>from water table</t>
        </r>
      </text>
    </comment>
    <comment ref="EE58" authorId="1" shapeId="0" xr:uid="{00000000-0006-0000-1200-000003000000}">
      <text>
        <r>
          <rPr>
            <b/>
            <sz val="8"/>
            <color indexed="81"/>
            <rFont val="Tahoma"/>
            <family val="2"/>
          </rPr>
          <t>from water table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Leung, Benjamin</author>
  </authors>
  <commentList>
    <comment ref="B32" authorId="0" shapeId="0" xr:uid="{00000000-0006-0000-1300-000001000000}">
      <text>
        <r>
          <rPr>
            <sz val="8"/>
            <color indexed="81"/>
            <rFont val="Tahoma"/>
            <family val="2"/>
          </rPr>
          <t>Please check with your specifications!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Leung, Benjamin</author>
  </authors>
  <commentList>
    <comment ref="V11" authorId="0" shapeId="0" xr:uid="{00000000-0006-0000-1500-000001000000}">
      <text>
        <r>
          <rPr>
            <sz val="9"/>
            <color indexed="81"/>
            <rFont val="Tahoma"/>
            <family val="2"/>
          </rPr>
          <t>B/F included</t>
        </r>
      </text>
    </comment>
    <comment ref="V12" authorId="0" shapeId="0" xr:uid="{00000000-0006-0000-1500-000002000000}">
      <text>
        <r>
          <rPr>
            <sz val="9"/>
            <color indexed="81"/>
            <rFont val="Tahoma"/>
            <family val="2"/>
          </rPr>
          <t>B/F included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Leung, Benjamin</author>
  </authors>
  <commentList>
    <comment ref="N15" authorId="0" shapeId="0" xr:uid="{00000000-0006-0000-1600-000001000000}">
      <text>
        <r>
          <rPr>
            <sz val="9"/>
            <color indexed="81"/>
            <rFont val="Tahoma"/>
            <family val="2"/>
          </rPr>
          <t>技術措施2009 Clause 8.4.3
assuming 13% of bleed off</t>
        </r>
      </text>
    </comment>
    <comment ref="M21" authorId="0" shapeId="0" xr:uid="{00000000-0006-0000-1600-000002000000}">
      <text>
        <r>
          <rPr>
            <sz val="9"/>
            <color indexed="81"/>
            <rFont val="Tahoma"/>
            <family val="2"/>
          </rPr>
          <t>技術措施2009 - Clause 8.6.14</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Leung, Benjamin</author>
  </authors>
  <commentList>
    <comment ref="F24" authorId="0" shapeId="0" xr:uid="{00000000-0006-0000-1E00-000001000000}">
      <text>
        <r>
          <rPr>
            <sz val="8"/>
            <color indexed="81"/>
            <rFont val="Tahoma"/>
            <family val="2"/>
          </rPr>
          <t>(From Water Properties Table)</t>
        </r>
      </text>
    </comment>
  </commentList>
</comments>
</file>

<file path=xl/sharedStrings.xml><?xml version="1.0" encoding="utf-8"?>
<sst xmlns="http://schemas.openxmlformats.org/spreadsheetml/2006/main" count="8260" uniqueCount="2568">
  <si>
    <t>mm</t>
  </si>
  <si>
    <t>m/s</t>
  </si>
  <si>
    <t>Air Flow Rate</t>
  </si>
  <si>
    <t>L/s</t>
  </si>
  <si>
    <t>Heating</t>
  </si>
  <si>
    <t>=</t>
  </si>
  <si>
    <t>kW</t>
  </si>
  <si>
    <t>cfm</t>
  </si>
  <si>
    <t>Static</t>
  </si>
  <si>
    <t>Pa</t>
  </si>
  <si>
    <t>Safety Factor</t>
  </si>
  <si>
    <t>Fan Power</t>
  </si>
  <si>
    <t>RT</t>
  </si>
  <si>
    <t>Pipe Dia.</t>
  </si>
  <si>
    <t>Pa/m</t>
  </si>
  <si>
    <t>Velocity</t>
  </si>
  <si>
    <t>Psychrometric Chart</t>
  </si>
  <si>
    <t>Relative Humidity (%)</t>
  </si>
  <si>
    <t>Ws = Humidty ratio at saturation for temperature t*</t>
  </si>
  <si>
    <t>W = Humidity ratio</t>
  </si>
  <si>
    <t>Ws = Humidty ratio at saturation for temperature t</t>
  </si>
  <si>
    <t>µ = Degree of saturation</t>
  </si>
  <si>
    <t>v = Specific volume</t>
  </si>
  <si>
    <t>h = Enthalpy</t>
  </si>
  <si>
    <t>Pw = The water vapour partial pressure for the moist air</t>
  </si>
  <si>
    <t xml:space="preserve">1. Pws(T)=EXP(-5800.2206/(273.15+T)+1.3914993-0.048640239*(273.15+T)+0.000041764768*POWER((273.15+T),2)-0.000000014452093*POWER((273.15+T),3)+6.5459673*LN(273.15+T))/1000
</t>
  </si>
  <si>
    <t>2. Ws(T)=0.62198*(Pws(T)/(P-Pws(T))</t>
  </si>
  <si>
    <t>3. F(T)=((2501-2.381*T)*Ws(T)-(t-T))/(2501+1.805*t-4.186*T)-W</t>
  </si>
  <si>
    <t>! T = Wet bulb temperature</t>
  </si>
  <si>
    <t>BY SECANT METHOD:</t>
  </si>
  <si>
    <t>k</t>
  </si>
  <si>
    <t xml:space="preserve">! T= Wet bulb temperature </t>
  </si>
  <si>
    <t>t= Dry bulb temperature</t>
  </si>
  <si>
    <t>4. W=((2501-2.381*t*)Ws* - (t-t*))/(2501+1.805*t-4.186*t*)</t>
  </si>
  <si>
    <t>5. F(t)=((2501-2.381*t*)Ws* - (t-t*))/(2501+1.805*t-4.186*t*)-W</t>
  </si>
  <si>
    <t xml:space="preserve">! t=Dry bulb temperature </t>
  </si>
  <si>
    <t>! t*=Wet bulb temperature (Psychrometric chart B8)</t>
  </si>
  <si>
    <t xml:space="preserve">W = Humidity ratio </t>
  </si>
  <si>
    <t>! t*= Wet bulb temperature (Psychrometric chart B8)</t>
  </si>
  <si>
    <t xml:space="preserve">! t= Dry bulb temperature </t>
  </si>
  <si>
    <t>! Ws(t*)= Humidity ratio at saturation pressure of water vapour (Supporting 5 A7)</t>
  </si>
  <si>
    <t>! W= Humidity ration (Supporting 5 A15)</t>
  </si>
  <si>
    <t>! W = Humidity ratio (Supporting 6 A7)</t>
  </si>
  <si>
    <t>! P = Pressure (Psychrometric chart B3)</t>
  </si>
  <si>
    <t xml:space="preserve">! t = Dry bulb temperature </t>
  </si>
  <si>
    <r>
      <t>P</t>
    </r>
    <r>
      <rPr>
        <i/>
        <vertAlign val="subscript"/>
        <sz val="12"/>
        <rFont val="Times New Roman"/>
        <family val="1"/>
      </rPr>
      <t>ws</t>
    </r>
    <r>
      <rPr>
        <i/>
        <sz val="12"/>
        <rFont val="Times New Roman"/>
        <family val="1"/>
      </rPr>
      <t xml:space="preserve"> (t*) = Saturation pressure for temperature t* (kPa) </t>
    </r>
  </si>
  <si>
    <r>
      <t>P</t>
    </r>
    <r>
      <rPr>
        <i/>
        <vertAlign val="subscript"/>
        <sz val="12"/>
        <rFont val="新細明體"/>
        <family val="1"/>
        <charset val="136"/>
      </rPr>
      <t>WS</t>
    </r>
    <r>
      <rPr>
        <i/>
        <sz val="12"/>
        <rFont val="新細明體"/>
        <family val="1"/>
        <charset val="136"/>
      </rPr>
      <t xml:space="preserve"> (t) = Saturation pressure for temperature t</t>
    </r>
  </si>
  <si>
    <r>
      <t>Φ</t>
    </r>
    <r>
      <rPr>
        <i/>
        <sz val="12"/>
        <rFont val="Times New Roman"/>
        <family val="1"/>
      </rPr>
      <t xml:space="preserve"> = Relative humidity</t>
    </r>
  </si>
  <si>
    <r>
      <t>t</t>
    </r>
    <r>
      <rPr>
        <i/>
        <vertAlign val="subscript"/>
        <sz val="12"/>
        <rFont val="Times New Roman"/>
        <family val="1"/>
      </rPr>
      <t>d</t>
    </r>
    <r>
      <rPr>
        <i/>
        <sz val="12"/>
        <rFont val="Times New Roman"/>
        <family val="1"/>
      </rPr>
      <t xml:space="preserve"> = Dew point temperature</t>
    </r>
  </si>
  <si>
    <r>
      <t>P</t>
    </r>
    <r>
      <rPr>
        <i/>
        <vertAlign val="subscript"/>
        <sz val="12"/>
        <rFont val="Times New Roman"/>
        <family val="1"/>
      </rPr>
      <t>w</t>
    </r>
    <r>
      <rPr>
        <i/>
        <sz val="12"/>
        <rFont val="Times New Roman"/>
        <family val="1"/>
      </rPr>
      <t>=P</t>
    </r>
    <r>
      <rPr>
        <i/>
        <vertAlign val="subscript"/>
        <sz val="12"/>
        <rFont val="Times New Roman"/>
        <family val="1"/>
      </rPr>
      <t>ws</t>
    </r>
    <r>
      <rPr>
        <i/>
        <sz val="12"/>
        <rFont val="Times New Roman"/>
        <family val="1"/>
      </rPr>
      <t xml:space="preserve"> (t</t>
    </r>
    <r>
      <rPr>
        <i/>
        <vertAlign val="subscript"/>
        <sz val="12"/>
        <rFont val="Times New Roman"/>
        <family val="1"/>
      </rPr>
      <t>d</t>
    </r>
    <r>
      <rPr>
        <i/>
        <sz val="12"/>
        <rFont val="Times New Roman"/>
        <family val="1"/>
      </rPr>
      <t>) = Saturation pressure for temperature t</t>
    </r>
    <r>
      <rPr>
        <i/>
        <vertAlign val="subscript"/>
        <sz val="12"/>
        <rFont val="Times New Roman"/>
        <family val="1"/>
      </rPr>
      <t>d</t>
    </r>
    <r>
      <rPr>
        <i/>
        <sz val="12"/>
        <rFont val="Times New Roman"/>
        <family val="1"/>
      </rPr>
      <t xml:space="preserve"> (kPa) </t>
    </r>
  </si>
  <si>
    <r>
      <t>P</t>
    </r>
    <r>
      <rPr>
        <i/>
        <vertAlign val="subscript"/>
        <sz val="12"/>
        <rFont val="Times New Roman"/>
        <family val="1"/>
      </rPr>
      <t>ws</t>
    </r>
    <r>
      <rPr>
        <i/>
        <sz val="12"/>
        <rFont val="Times New Roman"/>
        <family val="1"/>
      </rPr>
      <t xml:space="preserve"> (t</t>
    </r>
    <r>
      <rPr>
        <i/>
        <sz val="12"/>
        <rFont val="Times New Roman"/>
        <family val="1"/>
      </rPr>
      <t>) = Saturation pressure for temperature t</t>
    </r>
    <r>
      <rPr>
        <i/>
        <sz val="12"/>
        <rFont val="Times New Roman"/>
        <family val="1"/>
      </rPr>
      <t xml:space="preserve"> (kPa)</t>
    </r>
  </si>
  <si>
    <r>
      <t>W</t>
    </r>
    <r>
      <rPr>
        <i/>
        <vertAlign val="subscript"/>
        <sz val="12"/>
        <rFont val="Times New Roman"/>
        <family val="1"/>
      </rPr>
      <t>s</t>
    </r>
    <r>
      <rPr>
        <i/>
        <sz val="12"/>
        <rFont val="Times New Roman"/>
        <family val="1"/>
      </rPr>
      <t xml:space="preserve"> = Humidity ratio at saturation pressure of water vapour </t>
    </r>
  </si>
  <si>
    <r>
      <t>t</t>
    </r>
    <r>
      <rPr>
        <i/>
        <vertAlign val="superscript"/>
        <sz val="12"/>
        <rFont val="Times New Roman"/>
        <family val="1"/>
      </rPr>
      <t>*</t>
    </r>
    <r>
      <rPr>
        <i/>
        <sz val="12"/>
        <rFont val="Times New Roman"/>
        <family val="1"/>
      </rPr>
      <t>= Wet bulb temperature</t>
    </r>
  </si>
  <si>
    <r>
      <t>! t = Dry bulb temperature (</t>
    </r>
    <r>
      <rPr>
        <u/>
        <sz val="12"/>
        <rFont val="Times New Roman"/>
        <family val="1"/>
      </rPr>
      <t>Psychrometric chart B7</t>
    </r>
    <r>
      <rPr>
        <sz val="12"/>
        <rFont val="Times New Roman"/>
        <family val="1"/>
      </rPr>
      <t>)</t>
    </r>
  </si>
  <si>
    <r>
      <t>! P =  Pressure (</t>
    </r>
    <r>
      <rPr>
        <u/>
        <sz val="12"/>
        <rFont val="Times New Roman"/>
        <family val="1"/>
      </rPr>
      <t>Psychrometric chart B3</t>
    </r>
    <r>
      <rPr>
        <sz val="12"/>
        <rFont val="Times New Roman"/>
        <family val="1"/>
      </rPr>
      <t>)</t>
    </r>
  </si>
  <si>
    <r>
      <t>! W= Humidity ratio (</t>
    </r>
    <r>
      <rPr>
        <u/>
        <sz val="12"/>
        <rFont val="Times New Roman"/>
        <family val="1"/>
      </rPr>
      <t>Supporting2 A7</t>
    </r>
    <r>
      <rPr>
        <sz val="12"/>
        <rFont val="Times New Roman"/>
        <family val="1"/>
      </rPr>
      <t>)</t>
    </r>
  </si>
  <si>
    <r>
      <t>T</t>
    </r>
    <r>
      <rPr>
        <b/>
        <vertAlign val="subscript"/>
        <sz val="12"/>
        <rFont val="Times New Roman"/>
        <family val="1"/>
      </rPr>
      <t>k-1</t>
    </r>
  </si>
  <si>
    <r>
      <t>T</t>
    </r>
    <r>
      <rPr>
        <b/>
        <vertAlign val="subscript"/>
        <sz val="12"/>
        <rFont val="Times New Roman"/>
        <family val="1"/>
      </rPr>
      <t>k</t>
    </r>
  </si>
  <si>
    <r>
      <t>Pws(T</t>
    </r>
    <r>
      <rPr>
        <b/>
        <vertAlign val="subscript"/>
        <sz val="12"/>
        <rFont val="Times New Roman"/>
        <family val="1"/>
      </rPr>
      <t>k</t>
    </r>
    <r>
      <rPr>
        <b/>
        <sz val="12"/>
        <rFont val="Times New Roman"/>
        <family val="1"/>
      </rPr>
      <t>)</t>
    </r>
  </si>
  <si>
    <r>
      <t>Pws(T</t>
    </r>
    <r>
      <rPr>
        <b/>
        <vertAlign val="subscript"/>
        <sz val="12"/>
        <rFont val="Times New Roman"/>
        <family val="1"/>
      </rPr>
      <t>k-1</t>
    </r>
    <r>
      <rPr>
        <b/>
        <sz val="12"/>
        <rFont val="Times New Roman"/>
        <family val="1"/>
      </rPr>
      <t>)</t>
    </r>
  </si>
  <si>
    <r>
      <t>Ws(T</t>
    </r>
    <r>
      <rPr>
        <b/>
        <vertAlign val="subscript"/>
        <sz val="12"/>
        <rFont val="Times New Roman"/>
        <family val="1"/>
      </rPr>
      <t>K</t>
    </r>
    <r>
      <rPr>
        <b/>
        <sz val="12"/>
        <rFont val="Times New Roman"/>
        <family val="1"/>
      </rPr>
      <t>)</t>
    </r>
  </si>
  <si>
    <r>
      <t>Ws(T</t>
    </r>
    <r>
      <rPr>
        <b/>
        <vertAlign val="subscript"/>
        <sz val="12"/>
        <rFont val="Times New Roman"/>
        <family val="1"/>
      </rPr>
      <t>K-1</t>
    </r>
    <r>
      <rPr>
        <b/>
        <sz val="12"/>
        <rFont val="Times New Roman"/>
        <family val="1"/>
      </rPr>
      <t>)</t>
    </r>
  </si>
  <si>
    <r>
      <t>F(T</t>
    </r>
    <r>
      <rPr>
        <b/>
        <vertAlign val="subscript"/>
        <sz val="12"/>
        <rFont val="Times New Roman"/>
        <family val="1"/>
      </rPr>
      <t>K</t>
    </r>
    <r>
      <rPr>
        <b/>
        <sz val="12"/>
        <rFont val="Times New Roman"/>
        <family val="1"/>
      </rPr>
      <t>)</t>
    </r>
  </si>
  <si>
    <r>
      <t>F(T</t>
    </r>
    <r>
      <rPr>
        <b/>
        <vertAlign val="subscript"/>
        <sz val="12"/>
        <rFont val="Times New Roman"/>
        <family val="1"/>
      </rPr>
      <t>K-1</t>
    </r>
    <r>
      <rPr>
        <b/>
        <sz val="12"/>
        <rFont val="Times New Roman"/>
        <family val="1"/>
      </rPr>
      <t>)</t>
    </r>
  </si>
  <si>
    <r>
      <t>T</t>
    </r>
    <r>
      <rPr>
        <b/>
        <vertAlign val="subscript"/>
        <sz val="12"/>
        <rFont val="Times New Roman"/>
        <family val="1"/>
      </rPr>
      <t>k+1</t>
    </r>
  </si>
  <si>
    <r>
      <t>P</t>
    </r>
    <r>
      <rPr>
        <i/>
        <vertAlign val="subscript"/>
        <sz val="12"/>
        <rFont val="Times New Roman"/>
        <family val="1"/>
      </rPr>
      <t>wz</t>
    </r>
    <r>
      <rPr>
        <i/>
        <sz val="12"/>
        <rFont val="Times New Roman"/>
        <family val="1"/>
      </rPr>
      <t xml:space="preserve">(t) = Saturation pressure for temperature t (kPa) </t>
    </r>
  </si>
  <si>
    <r>
      <t>P</t>
    </r>
    <r>
      <rPr>
        <i/>
        <vertAlign val="subscript"/>
        <sz val="12"/>
        <rFont val="Times New Roman"/>
        <family val="1"/>
      </rPr>
      <t xml:space="preserve">w </t>
    </r>
    <r>
      <rPr>
        <i/>
        <sz val="12"/>
        <rFont val="Times New Roman"/>
        <family val="1"/>
      </rPr>
      <t>= Pressure of water vapour</t>
    </r>
  </si>
  <si>
    <r>
      <t>P</t>
    </r>
    <r>
      <rPr>
        <i/>
        <vertAlign val="subscript"/>
        <sz val="12"/>
        <rFont val="Times New Roman"/>
        <family val="1"/>
      </rPr>
      <t>wz</t>
    </r>
    <r>
      <rPr>
        <i/>
        <sz val="12"/>
        <rFont val="Times New Roman"/>
        <family val="1"/>
      </rPr>
      <t>(t</t>
    </r>
    <r>
      <rPr>
        <i/>
        <vertAlign val="superscript"/>
        <sz val="12"/>
        <rFont val="Times New Roman"/>
        <family val="1"/>
      </rPr>
      <t>*</t>
    </r>
    <r>
      <rPr>
        <i/>
        <sz val="12"/>
        <rFont val="Times New Roman"/>
        <family val="1"/>
      </rPr>
      <t>) = Saturation pressure for temperature t</t>
    </r>
    <r>
      <rPr>
        <i/>
        <vertAlign val="superscript"/>
        <sz val="12"/>
        <rFont val="Times New Roman"/>
        <family val="1"/>
      </rPr>
      <t>*</t>
    </r>
    <r>
      <rPr>
        <i/>
        <sz val="12"/>
        <rFont val="Times New Roman"/>
        <family val="1"/>
      </rPr>
      <t xml:space="preserve">(kPa) </t>
    </r>
  </si>
  <si>
    <r>
      <t>W</t>
    </r>
    <r>
      <rPr>
        <i/>
        <vertAlign val="subscript"/>
        <sz val="12"/>
        <rFont val="Times New Roman"/>
        <family val="1"/>
      </rPr>
      <t>s</t>
    </r>
    <r>
      <rPr>
        <i/>
        <sz val="12"/>
        <rFont val="Times New Roman"/>
        <family val="1"/>
      </rPr>
      <t xml:space="preserve">(t*) = Humidity ratio at saturation pressure of water vapour </t>
    </r>
  </si>
  <si>
    <r>
      <t>P</t>
    </r>
    <r>
      <rPr>
        <vertAlign val="subscript"/>
        <sz val="12"/>
        <rFont val="Times New Roman"/>
        <family val="1"/>
      </rPr>
      <t>w</t>
    </r>
    <r>
      <rPr>
        <sz val="12"/>
        <rFont val="Times New Roman"/>
        <family val="1"/>
      </rPr>
      <t>= P*W/(0.62198+W)</t>
    </r>
  </si>
  <si>
    <r>
      <t>1. P</t>
    </r>
    <r>
      <rPr>
        <vertAlign val="subscript"/>
        <sz val="12"/>
        <rFont val="Times New Roman"/>
        <family val="1"/>
      </rPr>
      <t>ws</t>
    </r>
    <r>
      <rPr>
        <sz val="12"/>
        <rFont val="Times New Roman"/>
        <family val="1"/>
      </rPr>
      <t xml:space="preserve"> (t) = Saturation pressure for temperature t (kPa)</t>
    </r>
  </si>
  <si>
    <r>
      <t xml:space="preserve">   P</t>
    </r>
    <r>
      <rPr>
        <vertAlign val="subscript"/>
        <sz val="12"/>
        <rFont val="Times New Roman"/>
        <family val="1"/>
      </rPr>
      <t>ws</t>
    </r>
    <r>
      <rPr>
        <sz val="12"/>
        <rFont val="Times New Roman"/>
        <family val="1"/>
      </rPr>
      <t xml:space="preserve">(t)=EXP(-5800.2206/(273.15+t)+1.3914993-   0.048640239*(273.15+t)+0.000041764768*POWER((273.15+t),2)-0.000000014452093*POWER((273.15+t),3)+6.5459673*LN(273.15+t))/1000
</t>
    </r>
  </si>
  <si>
    <r>
      <t xml:space="preserve">2. </t>
    </r>
    <r>
      <rPr>
        <sz val="12"/>
        <rFont val="新細明體"/>
        <family val="1"/>
        <charset val="136"/>
      </rPr>
      <t>Φ</t>
    </r>
    <r>
      <rPr>
        <sz val="12"/>
        <rFont val="Times New Roman"/>
        <family val="1"/>
      </rPr>
      <t xml:space="preserve"> = P</t>
    </r>
    <r>
      <rPr>
        <vertAlign val="subscript"/>
        <sz val="12"/>
        <rFont val="Times New Roman"/>
        <family val="1"/>
      </rPr>
      <t>w</t>
    </r>
    <r>
      <rPr>
        <sz val="12"/>
        <rFont val="Times New Roman"/>
        <family val="1"/>
      </rPr>
      <t>/P</t>
    </r>
    <r>
      <rPr>
        <vertAlign val="subscript"/>
        <sz val="12"/>
        <rFont val="Times New Roman"/>
        <family val="1"/>
      </rPr>
      <t>ws</t>
    </r>
  </si>
  <si>
    <r>
      <t xml:space="preserve">     P</t>
    </r>
    <r>
      <rPr>
        <vertAlign val="subscript"/>
        <sz val="12"/>
        <rFont val="新細明體"/>
        <family val="1"/>
        <charset val="136"/>
      </rPr>
      <t>w</t>
    </r>
    <r>
      <rPr>
        <sz val="12"/>
        <rFont val="新細明體"/>
        <family val="1"/>
        <charset val="136"/>
      </rPr>
      <t xml:space="preserve"> = Φ*P</t>
    </r>
    <r>
      <rPr>
        <vertAlign val="subscript"/>
        <sz val="12"/>
        <rFont val="新細明體"/>
        <family val="1"/>
        <charset val="136"/>
      </rPr>
      <t>ws</t>
    </r>
  </si>
  <si>
    <r>
      <t>3. W=0.62198*P</t>
    </r>
    <r>
      <rPr>
        <vertAlign val="subscript"/>
        <sz val="12"/>
        <rFont val="Times New Roman"/>
        <family val="1"/>
      </rPr>
      <t>w</t>
    </r>
    <r>
      <rPr>
        <sz val="12"/>
        <rFont val="Times New Roman"/>
        <family val="1"/>
      </rPr>
      <t>/(P-P</t>
    </r>
    <r>
      <rPr>
        <vertAlign val="subscript"/>
        <sz val="12"/>
        <rFont val="Times New Roman"/>
        <family val="1"/>
      </rPr>
      <t>w</t>
    </r>
    <r>
      <rPr>
        <sz val="12"/>
        <rFont val="Times New Roman"/>
        <family val="1"/>
      </rPr>
      <t>)</t>
    </r>
  </si>
  <si>
    <r>
      <t xml:space="preserve">    W=0.62198*</t>
    </r>
    <r>
      <rPr>
        <sz val="12"/>
        <rFont val="細明體"/>
        <family val="3"/>
        <charset val="136"/>
      </rPr>
      <t>Φ</t>
    </r>
    <r>
      <rPr>
        <sz val="12"/>
        <rFont val="Times New Roman"/>
        <family val="1"/>
      </rPr>
      <t>*P</t>
    </r>
    <r>
      <rPr>
        <vertAlign val="subscript"/>
        <sz val="12"/>
        <rFont val="Times New Roman"/>
        <family val="1"/>
      </rPr>
      <t>ws</t>
    </r>
    <r>
      <rPr>
        <sz val="12"/>
        <rFont val="Times New Roman"/>
        <family val="1"/>
      </rPr>
      <t>/(P-</t>
    </r>
    <r>
      <rPr>
        <sz val="12"/>
        <rFont val="細明體"/>
        <family val="3"/>
        <charset val="136"/>
      </rPr>
      <t>Φ</t>
    </r>
    <r>
      <rPr>
        <sz val="12"/>
        <rFont val="Times New Roman"/>
        <family val="1"/>
      </rPr>
      <t>*P</t>
    </r>
    <r>
      <rPr>
        <vertAlign val="subscript"/>
        <sz val="12"/>
        <rFont val="Times New Roman"/>
        <family val="1"/>
      </rPr>
      <t>ws</t>
    </r>
    <r>
      <rPr>
        <sz val="12"/>
        <rFont val="Times New Roman"/>
        <family val="1"/>
      </rPr>
      <t>)</t>
    </r>
  </si>
  <si>
    <r>
      <t xml:space="preserve">    F(t)=((2501-2.381*t*)Ws* - (t-t*))/(2501+1.805*t-4.186*t*)-0.62198*</t>
    </r>
    <r>
      <rPr>
        <sz val="12"/>
        <rFont val="細明體"/>
        <family val="3"/>
        <charset val="136"/>
      </rPr>
      <t>Φ</t>
    </r>
    <r>
      <rPr>
        <sz val="12"/>
        <rFont val="Times New Roman"/>
        <family val="1"/>
      </rPr>
      <t>*P</t>
    </r>
    <r>
      <rPr>
        <vertAlign val="subscript"/>
        <sz val="12"/>
        <rFont val="Times New Roman"/>
        <family val="1"/>
      </rPr>
      <t>ws</t>
    </r>
    <r>
      <rPr>
        <sz val="12"/>
        <rFont val="Times New Roman"/>
        <family val="1"/>
      </rPr>
      <t>/(P-</t>
    </r>
    <r>
      <rPr>
        <sz val="12"/>
        <rFont val="細明體"/>
        <family val="3"/>
        <charset val="136"/>
      </rPr>
      <t>Φ</t>
    </r>
    <r>
      <rPr>
        <sz val="12"/>
        <rFont val="Times New Roman"/>
        <family val="1"/>
      </rPr>
      <t>*P</t>
    </r>
    <r>
      <rPr>
        <vertAlign val="subscript"/>
        <sz val="12"/>
        <rFont val="Times New Roman"/>
        <family val="1"/>
      </rPr>
      <t>ws</t>
    </r>
    <r>
      <rPr>
        <sz val="12"/>
        <rFont val="Times New Roman"/>
        <family val="1"/>
      </rPr>
      <t>)</t>
    </r>
  </si>
  <si>
    <r>
      <t>!</t>
    </r>
    <r>
      <rPr>
        <sz val="12"/>
        <rFont val="新細明體"/>
        <family val="1"/>
        <charset val="136"/>
      </rPr>
      <t>Φ</t>
    </r>
    <r>
      <rPr>
        <sz val="12"/>
        <rFont val="Times New Roman"/>
        <family val="1"/>
      </rPr>
      <t>=Relative humidity (Psychrometric chart B10)</t>
    </r>
  </si>
  <si>
    <r>
      <t>!Ws</t>
    </r>
    <r>
      <rPr>
        <vertAlign val="superscript"/>
        <sz val="12"/>
        <rFont val="Times New Roman"/>
        <family val="1"/>
      </rPr>
      <t>*</t>
    </r>
    <r>
      <rPr>
        <sz val="12"/>
        <rFont val="Times New Roman"/>
        <family val="1"/>
      </rPr>
      <t>=Humidity ratio at saturation pressure for t* (Supporting 4 A7)</t>
    </r>
  </si>
  <si>
    <r>
      <t>t</t>
    </r>
    <r>
      <rPr>
        <b/>
        <vertAlign val="subscript"/>
        <sz val="12"/>
        <rFont val="Times New Roman"/>
        <family val="1"/>
      </rPr>
      <t>k-1</t>
    </r>
  </si>
  <si>
    <r>
      <t>t</t>
    </r>
    <r>
      <rPr>
        <b/>
        <vertAlign val="subscript"/>
        <sz val="12"/>
        <rFont val="Times New Roman"/>
        <family val="1"/>
      </rPr>
      <t>k</t>
    </r>
  </si>
  <si>
    <r>
      <t>Pws(t</t>
    </r>
    <r>
      <rPr>
        <b/>
        <vertAlign val="subscript"/>
        <sz val="12"/>
        <rFont val="Times New Roman"/>
        <family val="1"/>
      </rPr>
      <t>k</t>
    </r>
    <r>
      <rPr>
        <b/>
        <sz val="12"/>
        <rFont val="Times New Roman"/>
        <family val="1"/>
      </rPr>
      <t>)</t>
    </r>
  </si>
  <si>
    <r>
      <t>Pws(t</t>
    </r>
    <r>
      <rPr>
        <b/>
        <vertAlign val="subscript"/>
        <sz val="12"/>
        <rFont val="Times New Roman"/>
        <family val="1"/>
      </rPr>
      <t>k-1</t>
    </r>
    <r>
      <rPr>
        <b/>
        <sz val="12"/>
        <rFont val="Times New Roman"/>
        <family val="1"/>
      </rPr>
      <t>)</t>
    </r>
  </si>
  <si>
    <r>
      <t>P</t>
    </r>
    <r>
      <rPr>
        <b/>
        <vertAlign val="subscript"/>
        <sz val="12"/>
        <rFont val="Times New Roman"/>
        <family val="1"/>
      </rPr>
      <t>w</t>
    </r>
    <r>
      <rPr>
        <b/>
        <sz val="12"/>
        <rFont val="Times New Roman"/>
        <family val="1"/>
      </rPr>
      <t>(t</t>
    </r>
    <r>
      <rPr>
        <b/>
        <vertAlign val="subscript"/>
        <sz val="12"/>
        <rFont val="Times New Roman"/>
        <family val="1"/>
      </rPr>
      <t>K</t>
    </r>
    <r>
      <rPr>
        <b/>
        <sz val="12"/>
        <rFont val="Times New Roman"/>
        <family val="1"/>
      </rPr>
      <t>)</t>
    </r>
  </si>
  <si>
    <r>
      <t>P</t>
    </r>
    <r>
      <rPr>
        <b/>
        <vertAlign val="subscript"/>
        <sz val="12"/>
        <rFont val="Times New Roman"/>
        <family val="1"/>
      </rPr>
      <t>w</t>
    </r>
    <r>
      <rPr>
        <b/>
        <sz val="12"/>
        <rFont val="Times New Roman"/>
        <family val="1"/>
      </rPr>
      <t>(t</t>
    </r>
    <r>
      <rPr>
        <b/>
        <vertAlign val="subscript"/>
        <sz val="12"/>
        <rFont val="Times New Roman"/>
        <family val="1"/>
      </rPr>
      <t>K-1</t>
    </r>
    <r>
      <rPr>
        <b/>
        <sz val="12"/>
        <rFont val="Times New Roman"/>
        <family val="1"/>
      </rPr>
      <t>)</t>
    </r>
  </si>
  <si>
    <r>
      <t>F(t</t>
    </r>
    <r>
      <rPr>
        <b/>
        <vertAlign val="subscript"/>
        <sz val="12"/>
        <rFont val="Times New Roman"/>
        <family val="1"/>
      </rPr>
      <t>K</t>
    </r>
    <r>
      <rPr>
        <b/>
        <sz val="12"/>
        <rFont val="Times New Roman"/>
        <family val="1"/>
      </rPr>
      <t>)</t>
    </r>
  </si>
  <si>
    <r>
      <t>F(t</t>
    </r>
    <r>
      <rPr>
        <b/>
        <vertAlign val="subscript"/>
        <sz val="12"/>
        <rFont val="Times New Roman"/>
        <family val="1"/>
      </rPr>
      <t>K-1</t>
    </r>
    <r>
      <rPr>
        <b/>
        <sz val="12"/>
        <rFont val="Times New Roman"/>
        <family val="1"/>
      </rPr>
      <t>)</t>
    </r>
  </si>
  <si>
    <r>
      <t>t</t>
    </r>
    <r>
      <rPr>
        <b/>
        <vertAlign val="subscript"/>
        <sz val="12"/>
        <rFont val="Times New Roman"/>
        <family val="1"/>
      </rPr>
      <t>k+1</t>
    </r>
  </si>
  <si>
    <r>
      <t>P</t>
    </r>
    <r>
      <rPr>
        <i/>
        <vertAlign val="subscript"/>
        <sz val="12"/>
        <rFont val="Times New Roman"/>
        <family val="1"/>
      </rPr>
      <t>w</t>
    </r>
    <r>
      <rPr>
        <i/>
        <sz val="12"/>
        <rFont val="Times New Roman"/>
        <family val="1"/>
      </rPr>
      <t>=P</t>
    </r>
    <r>
      <rPr>
        <i/>
        <vertAlign val="subscript"/>
        <sz val="12"/>
        <rFont val="Times New Roman"/>
        <family val="1"/>
      </rPr>
      <t>wz</t>
    </r>
    <r>
      <rPr>
        <i/>
        <sz val="12"/>
        <rFont val="Times New Roman"/>
        <family val="1"/>
      </rPr>
      <t>(t</t>
    </r>
    <r>
      <rPr>
        <i/>
        <vertAlign val="subscript"/>
        <sz val="12"/>
        <rFont val="Times New Roman"/>
        <family val="1"/>
      </rPr>
      <t>d</t>
    </r>
    <r>
      <rPr>
        <i/>
        <sz val="12"/>
        <rFont val="Times New Roman"/>
        <family val="1"/>
      </rPr>
      <t>) = Saturation pressure for temperature t</t>
    </r>
    <r>
      <rPr>
        <i/>
        <vertAlign val="subscript"/>
        <sz val="12"/>
        <rFont val="Times New Roman"/>
        <family val="1"/>
      </rPr>
      <t>d</t>
    </r>
    <r>
      <rPr>
        <i/>
        <sz val="12"/>
        <rFont val="Times New Roman"/>
        <family val="1"/>
      </rPr>
      <t xml:space="preserve">(kPa) </t>
    </r>
  </si>
  <si>
    <r>
      <t>P</t>
    </r>
    <r>
      <rPr>
        <i/>
        <vertAlign val="subscript"/>
        <sz val="12"/>
        <rFont val="Times New Roman"/>
        <family val="1"/>
      </rPr>
      <t>ws</t>
    </r>
    <r>
      <rPr>
        <i/>
        <sz val="12"/>
        <rFont val="Times New Roman"/>
        <family val="1"/>
      </rPr>
      <t xml:space="preserve">=Saturation pressure for temperature t (kPa) </t>
    </r>
  </si>
  <si>
    <r>
      <t>1. F(T)=((2501-2.381*t</t>
    </r>
    <r>
      <rPr>
        <vertAlign val="superscript"/>
        <sz val="12"/>
        <rFont val="Times New Roman"/>
        <family val="1"/>
      </rPr>
      <t>*</t>
    </r>
    <r>
      <rPr>
        <sz val="12"/>
        <rFont val="Times New Roman"/>
        <family val="1"/>
      </rPr>
      <t>)*Ws(t</t>
    </r>
    <r>
      <rPr>
        <vertAlign val="superscript"/>
        <sz val="12"/>
        <rFont val="Times New Roman"/>
        <family val="1"/>
      </rPr>
      <t>*</t>
    </r>
    <r>
      <rPr>
        <sz val="12"/>
        <rFont val="Times New Roman"/>
        <family val="1"/>
      </rPr>
      <t>)-(t-t</t>
    </r>
    <r>
      <rPr>
        <vertAlign val="superscript"/>
        <sz val="12"/>
        <rFont val="Times New Roman"/>
        <family val="1"/>
      </rPr>
      <t>*</t>
    </r>
    <r>
      <rPr>
        <sz val="12"/>
        <rFont val="Times New Roman"/>
        <family val="1"/>
      </rPr>
      <t>))/(2501+1.805*t-4.186*t</t>
    </r>
    <r>
      <rPr>
        <vertAlign val="superscript"/>
        <sz val="12"/>
        <rFont val="Times New Roman"/>
        <family val="1"/>
      </rPr>
      <t>*</t>
    </r>
    <r>
      <rPr>
        <sz val="12"/>
        <rFont val="Times New Roman"/>
        <family val="1"/>
      </rPr>
      <t>)-W</t>
    </r>
  </si>
  <si>
    <r>
      <t xml:space="preserve">1. </t>
    </r>
    <r>
      <rPr>
        <sz val="12"/>
        <rFont val="新細明體"/>
        <family val="1"/>
        <charset val="136"/>
      </rPr>
      <t>μ</t>
    </r>
    <r>
      <rPr>
        <sz val="12"/>
        <rFont val="Times New Roman"/>
        <family val="1"/>
      </rPr>
      <t xml:space="preserve"> = W/W</t>
    </r>
    <r>
      <rPr>
        <vertAlign val="subscript"/>
        <sz val="12"/>
        <rFont val="Times New Roman"/>
        <family val="1"/>
      </rPr>
      <t>s</t>
    </r>
  </si>
  <si>
    <r>
      <t>2. W</t>
    </r>
    <r>
      <rPr>
        <vertAlign val="subscript"/>
        <sz val="12"/>
        <rFont val="Times New Roman"/>
        <family val="1"/>
      </rPr>
      <t>s</t>
    </r>
    <r>
      <rPr>
        <sz val="12"/>
        <rFont val="Times New Roman"/>
        <family val="1"/>
      </rPr>
      <t xml:space="preserve"> = 0.62198*P</t>
    </r>
    <r>
      <rPr>
        <vertAlign val="subscript"/>
        <sz val="12"/>
        <rFont val="Times New Roman"/>
        <family val="1"/>
      </rPr>
      <t>ws</t>
    </r>
    <r>
      <rPr>
        <sz val="12"/>
        <rFont val="Times New Roman"/>
        <family val="1"/>
      </rPr>
      <t>/(P-P</t>
    </r>
    <r>
      <rPr>
        <vertAlign val="subscript"/>
        <sz val="12"/>
        <rFont val="Times New Roman"/>
        <family val="1"/>
      </rPr>
      <t>ws</t>
    </r>
    <r>
      <rPr>
        <sz val="12"/>
        <rFont val="Times New Roman"/>
        <family val="1"/>
      </rPr>
      <t>)</t>
    </r>
  </si>
  <si>
    <r>
      <t>3.  P</t>
    </r>
    <r>
      <rPr>
        <vertAlign val="subscript"/>
        <sz val="12"/>
        <rFont val="Times New Roman"/>
        <family val="1"/>
      </rPr>
      <t>ws</t>
    </r>
    <r>
      <rPr>
        <sz val="12"/>
        <rFont val="Times New Roman"/>
        <family val="1"/>
      </rPr>
      <t xml:space="preserve"> = EXP(-5800.2206/(273.15+t)+1.3914993-0.048640239*(273.15+t)+0.000041764768*POWER((273.15+t),2)-0.000000014452093*POWER((273.15+t),3)+6.5459673*LN(273.15+t))/1000</t>
    </r>
  </si>
  <si>
    <r>
      <t xml:space="preserve">4. </t>
    </r>
    <r>
      <rPr>
        <sz val="12"/>
        <rFont val="新細明體"/>
        <family val="1"/>
        <charset val="136"/>
      </rPr>
      <t>Φ</t>
    </r>
    <r>
      <rPr>
        <sz val="12"/>
        <rFont val="Times New Roman"/>
        <family val="1"/>
      </rPr>
      <t xml:space="preserve"> = </t>
    </r>
    <r>
      <rPr>
        <sz val="12"/>
        <rFont val="新細明體"/>
        <family val="1"/>
        <charset val="136"/>
      </rPr>
      <t>μ</t>
    </r>
    <r>
      <rPr>
        <sz val="12"/>
        <rFont val="Times New Roman"/>
        <family val="1"/>
      </rPr>
      <t>/(1-(1-</t>
    </r>
    <r>
      <rPr>
        <sz val="12"/>
        <rFont val="新細明體"/>
        <family val="1"/>
        <charset val="136"/>
      </rPr>
      <t>μ</t>
    </r>
    <r>
      <rPr>
        <sz val="12"/>
        <rFont val="Times New Roman"/>
        <family val="1"/>
      </rPr>
      <t>)*(P</t>
    </r>
    <r>
      <rPr>
        <vertAlign val="subscript"/>
        <sz val="12"/>
        <rFont val="Times New Roman"/>
        <family val="1"/>
      </rPr>
      <t>ws</t>
    </r>
    <r>
      <rPr>
        <sz val="12"/>
        <rFont val="Times New Roman"/>
        <family val="1"/>
      </rPr>
      <t>/P))</t>
    </r>
  </si>
  <si>
    <r>
      <t xml:space="preserve">5. </t>
    </r>
    <r>
      <rPr>
        <sz val="12"/>
        <rFont val="新細明體"/>
        <family val="1"/>
        <charset val="136"/>
      </rPr>
      <t>Φ</t>
    </r>
    <r>
      <rPr>
        <sz val="12"/>
        <rFont val="Times New Roman"/>
        <family val="1"/>
      </rPr>
      <t xml:space="preserve"> =(W/(0.62198*P</t>
    </r>
    <r>
      <rPr>
        <vertAlign val="subscript"/>
        <sz val="12"/>
        <rFont val="Times New Roman"/>
        <family val="1"/>
      </rPr>
      <t>ws</t>
    </r>
    <r>
      <rPr>
        <sz val="12"/>
        <rFont val="Times New Roman"/>
        <family val="1"/>
      </rPr>
      <t>/(P-P</t>
    </r>
    <r>
      <rPr>
        <vertAlign val="subscript"/>
        <sz val="12"/>
        <rFont val="Times New Roman"/>
        <family val="1"/>
      </rPr>
      <t>ws</t>
    </r>
    <r>
      <rPr>
        <sz val="12"/>
        <rFont val="Times New Roman"/>
        <family val="1"/>
      </rPr>
      <t>))) /(1-(1-W/(0.62198*P</t>
    </r>
    <r>
      <rPr>
        <vertAlign val="subscript"/>
        <sz val="12"/>
        <rFont val="Times New Roman"/>
        <family val="1"/>
      </rPr>
      <t>ws</t>
    </r>
    <r>
      <rPr>
        <sz val="12"/>
        <rFont val="Times New Roman"/>
        <family val="1"/>
      </rPr>
      <t>/(P-P</t>
    </r>
    <r>
      <rPr>
        <vertAlign val="subscript"/>
        <sz val="12"/>
        <rFont val="Times New Roman"/>
        <family val="1"/>
      </rPr>
      <t>ws</t>
    </r>
    <r>
      <rPr>
        <sz val="12"/>
        <rFont val="Times New Roman"/>
        <family val="1"/>
      </rPr>
      <t>)))*(P</t>
    </r>
    <r>
      <rPr>
        <vertAlign val="subscript"/>
        <sz val="12"/>
        <rFont val="Times New Roman"/>
        <family val="1"/>
      </rPr>
      <t>ws</t>
    </r>
    <r>
      <rPr>
        <sz val="12"/>
        <rFont val="Times New Roman"/>
        <family val="1"/>
      </rPr>
      <t>/P))</t>
    </r>
  </si>
  <si>
    <r>
      <t>6. F(t) = (W/(0.62198*P</t>
    </r>
    <r>
      <rPr>
        <vertAlign val="subscript"/>
        <sz val="12"/>
        <rFont val="Times New Roman"/>
        <family val="1"/>
      </rPr>
      <t>ws</t>
    </r>
    <r>
      <rPr>
        <sz val="12"/>
        <rFont val="Times New Roman"/>
        <family val="1"/>
      </rPr>
      <t>/(P-P</t>
    </r>
    <r>
      <rPr>
        <vertAlign val="subscript"/>
        <sz val="12"/>
        <rFont val="Times New Roman"/>
        <family val="1"/>
      </rPr>
      <t>ws</t>
    </r>
    <r>
      <rPr>
        <sz val="12"/>
        <rFont val="Times New Roman"/>
        <family val="1"/>
      </rPr>
      <t>))) /(1-(1-W/(0.62198*P</t>
    </r>
    <r>
      <rPr>
        <vertAlign val="subscript"/>
        <sz val="12"/>
        <rFont val="Times New Roman"/>
        <family val="1"/>
      </rPr>
      <t>ws</t>
    </r>
    <r>
      <rPr>
        <sz val="12"/>
        <rFont val="Times New Roman"/>
        <family val="1"/>
      </rPr>
      <t>/(P-P</t>
    </r>
    <r>
      <rPr>
        <vertAlign val="subscript"/>
        <sz val="12"/>
        <rFont val="Times New Roman"/>
        <family val="1"/>
      </rPr>
      <t>ws</t>
    </r>
    <r>
      <rPr>
        <sz val="12"/>
        <rFont val="Times New Roman"/>
        <family val="1"/>
      </rPr>
      <t>)))*(P</t>
    </r>
    <r>
      <rPr>
        <vertAlign val="subscript"/>
        <sz val="12"/>
        <rFont val="Times New Roman"/>
        <family val="1"/>
      </rPr>
      <t>ws</t>
    </r>
    <r>
      <rPr>
        <sz val="12"/>
        <rFont val="Times New Roman"/>
        <family val="1"/>
      </rPr>
      <t>/P))-</t>
    </r>
    <r>
      <rPr>
        <sz val="12"/>
        <rFont val="細明體"/>
        <family val="3"/>
        <charset val="136"/>
      </rPr>
      <t>Φ</t>
    </r>
  </si>
  <si>
    <r>
      <t xml:space="preserve">! </t>
    </r>
    <r>
      <rPr>
        <sz val="12"/>
        <rFont val="細明體"/>
        <family val="3"/>
        <charset val="136"/>
      </rPr>
      <t>Φ</t>
    </r>
    <r>
      <rPr>
        <sz val="12"/>
        <rFont val="Times New Roman"/>
        <family val="1"/>
      </rPr>
      <t xml:space="preserve"> = Relative humidity (Psychrometric chart B10)</t>
    </r>
  </si>
  <si>
    <r>
      <t xml:space="preserve">! </t>
    </r>
    <r>
      <rPr>
        <sz val="12"/>
        <rFont val="新細明體"/>
        <family val="1"/>
        <charset val="136"/>
      </rPr>
      <t>P</t>
    </r>
    <r>
      <rPr>
        <vertAlign val="subscript"/>
        <sz val="12"/>
        <rFont val="新細明體"/>
        <family val="1"/>
        <charset val="136"/>
      </rPr>
      <t>ws</t>
    </r>
    <r>
      <rPr>
        <sz val="12"/>
        <rFont val="新細明體"/>
        <family val="1"/>
        <charset val="136"/>
      </rPr>
      <t xml:space="preserve">= Saturation pressure for temperature t </t>
    </r>
  </si>
  <si>
    <r>
      <t>P</t>
    </r>
    <r>
      <rPr>
        <b/>
        <vertAlign val="subscript"/>
        <sz val="12"/>
        <rFont val="Times New Roman"/>
        <family val="1"/>
      </rPr>
      <t>ws</t>
    </r>
    <r>
      <rPr>
        <b/>
        <sz val="12"/>
        <rFont val="Times New Roman"/>
        <family val="1"/>
      </rPr>
      <t>(t</t>
    </r>
    <r>
      <rPr>
        <b/>
        <vertAlign val="subscript"/>
        <sz val="12"/>
        <rFont val="Times New Roman"/>
        <family val="1"/>
      </rPr>
      <t>k</t>
    </r>
    <r>
      <rPr>
        <b/>
        <sz val="12"/>
        <rFont val="Times New Roman"/>
        <family val="1"/>
      </rPr>
      <t>)</t>
    </r>
  </si>
  <si>
    <r>
      <t>P</t>
    </r>
    <r>
      <rPr>
        <b/>
        <vertAlign val="subscript"/>
        <sz val="12"/>
        <rFont val="Times New Roman"/>
        <family val="1"/>
      </rPr>
      <t>ws</t>
    </r>
    <r>
      <rPr>
        <b/>
        <sz val="12"/>
        <rFont val="Times New Roman"/>
        <family val="1"/>
      </rPr>
      <t>(t</t>
    </r>
    <r>
      <rPr>
        <b/>
        <vertAlign val="subscript"/>
        <sz val="12"/>
        <rFont val="Times New Roman"/>
        <family val="1"/>
      </rPr>
      <t>k-1</t>
    </r>
    <r>
      <rPr>
        <b/>
        <sz val="12"/>
        <rFont val="Times New Roman"/>
        <family val="1"/>
      </rPr>
      <t>)</t>
    </r>
  </si>
  <si>
    <r>
      <t>μ</t>
    </r>
    <r>
      <rPr>
        <b/>
        <sz val="12"/>
        <rFont val="Times New Roman"/>
        <family val="1"/>
      </rPr>
      <t>(t</t>
    </r>
    <r>
      <rPr>
        <b/>
        <vertAlign val="subscript"/>
        <sz val="12"/>
        <rFont val="Times New Roman"/>
        <family val="1"/>
      </rPr>
      <t>k</t>
    </r>
    <r>
      <rPr>
        <b/>
        <sz val="12"/>
        <rFont val="Times New Roman"/>
        <family val="1"/>
      </rPr>
      <t>)</t>
    </r>
  </si>
  <si>
    <r>
      <t>μ</t>
    </r>
    <r>
      <rPr>
        <b/>
        <sz val="12"/>
        <rFont val="Times New Roman"/>
        <family val="1"/>
      </rPr>
      <t>(t</t>
    </r>
    <r>
      <rPr>
        <b/>
        <vertAlign val="subscript"/>
        <sz val="12"/>
        <rFont val="Times New Roman"/>
        <family val="1"/>
      </rPr>
      <t>k-1</t>
    </r>
    <r>
      <rPr>
        <b/>
        <sz val="12"/>
        <rFont val="Times New Roman"/>
        <family val="1"/>
      </rPr>
      <t>)</t>
    </r>
  </si>
  <si>
    <r>
      <t>F(t</t>
    </r>
    <r>
      <rPr>
        <b/>
        <vertAlign val="subscript"/>
        <sz val="12"/>
        <rFont val="Times New Roman"/>
        <family val="1"/>
      </rPr>
      <t>k</t>
    </r>
    <r>
      <rPr>
        <b/>
        <sz val="12"/>
        <rFont val="Times New Roman"/>
        <family val="1"/>
      </rPr>
      <t>)</t>
    </r>
  </si>
  <si>
    <r>
      <t>F(t</t>
    </r>
    <r>
      <rPr>
        <b/>
        <vertAlign val="subscript"/>
        <sz val="12"/>
        <rFont val="Times New Roman"/>
        <family val="1"/>
      </rPr>
      <t>k-1</t>
    </r>
    <r>
      <rPr>
        <b/>
        <sz val="12"/>
        <rFont val="Times New Roman"/>
        <family val="1"/>
      </rPr>
      <t>)</t>
    </r>
  </si>
  <si>
    <r>
      <t>! W= Humidity ratio (</t>
    </r>
    <r>
      <rPr>
        <u/>
        <sz val="12"/>
        <rFont val="Times New Roman"/>
        <family val="1"/>
      </rPr>
      <t>Supporting 6 A7</t>
    </r>
    <r>
      <rPr>
        <sz val="12"/>
        <rFont val="Times New Roman"/>
        <family val="1"/>
      </rPr>
      <t>)</t>
    </r>
  </si>
  <si>
    <t>Condensate Drain Pipe</t>
  </si>
  <si>
    <t>Condensing Water Flow</t>
  </si>
  <si>
    <t>kg/h</t>
  </si>
  <si>
    <t xml:space="preserve">FCU </t>
  </si>
  <si>
    <t>Model</t>
  </si>
  <si>
    <t>Supply Air</t>
  </si>
  <si>
    <t>Flexible Duct</t>
  </si>
  <si>
    <t>Duct Dia.</t>
  </si>
  <si>
    <t>Ømm</t>
  </si>
  <si>
    <t>0~50</t>
  </si>
  <si>
    <t>55~100</t>
  </si>
  <si>
    <t>110~200</t>
  </si>
  <si>
    <t>210~300</t>
  </si>
  <si>
    <t>310~400</t>
  </si>
  <si>
    <t>410~500</t>
  </si>
  <si>
    <t>510~600</t>
  </si>
  <si>
    <t>610~800</t>
  </si>
  <si>
    <t>Running Current</t>
  </si>
  <si>
    <t>Amp</t>
  </si>
  <si>
    <t>Motor Rating</t>
  </si>
  <si>
    <t>&gt;2000L/s</t>
  </si>
  <si>
    <t>kPa</t>
  </si>
  <si>
    <t>Bar</t>
  </si>
  <si>
    <t>Panel filter</t>
  </si>
  <si>
    <t>Cooling coil</t>
  </si>
  <si>
    <t>Pressure loss</t>
  </si>
  <si>
    <t>Vs</t>
  </si>
  <si>
    <t>+</t>
  </si>
  <si>
    <t>h</t>
  </si>
  <si>
    <t>m (L/s)</t>
  </si>
  <si>
    <t>kJ/kg</t>
  </si>
  <si>
    <t>xρ xC</t>
  </si>
  <si>
    <t xml:space="preserve">xρ </t>
  </si>
  <si>
    <t>kg/s</t>
  </si>
  <si>
    <t>Area</t>
    <phoneticPr fontId="4" type="noConversion"/>
  </si>
  <si>
    <t>Dry Bulb Temperature (℃)</t>
  </si>
  <si>
    <t>Wet Bulb Temperature (℃)</t>
  </si>
  <si>
    <t>Dew Point Temperautre (℃)</t>
  </si>
  <si>
    <t>Air Duct Size</t>
  </si>
  <si>
    <t>SA</t>
  </si>
  <si>
    <t>HP</t>
  </si>
  <si>
    <t>Btu/h</t>
  </si>
  <si>
    <t>kcal/h</t>
  </si>
  <si>
    <t>Ø</t>
  </si>
  <si>
    <t>Voltage</t>
  </si>
  <si>
    <t>1Ø</t>
  </si>
  <si>
    <t>3Ø</t>
  </si>
  <si>
    <t>Cooling Load Density</t>
  </si>
  <si>
    <t>Diffuser</t>
  </si>
  <si>
    <t>Ton/hr</t>
  </si>
  <si>
    <t>kg/hr</t>
  </si>
  <si>
    <t>Water Flow Rate</t>
  </si>
  <si>
    <t>Power</t>
  </si>
  <si>
    <t>&lt;1000L/s</t>
  </si>
  <si>
    <t>Motor</t>
  </si>
  <si>
    <t>Results:</t>
  </si>
  <si>
    <t>Qty</t>
  </si>
  <si>
    <t>Air Duct Surface Area</t>
  </si>
  <si>
    <t>Air Boot Surface Area</t>
  </si>
  <si>
    <t>Ventilation Load</t>
  </si>
  <si>
    <t>Chilled Water Flow Rate</t>
  </si>
  <si>
    <t>(a)</t>
  </si>
  <si>
    <t>(b)</t>
  </si>
  <si>
    <t>Ampere Calculation</t>
  </si>
  <si>
    <t>Assumptions</t>
  </si>
  <si>
    <t>Rating</t>
  </si>
  <si>
    <t>L/s/sqm</t>
  </si>
  <si>
    <t>W</t>
  </si>
  <si>
    <t>(d)</t>
  </si>
  <si>
    <t>Temperature</t>
  </si>
  <si>
    <t>kg</t>
  </si>
  <si>
    <r>
      <t>m</t>
    </r>
    <r>
      <rPr>
        <vertAlign val="superscript"/>
        <sz val="10"/>
        <rFont val="Arial"/>
        <family val="2"/>
      </rPr>
      <t>3</t>
    </r>
  </si>
  <si>
    <r>
      <t>m</t>
    </r>
    <r>
      <rPr>
        <vertAlign val="superscript"/>
        <sz val="10"/>
        <rFont val="Arial"/>
        <family val="2"/>
      </rPr>
      <t>2</t>
    </r>
  </si>
  <si>
    <t>Model No.</t>
  </si>
  <si>
    <t>Supply Flow</t>
  </si>
  <si>
    <t>CMH</t>
  </si>
  <si>
    <t>L</t>
  </si>
  <si>
    <t>H</t>
  </si>
  <si>
    <t>003</t>
  </si>
  <si>
    <t>004</t>
  </si>
  <si>
    <t>006</t>
  </si>
  <si>
    <t>008</t>
  </si>
  <si>
    <t>010</t>
  </si>
  <si>
    <t>012</t>
  </si>
  <si>
    <t>014</t>
  </si>
  <si>
    <t>016</t>
  </si>
  <si>
    <t>020</t>
  </si>
  <si>
    <t>025</t>
  </si>
  <si>
    <t>030</t>
  </si>
  <si>
    <t>035</t>
  </si>
  <si>
    <t>040</t>
  </si>
  <si>
    <t>045</t>
  </si>
  <si>
    <t>050</t>
  </si>
  <si>
    <t>060</t>
  </si>
  <si>
    <t>065</t>
  </si>
  <si>
    <t>070</t>
  </si>
  <si>
    <t>080</t>
  </si>
  <si>
    <t>085</t>
  </si>
  <si>
    <t>090</t>
  </si>
  <si>
    <t>095</t>
  </si>
  <si>
    <t>Dimension (mm)</t>
  </si>
  <si>
    <t>Primary Air Flow</t>
  </si>
  <si>
    <t>Fan</t>
  </si>
  <si>
    <t>Sound Pressure Level at a Distance</t>
  </si>
  <si>
    <t>Sound Power Level of the Source</t>
  </si>
  <si>
    <t>SWL</t>
  </si>
  <si>
    <t>dB(A)</t>
  </si>
  <si>
    <t>Descriptions</t>
  </si>
  <si>
    <t>Direct distance of Receiver from the Source</t>
  </si>
  <si>
    <t>r</t>
  </si>
  <si>
    <t>m</t>
  </si>
  <si>
    <t>Free propagation</t>
  </si>
  <si>
    <t>Rebounded by a wall or floor</t>
  </si>
  <si>
    <t>Rebounded by 2 walls or a wall &amp; floor</t>
  </si>
  <si>
    <t>Sound Pressure Level at Distance r</t>
  </si>
  <si>
    <t>Combination of Sound Levels</t>
  </si>
  <si>
    <t>Sound Level of Source 1</t>
  </si>
  <si>
    <t>Sound Level of Source 2</t>
  </si>
  <si>
    <t>Sound Level of Source 3</t>
  </si>
  <si>
    <t>Sound Level of Source 4</t>
  </si>
  <si>
    <t>Resultant Sound Level</t>
  </si>
  <si>
    <r>
      <t>Q</t>
    </r>
    <r>
      <rPr>
        <vertAlign val="subscript"/>
        <sz val="10"/>
        <rFont val="Arial"/>
        <family val="2"/>
      </rPr>
      <t>θ</t>
    </r>
  </si>
  <si>
    <r>
      <t>SPL</t>
    </r>
    <r>
      <rPr>
        <vertAlign val="subscript"/>
        <sz val="10"/>
        <rFont val="Arial"/>
        <family val="2"/>
      </rPr>
      <t>r</t>
    </r>
  </si>
  <si>
    <r>
      <t>SL</t>
    </r>
    <r>
      <rPr>
        <vertAlign val="subscript"/>
        <sz val="10"/>
        <rFont val="Arial"/>
        <family val="2"/>
      </rPr>
      <t>1</t>
    </r>
  </si>
  <si>
    <r>
      <t>SL</t>
    </r>
    <r>
      <rPr>
        <vertAlign val="subscript"/>
        <sz val="10"/>
        <rFont val="Arial"/>
        <family val="2"/>
      </rPr>
      <t>2</t>
    </r>
    <r>
      <rPr>
        <sz val="10"/>
        <rFont val="Arial"/>
        <family val="2"/>
      </rPr>
      <t/>
    </r>
  </si>
  <si>
    <r>
      <t>SL</t>
    </r>
    <r>
      <rPr>
        <vertAlign val="subscript"/>
        <sz val="10"/>
        <rFont val="Arial"/>
        <family val="2"/>
      </rPr>
      <t>3</t>
    </r>
    <r>
      <rPr>
        <sz val="10"/>
        <rFont val="Arial"/>
        <family val="2"/>
      </rPr>
      <t/>
    </r>
  </si>
  <si>
    <r>
      <t>SL</t>
    </r>
    <r>
      <rPr>
        <vertAlign val="subscript"/>
        <sz val="10"/>
        <rFont val="Arial"/>
        <family val="2"/>
      </rPr>
      <t>4</t>
    </r>
    <r>
      <rPr>
        <sz val="10"/>
        <rFont val="Arial"/>
        <family val="2"/>
      </rPr>
      <t/>
    </r>
  </si>
  <si>
    <r>
      <t>SL</t>
    </r>
    <r>
      <rPr>
        <vertAlign val="subscript"/>
        <sz val="10"/>
        <rFont val="Arial"/>
        <family val="2"/>
      </rPr>
      <t>N</t>
    </r>
  </si>
  <si>
    <t>Rebounded by 2 walls &amp; a floor</t>
  </si>
  <si>
    <t>Directivity factor*</t>
  </si>
  <si>
    <t>kg/kg dry air</t>
  </si>
  <si>
    <t>Benjamin Leung</t>
  </si>
  <si>
    <t>Coil load</t>
  </si>
  <si>
    <t>Starting</t>
  </si>
  <si>
    <t>Method</t>
  </si>
  <si>
    <t>CHWS/R</t>
  </si>
  <si>
    <t>CDP</t>
  </si>
  <si>
    <t>-</t>
  </si>
  <si>
    <t>RA (min)</t>
  </si>
  <si>
    <t>Area</t>
  </si>
  <si>
    <t>Notes:</t>
  </si>
  <si>
    <t>mixing</t>
  </si>
  <si>
    <t xml:space="preserve">6 row </t>
  </si>
  <si>
    <t>4 row</t>
  </si>
  <si>
    <t>Heating coil</t>
  </si>
  <si>
    <t>8/10/12 row</t>
  </si>
  <si>
    <t>1/2 row</t>
  </si>
  <si>
    <t>bag filter</t>
  </si>
  <si>
    <t>humidifier</t>
  </si>
  <si>
    <t>Select AHU/PAU Components</t>
  </si>
  <si>
    <t>Calculated Length (mm)</t>
  </si>
  <si>
    <r>
      <t>PAU</t>
    </r>
    <r>
      <rPr>
        <b/>
        <sz val="10"/>
        <color indexed="17"/>
        <rFont val="Arial"/>
        <family val="2"/>
      </rPr>
      <t xml:space="preserve"> (2.3m/s)</t>
    </r>
  </si>
  <si>
    <r>
      <t>AHU</t>
    </r>
    <r>
      <rPr>
        <b/>
        <sz val="10"/>
        <color indexed="17"/>
        <rFont val="Arial"/>
        <family val="2"/>
      </rPr>
      <t xml:space="preserve"> (2.5m/s)</t>
    </r>
  </si>
  <si>
    <t>AHU/PAU Quick Selection</t>
  </si>
  <si>
    <t>Model: Trane - CLCP</t>
  </si>
  <si>
    <t>L*</t>
  </si>
  <si>
    <t>*150mm is added to the overall unit length for the frame of the equipment</t>
  </si>
  <si>
    <t>UV</t>
  </si>
  <si>
    <t>model</t>
  </si>
  <si>
    <t>TRANE</t>
  </si>
  <si>
    <t>SAIVER</t>
  </si>
  <si>
    <t>A1-690H-1050W</t>
  </si>
  <si>
    <t>A1-1010H-1050W</t>
  </si>
  <si>
    <t>A1-1010H-1350W</t>
  </si>
  <si>
    <t>A1-1010H-1650W</t>
  </si>
  <si>
    <t>A1-1330H-1650W</t>
  </si>
  <si>
    <t>A11610H-1650W</t>
  </si>
  <si>
    <t>A1-1610H-1950W</t>
  </si>
  <si>
    <t>A1-1610H-2250W</t>
  </si>
  <si>
    <t>A1-1930H-2250W</t>
  </si>
  <si>
    <t>A1-2250H-2250W</t>
  </si>
  <si>
    <t>A1-2250H-2550W</t>
  </si>
  <si>
    <t>A1-2250H-3500W</t>
  </si>
  <si>
    <t>A1-2250H-4100W</t>
  </si>
  <si>
    <t>A1-2530H-4100W</t>
  </si>
  <si>
    <t>A1-3200H-4100W</t>
  </si>
  <si>
    <t>A1-3200H-4700W</t>
  </si>
  <si>
    <t>A1-3200H-5900W</t>
  </si>
  <si>
    <t>A1-3200H-6500W</t>
  </si>
  <si>
    <t>A1-3440H-6500W</t>
  </si>
  <si>
    <t>A1-3860H-6500W</t>
  </si>
  <si>
    <t>A1-2250H-2900W</t>
  </si>
  <si>
    <t>A1-4500H-6500W</t>
  </si>
  <si>
    <t>Select Brand</t>
  </si>
  <si>
    <t>A1-1610H-1650W</t>
  </si>
  <si>
    <t>Neck</t>
  </si>
  <si>
    <t>Louvre Area</t>
  </si>
  <si>
    <t>Diffuser Sizing - (CIBSE Guide B3 - Table 3.4)</t>
  </si>
  <si>
    <t>Air Duct Sizing</t>
  </si>
  <si>
    <t>Conditions</t>
  </si>
  <si>
    <t>24oC DB/ 50% RH</t>
  </si>
  <si>
    <t>13oC DB/ 97% RH</t>
  </si>
  <si>
    <t>Relative humidity</t>
  </si>
  <si>
    <t>28oC DB/ 55% RH</t>
  </si>
  <si>
    <t>Specific volume</t>
  </si>
  <si>
    <t>m3/kg dry air</t>
  </si>
  <si>
    <t>37oC DB/ 23% RH</t>
  </si>
  <si>
    <t>Moisture content</t>
  </si>
  <si>
    <t>kg/ kg dry air</t>
  </si>
  <si>
    <t>Dynamic viscosity</t>
  </si>
  <si>
    <t>kg/m/s</t>
  </si>
  <si>
    <t>Kinematic viscosity</t>
  </si>
  <si>
    <t>Roughness k</t>
  </si>
  <si>
    <t>Equivalent Diameter</t>
  </si>
  <si>
    <t>Re =</t>
  </si>
  <si>
    <t>λ =</t>
  </si>
  <si>
    <t>Fitting K factor</t>
  </si>
  <si>
    <r>
      <t>kg.m</t>
    </r>
    <r>
      <rPr>
        <vertAlign val="superscript"/>
        <sz val="10"/>
        <rFont val="Arial"/>
        <family val="2"/>
      </rPr>
      <t>-3</t>
    </r>
  </si>
  <si>
    <t>or</t>
  </si>
  <si>
    <t>De</t>
  </si>
  <si>
    <t>assumed m/s</t>
  </si>
  <si>
    <t>Est area</t>
  </si>
  <si>
    <t>Est De</t>
  </si>
  <si>
    <t>Est Re</t>
  </si>
  <si>
    <t xml:space="preserve">Est λ </t>
  </si>
  <si>
    <t>Est Pa/m</t>
  </si>
  <si>
    <t>Results</t>
  </si>
  <si>
    <t>Aspect ratio</t>
  </si>
  <si>
    <t>- Pressure loss</t>
  </si>
  <si>
    <t>- Aspect ratio</t>
  </si>
  <si>
    <t>Dimensions (mm)</t>
  </si>
  <si>
    <t>Case1</t>
  </si>
  <si>
    <t>Case2</t>
  </si>
  <si>
    <t>Case3</t>
  </si>
  <si>
    <t>Area =</t>
  </si>
  <si>
    <t>Velocity =</t>
  </si>
  <si>
    <t>De =</t>
  </si>
  <si>
    <t>Pa/m =</t>
  </si>
  <si>
    <t>(2-face rebound)</t>
  </si>
  <si>
    <t>(3-face rebound)</t>
  </si>
  <si>
    <t>(1-face rebound)</t>
  </si>
  <si>
    <t>(no rebound)</t>
  </si>
  <si>
    <t>COP</t>
  </si>
  <si>
    <t>玻璃綿</t>
  </si>
  <si>
    <t>國內</t>
  </si>
  <si>
    <t>English</t>
  </si>
  <si>
    <t>自动熄灭式聚苯乙烯板</t>
  </si>
  <si>
    <t>豬腸膠</t>
  </si>
  <si>
    <t>发泡橡塑隔热材料</t>
  </si>
  <si>
    <t>Phenolic foam</t>
  </si>
  <si>
    <t>綠膠</t>
  </si>
  <si>
    <t>环保泡沬酚醛保温管段</t>
  </si>
  <si>
    <t>Glass wool/ fibreglass</t>
  </si>
  <si>
    <t>x (tr-</t>
  </si>
  <si>
    <t>Low</t>
  </si>
  <si>
    <t>Mid</t>
  </si>
  <si>
    <t>High</t>
  </si>
  <si>
    <t>Fan Speed</t>
  </si>
  <si>
    <t>RH(%)</t>
  </si>
  <si>
    <t>Humidification</t>
  </si>
  <si>
    <t>Total Steam Supply</t>
  </si>
  <si>
    <t>Steam Pipe Sizing</t>
  </si>
  <si>
    <t>Pressure</t>
  </si>
  <si>
    <t>Pipe Size</t>
  </si>
  <si>
    <t>kg/hr Steam</t>
  </si>
  <si>
    <t>Air 1</t>
  </si>
  <si>
    <t>Air 2</t>
  </si>
  <si>
    <t xml:space="preserve">    Ws(T)=0.62198*(EXP(-5800.2206/(273.15+T)+1.3914993-0.048640239*(273.15+T)+0.000041764768*POWER((273.15+T),2)-0.000000014452093*POWER((273.15+T),3)+6.5459673*LN(273.15+T))/1000/(P-EXP(-5800.2206/(273.15+T)+1.3914993-0.048640239*(273.15+T)+0.00004176476</t>
  </si>
  <si>
    <t xml:space="preserve">    F(T)=((2501-2.381*T)*(0.62198*(EXP(-5800.2206/(273.15+T)+1.3914993-0.048640239*(273.15+T)+0.000041764768*POWER((273.15+T),2)-0.000000014452093*POWER((273.15+T),3)+6.5459673*LN(273.15+T))/1000/(P-EXP(-5800.2206/(273.15+T)+1.3914993-0.048640239*(273.15+</t>
  </si>
  <si>
    <t>Materials</t>
  </si>
  <si>
    <t>ΔT</t>
  </si>
  <si>
    <t>Nominal pipe size</t>
  </si>
  <si>
    <r>
      <t>o</t>
    </r>
    <r>
      <rPr>
        <sz val="9"/>
        <rFont val="Arial"/>
        <family val="2"/>
      </rPr>
      <t>C</t>
    </r>
  </si>
  <si>
    <t>香港</t>
  </si>
  <si>
    <t>Loading</t>
  </si>
  <si>
    <t>20-150</t>
  </si>
  <si>
    <t>200-350</t>
  </si>
  <si>
    <t>10-150</t>
  </si>
  <si>
    <t>冷媒管</t>
  </si>
  <si>
    <t>10-200</t>
  </si>
  <si>
    <t>用途/系统</t>
  </si>
  <si>
    <t>额定内径 (mm)</t>
  </si>
  <si>
    <t>玻璃纤维(附有原厂装贴的
铝质防潮层)</t>
  </si>
  <si>
    <t>Closed Cell
Elastomeric Rubber</t>
  </si>
  <si>
    <t>Polystrene + 
cement plasting</t>
  </si>
  <si>
    <t>發泡膠+水泥
(白cord)</t>
  </si>
  <si>
    <t>Total</t>
  </si>
  <si>
    <t>喉管规格</t>
  </si>
  <si>
    <t>Function</t>
  </si>
  <si>
    <t>600x150</t>
  </si>
  <si>
    <t>800x150</t>
  </si>
  <si>
    <t>1000x150</t>
  </si>
  <si>
    <t>1200x150</t>
  </si>
  <si>
    <t>1400x150</t>
  </si>
  <si>
    <t>1600x150</t>
  </si>
  <si>
    <t>600x300</t>
  </si>
  <si>
    <t>800x300</t>
  </si>
  <si>
    <t>1000x300</t>
  </si>
  <si>
    <t>1200x300</t>
  </si>
  <si>
    <t>1400x300</t>
  </si>
  <si>
    <t>1600x300</t>
  </si>
  <si>
    <t>Fan Static</t>
  </si>
  <si>
    <t>FCU Information</t>
  </si>
  <si>
    <t>Coil Load kW</t>
  </si>
  <si>
    <t>Sensible</t>
  </si>
  <si>
    <t>Sensible (W)</t>
  </si>
  <si>
    <t>Total (W)</t>
  </si>
  <si>
    <t>Trane</t>
  </si>
  <si>
    <t>Sinko</t>
  </si>
  <si>
    <t>York</t>
  </si>
  <si>
    <t>Carrier</t>
  </si>
  <si>
    <t>Notes</t>
  </si>
  <si>
    <t>Cooling</t>
  </si>
  <si>
    <t>hfg</t>
  </si>
  <si>
    <t>Unit conversion for kW --&gt; kg/hr</t>
  </si>
  <si>
    <t>Supply temperature</t>
  </si>
  <si>
    <r>
      <t>o</t>
    </r>
    <r>
      <rPr>
        <sz val="10"/>
        <rFont val="Arial"/>
        <family val="2"/>
      </rPr>
      <t>C</t>
    </r>
  </si>
  <si>
    <t>Estimation of Supply Flow Rate for AHU</t>
  </si>
  <si>
    <t>Sensible Cooling load</t>
  </si>
  <si>
    <t>1-row coil</t>
  </si>
  <si>
    <t>3-row coil</t>
  </si>
  <si>
    <t>4-pipe system</t>
  </si>
  <si>
    <t>2-pipe change over</t>
  </si>
  <si>
    <t>Cooling (4-pipe or 2-pipe change over)</t>
  </si>
  <si>
    <t>High(W)</t>
  </si>
  <si>
    <t>mid(W)</t>
  </si>
  <si>
    <t>low(W)</t>
  </si>
  <si>
    <t>12Pa</t>
  </si>
  <si>
    <t>30Pa</t>
  </si>
  <si>
    <t>50Pa</t>
  </si>
  <si>
    <t>Selection</t>
  </si>
  <si>
    <t>Select System</t>
  </si>
  <si>
    <t>System</t>
  </si>
  <si>
    <t>2-pipe</t>
  </si>
  <si>
    <t>4-pipe</t>
  </si>
  <si>
    <t>HWS/R</t>
  </si>
  <si>
    <t>蒸气壓力</t>
  </si>
  <si>
    <t>供空调箱</t>
  </si>
  <si>
    <t xml:space="preserve"> Bar (巴)</t>
  </si>
  <si>
    <t>即1kg/hr 蒸气 =</t>
  </si>
  <si>
    <t>Estimation of Supply Flow Rate for PAU</t>
  </si>
  <si>
    <t>people</t>
  </si>
  <si>
    <t>Fresh Air Requirement</t>
  </si>
  <si>
    <t>External Static Loss</t>
  </si>
  <si>
    <t>Internal Static Loss</t>
  </si>
  <si>
    <t xml:space="preserve">Total Static Loss </t>
  </si>
  <si>
    <t>Terminal Unit Coil Loss</t>
  </si>
  <si>
    <t>Chiller Condenser/ Hx Coil Loss</t>
  </si>
  <si>
    <t>W 熱量</t>
  </si>
  <si>
    <t>Length</t>
  </si>
  <si>
    <t>Width</t>
  </si>
  <si>
    <t>Face</t>
  </si>
  <si>
    <r>
      <t>m</t>
    </r>
    <r>
      <rPr>
        <vertAlign val="superscript"/>
        <sz val="9"/>
        <color indexed="8"/>
        <rFont val="Arial"/>
        <family val="2"/>
      </rPr>
      <t>2</t>
    </r>
  </si>
  <si>
    <t>酒吧、咖啡</t>
    <phoneticPr fontId="4" type="noConversion"/>
  </si>
  <si>
    <t xml:space="preserve">         中庭、接待</t>
    <phoneticPr fontId="4" type="noConversion"/>
  </si>
  <si>
    <t xml:space="preserve">        公寓、住宅</t>
    <phoneticPr fontId="4" type="noConversion"/>
  </si>
  <si>
    <t>(A)</t>
  </si>
  <si>
    <t>DOL</t>
  </si>
  <si>
    <t>Υ/Δ</t>
  </si>
  <si>
    <t>Auto-Tx</t>
  </si>
  <si>
    <t>VSD</t>
  </si>
  <si>
    <t>hg</t>
  </si>
  <si>
    <t>KJ/kg</t>
  </si>
  <si>
    <r>
      <rPr>
        <vertAlign val="superscript"/>
        <sz val="10"/>
        <rFont val="Arial"/>
        <family val="2"/>
      </rPr>
      <t>o</t>
    </r>
    <r>
      <rPr>
        <sz val="10"/>
        <rFont val="Arial"/>
        <family val="2"/>
      </rPr>
      <t>C</t>
    </r>
  </si>
  <si>
    <t>Water temp.</t>
  </si>
  <si>
    <t>hf</t>
  </si>
  <si>
    <t>Boiler plant</t>
  </si>
  <si>
    <t>Terminals</t>
  </si>
  <si>
    <t/>
  </si>
  <si>
    <t>Reference Brand:</t>
  </si>
  <si>
    <t>Kruger</t>
  </si>
  <si>
    <t>National</t>
  </si>
  <si>
    <t>Fan Speed:</t>
  </si>
  <si>
    <t>≤1450 RPM</t>
  </si>
  <si>
    <t>≤2900 RPM</t>
  </si>
  <si>
    <t>External Static:</t>
  </si>
  <si>
    <t>300 Pa</t>
  </si>
  <si>
    <t>600 Pa</t>
  </si>
  <si>
    <t>800 Pa</t>
  </si>
  <si>
    <t>1000 Pa</t>
  </si>
  <si>
    <t>1200 Pa</t>
  </si>
  <si>
    <t>∅ Diameter x Length</t>
  </si>
  <si>
    <t>Weight</t>
  </si>
  <si>
    <t>Dimensions</t>
  </si>
  <si>
    <t>m3/h</t>
  </si>
  <si>
    <t>W x L x H</t>
  </si>
  <si>
    <t>FY-12BCS-D</t>
  </si>
  <si>
    <t>485 x 870 x 740</t>
  </si>
  <si>
    <t>FY-15BCS-D</t>
  </si>
  <si>
    <t>545 x 1020 x 893</t>
  </si>
  <si>
    <t>FY-15BCD-D</t>
  </si>
  <si>
    <t>758 x 1030 x 888</t>
  </si>
  <si>
    <t>FY-18BCS-D</t>
  </si>
  <si>
    <t>615 x 1080 x 1008</t>
  </si>
  <si>
    <t>FY-21BCS-D</t>
  </si>
  <si>
    <t>675 x 1260 x 1091</t>
  </si>
  <si>
    <t>FY-18BCD-D</t>
  </si>
  <si>
    <t>928 x 1180 x 1038</t>
  </si>
  <si>
    <t>MXA500</t>
  </si>
  <si>
    <t>∅ 530 x 480</t>
  </si>
  <si>
    <t>FY-24BCS-D</t>
  </si>
  <si>
    <t>740 x 1350 x 1318</t>
  </si>
  <si>
    <t>TDA-L630</t>
  </si>
  <si>
    <t>∅ 730 x 500</t>
  </si>
  <si>
    <t>FY-21BCD-D</t>
  </si>
  <si>
    <t>1033 x 1270 x 1178</t>
  </si>
  <si>
    <t>MXA560</t>
  </si>
  <si>
    <t>∅ 660 x 540</t>
  </si>
  <si>
    <t>TDA-L710</t>
  </si>
  <si>
    <t>∅ 810 x 500</t>
  </si>
  <si>
    <t>FY-27BCS-D</t>
  </si>
  <si>
    <t>850 x 1700 x 1458</t>
  </si>
  <si>
    <t>FY-24BCD-D</t>
  </si>
  <si>
    <t>1133 x 1450 x 1318</t>
  </si>
  <si>
    <t>MXA710</t>
  </si>
  <si>
    <t>∅ 810 x 630</t>
  </si>
  <si>
    <t>TDA-L800</t>
  </si>
  <si>
    <t>∅ 900 x 560</t>
  </si>
  <si>
    <t>MXA630</t>
  </si>
  <si>
    <t>∅ 730 x 580</t>
  </si>
  <si>
    <t>TDA-L900</t>
  </si>
  <si>
    <t>∅ 1000 x 630</t>
  </si>
  <si>
    <t>FY-30BCS-D</t>
  </si>
  <si>
    <t>910 x 1790 x 1588</t>
  </si>
  <si>
    <t xml:space="preserve"> ∅ 1000 x 630</t>
  </si>
  <si>
    <t>FY-27BCD-D</t>
  </si>
  <si>
    <t>1266 x 1700 x 1459</t>
  </si>
  <si>
    <t>TDA-L1000</t>
  </si>
  <si>
    <t xml:space="preserve"> ∅ 1100 x 630</t>
  </si>
  <si>
    <t>FY-33BCS-D</t>
  </si>
  <si>
    <t>970 x 1910 x 1728</t>
  </si>
  <si>
    <t>MXA800</t>
  </si>
  <si>
    <t>∅ 900 x 750</t>
  </si>
  <si>
    <t>∅ 1100 x 630</t>
  </si>
  <si>
    <t>FY-30BCD-D</t>
  </si>
  <si>
    <t>1371 x 1810 x 1589</t>
  </si>
  <si>
    <t>FY-36BCS-D</t>
  </si>
  <si>
    <t>1044 x 2000 x 1868</t>
  </si>
  <si>
    <t>FY-42BCS-DX</t>
  </si>
  <si>
    <t>1198 x 2300 x 2197</t>
  </si>
  <si>
    <t>MXA900</t>
  </si>
  <si>
    <t>∅ 1000 x 850</t>
  </si>
  <si>
    <t>TDA-L1120</t>
  </si>
  <si>
    <t>∅ 1250 x 900</t>
  </si>
  <si>
    <t xml:space="preserve"> ∅ 1250 x 900</t>
  </si>
  <si>
    <t>FY-33BCD-D</t>
  </si>
  <si>
    <t>1476 x 1960 x 1729</t>
  </si>
  <si>
    <t>MXA1000</t>
  </si>
  <si>
    <t>∅ 1100 x 900</t>
  </si>
  <si>
    <t>TDA-L1250</t>
  </si>
  <si>
    <t>∅ 1380 x 1000</t>
  </si>
  <si>
    <t xml:space="preserve"> ∅ 1380 x 1000</t>
  </si>
  <si>
    <t>FY-36BCD-D</t>
  </si>
  <si>
    <t>1573 x 2060 x 1909</t>
  </si>
  <si>
    <t>FY-48BCS-DX</t>
  </si>
  <si>
    <t>1344 x 2470 x 2468</t>
  </si>
  <si>
    <t>TDA-L1400</t>
  </si>
  <si>
    <t xml:space="preserve"> ∅ 1530 x 1120</t>
  </si>
  <si>
    <t>FY-42BCD-DX</t>
  </si>
  <si>
    <t>1848 x 2400 x 2195</t>
  </si>
  <si>
    <t>FY-54BCS-DX</t>
  </si>
  <si>
    <t>1498 x 2760 x 2763</t>
  </si>
  <si>
    <t>MXA1120</t>
  </si>
  <si>
    <t>∅ 1250 x 1050</t>
  </si>
  <si>
    <t>TDA-L1600</t>
  </si>
  <si>
    <t xml:space="preserve"> ∅ 1730 x 1250</t>
  </si>
  <si>
    <t>FY-48BCD-DX</t>
  </si>
  <si>
    <t>2068 x 2720 x 2500</t>
  </si>
  <si>
    <t>FY-60BCS-DX</t>
  </si>
  <si>
    <t>1615 x 3090 x 3020</t>
  </si>
  <si>
    <t>MXA1250</t>
  </si>
  <si>
    <t>∅ 1380 x 1200</t>
  </si>
  <si>
    <t>100 Pa</t>
  </si>
  <si>
    <t>200 Pa</t>
  </si>
  <si>
    <t>Fan Selection</t>
  </si>
  <si>
    <t>kW / ikW</t>
  </si>
  <si>
    <t>Developed by</t>
  </si>
  <si>
    <t>400 Pa</t>
  </si>
  <si>
    <t>500 Pa</t>
  </si>
  <si>
    <t>RK-400X200-C3</t>
  </si>
  <si>
    <t>502 x 443 x 264</t>
  </si>
  <si>
    <t>RK-500X300-B1</t>
  </si>
  <si>
    <t>562 x 543 x 364</t>
  </si>
  <si>
    <t>RK-600X300-F1</t>
  </si>
  <si>
    <t>643 x 642 x 364</t>
  </si>
  <si>
    <t>RK-600X350-E1</t>
  </si>
  <si>
    <t>717 x 643 x 414</t>
  </si>
  <si>
    <t>RK-500X250-D1</t>
  </si>
  <si>
    <t>543 x 532 x 314</t>
  </si>
  <si>
    <t>RK-600X300-F3</t>
  </si>
  <si>
    <t>RK-600X350-E3</t>
  </si>
  <si>
    <t>RK-700X400-D3</t>
  </si>
  <si>
    <t>787 x 743 x 468</t>
  </si>
  <si>
    <t>RK-800X500-F3</t>
  </si>
  <si>
    <t>882 x 843 x 568</t>
  </si>
  <si>
    <t>RK-1000X500-H3</t>
  </si>
  <si>
    <t>1043 x 982 x 568</t>
  </si>
  <si>
    <t>Ostberg</t>
  </si>
  <si>
    <t>ikW / RT</t>
  </si>
  <si>
    <t>Quantity</t>
  </si>
  <si>
    <t>nos.</t>
  </si>
  <si>
    <t>Total Plant Capacity</t>
  </si>
  <si>
    <t>mins</t>
  </si>
  <si>
    <t>Nos.</t>
  </si>
  <si>
    <t>Nos. of Boiler</t>
  </si>
  <si>
    <t>Boiler Capacity (Each)</t>
  </si>
  <si>
    <t>Deaerator (除氧器)</t>
  </si>
  <si>
    <t>Boiler Pump (锅炉给水泵)</t>
  </si>
  <si>
    <t>Combined Stack</t>
  </si>
  <si>
    <t>Chimney (烟囱)</t>
  </si>
  <si>
    <t>Gas</t>
  </si>
  <si>
    <t>Fuel</t>
  </si>
  <si>
    <t>Diesel</t>
  </si>
  <si>
    <t>chimney</t>
  </si>
  <si>
    <r>
      <t>Nm</t>
    </r>
    <r>
      <rPr>
        <vertAlign val="superscript"/>
        <sz val="9"/>
        <rFont val="Arial"/>
        <family val="2"/>
      </rPr>
      <t>3</t>
    </r>
    <r>
      <rPr>
        <sz val="9"/>
        <rFont val="Arial"/>
        <family val="2"/>
      </rPr>
      <t>/hr</t>
    </r>
  </si>
  <si>
    <t>Natural Gas (Each)</t>
  </si>
  <si>
    <t>Diesel 輕油 (Each)</t>
  </si>
  <si>
    <t>DN</t>
  </si>
  <si>
    <t>13x2</t>
  </si>
  <si>
    <t>20x2</t>
  </si>
  <si>
    <t>50x2</t>
  </si>
  <si>
    <t>80x2</t>
  </si>
  <si>
    <t>Safety Valve</t>
  </si>
  <si>
    <t>bleed off</t>
  </si>
  <si>
    <t>Water in</t>
  </si>
  <si>
    <t>Steam Out</t>
  </si>
  <si>
    <t>Safety Vent</t>
  </si>
  <si>
    <t>Bleed off</t>
  </si>
  <si>
    <t>Water In</t>
  </si>
  <si>
    <t>Other Connections (Per Boiler)</t>
  </si>
  <si>
    <t>References:</t>
  </si>
  <si>
    <t xml:space="preserve">   (a) 荏原 Ebara WNS Series Steam Boiler</t>
  </si>
  <si>
    <t xml:space="preserve">   (b) 富尔顿 Fulton FB-S Series Steam Boiler</t>
  </si>
  <si>
    <t xml:space="preserve">   (c) 江苏双良锅炉 WNS II Series Steam Boiler</t>
  </si>
  <si>
    <t>2) Technical data summarized from:</t>
  </si>
  <si>
    <t>1) GB50041-2008 锅炉房设计规范</t>
  </si>
  <si>
    <t>Capacity (Each)</t>
  </si>
  <si>
    <t>Boiler Pump (除氧水泵)</t>
  </si>
  <si>
    <t>bar</t>
  </si>
  <si>
    <r>
      <t>NPSH</t>
    </r>
    <r>
      <rPr>
        <i/>
        <vertAlign val="subscript"/>
        <sz val="11"/>
        <color theme="1"/>
        <rFont val="新細明體"/>
        <family val="2"/>
        <scheme val="minor"/>
      </rPr>
      <t>a</t>
    </r>
  </si>
  <si>
    <r>
      <t>NPSH</t>
    </r>
    <r>
      <rPr>
        <i/>
        <vertAlign val="subscript"/>
        <sz val="11"/>
        <color theme="1"/>
        <rFont val="新細明體"/>
        <family val="2"/>
        <scheme val="minor"/>
      </rPr>
      <t>r</t>
    </r>
  </si>
  <si>
    <t>Required NPSH</t>
  </si>
  <si>
    <r>
      <t>H</t>
    </r>
    <r>
      <rPr>
        <i/>
        <vertAlign val="subscript"/>
        <sz val="11"/>
        <color theme="1"/>
        <rFont val="新細明體"/>
        <family val="2"/>
        <scheme val="minor"/>
      </rPr>
      <t>a</t>
    </r>
  </si>
  <si>
    <r>
      <t>H</t>
    </r>
    <r>
      <rPr>
        <i/>
        <vertAlign val="subscript"/>
        <sz val="11"/>
        <color theme="1"/>
        <rFont val="新細明體"/>
        <family val="2"/>
        <scheme val="minor"/>
      </rPr>
      <t>z</t>
    </r>
  </si>
  <si>
    <t>Elevation of the liquid surface above (+) or below (-) the centerline of the pump impeller</t>
  </si>
  <si>
    <t>Friction and velocity head loss between the pump and the point of no pressure change</t>
  </si>
  <si>
    <t>absolute vapour pressure of water corresponding to the hot water temperature</t>
  </si>
  <si>
    <t>Net Positive Suction Head  (NPSH)</t>
  </si>
  <si>
    <r>
      <t>H</t>
    </r>
    <r>
      <rPr>
        <i/>
        <vertAlign val="subscript"/>
        <sz val="11"/>
        <color theme="1"/>
        <rFont val="新細明體"/>
        <family val="2"/>
        <scheme val="minor"/>
      </rPr>
      <t>f</t>
    </r>
  </si>
  <si>
    <r>
      <t>H</t>
    </r>
    <r>
      <rPr>
        <i/>
        <vertAlign val="subscript"/>
        <sz val="11"/>
        <color theme="1"/>
        <rFont val="新細明體"/>
        <family val="2"/>
        <scheme val="minor"/>
      </rPr>
      <t>v</t>
    </r>
  </si>
  <si>
    <r>
      <t>t</t>
    </r>
    <r>
      <rPr>
        <i/>
        <vertAlign val="subscript"/>
        <sz val="11"/>
        <color theme="1"/>
        <rFont val="新細明體"/>
        <family val="2"/>
        <scheme val="minor"/>
      </rPr>
      <t>v</t>
    </r>
  </si>
  <si>
    <t>Available NPSH</t>
  </si>
  <si>
    <t xml:space="preserve">m </t>
  </si>
  <si>
    <r>
      <t>Selected Pump NPSH</t>
    </r>
    <r>
      <rPr>
        <vertAlign val="subscript"/>
        <sz val="11"/>
        <color theme="1"/>
        <rFont val="新細明體"/>
        <family val="2"/>
        <scheme val="minor"/>
      </rPr>
      <t>r</t>
    </r>
  </si>
  <si>
    <r>
      <t>NPSH = NPSH</t>
    </r>
    <r>
      <rPr>
        <b/>
        <i/>
        <vertAlign val="subscript"/>
        <sz val="11"/>
        <color theme="1"/>
        <rFont val="新細明體"/>
        <family val="2"/>
        <scheme val="minor"/>
      </rPr>
      <t>a</t>
    </r>
    <r>
      <rPr>
        <b/>
        <i/>
        <sz val="11"/>
        <color theme="1"/>
        <rFont val="新細明體"/>
        <family val="2"/>
        <scheme val="minor"/>
      </rPr>
      <t xml:space="preserve"> - NPSH</t>
    </r>
    <r>
      <rPr>
        <b/>
        <i/>
        <vertAlign val="subscript"/>
        <sz val="11"/>
        <color theme="1"/>
        <rFont val="新細明體"/>
        <family val="2"/>
        <scheme val="minor"/>
      </rPr>
      <t>r</t>
    </r>
  </si>
  <si>
    <t xml:space="preserve">≤ </t>
  </si>
  <si>
    <t xml:space="preserve">(c) </t>
  </si>
  <si>
    <t xml:space="preserve">(e) </t>
  </si>
  <si>
    <t>(f)</t>
  </si>
  <si>
    <t>(g)</t>
  </si>
  <si>
    <t>(h)</t>
  </si>
  <si>
    <t>Absolute pressure at surface of liquid where pump takes suction (atmospheric pressure if open)</t>
  </si>
  <si>
    <t>Pipe friction &amp; velocity head loss</t>
  </si>
  <si>
    <t>h1</t>
  </si>
  <si>
    <t>h2</t>
  </si>
  <si>
    <t xml:space="preserve">Fluid surface absolute pressure </t>
  </si>
  <si>
    <t>Tank effective fluid level</t>
  </si>
  <si>
    <t>Fluid temperature</t>
  </si>
  <si>
    <r>
      <t>Fluid vapour pressure at t</t>
    </r>
    <r>
      <rPr>
        <vertAlign val="subscript"/>
        <sz val="11"/>
        <color theme="1"/>
        <rFont val="新細明體"/>
        <family val="2"/>
        <scheme val="minor"/>
      </rPr>
      <t>v</t>
    </r>
  </si>
  <si>
    <t>h3</t>
  </si>
  <si>
    <r>
      <t>H</t>
    </r>
    <r>
      <rPr>
        <b/>
        <i/>
        <vertAlign val="subscript"/>
        <sz val="11"/>
        <color theme="1"/>
        <rFont val="新細明體"/>
        <family val="2"/>
        <scheme val="minor"/>
      </rPr>
      <t>z</t>
    </r>
  </si>
  <si>
    <r>
      <t>H</t>
    </r>
    <r>
      <rPr>
        <b/>
        <i/>
        <vertAlign val="subscript"/>
        <sz val="11"/>
        <color theme="1"/>
        <rFont val="新細明體"/>
        <family val="2"/>
        <scheme val="minor"/>
      </rPr>
      <t>v</t>
    </r>
  </si>
  <si>
    <r>
      <t>H</t>
    </r>
    <r>
      <rPr>
        <b/>
        <i/>
        <vertAlign val="subscript"/>
        <sz val="11"/>
        <color theme="1"/>
        <rFont val="新細明體"/>
        <family val="2"/>
        <scheme val="minor"/>
      </rPr>
      <t>f</t>
    </r>
  </si>
  <si>
    <r>
      <t>H</t>
    </r>
    <r>
      <rPr>
        <b/>
        <i/>
        <vertAlign val="subscript"/>
        <sz val="11"/>
        <color theme="1"/>
        <rFont val="新細明體"/>
        <family val="2"/>
        <scheme val="minor"/>
      </rPr>
      <t>a</t>
    </r>
  </si>
  <si>
    <t>x</t>
  </si>
  <si>
    <t>Tank bottom level (AFFL)</t>
  </si>
  <si>
    <t>h3 = h1 - x</t>
  </si>
  <si>
    <r>
      <t>H</t>
    </r>
    <r>
      <rPr>
        <i/>
        <vertAlign val="subscript"/>
        <sz val="11"/>
        <color theme="1"/>
        <rFont val="新細明體"/>
        <family val="2"/>
        <scheme val="minor"/>
      </rPr>
      <t>z</t>
    </r>
    <r>
      <rPr>
        <i/>
        <sz val="11"/>
        <color theme="1"/>
        <rFont val="新細明體"/>
        <family val="2"/>
        <scheme val="minor"/>
      </rPr>
      <t xml:space="preserve"> = h2+h3</t>
    </r>
  </si>
  <si>
    <t>Pump Suction level (AFFL)</t>
  </si>
  <si>
    <t>http://www.hisaka.co.jp/simulator_english/</t>
  </si>
  <si>
    <t>Heat Exchanger</t>
  </si>
  <si>
    <t>http://www.pacoexpresssuite.com/</t>
  </si>
  <si>
    <t>Pump</t>
  </si>
  <si>
    <t>http://ventaxia.fanselector.co.uk/</t>
  </si>
  <si>
    <t>http://qtcapps.ct.spx.com</t>
  </si>
  <si>
    <t>Cooling Tower</t>
  </si>
  <si>
    <t>Ventaxia</t>
  </si>
  <si>
    <t>Paco</t>
  </si>
  <si>
    <t>Hisaka</t>
  </si>
  <si>
    <t>SPX</t>
  </si>
  <si>
    <t>http://www.ryowo.com/Company.php</t>
  </si>
  <si>
    <t>Ryowo</t>
  </si>
  <si>
    <t>Equipment</t>
  </si>
  <si>
    <t>Brand</t>
  </si>
  <si>
    <t>Website</t>
  </si>
  <si>
    <t>Login</t>
  </si>
  <si>
    <t>Pwd</t>
  </si>
  <si>
    <t>kk622731</t>
  </si>
  <si>
    <t>kin.li@wspgroup.com.hk</t>
  </si>
  <si>
    <t>Water Temperatures</t>
  </si>
  <si>
    <t>Capacity</t>
  </si>
  <si>
    <t>Heat Exchanger Sizing</t>
  </si>
  <si>
    <t>L1</t>
  </si>
  <si>
    <t>d1</t>
  </si>
  <si>
    <t>d2</t>
  </si>
  <si>
    <t>d3</t>
  </si>
  <si>
    <t>d4</t>
  </si>
  <si>
    <t>d5</t>
  </si>
  <si>
    <t>d6</t>
  </si>
  <si>
    <t>d7</t>
  </si>
  <si>
    <t>d8</t>
  </si>
  <si>
    <t>d9</t>
  </si>
  <si>
    <t>d10</t>
  </si>
  <si>
    <t>d11</t>
  </si>
  <si>
    <t>L2</t>
  </si>
  <si>
    <t>L3</t>
  </si>
  <si>
    <t>L4</t>
  </si>
  <si>
    <t>L5</t>
  </si>
  <si>
    <t>L6</t>
  </si>
  <si>
    <t>L7</t>
  </si>
  <si>
    <t>L8</t>
  </si>
  <si>
    <t>L9</t>
  </si>
  <si>
    <t>L10</t>
  </si>
  <si>
    <t>L11</t>
  </si>
  <si>
    <t>L12</t>
  </si>
  <si>
    <t>→</t>
  </si>
  <si>
    <t>∆t</t>
  </si>
  <si>
    <t>Ƞ</t>
  </si>
  <si>
    <t>ER</t>
  </si>
  <si>
    <t>ER 最大值</t>
  </si>
  <si>
    <t>兩管制熱水管</t>
  </si>
  <si>
    <t>四管制熱水管</t>
  </si>
  <si>
    <t>空調冷水管</t>
  </si>
  <si>
    <t>兩管制熱水管-嚴寒</t>
  </si>
  <si>
    <t>兩管制熱水管-寒冷/夏熱冬冷</t>
  </si>
  <si>
    <t>兩管制熱水管-夏熱冬暖</t>
  </si>
  <si>
    <t>四管制熱水管-n/a</t>
  </si>
  <si>
    <t>空調冷水管-n/a</t>
  </si>
  <si>
    <t>管道类型</t>
  </si>
  <si>
    <t>地区</t>
  </si>
  <si>
    <t>水泵设计扬程</t>
  </si>
  <si>
    <t>供回水温差</t>
  </si>
  <si>
    <t>水泵设计工作点效率</t>
  </si>
  <si>
    <t>输送能效比</t>
  </si>
  <si>
    <t>Chiller</t>
  </si>
  <si>
    <t>Terminal
Unit 1</t>
  </si>
  <si>
    <t>Terminal
Unit 2</t>
  </si>
  <si>
    <t>Chiller:</t>
  </si>
  <si>
    <t>Terminal unit 2:</t>
  </si>
  <si>
    <t>Split AC / VRV</t>
  </si>
  <si>
    <t>Brand Name</t>
  </si>
  <si>
    <t>Supplier</t>
  </si>
  <si>
    <t>Address</t>
  </si>
  <si>
    <t>Contract Person</t>
  </si>
  <si>
    <t>Tel Number</t>
  </si>
  <si>
    <t>Fax</t>
  </si>
  <si>
    <t>Carrier / Toshiba</t>
  </si>
  <si>
    <t>Carrier Hong Kong Limited</t>
  </si>
  <si>
    <t>19/F, Tower 1, Enterprise Square, 9 Sheung Yuet Rd, Kowloon Bay, Hong Kong</t>
  </si>
  <si>
    <t>clarence.cheung@carrier.utc.com</t>
  </si>
  <si>
    <t>2684 2812</t>
  </si>
  <si>
    <t>Felix.Lau@carrier.utc.com</t>
  </si>
  <si>
    <t>2694 5323</t>
  </si>
  <si>
    <t>Arnold.Wong@carrier.utc.com</t>
  </si>
  <si>
    <t>Mr. C.O Wong</t>
  </si>
  <si>
    <t>co.wong@carrier.utc.com</t>
  </si>
  <si>
    <t>2694 5785</t>
  </si>
  <si>
    <t>Ms.Yung</t>
  </si>
  <si>
    <t>Daikin</t>
  </si>
  <si>
    <t>Daikin Airconditioning (Hong Kong) Ltd</t>
  </si>
  <si>
    <t>Mr. Allen Suen</t>
  </si>
  <si>
    <t>allen@daikin.com.hk</t>
  </si>
  <si>
    <t>3966 9318</t>
  </si>
  <si>
    <t>2357 3223</t>
  </si>
  <si>
    <t>Ms. Lioubov Fou</t>
  </si>
  <si>
    <t>lioubov@daikin.com.hk</t>
  </si>
  <si>
    <t>3966 9307</t>
  </si>
  <si>
    <t>Chung Yuen Electrical Co. Ltd.</t>
  </si>
  <si>
    <t>13/F., ACME Building, 22 Nanking Street, YauMaTei, Kowloon, Hong Kong</t>
  </si>
  <si>
    <t>jack@chungyuen.com.hk</t>
  </si>
  <si>
    <t>2359 6380</t>
  </si>
  <si>
    <t>matthew@chungyuen.com.hk</t>
  </si>
  <si>
    <t>2359 6365</t>
  </si>
  <si>
    <t xml:space="preserve">Miss. Arvy Wong </t>
  </si>
  <si>
    <t>Arvy.Wong@chungyuen.com.hk</t>
  </si>
  <si>
    <t>2359 6373</t>
  </si>
  <si>
    <t>KC Chan</t>
  </si>
  <si>
    <t>2359 6333</t>
  </si>
  <si>
    <t>bryden@chungyuen.com.hk</t>
  </si>
  <si>
    <t>2359 6381</t>
  </si>
  <si>
    <t>Mr. Chris Lau</t>
  </si>
  <si>
    <t>Yun Kee Engineering &amp; Trading Co. Ltd.</t>
  </si>
  <si>
    <t>Rm. 457, 4/F., Block 2, Yip On Factory Bldg., Wang Hoi Rd., Kowloon Bay, Kln., HK</t>
  </si>
  <si>
    <t>yunkeehk@biznetvigator.com</t>
  </si>
  <si>
    <t>Mesan Fiberglass Engineering (int'l) Ltd</t>
  </si>
  <si>
    <t>sherman@mesanct.com</t>
  </si>
  <si>
    <t>2787 5717</t>
  </si>
  <si>
    <t>2787 2983</t>
  </si>
  <si>
    <t>kenneth@mesanct.com</t>
  </si>
  <si>
    <t>Chinney Alliance Engg. Ltd</t>
  </si>
  <si>
    <t>2410 4683</t>
  </si>
  <si>
    <t>General</t>
  </si>
  <si>
    <t>ALPHA Appliances Ltd.</t>
  </si>
  <si>
    <t>Alex Fung</t>
  </si>
  <si>
    <t>Mr. Darrell Wan</t>
  </si>
  <si>
    <t>Ricky</t>
  </si>
  <si>
    <t>Hitachi (SAC)</t>
  </si>
  <si>
    <t>HITACHI (Hong Kong) Limited</t>
  </si>
  <si>
    <t>18/F, Ever Gain Centre, 28 On Muk Street Shatin, N.T., Hong Kong</t>
  </si>
  <si>
    <t>Mr. Will Hui</t>
  </si>
  <si>
    <t>3793 5032</t>
  </si>
  <si>
    <t>Hitachi (VRV)</t>
  </si>
  <si>
    <t>Analogue Technical Agencies LTD</t>
  </si>
  <si>
    <t>13/F, Island Place Tower, 510 King's Road, North Point, Hong Kong</t>
  </si>
  <si>
    <t>jacquelinetam@analogue.com.hk</t>
  </si>
  <si>
    <t>Room 4, 8/F., Yee Kuk Ind centre, 555 Yee Kuk St.. Kin, HK</t>
  </si>
  <si>
    <t>havenchiu@shunhingeng.com</t>
  </si>
  <si>
    <t>2387 2882</t>
  </si>
  <si>
    <t>2725 0862</t>
  </si>
  <si>
    <t>Standard Refrigeration &amp; Engineering Co., Ltd</t>
  </si>
  <si>
    <t>Joewpli@hklpg.com.hk</t>
  </si>
  <si>
    <t>3602 1370</t>
  </si>
  <si>
    <t>raymondtfpan@hklpg.com.hk</t>
  </si>
  <si>
    <t>2781 0871</t>
  </si>
  <si>
    <t>2781 0170</t>
  </si>
  <si>
    <t>Mitsubishi</t>
  </si>
  <si>
    <t>Mitsubishi Electric Hong Kong Group Limited</t>
  </si>
  <si>
    <t>9/F, Skyline Tower, 39 Wang Kwong Road, Kowloon Bay, Kowloon, Hong Kong</t>
  </si>
  <si>
    <t>Mr. Eddie Ng (Technical)</t>
  </si>
  <si>
    <t>Eddie.Ng@mlh.mehkg.com</t>
  </si>
  <si>
    <t>2510 1572</t>
  </si>
  <si>
    <t>Mr. Keith Pang (Technical)</t>
  </si>
  <si>
    <t>keith.pang@mlh.mehkg.com</t>
  </si>
  <si>
    <t>2510 1505</t>
  </si>
  <si>
    <t>Mr. Raymond Ng (Chiller)</t>
  </si>
  <si>
    <t>manlok.ng@mlh.mehkg.com</t>
  </si>
  <si>
    <t>2510 1945</t>
  </si>
  <si>
    <t>dominic.cruz@mlh.mehkg.com</t>
  </si>
  <si>
    <t>2510 1767</t>
  </si>
  <si>
    <t>Mr. Cheuk</t>
  </si>
  <si>
    <t>chichiu.cheuk@mlh.mehkg.com</t>
  </si>
  <si>
    <t>Mr. Daniel Tsang</t>
  </si>
  <si>
    <t>daniel.tsang@mlh.mehkg.com</t>
  </si>
  <si>
    <t>2510 1510</t>
  </si>
  <si>
    <t>Hong Kong Air Flow Equipment Ltd.</t>
  </si>
  <si>
    <t>Unit 3, G/F, Fu Hang (Industrial Building, 1 Hok Yuen Street East, Hungjom, Kowloon, HK</t>
  </si>
  <si>
    <t>H.W.Cheng</t>
  </si>
  <si>
    <t>hkairflow@biznetvigator.com</t>
  </si>
  <si>
    <t>Mitsubishi Heavy</t>
  </si>
  <si>
    <t>Wo Kee Hong (holdings) Ltd.</t>
  </si>
  <si>
    <t>Mr. Vincent Tsoi</t>
  </si>
  <si>
    <t>vincent.tsoi@wokeehong.com.hk</t>
  </si>
  <si>
    <t>2514 5343</t>
  </si>
  <si>
    <t>michaell@wokeehong.com.hk</t>
  </si>
  <si>
    <t>Winnie</t>
  </si>
  <si>
    <t>winniel@wokeehong.com.hk</t>
  </si>
  <si>
    <t>Philco</t>
  </si>
  <si>
    <t>Gilman Home Appliances</t>
  </si>
  <si>
    <t>2/F, Shing Dao Industrial Building, 232 Aberdeen Main Road, Aberdeen,HK</t>
  </si>
  <si>
    <t>Gree (格力)</t>
  </si>
  <si>
    <t>Sanyo</t>
  </si>
  <si>
    <t>Mr. Raymond Lau</t>
  </si>
  <si>
    <t>raymond@welcomegroup.com.hk</t>
  </si>
  <si>
    <t>Fortress</t>
  </si>
  <si>
    <t>Fortress A Division OF A.S. Watson Group (HK) Ltd.</t>
  </si>
  <si>
    <t>Ms. Grace Lam</t>
  </si>
  <si>
    <t xml:space="preserve">gracelam@asw.com.hk </t>
  </si>
  <si>
    <t>Panasonic</t>
  </si>
  <si>
    <t>Shun Hing Electronics (Trading) Co.Ltd</t>
  </si>
  <si>
    <t>14/F, Neweast Ocean Centre, 9 Science Museum Road, Tsimshatsui East, Kowloon, HK</t>
  </si>
  <si>
    <t>keithkwok@shunhinggroup.com</t>
  </si>
  <si>
    <t>2733 3926</t>
  </si>
  <si>
    <t>2311 6777</t>
  </si>
  <si>
    <t>charleschan@shunhinggroup.com</t>
  </si>
  <si>
    <t>2733 3943</t>
  </si>
  <si>
    <t>Mr. David Jim</t>
  </si>
  <si>
    <t>2733 3939</t>
  </si>
  <si>
    <t>Mr. Raymond Mok</t>
  </si>
  <si>
    <t>2733 3888</t>
  </si>
  <si>
    <t>allen@welocmegroup.com.hk</t>
  </si>
  <si>
    <t>2806 8316</t>
  </si>
  <si>
    <t>2806 2426</t>
  </si>
  <si>
    <t>Shun Hing Engineering Contracting Company Ltd.</t>
  </si>
  <si>
    <t>Room 601, East Ocean Centre, 6/F., 98 Granville Road, Tsimshatsui East, Kowloon, HK</t>
  </si>
  <si>
    <t>Ms. AuYeung</t>
  </si>
  <si>
    <t>ppauyeung@shunhinggroup.com</t>
  </si>
  <si>
    <t>Mr. Wilson Hui</t>
  </si>
  <si>
    <t>wilsonhui@shunhinggroup.com</t>
  </si>
  <si>
    <t>Rasonic</t>
  </si>
  <si>
    <t>Ms. Chung Ho Ming</t>
  </si>
  <si>
    <t>hmchung@shunhinggroup.com</t>
  </si>
  <si>
    <t>TYS Limited</t>
  </si>
  <si>
    <t>12/F, Dragon Centre, 79 Wing Hong Street, Cheung Sha Wan, Kowloon, Hong Kong</t>
  </si>
  <si>
    <t>gary.ng@jec.com</t>
  </si>
  <si>
    <t>rico.yeung@jec.com</t>
  </si>
  <si>
    <t>Midea</t>
  </si>
  <si>
    <t>Midea Electric (HK) LTD</t>
  </si>
  <si>
    <t>Unit 3905,39/F.,Tower 6,The Gateway,Harbour City,9 Canton Road,TST,Kowloon,H.K.</t>
  </si>
  <si>
    <t>Project Department</t>
  </si>
  <si>
    <t>3669 4823</t>
  </si>
  <si>
    <t>2175 0073</t>
  </si>
  <si>
    <t>Mr. Ken Tang</t>
  </si>
  <si>
    <t>ken@mideahk.com</t>
  </si>
  <si>
    <t>3669 4811</t>
  </si>
  <si>
    <t>Kami</t>
  </si>
  <si>
    <t>3669 4815</t>
  </si>
  <si>
    <t>Haier</t>
  </si>
  <si>
    <t xml:space="preserve">Haier Electronics Group Co., Ltd. </t>
  </si>
  <si>
    <t>Louis Lau</t>
  </si>
  <si>
    <t>louislau@haierhk.com</t>
  </si>
  <si>
    <t>McQuay</t>
  </si>
  <si>
    <t>lukechan@mcquay.com.hk</t>
  </si>
  <si>
    <t>2574 8599</t>
  </si>
  <si>
    <t>dickhui@mcquay.com.hk</t>
  </si>
  <si>
    <t>Johnson Controls</t>
  </si>
  <si>
    <t>20/F, Tower 1, 2 &amp; 3, Enterprise Square 1, 9 Sheung Yuet Road, Kowloon Bay, Kowloon, HK</t>
  </si>
  <si>
    <t>mike.cy.cheng@jcl.com</t>
  </si>
  <si>
    <t>2993 0547</t>
  </si>
  <si>
    <t>2243 2700</t>
  </si>
  <si>
    <t>Lloyd.Lo@carrier.utc.com</t>
  </si>
  <si>
    <t>2694 5295</t>
  </si>
  <si>
    <t>Paul.Tsui@carrier.utc.com</t>
  </si>
  <si>
    <t>2694 5375</t>
  </si>
  <si>
    <t>'LF.Lai@carrier.utc.com'</t>
  </si>
  <si>
    <t>Pal.Chung@carrier.utc.com</t>
  </si>
  <si>
    <t>2694 5227</t>
  </si>
  <si>
    <t>Mr. Stephen Lam</t>
  </si>
  <si>
    <t>Stephen.KW.Lam@jci.com</t>
  </si>
  <si>
    <t>2993 0604</t>
  </si>
  <si>
    <t xml:space="preserve">2243 4032 </t>
  </si>
  <si>
    <t>Mr. Dick Lam</t>
  </si>
  <si>
    <t>dick.lam@jci.com</t>
  </si>
  <si>
    <t>2993 0611</t>
  </si>
  <si>
    <t>2993 0545</t>
  </si>
  <si>
    <t>bill.cheung@jci.com</t>
  </si>
  <si>
    <t>2993 0603</t>
  </si>
  <si>
    <t>9175 7538</t>
  </si>
  <si>
    <t>15/F, Dragon Centre, 79 Wing Hong Street, Cheung Sha Wan, Kowloon, Hong Kong</t>
  </si>
  <si>
    <t>tom.cheung@jec.com</t>
  </si>
  <si>
    <t>3128 4756</t>
  </si>
  <si>
    <t>2887 9111</t>
  </si>
  <si>
    <t>ronald.kong@jec.com</t>
  </si>
  <si>
    <t>3128 4760</t>
  </si>
  <si>
    <t>rwwu@trane.com</t>
  </si>
  <si>
    <t>mike.cheng@jec.com</t>
  </si>
  <si>
    <t>3128 4744</t>
  </si>
  <si>
    <t>evancheng@mcquay.com.hk</t>
  </si>
  <si>
    <t>BMS</t>
  </si>
  <si>
    <t>Honeywell</t>
  </si>
  <si>
    <t>Honeywell Limited</t>
  </si>
  <si>
    <t>25/F, Honeywell Tower, Olympia Plaza, 255 King's Road, North Point, HK</t>
  </si>
  <si>
    <t>cheongming.chan@honeywell.com</t>
  </si>
  <si>
    <t>2331 9133</t>
  </si>
  <si>
    <t>2953 6772</t>
  </si>
  <si>
    <t>yim.kit.chan@jci.com</t>
  </si>
  <si>
    <t>2707 2322</t>
  </si>
  <si>
    <t>3641 8328</t>
  </si>
  <si>
    <t>DX AHU</t>
  </si>
  <si>
    <t>Efatar</t>
  </si>
  <si>
    <t>Efatar Engineering Co., Ltd.</t>
  </si>
  <si>
    <t>Mr. Andrew Lam</t>
  </si>
  <si>
    <t>andrewlam@efatar.com.hk</t>
  </si>
  <si>
    <t>2606 6922</t>
  </si>
  <si>
    <t>2693 1321</t>
  </si>
  <si>
    <t>Saiver</t>
  </si>
  <si>
    <t>Raymond Lau</t>
  </si>
  <si>
    <t>Heat Pump</t>
  </si>
  <si>
    <t>Calvin@heatpumps.com.hk</t>
  </si>
  <si>
    <t>2598 7713</t>
  </si>
  <si>
    <t>2598 4652</t>
  </si>
  <si>
    <t>Jun feng</t>
  </si>
  <si>
    <t>Jun Feng Company Limited</t>
  </si>
  <si>
    <t>Unit A, 10/F, Continental Electric Building, No.17 Wang Chiu Road, Kowloon Bay, Kowloon, Hong Kong</t>
  </si>
  <si>
    <t>Mr. Raymond Hau</t>
  </si>
  <si>
    <t>raymondhau@jfthermal.com.hk</t>
  </si>
  <si>
    <t>2782 2620</t>
  </si>
  <si>
    <t>2782 2935</t>
  </si>
  <si>
    <t>Mr. Jason Chan</t>
  </si>
  <si>
    <t>jason@jfthermal.com.hk</t>
  </si>
  <si>
    <t xml:space="preserve">Hennex </t>
  </si>
  <si>
    <t>Hennex Sustainable Energy Ltd</t>
  </si>
  <si>
    <t>dsltung@sustaine.com.hk</t>
  </si>
  <si>
    <t>2332 3077</t>
  </si>
  <si>
    <t>3764 4783</t>
  </si>
  <si>
    <t>Kai Mei Environmental Co., Ltd</t>
  </si>
  <si>
    <t>2407 5190</t>
  </si>
  <si>
    <t>2407 5375</t>
  </si>
  <si>
    <t>Ryowo (Holding) Company Limited</t>
  </si>
  <si>
    <t>Room 1218, Argyle Centre 1, 688 Nathan Road, Kowloon, Hong Kong</t>
  </si>
  <si>
    <t>payton@ryowo.com</t>
  </si>
  <si>
    <t>2391 8381</t>
  </si>
  <si>
    <t>2789 3802</t>
  </si>
  <si>
    <t>andy@ryowo.com</t>
  </si>
  <si>
    <t>The Jardine Engineering Corporation, Limited</t>
  </si>
  <si>
    <t>Mr. Simon Kwok</t>
  </si>
  <si>
    <t>simon.kwok@jec.com</t>
  </si>
  <si>
    <t>Oxprime (International) Limited</t>
  </si>
  <si>
    <t>Mr. Horace Lee</t>
  </si>
  <si>
    <t>horace.lee@oxprime.com</t>
  </si>
  <si>
    <t>Mesan</t>
  </si>
  <si>
    <t>Systemair</t>
  </si>
  <si>
    <t>Systemair (HK) Ltd.</t>
  </si>
  <si>
    <t>Mr. Kent Chau</t>
  </si>
  <si>
    <t>Kent@systemairhk.com</t>
  </si>
  <si>
    <t>2191 5562</t>
  </si>
  <si>
    <t>2191 5537</t>
  </si>
  <si>
    <t>Nicotra</t>
  </si>
  <si>
    <t>EverCool Refeigerating &amp; Air Conditioning Co.</t>
  </si>
  <si>
    <t>Unit 101B, 1/F, Shun Fat Industrial Building, No.7 Wang Hoi Road, Kowloon Bay, Kowloon, HK</t>
  </si>
  <si>
    <t>Mr. John Ng</t>
  </si>
  <si>
    <t>johnng@evercoolhk.com</t>
  </si>
  <si>
    <t>2356 8598</t>
  </si>
  <si>
    <t>3118 6363</t>
  </si>
  <si>
    <t>Wolter</t>
  </si>
  <si>
    <t>Wolter Asia Limited</t>
  </si>
  <si>
    <t>2/F, Unit 12, Kin Fat Industrial Centre, No 13 Kin fat Street ,Tuen Mun</t>
  </si>
  <si>
    <t>Mr. Nicholas Ang</t>
  </si>
  <si>
    <t>nick@wolter.com.hk</t>
  </si>
  <si>
    <t>2456 0198</t>
  </si>
  <si>
    <t>2456 0290</t>
  </si>
  <si>
    <t>Gelec (HK) Limited</t>
  </si>
  <si>
    <t>31/F, One Kowloon, 1 Wang Yuen 8Street, Kowloon Bay, HK</t>
  </si>
  <si>
    <t>Mr. Daniel Cheung</t>
  </si>
  <si>
    <t>med@gelec.com.hk</t>
  </si>
  <si>
    <t xml:space="preserve">2919 8383 </t>
  </si>
  <si>
    <t>2591 0548</t>
  </si>
  <si>
    <t>Mr. Kenneth Ng</t>
  </si>
  <si>
    <t>kennethng@gelec.com.hk</t>
  </si>
  <si>
    <t>2111 6530</t>
  </si>
  <si>
    <t xml:space="preserve">Kruger </t>
  </si>
  <si>
    <t>Kruger Ventilation (Hong Kong) Limited</t>
  </si>
  <si>
    <t>Flat C, 9/F, Yeung Yiu Chung (No.8) ind. Bldg., 20 Wang Hoi Road, Kowloon, Hong Kong.</t>
  </si>
  <si>
    <t>Mr. C F Yau</t>
  </si>
  <si>
    <t>cfyau@kruger.com.hk</t>
  </si>
  <si>
    <t>2246 9182</t>
  </si>
  <si>
    <t>2246 9187</t>
  </si>
  <si>
    <t>Fantech / Elta</t>
  </si>
  <si>
    <t>Anway Engineering Co. LTD</t>
  </si>
  <si>
    <t xml:space="preserve">Mr. Martin Jim </t>
  </si>
  <si>
    <t>jim@anway.com.hk</t>
  </si>
  <si>
    <t>2598 4228</t>
  </si>
  <si>
    <t>2802 7494</t>
  </si>
  <si>
    <t>Imasu</t>
  </si>
  <si>
    <t>Bestop Trading &amp; Engineering Limited</t>
  </si>
  <si>
    <t>Mr Derek Geung</t>
  </si>
  <si>
    <t>derek@crowntingrp.com.hk</t>
  </si>
  <si>
    <t>2410 1618</t>
  </si>
  <si>
    <t>2422 3002</t>
  </si>
  <si>
    <t>Welaire</t>
  </si>
  <si>
    <t>Copper Pipe</t>
  </si>
  <si>
    <t>Kembla</t>
  </si>
  <si>
    <t>Kembla (HK) Limited</t>
  </si>
  <si>
    <t>16/F, Caltex House, 258 Hennessy Road, Wanchai, Hong Kong</t>
  </si>
  <si>
    <t>Mr. Dennis Sheung</t>
  </si>
  <si>
    <t>dennis.sheung@kembla.com.hk</t>
  </si>
  <si>
    <t>2833 9328</t>
  </si>
  <si>
    <t>2528 3113</t>
  </si>
  <si>
    <t>Crane</t>
  </si>
  <si>
    <t>Season AC&amp;R Equipment CO., LTD.</t>
  </si>
  <si>
    <t>2690 9630</t>
  </si>
  <si>
    <t>2690 9827</t>
  </si>
  <si>
    <t>Closed Cell Elastomeric Insulation</t>
  </si>
  <si>
    <t>Armafix</t>
  </si>
  <si>
    <t>Armacell Asia LTD.</t>
  </si>
  <si>
    <t>Room 1201, Tai Tung Building, 8 Fleming Road, Wan Chai, HK</t>
  </si>
  <si>
    <t>sam.s.yeung@armacell.com</t>
  </si>
  <si>
    <t>2574 8376</t>
  </si>
  <si>
    <t>2574 8394</t>
  </si>
  <si>
    <t>Insulflex</t>
  </si>
  <si>
    <t>Ms. Sandy Lau</t>
  </si>
  <si>
    <t>2398 0288</t>
  </si>
  <si>
    <t>2398 3927</t>
  </si>
  <si>
    <t>Titus</t>
  </si>
  <si>
    <t>Applied Technology Integration Ltd.</t>
  </si>
  <si>
    <t>Unit 110, Hope Sea Industurial Centre, 26 Lam Hing Street, Kolwoon Bay, Hong Kong SAR, China</t>
  </si>
  <si>
    <t>henrylau@atihk.com</t>
  </si>
  <si>
    <t>2881 6587</t>
  </si>
  <si>
    <t>2881 6004</t>
  </si>
  <si>
    <t>denisend@atihk.com</t>
  </si>
  <si>
    <t xml:space="preserve">Colman </t>
  </si>
  <si>
    <t>Colmian Airflow Co. Ltd</t>
  </si>
  <si>
    <t>colmanair@yahoo.com.hk</t>
  </si>
  <si>
    <t>2419 7212</t>
  </si>
  <si>
    <t>2408 0271</t>
  </si>
  <si>
    <t>Laser</t>
  </si>
  <si>
    <t>Laser Resources (Asia) Co. Limited</t>
  </si>
  <si>
    <t>laasiahh@netvigator.com</t>
  </si>
  <si>
    <t>2516 7500</t>
  </si>
  <si>
    <t>2516 7206</t>
  </si>
  <si>
    <t>Suppliers' Contact</t>
  </si>
  <si>
    <t>Minimum required pressure grade:</t>
  </si>
  <si>
    <t>System Pressure (PN) Grade</t>
  </si>
  <si>
    <t>Chiller
/Hx</t>
  </si>
  <si>
    <t xml:space="preserve">Space SHR </t>
  </si>
  <si>
    <t>On-Coil Status (mixing point)</t>
  </si>
  <si>
    <t>Design Conditions</t>
  </si>
  <si>
    <t>Supply</t>
  </si>
  <si>
    <t>Return</t>
  </si>
  <si>
    <t>Coil Conditions</t>
  </si>
  <si>
    <t>Latent</t>
  </si>
  <si>
    <t>Calculated Space Load</t>
  </si>
  <si>
    <t>xρ</t>
  </si>
  <si>
    <t>Reheat Coil load</t>
  </si>
  <si>
    <t>Chilled/ Heating Water Temperatures</t>
  </si>
  <si>
    <t>AHU</t>
  </si>
  <si>
    <t>Total Space</t>
  </si>
  <si>
    <t>Summer</t>
  </si>
  <si>
    <t>Winter</t>
  </si>
  <si>
    <t>Room
(Design)</t>
  </si>
  <si>
    <t>Air Flow Rates</t>
  </si>
  <si>
    <t>Heating Off-Coil Status (Supply)</t>
  </si>
  <si>
    <t>Cooling off-coil (s1)</t>
  </si>
  <si>
    <t>x (</t>
  </si>
  <si>
    <t>Pre-heat Load</t>
  </si>
  <si>
    <t>Heating Coil Load</t>
  </si>
  <si>
    <r>
      <t>kg/m</t>
    </r>
    <r>
      <rPr>
        <vertAlign val="superscript"/>
        <sz val="9"/>
        <rFont val="Arial"/>
        <family val="2"/>
      </rPr>
      <t>3</t>
    </r>
  </si>
  <si>
    <r>
      <t>V</t>
    </r>
    <r>
      <rPr>
        <vertAlign val="subscript"/>
        <sz val="9"/>
        <rFont val="Arial"/>
        <family val="2"/>
      </rPr>
      <t>s</t>
    </r>
  </si>
  <si>
    <r>
      <t>t</t>
    </r>
    <r>
      <rPr>
        <vertAlign val="subscript"/>
        <sz val="9"/>
        <rFont val="Arial"/>
        <family val="2"/>
      </rPr>
      <t>m</t>
    </r>
    <r>
      <rPr>
        <sz val="9"/>
        <rFont val="Arial"/>
        <family val="2"/>
      </rPr>
      <t xml:space="preserve"> =</t>
    </r>
  </si>
  <si>
    <r>
      <t>V</t>
    </r>
    <r>
      <rPr>
        <vertAlign val="subscript"/>
        <sz val="9"/>
        <rFont val="Arial"/>
        <family val="2"/>
      </rPr>
      <t>r</t>
    </r>
  </si>
  <si>
    <r>
      <t>t</t>
    </r>
    <r>
      <rPr>
        <vertAlign val="subscript"/>
        <sz val="9"/>
        <rFont val="Arial"/>
        <family val="2"/>
      </rPr>
      <t>r</t>
    </r>
  </si>
  <si>
    <r>
      <t>V</t>
    </r>
    <r>
      <rPr>
        <vertAlign val="subscript"/>
        <sz val="9"/>
        <rFont val="Arial"/>
        <family val="2"/>
      </rPr>
      <t>o</t>
    </r>
  </si>
  <si>
    <r>
      <t>Q</t>
    </r>
    <r>
      <rPr>
        <vertAlign val="subscript"/>
        <sz val="9"/>
        <rFont val="Arial"/>
        <family val="2"/>
      </rPr>
      <t>s</t>
    </r>
  </si>
  <si>
    <r>
      <t>t</t>
    </r>
    <r>
      <rPr>
        <vertAlign val="subscript"/>
        <sz val="9"/>
        <rFont val="Arial"/>
        <family val="2"/>
      </rPr>
      <t>r</t>
    </r>
    <r>
      <rPr>
        <sz val="9"/>
        <rFont val="Arial"/>
        <family val="2"/>
      </rPr>
      <t xml:space="preserve"> -</t>
    </r>
  </si>
  <si>
    <r>
      <t>t</t>
    </r>
    <r>
      <rPr>
        <vertAlign val="subscript"/>
        <sz val="9"/>
        <rFont val="Arial"/>
        <family val="2"/>
      </rPr>
      <t>s</t>
    </r>
    <r>
      <rPr>
        <sz val="9"/>
        <rFont val="Arial"/>
        <family val="2"/>
      </rPr>
      <t>)</t>
    </r>
  </si>
  <si>
    <r>
      <t>DB (</t>
    </r>
    <r>
      <rPr>
        <vertAlign val="superscript"/>
        <sz val="9"/>
        <rFont val="Arial"/>
        <family val="2"/>
      </rPr>
      <t>o</t>
    </r>
    <r>
      <rPr>
        <sz val="9"/>
        <rFont val="Arial"/>
        <family val="2"/>
      </rPr>
      <t>C)</t>
    </r>
  </si>
  <si>
    <r>
      <t>WB (</t>
    </r>
    <r>
      <rPr>
        <vertAlign val="superscript"/>
        <sz val="9"/>
        <rFont val="Arial"/>
        <family val="2"/>
      </rPr>
      <t>o</t>
    </r>
    <r>
      <rPr>
        <sz val="9"/>
        <rFont val="Arial"/>
        <family val="2"/>
      </rPr>
      <t>C)</t>
    </r>
  </si>
  <si>
    <r>
      <t>t</t>
    </r>
    <r>
      <rPr>
        <b/>
        <vertAlign val="subscript"/>
        <sz val="9"/>
        <color rgb="FFFF0000"/>
        <rFont val="Arial"/>
        <family val="2"/>
      </rPr>
      <t>m</t>
    </r>
    <r>
      <rPr>
        <b/>
        <sz val="9"/>
        <color rgb="FFFF0000"/>
        <rFont val="Arial"/>
        <family val="2"/>
      </rPr>
      <t xml:space="preserve"> =</t>
    </r>
  </si>
  <si>
    <r>
      <t>o</t>
    </r>
    <r>
      <rPr>
        <b/>
        <sz val="9"/>
        <color indexed="10"/>
        <rFont val="Arial"/>
        <family val="2"/>
      </rPr>
      <t>C</t>
    </r>
  </si>
  <si>
    <r>
      <t>t</t>
    </r>
    <r>
      <rPr>
        <b/>
        <vertAlign val="subscript"/>
        <sz val="9"/>
        <color rgb="FFFF0000"/>
        <rFont val="Arial"/>
        <family val="2"/>
      </rPr>
      <t>s</t>
    </r>
    <r>
      <rPr>
        <b/>
        <sz val="9"/>
        <color rgb="FFFF0000"/>
        <rFont val="Arial"/>
        <family val="2"/>
      </rPr>
      <t xml:space="preserve"> =</t>
    </r>
  </si>
  <si>
    <r>
      <t>h</t>
    </r>
    <r>
      <rPr>
        <vertAlign val="subscript"/>
        <sz val="9"/>
        <rFont val="Arial"/>
        <family val="2"/>
      </rPr>
      <t>m</t>
    </r>
    <r>
      <rPr>
        <sz val="9"/>
        <rFont val="Arial"/>
        <family val="2"/>
      </rPr>
      <t xml:space="preserve"> =</t>
    </r>
  </si>
  <si>
    <r>
      <t>h</t>
    </r>
    <r>
      <rPr>
        <vertAlign val="subscript"/>
        <sz val="9"/>
        <rFont val="Arial"/>
        <family val="2"/>
      </rPr>
      <t>r</t>
    </r>
  </si>
  <si>
    <r>
      <t>h</t>
    </r>
    <r>
      <rPr>
        <vertAlign val="subscript"/>
        <sz val="9"/>
        <rFont val="Arial"/>
        <family val="2"/>
      </rPr>
      <t>o</t>
    </r>
  </si>
  <si>
    <r>
      <t>h</t>
    </r>
    <r>
      <rPr>
        <b/>
        <vertAlign val="subscript"/>
        <sz val="9"/>
        <color rgb="FFFF0000"/>
        <rFont val="Arial"/>
        <family val="2"/>
      </rPr>
      <t>m</t>
    </r>
    <r>
      <rPr>
        <b/>
        <sz val="9"/>
        <color rgb="FFFF0000"/>
        <rFont val="Arial"/>
        <family val="2"/>
      </rPr>
      <t xml:space="preserve"> =</t>
    </r>
  </si>
  <si>
    <r>
      <t>w</t>
    </r>
    <r>
      <rPr>
        <vertAlign val="subscript"/>
        <sz val="9"/>
        <rFont val="Arial"/>
        <family val="2"/>
      </rPr>
      <t>m</t>
    </r>
    <r>
      <rPr>
        <sz val="9"/>
        <rFont val="Arial"/>
        <family val="2"/>
      </rPr>
      <t xml:space="preserve"> =</t>
    </r>
  </si>
  <si>
    <r>
      <t>w</t>
    </r>
    <r>
      <rPr>
        <vertAlign val="subscript"/>
        <sz val="9"/>
        <rFont val="Arial"/>
        <family val="2"/>
      </rPr>
      <t>r</t>
    </r>
  </si>
  <si>
    <r>
      <t>w</t>
    </r>
    <r>
      <rPr>
        <vertAlign val="subscript"/>
        <sz val="9"/>
        <rFont val="Arial"/>
        <family val="2"/>
      </rPr>
      <t>o</t>
    </r>
  </si>
  <si>
    <r>
      <t>m</t>
    </r>
    <r>
      <rPr>
        <vertAlign val="superscript"/>
        <sz val="9"/>
        <rFont val="Arial"/>
        <family val="2"/>
      </rPr>
      <t>3</t>
    </r>
    <r>
      <rPr>
        <sz val="9"/>
        <rFont val="Arial"/>
        <family val="2"/>
      </rPr>
      <t>/s</t>
    </r>
  </si>
  <si>
    <r>
      <t>w</t>
    </r>
    <r>
      <rPr>
        <b/>
        <vertAlign val="subscript"/>
        <sz val="9"/>
        <color rgb="FFFF0000"/>
        <rFont val="Arial"/>
        <family val="2"/>
      </rPr>
      <t>m</t>
    </r>
    <r>
      <rPr>
        <b/>
        <sz val="9"/>
        <color rgb="FFFF0000"/>
        <rFont val="Arial"/>
        <family val="2"/>
      </rPr>
      <t xml:space="preserve"> =</t>
    </r>
  </si>
  <si>
    <r>
      <t>Q</t>
    </r>
    <r>
      <rPr>
        <vertAlign val="subscript"/>
        <sz val="9"/>
        <rFont val="Arial"/>
        <family val="2"/>
      </rPr>
      <t>coil</t>
    </r>
  </si>
  <si>
    <r>
      <t>h</t>
    </r>
    <r>
      <rPr>
        <vertAlign val="subscript"/>
        <sz val="9"/>
        <rFont val="Arial"/>
        <family val="2"/>
      </rPr>
      <t>m</t>
    </r>
    <r>
      <rPr>
        <sz val="9"/>
        <rFont val="Arial"/>
        <family val="2"/>
      </rPr>
      <t xml:space="preserve"> -</t>
    </r>
  </si>
  <si>
    <r>
      <t>Q</t>
    </r>
    <r>
      <rPr>
        <vertAlign val="subscript"/>
        <sz val="9"/>
        <rFont val="Arial"/>
        <family val="2"/>
      </rPr>
      <t>sc</t>
    </r>
  </si>
  <si>
    <r>
      <t>t</t>
    </r>
    <r>
      <rPr>
        <vertAlign val="subscript"/>
        <sz val="9"/>
        <rFont val="Arial"/>
        <family val="2"/>
      </rPr>
      <t>m</t>
    </r>
    <r>
      <rPr>
        <sz val="9"/>
        <rFont val="Arial"/>
        <family val="2"/>
      </rPr>
      <t xml:space="preserve"> -</t>
    </r>
  </si>
  <si>
    <r>
      <t>t</t>
    </r>
    <r>
      <rPr>
        <vertAlign val="subscript"/>
        <sz val="9"/>
        <rFont val="Arial"/>
        <family val="2"/>
      </rPr>
      <t xml:space="preserve">o </t>
    </r>
    <r>
      <rPr>
        <sz val="9"/>
        <rFont val="Arial"/>
        <family val="2"/>
      </rPr>
      <t>-</t>
    </r>
  </si>
  <si>
    <r>
      <t>Q</t>
    </r>
    <r>
      <rPr>
        <vertAlign val="subscript"/>
        <sz val="9"/>
        <rFont val="Arial"/>
        <family val="2"/>
      </rPr>
      <t>s</t>
    </r>
    <r>
      <rPr>
        <sz val="9"/>
        <rFont val="Arial"/>
        <family val="2"/>
      </rPr>
      <t xml:space="preserve"> =</t>
    </r>
  </si>
  <si>
    <r>
      <t>Q</t>
    </r>
    <r>
      <rPr>
        <vertAlign val="subscript"/>
        <sz val="9"/>
        <rFont val="Arial"/>
        <family val="2"/>
      </rPr>
      <t>vent</t>
    </r>
  </si>
  <si>
    <r>
      <t>h</t>
    </r>
    <r>
      <rPr>
        <vertAlign val="subscript"/>
        <sz val="9"/>
        <rFont val="Arial"/>
        <family val="2"/>
      </rPr>
      <t>o</t>
    </r>
    <r>
      <rPr>
        <sz val="9"/>
        <rFont val="Arial"/>
        <family val="2"/>
      </rPr>
      <t xml:space="preserve"> -</t>
    </r>
  </si>
  <si>
    <r>
      <t>h</t>
    </r>
    <r>
      <rPr>
        <vertAlign val="subscript"/>
        <sz val="9"/>
        <rFont val="Arial"/>
        <family val="2"/>
      </rPr>
      <t>r</t>
    </r>
    <r>
      <rPr>
        <sz val="9"/>
        <rFont val="Arial"/>
        <family val="2"/>
      </rPr>
      <t>)</t>
    </r>
  </si>
  <si>
    <r>
      <t>t</t>
    </r>
    <r>
      <rPr>
        <vertAlign val="subscript"/>
        <sz val="9"/>
        <rFont val="Arial"/>
        <family val="2"/>
      </rPr>
      <t>r</t>
    </r>
    <r>
      <rPr>
        <sz val="9"/>
        <rFont val="Arial"/>
        <family val="2"/>
      </rPr>
      <t>)</t>
    </r>
  </si>
  <si>
    <r>
      <t>V</t>
    </r>
    <r>
      <rPr>
        <vertAlign val="subscript"/>
        <sz val="9"/>
        <rFont val="Arial"/>
        <family val="2"/>
      </rPr>
      <t>s</t>
    </r>
    <r>
      <rPr>
        <sz val="9"/>
        <rFont val="Arial"/>
        <family val="2"/>
      </rPr>
      <t xml:space="preserve"> =</t>
    </r>
  </si>
  <si>
    <r>
      <t>Supply air V</t>
    </r>
    <r>
      <rPr>
        <vertAlign val="subscript"/>
        <sz val="9"/>
        <rFont val="Arial"/>
        <family val="2"/>
      </rPr>
      <t>s</t>
    </r>
    <r>
      <rPr>
        <sz val="9"/>
        <rFont val="Arial"/>
        <family val="2"/>
      </rPr>
      <t xml:space="preserve"> =</t>
    </r>
  </si>
  <si>
    <r>
      <t>Fresh air V</t>
    </r>
    <r>
      <rPr>
        <vertAlign val="subscript"/>
        <sz val="9"/>
        <rFont val="Arial"/>
        <family val="2"/>
      </rPr>
      <t>o</t>
    </r>
    <r>
      <rPr>
        <sz val="9"/>
        <rFont val="Arial"/>
        <family val="2"/>
      </rPr>
      <t xml:space="preserve"> = </t>
    </r>
  </si>
  <si>
    <r>
      <t>W</t>
    </r>
    <r>
      <rPr>
        <vertAlign val="subscript"/>
        <sz val="9"/>
        <rFont val="Arial"/>
        <family val="2"/>
      </rPr>
      <t>p</t>
    </r>
  </si>
  <si>
    <r>
      <t>w</t>
    </r>
    <r>
      <rPr>
        <vertAlign val="subscript"/>
        <sz val="9"/>
        <rFont val="Arial"/>
        <family val="2"/>
      </rPr>
      <t>m</t>
    </r>
    <r>
      <rPr>
        <sz val="9"/>
        <rFont val="Arial"/>
        <family val="2"/>
      </rPr>
      <t xml:space="preserve"> -</t>
    </r>
  </si>
  <si>
    <r>
      <t>Q</t>
    </r>
    <r>
      <rPr>
        <vertAlign val="subscript"/>
        <sz val="9"/>
        <rFont val="Arial"/>
        <family val="2"/>
      </rPr>
      <t>space</t>
    </r>
  </si>
  <si>
    <r>
      <t>Return air V</t>
    </r>
    <r>
      <rPr>
        <vertAlign val="subscript"/>
        <sz val="9"/>
        <rFont val="Arial"/>
        <family val="2"/>
      </rPr>
      <t>r</t>
    </r>
    <r>
      <rPr>
        <sz val="9"/>
        <rFont val="Arial"/>
        <family val="2"/>
      </rPr>
      <t xml:space="preserve"> = </t>
    </r>
  </si>
  <si>
    <r>
      <t>Q</t>
    </r>
    <r>
      <rPr>
        <vertAlign val="subscript"/>
        <sz val="9"/>
        <rFont val="Arial"/>
        <family val="2"/>
      </rPr>
      <t>reheat</t>
    </r>
  </si>
  <si>
    <r>
      <t>x C</t>
    </r>
    <r>
      <rPr>
        <vertAlign val="subscript"/>
        <sz val="9"/>
        <rFont val="Arial"/>
        <family val="2"/>
      </rPr>
      <t>w</t>
    </r>
  </si>
  <si>
    <r>
      <t>t</t>
    </r>
    <r>
      <rPr>
        <vertAlign val="subscript"/>
        <sz val="9"/>
        <rFont val="Arial"/>
        <family val="2"/>
      </rPr>
      <t xml:space="preserve">CHWR </t>
    </r>
    <r>
      <rPr>
        <sz val="9"/>
        <rFont val="Arial"/>
        <family val="2"/>
      </rPr>
      <t>-</t>
    </r>
  </si>
  <si>
    <r>
      <t>t</t>
    </r>
    <r>
      <rPr>
        <vertAlign val="subscript"/>
        <sz val="9"/>
        <rFont val="Arial"/>
        <family val="2"/>
      </rPr>
      <t>CHWS</t>
    </r>
    <r>
      <rPr>
        <sz val="9"/>
        <rFont val="Arial"/>
        <family val="2"/>
      </rPr>
      <t>)</t>
    </r>
  </si>
  <si>
    <r>
      <t>t</t>
    </r>
    <r>
      <rPr>
        <vertAlign val="subscript"/>
        <sz val="9"/>
        <rFont val="Arial"/>
        <family val="2"/>
      </rPr>
      <t xml:space="preserve">HWS </t>
    </r>
    <r>
      <rPr>
        <sz val="9"/>
        <rFont val="Arial"/>
        <family val="2"/>
      </rPr>
      <t>-</t>
    </r>
  </si>
  <si>
    <r>
      <t>t</t>
    </r>
    <r>
      <rPr>
        <vertAlign val="subscript"/>
        <sz val="9"/>
        <rFont val="Arial"/>
        <family val="2"/>
      </rPr>
      <t>HWR</t>
    </r>
    <r>
      <rPr>
        <sz val="9"/>
        <rFont val="Arial"/>
        <family val="2"/>
      </rPr>
      <t>)</t>
    </r>
  </si>
  <si>
    <r>
      <t>w</t>
    </r>
    <r>
      <rPr>
        <vertAlign val="subscript"/>
        <sz val="9"/>
        <rFont val="Arial"/>
        <family val="2"/>
      </rPr>
      <t>r</t>
    </r>
    <r>
      <rPr>
        <sz val="9"/>
        <rFont val="Arial"/>
        <family val="2"/>
      </rPr>
      <t xml:space="preserve"> -</t>
    </r>
  </si>
  <si>
    <r>
      <t>w</t>
    </r>
    <r>
      <rPr>
        <vertAlign val="subscript"/>
        <sz val="9"/>
        <rFont val="Arial"/>
        <family val="2"/>
      </rPr>
      <t>s</t>
    </r>
    <r>
      <rPr>
        <sz val="9"/>
        <rFont val="Arial"/>
        <family val="2"/>
      </rPr>
      <t>)</t>
    </r>
  </si>
  <si>
    <r>
      <t>h</t>
    </r>
    <r>
      <rPr>
        <vertAlign val="subscript"/>
        <sz val="9"/>
        <rFont val="Arial"/>
        <family val="2"/>
      </rPr>
      <t>fg</t>
    </r>
  </si>
  <si>
    <r>
      <t>Q</t>
    </r>
    <r>
      <rPr>
        <vertAlign val="subscript"/>
        <sz val="9"/>
        <rFont val="Arial"/>
        <family val="2"/>
      </rPr>
      <t>coil</t>
    </r>
    <r>
      <rPr>
        <sz val="9"/>
        <rFont val="Arial"/>
        <family val="2"/>
      </rPr>
      <t xml:space="preserve"> /</t>
    </r>
  </si>
  <si>
    <r>
      <t>Q</t>
    </r>
    <r>
      <rPr>
        <vertAlign val="subscript"/>
        <sz val="9"/>
        <rFont val="Arial"/>
        <family val="2"/>
      </rPr>
      <t>pre</t>
    </r>
  </si>
  <si>
    <r>
      <t>t</t>
    </r>
    <r>
      <rPr>
        <vertAlign val="subscript"/>
        <sz val="9"/>
        <rFont val="Arial"/>
        <family val="2"/>
      </rPr>
      <t>pre</t>
    </r>
    <r>
      <rPr>
        <sz val="9"/>
        <rFont val="Arial"/>
        <family val="2"/>
      </rPr>
      <t>)</t>
    </r>
  </si>
  <si>
    <r>
      <t>t</t>
    </r>
    <r>
      <rPr>
        <vertAlign val="subscript"/>
        <sz val="9"/>
        <rFont val="Arial"/>
        <family val="2"/>
      </rPr>
      <t xml:space="preserve">pre-HWS </t>
    </r>
    <r>
      <rPr>
        <sz val="9"/>
        <rFont val="Arial"/>
        <family val="2"/>
      </rPr>
      <t>-</t>
    </r>
  </si>
  <si>
    <r>
      <t>t</t>
    </r>
    <r>
      <rPr>
        <vertAlign val="subscript"/>
        <sz val="9"/>
        <rFont val="Arial"/>
        <family val="2"/>
      </rPr>
      <t>pre-HWR</t>
    </r>
    <r>
      <rPr>
        <sz val="9"/>
        <rFont val="Arial"/>
        <family val="2"/>
      </rPr>
      <t>)</t>
    </r>
  </si>
  <si>
    <r>
      <t>Q</t>
    </r>
    <r>
      <rPr>
        <vertAlign val="subscript"/>
        <sz val="9"/>
        <rFont val="Arial"/>
        <family val="2"/>
      </rPr>
      <t>pre</t>
    </r>
    <r>
      <rPr>
        <sz val="9"/>
        <rFont val="Arial"/>
        <family val="2"/>
      </rPr>
      <t xml:space="preserve"> /</t>
    </r>
  </si>
  <si>
    <r>
      <t>S</t>
    </r>
    <r>
      <rPr>
        <vertAlign val="subscript"/>
        <sz val="9"/>
        <rFont val="Arial"/>
        <family val="2"/>
      </rPr>
      <t>s1</t>
    </r>
  </si>
  <si>
    <r>
      <t>S</t>
    </r>
    <r>
      <rPr>
        <vertAlign val="subscript"/>
        <sz val="9"/>
        <rFont val="Arial"/>
        <family val="2"/>
      </rPr>
      <t>s2</t>
    </r>
  </si>
  <si>
    <r>
      <t>S</t>
    </r>
    <r>
      <rPr>
        <vertAlign val="subscript"/>
        <sz val="9"/>
        <rFont val="Arial"/>
        <family val="2"/>
      </rPr>
      <t>s1</t>
    </r>
    <r>
      <rPr>
        <sz val="9"/>
        <rFont val="Arial"/>
        <family val="2"/>
      </rPr>
      <t>+S</t>
    </r>
    <r>
      <rPr>
        <vertAlign val="subscript"/>
        <sz val="9"/>
        <rFont val="Arial"/>
        <family val="2"/>
      </rPr>
      <t>s2</t>
    </r>
    <r>
      <rPr>
        <sz val="9"/>
        <rFont val="Arial"/>
        <family val="2"/>
      </rPr>
      <t>+W</t>
    </r>
    <r>
      <rPr>
        <vertAlign val="subscript"/>
        <sz val="9"/>
        <rFont val="Arial"/>
        <family val="2"/>
      </rPr>
      <t>p</t>
    </r>
    <r>
      <rPr>
        <sz val="9"/>
        <rFont val="Arial"/>
        <family val="2"/>
      </rPr>
      <t xml:space="preserve"> =</t>
    </r>
  </si>
  <si>
    <t>PAU</t>
  </si>
  <si>
    <r>
      <t>t</t>
    </r>
    <r>
      <rPr>
        <vertAlign val="subscript"/>
        <sz val="9"/>
        <rFont val="Arial"/>
        <family val="2"/>
      </rPr>
      <t>o</t>
    </r>
    <r>
      <rPr>
        <sz val="9"/>
        <rFont val="Arial"/>
        <family val="2"/>
      </rPr>
      <t xml:space="preserve"> -</t>
    </r>
  </si>
  <si>
    <r>
      <t>h</t>
    </r>
    <r>
      <rPr>
        <vertAlign val="subscript"/>
        <sz val="9"/>
        <rFont val="Arial"/>
        <family val="2"/>
      </rPr>
      <t>s</t>
    </r>
    <r>
      <rPr>
        <sz val="9"/>
        <rFont val="Arial"/>
        <family val="2"/>
      </rPr>
      <t>)</t>
    </r>
  </si>
  <si>
    <r>
      <t>w</t>
    </r>
    <r>
      <rPr>
        <vertAlign val="subscript"/>
        <sz val="9"/>
        <rFont val="Arial"/>
        <family val="2"/>
      </rPr>
      <t>o</t>
    </r>
    <r>
      <rPr>
        <sz val="9"/>
        <rFont val="Arial"/>
        <family val="2"/>
      </rPr>
      <t xml:space="preserve"> -</t>
    </r>
  </si>
  <si>
    <r>
      <t>Q</t>
    </r>
    <r>
      <rPr>
        <vertAlign val="subscript"/>
        <sz val="9"/>
        <rFont val="Arial"/>
        <family val="2"/>
      </rPr>
      <t>total</t>
    </r>
  </si>
  <si>
    <t>Steam Supply Flow Rate</t>
  </si>
  <si>
    <t>Steam &amp; Humidification</t>
  </si>
  <si>
    <t>Heating Water Supply Flow Rate</t>
  </si>
  <si>
    <r>
      <t>w</t>
    </r>
    <r>
      <rPr>
        <vertAlign val="subscript"/>
        <sz val="9"/>
        <rFont val="Arial"/>
        <family val="2"/>
      </rPr>
      <t>s</t>
    </r>
    <r>
      <rPr>
        <sz val="9"/>
        <rFont val="Arial"/>
        <family val="2"/>
      </rPr>
      <t xml:space="preserve"> -</t>
    </r>
  </si>
  <si>
    <r>
      <t>w</t>
    </r>
    <r>
      <rPr>
        <vertAlign val="subscript"/>
        <sz val="9"/>
        <rFont val="Arial"/>
        <family val="2"/>
      </rPr>
      <t>o</t>
    </r>
    <r>
      <rPr>
        <sz val="9"/>
        <rFont val="Arial"/>
        <family val="2"/>
      </rPr>
      <t>)</t>
    </r>
  </si>
  <si>
    <r>
      <rPr>
        <b/>
        <sz val="9"/>
        <color theme="0"/>
        <rFont val="Arial"/>
        <family val="2"/>
      </rPr>
      <t xml:space="preserve">PAU </t>
    </r>
    <r>
      <rPr>
        <sz val="9"/>
        <color theme="0"/>
        <rFont val="Arial"/>
        <family val="2"/>
      </rPr>
      <t>heating off-coil</t>
    </r>
  </si>
  <si>
    <r>
      <t>h</t>
    </r>
    <r>
      <rPr>
        <vertAlign val="subscript"/>
        <sz val="9"/>
        <rFont val="Arial"/>
        <family val="2"/>
      </rPr>
      <t>s1</t>
    </r>
    <r>
      <rPr>
        <sz val="9"/>
        <rFont val="Arial"/>
        <family val="2"/>
      </rPr>
      <t>)</t>
    </r>
  </si>
  <si>
    <r>
      <t>t</t>
    </r>
    <r>
      <rPr>
        <vertAlign val="subscript"/>
        <sz val="9"/>
        <rFont val="Arial"/>
        <family val="2"/>
      </rPr>
      <t>s1</t>
    </r>
    <r>
      <rPr>
        <sz val="9"/>
        <rFont val="Arial"/>
        <family val="2"/>
      </rPr>
      <t>)</t>
    </r>
  </si>
  <si>
    <r>
      <t>t</t>
    </r>
    <r>
      <rPr>
        <vertAlign val="subscript"/>
        <sz val="9"/>
        <rFont val="Arial"/>
        <family val="2"/>
      </rPr>
      <t>s2</t>
    </r>
    <r>
      <rPr>
        <sz val="9"/>
        <rFont val="Arial"/>
        <family val="2"/>
      </rPr>
      <t xml:space="preserve"> -</t>
    </r>
  </si>
  <si>
    <r>
      <t>w</t>
    </r>
    <r>
      <rPr>
        <vertAlign val="subscript"/>
        <sz val="9"/>
        <rFont val="Arial"/>
        <family val="2"/>
      </rPr>
      <t>s1</t>
    </r>
    <r>
      <rPr>
        <sz val="9"/>
        <rFont val="Arial"/>
        <family val="2"/>
      </rPr>
      <t>)</t>
    </r>
  </si>
  <si>
    <t>w(kg/kg)</t>
  </si>
  <si>
    <t>h(kJ/kg)</t>
  </si>
  <si>
    <r>
      <t xml:space="preserve">kg/kg dry air </t>
    </r>
    <r>
      <rPr>
        <b/>
        <sz val="9"/>
        <color rgb="FF00B050"/>
        <rFont val="Arial"/>
        <family val="2"/>
      </rPr>
      <t>= w</t>
    </r>
    <r>
      <rPr>
        <b/>
        <vertAlign val="subscript"/>
        <sz val="9"/>
        <color rgb="FF00B050"/>
        <rFont val="Arial"/>
        <family val="2"/>
      </rPr>
      <t>s</t>
    </r>
  </si>
  <si>
    <t>www.hisaka.co.jp/simulator_english</t>
  </si>
  <si>
    <r>
      <t>x h</t>
    </r>
    <r>
      <rPr>
        <vertAlign val="subscript"/>
        <sz val="9"/>
        <rFont val="Arial"/>
        <family val="2"/>
      </rPr>
      <t>fg</t>
    </r>
  </si>
  <si>
    <t>x 2500.8</t>
  </si>
  <si>
    <r>
      <t>m</t>
    </r>
    <r>
      <rPr>
        <vertAlign val="superscript"/>
        <sz val="9"/>
        <rFont val="Arial"/>
        <family val="2"/>
      </rPr>
      <t>3</t>
    </r>
    <r>
      <rPr>
        <sz val="9"/>
        <rFont val="Arial"/>
        <family val="2"/>
      </rPr>
      <t>/hr</t>
    </r>
  </si>
  <si>
    <t>所有</t>
  </si>
  <si>
    <t>SAD/ RAD/ PAD/ FAD</t>
  </si>
  <si>
    <t>保溫厚度(毫米)</t>
  </si>
  <si>
    <t>所有管徑</t>
  </si>
  <si>
    <t>蒸汽設備</t>
  </si>
  <si>
    <t>分體式空調機冷媒管</t>
  </si>
  <si>
    <t>冷媒液體管</t>
  </si>
  <si>
    <t>冷媒氣體管</t>
  </si>
  <si>
    <t>各種尺寸</t>
  </si>
  <si>
    <t>洗衣房排風管</t>
  </si>
  <si>
    <t>Altitude</t>
    <phoneticPr fontId="4" type="noConversion"/>
  </si>
  <si>
    <t>m</t>
    <phoneticPr fontId="4" type="noConversion"/>
  </si>
  <si>
    <t>kPa</t>
    <phoneticPr fontId="4" type="noConversion"/>
  </si>
  <si>
    <t>Dew pt.</t>
    <phoneticPr fontId="4" type="noConversion"/>
  </si>
  <si>
    <t>Equivalent to</t>
  </si>
  <si>
    <r>
      <t>m</t>
    </r>
    <r>
      <rPr>
        <vertAlign val="subscript"/>
        <sz val="9"/>
        <rFont val="Arial"/>
        <family val="2"/>
      </rPr>
      <t>heat</t>
    </r>
  </si>
  <si>
    <r>
      <t>m</t>
    </r>
    <r>
      <rPr>
        <vertAlign val="subscript"/>
        <sz val="9"/>
        <rFont val="Arial"/>
        <family val="2"/>
      </rPr>
      <t>pre-heat</t>
    </r>
  </si>
  <si>
    <r>
      <t>m</t>
    </r>
    <r>
      <rPr>
        <vertAlign val="subscript"/>
        <sz val="9"/>
        <rFont val="Arial"/>
        <family val="2"/>
      </rPr>
      <t>re-heat</t>
    </r>
  </si>
  <si>
    <r>
      <t>m</t>
    </r>
    <r>
      <rPr>
        <vertAlign val="subscript"/>
        <sz val="9"/>
        <rFont val="Arial"/>
        <family val="2"/>
      </rPr>
      <t>CHWS/R</t>
    </r>
  </si>
  <si>
    <t>Water Pipe Sizing</t>
  </si>
  <si>
    <t>Hidden</t>
  </si>
  <si>
    <t>Pipe Nominal
Diameter</t>
  </si>
  <si>
    <t>Outside
Diameter</t>
  </si>
  <si>
    <t>Internal
Diameter</t>
  </si>
  <si>
    <t>Thickness</t>
  </si>
  <si>
    <t>Flowrate</t>
  </si>
  <si>
    <t>Velocity</t>
    <phoneticPr fontId="4" type="noConversion"/>
  </si>
  <si>
    <t>PD</t>
    <phoneticPr fontId="4" type="noConversion"/>
  </si>
  <si>
    <t>Loading per unit
 of water</t>
  </si>
  <si>
    <t>Specific</t>
    <phoneticPr fontId="4" type="noConversion"/>
  </si>
  <si>
    <t>mm</t>
    <phoneticPr fontId="4" type="noConversion"/>
  </si>
  <si>
    <r>
      <t>m</t>
    </r>
    <r>
      <rPr>
        <vertAlign val="superscript"/>
        <sz val="9"/>
        <rFont val="Arial"/>
        <family val="2"/>
      </rPr>
      <t>3</t>
    </r>
    <r>
      <rPr>
        <sz val="9"/>
        <rFont val="Arial"/>
        <family val="2"/>
      </rPr>
      <t>/h</t>
    </r>
  </si>
  <si>
    <t>m/s</t>
    <phoneticPr fontId="4" type="noConversion"/>
  </si>
  <si>
    <t>kW</t>
    <phoneticPr fontId="4" type="noConversion"/>
  </si>
  <si>
    <t>Roughness Factor C</t>
  </si>
  <si>
    <t>Design Criteria</t>
  </si>
  <si>
    <t>Max. Velocity</t>
  </si>
  <si>
    <t>Max. Pressure Drop</t>
  </si>
  <si>
    <t>Chilled water</t>
  </si>
  <si>
    <t>Hot water</t>
  </si>
  <si>
    <t xml:space="preserve">Pipe size </t>
  </si>
  <si>
    <t>CHWS Capacity</t>
  </si>
  <si>
    <t>HWS Capacity</t>
  </si>
  <si>
    <t>2) Reference: ASHRAE Handbook Fundamentals 2009 - Chapter 22</t>
  </si>
  <si>
    <t>Pressure
Loss</t>
  </si>
  <si>
    <t>If something is worth doing once, it's worth building a tool to do it.</t>
  </si>
  <si>
    <t>Select Pump Arrangement</t>
  </si>
  <si>
    <t>Terminal Unit 2</t>
  </si>
  <si>
    <t>Supply Riser (Upper)</t>
  </si>
  <si>
    <t>Return Riser (Upper)</t>
  </si>
  <si>
    <t>Supply Riser (lower)</t>
  </si>
  <si>
    <t>Transformers</t>
  </si>
  <si>
    <t>Switchgear</t>
  </si>
  <si>
    <t>Motor Control Centers</t>
  </si>
  <si>
    <t>Variable Frequency Drive</t>
  </si>
  <si>
    <t>A</t>
  </si>
  <si>
    <t>~</t>
  </si>
  <si>
    <t>B1</t>
  </si>
  <si>
    <t>B2</t>
  </si>
  <si>
    <t>√</t>
  </si>
  <si>
    <t>C</t>
  </si>
  <si>
    <t>×</t>
  </si>
  <si>
    <t>D</t>
  </si>
  <si>
    <t>N/A</t>
  </si>
  <si>
    <r>
      <t>m</t>
    </r>
    <r>
      <rPr>
        <vertAlign val="superscript"/>
        <sz val="10"/>
        <color theme="0"/>
        <rFont val="Arial"/>
        <family val="2"/>
      </rPr>
      <t>3</t>
    </r>
    <r>
      <rPr>
        <sz val="10"/>
        <color theme="0"/>
        <rFont val="Arial"/>
        <family val="2"/>
      </rPr>
      <t>/h</t>
    </r>
  </si>
  <si>
    <r>
      <t>m</t>
    </r>
    <r>
      <rPr>
        <vertAlign val="superscript"/>
        <sz val="10"/>
        <color theme="0"/>
        <rFont val="Arial"/>
        <family val="2"/>
      </rPr>
      <t>3</t>
    </r>
    <r>
      <rPr>
        <sz val="10"/>
        <color theme="0"/>
        <rFont val="Arial"/>
        <family val="2"/>
      </rPr>
      <t>/h/m</t>
    </r>
    <r>
      <rPr>
        <vertAlign val="superscript"/>
        <sz val="10"/>
        <color theme="0"/>
        <rFont val="Arial"/>
        <family val="2"/>
      </rPr>
      <t>2</t>
    </r>
  </si>
  <si>
    <t>Steam Output</t>
  </si>
  <si>
    <t>Steam Input</t>
  </si>
  <si>
    <t>Input energy</t>
  </si>
  <si>
    <t>Output energy</t>
  </si>
  <si>
    <t>Zhengdong.Han@spx.com</t>
  </si>
  <si>
    <t xml:space="preserve">Evapco </t>
  </si>
  <si>
    <t>tduan@evapcochina.com</t>
  </si>
  <si>
    <t>段石磊</t>
  </si>
  <si>
    <t>Kuken</t>
  </si>
  <si>
    <t>Mr. Astro Cheng</t>
  </si>
  <si>
    <t>astro@mesanct.com</t>
  </si>
  <si>
    <t>2787 3665</t>
  </si>
  <si>
    <t>Nihon Spindle</t>
  </si>
  <si>
    <t>郭智</t>
  </si>
  <si>
    <t>Flow Rate per boiler</t>
  </si>
  <si>
    <t>►</t>
  </si>
  <si>
    <t>3 X 850RT</t>
  </si>
  <si>
    <t>3 X 800RT</t>
  </si>
  <si>
    <t>3 X 700 RT</t>
  </si>
  <si>
    <t>SLYZ</t>
  </si>
  <si>
    <t>SLJI</t>
  </si>
  <si>
    <t>SLGL</t>
  </si>
  <si>
    <t>SLXM</t>
  </si>
  <si>
    <t>RH</t>
  </si>
  <si>
    <t>density</t>
  </si>
  <si>
    <t>Dew pt.</t>
    <phoneticPr fontId="4" type="noConversion"/>
  </si>
  <si>
    <t>Seasons</t>
  </si>
  <si>
    <r>
      <t xml:space="preserve">Air Density </t>
    </r>
    <r>
      <rPr>
        <sz val="9"/>
        <rFont val="Arial"/>
        <family val="2"/>
      </rPr>
      <t>ρ</t>
    </r>
    <r>
      <rPr>
        <vertAlign val="subscript"/>
        <sz val="9"/>
        <rFont val="Arial"/>
        <family val="2"/>
      </rPr>
      <t>air</t>
    </r>
    <r>
      <rPr>
        <sz val="9"/>
        <rFont val="Arial"/>
        <family val="2"/>
      </rPr>
      <t xml:space="preserve"> </t>
    </r>
  </si>
  <si>
    <t>Steam Heating Supply Flow Rate</t>
  </si>
  <si>
    <t>Water Pipe Sizing Criteria</t>
  </si>
  <si>
    <t>Fresh air Pre-Heat</t>
  </si>
  <si>
    <t>Cooling Reheat</t>
  </si>
  <si>
    <t>m3/s</t>
  </si>
  <si>
    <t>Diffuser Efficiency</t>
  </si>
  <si>
    <t>Required Face Area</t>
  </si>
  <si>
    <t>Nos. of Air Boot</t>
  </si>
  <si>
    <t>Air Flow Per Boot</t>
  </si>
  <si>
    <t>Air Boot Dimensions</t>
  </si>
  <si>
    <t>Required Diffuser Length</t>
  </si>
  <si>
    <t>Air Change Hour</t>
  </si>
  <si>
    <t>Room Area</t>
  </si>
  <si>
    <t>Room Height</t>
  </si>
  <si>
    <t>Room Volume</t>
  </si>
  <si>
    <t>Air Change Hour (ACH)</t>
  </si>
  <si>
    <t>Intake</t>
  </si>
  <si>
    <t>Exhaust</t>
  </si>
  <si>
    <t>Smoke</t>
  </si>
  <si>
    <t>Louvre Efficiency</t>
  </si>
  <si>
    <t>Louvre Dimensions</t>
  </si>
  <si>
    <t>Unit Conversion</t>
  </si>
  <si>
    <t>Duct width</t>
  </si>
  <si>
    <t>Duct height</t>
  </si>
  <si>
    <t>Sheet metal area = 2x [(W+H)xL]</t>
  </si>
  <si>
    <t>Sheet Metal Area = WxL + 2xWxH + 2xLxH</t>
  </si>
  <si>
    <t>Height</t>
  </si>
  <si>
    <r>
      <t>m</t>
    </r>
    <r>
      <rPr>
        <b/>
        <vertAlign val="superscript"/>
        <sz val="10"/>
        <color indexed="17"/>
        <rFont val="Arial"/>
        <family val="2"/>
      </rPr>
      <t>3</t>
    </r>
    <r>
      <rPr>
        <b/>
        <sz val="10"/>
        <color indexed="17"/>
        <rFont val="Arial"/>
        <family val="2"/>
      </rPr>
      <t>/h = Room volume x ACH</t>
    </r>
  </si>
  <si>
    <r>
      <t>ACH = m</t>
    </r>
    <r>
      <rPr>
        <b/>
        <vertAlign val="superscript"/>
        <sz val="10"/>
        <color indexed="17"/>
        <rFont val="Arial"/>
        <family val="2"/>
      </rPr>
      <t>3</t>
    </r>
    <r>
      <rPr>
        <b/>
        <sz val="10"/>
        <color indexed="17"/>
        <rFont val="Arial"/>
        <family val="2"/>
      </rPr>
      <t>/h ÷ Room volume</t>
    </r>
  </si>
  <si>
    <r>
      <t>Diffuser area = m</t>
    </r>
    <r>
      <rPr>
        <b/>
        <vertAlign val="superscript"/>
        <sz val="10"/>
        <color rgb="FF008000"/>
        <rFont val="Arial"/>
        <family val="2"/>
      </rPr>
      <t>3</t>
    </r>
    <r>
      <rPr>
        <b/>
        <sz val="10"/>
        <color rgb="FF008000"/>
        <rFont val="Arial"/>
        <family val="2"/>
      </rPr>
      <t>/s ÷ m/s ÷ diffuser efficiency</t>
    </r>
  </si>
  <si>
    <t>Design Velocity</t>
  </si>
  <si>
    <t>Actual Design: Air Boots</t>
  </si>
  <si>
    <r>
      <t>h</t>
    </r>
    <r>
      <rPr>
        <vertAlign val="superscript"/>
        <sz val="10"/>
        <color indexed="8"/>
        <rFont val="Arial"/>
        <family val="2"/>
      </rPr>
      <t>-1</t>
    </r>
  </si>
  <si>
    <r>
      <t xml:space="preserve">Net Free Area </t>
    </r>
    <r>
      <rPr>
        <b/>
        <sz val="10"/>
        <color rgb="FF6600FF"/>
        <rFont val="Arial"/>
        <family val="2"/>
      </rPr>
      <t>(NFA)</t>
    </r>
  </si>
  <si>
    <r>
      <t xml:space="preserve">Air Flow </t>
    </r>
    <r>
      <rPr>
        <b/>
        <sz val="10"/>
        <color rgb="FFFF00FF"/>
        <rFont val="Arial"/>
        <family val="2"/>
      </rPr>
      <t>per Boot</t>
    </r>
  </si>
  <si>
    <r>
      <t xml:space="preserve">Actual velocity </t>
    </r>
    <r>
      <rPr>
        <b/>
        <sz val="10"/>
        <color rgb="FFFF00FF"/>
        <rFont val="Arial"/>
        <family val="2"/>
      </rPr>
      <t>per boot</t>
    </r>
  </si>
  <si>
    <r>
      <t>m</t>
    </r>
    <r>
      <rPr>
        <vertAlign val="superscript"/>
        <sz val="10"/>
        <color indexed="8"/>
        <rFont val="Arial"/>
        <family val="2"/>
      </rPr>
      <t>2</t>
    </r>
  </si>
  <si>
    <t>ACH</t>
  </si>
  <si>
    <r>
      <t>h</t>
    </r>
    <r>
      <rPr>
        <vertAlign val="superscript"/>
        <sz val="10"/>
        <color rgb="FF3333FF"/>
        <rFont val="Arial"/>
        <family val="2"/>
      </rPr>
      <t>-1</t>
    </r>
  </si>
  <si>
    <r>
      <t>Face Area</t>
    </r>
    <r>
      <rPr>
        <sz val="10"/>
        <color rgb="FF3333FF"/>
        <rFont val="Arial"/>
        <family val="2"/>
      </rPr>
      <t xml:space="preserve"> </t>
    </r>
    <r>
      <rPr>
        <b/>
        <sz val="10"/>
        <color rgb="FF3333FF"/>
        <rFont val="Arial"/>
        <family val="2"/>
      </rPr>
      <t>per Boot</t>
    </r>
  </si>
  <si>
    <t>Louvre Sizing</t>
  </si>
  <si>
    <t>Total length</t>
  </si>
  <si>
    <t>CIBSE - Guide C</t>
  </si>
  <si>
    <t>Flow Rate</t>
  </si>
  <si>
    <t>Air-side Design</t>
  </si>
  <si>
    <t>Moisture Content (kg/kg)</t>
  </si>
  <si>
    <t>Atmospheric Pressure</t>
  </si>
  <si>
    <t>Altitude</t>
  </si>
  <si>
    <r>
      <t>Specific Volume (m</t>
    </r>
    <r>
      <rPr>
        <vertAlign val="superscript"/>
        <sz val="10"/>
        <rFont val="Arial"/>
        <family val="2"/>
      </rPr>
      <t>3</t>
    </r>
    <r>
      <rPr>
        <sz val="10"/>
        <rFont val="Arial"/>
        <family val="2"/>
      </rPr>
      <t>/kg)</t>
    </r>
  </si>
  <si>
    <r>
      <t>Air Density (kg/m</t>
    </r>
    <r>
      <rPr>
        <b/>
        <vertAlign val="superscript"/>
        <sz val="10"/>
        <color rgb="FF3333FF"/>
        <rFont val="Arial"/>
        <family val="2"/>
      </rPr>
      <t>3</t>
    </r>
    <r>
      <rPr>
        <b/>
        <sz val="10"/>
        <color rgb="FF3333FF"/>
        <rFont val="Arial"/>
        <family val="2"/>
      </rPr>
      <t>)</t>
    </r>
  </si>
  <si>
    <t>Air density ρ</t>
  </si>
  <si>
    <t>Override</t>
  </si>
  <si>
    <t>Fitting Pressure Drop</t>
  </si>
  <si>
    <t>ASHRAE Fundamentals 2009
Chapter 21 - Duct Design</t>
  </si>
  <si>
    <r>
      <t>m</t>
    </r>
    <r>
      <rPr>
        <vertAlign val="superscript"/>
        <sz val="10"/>
        <color rgb="FF3333FF"/>
        <rFont val="Arial"/>
        <family val="2"/>
      </rPr>
      <t>3</t>
    </r>
    <r>
      <rPr>
        <sz val="10"/>
        <color rgb="FF3333FF"/>
        <rFont val="Arial"/>
        <family val="2"/>
      </rPr>
      <t>/h</t>
    </r>
  </si>
  <si>
    <r>
      <t>m</t>
    </r>
    <r>
      <rPr>
        <vertAlign val="superscript"/>
        <sz val="10"/>
        <color rgb="FF3333FF"/>
        <rFont val="Arial"/>
        <family val="2"/>
      </rPr>
      <t>3</t>
    </r>
    <r>
      <rPr>
        <sz val="10"/>
        <color rgb="FF3333FF"/>
        <rFont val="Arial"/>
        <family val="2"/>
      </rPr>
      <t>/s</t>
    </r>
  </si>
  <si>
    <t>Air Duct
Surface Area</t>
  </si>
  <si>
    <r>
      <t xml:space="preserve">Velocity Pressure
</t>
    </r>
    <r>
      <rPr>
        <sz val="10"/>
        <color rgb="FF0000FF"/>
        <rFont val="Arial"/>
        <family val="2"/>
      </rPr>
      <t>1/2ρv</t>
    </r>
    <r>
      <rPr>
        <vertAlign val="superscript"/>
        <sz val="10"/>
        <color rgb="FF0000FF"/>
        <rFont val="Arial"/>
        <family val="2"/>
      </rPr>
      <t>2</t>
    </r>
  </si>
  <si>
    <t>Room temperature</t>
  </si>
  <si>
    <t>Supply air flow</t>
  </si>
  <si>
    <t>Occupancy Density</t>
  </si>
  <si>
    <t>Population</t>
  </si>
  <si>
    <t>Total fresh air flow</t>
  </si>
  <si>
    <t>L/s/p</t>
  </si>
  <si>
    <t>No. of people</t>
  </si>
  <si>
    <t xml:space="preserve">        - Decorative</t>
  </si>
  <si>
    <t xml:space="preserve">        - Weather-proof</t>
  </si>
  <si>
    <t>Steam Supply Header Diameter (mm)</t>
  </si>
  <si>
    <t>Steam Supply (t/h)</t>
  </si>
  <si>
    <t>Working
Pressure
(Bar)</t>
  </si>
  <si>
    <t>Closed-loop Water System</t>
  </si>
  <si>
    <t>Open-loop Water System</t>
  </si>
  <si>
    <t>External Static</t>
  </si>
  <si>
    <t>Internal Static</t>
  </si>
  <si>
    <t>Fan Efficiency</t>
  </si>
  <si>
    <t>Motor Efficiency</t>
  </si>
  <si>
    <t>Phase</t>
  </si>
  <si>
    <t>Starting Method</t>
  </si>
  <si>
    <t>Pressure head</t>
  </si>
  <si>
    <t>Pump Power</t>
  </si>
  <si>
    <t>Starting Current</t>
  </si>
  <si>
    <t xml:space="preserve">VSD? </t>
  </si>
  <si>
    <r>
      <t xml:space="preserve">kW - Max. Motor Rating for </t>
    </r>
    <r>
      <rPr>
        <b/>
        <u/>
        <sz val="9"/>
        <color indexed="17"/>
        <rFont val="Arial"/>
        <family val="2"/>
      </rPr>
      <t>1Ø</t>
    </r>
  </si>
  <si>
    <r>
      <t xml:space="preserve">kW - Max. Motor Rating for using </t>
    </r>
    <r>
      <rPr>
        <b/>
        <u/>
        <sz val="9"/>
        <color indexed="17"/>
        <rFont val="Arial"/>
        <family val="2"/>
      </rPr>
      <t>Fuse</t>
    </r>
  </si>
  <si>
    <r>
      <t xml:space="preserve">kW - Max. Motor Rating for </t>
    </r>
    <r>
      <rPr>
        <b/>
        <u/>
        <sz val="9"/>
        <color indexed="17"/>
        <rFont val="Arial"/>
        <family val="2"/>
      </rPr>
      <t>DOL</t>
    </r>
    <r>
      <rPr>
        <sz val="9"/>
        <rFont val="Arial"/>
        <family val="2"/>
      </rPr>
      <t xml:space="preserve"> starting</t>
    </r>
  </si>
  <si>
    <r>
      <t xml:space="preserve">kW - Min. Motor Rating for using </t>
    </r>
    <r>
      <rPr>
        <b/>
        <u/>
        <sz val="9"/>
        <color indexed="17"/>
        <rFont val="Arial"/>
        <family val="2"/>
      </rPr>
      <t>Auto-Tx</t>
    </r>
  </si>
  <si>
    <t>Fan Motor Sizing</t>
  </si>
  <si>
    <t>Pump Motor Sizing</t>
  </si>
  <si>
    <t>MCB</t>
  </si>
  <si>
    <t>Running</t>
  </si>
  <si>
    <t xml:space="preserve">Isolator </t>
  </si>
  <si>
    <t>Electrical Load</t>
  </si>
  <si>
    <t>Electric Current</t>
  </si>
  <si>
    <t>Motor Sizing</t>
  </si>
  <si>
    <r>
      <t>[m</t>
    </r>
    <r>
      <rPr>
        <b/>
        <vertAlign val="superscript"/>
        <sz val="10"/>
        <color indexed="17"/>
        <rFont val="Arial"/>
        <family val="2"/>
      </rPr>
      <t>3</t>
    </r>
    <r>
      <rPr>
        <b/>
        <sz val="10"/>
        <color indexed="17"/>
        <rFont val="Arial"/>
        <family val="2"/>
      </rPr>
      <t>/s x kPa / eff.)] x S.F. = kW</t>
    </r>
  </si>
  <si>
    <r>
      <t>[m</t>
    </r>
    <r>
      <rPr>
        <b/>
        <vertAlign val="superscript"/>
        <sz val="10"/>
        <color indexed="17"/>
        <rFont val="Arial"/>
        <family val="2"/>
      </rPr>
      <t>3</t>
    </r>
    <r>
      <rPr>
        <b/>
        <sz val="10"/>
        <color indexed="17"/>
        <rFont val="Arial"/>
        <family val="2"/>
      </rPr>
      <t>/s x m x 9.8 / eff.)] x S.F. = kW</t>
    </r>
  </si>
  <si>
    <t>W / √3 x 380 x p.f. = A</t>
  </si>
  <si>
    <t>MPa</t>
  </si>
  <si>
    <t>Density</t>
  </si>
  <si>
    <t>ft2/RT</t>
  </si>
  <si>
    <t>m2/kW</t>
  </si>
  <si>
    <t>W/m2</t>
  </si>
  <si>
    <t>Cooling load</t>
  </si>
  <si>
    <r>
      <t>ft</t>
    </r>
    <r>
      <rPr>
        <vertAlign val="superscript"/>
        <sz val="10"/>
        <color rgb="FF0000FF"/>
        <rFont val="Arial"/>
        <family val="2"/>
      </rPr>
      <t>2</t>
    </r>
    <r>
      <rPr>
        <sz val="10"/>
        <color rgb="FF0000FF"/>
        <rFont val="Arial"/>
        <family val="2"/>
      </rPr>
      <t>/RT</t>
    </r>
  </si>
  <si>
    <r>
      <t>·</t>
    </r>
    <r>
      <rPr>
        <sz val="10"/>
        <color rgb="FF000000"/>
        <rFont val="Times New Roman"/>
        <family val="1"/>
      </rPr>
      <t xml:space="preserve">        </t>
    </r>
    <r>
      <rPr>
        <sz val="10"/>
        <color rgb="FF000000"/>
        <rFont val="Arial"/>
        <family val="2"/>
      </rPr>
      <t>150 kVA and smaller : 50 Watts/kVA</t>
    </r>
  </si>
  <si>
    <r>
      <t>m</t>
    </r>
    <r>
      <rPr>
        <vertAlign val="superscript"/>
        <sz val="10"/>
        <color rgb="FF0000FF"/>
        <rFont val="Arial"/>
        <family val="2"/>
      </rPr>
      <t>2</t>
    </r>
    <r>
      <rPr>
        <sz val="10"/>
        <color rgb="FF0000FF"/>
        <rFont val="Arial"/>
        <family val="2"/>
      </rPr>
      <t>/kW</t>
    </r>
  </si>
  <si>
    <r>
      <t>·</t>
    </r>
    <r>
      <rPr>
        <sz val="10"/>
        <color rgb="FF000000"/>
        <rFont val="Times New Roman"/>
        <family val="1"/>
      </rPr>
      <t xml:space="preserve">        </t>
    </r>
    <r>
      <rPr>
        <sz val="10"/>
        <color rgb="FF000000"/>
        <rFont val="Arial"/>
        <family val="2"/>
      </rPr>
      <t>150 - 500 kVA : 30 Watts/kVA</t>
    </r>
  </si>
  <si>
    <r>
      <t>W/m</t>
    </r>
    <r>
      <rPr>
        <vertAlign val="superscript"/>
        <sz val="10"/>
        <color rgb="FF0000FF"/>
        <rFont val="Arial"/>
        <family val="2"/>
      </rPr>
      <t>2</t>
    </r>
  </si>
  <si>
    <r>
      <t>·</t>
    </r>
    <r>
      <rPr>
        <sz val="10"/>
        <color rgb="FF000000"/>
        <rFont val="Times New Roman"/>
        <family val="1"/>
      </rPr>
      <t xml:space="preserve">        </t>
    </r>
    <r>
      <rPr>
        <sz val="10"/>
        <color rgb="FF000000"/>
        <rFont val="Arial"/>
        <family val="2"/>
      </rPr>
      <t>500 - 1000 kVA : 25 Watts/kVA</t>
    </r>
  </si>
  <si>
    <r>
      <t>·</t>
    </r>
    <r>
      <rPr>
        <sz val="10"/>
        <color rgb="FF000000"/>
        <rFont val="Times New Roman"/>
        <family val="1"/>
      </rPr>
      <t xml:space="preserve">        </t>
    </r>
    <r>
      <rPr>
        <sz val="10"/>
        <color rgb="FF000000"/>
        <rFont val="Arial"/>
        <family val="2"/>
      </rPr>
      <t>1000 - 2500 kVA : 20 Watts/kVA</t>
    </r>
  </si>
  <si>
    <r>
      <t>·</t>
    </r>
    <r>
      <rPr>
        <sz val="10"/>
        <color rgb="FF000000"/>
        <rFont val="Times New Roman"/>
        <family val="1"/>
      </rPr>
      <t xml:space="preserve">        </t>
    </r>
    <r>
      <rPr>
        <sz val="10"/>
        <color rgb="FF000000"/>
        <rFont val="Arial"/>
        <family val="2"/>
      </rPr>
      <t>larger than 2500 kVA : 15 Watts/kVA</t>
    </r>
  </si>
  <si>
    <r>
      <t>·</t>
    </r>
    <r>
      <rPr>
        <sz val="10"/>
        <color rgb="FF000000"/>
        <rFont val="Times New Roman"/>
        <family val="1"/>
      </rPr>
      <t xml:space="preserve">        </t>
    </r>
    <r>
      <rPr>
        <sz val="10"/>
        <color rgb="FF000000"/>
        <rFont val="Arial"/>
        <family val="2"/>
      </rPr>
      <t>Low voltage breaker 0-40 Amps : 10 Watts</t>
    </r>
  </si>
  <si>
    <r>
      <t>·</t>
    </r>
    <r>
      <rPr>
        <sz val="10"/>
        <color rgb="FF000000"/>
        <rFont val="Times New Roman"/>
        <family val="1"/>
      </rPr>
      <t xml:space="preserve">        </t>
    </r>
    <r>
      <rPr>
        <sz val="10"/>
        <color rgb="FF000000"/>
        <rFont val="Arial"/>
        <family val="2"/>
      </rPr>
      <t>Low voltage breaker 50-100 Amps : 20 Watts</t>
    </r>
  </si>
  <si>
    <r>
      <t>·</t>
    </r>
    <r>
      <rPr>
        <sz val="10"/>
        <color rgb="FF000000"/>
        <rFont val="Times New Roman"/>
        <family val="1"/>
      </rPr>
      <t xml:space="preserve">        </t>
    </r>
    <r>
      <rPr>
        <sz val="10"/>
        <color rgb="FF000000"/>
        <rFont val="Arial"/>
        <family val="2"/>
      </rPr>
      <t>Low voltage breaker 225 Amps : 60 Watts</t>
    </r>
  </si>
  <si>
    <r>
      <t>·</t>
    </r>
    <r>
      <rPr>
        <sz val="10"/>
        <color rgb="FF000000"/>
        <rFont val="Times New Roman"/>
        <family val="1"/>
      </rPr>
      <t xml:space="preserve">        </t>
    </r>
    <r>
      <rPr>
        <sz val="10"/>
        <color rgb="FF000000"/>
        <rFont val="Arial"/>
        <family val="2"/>
      </rPr>
      <t>Low voltage breaker 400 Amps : 100 Watts</t>
    </r>
  </si>
  <si>
    <r>
      <t>·</t>
    </r>
    <r>
      <rPr>
        <sz val="10"/>
        <color rgb="FF000000"/>
        <rFont val="Times New Roman"/>
        <family val="1"/>
      </rPr>
      <t xml:space="preserve">        </t>
    </r>
    <r>
      <rPr>
        <sz val="10"/>
        <color rgb="FF000000"/>
        <rFont val="Arial"/>
        <family val="2"/>
      </rPr>
      <t>Low voltage breaker 600 Amps : 130 Watts</t>
    </r>
  </si>
  <si>
    <r>
      <t>·</t>
    </r>
    <r>
      <rPr>
        <sz val="10"/>
        <color rgb="FF000000"/>
        <rFont val="Times New Roman"/>
        <family val="1"/>
      </rPr>
      <t xml:space="preserve">        </t>
    </r>
    <r>
      <rPr>
        <sz val="10"/>
        <color rgb="FF000000"/>
        <rFont val="Arial"/>
        <family val="2"/>
      </rPr>
      <t>Low voltage breaker 800 Amps : 170 Watts</t>
    </r>
  </si>
  <si>
    <r>
      <t>·</t>
    </r>
    <r>
      <rPr>
        <sz val="10"/>
        <color rgb="FF000000"/>
        <rFont val="Times New Roman"/>
        <family val="1"/>
      </rPr>
      <t xml:space="preserve">        </t>
    </r>
    <r>
      <rPr>
        <sz val="10"/>
        <color rgb="FF000000"/>
        <rFont val="Arial"/>
        <family val="2"/>
      </rPr>
      <t>Low voltage breaker 1600 Amps : 460 Watts</t>
    </r>
  </si>
  <si>
    <r>
      <t>·</t>
    </r>
    <r>
      <rPr>
        <sz val="10"/>
        <color rgb="FF000000"/>
        <rFont val="Times New Roman"/>
        <family val="1"/>
      </rPr>
      <t xml:space="preserve">        </t>
    </r>
    <r>
      <rPr>
        <sz val="10"/>
        <color rgb="FF000000"/>
        <rFont val="Arial"/>
        <family val="2"/>
      </rPr>
      <t>Low voltage breaker 2000 Amps : 600 Watts</t>
    </r>
  </si>
  <si>
    <r>
      <t>·</t>
    </r>
    <r>
      <rPr>
        <sz val="10"/>
        <color rgb="FF000000"/>
        <rFont val="Times New Roman"/>
        <family val="1"/>
      </rPr>
      <t xml:space="preserve">        </t>
    </r>
    <r>
      <rPr>
        <sz val="10"/>
        <color rgb="FF000000"/>
        <rFont val="Arial"/>
        <family val="2"/>
      </rPr>
      <t>Low voltage breaker 3000 Amps : 1100 Watts</t>
    </r>
  </si>
  <si>
    <r>
      <t>·</t>
    </r>
    <r>
      <rPr>
        <sz val="10"/>
        <color rgb="FF000000"/>
        <rFont val="Times New Roman"/>
        <family val="1"/>
      </rPr>
      <t xml:space="preserve">        </t>
    </r>
    <r>
      <rPr>
        <sz val="10"/>
        <color rgb="FF000000"/>
        <rFont val="Arial"/>
        <family val="2"/>
      </rPr>
      <t>Low voltage breaker 4000 Amps : 1500 Watts</t>
    </r>
  </si>
  <si>
    <r>
      <t>·</t>
    </r>
    <r>
      <rPr>
        <sz val="10"/>
        <color rgb="FF000000"/>
        <rFont val="Times New Roman"/>
        <family val="1"/>
      </rPr>
      <t xml:space="preserve">        </t>
    </r>
    <r>
      <rPr>
        <sz val="10"/>
        <color rgb="FF000000"/>
        <rFont val="Arial"/>
        <family val="2"/>
      </rPr>
      <t>Medium voltage breaker/switch 600 Amps : 1000 Watts</t>
    </r>
  </si>
  <si>
    <r>
      <t>·</t>
    </r>
    <r>
      <rPr>
        <sz val="10"/>
        <color rgb="FF000000"/>
        <rFont val="Times New Roman"/>
        <family val="1"/>
      </rPr>
      <t xml:space="preserve">        </t>
    </r>
    <r>
      <rPr>
        <sz val="10"/>
        <color rgb="FF000000"/>
        <rFont val="Arial"/>
        <family val="2"/>
      </rPr>
      <t>Medium voltage breaker/switch 1200 Amps : 1500 Watts</t>
    </r>
  </si>
  <si>
    <r>
      <t>·</t>
    </r>
    <r>
      <rPr>
        <sz val="10"/>
        <color rgb="FF000000"/>
        <rFont val="Times New Roman"/>
        <family val="1"/>
      </rPr>
      <t xml:space="preserve">        </t>
    </r>
    <r>
      <rPr>
        <sz val="10"/>
        <color rgb="FF000000"/>
        <rFont val="Arial"/>
        <family val="2"/>
      </rPr>
      <t>Medium voltage breaker/switch 2000 Amps : 2000 Watts</t>
    </r>
  </si>
  <si>
    <r>
      <t>·</t>
    </r>
    <r>
      <rPr>
        <sz val="10"/>
        <color rgb="FF000000"/>
        <rFont val="Times New Roman"/>
        <family val="1"/>
      </rPr>
      <t xml:space="preserve">        </t>
    </r>
    <r>
      <rPr>
        <sz val="10"/>
        <color rgb="FF000000"/>
        <rFont val="Arial"/>
        <family val="2"/>
      </rPr>
      <t>Medium voltage breaker/switch 2500 Amps : 2500 Watts</t>
    </r>
  </si>
  <si>
    <r>
      <t>·</t>
    </r>
    <r>
      <rPr>
        <sz val="10"/>
        <color rgb="FF000000"/>
        <rFont val="Times New Roman"/>
        <family val="1"/>
      </rPr>
      <t xml:space="preserve">        </t>
    </r>
    <r>
      <rPr>
        <sz val="10"/>
        <color rgb="FF000000"/>
        <rFont val="Arial"/>
        <family val="2"/>
      </rPr>
      <t>Section : 500 Watts per section</t>
    </r>
  </si>
  <si>
    <r>
      <t>·</t>
    </r>
    <r>
      <rPr>
        <sz val="10"/>
        <color rgb="FF000000"/>
        <rFont val="Times New Roman"/>
        <family val="1"/>
      </rPr>
      <t xml:space="preserve">        </t>
    </r>
    <r>
      <rPr>
        <sz val="10"/>
        <color rgb="FF000000"/>
        <rFont val="Arial"/>
        <family val="2"/>
      </rPr>
      <t>Low voltage starters size 00 : 50 Watts</t>
    </r>
  </si>
  <si>
    <r>
      <t>·</t>
    </r>
    <r>
      <rPr>
        <sz val="10"/>
        <color rgb="FF000000"/>
        <rFont val="Times New Roman"/>
        <family val="1"/>
      </rPr>
      <t xml:space="preserve">        </t>
    </r>
    <r>
      <rPr>
        <sz val="10"/>
        <color rgb="FF000000"/>
        <rFont val="Arial"/>
        <family val="2"/>
      </rPr>
      <t>Low voltage starters size 0 : 50 Watts</t>
    </r>
  </si>
  <si>
    <r>
      <t>·</t>
    </r>
    <r>
      <rPr>
        <sz val="10"/>
        <color rgb="FF000000"/>
        <rFont val="Times New Roman"/>
        <family val="1"/>
      </rPr>
      <t xml:space="preserve">        </t>
    </r>
    <r>
      <rPr>
        <sz val="10"/>
        <color rgb="FF000000"/>
        <rFont val="Arial"/>
        <family val="2"/>
      </rPr>
      <t>Low voltage starters size 1 : 50 Watts</t>
    </r>
  </si>
  <si>
    <r>
      <t>·</t>
    </r>
    <r>
      <rPr>
        <sz val="10"/>
        <color rgb="FF000000"/>
        <rFont val="Times New Roman"/>
        <family val="1"/>
      </rPr>
      <t xml:space="preserve">        </t>
    </r>
    <r>
      <rPr>
        <sz val="10"/>
        <color rgb="FF000000"/>
        <rFont val="Arial"/>
        <family val="2"/>
      </rPr>
      <t>Low voltage starters size 2 : 100 Watts</t>
    </r>
  </si>
  <si>
    <r>
      <t>·</t>
    </r>
    <r>
      <rPr>
        <sz val="10"/>
        <color rgb="FF000000"/>
        <rFont val="Times New Roman"/>
        <family val="1"/>
      </rPr>
      <t xml:space="preserve">        </t>
    </r>
    <r>
      <rPr>
        <sz val="10"/>
        <color rgb="FF000000"/>
        <rFont val="Arial"/>
        <family val="2"/>
      </rPr>
      <t>Low voltage starters size 3 : 130 Watts</t>
    </r>
  </si>
  <si>
    <r>
      <t>·</t>
    </r>
    <r>
      <rPr>
        <sz val="10"/>
        <color rgb="FF000000"/>
        <rFont val="Times New Roman"/>
        <family val="1"/>
      </rPr>
      <t xml:space="preserve">        </t>
    </r>
    <r>
      <rPr>
        <sz val="10"/>
        <color rgb="FF000000"/>
        <rFont val="Arial"/>
        <family val="2"/>
      </rPr>
      <t>Low voltage starters size 4 : 200 Watts</t>
    </r>
  </si>
  <si>
    <r>
      <t>·</t>
    </r>
    <r>
      <rPr>
        <sz val="10"/>
        <color rgb="FF000000"/>
        <rFont val="Times New Roman"/>
        <family val="1"/>
      </rPr>
      <t xml:space="preserve">        </t>
    </r>
    <r>
      <rPr>
        <sz val="10"/>
        <color rgb="FF000000"/>
        <rFont val="Arial"/>
        <family val="2"/>
      </rPr>
      <t>Low voltage starters size 5 : 300 Watts</t>
    </r>
  </si>
  <si>
    <r>
      <t>·</t>
    </r>
    <r>
      <rPr>
        <sz val="10"/>
        <color rgb="FF000000"/>
        <rFont val="Times New Roman"/>
        <family val="1"/>
      </rPr>
      <t xml:space="preserve">        </t>
    </r>
    <r>
      <rPr>
        <sz val="10"/>
        <color rgb="FF000000"/>
        <rFont val="Arial"/>
        <family val="2"/>
      </rPr>
      <t>Low voltage starters size 6 : 650 Watts</t>
    </r>
  </si>
  <si>
    <r>
      <t>·</t>
    </r>
    <r>
      <rPr>
        <sz val="10"/>
        <color rgb="FF000000"/>
        <rFont val="Times New Roman"/>
        <family val="1"/>
      </rPr>
      <t xml:space="preserve">        </t>
    </r>
    <r>
      <rPr>
        <sz val="10"/>
        <color rgb="FF000000"/>
        <rFont val="Arial"/>
        <family val="2"/>
      </rPr>
      <t>Medium voltage starters size 200 Amp : 400 Watts</t>
    </r>
  </si>
  <si>
    <r>
      <t>·</t>
    </r>
    <r>
      <rPr>
        <sz val="10"/>
        <color rgb="FF000000"/>
        <rFont val="Times New Roman"/>
        <family val="1"/>
      </rPr>
      <t xml:space="preserve">        </t>
    </r>
    <r>
      <rPr>
        <sz val="10"/>
        <color rgb="FF000000"/>
        <rFont val="Arial"/>
        <family val="2"/>
      </rPr>
      <t>Medium voltage starters size 400 Amp : 1300 Watts</t>
    </r>
  </si>
  <si>
    <r>
      <t>·</t>
    </r>
    <r>
      <rPr>
        <sz val="10"/>
        <color rgb="FF000000"/>
        <rFont val="Times New Roman"/>
        <family val="1"/>
      </rPr>
      <t xml:space="preserve">        </t>
    </r>
    <r>
      <rPr>
        <sz val="10"/>
        <color rgb="FF000000"/>
        <rFont val="Arial"/>
        <family val="2"/>
      </rPr>
      <t>Medium voltage starters size 700 Amp : 1700 Watts</t>
    </r>
  </si>
  <si>
    <r>
      <t>·</t>
    </r>
    <r>
      <rPr>
        <sz val="10"/>
        <color rgb="FF000000"/>
        <rFont val="Times New Roman"/>
        <family val="1"/>
      </rPr>
      <t xml:space="preserve">        </t>
    </r>
    <r>
      <rPr>
        <sz val="10"/>
        <color rgb="FF000000"/>
        <rFont val="Arial"/>
        <family val="2"/>
      </rPr>
      <t>Variable frequency drive : 2 - 6% of kVA rating</t>
    </r>
  </si>
  <si>
    <r>
      <t>·</t>
    </r>
    <r>
      <rPr>
        <sz val="10"/>
        <color rgb="FF000000"/>
        <rFont val="Times New Roman"/>
        <family val="1"/>
      </rPr>
      <t xml:space="preserve">        </t>
    </r>
    <r>
      <rPr>
        <sz val="10"/>
        <color rgb="FF000000"/>
        <rFont val="Arial"/>
        <family val="2"/>
      </rPr>
      <t>Bus duct : 0.015 Watts /ft Amp</t>
    </r>
  </si>
  <si>
    <r>
      <t>·</t>
    </r>
    <r>
      <rPr>
        <sz val="10"/>
        <color rgb="FF000000"/>
        <rFont val="Times New Roman"/>
        <family val="1"/>
      </rPr>
      <t xml:space="preserve">        </t>
    </r>
    <r>
      <rPr>
        <sz val="10"/>
        <color rgb="FF000000"/>
        <rFont val="Arial"/>
        <family val="2"/>
      </rPr>
      <t>Capacitors : 2 Watts / KVAR</t>
    </r>
  </si>
  <si>
    <t>Project</t>
  </si>
  <si>
    <t>Podium</t>
  </si>
  <si>
    <t>Tower</t>
  </si>
  <si>
    <t>B/F</t>
  </si>
  <si>
    <t>Overall</t>
  </si>
  <si>
    <t>No of 
Key</t>
  </si>
  <si>
    <t>IPLV or NPLV</t>
  </si>
  <si>
    <t>NPLV = Non-standard Part-load Valve</t>
  </si>
  <si>
    <t>Operating
Hour</t>
  </si>
  <si>
    <t>Sub-
total</t>
  </si>
  <si>
    <t>Condensing water
temperature for IPLV*</t>
  </si>
  <si>
    <t>*Reference: ARI 550/590-1998</t>
  </si>
  <si>
    <t>Efficiency or Coefficient of Performance</t>
  </si>
  <si>
    <t>COP = 3.516/ ikW/RT</t>
  </si>
  <si>
    <t>Efficiency</t>
  </si>
  <si>
    <t>(Cooling Capacity / input power)</t>
  </si>
  <si>
    <t>(Input power/ Cooling Capacity)</t>
  </si>
  <si>
    <r>
      <t>AC area
(m</t>
    </r>
    <r>
      <rPr>
        <vertAlign val="superscript"/>
        <sz val="10"/>
        <rFont val="Arial"/>
        <family val="2"/>
      </rPr>
      <t>2</t>
    </r>
    <r>
      <rPr>
        <sz val="10"/>
        <rFont val="Arial"/>
        <family val="2"/>
      </rPr>
      <t>)</t>
    </r>
  </si>
  <si>
    <r>
      <t xml:space="preserve">23.9 </t>
    </r>
    <r>
      <rPr>
        <vertAlign val="superscript"/>
        <sz val="10"/>
        <rFont val="Arial"/>
        <family val="2"/>
      </rPr>
      <t>o</t>
    </r>
    <r>
      <rPr>
        <sz val="10"/>
        <rFont val="Arial"/>
        <family val="2"/>
      </rPr>
      <t>C</t>
    </r>
  </si>
  <si>
    <r>
      <t xml:space="preserve">18.3 </t>
    </r>
    <r>
      <rPr>
        <vertAlign val="superscript"/>
        <sz val="10"/>
        <rFont val="Arial"/>
        <family val="2"/>
      </rPr>
      <t>o</t>
    </r>
    <r>
      <rPr>
        <sz val="10"/>
        <rFont val="Arial"/>
        <family val="2"/>
      </rPr>
      <t>C</t>
    </r>
  </si>
  <si>
    <t>Heat Dissipation From Electrical Equipment</t>
  </si>
  <si>
    <t>Cooling Load &amp; Chillers</t>
  </si>
  <si>
    <t>IPLV = Integrated Part-load Valve</t>
  </si>
  <si>
    <t>Mpa</t>
  </si>
  <si>
    <t>Total Available Face Area</t>
  </si>
  <si>
    <r>
      <t>W/m</t>
    </r>
    <r>
      <rPr>
        <vertAlign val="superscript"/>
        <sz val="10"/>
        <rFont val="Arial"/>
        <family val="2"/>
      </rPr>
      <t>2</t>
    </r>
    <r>
      <rPr>
        <sz val="10"/>
        <rFont val="Arial"/>
        <family val="2"/>
      </rPr>
      <t>K</t>
    </r>
  </si>
  <si>
    <t>∆T</t>
  </si>
  <si>
    <t>Water Flow</t>
  </si>
  <si>
    <t>Heat Exchanger
U-valve</t>
  </si>
  <si>
    <t>Heat Transfer Area</t>
  </si>
  <si>
    <t>SX-20</t>
  </si>
  <si>
    <t>SX-40</t>
  </si>
  <si>
    <t>SX-70</t>
  </si>
  <si>
    <t>SX-80S</t>
  </si>
  <si>
    <t>SX-80M</t>
  </si>
  <si>
    <t>SX-80L</t>
  </si>
  <si>
    <r>
      <rPr>
        <b/>
        <sz val="10"/>
        <color rgb="FF669900"/>
        <rFont val="Arial"/>
        <family val="2"/>
      </rPr>
      <t>HISAKA</t>
    </r>
    <r>
      <rPr>
        <b/>
        <sz val="10"/>
        <rFont val="Arial"/>
        <family val="2"/>
      </rPr>
      <t xml:space="preserve"> Plate-type Heat Exchanger</t>
    </r>
  </si>
  <si>
    <t>Type</t>
  </si>
  <si>
    <t>Dimensions
LxWxH</t>
  </si>
  <si>
    <t>in</t>
  </si>
  <si>
    <t>out</t>
  </si>
  <si>
    <t>- Hot Side Out</t>
  </si>
  <si>
    <t>- Hot Side In</t>
  </si>
  <si>
    <t>- Cold Side In</t>
  </si>
  <si>
    <t>- Cold Side Out</t>
  </si>
  <si>
    <t>Hot Side</t>
  </si>
  <si>
    <t>Cold Side</t>
  </si>
  <si>
    <t>Hot</t>
  </si>
  <si>
    <t>Cold</t>
  </si>
  <si>
    <r>
      <rPr>
        <b/>
        <sz val="10"/>
        <color rgb="FF669900"/>
        <rFont val="Arial"/>
        <family val="2"/>
      </rPr>
      <t>HISAKA</t>
    </r>
    <r>
      <rPr>
        <b/>
        <sz val="10"/>
        <rFont val="Arial"/>
        <family val="2"/>
      </rPr>
      <t xml:space="preserve"> Online Selection:</t>
    </r>
  </si>
  <si>
    <t>6~15</t>
  </si>
  <si>
    <t>15~20</t>
  </si>
  <si>
    <t>Boiler room</t>
  </si>
  <si>
    <t>Carpark</t>
  </si>
  <si>
    <t>Garbage</t>
  </si>
  <si>
    <t>Kitchen (Chinese)</t>
  </si>
  <si>
    <t>Kitchen (Western)</t>
  </si>
  <si>
    <t>Laboratory</t>
  </si>
  <si>
    <t>Lift machine room</t>
  </si>
  <si>
    <t>Pump room</t>
  </si>
  <si>
    <t>Sewage treatment plant</t>
  </si>
  <si>
    <t>Storage</t>
  </si>
  <si>
    <t>Toilet</t>
  </si>
  <si>
    <t>Water meter room</t>
  </si>
  <si>
    <t>CIBSE Guide B2 - Table 3.1</t>
  </si>
  <si>
    <t>Supply Pipe</t>
  </si>
  <si>
    <t>Condensate Pipe</t>
  </si>
  <si>
    <t>Steam Velocity</t>
  </si>
  <si>
    <t xml:space="preserve">     - Steam Supply</t>
  </si>
  <si>
    <t xml:space="preserve">     - Condensate</t>
  </si>
  <si>
    <t xml:space="preserve">     - Header</t>
  </si>
  <si>
    <r>
      <t>*Steam Enthalpy h</t>
    </r>
    <r>
      <rPr>
        <vertAlign val="subscript"/>
        <sz val="10"/>
        <rFont val="Arial"/>
        <family val="2"/>
      </rPr>
      <t>g</t>
    </r>
  </si>
  <si>
    <r>
      <t>*Water Enthalpy h</t>
    </r>
    <r>
      <rPr>
        <vertAlign val="subscript"/>
        <sz val="10"/>
        <rFont val="Arial"/>
        <family val="2"/>
      </rPr>
      <t>f</t>
    </r>
  </si>
  <si>
    <t>*From Steam Properties Table</t>
  </si>
  <si>
    <t>Header*</t>
  </si>
  <si>
    <t>*Velocity = 10m/s</t>
  </si>
  <si>
    <t>Steam Boiler Plant</t>
  </si>
  <si>
    <t>Continuous Usage</t>
  </si>
  <si>
    <t>Yes</t>
  </si>
  <si>
    <t>No</t>
  </si>
  <si>
    <t>Condensate Tank (凝结水箱/ 軟水箱)</t>
  </si>
  <si>
    <t>= ton/hr x (1+ 0.13) x 1.1</t>
  </si>
  <si>
    <t>= 1.2~1.5 x 给水泵 flow</t>
  </si>
  <si>
    <t>Boiler</t>
  </si>
  <si>
    <t>Storage Duration</t>
  </si>
  <si>
    <t>Min. Size</t>
  </si>
  <si>
    <t xml:space="preserve"> per boiler</t>
  </si>
  <si>
    <t>Hot Water Boiler Plant</t>
  </si>
  <si>
    <t>- Hot Side</t>
  </si>
  <si>
    <t>- Cold Side</t>
  </si>
  <si>
    <t>Steam Boiler</t>
  </si>
  <si>
    <t>Hot Water Boiler</t>
  </si>
  <si>
    <r>
      <rPr>
        <vertAlign val="superscript"/>
        <sz val="9"/>
        <rFont val="Arial"/>
        <family val="2"/>
      </rPr>
      <t>o</t>
    </r>
    <r>
      <rPr>
        <sz val="9"/>
        <rFont val="Arial"/>
        <family val="2"/>
      </rPr>
      <t>C</t>
    </r>
  </si>
  <si>
    <t>= kW / 4.185 / ΔT</t>
  </si>
  <si>
    <t>m3/hr</t>
  </si>
  <si>
    <t>Water Out</t>
  </si>
  <si>
    <t>water Out</t>
  </si>
  <si>
    <t>MW</t>
  </si>
  <si>
    <t>Static Estimation</t>
  </si>
  <si>
    <t>Total friction loss</t>
  </si>
  <si>
    <t>Friction loss per meter</t>
  </si>
  <si>
    <t>Critical path length</t>
  </si>
  <si>
    <t>Components</t>
  </si>
  <si>
    <t>Static Estimation for Fan-duct System</t>
  </si>
  <si>
    <t xml:space="preserve">     - Vertical Pipe</t>
  </si>
  <si>
    <t xml:space="preserve">     - Horizontal Pipe</t>
  </si>
  <si>
    <t>Max. pressure loss per meter</t>
  </si>
  <si>
    <t>Total pipe friction loss</t>
  </si>
  <si>
    <t>Evapourator/ Hx Coil Loss</t>
  </si>
  <si>
    <t>Height Difference</t>
  </si>
  <si>
    <t xml:space="preserve">Total Pressure Loss </t>
  </si>
  <si>
    <t>(Pump Head)</t>
  </si>
  <si>
    <t>Pump Head Estimation</t>
  </si>
  <si>
    <t>1000~2000</t>
  </si>
  <si>
    <t>Pressure Drop</t>
  </si>
  <si>
    <t>by Velocity</t>
  </si>
  <si>
    <t>by Pressure loss</t>
  </si>
  <si>
    <t>by Duct Size</t>
  </si>
  <si>
    <t>Reference: 
1997 ASHRAE Handbook Fundamentals - Chapter 6</t>
  </si>
  <si>
    <t>Head cover</t>
  </si>
  <si>
    <t>Main Inlet/Outlet</t>
  </si>
  <si>
    <t>Branch 1</t>
  </si>
  <si>
    <t>Branch 2</t>
  </si>
  <si>
    <t>Branch 3</t>
  </si>
  <si>
    <t>Branch 4</t>
  </si>
  <si>
    <t>Branch 5</t>
  </si>
  <si>
    <t>Branch 6</t>
  </si>
  <si>
    <t>Branch 7</t>
  </si>
  <si>
    <t>Branch 8</t>
  </si>
  <si>
    <t>Branch 9</t>
  </si>
  <si>
    <t>Branch 10</t>
  </si>
  <si>
    <t>Header total length:</t>
  </si>
  <si>
    <t>計施工圖集: 05K232 分(集)水器 分汽缸</t>
  </si>
  <si>
    <t>Reference:</t>
  </si>
  <si>
    <t>Closed Circuit</t>
  </si>
  <si>
    <t>Open Circuit</t>
  </si>
  <si>
    <t>Pipe Sizing</t>
  </si>
  <si>
    <t>Header Size</t>
  </si>
  <si>
    <t xml:space="preserve"> </t>
  </si>
  <si>
    <r>
      <t>ft</t>
    </r>
    <r>
      <rPr>
        <vertAlign val="superscript"/>
        <sz val="10"/>
        <color rgb="FFFF0000"/>
        <rFont val="Arial"/>
        <family val="2"/>
      </rPr>
      <t>2</t>
    </r>
  </si>
  <si>
    <r>
      <t>m</t>
    </r>
    <r>
      <rPr>
        <vertAlign val="superscript"/>
        <sz val="10"/>
        <color rgb="FFFF0000"/>
        <rFont val="Arial"/>
        <family val="2"/>
      </rPr>
      <t>2</t>
    </r>
  </si>
  <si>
    <r>
      <rPr>
        <vertAlign val="superscript"/>
        <sz val="10"/>
        <rFont val="Arial"/>
        <family val="2"/>
      </rPr>
      <t>o</t>
    </r>
    <r>
      <rPr>
        <sz val="10"/>
        <rFont val="Arial"/>
        <family val="2"/>
      </rPr>
      <t>C</t>
    </r>
  </si>
  <si>
    <t>輸送能效比  ER</t>
  </si>
  <si>
    <t>計算輸送能效比</t>
  </si>
  <si>
    <t>節能規範 GB50189-2005 - 5.3.27</t>
  </si>
  <si>
    <t>ER = 0.002342 H (∆t x Ƞ)</t>
  </si>
  <si>
    <t>國內空調冷負荷設計指標的統計值</t>
  </si>
  <si>
    <t>建築類型及房間名稱</t>
  </si>
  <si>
    <t>旅遊旅館: 客房(標準層)</t>
  </si>
  <si>
    <t>南京萬豪</t>
  </si>
  <si>
    <t xml:space="preserve">         西餐廳</t>
  </si>
  <si>
    <t xml:space="preserve">         中餐廳、宴會廳</t>
  </si>
  <si>
    <t xml:space="preserve">         商店、小賣部</t>
  </si>
  <si>
    <t>小會議室(允許少量吸煙)</t>
  </si>
  <si>
    <t>大會議室（不許吸煙）</t>
  </si>
  <si>
    <t xml:space="preserve">         理髮、美容</t>
  </si>
  <si>
    <t xml:space="preserve">         健身房、保齡球</t>
  </si>
  <si>
    <t xml:space="preserve">         彈子房</t>
  </si>
  <si>
    <t xml:space="preserve">         室內游泳池</t>
  </si>
  <si>
    <t xml:space="preserve">         舞廳(交誼舞)</t>
  </si>
  <si>
    <t xml:space="preserve">         舞廳(迪斯可)</t>
  </si>
  <si>
    <t xml:space="preserve">         辦公</t>
  </si>
  <si>
    <t>醫院:高級病房</t>
  </si>
  <si>
    <t xml:space="preserve">        一般手術室</t>
  </si>
  <si>
    <t xml:space="preserve">        潔淨手術室</t>
  </si>
  <si>
    <t xml:space="preserve">        X光、CT、B超診斷</t>
  </si>
  <si>
    <t xml:space="preserve"> 商場、百貨大樓:營業室</t>
  </si>
  <si>
    <t xml:space="preserve"> 影劇院:觀眾席</t>
  </si>
  <si>
    <t xml:space="preserve">        休息廳(允許吸煙)</t>
  </si>
  <si>
    <t xml:space="preserve">        化粧室</t>
  </si>
  <si>
    <t xml:space="preserve"> 體育館:比賽館</t>
  </si>
  <si>
    <t xml:space="preserve">        觀眾休息廳(允許吸煙)</t>
  </si>
  <si>
    <t xml:space="preserve">        貴賓室</t>
  </si>
  <si>
    <t xml:space="preserve">        展覽廳、陳列室</t>
  </si>
  <si>
    <t xml:space="preserve">        會堂、報告廳</t>
  </si>
  <si>
    <t xml:space="preserve">        圖書閱覽</t>
  </si>
  <si>
    <t xml:space="preserve">        科研、辦公</t>
  </si>
  <si>
    <t xml:space="preserve">        餐館</t>
  </si>
  <si>
    <r>
      <t>指標(W/m</t>
    </r>
    <r>
      <rPr>
        <vertAlign val="superscript"/>
        <sz val="10"/>
        <color theme="0"/>
        <rFont val="Arial"/>
        <family val="2"/>
      </rPr>
      <t>2</t>
    </r>
    <r>
      <rPr>
        <sz val="10"/>
        <color theme="0"/>
        <rFont val="Arial"/>
        <family val="2"/>
      </rPr>
      <t>)</t>
    </r>
  </si>
  <si>
    <t>80~110</t>
  </si>
  <si>
    <t>100~180</t>
  </si>
  <si>
    <t>160~200</t>
  </si>
  <si>
    <t>180~350</t>
  </si>
  <si>
    <t>100~160</t>
  </si>
  <si>
    <t>90~120</t>
  </si>
  <si>
    <t>200~300</t>
  </si>
  <si>
    <t>180~280</t>
  </si>
  <si>
    <t>120~180</t>
  </si>
  <si>
    <t>100~200</t>
  </si>
  <si>
    <t>200~350</t>
  </si>
  <si>
    <t>200~250</t>
  </si>
  <si>
    <t>250~350</t>
  </si>
  <si>
    <t>100~150</t>
  </si>
  <si>
    <t>300~500</t>
  </si>
  <si>
    <t>120~150</t>
  </si>
  <si>
    <t>150~250</t>
  </si>
  <si>
    <t>300~400</t>
  </si>
  <si>
    <t>120~250</t>
  </si>
  <si>
    <t>100~120</t>
  </si>
  <si>
    <t>130~200</t>
  </si>
  <si>
    <t>150~200</t>
  </si>
  <si>
    <t>75~100</t>
  </si>
  <si>
    <t>90~140</t>
  </si>
  <si>
    <t>80~90</t>
  </si>
  <si>
    <t>ft2/HP</t>
  </si>
  <si>
    <r>
      <t>ft</t>
    </r>
    <r>
      <rPr>
        <vertAlign val="superscript"/>
        <sz val="10"/>
        <color rgb="FF0000FF"/>
        <rFont val="Arial"/>
        <family val="2"/>
      </rPr>
      <t>2</t>
    </r>
    <r>
      <rPr>
        <sz val="10"/>
        <color rgb="FF0000FF"/>
        <rFont val="Arial"/>
        <family val="2"/>
      </rPr>
      <t>/HP</t>
    </r>
  </si>
  <si>
    <t>Model: Savier - A1 Series</t>
  </si>
  <si>
    <t>Websites</t>
  </si>
  <si>
    <t>Fan Coil Unit</t>
  </si>
  <si>
    <r>
      <t xml:space="preserve">29.4 </t>
    </r>
    <r>
      <rPr>
        <vertAlign val="superscript"/>
        <sz val="10"/>
        <rFont val="Arial"/>
        <family val="2"/>
      </rPr>
      <t>o</t>
    </r>
    <r>
      <rPr>
        <sz val="10"/>
        <rFont val="Arial"/>
        <family val="2"/>
      </rPr>
      <t>C</t>
    </r>
  </si>
  <si>
    <t>ikW/RT</t>
  </si>
  <si>
    <t>Boiler Physical Facts</t>
  </si>
  <si>
    <t xml:space="preserve">   富尔顿 Fulton RB Series Hot Water Boiler</t>
  </si>
  <si>
    <t>Ebara WNS</t>
  </si>
  <si>
    <t>Fulton FB-S</t>
  </si>
  <si>
    <t>江苏双良
WNS II S</t>
  </si>
  <si>
    <t>Combined Chimney</t>
  </si>
  <si>
    <t>Boiler 1</t>
  </si>
  <si>
    <t>Boiler 2</t>
  </si>
  <si>
    <t>Boiler 3</t>
  </si>
  <si>
    <t>Boiler 4</t>
  </si>
  <si>
    <t>Boiler 5</t>
  </si>
  <si>
    <t>kcal/hr</t>
  </si>
  <si>
    <t>Mcal/hr</t>
  </si>
  <si>
    <r>
      <t xml:space="preserve">Capacity
at </t>
    </r>
    <r>
      <rPr>
        <sz val="9"/>
        <color rgb="FFFF0000"/>
        <rFont val="Arial"/>
        <family val="2"/>
      </rPr>
      <t>10bar</t>
    </r>
  </si>
  <si>
    <t>梯間加壓送風估算</t>
  </si>
  <si>
    <t>梯間類型</t>
  </si>
  <si>
    <t>基本加壓送風量(m3/h)</t>
  </si>
  <si>
    <t>負擔&lt;20層</t>
  </si>
  <si>
    <t>負擔20~32 層</t>
  </si>
  <si>
    <t>梯間層數</t>
  </si>
  <si>
    <t>層</t>
  </si>
  <si>
    <t>防煙樓梯間(前室不送風)</t>
  </si>
  <si>
    <t>防煙樓梯間及合用前室(防煙梯間)</t>
  </si>
  <si>
    <t>防煙樓梯間及合用前室(合用前室)</t>
  </si>
  <si>
    <t>消防電梯間前室</t>
  </si>
  <si>
    <t>基本加壓送風量:</t>
  </si>
  <si>
    <t>防煙樓梯採用自然排煙</t>
  </si>
  <si>
    <t>樓層比例調整送風量:</t>
  </si>
  <si>
    <t>參照&lt;高層民用建築設計防火規範&gt; GB50045-95 2005版</t>
  </si>
  <si>
    <t>單/雙扇門</t>
  </si>
  <si>
    <t>單/雙扇門修正係數:</t>
  </si>
  <si>
    <t>出入口數量</t>
  </si>
  <si>
    <t>出入口數量修正係數:</t>
  </si>
  <si>
    <t>估算風機加壓送風量</t>
  </si>
  <si>
    <t>單</t>
  </si>
  <si>
    <t>雙</t>
  </si>
  <si>
    <t>Sound Level Calculations</t>
  </si>
  <si>
    <r>
      <t>Q</t>
    </r>
    <r>
      <rPr>
        <b/>
        <vertAlign val="subscript"/>
        <sz val="10"/>
        <color indexed="12"/>
        <rFont val="Arial"/>
        <family val="2"/>
      </rPr>
      <t>θ</t>
    </r>
  </si>
  <si>
    <r>
      <t>SPL</t>
    </r>
    <r>
      <rPr>
        <b/>
        <vertAlign val="subscript"/>
        <sz val="10"/>
        <color rgb="FF008000"/>
        <rFont val="Arial"/>
        <family val="2"/>
      </rPr>
      <t>r =</t>
    </r>
    <r>
      <rPr>
        <b/>
        <sz val="10"/>
        <color rgb="FF008000"/>
        <rFont val="Arial"/>
        <family val="2"/>
      </rPr>
      <t xml:space="preserve"> SWL - 10 log(4πr</t>
    </r>
    <r>
      <rPr>
        <b/>
        <vertAlign val="superscript"/>
        <sz val="10"/>
        <color rgb="FF008000"/>
        <rFont val="Arial"/>
        <family val="2"/>
      </rPr>
      <t>2</t>
    </r>
    <r>
      <rPr>
        <b/>
        <sz val="10"/>
        <color rgb="FF008000"/>
        <rFont val="Arial"/>
        <family val="2"/>
      </rPr>
      <t>) + 10 log (Q</t>
    </r>
    <r>
      <rPr>
        <b/>
        <vertAlign val="subscript"/>
        <sz val="10"/>
        <color rgb="FF008000"/>
        <rFont val="Arial"/>
        <family val="2"/>
      </rPr>
      <t>θ</t>
    </r>
    <r>
      <rPr>
        <b/>
        <sz val="10"/>
        <color rgb="FF008000"/>
        <rFont val="Arial"/>
        <family val="2"/>
      </rPr>
      <t>)</t>
    </r>
  </si>
  <si>
    <r>
      <t>SWL = SPL</t>
    </r>
    <r>
      <rPr>
        <b/>
        <vertAlign val="subscript"/>
        <sz val="10"/>
        <color rgb="FF008000"/>
        <rFont val="Arial"/>
        <family val="2"/>
      </rPr>
      <t xml:space="preserve">r </t>
    </r>
    <r>
      <rPr>
        <b/>
        <sz val="10"/>
        <color rgb="FF008000"/>
        <rFont val="Arial"/>
        <family val="2"/>
      </rPr>
      <t xml:space="preserve"> + 10 log(4πr</t>
    </r>
    <r>
      <rPr>
        <b/>
        <vertAlign val="superscript"/>
        <sz val="10"/>
        <color rgb="FF008000"/>
        <rFont val="Arial"/>
        <family val="2"/>
      </rPr>
      <t>2</t>
    </r>
    <r>
      <rPr>
        <b/>
        <sz val="10"/>
        <color rgb="FF008000"/>
        <rFont val="Arial"/>
        <family val="2"/>
      </rPr>
      <t>) - 10 log (Q</t>
    </r>
    <r>
      <rPr>
        <b/>
        <vertAlign val="subscript"/>
        <sz val="10"/>
        <color rgb="FF008000"/>
        <rFont val="Arial"/>
        <family val="2"/>
      </rPr>
      <t>θ</t>
    </r>
    <r>
      <rPr>
        <b/>
        <sz val="10"/>
        <color rgb="FF008000"/>
        <rFont val="Arial"/>
        <family val="2"/>
      </rPr>
      <t>)</t>
    </r>
  </si>
  <si>
    <r>
      <t>SL</t>
    </r>
    <r>
      <rPr>
        <b/>
        <vertAlign val="subscript"/>
        <sz val="10"/>
        <color rgb="FF008000"/>
        <rFont val="Arial"/>
        <family val="2"/>
      </rPr>
      <t xml:space="preserve">N </t>
    </r>
    <r>
      <rPr>
        <b/>
        <sz val="10"/>
        <color rgb="FF008000"/>
        <rFont val="Arial"/>
        <family val="2"/>
      </rPr>
      <t xml:space="preserve"> = 10 log( 10</t>
    </r>
    <r>
      <rPr>
        <b/>
        <vertAlign val="superscript"/>
        <sz val="10"/>
        <color rgb="FF008000"/>
        <rFont val="Arial"/>
        <family val="2"/>
      </rPr>
      <t>0.1 SL1</t>
    </r>
    <r>
      <rPr>
        <b/>
        <sz val="10"/>
        <color rgb="FF008000"/>
        <rFont val="Arial"/>
        <family val="2"/>
      </rPr>
      <t xml:space="preserve"> + 10</t>
    </r>
    <r>
      <rPr>
        <b/>
        <vertAlign val="superscript"/>
        <sz val="10"/>
        <color rgb="FF008000"/>
        <rFont val="Arial"/>
        <family val="2"/>
      </rPr>
      <t xml:space="preserve">0.1 SL2 </t>
    </r>
    <r>
      <rPr>
        <b/>
        <sz val="10"/>
        <color rgb="FF008000"/>
        <rFont val="Arial"/>
        <family val="2"/>
      </rPr>
      <t>+ … + 10</t>
    </r>
    <r>
      <rPr>
        <b/>
        <vertAlign val="superscript"/>
        <sz val="10"/>
        <color rgb="FF008000"/>
        <rFont val="Arial"/>
        <family val="2"/>
      </rPr>
      <t>0.1 SLn</t>
    </r>
    <r>
      <rPr>
        <b/>
        <sz val="10"/>
        <color rgb="FF008000"/>
        <rFont val="Arial"/>
        <family val="2"/>
      </rPr>
      <t>)</t>
    </r>
  </si>
  <si>
    <t>Heating
Coil* kW</t>
  </si>
  <si>
    <t>CHWS/R
L/s*</t>
  </si>
  <si>
    <t>HWS/R
L/s*</t>
  </si>
  <si>
    <t>Quick Pipe Sizing for FCUs</t>
  </si>
  <si>
    <t>2) Heating water supply temperature = 60°C</t>
  </si>
  <si>
    <t>3) Entering Air Condition:</t>
  </si>
  <si>
    <r>
      <t xml:space="preserve">    Cooling</t>
    </r>
    <r>
      <rPr>
        <sz val="8"/>
        <rFont val="Arial"/>
        <family val="2"/>
      </rPr>
      <t>: DB=24°C  RH: 50%</t>
    </r>
  </si>
  <si>
    <r>
      <t xml:space="preserve">    Heating</t>
    </r>
    <r>
      <rPr>
        <sz val="8"/>
        <rFont val="Arial"/>
        <family val="2"/>
      </rPr>
      <t>: DB=21°C  RH:40%</t>
    </r>
  </si>
  <si>
    <t>Condensate</t>
  </si>
  <si>
    <t>Available Dehumidification (Condensate)</t>
  </si>
  <si>
    <t>1:70</t>
  </si>
  <si>
    <t>1:40</t>
  </si>
  <si>
    <t>1:90</t>
  </si>
  <si>
    <t>1:100</t>
  </si>
  <si>
    <t>1:120</t>
  </si>
  <si>
    <t>Slope</t>
  </si>
  <si>
    <t>Horizontal 2/3 bore</t>
  </si>
  <si>
    <t>Stack 
1/4 bore</t>
  </si>
  <si>
    <t>AHU CDP</t>
  </si>
  <si>
    <t>PAU CDP</t>
  </si>
  <si>
    <t>Dehumidification (Condensate)</t>
  </si>
  <si>
    <t>Horizontal
2/3 bore</t>
  </si>
  <si>
    <t>L = 130 + ∑L1~L12 + 120 + 2h</t>
  </si>
  <si>
    <t>Pipe Dia.
mm</t>
  </si>
  <si>
    <t>The above table is just for reference. For detailed estimation of condensate flow and pipe sizing, please refer to "Coil Load" calculation and drain pipe sizing table below.</t>
  </si>
  <si>
    <t>Drain Pipe Sizing</t>
  </si>
  <si>
    <t>Velocity
m/s</t>
  </si>
  <si>
    <t>Total
RT</t>
  </si>
  <si>
    <r>
      <t>GFA
(m</t>
    </r>
    <r>
      <rPr>
        <vertAlign val="superscript"/>
        <sz val="10"/>
        <rFont val="Arial"/>
        <family val="2"/>
      </rPr>
      <t>2</t>
    </r>
    <r>
      <rPr>
        <sz val="10"/>
        <rFont val="Arial"/>
        <family val="2"/>
      </rPr>
      <t>)</t>
    </r>
  </si>
  <si>
    <r>
      <t>Cooling Load Density (W/m</t>
    </r>
    <r>
      <rPr>
        <vertAlign val="superscript"/>
        <sz val="10"/>
        <rFont val="Calibri"/>
        <family val="2"/>
      </rPr>
      <t>2</t>
    </r>
    <r>
      <rPr>
        <sz val="10"/>
        <rFont val="Calibri"/>
        <family val="2"/>
      </rPr>
      <t>)</t>
    </r>
  </si>
  <si>
    <t>靜安嘉里</t>
  </si>
  <si>
    <t>Plant Capacity References</t>
  </si>
  <si>
    <t>Toshiba</t>
  </si>
  <si>
    <t>Hitachi</t>
  </si>
  <si>
    <r>
      <t xml:space="preserve">Internal Static </t>
    </r>
    <r>
      <rPr>
        <i/>
        <sz val="8"/>
        <color theme="0"/>
        <rFont val="Arial"/>
        <family val="2"/>
      </rPr>
      <t>(for AHU/ PAU Only)</t>
    </r>
  </si>
  <si>
    <t>Rectangular
Duct</t>
  </si>
  <si>
    <t>Select</t>
  </si>
  <si>
    <t>Input Energy</t>
  </si>
  <si>
    <t>Output Energy</t>
  </si>
  <si>
    <t>Pre-heat Steam Coil</t>
  </si>
  <si>
    <t>Heating Steam Coil</t>
  </si>
  <si>
    <t>Specific Enthalpy (kJ/kg)</t>
  </si>
  <si>
    <t>kg/kg</t>
  </si>
  <si>
    <t xml:space="preserve">            - Pressure loss</t>
  </si>
  <si>
    <t xml:space="preserve">            - Velocity</t>
  </si>
  <si>
    <t>Chilled Water</t>
  </si>
  <si>
    <t>Hot Water</t>
  </si>
  <si>
    <t>Size by Capacity</t>
  </si>
  <si>
    <t>Size by Flow Rate</t>
  </si>
  <si>
    <r>
      <t>Q</t>
    </r>
    <r>
      <rPr>
        <vertAlign val="subscript"/>
        <sz val="9"/>
        <rFont val="Arial"/>
        <family val="2"/>
      </rPr>
      <t>L,space</t>
    </r>
  </si>
  <si>
    <r>
      <t>Q</t>
    </r>
    <r>
      <rPr>
        <vertAlign val="subscript"/>
        <sz val="9"/>
        <rFont val="Arial"/>
        <family val="2"/>
      </rPr>
      <t>S,space</t>
    </r>
  </si>
  <si>
    <t>Actual Achievable Room Relative Humidity</t>
  </si>
  <si>
    <t>Total Cooling Coil Load</t>
  </si>
  <si>
    <t>Sensible Cooling Coil Load</t>
  </si>
  <si>
    <t>(Overridding)</t>
  </si>
  <si>
    <t>HT Bay</t>
  </si>
  <si>
    <t>大連朗豪</t>
  </si>
  <si>
    <t>3 X 500RT</t>
  </si>
  <si>
    <t>Speed</t>
  </si>
  <si>
    <t>Inverter</t>
  </si>
  <si>
    <t>Refrigerant</t>
  </si>
  <si>
    <t>Indoor unit</t>
  </si>
  <si>
    <t>01</t>
  </si>
  <si>
    <t>02</t>
  </si>
  <si>
    <t>03</t>
  </si>
  <si>
    <t>04</t>
  </si>
  <si>
    <t>Cooling Only</t>
  </si>
  <si>
    <t>B</t>
  </si>
  <si>
    <t>Outdoor unit</t>
  </si>
  <si>
    <t>SPL</t>
  </si>
  <si>
    <t>Electrical</t>
  </si>
  <si>
    <t>Running Amp</t>
  </si>
  <si>
    <t>Energy Label</t>
  </si>
  <si>
    <t>Limitations</t>
  </si>
  <si>
    <t>Max. Pipe Length</t>
  </si>
  <si>
    <t>Max. Height</t>
  </si>
  <si>
    <t>Cooling only</t>
  </si>
  <si>
    <t>Unit</t>
  </si>
  <si>
    <t>Mitsubishi
Electric</t>
  </si>
  <si>
    <t>Sharp</t>
  </si>
  <si>
    <t>Fixed</t>
  </si>
  <si>
    <t>R410A</t>
  </si>
  <si>
    <t>A01</t>
  </si>
  <si>
    <t>42KCER09A</t>
  </si>
  <si>
    <t>FTWN25JV1</t>
  </si>
  <si>
    <t>ASWA09J</t>
  </si>
  <si>
    <t>RASE10CYK</t>
  </si>
  <si>
    <t>MSC-09CRN1</t>
  </si>
  <si>
    <t>MSC-GE25VB</t>
  </si>
  <si>
    <t>CS-V9KKA</t>
  </si>
  <si>
    <t>RS-V9KK</t>
  </si>
  <si>
    <t>AH-A9LCA</t>
  </si>
  <si>
    <t>RAS-10SKP-ES</t>
  </si>
  <si>
    <t>Heating Capacity</t>
  </si>
  <si>
    <t>Depth</t>
  </si>
  <si>
    <t>38KCER09A</t>
  </si>
  <si>
    <t>RWN25JV1</t>
  </si>
  <si>
    <t>AOWR09J</t>
  </si>
  <si>
    <t>RACE10CYK</t>
  </si>
  <si>
    <t>MU-GA25VB</t>
  </si>
  <si>
    <t>CU-V9KKA</t>
  </si>
  <si>
    <t>RAS-10SA-ES</t>
  </si>
  <si>
    <t>Power Consumption</t>
  </si>
  <si>
    <t>Max. Length</t>
  </si>
  <si>
    <t>Grade 1</t>
  </si>
  <si>
    <t>Grade 1 (DC)</t>
  </si>
  <si>
    <t>A02</t>
  </si>
  <si>
    <t>42KCER12A</t>
  </si>
  <si>
    <t>FTWN35JV1</t>
  </si>
  <si>
    <t>ASWA12J</t>
  </si>
  <si>
    <t>RASE13CYK</t>
  </si>
  <si>
    <t>MSC-12CRN1</t>
  </si>
  <si>
    <t>MSC-GE35VB</t>
  </si>
  <si>
    <t>CS-V12KKA</t>
  </si>
  <si>
    <t>RS-V12KK</t>
  </si>
  <si>
    <t>AH-A12LCA</t>
  </si>
  <si>
    <t>RAS-13SKP-ES</t>
  </si>
  <si>
    <t>38KCER12A</t>
  </si>
  <si>
    <t>RWN35JV1</t>
  </si>
  <si>
    <t>AOWR12J</t>
  </si>
  <si>
    <t>RACE13CYK</t>
  </si>
  <si>
    <t>MU-GA35VB</t>
  </si>
  <si>
    <t>CU-V12KKA</t>
  </si>
  <si>
    <t>RAS-13SA-ES</t>
  </si>
  <si>
    <t>A03</t>
  </si>
  <si>
    <t>42KCER18A</t>
  </si>
  <si>
    <t>FTN50JV1</t>
  </si>
  <si>
    <t>ASWA18J</t>
  </si>
  <si>
    <t>RASE18CYK</t>
  </si>
  <si>
    <t>MSC-18CRN1</t>
  </si>
  <si>
    <t>MS-GE50VB</t>
  </si>
  <si>
    <t>CS-V18KKA</t>
  </si>
  <si>
    <t>RS-V18KK</t>
  </si>
  <si>
    <t>AH-A18LCA</t>
  </si>
  <si>
    <t>RAS-18SKP-ES</t>
  </si>
  <si>
    <t>38KCER18A</t>
  </si>
  <si>
    <t>RN50JV1</t>
  </si>
  <si>
    <t>AOWR18J</t>
  </si>
  <si>
    <t>RACE18CYK</t>
  </si>
  <si>
    <t>MU-GA50VB</t>
  </si>
  <si>
    <t>CU-V18KKA</t>
  </si>
  <si>
    <t>RAS-18SA-ES</t>
  </si>
  <si>
    <t>Grade 2</t>
  </si>
  <si>
    <t>Heat pump</t>
  </si>
  <si>
    <t>B01</t>
  </si>
  <si>
    <t>Mitsubishi
Heavy</t>
  </si>
  <si>
    <t>42QCER09A</t>
  </si>
  <si>
    <t>ASWA09L</t>
  </si>
  <si>
    <t>RASX10HAK</t>
  </si>
  <si>
    <t>MSR1-09HRN1</t>
  </si>
  <si>
    <t>SRKQI25H</t>
  </si>
  <si>
    <t>CS-RE9MKA</t>
  </si>
  <si>
    <t>RAS-10SKHP-ES</t>
  </si>
  <si>
    <t>4MWW3509FABAA</t>
  </si>
  <si>
    <t>MHH09</t>
  </si>
  <si>
    <t>38QCER09A</t>
  </si>
  <si>
    <t>RXS25EBVMA</t>
  </si>
  <si>
    <t>AOWA09L</t>
  </si>
  <si>
    <t>RACX10HAK</t>
  </si>
  <si>
    <t>MUH-GA25VB</t>
  </si>
  <si>
    <t>SRCQI25H</t>
  </si>
  <si>
    <t>CU-RE9MKA</t>
  </si>
  <si>
    <t>RAS-10S2AH-ES</t>
  </si>
  <si>
    <t>4TWK3509FABAA</t>
  </si>
  <si>
    <t>BOH09</t>
  </si>
  <si>
    <t>B02</t>
  </si>
  <si>
    <t>EEL A</t>
  </si>
  <si>
    <t>Grade 1 (?)</t>
  </si>
  <si>
    <t>42QCER12A</t>
  </si>
  <si>
    <t>ASWA12L</t>
  </si>
  <si>
    <t>RASX13HAK</t>
  </si>
  <si>
    <t>MSR1-12HRN1</t>
  </si>
  <si>
    <t>SRKQI35H</t>
  </si>
  <si>
    <t>CS-RE12MKA</t>
  </si>
  <si>
    <t>RAS-13SKHP-ES</t>
  </si>
  <si>
    <t>4MWW3512FABAA</t>
  </si>
  <si>
    <t>MHH12</t>
  </si>
  <si>
    <t>38QCER12A</t>
  </si>
  <si>
    <t>RXS35EBVMA</t>
  </si>
  <si>
    <t>AOWA12L</t>
  </si>
  <si>
    <t>RACX13HAK</t>
  </si>
  <si>
    <t>MUH-GA35VB</t>
  </si>
  <si>
    <t>SRCQI35H</t>
  </si>
  <si>
    <t>CU-RE12MKA</t>
  </si>
  <si>
    <t>RAS-13S2AH-ES</t>
  </si>
  <si>
    <t>4TWK3512FABAA</t>
  </si>
  <si>
    <t>BOH12</t>
  </si>
  <si>
    <t>B03</t>
  </si>
  <si>
    <t>42QCER18A</t>
  </si>
  <si>
    <t>ASWA18L</t>
  </si>
  <si>
    <t>RASX18HAK</t>
  </si>
  <si>
    <t>MSR1-18HRN1</t>
  </si>
  <si>
    <t>MSH-GE50VB</t>
  </si>
  <si>
    <t>SRKMI50IA</t>
  </si>
  <si>
    <t>CS-RE18MKA</t>
  </si>
  <si>
    <t>RAS-18SKHP-ES</t>
  </si>
  <si>
    <t>4MWW3518FABAA</t>
  </si>
  <si>
    <t>MHH18</t>
  </si>
  <si>
    <t>38QCER18A</t>
  </si>
  <si>
    <t>RXS50FVMA</t>
  </si>
  <si>
    <t>AOWA18L</t>
  </si>
  <si>
    <t>RACX18HAK</t>
  </si>
  <si>
    <t>MUH-GA50VB</t>
  </si>
  <si>
    <t>SRCM50IA</t>
  </si>
  <si>
    <t>CU-RE18MKA</t>
  </si>
  <si>
    <t>RAS-18S2AH-ES</t>
  </si>
  <si>
    <t>4TWK3518FABAA</t>
  </si>
  <si>
    <t>BOH18</t>
  </si>
  <si>
    <t>B04</t>
  </si>
  <si>
    <t>EEL C</t>
  </si>
  <si>
    <t>42QCER22A</t>
  </si>
  <si>
    <t>ASWA24L</t>
  </si>
  <si>
    <t>RAS70YH7</t>
  </si>
  <si>
    <t>MSR1-24HRN1</t>
  </si>
  <si>
    <t>MSH-GA60VB</t>
  </si>
  <si>
    <t>SRK71ZK-S</t>
  </si>
  <si>
    <t>CS-RE24MKA</t>
  </si>
  <si>
    <t>RAS-24SKHP-ES</t>
  </si>
  <si>
    <t>4MWW3524FABAA</t>
  </si>
  <si>
    <t>MHH25</t>
  </si>
  <si>
    <t>38QCER22A</t>
  </si>
  <si>
    <t>RXS60FVMA</t>
  </si>
  <si>
    <t>AOWA24L</t>
  </si>
  <si>
    <t>RAC70YH7</t>
  </si>
  <si>
    <t>MUH-GA60VB</t>
  </si>
  <si>
    <t>CU-RE24MKA</t>
  </si>
  <si>
    <t>RAS-24S2AH-ES</t>
  </si>
  <si>
    <t>4TWK3524FABAA</t>
  </si>
  <si>
    <t>BOH25</t>
  </si>
  <si>
    <t>47/42/33</t>
  </si>
  <si>
    <t>EEL D</t>
  </si>
  <si>
    <t>Grade 2 (?)</t>
  </si>
  <si>
    <t xml:space="preserve">          - Height</t>
  </si>
  <si>
    <t xml:space="preserve">          - Width</t>
  </si>
  <si>
    <t xml:space="preserve">          -Depth</t>
  </si>
  <si>
    <t xml:space="preserve">          - Cooling</t>
  </si>
  <si>
    <t xml:space="preserve">          - Heating</t>
  </si>
  <si>
    <t>Cooling Cap @27DB</t>
  </si>
  <si>
    <t>Cooling Cap @24DB</t>
  </si>
  <si>
    <r>
      <t xml:space="preserve">Capacity @ </t>
    </r>
    <r>
      <rPr>
        <b/>
        <sz val="8"/>
        <color rgb="FF008000"/>
        <rFont val="Arial"/>
        <family val="2"/>
      </rPr>
      <t>24</t>
    </r>
    <r>
      <rPr>
        <b/>
        <vertAlign val="superscript"/>
        <sz val="8"/>
        <color rgb="FF008000"/>
        <rFont val="Arial"/>
        <family val="2"/>
      </rPr>
      <t>o</t>
    </r>
    <r>
      <rPr>
        <b/>
        <sz val="8"/>
        <color rgb="FF008000"/>
        <rFont val="Arial"/>
        <family val="2"/>
      </rPr>
      <t>C/50%</t>
    </r>
  </si>
  <si>
    <t>FTXS25EVMA</t>
  </si>
  <si>
    <t>FTXS35EVMA</t>
  </si>
  <si>
    <t>FTXS50FVMA</t>
  </si>
  <si>
    <t>FTXS60FVMA</t>
  </si>
  <si>
    <t>Single-split Units</t>
  </si>
  <si>
    <t>42KCEM09R</t>
  </si>
  <si>
    <t>42KCEM12R</t>
  </si>
  <si>
    <t>38KCEM18R</t>
  </si>
  <si>
    <t>38KCEM21R</t>
  </si>
  <si>
    <t>PT218MS</t>
  </si>
  <si>
    <t>PT221MS</t>
  </si>
  <si>
    <t>4MCW3509FABBA</t>
  </si>
  <si>
    <t>4MCW3512FABBA</t>
  </si>
  <si>
    <t>4TTD3518FABAA</t>
  </si>
  <si>
    <t>4TTD3521FABAA</t>
  </si>
  <si>
    <t>HMKC09FA-JAR</t>
  </si>
  <si>
    <t>HMKC12FA-JAR</t>
  </si>
  <si>
    <t>HMJC18FA-AAR</t>
  </si>
  <si>
    <t>HMJC21FA-AAR</t>
  </si>
  <si>
    <t>FTXS25GVMA</t>
  </si>
  <si>
    <t>FTXS35GVMA</t>
  </si>
  <si>
    <t>3MXS52EVMA</t>
  </si>
  <si>
    <t>3MXS68EVMA</t>
  </si>
  <si>
    <t>CS-E9LKEW</t>
  </si>
  <si>
    <t>CS-E12LKEW</t>
  </si>
  <si>
    <t>CU-2E18LBE</t>
  </si>
  <si>
    <t>CU-4E23LBE</t>
  </si>
  <si>
    <t>ASHA09LACM</t>
  </si>
  <si>
    <t>ASHA12LACM</t>
  </si>
  <si>
    <t>AOH24LMAM2</t>
  </si>
  <si>
    <t>AOHA24LAT3</t>
  </si>
  <si>
    <t>RAK-25NH6A</t>
  </si>
  <si>
    <t>RAK-35NH6A</t>
  </si>
  <si>
    <t>RAM-52QH5</t>
  </si>
  <si>
    <t>RAM-71QH5</t>
  </si>
  <si>
    <t>SRK25ZJX-S</t>
  </si>
  <si>
    <t>SRK35ZJX-S</t>
  </si>
  <si>
    <t>SCM40ZJ-S</t>
  </si>
  <si>
    <t>SCM71ZJ-S</t>
  </si>
  <si>
    <t>No. of Compressor</t>
  </si>
  <si>
    <t>1.0+1.0</t>
  </si>
  <si>
    <t>1.0+1.5</t>
  </si>
  <si>
    <t>Multi-split Units</t>
  </si>
  <si>
    <t xml:space="preserve">1.0 + 1.0 </t>
  </si>
  <si>
    <t>1.0 + 1.5</t>
  </si>
  <si>
    <t>Outdoor Unit</t>
  </si>
  <si>
    <t>Indoor Unit 2</t>
  </si>
  <si>
    <t>Indoor Unit 1</t>
  </si>
  <si>
    <t>Indoor Unit</t>
  </si>
  <si>
    <t>Electrical Data</t>
  </si>
  <si>
    <t>No. of Compressors</t>
  </si>
  <si>
    <t>HIDDEN</t>
  </si>
  <si>
    <r>
      <t>1) Chilled water supply/ Return temperature = 7</t>
    </r>
    <r>
      <rPr>
        <vertAlign val="superscript"/>
        <sz val="8"/>
        <rFont val="Arial"/>
        <family val="2"/>
      </rPr>
      <t>o</t>
    </r>
    <r>
      <rPr>
        <sz val="8"/>
        <rFont val="Arial"/>
        <family val="2"/>
      </rPr>
      <t>C/ 12</t>
    </r>
    <r>
      <rPr>
        <vertAlign val="superscript"/>
        <sz val="8"/>
        <rFont val="Arial"/>
        <family val="2"/>
      </rPr>
      <t>o</t>
    </r>
    <r>
      <rPr>
        <sz val="8"/>
        <rFont val="Arial"/>
        <family val="2"/>
      </rPr>
      <t>C</t>
    </r>
  </si>
  <si>
    <r>
      <t xml:space="preserve">Capacity @ </t>
    </r>
    <r>
      <rPr>
        <b/>
        <sz val="8"/>
        <color rgb="FF00B0F0"/>
        <rFont val="Arial"/>
        <family val="2"/>
      </rPr>
      <t>27</t>
    </r>
    <r>
      <rPr>
        <b/>
        <vertAlign val="superscript"/>
        <sz val="8"/>
        <color rgb="FF00B0F0"/>
        <rFont val="Arial"/>
        <family val="2"/>
      </rPr>
      <t>o</t>
    </r>
    <r>
      <rPr>
        <b/>
        <sz val="8"/>
        <color rgb="FF00B0F0"/>
        <rFont val="Arial"/>
        <family val="2"/>
      </rPr>
      <t>C/50%</t>
    </r>
  </si>
  <si>
    <t>Actual Achievable Room Temperature</t>
  </si>
  <si>
    <t>Available Space Sensible Load from AHU</t>
  </si>
  <si>
    <t>Available Space Latent Load from AHU</t>
  </si>
  <si>
    <r>
      <rPr>
        <b/>
        <vertAlign val="superscript"/>
        <sz val="9"/>
        <color rgb="FFFF9933"/>
        <rFont val="Arial"/>
        <family val="2"/>
      </rPr>
      <t>o</t>
    </r>
    <r>
      <rPr>
        <b/>
        <sz val="9"/>
        <color rgb="FFFF9933"/>
        <rFont val="Arial"/>
        <family val="2"/>
      </rPr>
      <t>C</t>
    </r>
  </si>
  <si>
    <t>X</t>
  </si>
  <si>
    <t>OK</t>
  </si>
  <si>
    <r>
      <t>m</t>
    </r>
    <r>
      <rPr>
        <vertAlign val="superscript"/>
        <sz val="10"/>
        <color rgb="FFFF0000"/>
        <rFont val="Arial"/>
        <family val="2"/>
      </rPr>
      <t>2</t>
    </r>
    <r>
      <rPr>
        <sz val="10"/>
        <color rgb="FFFF0000"/>
        <rFont val="Arial"/>
        <family val="2"/>
      </rPr>
      <t>/person</t>
    </r>
  </si>
  <si>
    <t>Pre-heat Coil</t>
  </si>
  <si>
    <t>Heating Coil</t>
  </si>
  <si>
    <t>Reheat Coil</t>
  </si>
  <si>
    <t>Cooling Coil</t>
  </si>
  <si>
    <t>Coil Load</t>
  </si>
  <si>
    <t>Total Cooling Coil load</t>
  </si>
  <si>
    <r>
      <t>NPSH</t>
    </r>
    <r>
      <rPr>
        <b/>
        <i/>
        <vertAlign val="subscript"/>
        <sz val="11"/>
        <color rgb="FF0000FF"/>
        <rFont val="新細明體"/>
        <family val="2"/>
        <scheme val="minor"/>
      </rPr>
      <t xml:space="preserve">a </t>
    </r>
    <r>
      <rPr>
        <b/>
        <i/>
        <sz val="11"/>
        <color rgb="FF0000FF"/>
        <rFont val="新細明體"/>
        <family val="2"/>
        <scheme val="minor"/>
      </rPr>
      <t>= H</t>
    </r>
    <r>
      <rPr>
        <b/>
        <i/>
        <vertAlign val="subscript"/>
        <sz val="11"/>
        <color rgb="FF0000FF"/>
        <rFont val="新細明體"/>
        <family val="2"/>
        <scheme val="minor"/>
      </rPr>
      <t>a</t>
    </r>
    <r>
      <rPr>
        <b/>
        <i/>
        <sz val="11"/>
        <color rgb="FF0000FF"/>
        <rFont val="新細明體"/>
        <family val="2"/>
        <scheme val="minor"/>
      </rPr>
      <t>± H</t>
    </r>
    <r>
      <rPr>
        <b/>
        <i/>
        <vertAlign val="subscript"/>
        <sz val="11"/>
        <color rgb="FF0000FF"/>
        <rFont val="新細明體"/>
        <family val="2"/>
        <scheme val="minor"/>
      </rPr>
      <t>z</t>
    </r>
    <r>
      <rPr>
        <b/>
        <i/>
        <sz val="11"/>
        <color rgb="FF0000FF"/>
        <rFont val="新細明體"/>
        <family val="2"/>
        <scheme val="minor"/>
      </rPr>
      <t xml:space="preserve"> - H</t>
    </r>
    <r>
      <rPr>
        <b/>
        <i/>
        <vertAlign val="subscript"/>
        <sz val="11"/>
        <color rgb="FF0000FF"/>
        <rFont val="新細明體"/>
        <family val="2"/>
        <scheme val="minor"/>
      </rPr>
      <t xml:space="preserve">f </t>
    </r>
    <r>
      <rPr>
        <b/>
        <i/>
        <sz val="11"/>
        <color rgb="FF0000FF"/>
        <rFont val="新細明體"/>
        <family val="2"/>
        <scheme val="minor"/>
      </rPr>
      <t>- H</t>
    </r>
    <r>
      <rPr>
        <b/>
        <i/>
        <vertAlign val="subscript"/>
        <sz val="11"/>
        <color rgb="FF0000FF"/>
        <rFont val="新細明體"/>
        <family val="2"/>
        <scheme val="minor"/>
      </rPr>
      <t>v</t>
    </r>
  </si>
  <si>
    <t>WB</t>
  </si>
  <si>
    <t>Dry Bulb</t>
  </si>
  <si>
    <r>
      <t>t</t>
    </r>
    <r>
      <rPr>
        <vertAlign val="subscript"/>
        <sz val="9"/>
        <rFont val="Arial"/>
        <family val="2"/>
      </rPr>
      <t>m,DB</t>
    </r>
    <r>
      <rPr>
        <sz val="9"/>
        <rFont val="Arial"/>
        <family val="2"/>
      </rPr>
      <t xml:space="preserve"> =</t>
    </r>
  </si>
  <si>
    <r>
      <t>t</t>
    </r>
    <r>
      <rPr>
        <b/>
        <vertAlign val="subscript"/>
        <sz val="9"/>
        <color rgb="FFFF0000"/>
        <rFont val="Arial"/>
        <family val="2"/>
      </rPr>
      <t>m,DB</t>
    </r>
    <r>
      <rPr>
        <b/>
        <sz val="9"/>
        <color rgb="FFFF0000"/>
        <rFont val="Arial"/>
        <family val="2"/>
      </rPr>
      <t xml:space="preserve"> =</t>
    </r>
  </si>
  <si>
    <r>
      <t>t</t>
    </r>
    <r>
      <rPr>
        <b/>
        <vertAlign val="subscript"/>
        <sz val="9"/>
        <color rgb="FFFF0000"/>
        <rFont val="Arial"/>
        <family val="2"/>
      </rPr>
      <t>m,WB</t>
    </r>
    <r>
      <rPr>
        <b/>
        <sz val="9"/>
        <color rgb="FFFF0000"/>
        <rFont val="Arial"/>
        <family val="2"/>
      </rPr>
      <t xml:space="preserve"> =</t>
    </r>
  </si>
  <si>
    <r>
      <t>t</t>
    </r>
    <r>
      <rPr>
        <vertAlign val="subscript"/>
        <sz val="9"/>
        <rFont val="Arial"/>
        <family val="2"/>
      </rPr>
      <t>r,DB</t>
    </r>
  </si>
  <si>
    <r>
      <t>t</t>
    </r>
    <r>
      <rPr>
        <vertAlign val="subscript"/>
        <sz val="9"/>
        <rFont val="Arial"/>
        <family val="2"/>
      </rPr>
      <t>o,DB</t>
    </r>
  </si>
  <si>
    <t>Served area</t>
  </si>
  <si>
    <t>Loading Density</t>
  </si>
  <si>
    <t>Cooling load density</t>
  </si>
  <si>
    <t>Assumed SHR</t>
  </si>
  <si>
    <t>Mr. Pal Chung (AHU)</t>
  </si>
  <si>
    <t>Gelec/ Xpelair / 
Woods/ Ostberg/
Nicotra</t>
  </si>
  <si>
    <t>Mr. Larry Ho</t>
  </si>
  <si>
    <t>larry.ho@oxprime.com</t>
  </si>
  <si>
    <t>2590 8128</t>
  </si>
  <si>
    <t>2590 8088</t>
  </si>
  <si>
    <t>Room 901, Eastern Habour Centre, 28 Hoi Chak Street, Quarry Bay, HK</t>
  </si>
  <si>
    <t>Calorex</t>
  </si>
  <si>
    <t>Mr. K.K. Mak</t>
  </si>
  <si>
    <t>kkmak@calorex.cn</t>
  </si>
  <si>
    <t>Marley</t>
  </si>
  <si>
    <t>de</t>
  </si>
  <si>
    <t>1.55 x A^0.625 / P^0.25</t>
  </si>
  <si>
    <t>P</t>
  </si>
  <si>
    <t>b</t>
  </si>
  <si>
    <t>P =</t>
  </si>
  <si>
    <t>2pi (1/2((a/2)^2+(b/2)^2))^0.5</t>
  </si>
  <si>
    <t>A=</t>
  </si>
  <si>
    <t>Sum</t>
  </si>
  <si>
    <t>Selected De</t>
  </si>
  <si>
    <t>Norminal duct width</t>
  </si>
  <si>
    <t>sum</t>
  </si>
  <si>
    <t>Flat Oval Duct</t>
  </si>
  <si>
    <t>w</t>
  </si>
  <si>
    <r>
      <rPr>
        <b/>
        <sz val="10"/>
        <color rgb="FF3333FF"/>
        <rFont val="Arial"/>
        <family val="2"/>
      </rPr>
      <t>Face</t>
    </r>
    <r>
      <rPr>
        <sz val="10"/>
        <rFont val="Arial"/>
        <family val="2"/>
      </rPr>
      <t xml:space="preserve"> Velocity</t>
    </r>
  </si>
  <si>
    <r>
      <rPr>
        <b/>
        <sz val="10"/>
        <color rgb="FF0000FF"/>
        <rFont val="Arial"/>
        <family val="2"/>
      </rPr>
      <t>Neck</t>
    </r>
    <r>
      <rPr>
        <sz val="10"/>
        <rFont val="Arial"/>
        <family val="2"/>
      </rPr>
      <t xml:space="preserve"> Velocity</t>
    </r>
  </si>
  <si>
    <t>Air Flow Rate Conversion</t>
  </si>
  <si>
    <r>
      <t>o</t>
    </r>
    <r>
      <rPr>
        <sz val="10"/>
        <color rgb="FF6600FF"/>
        <rFont val="Arial"/>
        <family val="2"/>
      </rPr>
      <t>C</t>
    </r>
  </si>
  <si>
    <r>
      <t>m</t>
    </r>
    <r>
      <rPr>
        <vertAlign val="superscript"/>
        <sz val="10"/>
        <color rgb="FF6600FF"/>
        <rFont val="Arial"/>
        <family val="2"/>
      </rPr>
      <t>2</t>
    </r>
    <r>
      <rPr>
        <sz val="10"/>
        <color rgb="FF6600FF"/>
        <rFont val="Arial"/>
        <family val="2"/>
      </rPr>
      <t>/s</t>
    </r>
  </si>
  <si>
    <t>Max De</t>
  </si>
  <si>
    <t>Sinro</t>
  </si>
  <si>
    <t>Ms. Annie Tan</t>
  </si>
  <si>
    <t>annie@sinro.com</t>
  </si>
  <si>
    <t>6325 1197</t>
  </si>
  <si>
    <t>中國廣州天河科技園建中路12號6樓</t>
  </si>
  <si>
    <t>新菱空調(佛岡)有限公司</t>
  </si>
  <si>
    <t>BAC</t>
  </si>
  <si>
    <t>Ms. Tracy Ng</t>
  </si>
  <si>
    <t>tracy.ng@oxprime.com</t>
  </si>
  <si>
    <t>Climaventa</t>
  </si>
  <si>
    <t>Jinchat Engineering (HK) Co. Ltd.</t>
  </si>
  <si>
    <t>Ms. Sara Yim</t>
  </si>
  <si>
    <t>sara.yim@jinchat.com</t>
  </si>
  <si>
    <t>2202 8313</t>
  </si>
  <si>
    <t>2687 3078</t>
  </si>
  <si>
    <t>Room 2003, CCT Telecom Building, No. 11 Wo Shing Street, Fotan, Hong Kong</t>
  </si>
  <si>
    <t>Mobile</t>
  </si>
  <si>
    <t>9108 0375</t>
  </si>
  <si>
    <t>9669 1992</t>
  </si>
  <si>
    <t>9862 2292</t>
  </si>
  <si>
    <t>9881 0341</t>
  </si>
  <si>
    <t>Mr. Bill Cheung</t>
  </si>
  <si>
    <t>Mr. Joe Chan</t>
  </si>
  <si>
    <t>9137 1966</t>
  </si>
  <si>
    <t>9160 8344</t>
  </si>
  <si>
    <t>9217 6883</t>
  </si>
  <si>
    <t>9073 8458</t>
  </si>
  <si>
    <t>9089 8901</t>
  </si>
  <si>
    <t>Chris Leung</t>
  </si>
  <si>
    <t>Mr. Mike Cheng</t>
  </si>
  <si>
    <t>Mr. Ronald Kong</t>
  </si>
  <si>
    <t>Mr, Tom Cheung</t>
  </si>
  <si>
    <t>6039 3739</t>
  </si>
  <si>
    <t>9011 8178</t>
  </si>
  <si>
    <t>Mr. Evan Cheng</t>
  </si>
  <si>
    <r>
      <t xml:space="preserve">Mr. Roy Wu </t>
    </r>
    <r>
      <rPr>
        <b/>
        <sz val="9"/>
        <rFont val="Arial"/>
        <family val="2"/>
      </rPr>
      <t>(PRC)</t>
    </r>
  </si>
  <si>
    <r>
      <t xml:space="preserve">Samson Lam </t>
    </r>
    <r>
      <rPr>
        <b/>
        <sz val="9"/>
        <rFont val="Arial"/>
        <family val="2"/>
      </rPr>
      <t>(PRC)</t>
    </r>
  </si>
  <si>
    <r>
      <t>Mr. L. F. Lai</t>
    </r>
    <r>
      <rPr>
        <b/>
        <sz val="9"/>
        <rFont val="Arial"/>
        <family val="2"/>
      </rPr>
      <t xml:space="preserve"> (PRC)</t>
    </r>
  </si>
  <si>
    <t>Mr. Lloyd Lo</t>
  </si>
  <si>
    <t>Mr. Paul.Tsui (E20)</t>
  </si>
  <si>
    <t>9559 6305</t>
  </si>
  <si>
    <t>Mr. Payton Kwok</t>
  </si>
  <si>
    <t>Mr. Andy Lam</t>
  </si>
  <si>
    <t>9364 8351</t>
  </si>
  <si>
    <t>韩振东</t>
  </si>
  <si>
    <t xml:space="preserve">2590 8088 </t>
  </si>
  <si>
    <t>3556 4630</t>
  </si>
  <si>
    <t>guozhi@spindle.cn
gzdbc@sina.com</t>
  </si>
  <si>
    <t>Mr. Haven Chiu</t>
  </si>
  <si>
    <t>9666 3757</t>
  </si>
  <si>
    <t>9266 0251</t>
  </si>
  <si>
    <t>Ms. Kat Tsang</t>
  </si>
  <si>
    <t>9762 2989</t>
  </si>
  <si>
    <t>Swimming Pool Heat Pump</t>
  </si>
  <si>
    <t>深圳普派克热回收技术有限公司</t>
  </si>
  <si>
    <t>PoolPak</t>
  </si>
  <si>
    <t>Mr. Jeff Xia (夏奇輝)</t>
  </si>
  <si>
    <t>xqh@poolpakchina.com</t>
  </si>
  <si>
    <t>9123 0896</t>
  </si>
  <si>
    <t>Mr. Calvin Shum</t>
  </si>
  <si>
    <t>Mr. Dennis Tung</t>
  </si>
  <si>
    <t>9027 0632</t>
  </si>
  <si>
    <t>9387 0686</t>
  </si>
  <si>
    <t>Allen Wong</t>
  </si>
  <si>
    <t>Mr Billy Cheng</t>
  </si>
  <si>
    <t>9045 2079</t>
  </si>
  <si>
    <t>Mr. Vincent K.P. Lin</t>
  </si>
  <si>
    <t>vincentlin@mcquay.com.hk</t>
  </si>
  <si>
    <t>2893 6261</t>
  </si>
  <si>
    <t>9492 8859</t>
  </si>
  <si>
    <t>9029 4591</t>
  </si>
  <si>
    <t>9587 6367</t>
  </si>
  <si>
    <t>2594 9725</t>
  </si>
  <si>
    <t>9288 3498</t>
  </si>
  <si>
    <t>Mr. Henry Lau</t>
  </si>
  <si>
    <t>9754 1354</t>
  </si>
  <si>
    <t>Ms. Denise Ng</t>
  </si>
  <si>
    <t>9425 1373</t>
  </si>
  <si>
    <t>Mr. C.M. Lai</t>
  </si>
  <si>
    <t>9745 9985</t>
  </si>
  <si>
    <t>Mr. Brain KC Wong</t>
  </si>
  <si>
    <t>9077 9588</t>
  </si>
  <si>
    <t>Mr. Clarence Cheung</t>
  </si>
  <si>
    <t>6098 8211</t>
  </si>
  <si>
    <r>
      <t xml:space="preserve">Mr. Felix Lau </t>
    </r>
    <r>
      <rPr>
        <b/>
        <sz val="9"/>
        <rFont val="Arial"/>
        <family val="2"/>
      </rPr>
      <t>(VRV)</t>
    </r>
  </si>
  <si>
    <t>Mr. Arnold Wong</t>
  </si>
  <si>
    <t>9432 6488</t>
  </si>
  <si>
    <t>8203 6096</t>
  </si>
  <si>
    <t>9109 8880</t>
  </si>
  <si>
    <t>Mr. Matthew Yung</t>
  </si>
  <si>
    <t>Mr. Jack Ho</t>
  </si>
  <si>
    <t>6090 4560</t>
  </si>
  <si>
    <t>Mr. Bryden Wong</t>
  </si>
  <si>
    <t>Mr. Willy Mang</t>
  </si>
  <si>
    <t>9861 3011</t>
  </si>
  <si>
    <t>9440 0659</t>
  </si>
  <si>
    <t>Mr. Goofy Lo</t>
  </si>
  <si>
    <t>9773 5788</t>
  </si>
  <si>
    <t>Mr. Sherman P.L. Lo</t>
  </si>
  <si>
    <t>Mr. Kenneth K.K. Chow</t>
  </si>
  <si>
    <t>9857 2329</t>
  </si>
  <si>
    <t>9364 9114</t>
  </si>
  <si>
    <t>Mr. Billy Cheng</t>
  </si>
  <si>
    <t>Mr. Albert Lee</t>
  </si>
  <si>
    <t>9030 8752</t>
  </si>
  <si>
    <t>Antonio Tong</t>
  </si>
  <si>
    <t>2359 6331</t>
  </si>
  <si>
    <t>2694 5319</t>
  </si>
  <si>
    <t>2694 5707</t>
  </si>
  <si>
    <t>Ve Tech</t>
  </si>
  <si>
    <t>E Tech Heat Pumps Ltd.</t>
  </si>
  <si>
    <t>Unit 908, Sui Fai Factory Estate, 5 13, Shan Mei Street, Fotan, Hong Kong</t>
  </si>
  <si>
    <t>Rm.505, 5/F HSH Mongkok Plaza, 794 802 Nathan Road, Kowloon, HK</t>
  </si>
  <si>
    <t>2694 5358</t>
  </si>
  <si>
    <t>Room 05 08, 11th Floor, Fo Tan Industrial Centre, 26 28 Au Pui Wan Street, Fotan, Shatin, N.T., Hong Kong.</t>
  </si>
  <si>
    <t>6628 8363
86 139 0225 5126</t>
  </si>
  <si>
    <t>Welcome Air Tech LTD</t>
  </si>
  <si>
    <t>tony@saiver welaire.com.hk</t>
  </si>
  <si>
    <t>Unit B300, 3/FI., Block B, Sea View Estate, No. 2 8 Watson Road, North Point, Hong Kong</t>
  </si>
  <si>
    <t>Unit 1 &amp; 2, Blk A, 17/F, Wah Sang Ind Bldg, 14 18 Wong Chuk Yeung St. Fotan, NT, Hong Kong</t>
  </si>
  <si>
    <t>58 60 Larch Street, G/F, Tai Kok Tsui, Kowloon, HK</t>
  </si>
  <si>
    <t xml:space="preserve">Flat D, 19th Floor, Wah Wing Industrial Cldg, 14 20 Wing Yip Street, Kwai Chung, N.T. </t>
  </si>
  <si>
    <t>allen@saiver welaire.com.hk</t>
  </si>
  <si>
    <t>86 021 2208 5750</t>
  </si>
  <si>
    <t>Room 802 803, Omega Plaza, 32 34A Dundas Street, Mong Kok, Kowloon</t>
  </si>
  <si>
    <t>raymond@saiver welaire.com.hk</t>
  </si>
  <si>
    <t>Flat 5, 10/F, Fashion Centre, No.51 53 Wing Hong Street, Cheung Sha Wan, Kowloon</t>
  </si>
  <si>
    <t>No. 18 20, 9/F., Block A, Hi Tech Industrial Centre, 5 21 Pak Tin Par Street, Tsuen Wan, N.T., HK</t>
  </si>
  <si>
    <t>17/F, Futura Plaza, 111 113 How Ming Street, Kwun Tong, Kowloon, HK</t>
  </si>
  <si>
    <t>Joe.Man Kit.Chan@jci.com</t>
  </si>
  <si>
    <t>0755  8229 2713</t>
  </si>
  <si>
    <t>sale6@e IAQ.com</t>
  </si>
  <si>
    <t xml:space="preserve">samson.kam hang.lam@jci.com </t>
  </si>
  <si>
    <t>0755   2586 9480</t>
  </si>
  <si>
    <t>Rm.2002 Tung Sun Comm. Centre, 194 200 Lockhart Road, Wanchai, Hong Kong</t>
  </si>
  <si>
    <t>Flat A, 7/F. Sang Hing Industrial Building. 81 83 Ta Chuen Ping Street, Kwai Chung. HK</t>
  </si>
  <si>
    <t>86 021 62406216 0</t>
  </si>
  <si>
    <t>2772 7699</t>
  </si>
  <si>
    <t>billy.cheng@chinney eng.com</t>
  </si>
  <si>
    <t>Block C, 9/F, HK Spinners Industrial Building, Phase VI, 481 483 Castle Peak Road, Kowloon</t>
  </si>
  <si>
    <t>862 0855 28437</t>
  </si>
  <si>
    <t>McQuay Air conditioning Ltd.</t>
  </si>
  <si>
    <t>Units 1 3, 3/F., Fullerton Centre, 19 Hung To Road, Kwun Tong, Kowloon, HK</t>
  </si>
  <si>
    <t>136 0287 8600</t>
  </si>
  <si>
    <t>Unit 10 11, 16/F, 113 Argyle Street, Mongkok, Kowloon, HK</t>
  </si>
  <si>
    <t>albert.lee@chinney eng.com</t>
  </si>
  <si>
    <t>2410 4655</t>
  </si>
  <si>
    <t>2412 1706</t>
  </si>
  <si>
    <t>atong@alpha general.com</t>
  </si>
  <si>
    <t>2821 7673 / 
2529 7555</t>
  </si>
  <si>
    <t>2865 0302</t>
  </si>
  <si>
    <t>15/F., Dominion Centre, 43 59 Queen's Road East, Hong Kong.</t>
  </si>
  <si>
    <t>2821 7675</t>
  </si>
  <si>
    <t>2821 7655</t>
  </si>
  <si>
    <t>2821 7662</t>
  </si>
  <si>
    <t>willhui@hitachi hk.com.hk</t>
  </si>
  <si>
    <t>2783 8535</t>
  </si>
  <si>
    <t>2565 3111</t>
  </si>
  <si>
    <t>2562 6401</t>
  </si>
  <si>
    <t>Shun Hing Refrigerator Air Conditioning Eng Ltd</t>
  </si>
  <si>
    <t>13/F., Sunbeam Commercial Building, 469 471 Nathan Road, Kln., HK</t>
  </si>
  <si>
    <t>2510 8445</t>
  </si>
  <si>
    <t>2365 5234</t>
  </si>
  <si>
    <t>2764 9652</t>
  </si>
  <si>
    <t>2845 9851</t>
  </si>
  <si>
    <t>10/F., Block A, Wo Kee Hong Building, 585 609 Castle Peak Road, Kwai Chung, NT, HK</t>
  </si>
  <si>
    <t>2522 3128</t>
  </si>
  <si>
    <t>2418 3239</t>
  </si>
  <si>
    <t>2420 4273</t>
  </si>
  <si>
    <t>haskinsyung@gilman group.com</t>
  </si>
  <si>
    <t>2418 3254</t>
  </si>
  <si>
    <t>Welcome Air tech Ltd.</t>
  </si>
  <si>
    <t>Unit B300, 3/F., Block B, Sea View Estate, No. 2 8 Watson Road, North Point, Hong Kong</t>
  </si>
  <si>
    <t>2555 5126</t>
  </si>
  <si>
    <t>2554 9946</t>
  </si>
  <si>
    <t>6/F Watson House 1 5 Wo Liu Hang Road, Fo Tan, Shatin, New Territories, Hong Kong.</t>
  </si>
  <si>
    <t>2861 2767</t>
  </si>
  <si>
    <t>2865 6706</t>
  </si>
  <si>
    <t>2831 6164</t>
  </si>
  <si>
    <t>3128 4768</t>
  </si>
  <si>
    <t>3128 4761</t>
  </si>
  <si>
    <t>2169 3338</t>
  </si>
  <si>
    <t>2169 3938</t>
  </si>
  <si>
    <t>2101, 21/F, West Tower, Shun Tak Centre, 168 200 Connaught Road Centre, Hk</t>
  </si>
  <si>
    <t>9861 4502</t>
  </si>
  <si>
    <t>Ms Jacqueline Tam</t>
  </si>
  <si>
    <t>6689 5071</t>
  </si>
  <si>
    <t>Mr Haven T.K. Chiu</t>
  </si>
  <si>
    <t>9855 1807</t>
  </si>
  <si>
    <t>9855 1804</t>
  </si>
  <si>
    <t>Mr Joe Li</t>
  </si>
  <si>
    <t>Mr Raymond Pan</t>
  </si>
  <si>
    <t>6081 7858</t>
  </si>
  <si>
    <t>Mr. Dominic</t>
  </si>
  <si>
    <t>Mr. Raymond Ng</t>
  </si>
  <si>
    <t>9497 8397</t>
  </si>
  <si>
    <t>Mr. Michael Lam</t>
  </si>
  <si>
    <t>9028 5171</t>
  </si>
  <si>
    <t>9032 6038</t>
  </si>
  <si>
    <t>9843 0828</t>
  </si>
  <si>
    <t>Mr. Charles Chan</t>
  </si>
  <si>
    <t>Mr. Haskins Yung</t>
  </si>
  <si>
    <t>Mr. Steve Tsui</t>
  </si>
  <si>
    <t>9845 4323</t>
  </si>
  <si>
    <t>9220 5696</t>
  </si>
  <si>
    <t>Mr. Rico CH Yeung</t>
  </si>
  <si>
    <t>Mr. Gary Ng</t>
  </si>
  <si>
    <t>Mr. Luke Chan</t>
  </si>
  <si>
    <t>Mr. Dick Hui</t>
  </si>
  <si>
    <t>6371 0526</t>
  </si>
  <si>
    <t>9435 5890</t>
  </si>
  <si>
    <t>Tony Ng</t>
  </si>
  <si>
    <t>9818 1491</t>
  </si>
  <si>
    <t>9782 2733</t>
  </si>
  <si>
    <t>Mr. C.M. Chan</t>
  </si>
  <si>
    <t>Mr. Y.K. Chan</t>
  </si>
  <si>
    <t>9831 8062</t>
  </si>
  <si>
    <t>9281 9034</t>
  </si>
  <si>
    <t>Mr. Sam Yeung</t>
  </si>
  <si>
    <t>Sunwacork Insulation Materials Supplies Ltd.</t>
  </si>
  <si>
    <t>Oxprime (International) Ltd.</t>
  </si>
  <si>
    <t>Extensive Trading Co. Ltd.</t>
  </si>
  <si>
    <t>Mr. Alex Leung</t>
  </si>
  <si>
    <t>alexleung@extensive.com.hk</t>
  </si>
  <si>
    <t>2185 0133</t>
  </si>
  <si>
    <t>2556 6029</t>
  </si>
  <si>
    <t>Flat A, 8th Floor, Chaiwan Industrial Centre, 20 Lee Chung Str. Chaiwan HK</t>
  </si>
  <si>
    <t>瞿達 (Mr. Qu Da)</t>
  </si>
  <si>
    <t>quda-sha@hisaka.co.jp</t>
  </si>
  <si>
    <t>86-21-5211 0701 227</t>
  </si>
  <si>
    <t>86-21-5211-0720</t>
  </si>
  <si>
    <t>上海市南京西路699號東方有線大廈1603室</t>
  </si>
  <si>
    <t>9216 3159</t>
  </si>
  <si>
    <t>Mr. Derek Chu</t>
  </si>
  <si>
    <t>9024 1185</t>
  </si>
  <si>
    <t>Silencer</t>
  </si>
  <si>
    <t>NAP</t>
  </si>
  <si>
    <t>NAP Acoustics (Far East) Ltd.</t>
  </si>
  <si>
    <t>Mr. Bunny Tsang</t>
  </si>
  <si>
    <t>bunny@napafe.com.hk</t>
  </si>
  <si>
    <t>2866 2886</t>
  </si>
  <si>
    <t>2866 3777</t>
  </si>
  <si>
    <t>2304, 23/F, Universal Trade Centre, 3-5A Arbuthnot Road, Central, HK</t>
  </si>
  <si>
    <t>Mr. Keith Kwok (CK Job)</t>
  </si>
  <si>
    <t>Flaktwoods</t>
  </si>
  <si>
    <t>Flaktwoods (S) Pte Ltd.</t>
  </si>
  <si>
    <t>Mr. K.C. Chong</t>
  </si>
  <si>
    <t>kwangchin.chong@flaktwoods.com</t>
  </si>
  <si>
    <t>65 6854 6083</t>
  </si>
  <si>
    <t>65 6854 6061</t>
  </si>
  <si>
    <t>65 9677 6189</t>
  </si>
  <si>
    <t>178 Clemenceau Avenue, #05-01 Haw Par Glass Tower, Singapore 239926</t>
  </si>
  <si>
    <t>racheltlk@gelec.com.hk</t>
  </si>
  <si>
    <t>Trox</t>
  </si>
  <si>
    <t>Ms. Rachel Tam</t>
  </si>
  <si>
    <t>2111 6854</t>
  </si>
  <si>
    <t>9682 6696</t>
  </si>
  <si>
    <t>Units 905B-908, Tower A, Manulife Financial Centre, 223 Wai Yip Str. Kwun Tong, Kowloon HK</t>
  </si>
  <si>
    <t>Chilled Beam</t>
  </si>
  <si>
    <t>Air Flow</t>
  </si>
  <si>
    <t>Thermal Wheel Recovery Efficiency</t>
  </si>
  <si>
    <t>Total Heat</t>
  </si>
  <si>
    <t>Sensible Heat</t>
  </si>
  <si>
    <r>
      <t>V</t>
    </r>
    <r>
      <rPr>
        <vertAlign val="subscript"/>
        <sz val="9"/>
        <rFont val="Arial"/>
        <family val="2"/>
      </rPr>
      <t>S</t>
    </r>
  </si>
  <si>
    <r>
      <t>η</t>
    </r>
    <r>
      <rPr>
        <vertAlign val="subscript"/>
        <sz val="9"/>
        <rFont val="Arial"/>
        <family val="2"/>
      </rPr>
      <t>T</t>
    </r>
  </si>
  <si>
    <r>
      <t>η</t>
    </r>
    <r>
      <rPr>
        <vertAlign val="subscript"/>
        <sz val="9"/>
        <rFont val="Arial"/>
        <family val="2"/>
      </rPr>
      <t>S</t>
    </r>
  </si>
  <si>
    <r>
      <t>Q</t>
    </r>
    <r>
      <rPr>
        <vertAlign val="subscript"/>
        <sz val="9"/>
        <rFont val="Arial"/>
        <family val="2"/>
      </rPr>
      <t>T</t>
    </r>
  </si>
  <si>
    <r>
      <t>Q</t>
    </r>
    <r>
      <rPr>
        <vertAlign val="subscript"/>
        <sz val="9"/>
        <rFont val="Arial"/>
        <family val="2"/>
      </rPr>
      <t>S</t>
    </r>
  </si>
  <si>
    <r>
      <t>+ Q</t>
    </r>
    <r>
      <rPr>
        <vertAlign val="subscript"/>
        <sz val="9"/>
        <rFont val="Arial"/>
        <family val="2"/>
      </rPr>
      <t>L</t>
    </r>
  </si>
  <si>
    <r>
      <t>Q</t>
    </r>
    <r>
      <rPr>
        <vertAlign val="subscript"/>
        <sz val="9"/>
        <rFont val="Arial"/>
        <family val="2"/>
      </rPr>
      <t>L</t>
    </r>
  </si>
  <si>
    <t>Heat Transfer</t>
  </si>
  <si>
    <r>
      <t>h</t>
    </r>
    <r>
      <rPr>
        <vertAlign val="subscript"/>
        <sz val="9"/>
        <rFont val="Arial"/>
        <family val="2"/>
      </rPr>
      <t>o,1</t>
    </r>
    <r>
      <rPr>
        <sz val="9"/>
        <rFont val="Arial"/>
        <family val="2"/>
      </rPr>
      <t xml:space="preserve"> -</t>
    </r>
  </si>
  <si>
    <r>
      <t>h</t>
    </r>
    <r>
      <rPr>
        <vertAlign val="subscript"/>
        <sz val="9"/>
        <rFont val="Arial"/>
        <family val="2"/>
      </rPr>
      <t>r,1</t>
    </r>
    <r>
      <rPr>
        <sz val="9"/>
        <rFont val="Arial"/>
        <family val="2"/>
      </rPr>
      <t>)</t>
    </r>
  </si>
  <si>
    <r>
      <t>t</t>
    </r>
    <r>
      <rPr>
        <vertAlign val="subscript"/>
        <sz val="9"/>
        <rFont val="Arial"/>
        <family val="2"/>
      </rPr>
      <t>o,1</t>
    </r>
    <r>
      <rPr>
        <sz val="9"/>
        <rFont val="Arial"/>
        <family val="2"/>
      </rPr>
      <t xml:space="preserve"> -</t>
    </r>
  </si>
  <si>
    <r>
      <t>t</t>
    </r>
    <r>
      <rPr>
        <vertAlign val="subscript"/>
        <sz val="9"/>
        <rFont val="Arial"/>
        <family val="2"/>
      </rPr>
      <t>r,1</t>
    </r>
    <r>
      <rPr>
        <sz val="9"/>
        <rFont val="Arial"/>
        <family val="2"/>
      </rPr>
      <t>)</t>
    </r>
  </si>
  <si>
    <r>
      <t>t</t>
    </r>
    <r>
      <rPr>
        <vertAlign val="subscript"/>
        <sz val="9"/>
        <rFont val="Arial"/>
        <family val="2"/>
      </rPr>
      <t>r,2</t>
    </r>
    <r>
      <rPr>
        <sz val="9"/>
        <rFont val="Arial"/>
        <family val="2"/>
      </rPr>
      <t xml:space="preserve"> -</t>
    </r>
  </si>
  <si>
    <r>
      <t>x η</t>
    </r>
    <r>
      <rPr>
        <vertAlign val="subscript"/>
        <sz val="9"/>
        <rFont val="Arial"/>
        <family val="2"/>
      </rPr>
      <t>T</t>
    </r>
  </si>
  <si>
    <r>
      <t>x η</t>
    </r>
    <r>
      <rPr>
        <vertAlign val="subscript"/>
        <sz val="9"/>
        <rFont val="Arial"/>
        <family val="2"/>
      </rPr>
      <t>S</t>
    </r>
  </si>
  <si>
    <r>
      <t>t</t>
    </r>
    <r>
      <rPr>
        <vertAlign val="subscript"/>
        <sz val="9"/>
        <rFont val="Arial"/>
        <family val="2"/>
      </rPr>
      <t>o,2</t>
    </r>
    <r>
      <rPr>
        <sz val="9"/>
        <rFont val="Arial"/>
        <family val="2"/>
      </rPr>
      <t>)</t>
    </r>
  </si>
  <si>
    <r>
      <t>t</t>
    </r>
    <r>
      <rPr>
        <vertAlign val="subscript"/>
        <sz val="9"/>
        <rFont val="Arial"/>
        <family val="2"/>
      </rPr>
      <t>o,2</t>
    </r>
  </si>
  <si>
    <r>
      <t>h</t>
    </r>
    <r>
      <rPr>
        <vertAlign val="subscript"/>
        <sz val="9"/>
        <rFont val="Arial"/>
        <family val="2"/>
      </rPr>
      <t>o,2</t>
    </r>
    <r>
      <rPr>
        <sz val="9"/>
        <rFont val="Arial"/>
        <family val="2"/>
      </rPr>
      <t>)</t>
    </r>
  </si>
  <si>
    <r>
      <t>h</t>
    </r>
    <r>
      <rPr>
        <vertAlign val="subscript"/>
        <sz val="9"/>
        <rFont val="Arial"/>
        <family val="2"/>
      </rPr>
      <t>r,2</t>
    </r>
    <r>
      <rPr>
        <sz val="9"/>
        <rFont val="Arial"/>
        <family val="2"/>
      </rPr>
      <t xml:space="preserve"> -</t>
    </r>
  </si>
  <si>
    <t>Exhaust enthalpy</t>
  </si>
  <si>
    <r>
      <t>t</t>
    </r>
    <r>
      <rPr>
        <vertAlign val="subscript"/>
        <sz val="9"/>
        <rFont val="Arial"/>
        <family val="2"/>
      </rPr>
      <t>r,1</t>
    </r>
    <r>
      <rPr>
        <sz val="9"/>
        <rFont val="Arial"/>
        <family val="2"/>
      </rPr>
      <t xml:space="preserve"> -</t>
    </r>
    <phoneticPr fontId="143" type="noConversion"/>
  </si>
  <si>
    <r>
      <t>t</t>
    </r>
    <r>
      <rPr>
        <vertAlign val="subscript"/>
        <sz val="9"/>
        <rFont val="Arial"/>
        <family val="2"/>
      </rPr>
      <t>o,1</t>
    </r>
    <r>
      <rPr>
        <sz val="9"/>
        <rFont val="Arial"/>
        <family val="2"/>
      </rPr>
      <t>)</t>
    </r>
    <phoneticPr fontId="143" type="noConversion"/>
  </si>
  <si>
    <r>
      <t>t</t>
    </r>
    <r>
      <rPr>
        <vertAlign val="subscript"/>
        <sz val="9"/>
        <rFont val="Arial"/>
        <family val="2"/>
      </rPr>
      <t>o,2</t>
    </r>
    <r>
      <rPr>
        <sz val="9"/>
        <rFont val="Arial"/>
        <family val="2"/>
      </rPr>
      <t xml:space="preserve"> -</t>
    </r>
    <phoneticPr fontId="143" type="noConversion"/>
  </si>
  <si>
    <r>
      <t>t</t>
    </r>
    <r>
      <rPr>
        <vertAlign val="subscript"/>
        <sz val="9"/>
        <rFont val="Arial"/>
        <family val="2"/>
      </rPr>
      <t>o,1</t>
    </r>
    <r>
      <rPr>
        <sz val="9"/>
        <rFont val="Arial"/>
        <family val="2"/>
      </rPr>
      <t>)</t>
    </r>
    <phoneticPr fontId="143" type="noConversion"/>
  </si>
  <si>
    <r>
      <t>h</t>
    </r>
    <r>
      <rPr>
        <vertAlign val="subscript"/>
        <sz val="9"/>
        <rFont val="Arial"/>
        <family val="2"/>
      </rPr>
      <t>r,1</t>
    </r>
    <r>
      <rPr>
        <sz val="9"/>
        <rFont val="Arial"/>
        <family val="2"/>
      </rPr>
      <t xml:space="preserve"> -</t>
    </r>
    <phoneticPr fontId="143" type="noConversion"/>
  </si>
  <si>
    <r>
      <t>h</t>
    </r>
    <r>
      <rPr>
        <vertAlign val="subscript"/>
        <sz val="9"/>
        <rFont val="Arial"/>
        <family val="2"/>
      </rPr>
      <t>r,2</t>
    </r>
    <r>
      <rPr>
        <sz val="9"/>
        <rFont val="Arial"/>
        <family val="2"/>
      </rPr>
      <t>)</t>
    </r>
    <phoneticPr fontId="143" type="noConversion"/>
  </si>
  <si>
    <r>
      <rPr>
        <b/>
        <vertAlign val="superscript"/>
        <sz val="9"/>
        <color rgb="FFFF0000"/>
        <rFont val="Arial"/>
        <family val="2"/>
      </rPr>
      <t>o</t>
    </r>
    <r>
      <rPr>
        <b/>
        <sz val="9"/>
        <color rgb="FFFF0000"/>
        <rFont val="Arial"/>
        <family val="2"/>
      </rPr>
      <t>C</t>
    </r>
  </si>
  <si>
    <t>=</t>
    <phoneticPr fontId="143" type="noConversion"/>
  </si>
  <si>
    <r>
      <t>Q</t>
    </r>
    <r>
      <rPr>
        <vertAlign val="subscript"/>
        <sz val="9"/>
        <rFont val="Arial"/>
        <family val="2"/>
      </rPr>
      <t>T</t>
    </r>
    <phoneticPr fontId="143" type="noConversion"/>
  </si>
  <si>
    <r>
      <t>V</t>
    </r>
    <r>
      <rPr>
        <vertAlign val="subscript"/>
        <sz val="9"/>
        <rFont val="Arial"/>
        <family val="2"/>
      </rPr>
      <t>E</t>
    </r>
    <phoneticPr fontId="143" type="noConversion"/>
  </si>
  <si>
    <r>
      <t>t</t>
    </r>
    <r>
      <rPr>
        <vertAlign val="subscript"/>
        <sz val="9"/>
        <rFont val="Arial"/>
        <family val="2"/>
      </rPr>
      <t>o,1</t>
    </r>
    <phoneticPr fontId="143" type="noConversion"/>
  </si>
  <si>
    <t>a</t>
  </si>
  <si>
    <t>a</t>
    <phoneticPr fontId="143" type="noConversion"/>
  </si>
  <si>
    <t>`</t>
    <phoneticPr fontId="143" type="noConversion"/>
  </si>
  <si>
    <r>
      <t>t</t>
    </r>
    <r>
      <rPr>
        <vertAlign val="subscript"/>
        <sz val="9"/>
        <rFont val="Arial"/>
        <family val="2"/>
      </rPr>
      <t>r,1</t>
    </r>
    <phoneticPr fontId="143" type="noConversion"/>
  </si>
  <si>
    <r>
      <t>t</t>
    </r>
    <r>
      <rPr>
        <vertAlign val="subscript"/>
        <sz val="9"/>
        <rFont val="Arial"/>
        <family val="2"/>
      </rPr>
      <t>r,2</t>
    </r>
    <phoneticPr fontId="143" type="noConversion"/>
  </si>
  <si>
    <t>Winter</t>
    <phoneticPr fontId="143" type="noConversion"/>
  </si>
  <si>
    <t>Winter</t>
    <phoneticPr fontId="143" type="noConversion"/>
  </si>
  <si>
    <t>Outdoor</t>
    <phoneticPr fontId="143" type="noConversion"/>
  </si>
  <si>
    <t>Indoor</t>
    <phoneticPr fontId="143" type="noConversion"/>
  </si>
  <si>
    <r>
      <t>t</t>
    </r>
    <r>
      <rPr>
        <vertAlign val="subscript"/>
        <sz val="9"/>
        <rFont val="Arial"/>
        <family val="2"/>
      </rPr>
      <t>r,1</t>
    </r>
    <r>
      <rPr>
        <sz val="9"/>
        <rFont val="Arial"/>
        <family val="2"/>
      </rPr>
      <t xml:space="preserve"> -</t>
    </r>
  </si>
  <si>
    <r>
      <t>t</t>
    </r>
    <r>
      <rPr>
        <vertAlign val="subscript"/>
        <sz val="9"/>
        <rFont val="Arial"/>
        <family val="2"/>
      </rPr>
      <t>r,2</t>
    </r>
    <r>
      <rPr>
        <sz val="9"/>
        <rFont val="Arial"/>
        <family val="2"/>
      </rPr>
      <t>)</t>
    </r>
  </si>
  <si>
    <r>
      <t xml:space="preserve">Supply Inlet
</t>
    </r>
    <r>
      <rPr>
        <b/>
        <sz val="9"/>
        <color rgb="FF009900"/>
        <rFont val="Arial"/>
        <family val="2"/>
      </rPr>
      <t>(Outdoor) o1</t>
    </r>
  </si>
  <si>
    <r>
      <t xml:space="preserve">Exhaust Inlet
</t>
    </r>
    <r>
      <rPr>
        <b/>
        <sz val="9"/>
        <color rgb="FF009900"/>
        <rFont val="Arial"/>
        <family val="2"/>
      </rPr>
      <t>(Indoor) r1</t>
    </r>
  </si>
  <si>
    <t>Thermal Wheel</t>
  </si>
  <si>
    <t>ft2</t>
  </si>
  <si>
    <t>Mr. Ivan Y.C. Tai</t>
  </si>
  <si>
    <t>ivan@mesanct.com</t>
  </si>
  <si>
    <t>2787 2997</t>
  </si>
  <si>
    <t>9171 4966</t>
  </si>
  <si>
    <t>Unit 01-02, 31/F, New Trend Centre, No.704 Prince Edward Road East</t>
  </si>
  <si>
    <t>San Po Kong, Kowloon, HK</t>
  </si>
  <si>
    <t>Mesan Fiberglass Engineering (Int'd) Ltd.</t>
  </si>
  <si>
    <t>http://model.mesanct.com/</t>
  </si>
  <si>
    <t>E-mail</t>
  </si>
  <si>
    <t>Version R0</t>
  </si>
  <si>
    <t>2014.01.03</t>
  </si>
  <si>
    <t>Version R1</t>
  </si>
  <si>
    <t>2014.01.30</t>
  </si>
  <si>
    <t>Version R2</t>
  </si>
  <si>
    <t>2014.02.06</t>
  </si>
  <si>
    <r>
      <t>V</t>
    </r>
    <r>
      <rPr>
        <vertAlign val="subscript"/>
        <sz val="9"/>
        <rFont val="Arial"/>
        <family val="2"/>
      </rPr>
      <t>e</t>
    </r>
  </si>
  <si>
    <t>Psy WB</t>
  </si>
  <si>
    <t>Enthalpy</t>
  </si>
  <si>
    <r>
      <rPr>
        <b/>
        <i/>
        <sz val="9"/>
        <color rgb="FF781DFF"/>
        <rFont val="Arial"/>
        <family val="2"/>
      </rPr>
      <t>Supply</t>
    </r>
    <r>
      <rPr>
        <b/>
        <i/>
        <sz val="9"/>
        <color theme="9" tint="-0.249977111117893"/>
        <rFont val="Arial"/>
        <family val="2"/>
      </rPr>
      <t xml:space="preserve"> </t>
    </r>
    <r>
      <rPr>
        <b/>
        <i/>
        <sz val="9"/>
        <color theme="0"/>
        <rFont val="Arial"/>
        <family val="2"/>
      </rPr>
      <t>Outlet Condition</t>
    </r>
  </si>
  <si>
    <r>
      <rPr>
        <b/>
        <i/>
        <sz val="9"/>
        <color rgb="FF781DFF"/>
        <rFont val="Arial"/>
        <family val="2"/>
      </rPr>
      <t xml:space="preserve">Exhaust </t>
    </r>
    <r>
      <rPr>
        <b/>
        <i/>
        <sz val="9"/>
        <color theme="0"/>
        <rFont val="Arial"/>
        <family val="2"/>
      </rPr>
      <t>Outlet Condition</t>
    </r>
  </si>
  <si>
    <r>
      <rPr>
        <b/>
        <sz val="9"/>
        <color rgb="FF3333FF"/>
        <rFont val="Arial"/>
        <family val="2"/>
      </rPr>
      <t xml:space="preserve">Dry Bulb </t>
    </r>
    <r>
      <rPr>
        <b/>
        <sz val="9"/>
        <rFont val="Arial"/>
        <family val="2"/>
      </rPr>
      <t xml:space="preserve">Temperature </t>
    </r>
  </si>
  <si>
    <r>
      <rPr>
        <b/>
        <sz val="9"/>
        <color rgb="FF0000FF"/>
        <rFont val="Arial"/>
        <family val="2"/>
      </rPr>
      <t xml:space="preserve">Wet Bulb </t>
    </r>
    <r>
      <rPr>
        <b/>
        <sz val="9"/>
        <rFont val="Arial"/>
        <family val="2"/>
      </rPr>
      <t>Temperature</t>
    </r>
    <r>
      <rPr>
        <sz val="9"/>
        <color rgb="FF3333FF"/>
        <rFont val="Arial"/>
        <family val="2"/>
      </rPr>
      <t xml:space="preserve"> </t>
    </r>
    <r>
      <rPr>
        <sz val="8"/>
        <color rgb="FF3333FF"/>
        <rFont val="Arial"/>
        <family val="2"/>
      </rPr>
      <t>by Psy. Chart</t>
    </r>
  </si>
  <si>
    <r>
      <t>Saturated Temperature</t>
    </r>
    <r>
      <rPr>
        <sz val="9"/>
        <rFont val="Arial"/>
        <family val="2"/>
      </rPr>
      <t xml:space="preserve"> </t>
    </r>
    <r>
      <rPr>
        <sz val="8"/>
        <rFont val="Arial"/>
        <family val="2"/>
      </rPr>
      <t>by Psy. Chart</t>
    </r>
  </si>
  <si>
    <r>
      <t>t</t>
    </r>
    <r>
      <rPr>
        <vertAlign val="subscript"/>
        <sz val="9"/>
        <color rgb="FFFF0000"/>
        <rFont val="Arial"/>
        <family val="2"/>
      </rPr>
      <t>o,2 wb</t>
    </r>
  </si>
  <si>
    <r>
      <t>h</t>
    </r>
    <r>
      <rPr>
        <vertAlign val="subscript"/>
        <sz val="9"/>
        <color rgb="FFFF0000"/>
        <rFont val="Arial"/>
        <family val="2"/>
      </rPr>
      <t>o,2</t>
    </r>
  </si>
  <si>
    <r>
      <t>t</t>
    </r>
    <r>
      <rPr>
        <vertAlign val="subscript"/>
        <sz val="9"/>
        <color rgb="FFFF0000"/>
        <rFont val="Arial"/>
        <family val="2"/>
      </rPr>
      <t>o,2</t>
    </r>
  </si>
  <si>
    <r>
      <t>t</t>
    </r>
    <r>
      <rPr>
        <vertAlign val="subscript"/>
        <sz val="9"/>
        <color rgb="FFFF0000"/>
        <rFont val="Arial"/>
        <family val="2"/>
      </rPr>
      <t>r,2</t>
    </r>
  </si>
  <si>
    <r>
      <t>t</t>
    </r>
    <r>
      <rPr>
        <vertAlign val="subscript"/>
        <sz val="9"/>
        <color rgb="FFFF0000"/>
        <rFont val="Arial"/>
        <family val="2"/>
      </rPr>
      <t>r,2 wb</t>
    </r>
  </si>
  <si>
    <r>
      <rPr>
        <sz val="9"/>
        <color rgb="FF0000FF"/>
        <rFont val="Arial"/>
        <family val="2"/>
      </rPr>
      <t xml:space="preserve">Wet Bulb </t>
    </r>
    <r>
      <rPr>
        <sz val="9"/>
        <rFont val="Arial"/>
        <family val="2"/>
      </rPr>
      <t>Temperature</t>
    </r>
    <r>
      <rPr>
        <sz val="9"/>
        <color rgb="FF3333FF"/>
        <rFont val="Arial"/>
        <family val="2"/>
      </rPr>
      <t xml:space="preserve"> </t>
    </r>
    <r>
      <rPr>
        <sz val="8"/>
        <color rgb="FF3333FF"/>
        <rFont val="Arial"/>
        <family val="2"/>
      </rPr>
      <t>by Psy. Chart</t>
    </r>
  </si>
  <si>
    <t>Maximum Total Energy Recovered</t>
  </si>
  <si>
    <t>Maximum Sensible Heat Recovered</t>
  </si>
  <si>
    <t>Maximum Latent Heat Recovered</t>
  </si>
  <si>
    <t>derekchu@extensive.com.hk</t>
  </si>
  <si>
    <t>9700 2102</t>
  </si>
  <si>
    <t>Supply : Exhaust Ratio</t>
  </si>
  <si>
    <t xml:space="preserve">Pipes &amp; Insulations </t>
  </si>
  <si>
    <t>Insulations</t>
  </si>
  <si>
    <t>Outdoor</t>
  </si>
  <si>
    <t>Pipe</t>
  </si>
  <si>
    <t>Unconditioned</t>
  </si>
  <si>
    <t>Conditioned</t>
  </si>
  <si>
    <t>Fibreglass</t>
  </si>
  <si>
    <t>Elastomeric</t>
  </si>
  <si>
    <t>Bright</t>
  </si>
  <si>
    <t>Black</t>
  </si>
  <si>
    <t>Insulation</t>
  </si>
  <si>
    <t>Insulation Surface</t>
  </si>
  <si>
    <t>Surface Coef. h</t>
  </si>
  <si>
    <t>Thermal Conductivity</t>
  </si>
  <si>
    <t>Reference: Code of Practice for Energy Efficiency of Building Services Installation Section 6.11</t>
  </si>
  <si>
    <t xml:space="preserve">Pipe Insulation </t>
  </si>
  <si>
    <t>*between air inside duct/ casing and surrounding of duct/ casing</t>
  </si>
  <si>
    <t xml:space="preserve">Duct/ AHU Insulation </t>
  </si>
  <si>
    <t xml:space="preserve">Refrigerant Pipe Insulation </t>
  </si>
  <si>
    <t>line temperature</t>
  </si>
  <si>
    <r>
      <t>0</t>
    </r>
    <r>
      <rPr>
        <vertAlign val="superscript"/>
        <sz val="9"/>
        <rFont val="Arial"/>
        <family val="2"/>
      </rPr>
      <t>o</t>
    </r>
    <r>
      <rPr>
        <sz val="9"/>
        <rFont val="Arial"/>
        <family val="2"/>
      </rPr>
      <t>C</t>
    </r>
  </si>
  <si>
    <r>
      <t>-10</t>
    </r>
    <r>
      <rPr>
        <vertAlign val="superscript"/>
        <sz val="9"/>
        <rFont val="Arial"/>
        <family val="2"/>
      </rPr>
      <t>o</t>
    </r>
    <r>
      <rPr>
        <sz val="9"/>
        <rFont val="Arial"/>
        <family val="2"/>
      </rPr>
      <t>C</t>
    </r>
  </si>
  <si>
    <r>
      <t>-20</t>
    </r>
    <r>
      <rPr>
        <vertAlign val="superscript"/>
        <sz val="9"/>
        <rFont val="Arial"/>
        <family val="2"/>
      </rPr>
      <t>o</t>
    </r>
    <r>
      <rPr>
        <sz val="9"/>
        <rFont val="Arial"/>
        <family val="2"/>
      </rPr>
      <t>C</t>
    </r>
  </si>
  <si>
    <t>Simulation table</t>
  </si>
  <si>
    <t>Calculation of Thickness of Insulation</t>
  </si>
  <si>
    <r>
      <t>l</t>
    </r>
    <r>
      <rPr>
        <sz val="10"/>
        <rFont val="Times New Roman"/>
        <family val="1"/>
      </rPr>
      <t/>
    </r>
  </si>
  <si>
    <r>
      <t>c</t>
    </r>
    <r>
      <rPr>
        <sz val="10"/>
        <rFont val="Times New Roman"/>
        <family val="1"/>
      </rPr>
      <t/>
    </r>
  </si>
  <si>
    <t>Air duct</t>
  </si>
  <si>
    <r>
      <t>c</t>
    </r>
    <r>
      <rPr>
        <sz val="9"/>
        <rFont val="Arial"/>
        <family val="2"/>
      </rPr>
      <t>=1000*(</t>
    </r>
    <r>
      <rPr>
        <sz val="9"/>
        <rFont val="Symbol"/>
        <family val="1"/>
        <charset val="2"/>
      </rPr>
      <t>l</t>
    </r>
    <r>
      <rPr>
        <sz val="9"/>
        <rFont val="Arial"/>
        <family val="2"/>
      </rPr>
      <t>/h)*{(</t>
    </r>
    <r>
      <rPr>
        <sz val="9"/>
        <rFont val="Symbol"/>
        <family val="1"/>
        <charset val="2"/>
      </rPr>
      <t>q</t>
    </r>
    <r>
      <rPr>
        <vertAlign val="subscript"/>
        <sz val="9"/>
        <rFont val="Arial"/>
        <family val="2"/>
      </rPr>
      <t>d</t>
    </r>
    <r>
      <rPr>
        <sz val="9"/>
        <rFont val="Arial"/>
        <family val="2"/>
      </rPr>
      <t>-</t>
    </r>
    <r>
      <rPr>
        <sz val="9"/>
        <rFont val="Symbol"/>
        <family val="1"/>
        <charset val="2"/>
      </rPr>
      <t>q</t>
    </r>
    <r>
      <rPr>
        <vertAlign val="subscript"/>
        <sz val="9"/>
        <rFont val="Arial"/>
        <family val="2"/>
      </rPr>
      <t>1</t>
    </r>
    <r>
      <rPr>
        <sz val="9"/>
        <rFont val="Arial"/>
        <family val="2"/>
      </rPr>
      <t>)/(</t>
    </r>
    <r>
      <rPr>
        <sz val="9"/>
        <rFont val="Symbol"/>
        <family val="1"/>
        <charset val="2"/>
      </rPr>
      <t>q</t>
    </r>
    <r>
      <rPr>
        <vertAlign val="subscript"/>
        <sz val="9"/>
        <rFont val="Arial"/>
        <family val="2"/>
      </rPr>
      <t>m</t>
    </r>
    <r>
      <rPr>
        <sz val="9"/>
        <rFont val="Arial"/>
        <family val="2"/>
      </rPr>
      <t>-</t>
    </r>
    <r>
      <rPr>
        <sz val="9"/>
        <rFont val="Symbol"/>
        <family val="1"/>
        <charset val="2"/>
      </rPr>
      <t>q</t>
    </r>
    <r>
      <rPr>
        <vertAlign val="subscript"/>
        <sz val="9"/>
        <rFont val="Arial"/>
        <family val="2"/>
      </rPr>
      <t>d</t>
    </r>
    <r>
      <rPr>
        <sz val="9"/>
        <rFont val="Arial"/>
        <family val="2"/>
      </rPr>
      <t>)}</t>
    </r>
  </si>
  <si>
    <r>
      <t>c</t>
    </r>
    <r>
      <rPr>
        <sz val="9"/>
        <rFont val="Arial"/>
        <family val="2"/>
      </rPr>
      <t>=0.5*(d</t>
    </r>
    <r>
      <rPr>
        <vertAlign val="subscript"/>
        <sz val="9"/>
        <rFont val="Arial"/>
        <family val="2"/>
      </rPr>
      <t>o</t>
    </r>
    <r>
      <rPr>
        <sz val="9"/>
        <rFont val="Arial"/>
        <family val="2"/>
      </rPr>
      <t>+2L</t>
    </r>
    <r>
      <rPr>
        <vertAlign val="subscript"/>
        <sz val="9"/>
        <rFont val="Arial"/>
        <family val="2"/>
      </rPr>
      <t>a</t>
    </r>
    <r>
      <rPr>
        <sz val="9"/>
        <rFont val="Arial"/>
        <family val="2"/>
      </rPr>
      <t>)*ln[1+2L</t>
    </r>
    <r>
      <rPr>
        <vertAlign val="subscript"/>
        <sz val="9"/>
        <rFont val="Arial"/>
        <family val="2"/>
      </rPr>
      <t>a</t>
    </r>
    <r>
      <rPr>
        <sz val="9"/>
        <rFont val="Arial"/>
        <family val="2"/>
      </rPr>
      <t>/d</t>
    </r>
    <r>
      <rPr>
        <vertAlign val="subscript"/>
        <sz val="9"/>
        <rFont val="Arial"/>
        <family val="2"/>
      </rPr>
      <t>o</t>
    </r>
    <r>
      <rPr>
        <sz val="9"/>
        <rFont val="Arial"/>
        <family val="2"/>
      </rPr>
      <t>]</t>
    </r>
  </si>
  <si>
    <r>
      <t>c</t>
    </r>
    <r>
      <rPr>
        <sz val="9"/>
        <rFont val="Arial"/>
        <family val="2"/>
      </rPr>
      <t>=L</t>
    </r>
    <r>
      <rPr>
        <vertAlign val="subscript"/>
        <sz val="9"/>
        <rFont val="Arial"/>
        <family val="2"/>
      </rPr>
      <t>a</t>
    </r>
    <r>
      <rPr>
        <sz val="10"/>
        <rFont val="Times New Roman"/>
        <family val="1"/>
      </rPr>
      <t/>
    </r>
  </si>
  <si>
    <r>
      <t>W/m</t>
    </r>
    <r>
      <rPr>
        <vertAlign val="superscript"/>
        <sz val="9"/>
        <rFont val="Arial"/>
        <family val="2"/>
      </rPr>
      <t>o</t>
    </r>
    <r>
      <rPr>
        <sz val="9"/>
        <rFont val="Arial"/>
        <family val="2"/>
      </rPr>
      <t>C at 20</t>
    </r>
    <r>
      <rPr>
        <vertAlign val="superscript"/>
        <sz val="9"/>
        <rFont val="Arial"/>
        <family val="2"/>
      </rPr>
      <t>o</t>
    </r>
    <r>
      <rPr>
        <sz val="9"/>
        <rFont val="Arial"/>
        <family val="2"/>
      </rPr>
      <t>C</t>
    </r>
  </si>
  <si>
    <r>
      <t>q</t>
    </r>
    <r>
      <rPr>
        <vertAlign val="subscript"/>
        <sz val="9"/>
        <rFont val="Arial"/>
        <family val="2"/>
      </rPr>
      <t>d</t>
    </r>
    <r>
      <rPr>
        <sz val="10"/>
        <rFont val="Symbol"/>
        <family val="1"/>
        <charset val="2"/>
      </rPr>
      <t/>
    </r>
  </si>
  <si>
    <r>
      <t>q</t>
    </r>
    <r>
      <rPr>
        <vertAlign val="subscript"/>
        <sz val="9"/>
        <rFont val="Arial"/>
        <family val="2"/>
      </rPr>
      <t>1</t>
    </r>
  </si>
  <si>
    <r>
      <t>q</t>
    </r>
    <r>
      <rPr>
        <vertAlign val="subscript"/>
        <sz val="9"/>
        <rFont val="Arial"/>
        <family val="2"/>
      </rPr>
      <t>m</t>
    </r>
  </si>
  <si>
    <r>
      <t>Temperature
Difference</t>
    </r>
    <r>
      <rPr>
        <sz val="9"/>
        <color rgb="FF0000FF"/>
        <rFont val="Arial"/>
        <family val="2"/>
      </rPr>
      <t>*</t>
    </r>
  </si>
  <si>
    <r>
      <t>d</t>
    </r>
    <r>
      <rPr>
        <vertAlign val="subscript"/>
        <sz val="9"/>
        <rFont val="Arial"/>
        <family val="2"/>
      </rPr>
      <t>o</t>
    </r>
  </si>
  <si>
    <r>
      <t>c</t>
    </r>
    <r>
      <rPr>
        <vertAlign val="subscript"/>
        <sz val="9"/>
        <rFont val="Arial"/>
        <family val="2"/>
      </rPr>
      <t>m</t>
    </r>
  </si>
  <si>
    <r>
      <t>L</t>
    </r>
    <r>
      <rPr>
        <vertAlign val="subscript"/>
        <sz val="9"/>
        <rFont val="Arial"/>
        <family val="2"/>
      </rPr>
      <t>a,min</t>
    </r>
  </si>
  <si>
    <r>
      <t>*Line temperature at 5</t>
    </r>
    <r>
      <rPr>
        <i/>
        <vertAlign val="superscript"/>
        <sz val="9"/>
        <color rgb="FF669900"/>
        <rFont val="Arial"/>
        <family val="2"/>
      </rPr>
      <t>o</t>
    </r>
    <r>
      <rPr>
        <i/>
        <sz val="9"/>
        <color rgb="FF669900"/>
        <rFont val="Arial"/>
        <family val="2"/>
      </rPr>
      <t>C</t>
    </r>
  </si>
  <si>
    <t xml:space="preserve"> - outer diameter</t>
  </si>
  <si>
    <t>Ambient temperature</t>
  </si>
  <si>
    <r>
      <t xml:space="preserve"> </t>
    </r>
    <r>
      <rPr>
        <vertAlign val="superscript"/>
        <sz val="9"/>
        <rFont val="Arial"/>
        <family val="2"/>
      </rPr>
      <t>o</t>
    </r>
    <r>
      <rPr>
        <sz val="9"/>
        <rFont val="Arial"/>
        <family val="2"/>
      </rPr>
      <t>C</t>
    </r>
  </si>
  <si>
    <r>
      <t>W/m</t>
    </r>
    <r>
      <rPr>
        <vertAlign val="superscript"/>
        <sz val="9"/>
        <rFont val="Arial"/>
        <family val="2"/>
      </rPr>
      <t>2 o</t>
    </r>
    <r>
      <rPr>
        <sz val="9"/>
        <rFont val="Arial"/>
        <family val="2"/>
      </rPr>
      <t>C</t>
    </r>
  </si>
  <si>
    <r>
      <t>W/m</t>
    </r>
    <r>
      <rPr>
        <vertAlign val="superscript"/>
        <sz val="9"/>
        <rFont val="Arial"/>
        <family val="2"/>
      </rPr>
      <t>o</t>
    </r>
    <r>
      <rPr>
        <sz val="9"/>
        <rFont val="Arial"/>
        <family val="2"/>
      </rPr>
      <t>C</t>
    </r>
  </si>
  <si>
    <t>Surface coefficient</t>
  </si>
  <si>
    <t>Ambient dew point temperature</t>
  </si>
  <si>
    <t>Themal conductivity</t>
  </si>
  <si>
    <t>Provisional thickness</t>
  </si>
  <si>
    <t>minimum insulation thickness</t>
  </si>
  <si>
    <t>Minimum simulated provisional thickness</t>
  </si>
  <si>
    <t>Minimum insulation thickness</t>
  </si>
  <si>
    <r>
      <rPr>
        <b/>
        <i/>
        <sz val="9"/>
        <color rgb="FF781DFF"/>
        <rFont val="Arial"/>
        <family val="2"/>
      </rPr>
      <t xml:space="preserve">Pipe </t>
    </r>
    <r>
      <rPr>
        <b/>
        <i/>
        <sz val="9"/>
        <color indexed="9"/>
        <rFont val="Arial"/>
        <family val="2"/>
      </rPr>
      <t>Insulation Thickness</t>
    </r>
  </si>
  <si>
    <r>
      <rPr>
        <b/>
        <i/>
        <sz val="9"/>
        <color rgb="FF781DFF"/>
        <rFont val="Arial"/>
        <family val="2"/>
      </rPr>
      <t xml:space="preserve">Airduct/ AHU casing </t>
    </r>
    <r>
      <rPr>
        <b/>
        <i/>
        <sz val="9"/>
        <color indexed="9"/>
        <rFont val="Arial"/>
        <family val="2"/>
      </rPr>
      <t>Insulation Thickness</t>
    </r>
  </si>
  <si>
    <r>
      <t>c</t>
    </r>
    <r>
      <rPr>
        <b/>
        <vertAlign val="subscript"/>
        <sz val="9"/>
        <color rgb="FF781DFF"/>
        <rFont val="Times New Roman"/>
        <family val="1"/>
      </rPr>
      <t>m,ok</t>
    </r>
  </si>
  <si>
    <r>
      <t>L</t>
    </r>
    <r>
      <rPr>
        <b/>
        <vertAlign val="subscript"/>
        <sz val="9"/>
        <color rgb="FF781DFF"/>
        <rFont val="Times New Roman"/>
        <family val="1"/>
      </rPr>
      <t>a,trial</t>
    </r>
  </si>
  <si>
    <r>
      <t>c</t>
    </r>
    <r>
      <rPr>
        <b/>
        <vertAlign val="subscript"/>
        <sz val="9"/>
        <color rgb="FF781DFF"/>
        <rFont val="Times New Roman"/>
        <family val="1"/>
      </rPr>
      <t>m</t>
    </r>
  </si>
  <si>
    <t>Fluid temperature in duct/pipe</t>
  </si>
  <si>
    <t>Minimum Insulation Thickness Requirement - BEC 2012</t>
  </si>
  <si>
    <t>Ambient</t>
  </si>
  <si>
    <t>Insulation
Thickness mm</t>
  </si>
  <si>
    <t>Reference: Technical Guidelines on Code of Practice for Energy Efficiency of Building Services Installation Section 6.11</t>
  </si>
  <si>
    <t>Mr. Thomas Chan</t>
  </si>
  <si>
    <t>2903 7598</t>
  </si>
  <si>
    <t>thomas.KT.chan@jci.com</t>
  </si>
  <si>
    <t>Control</t>
  </si>
  <si>
    <t>http://www.buildingcontrolworkbench.com/BCWInfo/GrayBook/Cgray.htm</t>
  </si>
  <si>
    <t>Summer Supply Outlet</t>
  </si>
  <si>
    <t>Summer Exhaust Outlet</t>
  </si>
  <si>
    <t>Summer Supply Intlet</t>
  </si>
  <si>
    <t>Winter Supply Intlet</t>
  </si>
  <si>
    <t>Summer Exhaust Intlet</t>
  </si>
  <si>
    <t>Winter Exhaust Intlet</t>
  </si>
  <si>
    <t>Winter Supply Outlet</t>
  </si>
  <si>
    <t>Winter Exhaust Outlet (moisture content unchanged)</t>
  </si>
  <si>
    <t>Winter Exhaust Outlet (saturated)</t>
  </si>
  <si>
    <t>Version R3</t>
  </si>
  <si>
    <t>Version R2.1</t>
  </si>
  <si>
    <t>2014.02.07</t>
  </si>
  <si>
    <t>2014.03.05</t>
  </si>
  <si>
    <t>http://net.grundfos.com/Appl/WebCAPS/InitCtrl?mode=0</t>
  </si>
  <si>
    <t>Cooling Reheat off-coil (s2)</t>
  </si>
  <si>
    <t>Preheat off-coil (tpre)</t>
  </si>
  <si>
    <t>PAU heating off-coil</t>
  </si>
  <si>
    <t>Circular De =</t>
  </si>
  <si>
    <t>Rectanglar</t>
  </si>
  <si>
    <t>Version R4</t>
  </si>
  <si>
    <t>2014.03.25</t>
  </si>
  <si>
    <r>
      <t>1) kW = ṁCΔT = kg/s x 4.185 J/gK x ΔT = (L/s x 1000 kg/m</t>
    </r>
    <r>
      <rPr>
        <i/>
        <vertAlign val="superscript"/>
        <sz val="9"/>
        <color indexed="21"/>
        <rFont val="Arial"/>
        <family val="2"/>
      </rPr>
      <t>3</t>
    </r>
    <r>
      <rPr>
        <i/>
        <sz val="9"/>
        <color indexed="21"/>
        <rFont val="Arial"/>
        <family val="2"/>
      </rPr>
      <t>) x 4.185 J/gK x ΔT</t>
    </r>
  </si>
  <si>
    <r>
      <t>保溫厚度</t>
    </r>
    <r>
      <rPr>
        <b/>
        <sz val="9"/>
        <color rgb="FF3333FF"/>
        <rFont val="Ar"/>
      </rPr>
      <t>(只適用於國內項目)</t>
    </r>
  </si>
  <si>
    <r>
      <t>管道材料</t>
    </r>
    <r>
      <rPr>
        <b/>
        <sz val="9"/>
        <color rgb="FF0000FF"/>
        <rFont val="Ar"/>
      </rPr>
      <t>(只適用於國內項目)</t>
    </r>
  </si>
  <si>
    <t>管道材料</t>
  </si>
  <si>
    <t>額定內徑 (mm)</t>
  </si>
  <si>
    <t>規格</t>
  </si>
  <si>
    <t>管道接駁</t>
  </si>
  <si>
    <t>法蘭/管接頭</t>
  </si>
  <si>
    <t>管配件</t>
  </si>
  <si>
    <t>焊接黑鐵鋼管</t>
  </si>
  <si>
    <t>20-80</t>
  </si>
  <si>
    <t>符合BSEN10255, B級 或 GB/T3091-2001普通鋼管要求</t>
  </si>
  <si>
    <t>1. 內徑50毫米或以下: 螺紋或焊接接合
2. 內徑65毫米或以上: 焊接接合或BSEN1092槽式接合</t>
  </si>
  <si>
    <t>1. 內徑50毫米或以下:黑延性鋼: 青銅鐵合金球座管接頭
2.內徑65毫米或以上:鐵法蘭連焊接頸口或槽式接頸口BSEN1092</t>
  </si>
  <si>
    <t>1. 螺紋接合: 50毫米內徑以下黑延性鐵螺紋管配件,BS143及1256鋼焊接頸口
2. 焊接介面:
a. 內徑150毫米以下: 採用預製的鋼平式焊接管配件
b. 內徑150毫米以上: 採用預製的鋼上勾式焊接管配件
c. 泵: 長曲變徑彎頭
d. 在水準管道變徑時, 採用預製的偏心變徑焊接管配件,
以保持各管徑管道頂部水準
3. 槽式接合: 採用預製槽配件配以機械槽式連接器</t>
  </si>
  <si>
    <r>
      <t xml:space="preserve">冷凍水管 </t>
    </r>
    <r>
      <rPr>
        <b/>
        <sz val="9"/>
        <color rgb="FF3333FF"/>
        <rFont val="Ar"/>
      </rPr>
      <t>CHWS/R</t>
    </r>
  </si>
  <si>
    <t>125及以下</t>
  </si>
  <si>
    <t>100-150</t>
  </si>
  <si>
    <t>符合BSEN10255, B級 或GB/T3091-2001加厚鋼管要求</t>
  </si>
  <si>
    <t>150至300</t>
  </si>
  <si>
    <t>400及以上</t>
  </si>
  <si>
    <t>350以上</t>
  </si>
  <si>
    <t>無縫碳鋼管</t>
  </si>
  <si>
    <r>
      <t xml:space="preserve">室外冷凍水管及冷凝水管
</t>
    </r>
    <r>
      <rPr>
        <b/>
        <sz val="9"/>
        <color rgb="FF3333FF"/>
        <rFont val="Ar"/>
      </rPr>
      <t>CHWS/R / CDP</t>
    </r>
  </si>
  <si>
    <t>200及以上</t>
  </si>
  <si>
    <r>
      <t xml:space="preserve">冷凝水管 </t>
    </r>
    <r>
      <rPr>
        <b/>
        <sz val="9"/>
        <color rgb="FF3333FF"/>
        <rFont val="Ar"/>
      </rPr>
      <t>CDP</t>
    </r>
  </si>
  <si>
    <r>
      <t>冷凝水接駁之排水管</t>
    </r>
    <r>
      <rPr>
        <b/>
        <sz val="9"/>
        <color rgb="FF3333FF"/>
        <rFont val="Ar"/>
      </rPr>
      <t>CDP Stack</t>
    </r>
  </si>
  <si>
    <t>螺旋縫焊黑鐵鋼管</t>
  </si>
  <si>
    <r>
      <t xml:space="preserve">冷卻水管 </t>
    </r>
    <r>
      <rPr>
        <b/>
        <sz val="9"/>
        <color rgb="FF669900"/>
        <rFont val="Ar"/>
      </rPr>
      <t>CNWS/R</t>
    </r>
  </si>
  <si>
    <r>
      <t xml:space="preserve">採暖熱水管 </t>
    </r>
    <r>
      <rPr>
        <b/>
        <sz val="9"/>
        <color rgb="FFFF0000"/>
        <rFont val="Ar"/>
      </rPr>
      <t>HWS/R</t>
    </r>
    <r>
      <rPr>
        <sz val="9"/>
        <rFont val="Ar"/>
      </rPr>
      <t xml:space="preserve">
補水管 </t>
    </r>
    <r>
      <rPr>
        <b/>
        <sz val="9"/>
        <color rgb="FFFF00FF"/>
        <rFont val="Ar"/>
      </rPr>
      <t>MU</t>
    </r>
  </si>
  <si>
    <t>50及以下</t>
  </si>
  <si>
    <t>無縫黑鐵鋼管</t>
  </si>
  <si>
    <t>符合BSEN10255, C級  或 GB/T17395-2008,GB3087- 2008 , GB/T8163-2008 及GB 5310-2008要求</t>
  </si>
  <si>
    <t>65至200</t>
  </si>
  <si>
    <t>冷卻水管</t>
  </si>
  <si>
    <t>250以上</t>
  </si>
  <si>
    <r>
      <t>蒸汽管</t>
    </r>
    <r>
      <rPr>
        <b/>
        <sz val="9"/>
        <color rgb="FF00B0F0"/>
        <rFont val="Ar"/>
      </rPr>
      <t>SS/Z</t>
    </r>
  </si>
  <si>
    <t>100及以下</t>
  </si>
  <si>
    <t>油管</t>
  </si>
  <si>
    <t>E</t>
  </si>
  <si>
    <t>符合 BSEN10255, C級 BS 1600或 GB/T3091-2001普通鋼管要求</t>
  </si>
  <si>
    <t>100以上</t>
  </si>
  <si>
    <r>
      <t>蒸汽凝結水管</t>
    </r>
    <r>
      <rPr>
        <b/>
        <sz val="9"/>
        <color theme="9" tint="-0.249977111117893"/>
        <rFont val="Ar"/>
      </rPr>
      <t>SR/ N</t>
    </r>
  </si>
  <si>
    <t>40及以下</t>
  </si>
  <si>
    <t>符合BSEN10255, C級 BS 1600或 GB/T3091-2001加厚鋼管要求</t>
  </si>
  <si>
    <t>50以上</t>
  </si>
  <si>
    <t>F</t>
  </si>
  <si>
    <t>熱鍍鋅鋼管</t>
  </si>
  <si>
    <t>符合BSEN10255, B級 或GB/T3091-2008普通鋼管要求</t>
  </si>
  <si>
    <t>1. 內徑50毫米或以下: 螺紋接合配件
2. 內徑65毫米或以上: 螺紋接合配件或螺紋法蘭</t>
  </si>
  <si>
    <t>1.內徑50毫米或以下:鍍鋅延性鋼,青銅鐵合金球座管接頭
2.BSEN1092螺紋銅輪法蘭</t>
  </si>
  <si>
    <t>BS143及1256鍍鋅延性鋼螺紋管配件</t>
  </si>
  <si>
    <t>G</t>
  </si>
  <si>
    <t>鍍鋅鋼管</t>
  </si>
  <si>
    <t>硬質聚氯乙烯管
(UPVC)</t>
  </si>
  <si>
    <t>符合BS3505 “E級 或 GB/T10002.1-2006</t>
  </si>
  <si>
    <t>BS4346溶劑焊接配件,使用BS4346:PART3的溶劑膠合劑</t>
  </si>
  <si>
    <t>BS4346機械式管介面</t>
  </si>
  <si>
    <t>灌注模UPVC管配件,BS4346:PART 1 溶劑焊接</t>
  </si>
  <si>
    <t>I</t>
  </si>
  <si>
    <t>銅管</t>
  </si>
  <si>
    <t>符合BSEN 1057: 2006及A1:2010  或 GBT17791-2007</t>
  </si>
  <si>
    <t>1.內徑50毫米或以下:以焊接方式接頭
2.內徑50毫米或以上:以法蘭接頭, 並應符合英國標準BSEN1092</t>
  </si>
  <si>
    <t>J</t>
  </si>
  <si>
    <t>球墨鑄鐵管</t>
  </si>
  <si>
    <t>符合 BSEN545 CLASS K12 及GB/T13295-2008 K12 級</t>
  </si>
  <si>
    <t>採用整體鑄造法蘭或絲扣法蘭介面</t>
  </si>
  <si>
    <t>符合 GB/T 13295-2008 的球墨鑄鐵</t>
  </si>
  <si>
    <t>符合BSEN10216/ BSEN ISO 1127/ BSEN 10220   Grade 410 或 GB/T17395-2008, GB/T8163-2008及 GB3087-2008 及GB 5310-2008要求</t>
  </si>
  <si>
    <t>符合BSEN10255 B級 或
SY/T5037-2000要求</t>
  </si>
  <si>
    <t>冷凍水管、採暖水管、
膨脹水管</t>
  </si>
  <si>
    <t>A, 焊接黑鐵鋼管</t>
  </si>
  <si>
    <t>B, 無縫碳鋼管</t>
  </si>
  <si>
    <t>C, 螺旋縫焊黑鐵鋼管</t>
  </si>
  <si>
    <t>蒸氣管、蒸氣凝結水管</t>
  </si>
  <si>
    <t>D, 無縫黑鐵鋼管</t>
  </si>
  <si>
    <t>冷凝水管、溢水管、通氣管、補給水管、接駁本系統的排水管</t>
  </si>
  <si>
    <t>F, 熱浸鍍鋅鋼管</t>
  </si>
  <si>
    <t>水質處理系統</t>
  </si>
  <si>
    <t>H, 硬質聚氯乙烯管</t>
  </si>
  <si>
    <t>I, 銅管</t>
  </si>
  <si>
    <t>J, 球墨鑄鐵管</t>
  </si>
  <si>
    <t>E, 焊接黑鐵鋼管</t>
  </si>
  <si>
    <t>ATAL</t>
  </si>
  <si>
    <t>Analogue Technical Agencies Ltd.</t>
  </si>
  <si>
    <t>Mr. Edmond Yeung</t>
  </si>
  <si>
    <t>2565 3478</t>
  </si>
  <si>
    <t>6277 3327</t>
  </si>
  <si>
    <t>17/F Java Commerical Centre, 128 Java Road, North Point, Hong Kong</t>
  </si>
  <si>
    <t>Mr. Billy Cheung</t>
  </si>
  <si>
    <t>2565 3306</t>
  </si>
  <si>
    <t>6792 5177</t>
  </si>
  <si>
    <t>Ms. Anita Cheung</t>
  </si>
  <si>
    <t>aniatacheung@atalbs.com.hk</t>
  </si>
  <si>
    <t>2565 3454</t>
  </si>
  <si>
    <t>6208 3226</t>
  </si>
  <si>
    <t>86 10 8498 3502/03/04</t>
  </si>
  <si>
    <t>862 0839 36008</t>
  </si>
  <si>
    <t>billycheung@atalbs.com.hk</t>
  </si>
  <si>
    <t>edmondyeung@atalbs.com.hk</t>
  </si>
  <si>
    <t>Ms. Connie Au</t>
  </si>
  <si>
    <t>connie.au@mlh.mehkg.com</t>
  </si>
  <si>
    <t>2510 1578</t>
  </si>
  <si>
    <t>9131 4269</t>
  </si>
  <si>
    <t>Rect De =</t>
  </si>
  <si>
    <t>Cir De =</t>
  </si>
  <si>
    <t>Revision: R5</t>
  </si>
  <si>
    <t>Version R5</t>
  </si>
  <si>
    <t>2014.05.05</t>
  </si>
  <si>
    <t>pi x a x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</si>
</sst>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2">
    <numFmt numFmtId="43" formatCode="_(* #,##0.00_);_(* \(#,##0.00\);_(* &quot;-&quot;??_);_(@_)"/>
    <numFmt numFmtId="176" formatCode="0.0"/>
    <numFmt numFmtId="177" formatCode="00&quot;%&quot;"/>
    <numFmt numFmtId="178" formatCode="0.00_ "/>
    <numFmt numFmtId="179" formatCode="&quot;x&quot;0.0"/>
    <numFmt numFmtId="180" formatCode="&quot;x (&quot;0.00_ &quot;-&quot;"/>
    <numFmt numFmtId="181" formatCode="0.00_ &quot;)&quot;"/>
    <numFmt numFmtId="182" formatCode="0.0\ &quot;)&quot;"/>
    <numFmt numFmtId="183" formatCode="0.0_ "/>
    <numFmt numFmtId="184" formatCode="0.000"/>
    <numFmt numFmtId="185" formatCode="&quot;x&quot;0.00"/>
    <numFmt numFmtId="186" formatCode="&quot;Δ&quot;\T\=#,##0.0"/>
    <numFmt numFmtId="187" formatCode="&quot;CHWS/R ΔT=&quot;0.0"/>
    <numFmt numFmtId="188" formatCode="&quot;HWS/R ΔT=&quot;0.0"/>
    <numFmt numFmtId="189" formatCode="0&quot;V&quot;"/>
    <numFmt numFmtId="190" formatCode="&quot;(Ø&quot;0&quot;)&quot;"/>
    <numFmt numFmtId="191" formatCode="0.00000"/>
    <numFmt numFmtId="192" formatCode="_(* #,##0.0_);_(* \(#,##0.0\);_(* &quot;-&quot;?_);_(@_)"/>
    <numFmt numFmtId="193" formatCode="0.000E+00"/>
    <numFmt numFmtId="194" formatCode="&quot;1 : &quot;0.0"/>
    <numFmt numFmtId="195" formatCode="&quot;-&quot;0.0"/>
    <numFmt numFmtId="196" formatCode="\-0.0"/>
    <numFmt numFmtId="197" formatCode="&quot;Ø&quot;0"/>
    <numFmt numFmtId="198" formatCode="0_);[Red]\(0\)"/>
    <numFmt numFmtId="199" formatCode="0&quot;)&quot;"/>
    <numFmt numFmtId="200" formatCode="0.0\ &quot;Bar&quot;"/>
    <numFmt numFmtId="201" formatCode="&quot;ø&quot;\ 0"/>
    <numFmt numFmtId="202" formatCode="&quot;PN&quot;0"/>
    <numFmt numFmtId="203" formatCode="0.0000_ "/>
    <numFmt numFmtId="204" formatCode="0.0000"/>
    <numFmt numFmtId="205" formatCode="0.0\ &quot;=&quot;"/>
    <numFmt numFmtId="206" formatCode="0.000\ &quot;=&quot;"/>
    <numFmt numFmtId="207" formatCode="0.0\ &quot;-&quot;"/>
    <numFmt numFmtId="208" formatCode="0.00_ &quot;-&quot;"/>
    <numFmt numFmtId="209" formatCode="&quot;|&quot;0.0&quot;|&quot;"/>
    <numFmt numFmtId="210" formatCode="0.0000&quot;)&quot;"/>
    <numFmt numFmtId="211" formatCode="0.0000&quot; -&quot;"/>
    <numFmt numFmtId="212" formatCode="&quot;|&quot;0.0&quot;| /&quot;"/>
    <numFmt numFmtId="213" formatCode="0.0000\ &quot;)&quot;"/>
    <numFmt numFmtId="214" formatCode="0.0000\ &quot;-&quot;"/>
    <numFmt numFmtId="215" formatCode="0.0_ &quot;-&quot;"/>
    <numFmt numFmtId="216" formatCode="0.0_ &quot;)&quot;"/>
    <numFmt numFmtId="217" formatCode="&quot;Coil SHR = &quot;0.0"/>
    <numFmt numFmtId="218" formatCode="0.0000_ &quot;)&quot;"/>
    <numFmt numFmtId="219" formatCode="&quot;Version:&quot;[$-C09]\ mmmm\ dd\,\ yyyy;@"/>
    <numFmt numFmtId="220" formatCode="&quot;When PD =&quot;\ 0\ &quot;Pa/m&quot;"/>
    <numFmt numFmtId="221" formatCode="&quot;When Velocity =&quot;\ 0.00\ &quot;m/s&quot;"/>
    <numFmt numFmtId="222" formatCode="&quot;Equivalent to&quot;\ 0\ &quot;% loss&quot;"/>
    <numFmt numFmtId="223" formatCode="&quot;Equivalent to&quot;\ 0.00\ &quot;ft/s&quot;"/>
    <numFmt numFmtId="224" formatCode="&quot;PN&quot;00"/>
    <numFmt numFmtId="225" formatCode="&quot;-&quot;0"/>
    <numFmt numFmtId="226" formatCode="&quot;--- For &quot;0.0&quot; Input W = 1kg/hr at&quot;"/>
    <numFmt numFmtId="227" formatCode="_(* #,##0_);_(* \(#,##0\);_(* &quot;-&quot;??_);_(@_)"/>
    <numFmt numFmtId="228" formatCode="&quot;1 : &quot;0.00"/>
    <numFmt numFmtId="229" formatCode="&quot;=&quot;\ 0.00"/>
    <numFmt numFmtId="230" formatCode="&quot;=&quot;\ 0.0"/>
    <numFmt numFmtId="231" formatCode="&quot;x&quot;\ 000"/>
    <numFmt numFmtId="232" formatCode="&quot;ø&quot;0"/>
    <numFmt numFmtId="233" formatCode="0.000000000"/>
    <numFmt numFmtId="234" formatCode="&quot;Date:&quot;[$-C09]\ mmmm\ dd\,\ yyyy;@"/>
    <numFmt numFmtId="235" formatCode="0.0%"/>
    <numFmt numFmtId="236" formatCode="&quot;x &quot;0.00"/>
    <numFmt numFmtId="237" formatCode="&quot;x&quot;\ 0.0%"/>
    <numFmt numFmtId="238" formatCode="00.0&quot;%&quot;"/>
    <numFmt numFmtId="239" formatCode="0.000000"/>
    <numFmt numFmtId="240" formatCode="0.0000000"/>
    <numFmt numFmtId="241" formatCode="0.000_);[Red]\(0.000\)"/>
    <numFmt numFmtId="242" formatCode="0.00_);[Red]\(0.00\)"/>
    <numFmt numFmtId="243" formatCode="0%\ &quot;RH&quot;"/>
    <numFmt numFmtId="244" formatCode="&quot;Available Room SHR = &quot;0.00"/>
    <numFmt numFmtId="245" formatCode="&quot;x&quot;0.000"/>
    <numFmt numFmtId="246" formatCode="\=\ 0.00"/>
  </numFmts>
  <fonts count="311">
    <font>
      <sz val="10"/>
      <name val="Arial"/>
      <family val="2"/>
    </font>
    <font>
      <sz val="11"/>
      <color theme="1"/>
      <name val="新細明體"/>
      <family val="2"/>
      <scheme val="minor"/>
    </font>
    <font>
      <sz val="10"/>
      <name val="Arial"/>
      <family val="2"/>
    </font>
    <font>
      <b/>
      <sz val="10"/>
      <name val="Arial"/>
      <family val="2"/>
    </font>
    <font>
      <sz val="8"/>
      <name val="Arial"/>
      <family val="2"/>
    </font>
    <font>
      <vertAlign val="superscript"/>
      <sz val="10"/>
      <name val="Arial"/>
      <family val="2"/>
    </font>
    <font>
      <sz val="10"/>
      <name val="Arial"/>
      <family val="2"/>
    </font>
    <font>
      <b/>
      <u/>
      <sz val="10"/>
      <name val="Arial"/>
      <family val="2"/>
    </font>
    <font>
      <sz val="10"/>
      <color indexed="10"/>
      <name val="Arial"/>
      <family val="2"/>
    </font>
    <font>
      <sz val="10"/>
      <color indexed="9"/>
      <name val="Arial"/>
      <family val="2"/>
    </font>
    <font>
      <b/>
      <sz val="10"/>
      <color indexed="10"/>
      <name val="Arial"/>
      <family val="2"/>
    </font>
    <font>
      <sz val="12"/>
      <name val="新細明體"/>
      <family val="1"/>
      <charset val="136"/>
    </font>
    <font>
      <sz val="12"/>
      <name val="Times New Roman"/>
      <family val="1"/>
    </font>
    <font>
      <i/>
      <sz val="12"/>
      <name val="Times New Roman"/>
      <family val="1"/>
    </font>
    <font>
      <b/>
      <u/>
      <sz val="12"/>
      <name val="Times New Roman"/>
      <family val="1"/>
    </font>
    <font>
      <i/>
      <vertAlign val="superscript"/>
      <sz val="12"/>
      <name val="Times New Roman"/>
      <family val="1"/>
    </font>
    <font>
      <i/>
      <vertAlign val="subscript"/>
      <sz val="12"/>
      <name val="Times New Roman"/>
      <family val="1"/>
    </font>
    <font>
      <i/>
      <vertAlign val="subscript"/>
      <sz val="12"/>
      <name val="新細明體"/>
      <family val="1"/>
      <charset val="136"/>
    </font>
    <font>
      <i/>
      <sz val="12"/>
      <name val="新細明體"/>
      <family val="1"/>
      <charset val="136"/>
    </font>
    <font>
      <b/>
      <sz val="9"/>
      <color indexed="81"/>
      <name val="Times New Roman"/>
      <family val="1"/>
    </font>
    <font>
      <u/>
      <sz val="12"/>
      <name val="Times New Roman"/>
      <family val="1"/>
    </font>
    <font>
      <b/>
      <sz val="12"/>
      <name val="Times New Roman"/>
      <family val="1"/>
    </font>
    <font>
      <b/>
      <u/>
      <sz val="14"/>
      <name val="Times New Roman"/>
      <family val="1"/>
    </font>
    <font>
      <b/>
      <vertAlign val="subscript"/>
      <sz val="12"/>
      <name val="Times New Roman"/>
      <family val="1"/>
    </font>
    <font>
      <vertAlign val="subscript"/>
      <sz val="12"/>
      <name val="Times New Roman"/>
      <family val="1"/>
    </font>
    <font>
      <vertAlign val="subscript"/>
      <sz val="12"/>
      <name val="新細明體"/>
      <family val="1"/>
      <charset val="136"/>
    </font>
    <font>
      <sz val="12"/>
      <name val="細明體"/>
      <family val="3"/>
      <charset val="136"/>
    </font>
    <font>
      <vertAlign val="superscript"/>
      <sz val="12"/>
      <name val="Times New Roman"/>
      <family val="1"/>
    </font>
    <font>
      <b/>
      <sz val="12"/>
      <name val="細明體"/>
      <family val="3"/>
      <charset val="136"/>
    </font>
    <font>
      <vertAlign val="subscript"/>
      <sz val="10"/>
      <name val="Arial"/>
      <family val="2"/>
    </font>
    <font>
      <b/>
      <sz val="10"/>
      <color indexed="48"/>
      <name val="Arial"/>
      <family val="2"/>
    </font>
    <font>
      <sz val="10"/>
      <name val="Arial"/>
      <family val="2"/>
    </font>
    <font>
      <i/>
      <sz val="10"/>
      <name val="Arial"/>
      <family val="2"/>
    </font>
    <font>
      <b/>
      <i/>
      <sz val="10"/>
      <color indexed="8"/>
      <name val="Arial"/>
      <family val="2"/>
    </font>
    <font>
      <b/>
      <i/>
      <sz val="10"/>
      <name val="Arial"/>
      <family val="2"/>
    </font>
    <font>
      <sz val="10"/>
      <name val="Arial"/>
      <family val="2"/>
    </font>
    <font>
      <sz val="10"/>
      <color indexed="8"/>
      <name val="Arial"/>
      <family val="2"/>
    </font>
    <font>
      <sz val="10"/>
      <color indexed="48"/>
      <name val="Arial"/>
      <family val="2"/>
    </font>
    <font>
      <sz val="9"/>
      <name val="Arial"/>
      <family val="2"/>
    </font>
    <font>
      <sz val="9"/>
      <color indexed="10"/>
      <name val="Arial"/>
      <family val="2"/>
    </font>
    <font>
      <b/>
      <sz val="10"/>
      <color indexed="12"/>
      <name val="Arial"/>
      <family val="2"/>
    </font>
    <font>
      <b/>
      <sz val="10"/>
      <color indexed="9"/>
      <name val="Arial"/>
      <family val="2"/>
    </font>
    <font>
      <b/>
      <sz val="8"/>
      <color indexed="81"/>
      <name val="Tahoma"/>
      <family val="2"/>
    </font>
    <font>
      <sz val="10"/>
      <color indexed="12"/>
      <name val="Arial"/>
      <family val="2"/>
    </font>
    <font>
      <sz val="10"/>
      <name val="Arial"/>
      <family val="2"/>
    </font>
    <font>
      <sz val="8"/>
      <name val="Arial"/>
      <family val="2"/>
    </font>
    <font>
      <b/>
      <vertAlign val="subscript"/>
      <sz val="10"/>
      <color indexed="12"/>
      <name val="Arial"/>
      <family val="2"/>
    </font>
    <font>
      <sz val="8"/>
      <color indexed="12"/>
      <name val="Arial"/>
      <family val="2"/>
    </font>
    <font>
      <sz val="10"/>
      <color indexed="10"/>
      <name val="Arial"/>
      <family val="2"/>
    </font>
    <font>
      <sz val="10"/>
      <name val="Arial Black"/>
      <family val="2"/>
    </font>
    <font>
      <sz val="8"/>
      <color indexed="9"/>
      <name val="Arial"/>
      <family val="2"/>
    </font>
    <font>
      <b/>
      <sz val="10"/>
      <color indexed="17"/>
      <name val="Arial"/>
      <family val="2"/>
    </font>
    <font>
      <b/>
      <u/>
      <sz val="9"/>
      <color indexed="17"/>
      <name val="Arial"/>
      <family val="2"/>
    </font>
    <font>
      <i/>
      <sz val="10"/>
      <color indexed="12"/>
      <name val="Arial"/>
      <family val="2"/>
    </font>
    <font>
      <sz val="10"/>
      <color indexed="17"/>
      <name val="Arial"/>
      <family val="2"/>
    </font>
    <font>
      <sz val="10"/>
      <name val="Arial"/>
      <family val="2"/>
    </font>
    <font>
      <sz val="10"/>
      <name val="Times New Roman"/>
      <family val="1"/>
    </font>
    <font>
      <b/>
      <sz val="10"/>
      <color indexed="21"/>
      <name val="Arial"/>
      <family val="2"/>
    </font>
    <font>
      <b/>
      <sz val="9"/>
      <name val="Arial"/>
      <family val="2"/>
    </font>
    <font>
      <sz val="9"/>
      <color indexed="12"/>
      <name val="Arial"/>
      <family val="2"/>
    </font>
    <font>
      <sz val="8"/>
      <color indexed="10"/>
      <name val="Arial"/>
      <family val="2"/>
    </font>
    <font>
      <sz val="9"/>
      <name val="Arial"/>
      <family val="2"/>
    </font>
    <font>
      <b/>
      <sz val="9"/>
      <color indexed="12"/>
      <name val="Arial"/>
      <family val="2"/>
    </font>
    <font>
      <b/>
      <sz val="9"/>
      <name val="Arial"/>
      <family val="2"/>
    </font>
    <font>
      <sz val="9"/>
      <color indexed="10"/>
      <name val="Arial"/>
      <family val="2"/>
    </font>
    <font>
      <b/>
      <sz val="10"/>
      <color indexed="12"/>
      <name val="Arial"/>
      <family val="2"/>
    </font>
    <font>
      <b/>
      <sz val="10"/>
      <color indexed="10"/>
      <name val="Arial"/>
      <family val="2"/>
    </font>
    <font>
      <sz val="10"/>
      <color indexed="17"/>
      <name val="Arial"/>
      <family val="2"/>
    </font>
    <font>
      <b/>
      <sz val="9"/>
      <color indexed="10"/>
      <name val="Arial"/>
      <family val="2"/>
    </font>
    <font>
      <vertAlign val="subscript"/>
      <sz val="9"/>
      <name val="Arial"/>
      <family val="2"/>
    </font>
    <font>
      <vertAlign val="superscript"/>
      <sz val="9"/>
      <name val="Arial"/>
      <family val="2"/>
    </font>
    <font>
      <sz val="8"/>
      <color indexed="10"/>
      <name val="Arial"/>
      <family val="2"/>
    </font>
    <font>
      <sz val="8"/>
      <color indexed="81"/>
      <name val="Tahoma"/>
      <family val="2"/>
    </font>
    <font>
      <b/>
      <u/>
      <sz val="9"/>
      <name val="Arial"/>
      <family val="2"/>
    </font>
    <font>
      <sz val="8"/>
      <color indexed="48"/>
      <name val="Arial"/>
      <family val="2"/>
    </font>
    <font>
      <i/>
      <sz val="8"/>
      <color indexed="10"/>
      <name val="Arial"/>
      <family val="2"/>
    </font>
    <font>
      <b/>
      <sz val="10"/>
      <color indexed="53"/>
      <name val="Arial"/>
      <family val="2"/>
    </font>
    <font>
      <b/>
      <sz val="8"/>
      <name val="Arial"/>
      <family val="2"/>
    </font>
    <font>
      <sz val="9"/>
      <color indexed="8"/>
      <name val="Arial"/>
      <family val="2"/>
    </font>
    <font>
      <vertAlign val="superscript"/>
      <sz val="9"/>
      <color indexed="8"/>
      <name val="Arial"/>
      <family val="2"/>
    </font>
    <font>
      <sz val="9"/>
      <color indexed="9"/>
      <name val="Arial"/>
      <family val="2"/>
    </font>
    <font>
      <sz val="10"/>
      <color theme="0"/>
      <name val="Arial"/>
      <family val="2"/>
    </font>
    <font>
      <b/>
      <sz val="10"/>
      <color rgb="FFFF0000"/>
      <name val="Arial"/>
      <family val="2"/>
    </font>
    <font>
      <b/>
      <sz val="9"/>
      <color rgb="FFFF0000"/>
      <name val="Arial"/>
      <family val="2"/>
    </font>
    <font>
      <sz val="9"/>
      <color rgb="FFFF0000"/>
      <name val="Arial"/>
      <family val="2"/>
    </font>
    <font>
      <sz val="10"/>
      <color rgb="FF008000"/>
      <name val="Arial"/>
      <family val="2"/>
    </font>
    <font>
      <sz val="8"/>
      <color rgb="FF000000"/>
      <name val="Tahoma"/>
      <family val="2"/>
    </font>
    <font>
      <b/>
      <sz val="10"/>
      <color rgb="FF0000FF"/>
      <name val="Arial"/>
      <family val="2"/>
    </font>
    <font>
      <b/>
      <sz val="10"/>
      <color rgb="FF008000"/>
      <name val="Arial"/>
      <family val="2"/>
    </font>
    <font>
      <sz val="10"/>
      <color rgb="FFFF0000"/>
      <name val="Arial"/>
      <family val="2"/>
    </font>
    <font>
      <sz val="11"/>
      <color rgb="FF000000"/>
      <name val="Calibri"/>
      <family val="2"/>
    </font>
    <font>
      <sz val="11"/>
      <color theme="1"/>
      <name val="新細明體"/>
      <family val="2"/>
      <scheme val="minor"/>
    </font>
    <font>
      <sz val="9"/>
      <color theme="1"/>
      <name val="Arial"/>
      <family val="2"/>
    </font>
    <font>
      <sz val="8"/>
      <color theme="6" tint="-0.499984740745262"/>
      <name val="Arial"/>
      <family val="2"/>
    </font>
    <font>
      <sz val="9"/>
      <color theme="0"/>
      <name val="Arial"/>
      <family val="2"/>
    </font>
    <font>
      <b/>
      <sz val="9"/>
      <color theme="1"/>
      <name val="Arial"/>
      <family val="2"/>
    </font>
    <font>
      <b/>
      <sz val="9"/>
      <color rgb="FFFFC000"/>
      <name val="Arial"/>
      <family val="2"/>
    </font>
    <font>
      <b/>
      <sz val="9"/>
      <color rgb="FF92D050"/>
      <name val="Arial"/>
      <family val="2"/>
    </font>
    <font>
      <b/>
      <sz val="9"/>
      <color rgb="FF00B050"/>
      <name val="Arial"/>
      <family val="2"/>
    </font>
    <font>
      <b/>
      <sz val="9"/>
      <color rgb="FF00B0F0"/>
      <name val="Arial"/>
      <family val="2"/>
    </font>
    <font>
      <b/>
      <sz val="9"/>
      <color rgb="FF0070C0"/>
      <name val="Arial"/>
      <family val="2"/>
    </font>
    <font>
      <b/>
      <sz val="9"/>
      <color rgb="FF7030A0"/>
      <name val="Arial"/>
      <family val="2"/>
    </font>
    <font>
      <b/>
      <sz val="13"/>
      <color rgb="FF0070C0"/>
      <name val="Arial"/>
      <family val="2"/>
    </font>
    <font>
      <sz val="13"/>
      <color rgb="FF0070C0"/>
      <name val="Arial"/>
      <family val="2"/>
    </font>
    <font>
      <b/>
      <sz val="9"/>
      <color rgb="FF000000"/>
      <name val="Arial"/>
      <family val="2"/>
    </font>
    <font>
      <b/>
      <sz val="13"/>
      <color rgb="FF0000FF"/>
      <name val="Arial"/>
      <family val="2"/>
    </font>
    <font>
      <sz val="9"/>
      <color indexed="81"/>
      <name val="Tahoma"/>
      <family val="2"/>
    </font>
    <font>
      <b/>
      <sz val="9"/>
      <color theme="0"/>
      <name val="Arial"/>
      <family val="2"/>
    </font>
    <font>
      <i/>
      <sz val="9"/>
      <color indexed="21"/>
      <name val="Arial"/>
      <family val="2"/>
    </font>
    <font>
      <i/>
      <sz val="11"/>
      <color theme="1"/>
      <name val="新細明體"/>
      <family val="2"/>
      <charset val="136"/>
      <scheme val="minor"/>
    </font>
    <font>
      <i/>
      <vertAlign val="subscript"/>
      <sz val="11"/>
      <color theme="1"/>
      <name val="新細明體"/>
      <family val="2"/>
      <scheme val="minor"/>
    </font>
    <font>
      <b/>
      <i/>
      <sz val="11"/>
      <color theme="1"/>
      <name val="新細明體"/>
      <family val="2"/>
      <scheme val="minor"/>
    </font>
    <font>
      <vertAlign val="subscript"/>
      <sz val="11"/>
      <color theme="1"/>
      <name val="新細明體"/>
      <family val="2"/>
      <scheme val="minor"/>
    </font>
    <font>
      <b/>
      <sz val="10"/>
      <name val="Times New Roman"/>
      <family val="1"/>
    </font>
    <font>
      <b/>
      <i/>
      <vertAlign val="subscript"/>
      <sz val="11"/>
      <color theme="1"/>
      <name val="新細明體"/>
      <family val="2"/>
      <scheme val="minor"/>
    </font>
    <font>
      <b/>
      <sz val="10"/>
      <color rgb="FFFF0000"/>
      <name val="Times New Roman"/>
      <family val="1"/>
    </font>
    <font>
      <i/>
      <sz val="9"/>
      <name val="Arial"/>
      <family val="2"/>
    </font>
    <font>
      <b/>
      <sz val="16"/>
      <color rgb="FF0000FF"/>
      <name val="Arial"/>
      <family val="2"/>
    </font>
    <font>
      <i/>
      <sz val="11"/>
      <color theme="1"/>
      <name val="新細明體"/>
      <family val="2"/>
      <scheme val="minor"/>
    </font>
    <font>
      <b/>
      <i/>
      <sz val="11"/>
      <color theme="1"/>
      <name val="新細明體"/>
      <family val="2"/>
      <charset val="136"/>
      <scheme val="minor"/>
    </font>
    <font>
      <sz val="10"/>
      <color rgb="FF3333FF"/>
      <name val="Arial"/>
      <family val="2"/>
    </font>
    <font>
      <u/>
      <sz val="10"/>
      <color theme="10"/>
      <name val="Arial"/>
      <family val="2"/>
    </font>
    <font>
      <b/>
      <sz val="10"/>
      <color rgb="FF669900"/>
      <name val="Arial"/>
      <family val="2"/>
    </font>
    <font>
      <sz val="10"/>
      <name val="Calibri"/>
      <family val="2"/>
    </font>
    <font>
      <sz val="9"/>
      <name val="Times New Roman"/>
      <family val="1"/>
    </font>
    <font>
      <b/>
      <sz val="9"/>
      <color rgb="FF3333FF"/>
      <name val="Arial"/>
      <family val="2"/>
    </font>
    <font>
      <b/>
      <sz val="10"/>
      <color rgb="FF00B0F0"/>
      <name val="Arial"/>
      <family val="2"/>
    </font>
    <font>
      <b/>
      <sz val="10"/>
      <color theme="0"/>
      <name val="Arial"/>
      <family val="2"/>
    </font>
    <font>
      <u/>
      <sz val="7.5"/>
      <color indexed="12"/>
      <name val="Arial"/>
      <family val="2"/>
    </font>
    <font>
      <b/>
      <sz val="10"/>
      <color rgb="FF3333FF"/>
      <name val="Arial"/>
      <family val="2"/>
    </font>
    <font>
      <b/>
      <i/>
      <sz val="9"/>
      <color theme="0"/>
      <name val="Arial"/>
      <family val="2"/>
    </font>
    <font>
      <b/>
      <i/>
      <sz val="9"/>
      <color indexed="9"/>
      <name val="Arial"/>
      <family val="2"/>
    </font>
    <font>
      <sz val="9"/>
      <color rgb="FF3333FF"/>
      <name val="Arial"/>
      <family val="2"/>
    </font>
    <font>
      <b/>
      <vertAlign val="subscript"/>
      <sz val="9"/>
      <color rgb="FFFF0000"/>
      <name val="Arial"/>
      <family val="2"/>
    </font>
    <font>
      <b/>
      <vertAlign val="superscript"/>
      <sz val="9"/>
      <color indexed="10"/>
      <name val="Arial"/>
      <family val="2"/>
    </font>
    <font>
      <b/>
      <vertAlign val="subscript"/>
      <sz val="9"/>
      <color rgb="FF00B050"/>
      <name val="Arial"/>
      <family val="2"/>
    </font>
    <font>
      <b/>
      <sz val="18"/>
      <color rgb="FF0000FF"/>
      <name val="Arial"/>
      <family val="2"/>
    </font>
    <font>
      <b/>
      <sz val="9"/>
      <color rgb="FF008000"/>
      <name val="Arial"/>
      <family val="2"/>
    </font>
    <font>
      <sz val="10"/>
      <color rgb="FF008000"/>
      <name val="Arial Black"/>
      <family val="2"/>
    </font>
    <font>
      <sz val="8"/>
      <color rgb="FF7030A0"/>
      <name val="Arial"/>
      <family val="2"/>
    </font>
    <font>
      <i/>
      <sz val="9"/>
      <color rgb="FFFF0000"/>
      <name val="Arial"/>
      <family val="2"/>
    </font>
    <font>
      <b/>
      <sz val="10"/>
      <color rgb="FFFF00FF"/>
      <name val="Arial"/>
      <family val="2"/>
    </font>
    <font>
      <b/>
      <sz val="11"/>
      <color indexed="9"/>
      <name val="Arial"/>
      <family val="2"/>
    </font>
    <font>
      <sz val="9"/>
      <name val="細明體"/>
      <family val="3"/>
      <charset val="136"/>
    </font>
    <font>
      <i/>
      <sz val="9"/>
      <color rgb="FF6600FF"/>
      <name val="Arial"/>
      <family val="2"/>
    </font>
    <font>
      <sz val="12"/>
      <name val="Arial"/>
      <family val="2"/>
    </font>
    <font>
      <b/>
      <sz val="8"/>
      <color theme="0"/>
      <name val="Arial"/>
      <family val="2"/>
    </font>
    <font>
      <b/>
      <sz val="8"/>
      <color indexed="48"/>
      <name val="Arial"/>
      <family val="2"/>
    </font>
    <font>
      <b/>
      <sz val="8"/>
      <color rgb="FFFF0000"/>
      <name val="Arial"/>
      <family val="2"/>
    </font>
    <font>
      <sz val="8"/>
      <color indexed="16"/>
      <name val="Arial"/>
      <family val="2"/>
    </font>
    <font>
      <sz val="8"/>
      <color indexed="52"/>
      <name val="Arial"/>
      <family val="2"/>
    </font>
    <font>
      <sz val="8"/>
      <color indexed="8"/>
      <name val="Arial"/>
      <family val="2"/>
    </font>
    <font>
      <b/>
      <sz val="9"/>
      <color indexed="48"/>
      <name val="Arial"/>
      <family val="2"/>
    </font>
    <font>
      <b/>
      <sz val="8"/>
      <color rgb="FF0000FF"/>
      <name val="Arial"/>
      <family val="2"/>
    </font>
    <font>
      <b/>
      <i/>
      <sz val="9"/>
      <color indexed="21"/>
      <name val="Arial"/>
      <family val="2"/>
    </font>
    <font>
      <sz val="9"/>
      <color rgb="FF0000FF"/>
      <name val="Arial"/>
      <family val="2"/>
    </font>
    <font>
      <b/>
      <sz val="9"/>
      <color rgb="FF0000FF"/>
      <name val="Arial"/>
      <family val="2"/>
    </font>
    <font>
      <sz val="13"/>
      <color rgb="FF7030A0"/>
      <name val="Bauhaus 93"/>
      <family val="5"/>
    </font>
    <font>
      <sz val="10"/>
      <color rgb="FFFF00FF"/>
      <name val="Arial"/>
      <family val="2"/>
    </font>
    <font>
      <b/>
      <sz val="12"/>
      <color rgb="FFFF0000"/>
      <name val="Arial"/>
      <family val="2"/>
    </font>
    <font>
      <sz val="12"/>
      <name val="宋体"/>
      <charset val="134"/>
    </font>
    <font>
      <vertAlign val="superscript"/>
      <sz val="10"/>
      <color theme="0"/>
      <name val="Arial"/>
      <family val="2"/>
    </font>
    <font>
      <sz val="10"/>
      <color rgb="FFFFC000"/>
      <name val="Arial"/>
      <family val="2"/>
    </font>
    <font>
      <sz val="10"/>
      <color rgb="FF7030A0"/>
      <name val="Arial"/>
      <family val="2"/>
    </font>
    <font>
      <b/>
      <sz val="9"/>
      <color rgb="FFFF9933"/>
      <name val="Arial"/>
      <family val="2"/>
    </font>
    <font>
      <sz val="9"/>
      <color theme="0" tint="-0.34998626667073579"/>
      <name val="Arial"/>
      <family val="2"/>
    </font>
    <font>
      <b/>
      <sz val="9"/>
      <color theme="0" tint="-0.34998626667073579"/>
      <name val="Arial"/>
      <family val="2"/>
    </font>
    <font>
      <b/>
      <sz val="10"/>
      <color rgb="FFFF9933"/>
      <name val="Arial"/>
      <family val="2"/>
    </font>
    <font>
      <sz val="10"/>
      <color rgb="FF6600FF"/>
      <name val="Arial"/>
      <family val="2"/>
    </font>
    <font>
      <sz val="9"/>
      <color rgb="FFFF9933"/>
      <name val="Arial"/>
      <family val="2"/>
    </font>
    <font>
      <b/>
      <vertAlign val="superscript"/>
      <sz val="10"/>
      <color indexed="17"/>
      <name val="Arial"/>
      <family val="2"/>
    </font>
    <font>
      <b/>
      <vertAlign val="superscript"/>
      <sz val="10"/>
      <color rgb="FF008000"/>
      <name val="Arial"/>
      <family val="2"/>
    </font>
    <font>
      <b/>
      <i/>
      <sz val="10"/>
      <color theme="0"/>
      <name val="Arial"/>
      <family val="2"/>
    </font>
    <font>
      <vertAlign val="superscript"/>
      <sz val="10"/>
      <color indexed="8"/>
      <name val="Arial"/>
      <family val="2"/>
    </font>
    <font>
      <b/>
      <sz val="10"/>
      <color rgb="FF6600FF"/>
      <name val="Arial"/>
      <family val="2"/>
    </font>
    <font>
      <b/>
      <sz val="10"/>
      <color theme="6" tint="-0.499984740745262"/>
      <name val="Arial"/>
      <family val="2"/>
    </font>
    <font>
      <vertAlign val="superscript"/>
      <sz val="10"/>
      <color rgb="FF3333FF"/>
      <name val="Arial"/>
      <family val="2"/>
    </font>
    <font>
      <sz val="10"/>
      <color rgb="FF669900"/>
      <name val="Arial"/>
      <family val="2"/>
    </font>
    <font>
      <b/>
      <i/>
      <sz val="10"/>
      <color indexed="9"/>
      <name val="Arial"/>
      <family val="2"/>
    </font>
    <font>
      <b/>
      <sz val="13"/>
      <color rgb="FF6600FF"/>
      <name val="Arial"/>
      <family val="2"/>
    </font>
    <font>
      <b/>
      <sz val="12"/>
      <color indexed="17"/>
      <name val="Arial"/>
      <family val="2"/>
    </font>
    <font>
      <b/>
      <vertAlign val="superscript"/>
      <sz val="10"/>
      <color rgb="FF3333FF"/>
      <name val="Arial"/>
      <family val="2"/>
    </font>
    <font>
      <sz val="10"/>
      <color rgb="FF0000FF"/>
      <name val="Arial"/>
      <family val="2"/>
    </font>
    <font>
      <vertAlign val="superscript"/>
      <sz val="10"/>
      <color rgb="FF0000FF"/>
      <name val="Arial"/>
      <family val="2"/>
    </font>
    <font>
      <b/>
      <sz val="9"/>
      <color rgb="FF6600FF"/>
      <name val="Arial"/>
      <family val="2"/>
    </font>
    <font>
      <b/>
      <sz val="9"/>
      <color rgb="FF669900"/>
      <name val="Arial"/>
      <family val="2"/>
    </font>
    <font>
      <b/>
      <u/>
      <sz val="10"/>
      <color rgb="FF6600FF"/>
      <name val="Arial"/>
      <family val="2"/>
    </font>
    <font>
      <b/>
      <sz val="10"/>
      <color rgb="FF000000"/>
      <name val="Arial"/>
      <family val="2"/>
    </font>
    <font>
      <sz val="10"/>
      <color rgb="FF000000"/>
      <name val="Symbol"/>
      <family val="1"/>
      <charset val="2"/>
    </font>
    <font>
      <sz val="10"/>
      <color rgb="FF000000"/>
      <name val="Times New Roman"/>
      <family val="1"/>
    </font>
    <font>
      <sz val="10"/>
      <color rgb="FF000000"/>
      <name val="Arial"/>
      <family val="2"/>
    </font>
    <font>
      <sz val="10"/>
      <color theme="5"/>
      <name val="Arial"/>
      <family val="2"/>
    </font>
    <font>
      <b/>
      <i/>
      <sz val="10"/>
      <color rgb="FF008000"/>
      <name val="Arial"/>
      <family val="2"/>
    </font>
    <font>
      <b/>
      <sz val="10"/>
      <color rgb="FFFF0000"/>
      <name val="Calibri"/>
      <family val="2"/>
    </font>
    <font>
      <b/>
      <sz val="10"/>
      <color rgb="FF0000FF"/>
      <name val="Calibri"/>
      <family val="2"/>
    </font>
    <font>
      <i/>
      <sz val="9"/>
      <color theme="0"/>
      <name val="Arial"/>
      <family val="2"/>
    </font>
    <font>
      <i/>
      <sz val="8"/>
      <name val="Arial"/>
      <family val="2"/>
    </font>
    <font>
      <sz val="9"/>
      <color rgb="FF669900"/>
      <name val="Arial"/>
      <family val="2"/>
    </font>
    <font>
      <i/>
      <sz val="9"/>
      <color rgb="FF669900"/>
      <name val="Arial"/>
      <family val="2"/>
    </font>
    <font>
      <sz val="8"/>
      <color theme="1"/>
      <name val="新細明體"/>
      <family val="2"/>
      <scheme val="minor"/>
    </font>
    <font>
      <vertAlign val="superscript"/>
      <sz val="10"/>
      <color rgb="FFFF0000"/>
      <name val="Arial"/>
      <family val="2"/>
    </font>
    <font>
      <b/>
      <sz val="13"/>
      <color rgb="FFFF00FF"/>
      <name val="Arial"/>
      <family val="2"/>
    </font>
    <font>
      <b/>
      <sz val="13"/>
      <color indexed="17"/>
      <name val="Webdings"/>
      <family val="1"/>
      <charset val="2"/>
    </font>
    <font>
      <b/>
      <sz val="12"/>
      <color rgb="FF008000"/>
      <name val="Arial"/>
      <family val="2"/>
    </font>
    <font>
      <b/>
      <sz val="12"/>
      <color rgb="FFFF00FF"/>
      <name val="Arial"/>
      <family val="2"/>
    </font>
    <font>
      <b/>
      <sz val="12"/>
      <color rgb="FF6600FF"/>
      <name val="Arial"/>
      <family val="2"/>
    </font>
    <font>
      <b/>
      <sz val="15"/>
      <color rgb="FF0000FF"/>
      <name val="Arial"/>
      <family val="2"/>
    </font>
    <font>
      <sz val="11"/>
      <name val="Arial"/>
      <family val="2"/>
    </font>
    <font>
      <sz val="11"/>
      <color indexed="9"/>
      <name val="Arial"/>
      <family val="2"/>
    </font>
    <font>
      <b/>
      <sz val="9"/>
      <color rgb="FFFF00FF"/>
      <name val="Arial"/>
      <family val="2"/>
    </font>
    <font>
      <b/>
      <sz val="14"/>
      <color rgb="FF7030A0"/>
      <name val="Arial"/>
      <family val="2"/>
    </font>
    <font>
      <b/>
      <vertAlign val="subscript"/>
      <sz val="10"/>
      <color rgb="FF008000"/>
      <name val="Arial"/>
      <family val="2"/>
    </font>
    <font>
      <vertAlign val="superscript"/>
      <sz val="10"/>
      <name val="Calibri"/>
      <family val="2"/>
    </font>
    <font>
      <sz val="9"/>
      <color indexed="17"/>
      <name val="Arial"/>
      <family val="2"/>
    </font>
    <font>
      <b/>
      <sz val="18"/>
      <color rgb="FFFF0000"/>
      <name val="Arial"/>
      <family val="2"/>
    </font>
    <font>
      <i/>
      <sz val="8"/>
      <color theme="0"/>
      <name val="Arial"/>
      <family val="2"/>
    </font>
    <font>
      <b/>
      <sz val="14"/>
      <color indexed="17"/>
      <name val="Arial"/>
      <family val="2"/>
    </font>
    <font>
      <sz val="48"/>
      <color rgb="FF333399"/>
      <name val="Wingdings"/>
      <charset val="2"/>
    </font>
    <font>
      <sz val="8"/>
      <color theme="6" tint="-0.249977111117893"/>
      <name val="Arial"/>
      <family val="2"/>
    </font>
    <font>
      <sz val="8"/>
      <color theme="9" tint="-0.249977111117893"/>
      <name val="Arial"/>
      <family val="2"/>
    </font>
    <font>
      <sz val="8"/>
      <color theme="3" tint="0.39997558519241921"/>
      <name val="Arial"/>
      <family val="2"/>
    </font>
    <font>
      <sz val="9"/>
      <color rgb="FF00B0F0"/>
      <name val="Arial"/>
      <family val="2"/>
    </font>
    <font>
      <sz val="8"/>
      <color theme="0"/>
      <name val="Arial"/>
      <family val="2"/>
    </font>
    <font>
      <b/>
      <sz val="8"/>
      <color rgb="FF00B0F0"/>
      <name val="Arial"/>
      <family val="2"/>
    </font>
    <font>
      <sz val="8"/>
      <color rgb="FF0000FF"/>
      <name val="Arial"/>
      <family val="2"/>
    </font>
    <font>
      <b/>
      <i/>
      <sz val="8"/>
      <color theme="0"/>
      <name val="Arial"/>
      <family val="2"/>
    </font>
    <font>
      <sz val="8"/>
      <color rgb="FF008000"/>
      <name val="Arial"/>
      <family val="2"/>
    </font>
    <font>
      <b/>
      <sz val="8"/>
      <color rgb="FF008000"/>
      <name val="Arial"/>
      <family val="2"/>
    </font>
    <font>
      <b/>
      <vertAlign val="superscript"/>
      <sz val="8"/>
      <color rgb="FF008000"/>
      <name val="Arial"/>
      <family val="2"/>
    </font>
    <font>
      <b/>
      <sz val="8"/>
      <color rgb="FFFF00FF"/>
      <name val="Arial"/>
      <family val="2"/>
    </font>
    <font>
      <vertAlign val="superscript"/>
      <sz val="8"/>
      <name val="Arial"/>
      <family val="2"/>
    </font>
    <font>
      <b/>
      <vertAlign val="superscript"/>
      <sz val="8"/>
      <color rgb="FF00B0F0"/>
      <name val="Arial"/>
      <family val="2"/>
    </font>
    <font>
      <b/>
      <vertAlign val="superscript"/>
      <sz val="9"/>
      <color rgb="FFFF9933"/>
      <name val="Arial"/>
      <family val="2"/>
    </font>
    <font>
      <sz val="10"/>
      <color rgb="FFC00000"/>
      <name val="Arial"/>
      <family val="2"/>
    </font>
    <font>
      <sz val="9"/>
      <color rgb="FFC00000"/>
      <name val="Arial"/>
      <family val="2"/>
    </font>
    <font>
      <b/>
      <sz val="8"/>
      <color rgb="FF7030A0"/>
      <name val="Arial"/>
      <family val="2"/>
    </font>
    <font>
      <sz val="10"/>
      <name val="AcadEref"/>
    </font>
    <font>
      <b/>
      <sz val="10"/>
      <color rgb="FF781DFF"/>
      <name val="AcadEref"/>
    </font>
    <font>
      <sz val="48"/>
      <color rgb="FF333399"/>
      <name val="Arial Black"/>
      <family val="2"/>
    </font>
    <font>
      <sz val="26"/>
      <color rgb="FF333399"/>
      <name val="Arial Black"/>
      <family val="2"/>
    </font>
    <font>
      <b/>
      <sz val="12"/>
      <name val="Arial"/>
      <family val="2"/>
    </font>
    <font>
      <b/>
      <sz val="13"/>
      <name val="Arial"/>
      <family val="2"/>
    </font>
    <font>
      <b/>
      <i/>
      <sz val="11"/>
      <color rgb="FF0000FF"/>
      <name val="新細明體"/>
      <family val="2"/>
      <scheme val="minor"/>
    </font>
    <font>
      <b/>
      <i/>
      <vertAlign val="subscript"/>
      <sz val="11"/>
      <color rgb="FF0000FF"/>
      <name val="新細明體"/>
      <family val="2"/>
      <scheme val="minor"/>
    </font>
    <font>
      <sz val="12"/>
      <color rgb="FF0000FF"/>
      <name val="新細明體"/>
      <family val="1"/>
      <charset val="136"/>
    </font>
    <font>
      <b/>
      <i/>
      <sz val="12"/>
      <color rgb="FF781DFF"/>
      <name val="Arial"/>
      <family val="2"/>
    </font>
    <font>
      <u/>
      <sz val="9"/>
      <color indexed="12"/>
      <name val="Arial"/>
      <family val="2"/>
    </font>
    <font>
      <u/>
      <sz val="8"/>
      <color indexed="12"/>
      <name val="Arial"/>
      <family val="2"/>
    </font>
    <font>
      <sz val="10"/>
      <name val="新細明體"/>
      <family val="2"/>
      <scheme val="minor"/>
    </font>
    <font>
      <b/>
      <sz val="10"/>
      <name val="新細明體"/>
      <family val="2"/>
      <scheme val="minor"/>
    </font>
    <font>
      <u/>
      <sz val="9"/>
      <color theme="10"/>
      <name val="Arial"/>
      <family val="2"/>
    </font>
    <font>
      <u/>
      <sz val="10"/>
      <name val="Arial"/>
      <family val="2"/>
    </font>
    <font>
      <b/>
      <i/>
      <u/>
      <sz val="10"/>
      <color theme="0"/>
      <name val="Arial"/>
      <family val="2"/>
    </font>
    <font>
      <u/>
      <sz val="10"/>
      <color theme="0"/>
      <name val="Arial"/>
      <family val="2"/>
    </font>
    <font>
      <u/>
      <sz val="10"/>
      <color indexed="17"/>
      <name val="Arial"/>
      <family val="2"/>
    </font>
    <font>
      <b/>
      <u/>
      <sz val="10"/>
      <color rgb="FF008000"/>
      <name val="Arial"/>
      <family val="2"/>
    </font>
    <font>
      <b/>
      <u/>
      <sz val="10"/>
      <color rgb="FFFF00FF"/>
      <name val="Arial"/>
      <family val="2"/>
    </font>
    <font>
      <b/>
      <sz val="14"/>
      <color rgb="FF3333FF"/>
      <name val="Arial"/>
      <family val="2"/>
    </font>
    <font>
      <b/>
      <sz val="12"/>
      <color rgb="FF3333FF"/>
      <name val="Arial"/>
      <family val="2"/>
    </font>
    <font>
      <vertAlign val="superscript"/>
      <sz val="10"/>
      <color rgb="FF6600FF"/>
      <name val="Arial"/>
      <family val="2"/>
    </font>
    <font>
      <sz val="8"/>
      <color rgb="FF009900"/>
      <name val="Arial"/>
      <family val="2"/>
    </font>
    <font>
      <b/>
      <vertAlign val="superscript"/>
      <sz val="9"/>
      <color rgb="FFFF0000"/>
      <name val="Arial"/>
      <family val="2"/>
    </font>
    <font>
      <sz val="12"/>
      <name val="Wingdings 3"/>
      <family val="1"/>
      <charset val="2"/>
    </font>
    <font>
      <sz val="8"/>
      <color rgb="FF000000"/>
      <name val="新細明體"/>
    </font>
    <font>
      <sz val="11"/>
      <color rgb="FF000000"/>
      <name val="新細明體"/>
    </font>
    <font>
      <sz val="8"/>
      <color rgb="FFFF0000"/>
      <name val="Arial"/>
      <family val="2"/>
    </font>
    <font>
      <sz val="9"/>
      <color rgb="FFFF00FF"/>
      <name val="Arial"/>
      <family val="2"/>
    </font>
    <font>
      <b/>
      <sz val="9"/>
      <color rgb="FF009900"/>
      <name val="Arial"/>
      <family val="2"/>
    </font>
    <font>
      <sz val="8"/>
      <color rgb="FF781DFF"/>
      <name val="Arial"/>
      <family val="2"/>
    </font>
    <font>
      <b/>
      <sz val="8"/>
      <color rgb="FF6600FF"/>
      <name val="Arial"/>
      <family val="2"/>
    </font>
    <font>
      <sz val="9"/>
      <color rgb="FF781DFF"/>
      <name val="Arial"/>
      <family val="2"/>
    </font>
    <font>
      <b/>
      <sz val="9"/>
      <color rgb="FF781DFF"/>
      <name val="Arial"/>
      <family val="2"/>
    </font>
    <font>
      <b/>
      <i/>
      <sz val="9"/>
      <color rgb="FF781DFF"/>
      <name val="Arial"/>
      <family val="2"/>
    </font>
    <font>
      <b/>
      <i/>
      <sz val="9"/>
      <color theme="9" tint="-0.249977111117893"/>
      <name val="Arial"/>
      <family val="2"/>
    </font>
    <font>
      <sz val="8"/>
      <color rgb="FF3333FF"/>
      <name val="Arial"/>
      <family val="2"/>
    </font>
    <font>
      <sz val="9"/>
      <color theme="1" tint="0.249977111117893"/>
      <name val="Arial"/>
      <family val="2"/>
    </font>
    <font>
      <vertAlign val="subscript"/>
      <sz val="9"/>
      <color rgb="FFFF0000"/>
      <name val="Arial"/>
      <family val="2"/>
    </font>
    <font>
      <sz val="10"/>
      <name val="Symbol"/>
      <family val="1"/>
      <charset val="2"/>
    </font>
    <font>
      <sz val="9"/>
      <name val="Symbol"/>
      <family val="1"/>
      <charset val="2"/>
    </font>
    <font>
      <i/>
      <vertAlign val="superscript"/>
      <sz val="9"/>
      <color rgb="FF669900"/>
      <name val="Arial"/>
      <family val="2"/>
    </font>
    <font>
      <b/>
      <sz val="11"/>
      <color indexed="10"/>
      <name val="Arial"/>
      <family val="2"/>
    </font>
    <font>
      <b/>
      <i/>
      <u/>
      <sz val="9"/>
      <color rgb="FF781DFF"/>
      <name val="Arial"/>
      <family val="2"/>
    </font>
    <font>
      <b/>
      <sz val="9"/>
      <color rgb="FF781DFF"/>
      <name val="Symbol"/>
      <family val="1"/>
      <charset val="2"/>
    </font>
    <font>
      <b/>
      <vertAlign val="subscript"/>
      <sz val="9"/>
      <color rgb="FF781DFF"/>
      <name val="Times New Roman"/>
      <family val="1"/>
    </font>
    <font>
      <b/>
      <sz val="9"/>
      <color rgb="FF781DFF"/>
      <name val="Times New Roman"/>
      <family val="1"/>
    </font>
    <font>
      <i/>
      <sz val="8"/>
      <color rgb="FF669900"/>
      <name val="Arial"/>
      <family val="2"/>
    </font>
    <font>
      <sz val="12"/>
      <color theme="0"/>
      <name val="新細明體"/>
      <family val="1"/>
      <charset val="136"/>
    </font>
    <font>
      <u/>
      <sz val="10"/>
      <color rgb="FFFF0000"/>
      <name val="Arial"/>
      <family val="2"/>
    </font>
    <font>
      <i/>
      <vertAlign val="superscript"/>
      <sz val="9"/>
      <color indexed="21"/>
      <name val="Arial"/>
      <family val="2"/>
    </font>
    <font>
      <b/>
      <i/>
      <sz val="9"/>
      <color theme="0"/>
      <name val="Ar"/>
    </font>
    <font>
      <sz val="11"/>
      <color theme="1"/>
      <name val="Ar"/>
    </font>
    <font>
      <sz val="9"/>
      <name val="Ar"/>
    </font>
    <font>
      <sz val="9"/>
      <color theme="0"/>
      <name val="Ar"/>
    </font>
    <font>
      <b/>
      <sz val="9"/>
      <color rgb="FF3333FF"/>
      <name val="Ar"/>
    </font>
    <font>
      <b/>
      <sz val="9"/>
      <color rgb="FF0000FF"/>
      <name val="Ar"/>
    </font>
    <font>
      <sz val="9"/>
      <color theme="1"/>
      <name val="Ar"/>
    </font>
    <font>
      <b/>
      <sz val="9"/>
      <color rgb="FF669900"/>
      <name val="Ar"/>
    </font>
    <font>
      <b/>
      <sz val="9"/>
      <color rgb="FFFF0000"/>
      <name val="Ar"/>
    </font>
    <font>
      <b/>
      <sz val="9"/>
      <color rgb="FFFF00FF"/>
      <name val="Ar"/>
    </font>
    <font>
      <b/>
      <sz val="9"/>
      <color rgb="FF00B0F0"/>
      <name val="Ar"/>
    </font>
    <font>
      <b/>
      <sz val="9"/>
      <color theme="9" tint="-0.249977111117893"/>
      <name val="Ar"/>
    </font>
    <font>
      <b/>
      <sz val="9"/>
      <name val="Ar"/>
    </font>
    <font>
      <sz val="9"/>
      <color rgb="FF781DFF"/>
      <name val="Ar"/>
    </font>
    <font>
      <sz val="9"/>
      <color rgb="FF0000FF"/>
      <name val="Ar"/>
    </font>
    <font>
      <sz val="9"/>
      <color rgb="FFFF00FF"/>
      <name val="Ar"/>
    </font>
    <font>
      <sz val="9"/>
      <color rgb="FF00B050"/>
      <name val="Ar"/>
    </font>
    <font>
      <sz val="9"/>
      <color rgb="FFFF9933"/>
      <name val="Ar"/>
    </font>
    <font>
      <sz val="9"/>
      <color theme="7" tint="0.39997558519241921"/>
      <name val="Ar"/>
    </font>
    <font>
      <sz val="9"/>
      <color theme="5" tint="0.39997558519241921"/>
      <name val="Ar"/>
    </font>
    <font>
      <sz val="9"/>
      <color rgb="FF00B0F0"/>
      <name val="Ar"/>
    </font>
    <font>
      <sz val="9"/>
      <color rgb="FFFF0000"/>
      <name val="Ar"/>
    </font>
  </fonts>
  <fills count="40">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50"/>
        <bgColor indexed="64"/>
      </patternFill>
    </fill>
    <fill>
      <patternFill patternType="solid">
        <fgColor indexed="42"/>
        <bgColor indexed="64"/>
      </patternFill>
    </fill>
    <fill>
      <patternFill patternType="solid">
        <fgColor indexed="46"/>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theme="3" tint="0.59999389629810485"/>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92D050"/>
        <bgColor indexed="64"/>
      </patternFill>
    </fill>
    <fill>
      <patternFill patternType="solid">
        <fgColor rgb="FF669900"/>
        <bgColor indexed="64"/>
      </patternFill>
    </fill>
    <fill>
      <patternFill patternType="solid">
        <fgColor rgb="FF0070C0"/>
        <bgColor indexed="64"/>
      </patternFill>
    </fill>
    <fill>
      <patternFill patternType="solid">
        <fgColor theme="5" tint="0.39997558519241921"/>
        <bgColor indexed="64"/>
      </patternFill>
    </fill>
    <fill>
      <patternFill patternType="solid">
        <fgColor rgb="FF7030A0"/>
        <bgColor indexed="64"/>
      </patternFill>
    </fill>
    <fill>
      <patternFill patternType="solid">
        <fgColor theme="1" tint="0.499984740745262"/>
        <bgColor indexed="64"/>
      </patternFill>
    </fill>
    <fill>
      <patternFill patternType="solid">
        <fgColor theme="6" tint="0.59999389629810485"/>
        <bgColor indexed="64"/>
      </patternFill>
    </fill>
    <fill>
      <patternFill patternType="solid">
        <fgColor rgb="FFC0000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rgb="FF0000FF"/>
        <bgColor indexed="64"/>
      </patternFill>
    </fill>
    <fill>
      <patternFill patternType="solid">
        <fgColor rgb="FFFF0000"/>
        <bgColor indexed="64"/>
      </patternFill>
    </fill>
    <fill>
      <patternFill patternType="solid">
        <fgColor rgb="FF6600FF"/>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s>
  <borders count="87">
    <border>
      <left/>
      <right/>
      <top/>
      <bottom/>
      <diagonal/>
    </border>
    <border>
      <left/>
      <right/>
      <top style="thin">
        <color indexed="64"/>
      </top>
      <bottom/>
      <diagonal/>
    </border>
    <border>
      <left/>
      <right/>
      <top/>
      <bottom style="thin">
        <color indexed="64"/>
      </bottom>
      <diagonal/>
    </border>
    <border>
      <left style="hair">
        <color indexed="64"/>
      </left>
      <right/>
      <top/>
      <bottom/>
      <diagonal/>
    </border>
    <border>
      <left style="hair">
        <color indexed="64"/>
      </left>
      <right/>
      <top style="thin">
        <color indexed="64"/>
      </top>
      <bottom/>
      <diagonal/>
    </border>
    <border>
      <left style="hair">
        <color indexed="64"/>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top/>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right/>
      <top style="hair">
        <color indexed="64"/>
      </top>
      <bottom/>
      <diagonal/>
    </border>
    <border>
      <left/>
      <right style="double">
        <color indexed="64"/>
      </right>
      <top/>
      <bottom/>
      <diagonal/>
    </border>
    <border>
      <left/>
      <right style="double">
        <color indexed="64"/>
      </right>
      <top/>
      <bottom style="double">
        <color indexed="64"/>
      </bottom>
      <diagonal/>
    </border>
    <border>
      <left/>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hair">
        <color indexed="64"/>
      </right>
      <top/>
      <bottom/>
      <diagonal/>
    </border>
    <border>
      <left/>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right/>
      <top/>
      <bottom style="medium">
        <color rgb="FF3333FF"/>
      </bottom>
      <diagonal/>
    </border>
    <border>
      <left style="medium">
        <color indexed="64"/>
      </left>
      <right/>
      <top/>
      <bottom style="medium">
        <color rgb="FF3333FF"/>
      </bottom>
      <diagonal/>
    </border>
    <border>
      <left style="medium">
        <color rgb="FF3333FF"/>
      </left>
      <right/>
      <top/>
      <bottom/>
      <diagonal/>
    </border>
    <border>
      <left style="medium">
        <color rgb="FF3333FF"/>
      </left>
      <right style="medium">
        <color indexed="64"/>
      </right>
      <top/>
      <bottom style="medium">
        <color rgb="FF3333FF"/>
      </bottom>
      <diagonal/>
    </border>
    <border>
      <left style="medium">
        <color rgb="FF3333FF"/>
      </left>
      <right/>
      <top/>
      <bottom style="medium">
        <color rgb="FF3333FF"/>
      </bottom>
      <diagonal/>
    </border>
    <border>
      <left/>
      <right style="double">
        <color indexed="64"/>
      </right>
      <top/>
      <bottom style="thin">
        <color indexed="64"/>
      </bottom>
      <diagonal/>
    </border>
    <border>
      <left/>
      <right style="double">
        <color indexed="64"/>
      </right>
      <top style="thin">
        <color indexed="64"/>
      </top>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style="hair">
        <color indexed="64"/>
      </left>
      <right style="thin">
        <color indexed="64"/>
      </right>
      <top/>
      <bottom/>
      <diagonal/>
    </border>
    <border>
      <left style="double">
        <color indexed="64"/>
      </left>
      <right style="thin">
        <color indexed="64"/>
      </right>
      <top style="thin">
        <color indexed="64"/>
      </top>
      <bottom/>
      <diagonal/>
    </border>
    <border>
      <left/>
      <right style="medium">
        <color rgb="FF3333FF"/>
      </right>
      <top/>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double">
        <color indexed="64"/>
      </right>
      <top/>
      <bottom style="double">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style="thin">
        <color indexed="64"/>
      </bottom>
      <diagonal/>
    </border>
    <border>
      <left style="thin">
        <color indexed="64"/>
      </left>
      <right style="hair">
        <color indexed="64"/>
      </right>
      <top/>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style="hair">
        <color indexed="64"/>
      </right>
      <top/>
      <bottom/>
      <diagonal/>
    </border>
  </borders>
  <cellStyleXfs count="20">
    <xf numFmtId="0" fontId="0" fillId="0" borderId="0" applyBorder="0"/>
    <xf numFmtId="0" fontId="2" fillId="0" borderId="0" applyBorder="0"/>
    <xf numFmtId="0" fontId="11" fillId="0" borderId="0"/>
    <xf numFmtId="0" fontId="2" fillId="0" borderId="0"/>
    <xf numFmtId="0" fontId="44" fillId="0" borderId="0"/>
    <xf numFmtId="0" fontId="11" fillId="0" borderId="0"/>
    <xf numFmtId="0" fontId="2" fillId="0" borderId="0"/>
    <xf numFmtId="0" fontId="44" fillId="0" borderId="0"/>
    <xf numFmtId="9" fontId="2" fillId="0" borderId="0" applyFont="0" applyFill="0" applyBorder="0" applyAlignment="0" applyProtection="0"/>
    <xf numFmtId="0" fontId="91" fillId="0" borderId="0"/>
    <xf numFmtId="0" fontId="121" fillId="0" borderId="0" applyNumberFormat="0" applyFill="0" applyBorder="0" applyAlignment="0" applyProtection="0"/>
    <xf numFmtId="0" fontId="2" fillId="0" borderId="0"/>
    <xf numFmtId="0" fontId="128" fillId="0" borderId="0" applyNumberFormat="0" applyFill="0" applyBorder="0" applyAlignment="0" applyProtection="0">
      <alignment vertical="top"/>
      <protection locked="0"/>
    </xf>
    <xf numFmtId="43" fontId="2" fillId="0" borderId="0" applyFont="0" applyFill="0" applyBorder="0" applyAlignment="0" applyProtection="0"/>
    <xf numFmtId="0" fontId="2" fillId="0" borderId="0">
      <alignment vertical="top"/>
    </xf>
    <xf numFmtId="9" fontId="2" fillId="0" borderId="0" applyFont="0" applyFill="0" applyBorder="0" applyAlignment="0" applyProtection="0"/>
    <xf numFmtId="0" fontId="160" fillId="0" borderId="0"/>
    <xf numFmtId="0" fontId="1" fillId="0" borderId="0"/>
    <xf numFmtId="0" fontId="2" fillId="0" borderId="0"/>
    <xf numFmtId="0" fontId="2" fillId="0" borderId="0"/>
  </cellStyleXfs>
  <cellXfs count="2394">
    <xf numFmtId="0" fontId="0" fillId="0" borderId="0" xfId="0"/>
    <xf numFmtId="0" fontId="0" fillId="0" borderId="0" xfId="0" applyBorder="1"/>
    <xf numFmtId="0" fontId="61" fillId="0" borderId="0" xfId="7" applyFont="1" applyAlignment="1" applyProtection="1">
      <alignment vertical="center"/>
      <protection hidden="1"/>
    </xf>
    <xf numFmtId="0" fontId="61" fillId="0" borderId="1" xfId="7" applyFont="1" applyBorder="1" applyAlignment="1" applyProtection="1">
      <alignment vertical="center"/>
      <protection hidden="1"/>
    </xf>
    <xf numFmtId="0" fontId="61" fillId="0" borderId="2" xfId="7" applyFont="1" applyBorder="1" applyAlignment="1" applyProtection="1">
      <alignment vertical="center"/>
      <protection hidden="1"/>
    </xf>
    <xf numFmtId="0" fontId="61" fillId="0" borderId="20" xfId="7" applyFont="1" applyBorder="1" applyAlignment="1" applyProtection="1">
      <alignment vertical="center"/>
      <protection hidden="1"/>
    </xf>
    <xf numFmtId="0" fontId="63" fillId="0" borderId="0" xfId="7" applyFont="1" applyAlignment="1" applyProtection="1">
      <alignment vertical="center"/>
      <protection hidden="1"/>
    </xf>
    <xf numFmtId="0" fontId="64" fillId="0" borderId="0" xfId="7" applyFont="1" applyAlignment="1" applyProtection="1">
      <alignment vertical="center"/>
      <protection hidden="1"/>
    </xf>
    <xf numFmtId="0" fontId="38" fillId="0" borderId="0" xfId="7" applyFont="1" applyAlignment="1" applyProtection="1">
      <alignment vertical="center"/>
      <protection hidden="1"/>
    </xf>
    <xf numFmtId="0" fontId="62" fillId="0" borderId="0" xfId="7" applyFont="1" applyAlignment="1" applyProtection="1">
      <alignment vertical="center"/>
      <protection hidden="1"/>
    </xf>
    <xf numFmtId="0" fontId="61" fillId="0" borderId="13" xfId="7" applyFont="1" applyBorder="1" applyAlignment="1" applyProtection="1">
      <alignment vertical="center"/>
      <protection hidden="1"/>
    </xf>
    <xf numFmtId="0" fontId="61" fillId="0" borderId="0" xfId="7" applyFont="1" applyAlignment="1" applyProtection="1">
      <alignment horizontal="center" vertical="center"/>
      <protection hidden="1"/>
    </xf>
    <xf numFmtId="0" fontId="44" fillId="0" borderId="0" xfId="4" applyAlignment="1" applyProtection="1">
      <alignment horizontal="center" vertical="center"/>
      <protection hidden="1"/>
    </xf>
    <xf numFmtId="0" fontId="44" fillId="0" borderId="0" xfId="4" applyAlignment="1" applyProtection="1">
      <alignment vertical="center"/>
      <protection hidden="1"/>
    </xf>
    <xf numFmtId="0" fontId="8" fillId="0" borderId="0" xfId="3" applyFont="1" applyAlignment="1" applyProtection="1">
      <alignment vertical="center"/>
      <protection hidden="1"/>
    </xf>
    <xf numFmtId="0" fontId="2" fillId="0" borderId="0" xfId="3" applyAlignment="1" applyProtection="1">
      <alignment vertical="center"/>
      <protection hidden="1"/>
    </xf>
    <xf numFmtId="0" fontId="44" fillId="0" borderId="0" xfId="7" applyAlignment="1" applyProtection="1">
      <alignment vertical="center"/>
      <protection hidden="1"/>
    </xf>
    <xf numFmtId="0" fontId="44" fillId="0" borderId="1" xfId="7" applyBorder="1" applyAlignment="1" applyProtection="1">
      <alignment vertical="center"/>
      <protection hidden="1"/>
    </xf>
    <xf numFmtId="0" fontId="67" fillId="0" borderId="0" xfId="4" applyFont="1" applyAlignment="1" applyProtection="1">
      <alignment horizontal="right" vertical="center"/>
      <protection hidden="1"/>
    </xf>
    <xf numFmtId="197" fontId="66" fillId="0" borderId="0" xfId="7" applyNumberFormat="1" applyFont="1" applyAlignment="1" applyProtection="1">
      <alignment horizontal="center" vertical="center"/>
      <protection hidden="1"/>
    </xf>
    <xf numFmtId="0" fontId="12" fillId="0" borderId="0" xfId="2" applyFont="1"/>
    <xf numFmtId="0" fontId="11" fillId="0" borderId="0" xfId="2"/>
    <xf numFmtId="0" fontId="14" fillId="0" borderId="0" xfId="2" applyFont="1"/>
    <xf numFmtId="0" fontId="13" fillId="0" borderId="0" xfId="2" applyFont="1"/>
    <xf numFmtId="0" fontId="12" fillId="0" borderId="0" xfId="2" applyFont="1" applyAlignment="1">
      <alignment horizontal="center"/>
    </xf>
    <xf numFmtId="0" fontId="18" fillId="0" borderId="0" xfId="2" applyFont="1"/>
    <xf numFmtId="0" fontId="12" fillId="0" borderId="0" xfId="2" applyFont="1" applyAlignment="1">
      <alignment wrapText="1"/>
    </xf>
    <xf numFmtId="0" fontId="21" fillId="0" borderId="0" xfId="2" applyFont="1"/>
    <xf numFmtId="0" fontId="22" fillId="0" borderId="0" xfId="2" applyFont="1"/>
    <xf numFmtId="0" fontId="21" fillId="0" borderId="0" xfId="2" applyFont="1" applyAlignment="1">
      <alignment horizontal="center"/>
    </xf>
    <xf numFmtId="0" fontId="11" fillId="0" borderId="0" xfId="2" applyAlignment="1">
      <alignment horizontal="center"/>
    </xf>
    <xf numFmtId="0" fontId="28" fillId="0" borderId="0" xfId="2" applyFont="1" applyAlignment="1">
      <alignment horizontal="center"/>
    </xf>
    <xf numFmtId="0" fontId="44" fillId="0" borderId="0" xfId="7" applyAlignment="1" applyProtection="1">
      <alignment horizontal="left" vertical="center"/>
      <protection hidden="1"/>
    </xf>
    <xf numFmtId="0" fontId="44" fillId="0" borderId="0" xfId="7" applyAlignment="1" applyProtection="1">
      <alignment horizontal="center" vertical="center"/>
      <protection hidden="1"/>
    </xf>
    <xf numFmtId="0" fontId="44" fillId="0" borderId="12" xfId="7" applyBorder="1" applyAlignment="1" applyProtection="1">
      <alignment vertical="center"/>
      <protection hidden="1"/>
    </xf>
    <xf numFmtId="0" fontId="63" fillId="0" borderId="0" xfId="7" applyFont="1" applyAlignment="1" applyProtection="1">
      <alignment horizontal="center" vertical="center"/>
      <protection hidden="1"/>
    </xf>
    <xf numFmtId="0" fontId="10" fillId="0" borderId="0" xfId="7" applyFont="1" applyAlignment="1" applyProtection="1">
      <alignment horizontal="center" vertical="center"/>
      <protection hidden="1"/>
    </xf>
    <xf numFmtId="0" fontId="68" fillId="0" borderId="0" xfId="7" applyFont="1" applyAlignment="1" applyProtection="1">
      <alignment horizontal="center" vertical="center"/>
      <protection hidden="1"/>
    </xf>
    <xf numFmtId="184" fontId="54" fillId="0" borderId="0" xfId="6" applyNumberFormat="1" applyFont="1" applyAlignment="1" applyProtection="1">
      <alignment vertical="center"/>
      <protection hidden="1"/>
    </xf>
    <xf numFmtId="0" fontId="2" fillId="0" borderId="0" xfId="6" applyAlignment="1" applyProtection="1">
      <alignment vertical="center"/>
      <protection hidden="1"/>
    </xf>
    <xf numFmtId="0" fontId="2" fillId="0" borderId="0" xfId="6" applyAlignment="1" applyProtection="1">
      <alignment horizontal="center" vertical="center"/>
      <protection hidden="1"/>
    </xf>
    <xf numFmtId="184" fontId="2" fillId="0" borderId="0" xfId="6" applyNumberFormat="1" applyAlignment="1" applyProtection="1">
      <alignment horizontal="center" vertical="center"/>
      <protection hidden="1"/>
    </xf>
    <xf numFmtId="2" fontId="57" fillId="0" borderId="0" xfId="6" applyNumberFormat="1" applyFont="1" applyAlignment="1" applyProtection="1">
      <alignment horizontal="center" vertical="center"/>
      <protection hidden="1"/>
    </xf>
    <xf numFmtId="0" fontId="0" fillId="0" borderId="0" xfId="0" applyAlignment="1" applyProtection="1">
      <alignment vertical="center"/>
      <protection hidden="1"/>
    </xf>
    <xf numFmtId="0" fontId="8" fillId="0" borderId="0" xfId="0" applyFont="1" applyAlignment="1" applyProtection="1">
      <alignment vertical="center"/>
      <protection hidden="1"/>
    </xf>
    <xf numFmtId="0" fontId="0" fillId="0" borderId="0" xfId="0" applyBorder="1" applyAlignment="1" applyProtection="1">
      <alignment vertical="center"/>
      <protection hidden="1"/>
    </xf>
    <xf numFmtId="0" fontId="9" fillId="0" borderId="0" xfId="0" applyFont="1" applyAlignment="1" applyProtection="1">
      <alignment horizontal="center" vertical="center"/>
      <protection hidden="1"/>
    </xf>
    <xf numFmtId="176" fontId="36" fillId="0" borderId="10" xfId="1" applyNumberFormat="1" applyFont="1" applyBorder="1" applyAlignment="1" applyProtection="1">
      <alignment horizontal="center" vertical="center"/>
      <protection hidden="1"/>
    </xf>
    <xf numFmtId="176" fontId="37" fillId="0" borderId="10" xfId="1" applyNumberFormat="1" applyFont="1" applyBorder="1" applyAlignment="1" applyProtection="1">
      <alignment horizontal="center" vertical="center"/>
      <protection hidden="1"/>
    </xf>
    <xf numFmtId="2" fontId="8" fillId="0" borderId="0" xfId="0" applyNumberFormat="1" applyFont="1" applyBorder="1" applyAlignment="1" applyProtection="1">
      <alignment horizontal="center" vertical="center"/>
      <protection hidden="1"/>
    </xf>
    <xf numFmtId="0" fontId="8" fillId="0" borderId="0" xfId="0" applyFont="1" applyBorder="1" applyAlignment="1" applyProtection="1">
      <alignment vertical="center"/>
      <protection hidden="1"/>
    </xf>
    <xf numFmtId="0" fontId="0" fillId="0" borderId="20" xfId="0" applyBorder="1" applyAlignment="1" applyProtection="1">
      <alignment vertical="center"/>
      <protection hidden="1"/>
    </xf>
    <xf numFmtId="0" fontId="0" fillId="0" borderId="7" xfId="0" applyBorder="1" applyAlignment="1" applyProtection="1">
      <alignment vertical="center"/>
      <protection hidden="1"/>
    </xf>
    <xf numFmtId="176" fontId="8" fillId="0" borderId="0" xfId="0" applyNumberFormat="1" applyFont="1" applyBorder="1" applyAlignment="1" applyProtection="1">
      <alignment horizontal="center" vertical="center"/>
      <protection hidden="1"/>
    </xf>
    <xf numFmtId="2" fontId="8" fillId="0" borderId="12" xfId="0" applyNumberFormat="1" applyFont="1" applyBorder="1" applyAlignment="1" applyProtection="1">
      <alignment horizontal="center" vertical="center"/>
      <protection hidden="1"/>
    </xf>
    <xf numFmtId="0" fontId="73" fillId="0" borderId="0" xfId="0" applyFont="1" applyAlignment="1" applyProtection="1">
      <alignment horizontal="left" vertical="center"/>
      <protection hidden="1"/>
    </xf>
    <xf numFmtId="199" fontId="4" fillId="0" borderId="0" xfId="0" applyNumberFormat="1" applyFont="1" applyAlignment="1" applyProtection="1">
      <alignment horizontal="right" vertical="center"/>
      <protection hidden="1"/>
    </xf>
    <xf numFmtId="0" fontId="4" fillId="0" borderId="0" xfId="0" applyFont="1" applyAlignment="1" applyProtection="1">
      <alignment horizontal="left" vertical="center"/>
      <protection hidden="1"/>
    </xf>
    <xf numFmtId="0" fontId="51" fillId="4" borderId="12" xfId="0" applyFont="1" applyFill="1" applyBorder="1" applyAlignment="1" applyProtection="1">
      <alignment horizontal="center" vertical="center"/>
      <protection hidden="1"/>
    </xf>
    <xf numFmtId="0" fontId="58" fillId="0" borderId="0" xfId="7" applyFont="1" applyAlignment="1" applyProtection="1">
      <alignment horizontal="right" vertical="center"/>
      <protection hidden="1"/>
    </xf>
    <xf numFmtId="0" fontId="75" fillId="0" borderId="0" xfId="0" applyFont="1" applyAlignment="1" applyProtection="1">
      <alignment vertical="center"/>
      <protection hidden="1"/>
    </xf>
    <xf numFmtId="0" fontId="2" fillId="0" borderId="0" xfId="0" applyFont="1" applyBorder="1" applyAlignment="1" applyProtection="1">
      <alignment horizontal="center" vertical="center"/>
      <protection hidden="1"/>
    </xf>
    <xf numFmtId="0" fontId="2" fillId="0" borderId="0" xfId="0" applyFont="1" applyAlignment="1" applyProtection="1">
      <alignment vertical="center"/>
      <protection hidden="1"/>
    </xf>
    <xf numFmtId="0" fontId="8" fillId="0" borderId="0" xfId="0" applyFont="1" applyAlignment="1" applyProtection="1">
      <alignment horizontal="center" vertical="center"/>
      <protection hidden="1"/>
    </xf>
    <xf numFmtId="0" fontId="10" fillId="2" borderId="13" xfId="0" applyFont="1" applyFill="1" applyBorder="1" applyAlignment="1" applyProtection="1">
      <alignment vertical="center"/>
      <protection hidden="1"/>
    </xf>
    <xf numFmtId="0" fontId="10" fillId="2" borderId="1" xfId="0" applyFont="1" applyFill="1" applyBorder="1" applyAlignment="1" applyProtection="1">
      <alignment vertical="center"/>
      <protection hidden="1"/>
    </xf>
    <xf numFmtId="0" fontId="10" fillId="2" borderId="6" xfId="0" applyFont="1" applyFill="1" applyBorder="1" applyAlignment="1" applyProtection="1">
      <alignment vertical="center"/>
      <protection hidden="1"/>
    </xf>
    <xf numFmtId="0" fontId="2" fillId="0" borderId="0" xfId="0" applyFont="1" applyProtection="1">
      <protection hidden="1"/>
    </xf>
    <xf numFmtId="0" fontId="41" fillId="0" borderId="13" xfId="0" applyFont="1" applyBorder="1" applyAlignment="1" applyProtection="1">
      <alignment vertical="center"/>
      <protection hidden="1"/>
    </xf>
    <xf numFmtId="0" fontId="2" fillId="3" borderId="33" xfId="0" applyFont="1" applyFill="1" applyBorder="1" applyAlignment="1" applyProtection="1">
      <alignment horizontal="center" vertical="center"/>
      <protection hidden="1"/>
    </xf>
    <xf numFmtId="0" fontId="41" fillId="0" borderId="18" xfId="0" applyFont="1" applyBorder="1" applyAlignment="1" applyProtection="1">
      <alignment vertical="center"/>
      <protection hidden="1"/>
    </xf>
    <xf numFmtId="0" fontId="2" fillId="3" borderId="34" xfId="0" applyFont="1" applyFill="1" applyBorder="1" applyAlignment="1" applyProtection="1">
      <alignment horizontal="center" vertical="center"/>
      <protection hidden="1"/>
    </xf>
    <xf numFmtId="0" fontId="2" fillId="3" borderId="20" xfId="0" applyFont="1" applyFill="1" applyBorder="1" applyAlignment="1" applyProtection="1">
      <alignment horizontal="center" vertical="center"/>
      <protection hidden="1"/>
    </xf>
    <xf numFmtId="0" fontId="2" fillId="3" borderId="2" xfId="0" applyFont="1" applyFill="1" applyBorder="1" applyAlignment="1" applyProtection="1">
      <alignment horizontal="center" vertical="center"/>
      <protection hidden="1"/>
    </xf>
    <xf numFmtId="0" fontId="2" fillId="3" borderId="7" xfId="0" applyFont="1" applyFill="1" applyBorder="1" applyAlignment="1" applyProtection="1">
      <alignment horizontal="center" vertical="center"/>
      <protection hidden="1"/>
    </xf>
    <xf numFmtId="0" fontId="2" fillId="3" borderId="2" xfId="0" applyFont="1" applyFill="1" applyBorder="1" applyAlignment="1" applyProtection="1">
      <alignment vertical="center"/>
      <protection hidden="1"/>
    </xf>
    <xf numFmtId="0" fontId="2" fillId="3" borderId="7" xfId="0" applyFont="1" applyFill="1" applyBorder="1" applyAlignment="1" applyProtection="1">
      <alignment vertical="center"/>
      <protection hidden="1"/>
    </xf>
    <xf numFmtId="2" fontId="8" fillId="0" borderId="0" xfId="0" applyNumberFormat="1" applyFont="1" applyBorder="1" applyAlignment="1" applyProtection="1">
      <alignment vertical="center"/>
      <protection hidden="1"/>
    </xf>
    <xf numFmtId="0" fontId="2" fillId="0" borderId="18" xfId="0" applyFont="1" applyBorder="1" applyAlignment="1" applyProtection="1">
      <alignment horizontal="center" vertical="center"/>
      <protection hidden="1"/>
    </xf>
    <xf numFmtId="2" fontId="8" fillId="0" borderId="18" xfId="0" applyNumberFormat="1" applyFont="1" applyBorder="1" applyAlignment="1" applyProtection="1">
      <alignment horizontal="right" vertical="center"/>
      <protection hidden="1"/>
    </xf>
    <xf numFmtId="2" fontId="8" fillId="0" borderId="0" xfId="0" applyNumberFormat="1" applyFont="1" applyBorder="1" applyAlignment="1" applyProtection="1">
      <alignment horizontal="right" vertical="center"/>
      <protection hidden="1"/>
    </xf>
    <xf numFmtId="2" fontId="2" fillId="0" borderId="0" xfId="0" applyNumberFormat="1" applyFont="1" applyBorder="1" applyAlignment="1" applyProtection="1">
      <alignment horizontal="right" vertical="center"/>
      <protection hidden="1"/>
    </xf>
    <xf numFmtId="2" fontId="2" fillId="0" borderId="19" xfId="0" applyNumberFormat="1" applyFont="1" applyBorder="1" applyAlignment="1" applyProtection="1">
      <alignment horizontal="right" vertical="center"/>
      <protection hidden="1"/>
    </xf>
    <xf numFmtId="2" fontId="2" fillId="0" borderId="18" xfId="0" applyNumberFormat="1" applyFont="1" applyBorder="1" applyAlignment="1" applyProtection="1">
      <alignment horizontal="center" vertical="center"/>
      <protection hidden="1"/>
    </xf>
    <xf numFmtId="2" fontId="2" fillId="0" borderId="0" xfId="0" applyNumberFormat="1" applyFont="1" applyBorder="1" applyAlignment="1" applyProtection="1">
      <alignment horizontal="center" vertical="center"/>
      <protection hidden="1"/>
    </xf>
    <xf numFmtId="2" fontId="2" fillId="0" borderId="19" xfId="0" applyNumberFormat="1" applyFont="1" applyBorder="1" applyAlignment="1" applyProtection="1">
      <alignment horizontal="center" vertical="center"/>
      <protection hidden="1"/>
    </xf>
    <xf numFmtId="2" fontId="2" fillId="0" borderId="13" xfId="0" applyNumberFormat="1" applyFont="1" applyBorder="1" applyAlignment="1" applyProtection="1">
      <alignment horizontal="center" vertical="center"/>
      <protection hidden="1"/>
    </xf>
    <xf numFmtId="2" fontId="2" fillId="0" borderId="1" xfId="0" applyNumberFormat="1" applyFont="1" applyBorder="1" applyAlignment="1" applyProtection="1">
      <alignment horizontal="center" vertical="center"/>
      <protection hidden="1"/>
    </xf>
    <xf numFmtId="2" fontId="2" fillId="0" borderId="6" xfId="0" applyNumberFormat="1" applyFont="1" applyBorder="1" applyAlignment="1" applyProtection="1">
      <alignment horizontal="center" vertical="center"/>
      <protection hidden="1"/>
    </xf>
    <xf numFmtId="198" fontId="2" fillId="0" borderId="18" xfId="0" applyNumberFormat="1" applyFont="1" applyBorder="1" applyAlignment="1" applyProtection="1">
      <alignment horizontal="right" vertical="center"/>
      <protection hidden="1"/>
    </xf>
    <xf numFmtId="198" fontId="2" fillId="0" borderId="0" xfId="0" applyNumberFormat="1" applyFont="1" applyBorder="1" applyAlignment="1" applyProtection="1">
      <alignment horizontal="right" vertical="center"/>
      <protection hidden="1"/>
    </xf>
    <xf numFmtId="198" fontId="2" fillId="0" borderId="19" xfId="0" applyNumberFormat="1" applyFont="1" applyBorder="1" applyAlignment="1" applyProtection="1">
      <alignment horizontal="right" vertical="center"/>
      <protection hidden="1"/>
    </xf>
    <xf numFmtId="0" fontId="2" fillId="0" borderId="20" xfId="0" applyFont="1" applyBorder="1" applyAlignment="1" applyProtection="1">
      <alignment horizontal="center" vertical="center"/>
      <protection hidden="1"/>
    </xf>
    <xf numFmtId="2" fontId="8" fillId="0" borderId="20" xfId="0" applyNumberFormat="1" applyFont="1" applyBorder="1" applyAlignment="1" applyProtection="1">
      <alignment horizontal="right" vertical="center"/>
      <protection hidden="1"/>
    </xf>
    <xf numFmtId="2" fontId="8" fillId="0" borderId="2" xfId="0" applyNumberFormat="1" applyFont="1" applyBorder="1" applyAlignment="1" applyProtection="1">
      <alignment horizontal="right" vertical="center"/>
      <protection hidden="1"/>
    </xf>
    <xf numFmtId="2" fontId="2" fillId="0" borderId="2" xfId="0" applyNumberFormat="1" applyFont="1" applyBorder="1" applyAlignment="1" applyProtection="1">
      <alignment horizontal="right" vertical="center"/>
      <protection hidden="1"/>
    </xf>
    <xf numFmtId="2" fontId="2" fillId="0" borderId="7" xfId="0" applyNumberFormat="1" applyFont="1" applyBorder="1" applyAlignment="1" applyProtection="1">
      <alignment horizontal="right" vertical="center"/>
      <protection hidden="1"/>
    </xf>
    <xf numFmtId="2" fontId="2" fillId="0" borderId="20" xfId="0" applyNumberFormat="1" applyFont="1" applyBorder="1" applyAlignment="1" applyProtection="1">
      <alignment horizontal="center" vertical="center"/>
      <protection hidden="1"/>
    </xf>
    <xf numFmtId="2" fontId="2" fillId="0" borderId="2" xfId="0" applyNumberFormat="1" applyFont="1" applyBorder="1" applyAlignment="1" applyProtection="1">
      <alignment horizontal="center" vertical="center"/>
      <protection hidden="1"/>
    </xf>
    <xf numFmtId="2" fontId="2" fillId="0" borderId="7" xfId="0" applyNumberFormat="1" applyFont="1" applyBorder="1" applyAlignment="1" applyProtection="1">
      <alignment horizontal="center" vertical="center"/>
      <protection hidden="1"/>
    </xf>
    <xf numFmtId="198" fontId="2" fillId="0" borderId="20" xfId="0" applyNumberFormat="1" applyFont="1" applyBorder="1" applyAlignment="1" applyProtection="1">
      <alignment horizontal="right" vertical="center"/>
      <protection hidden="1"/>
    </xf>
    <xf numFmtId="198" fontId="2" fillId="0" borderId="2" xfId="0" applyNumberFormat="1" applyFont="1" applyBorder="1" applyAlignment="1" applyProtection="1">
      <alignment horizontal="right" vertical="center"/>
      <protection hidden="1"/>
    </xf>
    <xf numFmtId="198" fontId="2" fillId="0" borderId="7" xfId="0" applyNumberFormat="1" applyFont="1" applyBorder="1" applyAlignment="1" applyProtection="1">
      <alignment horizontal="right" vertical="center"/>
      <protection hidden="1"/>
    </xf>
    <xf numFmtId="0" fontId="2" fillId="0" borderId="13" xfId="0" applyFont="1" applyBorder="1" applyAlignment="1" applyProtection="1">
      <alignment horizontal="center" vertical="center"/>
      <protection hidden="1"/>
    </xf>
    <xf numFmtId="2" fontId="8" fillId="0" borderId="19" xfId="0" applyNumberFormat="1" applyFont="1" applyBorder="1" applyAlignment="1" applyProtection="1">
      <alignment horizontal="right" vertical="center"/>
      <protection hidden="1"/>
    </xf>
    <xf numFmtId="2" fontId="8" fillId="0" borderId="1" xfId="0" applyNumberFormat="1" applyFont="1" applyBorder="1" applyAlignment="1" applyProtection="1">
      <alignment vertical="center"/>
      <protection hidden="1"/>
    </xf>
    <xf numFmtId="2" fontId="2" fillId="0" borderId="1" xfId="0" applyNumberFormat="1" applyFont="1" applyBorder="1" applyAlignment="1" applyProtection="1">
      <alignment vertical="center"/>
      <protection hidden="1"/>
    </xf>
    <xf numFmtId="2" fontId="2" fillId="0" borderId="6" xfId="0" applyNumberFormat="1" applyFont="1" applyBorder="1" applyAlignment="1" applyProtection="1">
      <alignment vertical="center"/>
      <protection hidden="1"/>
    </xf>
    <xf numFmtId="198" fontId="2" fillId="0" borderId="13" xfId="0" applyNumberFormat="1" applyFont="1" applyBorder="1" applyProtection="1">
      <protection hidden="1"/>
    </xf>
    <xf numFmtId="198" fontId="2" fillId="0" borderId="1" xfId="0" applyNumberFormat="1" applyFont="1" applyBorder="1" applyProtection="1">
      <protection hidden="1"/>
    </xf>
    <xf numFmtId="198" fontId="2" fillId="0" borderId="6" xfId="0" applyNumberFormat="1" applyFont="1" applyBorder="1" applyProtection="1">
      <protection hidden="1"/>
    </xf>
    <xf numFmtId="2" fontId="2" fillId="0" borderId="0" xfId="0" applyNumberFormat="1" applyFont="1" applyBorder="1" applyAlignment="1" applyProtection="1">
      <alignment vertical="center"/>
      <protection hidden="1"/>
    </xf>
    <xf numFmtId="2" fontId="2" fillId="0" borderId="19" xfId="0" applyNumberFormat="1" applyFont="1" applyBorder="1" applyAlignment="1" applyProtection="1">
      <alignment vertical="center"/>
      <protection hidden="1"/>
    </xf>
    <xf numFmtId="198" fontId="2" fillId="0" borderId="18" xfId="0" applyNumberFormat="1" applyFont="1" applyBorder="1" applyProtection="1">
      <protection hidden="1"/>
    </xf>
    <xf numFmtId="198" fontId="2" fillId="0" borderId="0" xfId="0" applyNumberFormat="1" applyFont="1" applyBorder="1" applyProtection="1">
      <protection hidden="1"/>
    </xf>
    <xf numFmtId="198" fontId="2" fillId="0" borderId="19" xfId="0" applyNumberFormat="1" applyFont="1" applyBorder="1" applyProtection="1">
      <protection hidden="1"/>
    </xf>
    <xf numFmtId="2" fontId="8" fillId="0" borderId="7" xfId="0" applyNumberFormat="1" applyFont="1" applyBorder="1" applyAlignment="1" applyProtection="1">
      <alignment horizontal="right" vertical="center"/>
      <protection hidden="1"/>
    </xf>
    <xf numFmtId="198" fontId="2" fillId="0" borderId="20" xfId="0" applyNumberFormat="1" applyFont="1" applyBorder="1" applyProtection="1">
      <protection hidden="1"/>
    </xf>
    <xf numFmtId="198" fontId="2" fillId="0" borderId="2" xfId="0" applyNumberFormat="1" applyFont="1" applyBorder="1" applyProtection="1">
      <protection hidden="1"/>
    </xf>
    <xf numFmtId="198" fontId="2" fillId="0" borderId="7" xfId="0" applyNumberFormat="1" applyFont="1" applyBorder="1" applyProtection="1">
      <protection hidden="1"/>
    </xf>
    <xf numFmtId="2" fontId="8" fillId="0" borderId="13" xfId="0" applyNumberFormat="1" applyFont="1" applyBorder="1" applyAlignment="1" applyProtection="1">
      <alignment horizontal="right" vertical="center"/>
      <protection hidden="1"/>
    </xf>
    <xf numFmtId="2" fontId="8" fillId="0" borderId="1" xfId="0" applyNumberFormat="1" applyFont="1" applyBorder="1" applyAlignment="1" applyProtection="1">
      <alignment horizontal="right" vertical="center"/>
      <protection hidden="1"/>
    </xf>
    <xf numFmtId="2" fontId="8" fillId="0" borderId="6" xfId="0" applyNumberFormat="1" applyFont="1" applyBorder="1" applyAlignment="1" applyProtection="1">
      <alignment horizontal="right" vertical="center"/>
      <protection hidden="1"/>
    </xf>
    <xf numFmtId="2" fontId="2" fillId="0" borderId="1" xfId="0" applyNumberFormat="1" applyFont="1" applyBorder="1" applyAlignment="1" applyProtection="1">
      <alignment horizontal="right" vertical="center"/>
      <protection hidden="1"/>
    </xf>
    <xf numFmtId="2" fontId="2" fillId="0" borderId="6" xfId="0" applyNumberFormat="1" applyFont="1" applyBorder="1" applyAlignment="1" applyProtection="1">
      <alignment horizontal="right" vertical="center"/>
      <protection hidden="1"/>
    </xf>
    <xf numFmtId="198" fontId="2" fillId="0" borderId="13" xfId="0" applyNumberFormat="1" applyFont="1" applyBorder="1" applyAlignment="1" applyProtection="1">
      <alignment horizontal="right" vertical="center"/>
      <protection hidden="1"/>
    </xf>
    <xf numFmtId="198" fontId="2" fillId="0" borderId="1" xfId="0" applyNumberFormat="1" applyFont="1" applyBorder="1" applyAlignment="1" applyProtection="1">
      <alignment horizontal="right" vertical="center"/>
      <protection hidden="1"/>
    </xf>
    <xf numFmtId="198" fontId="2" fillId="0" borderId="6" xfId="0" applyNumberFormat="1" applyFont="1" applyBorder="1" applyAlignment="1" applyProtection="1">
      <alignment horizontal="right" vertical="center"/>
      <protection hidden="1"/>
    </xf>
    <xf numFmtId="0" fontId="2" fillId="0" borderId="37" xfId="0" applyFont="1" applyBorder="1" applyAlignment="1" applyProtection="1">
      <alignment horizontal="center" vertical="center"/>
      <protection hidden="1"/>
    </xf>
    <xf numFmtId="2" fontId="0" fillId="0" borderId="0" xfId="0" applyNumberFormat="1" applyAlignment="1" applyProtection="1">
      <alignment vertical="center"/>
      <protection hidden="1"/>
    </xf>
    <xf numFmtId="0" fontId="2" fillId="0" borderId="34" xfId="0" applyFont="1" applyBorder="1" applyAlignment="1" applyProtection="1">
      <alignment horizontal="center" vertical="center"/>
      <protection hidden="1"/>
    </xf>
    <xf numFmtId="0" fontId="2" fillId="0" borderId="33" xfId="0" applyFont="1" applyBorder="1" applyAlignment="1" applyProtection="1">
      <alignment horizontal="center" vertical="center"/>
      <protection hidden="1"/>
    </xf>
    <xf numFmtId="198" fontId="8" fillId="0" borderId="0" xfId="0" applyNumberFormat="1" applyFont="1" applyBorder="1" applyAlignment="1" applyProtection="1">
      <alignment vertical="center"/>
      <protection hidden="1"/>
    </xf>
    <xf numFmtId="198" fontId="8" fillId="0" borderId="13" xfId="0" applyNumberFormat="1" applyFont="1" applyBorder="1" applyAlignment="1" applyProtection="1">
      <alignment vertical="center"/>
      <protection hidden="1"/>
    </xf>
    <xf numFmtId="198" fontId="8" fillId="0" borderId="1" xfId="0" applyNumberFormat="1" applyFont="1" applyBorder="1" applyAlignment="1" applyProtection="1">
      <alignment vertical="center"/>
      <protection hidden="1"/>
    </xf>
    <xf numFmtId="0" fontId="8" fillId="0" borderId="1" xfId="0" applyFont="1" applyBorder="1" applyAlignment="1" applyProtection="1">
      <alignment vertical="center"/>
      <protection hidden="1"/>
    </xf>
    <xf numFmtId="0" fontId="8" fillId="0" borderId="6" xfId="0" applyFont="1" applyBorder="1" applyAlignment="1" applyProtection="1">
      <alignment vertical="center"/>
      <protection hidden="1"/>
    </xf>
    <xf numFmtId="2" fontId="8" fillId="0" borderId="13" xfId="0" applyNumberFormat="1" applyFont="1" applyBorder="1" applyAlignment="1" applyProtection="1">
      <alignment vertical="center"/>
      <protection hidden="1"/>
    </xf>
    <xf numFmtId="2" fontId="8" fillId="0" borderId="6" xfId="0" applyNumberFormat="1" applyFont="1" applyBorder="1" applyAlignment="1" applyProtection="1">
      <alignment vertical="center"/>
      <protection hidden="1"/>
    </xf>
    <xf numFmtId="198" fontId="8" fillId="0" borderId="18" xfId="0" applyNumberFormat="1" applyFont="1" applyBorder="1" applyAlignment="1" applyProtection="1">
      <alignment vertical="center"/>
      <protection hidden="1"/>
    </xf>
    <xf numFmtId="0" fontId="8" fillId="0" borderId="19" xfId="0" applyFont="1" applyBorder="1" applyAlignment="1" applyProtection="1">
      <alignment vertical="center"/>
      <protection hidden="1"/>
    </xf>
    <xf numFmtId="2" fontId="8" fillId="0" borderId="18" xfId="0" applyNumberFormat="1" applyFont="1" applyBorder="1" applyAlignment="1" applyProtection="1">
      <alignment vertical="center"/>
      <protection hidden="1"/>
    </xf>
    <xf numFmtId="2" fontId="8" fillId="0" borderId="19" xfId="0" applyNumberFormat="1" applyFont="1" applyBorder="1" applyAlignment="1" applyProtection="1">
      <alignment vertical="center"/>
      <protection hidden="1"/>
    </xf>
    <xf numFmtId="198" fontId="8" fillId="0" borderId="20" xfId="0" applyNumberFormat="1" applyFont="1" applyBorder="1" applyAlignment="1" applyProtection="1">
      <alignment vertical="center"/>
      <protection hidden="1"/>
    </xf>
    <xf numFmtId="198" fontId="8" fillId="0" borderId="2" xfId="0" applyNumberFormat="1" applyFont="1" applyBorder="1" applyAlignment="1" applyProtection="1">
      <alignment vertical="center"/>
      <protection hidden="1"/>
    </xf>
    <xf numFmtId="0" fontId="8" fillId="0" borderId="2" xfId="0" applyFont="1" applyBorder="1" applyAlignment="1" applyProtection="1">
      <alignment vertical="center"/>
      <protection hidden="1"/>
    </xf>
    <xf numFmtId="0" fontId="8" fillId="0" borderId="7" xfId="0" applyFont="1" applyBorder="1" applyAlignment="1" applyProtection="1">
      <alignment vertical="center"/>
      <protection hidden="1"/>
    </xf>
    <xf numFmtId="2" fontId="8" fillId="0" borderId="20" xfId="0" applyNumberFormat="1" applyFont="1" applyBorder="1" applyAlignment="1" applyProtection="1">
      <alignment vertical="center"/>
      <protection hidden="1"/>
    </xf>
    <xf numFmtId="2" fontId="8" fillId="0" borderId="2" xfId="0" applyNumberFormat="1" applyFont="1" applyBorder="1" applyAlignment="1" applyProtection="1">
      <alignment vertical="center"/>
      <protection hidden="1"/>
    </xf>
    <xf numFmtId="2" fontId="8" fillId="0" borderId="7" xfId="0" applyNumberFormat="1" applyFont="1" applyBorder="1" applyAlignment="1" applyProtection="1">
      <alignment vertical="center"/>
      <protection hidden="1"/>
    </xf>
    <xf numFmtId="184" fontId="8" fillId="0" borderId="0" xfId="0" applyNumberFormat="1" applyFont="1" applyBorder="1" applyAlignment="1" applyProtection="1">
      <alignment vertical="center"/>
      <protection hidden="1"/>
    </xf>
    <xf numFmtId="184" fontId="8" fillId="0" borderId="13" xfId="0" applyNumberFormat="1" applyFont="1" applyBorder="1" applyAlignment="1" applyProtection="1">
      <alignment vertical="center"/>
      <protection hidden="1"/>
    </xf>
    <xf numFmtId="184" fontId="8" fillId="0" borderId="33" xfId="0" applyNumberFormat="1" applyFont="1" applyBorder="1" applyAlignment="1" applyProtection="1">
      <alignment vertical="center"/>
      <protection hidden="1"/>
    </xf>
    <xf numFmtId="2" fontId="8" fillId="0" borderId="33" xfId="0" applyNumberFormat="1" applyFont="1" applyBorder="1" applyAlignment="1" applyProtection="1">
      <alignment vertical="center"/>
      <protection hidden="1"/>
    </xf>
    <xf numFmtId="2" fontId="8" fillId="0" borderId="37" xfId="0" applyNumberFormat="1" applyFont="1" applyBorder="1" applyAlignment="1" applyProtection="1">
      <alignment vertical="center"/>
      <protection hidden="1"/>
    </xf>
    <xf numFmtId="184" fontId="8" fillId="0" borderId="14" xfId="0" applyNumberFormat="1" applyFont="1" applyBorder="1" applyAlignment="1" applyProtection="1">
      <alignment vertical="center"/>
      <protection hidden="1"/>
    </xf>
    <xf numFmtId="184" fontId="8" fillId="0" borderId="12" xfId="0" applyNumberFormat="1" applyFont="1" applyBorder="1" applyAlignment="1" applyProtection="1">
      <alignment vertical="center"/>
      <protection hidden="1"/>
    </xf>
    <xf numFmtId="2" fontId="8" fillId="0" borderId="34" xfId="0" applyNumberFormat="1" applyFont="1" applyBorder="1" applyAlignment="1" applyProtection="1">
      <alignment vertical="center"/>
      <protection hidden="1"/>
    </xf>
    <xf numFmtId="2" fontId="43" fillId="0" borderId="12" xfId="0" applyNumberFormat="1" applyFont="1" applyBorder="1" applyAlignment="1" applyProtection="1">
      <alignment horizontal="center" vertical="center"/>
      <protection hidden="1"/>
    </xf>
    <xf numFmtId="190" fontId="51" fillId="0" borderId="0" xfId="3" applyNumberFormat="1" applyFont="1" applyAlignment="1" applyProtection="1">
      <alignment horizontal="center" vertical="center"/>
      <protection hidden="1"/>
    </xf>
    <xf numFmtId="190" fontId="40" fillId="0" borderId="0" xfId="3" applyNumberFormat="1" applyFont="1" applyAlignment="1" applyProtection="1">
      <alignment horizontal="center" vertical="center"/>
      <protection hidden="1"/>
    </xf>
    <xf numFmtId="190" fontId="10" fillId="0" borderId="0" xfId="3" applyNumberFormat="1" applyFont="1" applyAlignment="1" applyProtection="1">
      <alignment horizontal="center" vertical="center"/>
      <protection hidden="1"/>
    </xf>
    <xf numFmtId="0" fontId="54" fillId="0" borderId="0" xfId="0" applyFont="1" applyBorder="1" applyAlignment="1" applyProtection="1">
      <alignment horizontal="center" vertical="center"/>
      <protection hidden="1"/>
    </xf>
    <xf numFmtId="0" fontId="57" fillId="0" borderId="0" xfId="0" applyFont="1" applyBorder="1" applyAlignment="1" applyProtection="1">
      <alignment horizontal="center" vertical="center"/>
      <protection hidden="1"/>
    </xf>
    <xf numFmtId="0" fontId="38" fillId="0" borderId="0" xfId="0" applyFont="1" applyBorder="1" applyProtection="1">
      <protection hidden="1"/>
    </xf>
    <xf numFmtId="0" fontId="0" fillId="0" borderId="0" xfId="0" applyAlignment="1" applyProtection="1">
      <alignment horizontal="center" vertical="center"/>
      <protection hidden="1"/>
    </xf>
    <xf numFmtId="176" fontId="44" fillId="0" borderId="0" xfId="7" applyNumberFormat="1" applyAlignment="1" applyProtection="1">
      <alignment vertical="center"/>
      <protection hidden="1"/>
    </xf>
    <xf numFmtId="2" fontId="64" fillId="0" borderId="0" xfId="7" applyNumberFormat="1" applyFont="1" applyAlignment="1" applyProtection="1">
      <alignment vertical="center"/>
      <protection hidden="1"/>
    </xf>
    <xf numFmtId="176" fontId="61" fillId="0" borderId="0" xfId="7" applyNumberFormat="1" applyFont="1" applyAlignment="1" applyProtection="1">
      <alignment vertical="center"/>
      <protection hidden="1"/>
    </xf>
    <xf numFmtId="0" fontId="84" fillId="0" borderId="0" xfId="7" applyFont="1" applyAlignment="1" applyProtection="1">
      <alignment vertical="center"/>
      <protection hidden="1"/>
    </xf>
    <xf numFmtId="176" fontId="58" fillId="0" borderId="0" xfId="7" applyNumberFormat="1" applyFont="1" applyAlignment="1" applyProtection="1">
      <alignment vertical="center"/>
      <protection hidden="1"/>
    </xf>
    <xf numFmtId="0" fontId="0" fillId="0" borderId="0" xfId="7" applyFont="1" applyAlignment="1" applyProtection="1">
      <alignment vertical="center"/>
      <protection hidden="1"/>
    </xf>
    <xf numFmtId="0" fontId="89" fillId="0" borderId="0" xfId="7" applyFont="1" applyAlignment="1" applyProtection="1">
      <alignment vertical="center"/>
      <protection hidden="1"/>
    </xf>
    <xf numFmtId="176" fontId="65" fillId="0" borderId="0" xfId="7" applyNumberFormat="1" applyFont="1" applyAlignment="1" applyProtection="1">
      <alignment horizontal="center" vertical="center"/>
      <protection hidden="1"/>
    </xf>
    <xf numFmtId="0" fontId="92" fillId="0" borderId="0" xfId="9" applyFont="1" applyAlignment="1" applyProtection="1">
      <alignment vertical="center"/>
      <protection hidden="1"/>
    </xf>
    <xf numFmtId="0" fontId="92" fillId="0" borderId="0" xfId="9" applyFont="1" applyAlignment="1" applyProtection="1">
      <alignment horizontal="center" vertical="center"/>
      <protection hidden="1"/>
    </xf>
    <xf numFmtId="0" fontId="94" fillId="0" borderId="0" xfId="9" applyFont="1" applyAlignment="1" applyProtection="1">
      <alignment vertical="center"/>
      <protection hidden="1"/>
    </xf>
    <xf numFmtId="0" fontId="94" fillId="0" borderId="0" xfId="9" applyFont="1" applyAlignment="1" applyProtection="1">
      <alignment vertical="center"/>
      <protection locked="0" hidden="1"/>
    </xf>
    <xf numFmtId="0" fontId="93" fillId="0" borderId="0" xfId="9" quotePrefix="1" applyFont="1" applyAlignment="1" applyProtection="1">
      <alignment vertical="center"/>
      <protection hidden="1"/>
    </xf>
    <xf numFmtId="0" fontId="95" fillId="0" borderId="0" xfId="9" applyFont="1" applyAlignment="1" applyProtection="1">
      <alignment vertical="center"/>
      <protection hidden="1"/>
    </xf>
    <xf numFmtId="0" fontId="95" fillId="0" borderId="0" xfId="9" applyFont="1" applyAlignment="1" applyProtection="1">
      <alignment horizontal="center" vertical="center"/>
      <protection hidden="1"/>
    </xf>
    <xf numFmtId="0" fontId="95" fillId="0" borderId="0" xfId="9" applyFont="1" applyAlignment="1" applyProtection="1">
      <alignment horizontal="left" vertical="center"/>
      <protection hidden="1"/>
    </xf>
    <xf numFmtId="0" fontId="92" fillId="11" borderId="4" xfId="9" applyFont="1" applyFill="1" applyBorder="1" applyAlignment="1" applyProtection="1">
      <alignment vertical="center"/>
      <protection hidden="1"/>
    </xf>
    <xf numFmtId="0" fontId="92" fillId="12" borderId="4" xfId="9" applyFont="1" applyFill="1" applyBorder="1" applyAlignment="1" applyProtection="1">
      <alignment vertical="center"/>
      <protection hidden="1"/>
    </xf>
    <xf numFmtId="0" fontId="92" fillId="13" borderId="4" xfId="9" applyFont="1" applyFill="1" applyBorder="1" applyAlignment="1" applyProtection="1">
      <alignment vertical="center"/>
      <protection hidden="1"/>
    </xf>
    <xf numFmtId="0" fontId="92" fillId="14" borderId="4" xfId="9" applyFont="1" applyFill="1" applyBorder="1" applyAlignment="1" applyProtection="1">
      <alignment vertical="center"/>
      <protection hidden="1"/>
    </xf>
    <xf numFmtId="0" fontId="92" fillId="15" borderId="4" xfId="9" applyFont="1" applyFill="1" applyBorder="1" applyAlignment="1" applyProtection="1">
      <alignment vertical="center"/>
      <protection hidden="1"/>
    </xf>
    <xf numFmtId="0" fontId="92" fillId="11" borderId="5" xfId="9" applyFont="1" applyFill="1" applyBorder="1" applyAlignment="1" applyProtection="1">
      <alignment horizontal="center" vertical="center"/>
      <protection hidden="1"/>
    </xf>
    <xf numFmtId="0" fontId="92" fillId="12" borderId="5" xfId="9" applyFont="1" applyFill="1" applyBorder="1" applyAlignment="1" applyProtection="1">
      <alignment horizontal="center" vertical="center"/>
      <protection hidden="1"/>
    </xf>
    <xf numFmtId="0" fontId="92" fillId="13" borderId="5" xfId="9" applyFont="1" applyFill="1" applyBorder="1" applyAlignment="1" applyProtection="1">
      <alignment horizontal="center" vertical="center"/>
      <protection hidden="1"/>
    </xf>
    <xf numFmtId="0" fontId="92" fillId="14" borderId="5" xfId="9" applyFont="1" applyFill="1" applyBorder="1" applyAlignment="1" applyProtection="1">
      <alignment horizontal="center" vertical="center"/>
      <protection hidden="1"/>
    </xf>
    <xf numFmtId="0" fontId="92" fillId="15" borderId="5" xfId="9" applyFont="1" applyFill="1" applyBorder="1" applyAlignment="1" applyProtection="1">
      <alignment horizontal="center" vertical="center"/>
      <protection hidden="1"/>
    </xf>
    <xf numFmtId="0" fontId="95" fillId="0" borderId="45" xfId="9" applyFont="1" applyBorder="1" applyAlignment="1" applyProtection="1">
      <alignment horizontal="center" vertical="center"/>
      <protection hidden="1"/>
    </xf>
    <xf numFmtId="0" fontId="95" fillId="0" borderId="3" xfId="9" applyFont="1" applyBorder="1" applyAlignment="1" applyProtection="1">
      <alignment horizontal="center" vertical="center"/>
      <protection hidden="1"/>
    </xf>
    <xf numFmtId="0" fontId="58" fillId="0" borderId="45" xfId="9" applyFont="1" applyBorder="1" applyAlignment="1" applyProtection="1">
      <alignment horizontal="center" vertical="center"/>
      <protection hidden="1"/>
    </xf>
    <xf numFmtId="0" fontId="58" fillId="0" borderId="3" xfId="9" applyFont="1" applyBorder="1" applyAlignment="1" applyProtection="1">
      <alignment horizontal="center" vertical="center"/>
      <protection hidden="1"/>
    </xf>
    <xf numFmtId="0" fontId="83" fillId="0" borderId="45" xfId="9" applyFont="1" applyBorder="1" applyAlignment="1" applyProtection="1">
      <alignment horizontal="center" vertical="center"/>
      <protection hidden="1"/>
    </xf>
    <xf numFmtId="0" fontId="83" fillId="0" borderId="3" xfId="9" applyFont="1" applyBorder="1" applyAlignment="1" applyProtection="1">
      <alignment horizontal="center" vertical="center"/>
      <protection hidden="1"/>
    </xf>
    <xf numFmtId="0" fontId="95" fillId="17" borderId="45" xfId="9" applyFont="1" applyFill="1" applyBorder="1" applyAlignment="1" applyProtection="1">
      <alignment horizontal="center" vertical="center"/>
      <protection hidden="1"/>
    </xf>
    <xf numFmtId="0" fontId="95" fillId="17" borderId="3" xfId="9" applyFont="1" applyFill="1" applyBorder="1" applyAlignment="1" applyProtection="1">
      <alignment horizontal="center" vertical="center"/>
      <protection hidden="1"/>
    </xf>
    <xf numFmtId="0" fontId="58" fillId="17" borderId="45" xfId="9" applyFont="1" applyFill="1" applyBorder="1" applyAlignment="1" applyProtection="1">
      <alignment horizontal="center" vertical="center"/>
      <protection hidden="1"/>
    </xf>
    <xf numFmtId="0" fontId="58" fillId="17" borderId="3" xfId="9" applyFont="1" applyFill="1" applyBorder="1" applyAlignment="1" applyProtection="1">
      <alignment horizontal="center" vertical="center"/>
      <protection hidden="1"/>
    </xf>
    <xf numFmtId="0" fontId="96" fillId="17" borderId="45" xfId="9" applyFont="1" applyFill="1" applyBorder="1" applyAlignment="1" applyProtection="1">
      <alignment horizontal="center" vertical="center"/>
      <protection hidden="1"/>
    </xf>
    <xf numFmtId="0" fontId="96" fillId="17" borderId="3" xfId="9" applyFont="1" applyFill="1" applyBorder="1" applyAlignment="1" applyProtection="1">
      <alignment horizontal="center" vertical="center"/>
      <protection hidden="1"/>
    </xf>
    <xf numFmtId="0" fontId="97" fillId="17" borderId="45" xfId="9" applyFont="1" applyFill="1" applyBorder="1" applyAlignment="1" applyProtection="1">
      <alignment horizontal="center" vertical="center"/>
      <protection hidden="1"/>
    </xf>
    <xf numFmtId="0" fontId="97" fillId="17" borderId="3" xfId="9" applyFont="1" applyFill="1" applyBorder="1" applyAlignment="1" applyProtection="1">
      <alignment horizontal="center" vertical="center"/>
      <protection hidden="1"/>
    </xf>
    <xf numFmtId="0" fontId="98" fillId="17" borderId="45" xfId="9" applyFont="1" applyFill="1" applyBorder="1" applyAlignment="1" applyProtection="1">
      <alignment horizontal="center" vertical="center"/>
      <protection hidden="1"/>
    </xf>
    <xf numFmtId="0" fontId="98" fillId="17" borderId="3" xfId="9" applyFont="1" applyFill="1" applyBorder="1" applyAlignment="1" applyProtection="1">
      <alignment horizontal="center" vertical="center"/>
      <protection hidden="1"/>
    </xf>
    <xf numFmtId="0" fontId="96" fillId="0" borderId="45" xfId="9" applyFont="1" applyBorder="1" applyAlignment="1" applyProtection="1">
      <alignment horizontal="center" vertical="center"/>
      <protection hidden="1"/>
    </xf>
    <xf numFmtId="0" fontId="96" fillId="0" borderId="3" xfId="9" applyFont="1" applyBorder="1" applyAlignment="1" applyProtection="1">
      <alignment horizontal="center" vertical="center"/>
      <protection hidden="1"/>
    </xf>
    <xf numFmtId="0" fontId="97" fillId="0" borderId="45" xfId="9" applyFont="1" applyBorder="1" applyAlignment="1" applyProtection="1">
      <alignment horizontal="center" vertical="center"/>
      <protection hidden="1"/>
    </xf>
    <xf numFmtId="0" fontId="97" fillId="0" borderId="3" xfId="9" applyFont="1" applyBorder="1" applyAlignment="1" applyProtection="1">
      <alignment horizontal="center" vertical="center"/>
      <protection hidden="1"/>
    </xf>
    <xf numFmtId="0" fontId="98" fillId="0" borderId="45" xfId="9" applyFont="1" applyBorder="1" applyAlignment="1" applyProtection="1">
      <alignment horizontal="center" vertical="center"/>
      <protection hidden="1"/>
    </xf>
    <xf numFmtId="0" fontId="98" fillId="0" borderId="3" xfId="9" applyFont="1" applyBorder="1" applyAlignment="1" applyProtection="1">
      <alignment horizontal="center" vertical="center"/>
      <protection hidden="1"/>
    </xf>
    <xf numFmtId="0" fontId="83" fillId="17" borderId="45" xfId="9" applyFont="1" applyFill="1" applyBorder="1" applyAlignment="1" applyProtection="1">
      <alignment horizontal="center" vertical="center"/>
      <protection hidden="1"/>
    </xf>
    <xf numFmtId="0" fontId="83" fillId="17" borderId="3" xfId="9" applyFont="1" applyFill="1" applyBorder="1" applyAlignment="1" applyProtection="1">
      <alignment horizontal="center" vertical="center"/>
      <protection hidden="1"/>
    </xf>
    <xf numFmtId="0" fontId="99" fillId="17" borderId="45" xfId="9" applyFont="1" applyFill="1" applyBorder="1" applyAlignment="1" applyProtection="1">
      <alignment horizontal="center" vertical="center"/>
      <protection hidden="1"/>
    </xf>
    <xf numFmtId="0" fontId="99" fillId="17" borderId="3" xfId="9" applyFont="1" applyFill="1" applyBorder="1" applyAlignment="1" applyProtection="1">
      <alignment horizontal="center" vertical="center"/>
      <protection hidden="1"/>
    </xf>
    <xf numFmtId="0" fontId="99" fillId="0" borderId="45" xfId="9" applyFont="1" applyBorder="1" applyAlignment="1" applyProtection="1">
      <alignment horizontal="center" vertical="center"/>
      <protection hidden="1"/>
    </xf>
    <xf numFmtId="0" fontId="99" fillId="0" borderId="3" xfId="9" applyFont="1" applyBorder="1" applyAlignment="1" applyProtection="1">
      <alignment horizontal="center" vertical="center"/>
      <protection hidden="1"/>
    </xf>
    <xf numFmtId="0" fontId="100" fillId="17" borderId="45" xfId="9" applyFont="1" applyFill="1" applyBorder="1" applyAlignment="1" applyProtection="1">
      <alignment horizontal="center" vertical="center"/>
      <protection hidden="1"/>
    </xf>
    <xf numFmtId="0" fontId="100" fillId="17" borderId="3" xfId="9" applyFont="1" applyFill="1" applyBorder="1" applyAlignment="1" applyProtection="1">
      <alignment horizontal="center" vertical="center"/>
      <protection hidden="1"/>
    </xf>
    <xf numFmtId="0" fontId="100" fillId="0" borderId="45" xfId="9" applyFont="1" applyBorder="1" applyAlignment="1" applyProtection="1">
      <alignment horizontal="center" vertical="center"/>
      <protection hidden="1"/>
    </xf>
    <xf numFmtId="0" fontId="100" fillId="0" borderId="3" xfId="9" applyFont="1" applyBorder="1" applyAlignment="1" applyProtection="1">
      <alignment horizontal="center" vertical="center"/>
      <protection hidden="1"/>
    </xf>
    <xf numFmtId="0" fontId="101" fillId="17" borderId="45" xfId="9" applyFont="1" applyFill="1" applyBorder="1" applyAlignment="1" applyProtection="1">
      <alignment horizontal="center" vertical="center"/>
      <protection hidden="1"/>
    </xf>
    <xf numFmtId="0" fontId="101" fillId="17" borderId="3" xfId="9" applyFont="1" applyFill="1" applyBorder="1" applyAlignment="1" applyProtection="1">
      <alignment horizontal="center" vertical="center"/>
      <protection hidden="1"/>
    </xf>
    <xf numFmtId="0" fontId="101" fillId="0" borderId="45" xfId="9" applyFont="1" applyBorder="1" applyAlignment="1" applyProtection="1">
      <alignment horizontal="center" vertical="center"/>
      <protection hidden="1"/>
    </xf>
    <xf numFmtId="0" fontId="101" fillId="0" borderId="3" xfId="9" applyFont="1" applyBorder="1" applyAlignment="1" applyProtection="1">
      <alignment horizontal="center" vertical="center"/>
      <protection hidden="1"/>
    </xf>
    <xf numFmtId="0" fontId="83" fillId="0" borderId="0" xfId="9" applyFont="1" applyAlignment="1" applyProtection="1">
      <alignment horizontal="center" vertical="center"/>
      <protection hidden="1"/>
    </xf>
    <xf numFmtId="0" fontId="84" fillId="0" borderId="0" xfId="9" applyFont="1" applyAlignment="1" applyProtection="1">
      <alignment horizontal="center" vertical="center"/>
      <protection hidden="1"/>
    </xf>
    <xf numFmtId="0" fontId="96" fillId="17" borderId="45" xfId="0" applyFont="1" applyFill="1" applyBorder="1" applyAlignment="1" applyProtection="1">
      <alignment horizontal="center" vertical="center"/>
      <protection hidden="1"/>
    </xf>
    <xf numFmtId="0" fontId="96" fillId="17" borderId="3" xfId="0" applyFont="1" applyFill="1" applyBorder="1" applyAlignment="1" applyProtection="1">
      <alignment horizontal="center" vertical="center"/>
      <protection hidden="1"/>
    </xf>
    <xf numFmtId="0" fontId="58" fillId="17" borderId="45" xfId="0" applyFont="1" applyFill="1" applyBorder="1" applyAlignment="1" applyProtection="1">
      <alignment horizontal="center" vertical="center"/>
      <protection hidden="1"/>
    </xf>
    <xf numFmtId="0" fontId="58" fillId="17" borderId="3" xfId="0" applyFont="1" applyFill="1" applyBorder="1" applyAlignment="1" applyProtection="1">
      <alignment horizontal="center" vertical="center"/>
      <protection hidden="1"/>
    </xf>
    <xf numFmtId="0" fontId="99" fillId="17" borderId="45" xfId="0" applyFont="1" applyFill="1" applyBorder="1" applyAlignment="1" applyProtection="1">
      <alignment horizontal="center" vertical="center"/>
      <protection hidden="1"/>
    </xf>
    <xf numFmtId="0" fontId="99" fillId="17" borderId="3" xfId="0" applyFont="1" applyFill="1" applyBorder="1" applyAlignment="1" applyProtection="1">
      <alignment horizontal="center" vertical="center"/>
      <protection hidden="1"/>
    </xf>
    <xf numFmtId="0" fontId="103" fillId="0" borderId="0" xfId="9" applyFont="1" applyAlignment="1" applyProtection="1">
      <alignment vertical="center"/>
      <protection hidden="1"/>
    </xf>
    <xf numFmtId="0" fontId="100" fillId="17" borderId="45" xfId="0" applyFont="1" applyFill="1" applyBorder="1" applyAlignment="1" applyProtection="1">
      <alignment horizontal="center" vertical="center"/>
      <protection hidden="1"/>
    </xf>
    <xf numFmtId="0" fontId="100" fillId="17" borderId="3" xfId="0" applyFont="1" applyFill="1" applyBorder="1" applyAlignment="1" applyProtection="1">
      <alignment horizontal="center" vertical="center"/>
      <protection hidden="1"/>
    </xf>
    <xf numFmtId="0" fontId="101" fillId="17" borderId="45" xfId="0" applyFont="1" applyFill="1" applyBorder="1" applyAlignment="1" applyProtection="1">
      <alignment horizontal="center" vertical="center"/>
      <protection hidden="1"/>
    </xf>
    <xf numFmtId="0" fontId="101" fillId="17" borderId="3" xfId="0" applyFont="1" applyFill="1" applyBorder="1" applyAlignment="1" applyProtection="1">
      <alignment horizontal="center" vertical="center"/>
      <protection hidden="1"/>
    </xf>
    <xf numFmtId="0" fontId="58" fillId="0" borderId="45" xfId="0" applyFont="1" applyBorder="1" applyAlignment="1" applyProtection="1">
      <alignment horizontal="center" vertical="center"/>
      <protection hidden="1"/>
    </xf>
    <xf numFmtId="0" fontId="58" fillId="0" borderId="3" xfId="0" applyFont="1" applyBorder="1" applyAlignment="1" applyProtection="1">
      <alignment horizontal="center" vertical="center"/>
      <protection hidden="1"/>
    </xf>
    <xf numFmtId="0" fontId="97" fillId="0" borderId="32" xfId="9" applyFont="1" applyBorder="1" applyAlignment="1" applyProtection="1">
      <alignment horizontal="center" vertical="center"/>
      <protection hidden="1"/>
    </xf>
    <xf numFmtId="0" fontId="99" fillId="0" borderId="32" xfId="0" applyFont="1" applyBorder="1" applyAlignment="1" applyProtection="1">
      <alignment horizontal="center" vertical="center"/>
      <protection hidden="1"/>
    </xf>
    <xf numFmtId="0" fontId="99" fillId="0" borderId="45" xfId="0" applyFont="1" applyBorder="1" applyAlignment="1" applyProtection="1">
      <alignment horizontal="center" vertical="center"/>
      <protection hidden="1"/>
    </xf>
    <xf numFmtId="0" fontId="98" fillId="0" borderId="45" xfId="0" applyFont="1" applyBorder="1" applyAlignment="1" applyProtection="1">
      <alignment horizontal="center" vertical="center"/>
      <protection hidden="1"/>
    </xf>
    <xf numFmtId="0" fontId="99" fillId="0" borderId="3" xfId="0" applyFont="1" applyBorder="1" applyAlignment="1" applyProtection="1">
      <alignment horizontal="center" vertical="center"/>
      <protection hidden="1"/>
    </xf>
    <xf numFmtId="0" fontId="100" fillId="0" borderId="45" xfId="0" applyFont="1" applyBorder="1" applyAlignment="1" applyProtection="1">
      <alignment horizontal="center" vertical="center"/>
      <protection hidden="1"/>
    </xf>
    <xf numFmtId="0" fontId="101" fillId="0" borderId="45" xfId="0" applyFont="1" applyBorder="1" applyAlignment="1" applyProtection="1">
      <alignment horizontal="center" vertical="center"/>
      <protection hidden="1"/>
    </xf>
    <xf numFmtId="0" fontId="100" fillId="0" borderId="3" xfId="0" applyFont="1" applyBorder="1" applyAlignment="1" applyProtection="1">
      <alignment horizontal="center" vertical="center"/>
      <protection hidden="1"/>
    </xf>
    <xf numFmtId="0" fontId="0" fillId="0" borderId="0" xfId="0" applyBorder="1" applyAlignment="1" applyProtection="1">
      <alignment horizontal="left" vertical="center"/>
      <protection hidden="1"/>
    </xf>
    <xf numFmtId="0" fontId="108" fillId="0" borderId="0" xfId="0" applyFont="1" applyAlignment="1" applyProtection="1">
      <alignment vertical="center"/>
      <protection hidden="1"/>
    </xf>
    <xf numFmtId="0" fontId="0" fillId="0" borderId="0" xfId="0" applyBorder="1" applyAlignment="1" applyProtection="1">
      <alignment horizontal="center" vertical="center"/>
      <protection hidden="1"/>
    </xf>
    <xf numFmtId="0" fontId="89" fillId="0" borderId="0" xfId="0" applyFont="1" applyBorder="1" applyAlignment="1" applyProtection="1">
      <alignment horizontal="center" vertical="center"/>
      <protection hidden="1"/>
    </xf>
    <xf numFmtId="0" fontId="3" fillId="0" borderId="0" xfId="0" applyFont="1" applyBorder="1" applyAlignment="1" applyProtection="1">
      <alignment vertical="center"/>
      <protection hidden="1"/>
    </xf>
    <xf numFmtId="0" fontId="3" fillId="0" borderId="0" xfId="0" applyFont="1" applyBorder="1" applyAlignment="1" applyProtection="1">
      <alignment horizontal="center" vertical="center"/>
      <protection hidden="1"/>
    </xf>
    <xf numFmtId="0" fontId="109" fillId="0" borderId="0" xfId="0" applyFont="1" applyBorder="1" applyAlignment="1" applyProtection="1">
      <alignment horizontal="center" vertical="center"/>
      <protection hidden="1"/>
    </xf>
    <xf numFmtId="0" fontId="91" fillId="0" borderId="0" xfId="0" applyFont="1" applyBorder="1" applyAlignment="1" applyProtection="1">
      <alignment horizontal="left" vertical="center"/>
      <protection hidden="1"/>
    </xf>
    <xf numFmtId="0" fontId="111" fillId="0" borderId="0" xfId="0" applyFont="1" applyBorder="1" applyAlignment="1" applyProtection="1">
      <alignment vertical="center"/>
      <protection hidden="1"/>
    </xf>
    <xf numFmtId="0" fontId="91" fillId="0" borderId="0" xfId="0" applyFont="1" applyBorder="1" applyAlignment="1" applyProtection="1">
      <alignment horizontal="center" vertical="center"/>
      <protection hidden="1"/>
    </xf>
    <xf numFmtId="0" fontId="0" fillId="0" borderId="40" xfId="0" applyBorder="1" applyAlignment="1" applyProtection="1">
      <alignment vertical="center"/>
      <protection hidden="1"/>
    </xf>
    <xf numFmtId="0" fontId="0" fillId="0" borderId="40" xfId="0" applyBorder="1" applyAlignment="1" applyProtection="1">
      <alignment horizontal="center" vertical="center"/>
      <protection hidden="1"/>
    </xf>
    <xf numFmtId="0" fontId="111" fillId="0" borderId="14" xfId="0" applyFont="1" applyBorder="1" applyAlignment="1" applyProtection="1">
      <alignment vertical="center"/>
      <protection hidden="1"/>
    </xf>
    <xf numFmtId="0" fontId="109" fillId="0" borderId="15" xfId="0" applyFont="1" applyBorder="1" applyAlignment="1" applyProtection="1">
      <alignment vertical="center"/>
      <protection hidden="1"/>
    </xf>
    <xf numFmtId="0" fontId="109" fillId="0" borderId="0" xfId="0" applyFont="1" applyBorder="1" applyAlignment="1" applyProtection="1">
      <alignment horizontal="left" vertical="center"/>
      <protection hidden="1"/>
    </xf>
    <xf numFmtId="0" fontId="119" fillId="0" borderId="0" xfId="0" applyFont="1" applyBorder="1" applyAlignment="1" applyProtection="1">
      <alignment horizontal="center" vertical="center"/>
      <protection hidden="1"/>
    </xf>
    <xf numFmtId="0" fontId="111" fillId="0" borderId="0" xfId="0" applyFont="1" applyBorder="1" applyAlignment="1" applyProtection="1">
      <alignment horizontal="center" vertical="center"/>
      <protection hidden="1"/>
    </xf>
    <xf numFmtId="0" fontId="116" fillId="0" borderId="0" xfId="0" applyFont="1" applyBorder="1" applyAlignment="1" applyProtection="1">
      <alignment vertical="center"/>
      <protection hidden="1"/>
    </xf>
    <xf numFmtId="2" fontId="89" fillId="0" borderId="0" xfId="0" applyNumberFormat="1" applyFont="1" applyBorder="1" applyAlignment="1" applyProtection="1">
      <alignment horizontal="center" vertical="center"/>
      <protection hidden="1"/>
    </xf>
    <xf numFmtId="2" fontId="120" fillId="0" borderId="0" xfId="0" applyNumberFormat="1" applyFont="1" applyBorder="1" applyAlignment="1" applyProtection="1">
      <alignment horizontal="center" vertical="center"/>
      <protection hidden="1"/>
    </xf>
    <xf numFmtId="0" fontId="115" fillId="0" borderId="0" xfId="0" applyFont="1" applyBorder="1" applyAlignment="1" applyProtection="1">
      <alignment horizontal="left" vertical="center"/>
      <protection hidden="1"/>
    </xf>
    <xf numFmtId="0" fontId="89" fillId="0" borderId="0" xfId="0" applyFont="1"/>
    <xf numFmtId="0" fontId="89" fillId="0" borderId="0" xfId="0" applyFont="1" applyAlignment="1" applyProtection="1">
      <alignment vertical="center"/>
      <protection hidden="1"/>
    </xf>
    <xf numFmtId="2" fontId="89" fillId="0" borderId="0" xfId="0" applyNumberFormat="1" applyFont="1" applyAlignment="1" applyProtection="1">
      <alignment vertical="center"/>
      <protection hidden="1"/>
    </xf>
    <xf numFmtId="0" fontId="89" fillId="0" borderId="0" xfId="0" applyFont="1" applyAlignment="1" applyProtection="1">
      <alignment vertical="center" wrapText="1"/>
      <protection hidden="1"/>
    </xf>
    <xf numFmtId="0" fontId="0" fillId="0" borderId="0" xfId="0" applyAlignment="1">
      <alignment vertical="center"/>
    </xf>
    <xf numFmtId="0" fontId="121" fillId="0" borderId="0" xfId="10" applyAlignment="1">
      <alignment vertical="center"/>
    </xf>
    <xf numFmtId="0" fontId="81" fillId="0" borderId="0" xfId="0" applyFont="1" applyAlignment="1" applyProtection="1">
      <alignment horizontal="center" vertical="center"/>
      <protection hidden="1"/>
    </xf>
    <xf numFmtId="0" fontId="81" fillId="0" borderId="0" xfId="0" applyFont="1" applyAlignment="1" applyProtection="1">
      <alignment vertical="center"/>
      <protection hidden="1"/>
    </xf>
    <xf numFmtId="176" fontId="82" fillId="0" borderId="0" xfId="0" applyNumberFormat="1" applyFont="1" applyBorder="1" applyAlignment="1" applyProtection="1">
      <alignment horizontal="center" vertical="center"/>
      <protection hidden="1"/>
    </xf>
    <xf numFmtId="2" fontId="129" fillId="0" borderId="1" xfId="0" applyNumberFormat="1" applyFont="1" applyBorder="1" applyAlignment="1" applyProtection="1">
      <alignment horizontal="center" vertical="center"/>
      <protection hidden="1"/>
    </xf>
    <xf numFmtId="0" fontId="0" fillId="0" borderId="1" xfId="0" applyBorder="1" applyAlignment="1" applyProtection="1">
      <alignment horizontal="left" vertical="center"/>
      <protection hidden="1"/>
    </xf>
    <xf numFmtId="2" fontId="127" fillId="7" borderId="2" xfId="0" applyNumberFormat="1" applyFont="1" applyFill="1" applyBorder="1" applyAlignment="1" applyProtection="1">
      <alignment horizontal="center" vertical="center"/>
      <protection hidden="1"/>
    </xf>
    <xf numFmtId="0" fontId="84" fillId="0" borderId="0" xfId="0" applyFont="1" applyBorder="1" applyAlignment="1" applyProtection="1">
      <alignment vertical="center"/>
      <protection hidden="1"/>
    </xf>
    <xf numFmtId="176" fontId="82" fillId="0" borderId="52" xfId="0" applyNumberFormat="1" applyFont="1" applyBorder="1" applyAlignment="1" applyProtection="1">
      <alignment horizontal="center" vertical="center"/>
      <protection hidden="1"/>
    </xf>
    <xf numFmtId="0" fontId="89" fillId="0" borderId="51" xfId="0" applyFont="1" applyBorder="1" applyAlignment="1" applyProtection="1">
      <alignment horizontal="center" vertical="center"/>
      <protection hidden="1"/>
    </xf>
    <xf numFmtId="176" fontId="82" fillId="0" borderId="51" xfId="0" applyNumberFormat="1" applyFont="1" applyBorder="1" applyAlignment="1" applyProtection="1">
      <alignment horizontal="center" vertical="center"/>
      <protection hidden="1"/>
    </xf>
    <xf numFmtId="176" fontId="82" fillId="0" borderId="54" xfId="0" applyNumberFormat="1" applyFont="1" applyBorder="1" applyAlignment="1" applyProtection="1">
      <alignment horizontal="center" vertical="center"/>
      <protection hidden="1"/>
    </xf>
    <xf numFmtId="0" fontId="89" fillId="0" borderId="53" xfId="0" applyFont="1" applyBorder="1" applyAlignment="1" applyProtection="1">
      <alignment horizontal="center" vertical="center"/>
      <protection hidden="1"/>
    </xf>
    <xf numFmtId="0" fontId="89" fillId="0" borderId="0" xfId="0" applyFont="1" applyBorder="1" applyAlignment="1" applyProtection="1">
      <alignment vertical="center"/>
      <protection hidden="1"/>
    </xf>
    <xf numFmtId="0" fontId="81" fillId="0" borderId="0" xfId="0" applyFont="1" applyBorder="1" applyAlignment="1" applyProtection="1">
      <alignment vertical="center"/>
      <protection hidden="1"/>
    </xf>
    <xf numFmtId="0" fontId="38" fillId="0" borderId="0" xfId="3" applyFont="1" applyAlignment="1" applyProtection="1">
      <alignment horizontal="left" vertical="center"/>
      <protection hidden="1"/>
    </xf>
    <xf numFmtId="0" fontId="38" fillId="0" borderId="0" xfId="3" applyFont="1" applyAlignment="1" applyProtection="1">
      <alignment vertical="center"/>
      <protection hidden="1"/>
    </xf>
    <xf numFmtId="0" fontId="84" fillId="0" borderId="0" xfId="3" applyFont="1" applyAlignment="1" applyProtection="1">
      <alignment vertical="center"/>
      <protection hidden="1"/>
    </xf>
    <xf numFmtId="0" fontId="38" fillId="0" borderId="19" xfId="3" applyFont="1" applyBorder="1" applyAlignment="1" applyProtection="1">
      <alignment vertical="center"/>
      <protection hidden="1"/>
    </xf>
    <xf numFmtId="0" fontId="38" fillId="0" borderId="7" xfId="3" applyFont="1" applyBorder="1" applyAlignment="1" applyProtection="1">
      <alignment vertical="center"/>
      <protection hidden="1"/>
    </xf>
    <xf numFmtId="0" fontId="38" fillId="0" borderId="0" xfId="3" applyFont="1" applyAlignment="1" applyProtection="1">
      <alignment horizontal="center" vertical="center"/>
      <protection hidden="1"/>
    </xf>
    <xf numFmtId="0" fontId="38" fillId="0" borderId="1" xfId="3" applyFont="1" applyBorder="1" applyAlignment="1" applyProtection="1">
      <alignment horizontal="center" vertical="center"/>
      <protection hidden="1"/>
    </xf>
    <xf numFmtId="0" fontId="38" fillId="0" borderId="0" xfId="3" quotePrefix="1" applyFont="1" applyAlignment="1" applyProtection="1">
      <alignment horizontal="center" vertical="center"/>
      <protection hidden="1"/>
    </xf>
    <xf numFmtId="0" fontId="38" fillId="0" borderId="19" xfId="3" applyFont="1" applyBorder="1" applyAlignment="1" applyProtection="1">
      <alignment horizontal="center" vertical="center"/>
      <protection hidden="1"/>
    </xf>
    <xf numFmtId="0" fontId="38" fillId="0" borderId="13" xfId="3" applyFont="1" applyBorder="1" applyAlignment="1" applyProtection="1">
      <alignment horizontal="left" vertical="center"/>
      <protection hidden="1"/>
    </xf>
    <xf numFmtId="0" fontId="38" fillId="0" borderId="1" xfId="3" applyFont="1" applyBorder="1" applyAlignment="1" applyProtection="1">
      <alignment vertical="center"/>
      <protection hidden="1"/>
    </xf>
    <xf numFmtId="0" fontId="38" fillId="0" borderId="12" xfId="3" applyFont="1" applyBorder="1" applyAlignment="1" applyProtection="1">
      <alignment horizontal="center" vertical="center"/>
      <protection hidden="1"/>
    </xf>
    <xf numFmtId="184" fontId="38" fillId="0" borderId="0" xfId="3" applyNumberFormat="1" applyFont="1" applyAlignment="1" applyProtection="1">
      <alignment horizontal="center" vertical="center"/>
      <protection hidden="1"/>
    </xf>
    <xf numFmtId="176" fontId="38" fillId="0" borderId="0" xfId="3" applyNumberFormat="1" applyFont="1" applyAlignment="1" applyProtection="1">
      <alignment horizontal="center" vertical="center"/>
      <protection hidden="1"/>
    </xf>
    <xf numFmtId="191" fontId="38" fillId="0" borderId="0" xfId="3" applyNumberFormat="1" applyFont="1" applyAlignment="1" applyProtection="1">
      <alignment horizontal="center" vertical="center"/>
      <protection hidden="1"/>
    </xf>
    <xf numFmtId="185" fontId="38" fillId="0" borderId="0" xfId="3" applyNumberFormat="1" applyFont="1" applyAlignment="1" applyProtection="1">
      <alignment horizontal="center" vertical="center"/>
      <protection hidden="1"/>
    </xf>
    <xf numFmtId="208" fontId="38" fillId="0" borderId="0" xfId="3" applyNumberFormat="1" applyFont="1" applyAlignment="1" applyProtection="1">
      <alignment horizontal="center" vertical="center"/>
      <protection hidden="1"/>
    </xf>
    <xf numFmtId="0" fontId="38" fillId="0" borderId="16" xfId="3" applyFont="1" applyBorder="1" applyAlignment="1" applyProtection="1">
      <alignment vertical="center"/>
      <protection hidden="1"/>
    </xf>
    <xf numFmtId="0" fontId="132" fillId="0" borderId="12" xfId="3" applyFont="1" applyBorder="1" applyAlignment="1" applyProtection="1">
      <alignment vertical="center"/>
      <protection hidden="1"/>
    </xf>
    <xf numFmtId="0" fontId="83" fillId="0" borderId="2" xfId="3" applyFont="1" applyBorder="1" applyAlignment="1" applyProtection="1">
      <alignment horizontal="center" vertical="center"/>
      <protection hidden="1"/>
    </xf>
    <xf numFmtId="178" fontId="68" fillId="0" borderId="2" xfId="3" applyNumberFormat="1" applyFont="1" applyBorder="1" applyAlignment="1" applyProtection="1">
      <alignment horizontal="center" vertical="center"/>
      <protection hidden="1"/>
    </xf>
    <xf numFmtId="0" fontId="134" fillId="0" borderId="2" xfId="3" applyFont="1" applyBorder="1" applyAlignment="1" applyProtection="1">
      <alignment horizontal="left" vertical="center"/>
      <protection hidden="1"/>
    </xf>
    <xf numFmtId="0" fontId="38" fillId="0" borderId="2" xfId="3" applyFont="1" applyBorder="1" applyAlignment="1" applyProtection="1">
      <alignment vertical="center"/>
      <protection hidden="1"/>
    </xf>
    <xf numFmtId="0" fontId="84" fillId="0" borderId="12" xfId="3" applyFont="1" applyBorder="1" applyAlignment="1" applyProtection="1">
      <alignment vertical="center"/>
      <protection hidden="1"/>
    </xf>
    <xf numFmtId="0" fontId="38" fillId="0" borderId="6" xfId="3" applyFont="1" applyBorder="1" applyAlignment="1" applyProtection="1">
      <alignment horizontal="center" vertical="center"/>
      <protection hidden="1"/>
    </xf>
    <xf numFmtId="2" fontId="38" fillId="0" borderId="0" xfId="3" applyNumberFormat="1" applyFont="1" applyAlignment="1" applyProtection="1">
      <alignment horizontal="center" vertical="center"/>
      <protection hidden="1"/>
    </xf>
    <xf numFmtId="0" fontId="68" fillId="0" borderId="2" xfId="3" applyFont="1" applyBorder="1" applyAlignment="1" applyProtection="1">
      <alignment vertical="center"/>
      <protection hidden="1"/>
    </xf>
    <xf numFmtId="0" fontId="38" fillId="0" borderId="2" xfId="3" applyFont="1" applyBorder="1" applyAlignment="1" applyProtection="1">
      <alignment horizontal="center" vertical="center"/>
      <protection hidden="1"/>
    </xf>
    <xf numFmtId="0" fontId="38" fillId="0" borderId="6" xfId="3" applyFont="1" applyBorder="1" applyAlignment="1" applyProtection="1">
      <alignment vertical="center"/>
      <protection hidden="1"/>
    </xf>
    <xf numFmtId="2" fontId="83" fillId="0" borderId="2" xfId="3" applyNumberFormat="1" applyFont="1" applyBorder="1" applyAlignment="1" applyProtection="1">
      <alignment horizontal="center" vertical="center"/>
      <protection hidden="1"/>
    </xf>
    <xf numFmtId="179" fontId="38" fillId="0" borderId="0" xfId="3" applyNumberFormat="1" applyFont="1" applyAlignment="1" applyProtection="1">
      <alignment horizontal="center" vertical="center"/>
      <protection hidden="1"/>
    </xf>
    <xf numFmtId="181" fontId="38" fillId="0" borderId="19" xfId="3" applyNumberFormat="1" applyFont="1" applyBorder="1" applyAlignment="1" applyProtection="1">
      <alignment horizontal="center" vertical="center"/>
      <protection hidden="1"/>
    </xf>
    <xf numFmtId="0" fontId="68" fillId="0" borderId="2" xfId="3" applyFont="1" applyBorder="1" applyAlignment="1" applyProtection="1">
      <alignment horizontal="center" vertical="center"/>
      <protection hidden="1"/>
    </xf>
    <xf numFmtId="176" fontId="68" fillId="0" borderId="2" xfId="3" applyNumberFormat="1" applyFont="1" applyBorder="1" applyAlignment="1" applyProtection="1">
      <alignment horizontal="center" vertical="center"/>
      <protection hidden="1"/>
    </xf>
    <xf numFmtId="2" fontId="94" fillId="0" borderId="15" xfId="3" applyNumberFormat="1" applyFont="1" applyBorder="1" applyAlignment="1" applyProtection="1">
      <alignment horizontal="center" vertical="center"/>
      <protection hidden="1"/>
    </xf>
    <xf numFmtId="204" fontId="84" fillId="0" borderId="12" xfId="3" applyNumberFormat="1" applyFont="1" applyBorder="1" applyAlignment="1" applyProtection="1">
      <alignment horizontal="center" vertical="center"/>
      <protection hidden="1"/>
    </xf>
    <xf numFmtId="0" fontId="38" fillId="0" borderId="13" xfId="3" applyFont="1" applyBorder="1" applyAlignment="1" applyProtection="1">
      <alignment horizontal="right" vertical="center"/>
      <protection hidden="1"/>
    </xf>
    <xf numFmtId="205" fontId="38" fillId="0" borderId="18" xfId="3" applyNumberFormat="1" applyFont="1" applyBorder="1" applyAlignment="1" applyProtection="1">
      <alignment horizontal="right" vertical="center"/>
      <protection hidden="1"/>
    </xf>
    <xf numFmtId="180" fontId="38" fillId="0" borderId="0" xfId="3" applyNumberFormat="1" applyFont="1" applyAlignment="1" applyProtection="1">
      <alignment horizontal="center" vertical="center"/>
      <protection hidden="1"/>
    </xf>
    <xf numFmtId="0" fontId="38" fillId="0" borderId="18" xfId="3" applyFont="1" applyBorder="1" applyAlignment="1" applyProtection="1">
      <alignment horizontal="right" vertical="center"/>
      <protection hidden="1"/>
    </xf>
    <xf numFmtId="184" fontId="39" fillId="0" borderId="0" xfId="3" applyNumberFormat="1" applyFont="1" applyAlignment="1" applyProtection="1">
      <alignment horizontal="center" vertical="center"/>
      <protection hidden="1"/>
    </xf>
    <xf numFmtId="0" fontId="38" fillId="0" borderId="20" xfId="3" applyFont="1" applyBorder="1" applyAlignment="1" applyProtection="1">
      <alignment horizontal="right" vertical="center"/>
      <protection hidden="1"/>
    </xf>
    <xf numFmtId="0" fontId="68" fillId="0" borderId="0" xfId="3" applyFont="1" applyAlignment="1" applyProtection="1">
      <alignment horizontal="center" vertical="center"/>
      <protection hidden="1"/>
    </xf>
    <xf numFmtId="0" fontId="38" fillId="0" borderId="19" xfId="3" applyFont="1" applyBorder="1" applyAlignment="1" applyProtection="1">
      <alignment horizontal="left" vertical="center"/>
      <protection hidden="1"/>
    </xf>
    <xf numFmtId="0" fontId="38" fillId="0" borderId="1" xfId="3" quotePrefix="1" applyFont="1" applyBorder="1" applyAlignment="1" applyProtection="1">
      <alignment horizontal="center" vertical="center"/>
      <protection hidden="1"/>
    </xf>
    <xf numFmtId="184" fontId="132" fillId="0" borderId="0" xfId="3" applyNumberFormat="1" applyFont="1" applyAlignment="1" applyProtection="1">
      <alignment horizontal="center" vertical="center"/>
      <protection hidden="1"/>
    </xf>
    <xf numFmtId="184" fontId="84" fillId="0" borderId="2" xfId="3" applyNumberFormat="1" applyFont="1" applyBorder="1" applyAlignment="1" applyProtection="1">
      <alignment horizontal="center" vertical="center"/>
      <protection hidden="1"/>
    </xf>
    <xf numFmtId="0" fontId="58" fillId="0" borderId="7" xfId="3" applyFont="1" applyBorder="1" applyAlignment="1" applyProtection="1">
      <alignment vertical="center"/>
      <protection hidden="1"/>
    </xf>
    <xf numFmtId="0" fontId="132" fillId="0" borderId="0" xfId="3" applyFont="1" applyAlignment="1" applyProtection="1">
      <alignment horizontal="center" vertical="center"/>
      <protection hidden="1"/>
    </xf>
    <xf numFmtId="176" fontId="83" fillId="0" borderId="2" xfId="3" applyNumberFormat="1" applyFont="1" applyBorder="1" applyAlignment="1" applyProtection="1">
      <alignment horizontal="center" vertical="center"/>
      <protection hidden="1"/>
    </xf>
    <xf numFmtId="0" fontId="38" fillId="0" borderId="12" xfId="3" applyFont="1" applyBorder="1" applyAlignment="1" applyProtection="1">
      <alignment vertical="center"/>
      <protection hidden="1"/>
    </xf>
    <xf numFmtId="0" fontId="70" fillId="0" borderId="12" xfId="3" applyFont="1" applyBorder="1" applyAlignment="1" applyProtection="1">
      <alignment horizontal="center" vertical="center"/>
      <protection hidden="1"/>
    </xf>
    <xf numFmtId="207" fontId="38" fillId="0" borderId="0" xfId="3" applyNumberFormat="1" applyFont="1" applyAlignment="1" applyProtection="1">
      <alignment horizontal="center" vertical="center"/>
      <protection hidden="1"/>
    </xf>
    <xf numFmtId="190" fontId="62" fillId="0" borderId="2" xfId="3" applyNumberFormat="1" applyFont="1" applyBorder="1" applyAlignment="1" applyProtection="1">
      <alignment horizontal="center" vertical="center"/>
      <protection hidden="1"/>
    </xf>
    <xf numFmtId="204" fontId="68" fillId="0" borderId="0" xfId="3" applyNumberFormat="1" applyFont="1" applyAlignment="1" applyProtection="1">
      <alignment horizontal="center" vertical="center"/>
      <protection hidden="1"/>
    </xf>
    <xf numFmtId="0" fontId="80" fillId="0" borderId="0" xfId="3" applyFont="1" applyAlignment="1" applyProtection="1">
      <alignment vertical="center"/>
      <protection hidden="1"/>
    </xf>
    <xf numFmtId="203" fontId="38" fillId="0" borderId="0" xfId="3" applyNumberFormat="1" applyFont="1" applyAlignment="1" applyProtection="1">
      <alignment horizontal="center" vertical="center"/>
      <protection hidden="1"/>
    </xf>
    <xf numFmtId="204" fontId="132" fillId="0" borderId="0" xfId="3" applyNumberFormat="1" applyFont="1" applyAlignment="1" applyProtection="1">
      <alignment horizontal="center" vertical="center"/>
      <protection hidden="1"/>
    </xf>
    <xf numFmtId="211" fontId="38" fillId="0" borderId="0" xfId="3" applyNumberFormat="1" applyFont="1" applyAlignment="1" applyProtection="1">
      <alignment horizontal="center" vertical="center"/>
      <protection hidden="1"/>
    </xf>
    <xf numFmtId="0" fontId="38" fillId="0" borderId="14" xfId="3" applyFont="1" applyBorder="1" applyAlignment="1" applyProtection="1">
      <alignment vertical="center"/>
      <protection hidden="1"/>
    </xf>
    <xf numFmtId="212" fontId="38" fillId="0" borderId="0" xfId="3" applyNumberFormat="1" applyFont="1" applyAlignment="1" applyProtection="1">
      <alignment horizontal="center" vertical="center"/>
      <protection hidden="1"/>
    </xf>
    <xf numFmtId="0" fontId="39" fillId="0" borderId="0" xfId="3" applyFont="1" applyAlignment="1" applyProtection="1">
      <alignment vertical="center"/>
      <protection hidden="1"/>
    </xf>
    <xf numFmtId="0" fontId="107" fillId="22" borderId="0" xfId="3" applyFont="1" applyFill="1" applyAlignment="1" applyProtection="1">
      <alignment horizontal="center" vertical="center"/>
      <protection hidden="1"/>
    </xf>
    <xf numFmtId="0" fontId="58" fillId="0" borderId="12" xfId="3" applyFont="1" applyBorder="1" applyAlignment="1" applyProtection="1">
      <alignment horizontal="center" vertical="center"/>
      <protection hidden="1"/>
    </xf>
    <xf numFmtId="0" fontId="38" fillId="0" borderId="37" xfId="3" applyFont="1" applyBorder="1" applyAlignment="1" applyProtection="1">
      <alignment horizontal="center" vertical="center"/>
      <protection hidden="1"/>
    </xf>
    <xf numFmtId="2" fontId="94" fillId="0" borderId="34" xfId="3" applyNumberFormat="1" applyFont="1" applyBorder="1" applyAlignment="1" applyProtection="1">
      <alignment horizontal="center" vertical="center"/>
      <protection locked="0" hidden="1"/>
    </xf>
    <xf numFmtId="0" fontId="94" fillId="0" borderId="14" xfId="3" applyFont="1" applyBorder="1" applyAlignment="1" applyProtection="1">
      <alignment horizontal="left" vertical="center"/>
      <protection locked="0" hidden="1"/>
    </xf>
    <xf numFmtId="0" fontId="94" fillId="0" borderId="15" xfId="3" applyFont="1" applyBorder="1" applyAlignment="1" applyProtection="1">
      <alignment horizontal="left" vertical="center"/>
      <protection locked="0" hidden="1"/>
    </xf>
    <xf numFmtId="2" fontId="94" fillId="0" borderId="15" xfId="3" applyNumberFormat="1" applyFont="1" applyBorder="1" applyAlignment="1" applyProtection="1">
      <alignment horizontal="center" vertical="center"/>
      <protection locked="0" hidden="1"/>
    </xf>
    <xf numFmtId="0" fontId="84" fillId="0" borderId="0" xfId="0" applyFont="1" applyBorder="1" applyAlignment="1" applyProtection="1">
      <alignment horizontal="left"/>
      <protection hidden="1"/>
    </xf>
    <xf numFmtId="0" fontId="84" fillId="0" borderId="0" xfId="0" applyFont="1" applyBorder="1" applyProtection="1">
      <protection hidden="1"/>
    </xf>
    <xf numFmtId="0" fontId="84" fillId="0" borderId="0" xfId="0" applyFont="1" applyBorder="1" applyAlignment="1" applyProtection="1">
      <alignment horizontal="right"/>
      <protection hidden="1"/>
    </xf>
    <xf numFmtId="200" fontId="84" fillId="0" borderId="0" xfId="3" applyNumberFormat="1" applyFont="1" applyAlignment="1" applyProtection="1">
      <alignment vertical="center"/>
      <protection hidden="1"/>
    </xf>
    <xf numFmtId="0" fontId="83" fillId="0" borderId="0" xfId="7" applyFont="1" applyAlignment="1" applyProtection="1">
      <alignment horizontal="right" vertical="center"/>
      <protection hidden="1"/>
    </xf>
    <xf numFmtId="214" fontId="38" fillId="0" borderId="0" xfId="3" applyNumberFormat="1" applyFont="1" applyAlignment="1" applyProtection="1">
      <alignment horizontal="center" vertical="center"/>
      <protection hidden="1"/>
    </xf>
    <xf numFmtId="0" fontId="107" fillId="24" borderId="14" xfId="3" applyFont="1" applyFill="1" applyBorder="1" applyAlignment="1" applyProtection="1">
      <alignment vertical="center"/>
      <protection hidden="1"/>
    </xf>
    <xf numFmtId="0" fontId="107" fillId="25" borderId="14" xfId="3" applyFont="1" applyFill="1" applyBorder="1" applyAlignment="1" applyProtection="1">
      <alignment vertical="center"/>
      <protection hidden="1"/>
    </xf>
    <xf numFmtId="0" fontId="58" fillId="0" borderId="14" xfId="3" applyFont="1" applyBorder="1" applyAlignment="1" applyProtection="1">
      <alignment vertical="center" shrinkToFit="1"/>
      <protection hidden="1"/>
    </xf>
    <xf numFmtId="183" fontId="68" fillId="0" borderId="2" xfId="3" applyNumberFormat="1" applyFont="1" applyBorder="1" applyAlignment="1" applyProtection="1">
      <alignment horizontal="center" vertical="center"/>
      <protection hidden="1"/>
    </xf>
    <xf numFmtId="215" fontId="38" fillId="0" borderId="0" xfId="3" applyNumberFormat="1" applyFont="1" applyAlignment="1" applyProtection="1">
      <alignment horizontal="center" vertical="center"/>
      <protection hidden="1"/>
    </xf>
    <xf numFmtId="176" fontId="84" fillId="0" borderId="0" xfId="3" applyNumberFormat="1" applyFont="1" applyAlignment="1" applyProtection="1">
      <alignment horizontal="center" vertical="center"/>
      <protection hidden="1"/>
    </xf>
    <xf numFmtId="204" fontId="84" fillId="0" borderId="0" xfId="3" applyNumberFormat="1" applyFont="1" applyAlignment="1" applyProtection="1">
      <alignment horizontal="center" vertical="center"/>
      <protection hidden="1"/>
    </xf>
    <xf numFmtId="0" fontId="83" fillId="0" borderId="0" xfId="3" applyFont="1" applyAlignment="1" applyProtection="1">
      <alignment horizontal="center" vertical="center"/>
      <protection hidden="1"/>
    </xf>
    <xf numFmtId="0" fontId="83" fillId="0" borderId="0" xfId="3" applyFont="1" applyAlignment="1" applyProtection="1">
      <alignment vertical="center"/>
      <protection hidden="1"/>
    </xf>
    <xf numFmtId="0" fontId="84" fillId="0" borderId="0" xfId="3" applyFont="1" applyAlignment="1" applyProtection="1">
      <alignment horizontal="center" vertical="center"/>
      <protection hidden="1"/>
    </xf>
    <xf numFmtId="183" fontId="84" fillId="0" borderId="0" xfId="3" applyNumberFormat="1" applyFont="1" applyAlignment="1" applyProtection="1">
      <alignment horizontal="center" vertical="center"/>
      <protection hidden="1"/>
    </xf>
    <xf numFmtId="206" fontId="132" fillId="0" borderId="18" xfId="3" applyNumberFormat="1" applyFont="1" applyBorder="1" applyAlignment="1" applyProtection="1">
      <alignment horizontal="right" vertical="center"/>
      <protection hidden="1"/>
    </xf>
    <xf numFmtId="0" fontId="38" fillId="0" borderId="20" xfId="3" applyFont="1" applyBorder="1" applyAlignment="1" applyProtection="1">
      <alignment horizontal="center" vertical="center"/>
      <protection hidden="1"/>
    </xf>
    <xf numFmtId="181" fontId="38" fillId="0" borderId="0" xfId="3" applyNumberFormat="1" applyFont="1" applyAlignment="1" applyProtection="1">
      <alignment horizontal="center" vertical="center"/>
      <protection hidden="1"/>
    </xf>
    <xf numFmtId="0" fontId="68" fillId="0" borderId="0" xfId="3" applyFont="1" applyAlignment="1" applyProtection="1">
      <alignment vertical="center"/>
      <protection hidden="1"/>
    </xf>
    <xf numFmtId="218" fontId="38" fillId="0" borderId="0" xfId="3" applyNumberFormat="1" applyFont="1" applyAlignment="1" applyProtection="1">
      <alignment horizontal="center" vertical="center"/>
      <protection hidden="1"/>
    </xf>
    <xf numFmtId="0" fontId="140" fillId="0" borderId="0" xfId="3" applyFont="1" applyAlignment="1" applyProtection="1">
      <alignment vertical="center" wrapText="1"/>
      <protection hidden="1"/>
    </xf>
    <xf numFmtId="215" fontId="84" fillId="0" borderId="0" xfId="3" applyNumberFormat="1" applyFont="1" applyAlignment="1" applyProtection="1">
      <alignment vertical="center"/>
      <protection hidden="1"/>
    </xf>
    <xf numFmtId="2" fontId="84" fillId="0" borderId="12" xfId="3" applyNumberFormat="1" applyFont="1" applyBorder="1" applyAlignment="1" applyProtection="1">
      <alignment horizontal="center" vertical="center"/>
      <protection hidden="1"/>
    </xf>
    <xf numFmtId="176" fontId="84" fillId="0" borderId="12" xfId="3" applyNumberFormat="1" applyFont="1" applyBorder="1" applyAlignment="1" applyProtection="1">
      <alignment horizontal="center" vertical="center"/>
      <protection hidden="1"/>
    </xf>
    <xf numFmtId="0" fontId="145" fillId="0" borderId="0" xfId="14" applyFont="1" applyAlignment="1" applyProtection="1">
      <alignment vertical="center"/>
      <protection hidden="1"/>
    </xf>
    <xf numFmtId="0" fontId="4" fillId="0" borderId="0" xfId="14" applyFont="1" applyAlignment="1" applyProtection="1">
      <alignment vertical="center"/>
      <protection hidden="1"/>
    </xf>
    <xf numFmtId="0" fontId="38" fillId="0" borderId="0" xfId="14" applyFont="1" applyAlignment="1" applyProtection="1">
      <alignment vertical="center"/>
      <protection hidden="1"/>
    </xf>
    <xf numFmtId="0" fontId="4" fillId="0" borderId="0" xfId="14" applyFont="1" applyAlignment="1" applyProtection="1">
      <alignment horizontal="center" vertical="center" wrapText="1"/>
      <protection hidden="1"/>
    </xf>
    <xf numFmtId="0" fontId="47" fillId="0" borderId="0" xfId="14" applyFont="1" applyAlignment="1" applyProtection="1">
      <alignment horizontal="center" vertical="center"/>
      <protection hidden="1"/>
    </xf>
    <xf numFmtId="220" fontId="47" fillId="0" borderId="0" xfId="14" applyNumberFormat="1" applyFont="1" applyAlignment="1" applyProtection="1">
      <alignment horizontal="center" vertical="center"/>
      <protection hidden="1"/>
    </xf>
    <xf numFmtId="221" fontId="47" fillId="0" borderId="0" xfId="14" applyNumberFormat="1" applyFont="1" applyAlignment="1" applyProtection="1">
      <alignment horizontal="center" vertical="center"/>
      <protection hidden="1"/>
    </xf>
    <xf numFmtId="0" fontId="149" fillId="0" borderId="0" xfId="14" applyFont="1" applyAlignment="1" applyProtection="1">
      <alignment horizontal="center" vertical="center"/>
      <protection hidden="1"/>
    </xf>
    <xf numFmtId="0" fontId="150" fillId="0" borderId="0" xfId="14" applyFont="1" applyAlignment="1" applyProtection="1">
      <alignment horizontal="center" vertical="center"/>
      <protection hidden="1"/>
    </xf>
    <xf numFmtId="222" fontId="47" fillId="0" borderId="0" xfId="8" applyNumberFormat="1" applyFont="1" applyFill="1" applyBorder="1" applyAlignment="1" applyProtection="1">
      <alignment horizontal="center" vertical="center"/>
      <protection hidden="1"/>
    </xf>
    <xf numFmtId="223" fontId="47" fillId="0" borderId="0" xfId="14" applyNumberFormat="1" applyFont="1" applyAlignment="1" applyProtection="1">
      <alignment horizontal="center" vertical="center"/>
      <protection hidden="1"/>
    </xf>
    <xf numFmtId="2" fontId="47" fillId="0" borderId="0" xfId="14" applyNumberFormat="1" applyFont="1" applyAlignment="1" applyProtection="1">
      <alignment horizontal="center" vertical="center"/>
      <protection hidden="1"/>
    </xf>
    <xf numFmtId="2" fontId="4" fillId="0" borderId="0" xfId="14" applyNumberFormat="1" applyFont="1" applyAlignment="1" applyProtection="1">
      <alignment vertical="center"/>
      <protection hidden="1"/>
    </xf>
    <xf numFmtId="2" fontId="4" fillId="0" borderId="0" xfId="14" applyNumberFormat="1" applyFont="1" applyAlignment="1" applyProtection="1">
      <alignment horizontal="center" vertical="center"/>
      <protection hidden="1"/>
    </xf>
    <xf numFmtId="176" fontId="4" fillId="0" borderId="0" xfId="14" applyNumberFormat="1" applyFont="1" applyAlignment="1" applyProtection="1">
      <alignment vertical="center"/>
      <protection hidden="1"/>
    </xf>
    <xf numFmtId="0" fontId="59" fillId="0" borderId="0" xfId="14" applyFont="1" applyAlignment="1" applyProtection="1">
      <alignment horizontal="left" vertical="center"/>
      <protection hidden="1"/>
    </xf>
    <xf numFmtId="0" fontId="151" fillId="0" borderId="0" xfId="14" applyFont="1" applyAlignment="1" applyProtection="1">
      <alignment horizontal="center" vertical="center"/>
      <protection hidden="1"/>
    </xf>
    <xf numFmtId="0" fontId="153" fillId="0" borderId="12" xfId="14" applyFont="1" applyBorder="1" applyAlignment="1" applyProtection="1">
      <alignment horizontal="center" vertical="center"/>
      <protection hidden="1"/>
    </xf>
    <xf numFmtId="0" fontId="153" fillId="0" borderId="12" xfId="14" applyFont="1" applyBorder="1" applyAlignment="1" applyProtection="1">
      <alignment vertical="center"/>
      <protection hidden="1"/>
    </xf>
    <xf numFmtId="176" fontId="151" fillId="0" borderId="0" xfId="14" applyNumberFormat="1" applyFont="1" applyAlignment="1" applyProtection="1">
      <alignment horizontal="center" vertical="center"/>
      <protection hidden="1"/>
    </xf>
    <xf numFmtId="0" fontId="38" fillId="0" borderId="0" xfId="14" applyFont="1" applyAlignment="1" applyProtection="1">
      <alignment horizontal="center" vertical="center"/>
      <protection hidden="1"/>
    </xf>
    <xf numFmtId="176" fontId="38" fillId="0" borderId="18" xfId="14" applyNumberFormat="1" applyFont="1" applyBorder="1" applyAlignment="1" applyProtection="1">
      <alignment horizontal="center" vertical="center"/>
      <protection hidden="1"/>
    </xf>
    <xf numFmtId="176" fontId="38" fillId="0" borderId="0" xfId="14" applyNumberFormat="1" applyFont="1" applyAlignment="1" applyProtection="1">
      <alignment horizontal="center" vertical="center"/>
      <protection hidden="1"/>
    </xf>
    <xf numFmtId="176" fontId="38" fillId="0" borderId="19" xfId="14" applyNumberFormat="1" applyFont="1" applyBorder="1" applyAlignment="1" applyProtection="1">
      <alignment horizontal="center" vertical="center"/>
      <protection hidden="1"/>
    </xf>
    <xf numFmtId="2" fontId="78" fillId="0" borderId="18" xfId="14" applyNumberFormat="1" applyFont="1" applyBorder="1" applyAlignment="1" applyProtection="1">
      <alignment horizontal="center" vertical="center"/>
      <protection hidden="1"/>
    </xf>
    <xf numFmtId="1" fontId="78" fillId="0" borderId="37" xfId="14" applyNumberFormat="1" applyFont="1" applyBorder="1" applyAlignment="1" applyProtection="1">
      <alignment horizontal="center" vertical="center"/>
      <protection hidden="1"/>
    </xf>
    <xf numFmtId="0" fontId="154" fillId="0" borderId="0" xfId="14" applyFont="1" applyAlignment="1" applyProtection="1">
      <alignment vertical="center"/>
      <protection hidden="1"/>
    </xf>
    <xf numFmtId="176" fontId="38" fillId="0" borderId="0" xfId="14" applyNumberFormat="1" applyFont="1" applyAlignment="1" applyProtection="1">
      <alignment vertical="center"/>
      <protection hidden="1"/>
    </xf>
    <xf numFmtId="0" fontId="108" fillId="0" borderId="0" xfId="14" applyFont="1" applyAlignment="1" applyProtection="1">
      <alignment vertical="center"/>
      <protection hidden="1"/>
    </xf>
    <xf numFmtId="176" fontId="38" fillId="0" borderId="34" xfId="14" applyNumberFormat="1" applyFont="1" applyBorder="1" applyAlignment="1" applyProtection="1">
      <alignment horizontal="center" vertical="center"/>
      <protection hidden="1"/>
    </xf>
    <xf numFmtId="176" fontId="38" fillId="0" borderId="12" xfId="14" applyNumberFormat="1" applyFont="1" applyBorder="1" applyAlignment="1" applyProtection="1">
      <alignment horizontal="center" vertical="center"/>
      <protection hidden="1"/>
    </xf>
    <xf numFmtId="43" fontId="38" fillId="0" borderId="65" xfId="13" applyFont="1" applyFill="1" applyBorder="1" applyAlignment="1" applyProtection="1">
      <alignment horizontal="right" vertical="center"/>
      <protection hidden="1"/>
    </xf>
    <xf numFmtId="4" fontId="59" fillId="0" borderId="0" xfId="14" applyNumberFormat="1" applyFont="1" applyAlignment="1" applyProtection="1">
      <alignment horizontal="center" vertical="center"/>
      <protection hidden="1"/>
    </xf>
    <xf numFmtId="4" fontId="59" fillId="0" borderId="0" xfId="14" applyNumberFormat="1" applyFont="1" applyAlignment="1" applyProtection="1">
      <alignment horizontal="right" vertical="center"/>
      <protection hidden="1"/>
    </xf>
    <xf numFmtId="4" fontId="59" fillId="0" borderId="3" xfId="14" applyNumberFormat="1" applyFont="1" applyBorder="1" applyAlignment="1" applyProtection="1">
      <alignment horizontal="right" vertical="center"/>
      <protection hidden="1"/>
    </xf>
    <xf numFmtId="4" fontId="84" fillId="0" borderId="18" xfId="14" applyNumberFormat="1" applyFont="1" applyBorder="1" applyAlignment="1" applyProtection="1">
      <alignment horizontal="center" vertical="center"/>
      <protection hidden="1"/>
    </xf>
    <xf numFmtId="4" fontId="84" fillId="0" borderId="0" xfId="14" applyNumberFormat="1" applyFont="1" applyAlignment="1" applyProtection="1">
      <alignment horizontal="right" vertical="center"/>
      <protection hidden="1"/>
    </xf>
    <xf numFmtId="0" fontId="38" fillId="0" borderId="6" xfId="14" applyFont="1" applyBorder="1" applyAlignment="1" applyProtection="1">
      <alignment vertical="center"/>
      <protection hidden="1"/>
    </xf>
    <xf numFmtId="0" fontId="38" fillId="0" borderId="7" xfId="14" applyFont="1" applyBorder="1" applyAlignment="1" applyProtection="1">
      <alignment vertical="center"/>
      <protection hidden="1"/>
    </xf>
    <xf numFmtId="2" fontId="38" fillId="0" borderId="20" xfId="3" applyNumberFormat="1" applyFont="1" applyBorder="1" applyAlignment="1" applyProtection="1">
      <alignment horizontal="left" vertical="center"/>
      <protection hidden="1"/>
    </xf>
    <xf numFmtId="0" fontId="38" fillId="0" borderId="12" xfId="14" applyFont="1" applyBorder="1" applyAlignment="1" applyProtection="1">
      <alignment vertical="center"/>
      <protection hidden="1"/>
    </xf>
    <xf numFmtId="2" fontId="38" fillId="10" borderId="12" xfId="14" applyNumberFormat="1" applyFont="1" applyFill="1" applyBorder="1" applyAlignment="1" applyProtection="1">
      <alignment horizontal="center" vertical="center"/>
      <protection locked="0"/>
    </xf>
    <xf numFmtId="1" fontId="38" fillId="10" borderId="12" xfId="14" applyNumberFormat="1" applyFont="1" applyFill="1" applyBorder="1" applyAlignment="1" applyProtection="1">
      <alignment horizontal="center" vertical="center"/>
      <protection locked="0"/>
    </xf>
    <xf numFmtId="187" fontId="152" fillId="0" borderId="12" xfId="14" applyNumberFormat="1" applyFont="1" applyBorder="1" applyAlignment="1" applyProtection="1">
      <alignment vertical="center"/>
      <protection hidden="1"/>
    </xf>
    <xf numFmtId="186" fontId="155" fillId="0" borderId="12" xfId="14" applyNumberFormat="1" applyFont="1" applyBorder="1" applyAlignment="1" applyProtection="1">
      <alignment horizontal="center" vertical="center"/>
      <protection hidden="1"/>
    </xf>
    <xf numFmtId="0" fontId="83" fillId="0" borderId="12" xfId="3" applyFont="1" applyBorder="1" applyAlignment="1" applyProtection="1">
      <alignment vertical="center"/>
      <protection hidden="1"/>
    </xf>
    <xf numFmtId="186" fontId="84" fillId="0" borderId="12" xfId="14" applyNumberFormat="1" applyFont="1" applyBorder="1" applyAlignment="1" applyProtection="1">
      <alignment horizontal="center" vertical="center"/>
      <protection hidden="1"/>
    </xf>
    <xf numFmtId="0" fontId="38" fillId="0" borderId="1" xfId="14" applyFont="1" applyBorder="1" applyAlignment="1" applyProtection="1">
      <alignment vertical="center"/>
      <protection hidden="1"/>
    </xf>
    <xf numFmtId="0" fontId="38" fillId="0" borderId="2" xfId="14" applyFont="1" applyBorder="1" applyAlignment="1" applyProtection="1">
      <alignment vertical="center"/>
      <protection hidden="1"/>
    </xf>
    <xf numFmtId="2" fontId="39" fillId="0" borderId="1" xfId="14" applyNumberFormat="1" applyFont="1" applyBorder="1" applyAlignment="1" applyProtection="1">
      <alignment horizontal="center" vertical="center"/>
      <protection hidden="1"/>
    </xf>
    <xf numFmtId="2" fontId="39" fillId="0" borderId="0" xfId="14" applyNumberFormat="1" applyFont="1" applyAlignment="1" applyProtection="1">
      <alignment horizontal="center" vertical="center"/>
      <protection hidden="1"/>
    </xf>
    <xf numFmtId="176" fontId="156" fillId="0" borderId="1" xfId="14" applyNumberFormat="1" applyFont="1" applyBorder="1" applyAlignment="1" applyProtection="1">
      <alignment horizontal="center" vertical="center"/>
      <protection hidden="1"/>
    </xf>
    <xf numFmtId="176" fontId="156" fillId="0" borderId="2" xfId="14" applyNumberFormat="1" applyFont="1" applyBorder="1" applyAlignment="1" applyProtection="1">
      <alignment horizontal="center" vertical="center"/>
      <protection hidden="1"/>
    </xf>
    <xf numFmtId="176" fontId="83" fillId="0" borderId="1" xfId="14" applyNumberFormat="1" applyFont="1" applyBorder="1" applyAlignment="1" applyProtection="1">
      <alignment horizontal="center" vertical="center"/>
      <protection hidden="1"/>
    </xf>
    <xf numFmtId="176" fontId="82" fillId="0" borderId="55" xfId="0" applyNumberFormat="1" applyFont="1" applyBorder="1" applyAlignment="1" applyProtection="1">
      <alignment horizontal="center" vertical="center"/>
      <protection hidden="1"/>
    </xf>
    <xf numFmtId="0" fontId="0" fillId="0" borderId="1" xfId="0" applyBorder="1" applyAlignment="1" applyProtection="1">
      <alignment vertical="center"/>
      <protection hidden="1"/>
    </xf>
    <xf numFmtId="0" fontId="0" fillId="0" borderId="6" xfId="0" applyBorder="1" applyAlignment="1" applyProtection="1">
      <alignment vertical="center"/>
      <protection hidden="1"/>
    </xf>
    <xf numFmtId="0" fontId="0" fillId="0" borderId="18" xfId="0" applyBorder="1" applyAlignment="1" applyProtection="1">
      <alignment vertical="center"/>
      <protection hidden="1"/>
    </xf>
    <xf numFmtId="0" fontId="0" fillId="0" borderId="19" xfId="0" applyBorder="1" applyAlignment="1" applyProtection="1">
      <alignment vertical="center"/>
      <protection hidden="1"/>
    </xf>
    <xf numFmtId="0" fontId="0" fillId="0" borderId="2" xfId="0" applyBorder="1" applyAlignment="1" applyProtection="1">
      <alignment vertical="center"/>
      <protection hidden="1"/>
    </xf>
    <xf numFmtId="0" fontId="81" fillId="0" borderId="13" xfId="0" applyFont="1" applyBorder="1" applyAlignment="1" applyProtection="1">
      <alignment vertical="center"/>
      <protection locked="0" hidden="1"/>
    </xf>
    <xf numFmtId="202" fontId="158" fillId="0" borderId="0" xfId="0" applyNumberFormat="1" applyFont="1" applyBorder="1" applyAlignment="1" applyProtection="1">
      <alignment horizontal="left" vertical="center"/>
      <protection hidden="1"/>
    </xf>
    <xf numFmtId="0" fontId="0" fillId="0" borderId="12" xfId="0" applyBorder="1" applyAlignment="1" applyProtection="1">
      <alignment horizontal="left" vertical="center"/>
      <protection hidden="1"/>
    </xf>
    <xf numFmtId="0" fontId="83" fillId="0" borderId="0" xfId="3" applyFont="1" applyAlignment="1" applyProtection="1">
      <alignment vertical="center" wrapText="1"/>
      <protection hidden="1"/>
    </xf>
    <xf numFmtId="0" fontId="0" fillId="0" borderId="0" xfId="11" applyFont="1" applyAlignment="1" applyProtection="1">
      <alignment horizontal="center" vertical="center"/>
      <protection hidden="1"/>
    </xf>
    <xf numFmtId="225" fontId="0" fillId="0" borderId="0" xfId="11" applyNumberFormat="1" applyFont="1" applyAlignment="1" applyProtection="1">
      <alignment horizontal="center" vertical="center"/>
      <protection hidden="1"/>
    </xf>
    <xf numFmtId="0" fontId="0" fillId="0" borderId="0" xfId="11" applyFont="1" applyAlignment="1" applyProtection="1">
      <alignment vertical="center"/>
      <protection hidden="1"/>
    </xf>
    <xf numFmtId="0" fontId="81" fillId="0" borderId="0" xfId="11" applyFont="1" applyAlignment="1" applyProtection="1">
      <alignment horizontal="center" vertical="center"/>
      <protection hidden="1"/>
    </xf>
    <xf numFmtId="0" fontId="126" fillId="0" borderId="12" xfId="11" applyFont="1" applyBorder="1" applyAlignment="1" applyProtection="1">
      <alignment horizontal="center"/>
      <protection hidden="1"/>
    </xf>
    <xf numFmtId="0" fontId="0" fillId="0" borderId="12" xfId="11" applyFont="1" applyBorder="1" applyAlignment="1" applyProtection="1">
      <alignment horizontal="left"/>
      <protection hidden="1"/>
    </xf>
    <xf numFmtId="2" fontId="89" fillId="0" borderId="0" xfId="11" applyNumberFormat="1" applyFont="1" applyAlignment="1" applyProtection="1">
      <alignment horizontal="center" vertical="center"/>
      <protection hidden="1"/>
    </xf>
    <xf numFmtId="0" fontId="120" fillId="0" borderId="0" xfId="11" applyFont="1" applyAlignment="1" applyProtection="1">
      <alignment horizontal="center" vertical="center"/>
      <protection hidden="1"/>
    </xf>
    <xf numFmtId="0" fontId="120" fillId="0" borderId="0" xfId="11" applyFont="1" applyAlignment="1" applyProtection="1">
      <alignment vertical="center"/>
      <protection hidden="1"/>
    </xf>
    <xf numFmtId="1" fontId="81" fillId="0" borderId="0" xfId="11" applyNumberFormat="1" applyFont="1" applyAlignment="1" applyProtection="1">
      <alignment vertical="center"/>
      <protection hidden="1"/>
    </xf>
    <xf numFmtId="1" fontId="82" fillId="0" borderId="0" xfId="11" applyNumberFormat="1" applyFont="1" applyAlignment="1" applyProtection="1">
      <alignment horizontal="center" vertical="center"/>
      <protection hidden="1"/>
    </xf>
    <xf numFmtId="0" fontId="81" fillId="0" borderId="0" xfId="11" applyFont="1" applyAlignment="1" applyProtection="1">
      <alignment vertical="center"/>
      <protection hidden="1"/>
    </xf>
    <xf numFmtId="225" fontId="2" fillId="0" borderId="0" xfId="11" applyNumberFormat="1" applyAlignment="1" applyProtection="1">
      <alignment horizontal="center" vertical="center"/>
      <protection hidden="1"/>
    </xf>
    <xf numFmtId="0" fontId="163" fillId="0" borderId="0" xfId="11" applyFont="1" applyAlignment="1" applyProtection="1">
      <alignment vertical="center"/>
      <protection hidden="1"/>
    </xf>
    <xf numFmtId="226" fontId="48" fillId="0" borderId="0" xfId="7" applyNumberFormat="1" applyFont="1" applyAlignment="1" applyProtection="1">
      <alignment vertical="center"/>
      <protection hidden="1"/>
    </xf>
    <xf numFmtId="0" fontId="48" fillId="0" borderId="0" xfId="7" applyFont="1" applyAlignment="1" applyProtection="1">
      <alignment vertical="center"/>
      <protection hidden="1"/>
    </xf>
    <xf numFmtId="0" fontId="2" fillId="0" borderId="0" xfId="11" applyAlignment="1">
      <alignment vertical="center"/>
    </xf>
    <xf numFmtId="0" fontId="61" fillId="0" borderId="14" xfId="7" applyFont="1" applyBorder="1" applyAlignment="1" applyProtection="1">
      <alignment vertical="center"/>
      <protection hidden="1"/>
    </xf>
    <xf numFmtId="0" fontId="65" fillId="0" borderId="0" xfId="7" applyFont="1" applyAlignment="1" applyProtection="1">
      <alignment vertical="center"/>
      <protection hidden="1"/>
    </xf>
    <xf numFmtId="0" fontId="158" fillId="0" borderId="0" xfId="7" applyFont="1" applyAlignment="1" applyProtection="1">
      <alignment vertical="center"/>
      <protection hidden="1"/>
    </xf>
    <xf numFmtId="0" fontId="84" fillId="0" borderId="13" xfId="7" applyFont="1" applyBorder="1" applyAlignment="1" applyProtection="1">
      <alignment vertical="center"/>
      <protection hidden="1"/>
    </xf>
    <xf numFmtId="0" fontId="84" fillId="0" borderId="18" xfId="7" applyFont="1" applyBorder="1" applyAlignment="1" applyProtection="1">
      <alignment vertical="center"/>
      <protection hidden="1"/>
    </xf>
    <xf numFmtId="0" fontId="84" fillId="0" borderId="20" xfId="7" applyFont="1" applyBorder="1" applyAlignment="1" applyProtection="1">
      <alignment vertical="center"/>
      <protection hidden="1"/>
    </xf>
    <xf numFmtId="0" fontId="61" fillId="0" borderId="43" xfId="7" applyFont="1" applyBorder="1" applyAlignment="1" applyProtection="1">
      <alignment vertical="center"/>
      <protection hidden="1"/>
    </xf>
    <xf numFmtId="0" fontId="84" fillId="0" borderId="61" xfId="7" applyFont="1" applyBorder="1" applyAlignment="1" applyProtection="1">
      <alignment vertical="center"/>
      <protection hidden="1"/>
    </xf>
    <xf numFmtId="0" fontId="61" fillId="0" borderId="68" xfId="7" applyFont="1" applyBorder="1" applyAlignment="1" applyProtection="1">
      <alignment vertical="center"/>
      <protection hidden="1"/>
    </xf>
    <xf numFmtId="0" fontId="61" fillId="0" borderId="73" xfId="7" applyFont="1" applyBorder="1" applyAlignment="1" applyProtection="1">
      <alignment horizontal="center" vertical="center"/>
      <protection hidden="1"/>
    </xf>
    <xf numFmtId="0" fontId="61" fillId="0" borderId="74" xfId="7" applyFont="1" applyBorder="1" applyAlignment="1" applyProtection="1">
      <alignment horizontal="center" vertical="center"/>
      <protection hidden="1"/>
    </xf>
    <xf numFmtId="0" fontId="61" fillId="0" borderId="75" xfId="7" applyFont="1" applyBorder="1" applyAlignment="1" applyProtection="1">
      <alignment horizontal="center" vertical="center"/>
      <protection hidden="1"/>
    </xf>
    <xf numFmtId="0" fontId="61" fillId="0" borderId="76" xfId="7" applyFont="1" applyBorder="1" applyAlignment="1" applyProtection="1">
      <alignment horizontal="center" vertical="center"/>
      <protection hidden="1"/>
    </xf>
    <xf numFmtId="0" fontId="83" fillId="0" borderId="58" xfId="7" applyFont="1" applyBorder="1" applyAlignment="1" applyProtection="1">
      <alignment vertical="center"/>
      <protection hidden="1"/>
    </xf>
    <xf numFmtId="0" fontId="125" fillId="0" borderId="59" xfId="7" applyFont="1" applyBorder="1" applyAlignment="1" applyProtection="1">
      <alignment vertical="center"/>
      <protection hidden="1"/>
    </xf>
    <xf numFmtId="0" fontId="83" fillId="0" borderId="68" xfId="7" applyFont="1" applyBorder="1" applyAlignment="1" applyProtection="1">
      <alignment vertical="center"/>
      <protection hidden="1"/>
    </xf>
    <xf numFmtId="0" fontId="125" fillId="0" borderId="69" xfId="7" applyFont="1" applyBorder="1" applyAlignment="1" applyProtection="1">
      <alignment vertical="center"/>
      <protection hidden="1"/>
    </xf>
    <xf numFmtId="0" fontId="83" fillId="0" borderId="59" xfId="7" applyFont="1" applyBorder="1" applyAlignment="1" applyProtection="1">
      <alignment vertical="center"/>
      <protection hidden="1"/>
    </xf>
    <xf numFmtId="0" fontId="125" fillId="0" borderId="60" xfId="7" applyFont="1" applyBorder="1" applyAlignment="1" applyProtection="1">
      <alignment vertical="center"/>
      <protection hidden="1"/>
    </xf>
    <xf numFmtId="0" fontId="165" fillId="0" borderId="0" xfId="7" applyFont="1" applyAlignment="1" applyProtection="1">
      <alignment vertical="center"/>
      <protection hidden="1"/>
    </xf>
    <xf numFmtId="0" fontId="165" fillId="0" borderId="2" xfId="7" applyFont="1" applyBorder="1" applyAlignment="1" applyProtection="1">
      <alignment vertical="center"/>
      <protection hidden="1"/>
    </xf>
    <xf numFmtId="0" fontId="165" fillId="0" borderId="1" xfId="7" applyFont="1" applyBorder="1" applyAlignment="1" applyProtection="1">
      <alignment vertical="center"/>
      <protection hidden="1"/>
    </xf>
    <xf numFmtId="0" fontId="165" fillId="0" borderId="43" xfId="7" applyFont="1" applyBorder="1" applyAlignment="1" applyProtection="1">
      <alignment vertical="center"/>
      <protection hidden="1"/>
    </xf>
    <xf numFmtId="0" fontId="165" fillId="0" borderId="19" xfId="7" applyFont="1" applyBorder="1" applyAlignment="1" applyProtection="1">
      <alignment vertical="center"/>
      <protection hidden="1"/>
    </xf>
    <xf numFmtId="0" fontId="165" fillId="0" borderId="7" xfId="7" applyFont="1" applyBorder="1" applyAlignment="1" applyProtection="1">
      <alignment vertical="center"/>
      <protection hidden="1"/>
    </xf>
    <xf numFmtId="0" fontId="165" fillId="0" borderId="6" xfId="7" applyFont="1" applyBorder="1" applyAlignment="1" applyProtection="1">
      <alignment vertical="center"/>
      <protection hidden="1"/>
    </xf>
    <xf numFmtId="0" fontId="165" fillId="0" borderId="62" xfId="7" applyFont="1" applyBorder="1" applyAlignment="1" applyProtection="1">
      <alignment vertical="center"/>
      <protection hidden="1"/>
    </xf>
    <xf numFmtId="0" fontId="165" fillId="0" borderId="41" xfId="7" applyFont="1" applyBorder="1" applyAlignment="1" applyProtection="1">
      <alignment vertical="center"/>
      <protection hidden="1"/>
    </xf>
    <xf numFmtId="0" fontId="165" fillId="0" borderId="56" xfId="7" applyFont="1" applyBorder="1" applyAlignment="1" applyProtection="1">
      <alignment vertical="center"/>
      <protection hidden="1"/>
    </xf>
    <xf numFmtId="0" fontId="165" fillId="0" borderId="57" xfId="7" applyFont="1" applyBorder="1" applyAlignment="1" applyProtection="1">
      <alignment vertical="center"/>
      <protection hidden="1"/>
    </xf>
    <xf numFmtId="0" fontId="165" fillId="0" borderId="42" xfId="7" applyFont="1" applyBorder="1" applyAlignment="1" applyProtection="1">
      <alignment vertical="center"/>
      <protection hidden="1"/>
    </xf>
    <xf numFmtId="176" fontId="58" fillId="19" borderId="0" xfId="7" applyNumberFormat="1" applyFont="1" applyFill="1" applyAlignment="1" applyProtection="1">
      <alignment vertical="center"/>
      <protection hidden="1"/>
    </xf>
    <xf numFmtId="0" fontId="89" fillId="0" borderId="0" xfId="0" applyFont="1" applyProtection="1">
      <protection hidden="1"/>
    </xf>
    <xf numFmtId="0" fontId="8" fillId="0" borderId="0" xfId="7" applyFont="1" applyAlignment="1" applyProtection="1">
      <alignment vertical="center"/>
      <protection hidden="1"/>
    </xf>
    <xf numFmtId="226" fontId="8" fillId="0" borderId="0" xfId="7" applyNumberFormat="1" applyFont="1" applyAlignment="1" applyProtection="1">
      <alignment vertical="center"/>
      <protection hidden="1"/>
    </xf>
    <xf numFmtId="177" fontId="84" fillId="0" borderId="0" xfId="3" applyNumberFormat="1" applyFont="1" applyAlignment="1" applyProtection="1">
      <alignment vertical="center"/>
      <protection hidden="1"/>
    </xf>
    <xf numFmtId="2" fontId="169" fillId="0" borderId="0" xfId="3" applyNumberFormat="1" applyFont="1" applyAlignment="1" applyProtection="1">
      <alignment vertical="center"/>
      <protection hidden="1"/>
    </xf>
    <xf numFmtId="177" fontId="38" fillId="0" borderId="0" xfId="3" applyNumberFormat="1" applyFont="1" applyAlignment="1" applyProtection="1">
      <alignment vertical="center"/>
      <protection hidden="1"/>
    </xf>
    <xf numFmtId="177" fontId="38" fillId="0" borderId="12" xfId="3" applyNumberFormat="1" applyFont="1" applyBorder="1" applyAlignment="1" applyProtection="1">
      <alignment vertical="center"/>
      <protection hidden="1"/>
    </xf>
    <xf numFmtId="177" fontId="84" fillId="0" borderId="12" xfId="3" applyNumberFormat="1" applyFont="1" applyBorder="1" applyAlignment="1" applyProtection="1">
      <alignment horizontal="center" vertical="center"/>
      <protection hidden="1"/>
    </xf>
    <xf numFmtId="0" fontId="4" fillId="0" borderId="0" xfId="14" applyFont="1" applyAlignment="1" applyProtection="1">
      <alignment horizontal="center" vertical="center"/>
      <protection hidden="1"/>
    </xf>
    <xf numFmtId="204" fontId="38" fillId="0" borderId="0" xfId="3" applyNumberFormat="1" applyFont="1" applyAlignment="1" applyProtection="1">
      <alignment horizontal="center" vertical="center"/>
      <protection hidden="1"/>
    </xf>
    <xf numFmtId="0" fontId="94" fillId="0" borderId="15" xfId="3" applyFont="1" applyBorder="1" applyAlignment="1" applyProtection="1">
      <alignment vertical="center"/>
      <protection locked="0" hidden="1"/>
    </xf>
    <xf numFmtId="2" fontId="38" fillId="0" borderId="14" xfId="3" applyNumberFormat="1" applyFont="1" applyBorder="1" applyAlignment="1" applyProtection="1">
      <alignment horizontal="left" vertical="center"/>
      <protection hidden="1"/>
    </xf>
    <xf numFmtId="0" fontId="84" fillId="0" borderId="16" xfId="14" applyFont="1" applyBorder="1" applyAlignment="1" applyProtection="1">
      <alignment horizontal="center" vertical="center"/>
      <protection hidden="1"/>
    </xf>
    <xf numFmtId="0" fontId="38" fillId="0" borderId="12" xfId="14" applyFont="1" applyBorder="1" applyAlignment="1" applyProtection="1">
      <alignment horizontal="center" vertical="center"/>
      <protection hidden="1"/>
    </xf>
    <xf numFmtId="43" fontId="84" fillId="0" borderId="0" xfId="3" applyNumberFormat="1" applyFont="1" applyAlignment="1" applyProtection="1">
      <alignment vertical="center"/>
      <protection hidden="1"/>
    </xf>
    <xf numFmtId="0" fontId="38" fillId="0" borderId="12" xfId="0" applyFont="1" applyBorder="1" applyProtection="1">
      <protection hidden="1"/>
    </xf>
    <xf numFmtId="0" fontId="84" fillId="0" borderId="0" xfId="0" applyFont="1" applyProtection="1">
      <protection hidden="1"/>
    </xf>
    <xf numFmtId="2" fontId="169" fillId="0" borderId="0" xfId="0" applyNumberFormat="1" applyFont="1" applyProtection="1">
      <protection hidden="1"/>
    </xf>
    <xf numFmtId="2" fontId="38" fillId="0" borderId="12" xfId="0" applyNumberFormat="1" applyFont="1" applyBorder="1" applyProtection="1">
      <protection hidden="1"/>
    </xf>
    <xf numFmtId="204" fontId="38" fillId="0" borderId="12" xfId="0" applyNumberFormat="1" applyFont="1" applyBorder="1" applyProtection="1">
      <protection hidden="1"/>
    </xf>
    <xf numFmtId="2" fontId="38" fillId="19" borderId="0" xfId="0" applyNumberFormat="1" applyFont="1" applyFill="1" applyBorder="1" applyProtection="1">
      <protection hidden="1"/>
    </xf>
    <xf numFmtId="2" fontId="38" fillId="0" borderId="0" xfId="0" applyNumberFormat="1" applyFont="1" applyBorder="1" applyProtection="1">
      <protection hidden="1"/>
    </xf>
    <xf numFmtId="204" fontId="38" fillId="0" borderId="0" xfId="0" applyNumberFormat="1" applyFont="1" applyBorder="1" applyProtection="1">
      <protection hidden="1"/>
    </xf>
    <xf numFmtId="176" fontId="84" fillId="0" borderId="0" xfId="0" applyNumberFormat="1" applyFont="1" applyProtection="1">
      <protection hidden="1"/>
    </xf>
    <xf numFmtId="0" fontId="94" fillId="0" borderId="0" xfId="3" applyFont="1" applyAlignment="1" applyProtection="1">
      <alignment vertical="center"/>
      <protection hidden="1"/>
    </xf>
    <xf numFmtId="0" fontId="0" fillId="0" borderId="0" xfId="6" applyFont="1" applyAlignment="1" applyProtection="1">
      <alignment horizontal="center" vertical="center"/>
      <protection hidden="1"/>
    </xf>
    <xf numFmtId="0" fontId="88" fillId="0" borderId="0" xfId="0" applyFont="1" applyBorder="1" applyAlignment="1" applyProtection="1">
      <alignment horizontal="center" vertical="center"/>
      <protection hidden="1"/>
    </xf>
    <xf numFmtId="0" fontId="0" fillId="0" borderId="13" xfId="0" applyBorder="1" applyAlignment="1" applyProtection="1">
      <alignment vertical="center"/>
      <protection hidden="1"/>
    </xf>
    <xf numFmtId="176" fontId="88" fillId="0" borderId="0" xfId="0" applyNumberFormat="1" applyFont="1" applyBorder="1" applyAlignment="1" applyProtection="1">
      <alignment horizontal="center" vertical="center"/>
      <protection hidden="1"/>
    </xf>
    <xf numFmtId="1" fontId="8" fillId="0" borderId="0" xfId="0" applyNumberFormat="1" applyFont="1" applyBorder="1" applyAlignment="1" applyProtection="1">
      <alignment horizontal="center" vertical="center"/>
      <protection hidden="1"/>
    </xf>
    <xf numFmtId="0" fontId="129" fillId="0" borderId="18" xfId="0" applyFont="1" applyBorder="1" applyAlignment="1" applyProtection="1">
      <alignment horizontal="center" vertical="center"/>
      <protection hidden="1"/>
    </xf>
    <xf numFmtId="9" fontId="0" fillId="0" borderId="0" xfId="8" applyFont="1" applyFill="1" applyBorder="1" applyAlignment="1" applyProtection="1">
      <alignment vertical="center"/>
      <protection hidden="1"/>
    </xf>
    <xf numFmtId="2" fontId="129" fillId="0" borderId="18" xfId="0" applyNumberFormat="1" applyFont="1" applyBorder="1" applyAlignment="1" applyProtection="1">
      <alignment horizontal="center" vertical="center"/>
      <protection hidden="1"/>
    </xf>
    <xf numFmtId="1" fontId="129" fillId="0" borderId="18" xfId="0" applyNumberFormat="1" applyFont="1" applyBorder="1" applyAlignment="1" applyProtection="1">
      <alignment horizontal="center" vertical="center"/>
      <protection hidden="1"/>
    </xf>
    <xf numFmtId="2" fontId="174" fillId="0" borderId="0" xfId="0" applyNumberFormat="1" applyFont="1" applyBorder="1" applyAlignment="1" applyProtection="1">
      <alignment horizontal="center" vertical="center"/>
      <protection hidden="1"/>
    </xf>
    <xf numFmtId="0" fontId="3" fillId="0" borderId="13" xfId="0" applyFont="1" applyBorder="1" applyAlignment="1" applyProtection="1">
      <alignment vertical="center"/>
      <protection hidden="1"/>
    </xf>
    <xf numFmtId="0" fontId="0" fillId="0" borderId="20" xfId="0" applyBorder="1" applyAlignment="1" applyProtection="1">
      <alignment horizontal="right" vertical="center"/>
      <protection hidden="1"/>
    </xf>
    <xf numFmtId="0" fontId="0" fillId="0" borderId="7" xfId="0" applyBorder="1" applyAlignment="1" applyProtection="1">
      <alignment horizontal="center" vertical="center"/>
      <protection hidden="1"/>
    </xf>
    <xf numFmtId="2" fontId="88" fillId="0" borderId="0" xfId="0" applyNumberFormat="1" applyFont="1" applyBorder="1" applyAlignment="1" applyProtection="1">
      <alignment horizontal="center" vertical="center"/>
      <protection hidden="1"/>
    </xf>
    <xf numFmtId="1" fontId="10" fillId="0" borderId="0" xfId="0" applyNumberFormat="1" applyFont="1" applyBorder="1" applyAlignment="1" applyProtection="1">
      <alignment horizontal="center" vertical="center"/>
      <protection hidden="1"/>
    </xf>
    <xf numFmtId="1" fontId="141" fillId="20" borderId="0" xfId="0" applyNumberFormat="1" applyFont="1" applyFill="1" applyBorder="1" applyAlignment="1" applyProtection="1">
      <alignment horizontal="center" vertical="center"/>
      <protection hidden="1"/>
    </xf>
    <xf numFmtId="2" fontId="0" fillId="0" borderId="0" xfId="0" applyNumberFormat="1" applyBorder="1" applyAlignment="1" applyProtection="1">
      <alignment horizontal="center" vertical="center"/>
      <protection hidden="1"/>
    </xf>
    <xf numFmtId="1" fontId="10" fillId="0" borderId="12" xfId="0" applyNumberFormat="1" applyFont="1" applyBorder="1" applyAlignment="1" applyProtection="1">
      <alignment horizontal="center" vertical="center"/>
      <protection hidden="1"/>
    </xf>
    <xf numFmtId="176" fontId="129" fillId="0" borderId="0" xfId="0" applyNumberFormat="1" applyFont="1" applyBorder="1" applyAlignment="1" applyProtection="1">
      <alignment horizontal="center" vertical="center"/>
      <protection hidden="1"/>
    </xf>
    <xf numFmtId="2" fontId="0" fillId="0" borderId="2" xfId="0" applyNumberFormat="1" applyBorder="1" applyAlignment="1" applyProtection="1">
      <alignment horizontal="center" vertical="center"/>
      <protection hidden="1"/>
    </xf>
    <xf numFmtId="1" fontId="177" fillId="0" borderId="2" xfId="0" applyNumberFormat="1" applyFont="1" applyBorder="1" applyAlignment="1" applyProtection="1">
      <alignment horizontal="center" vertical="center"/>
      <protection hidden="1"/>
    </xf>
    <xf numFmtId="176" fontId="40" fillId="0" borderId="2" xfId="6" applyNumberFormat="1" applyFont="1" applyBorder="1" applyAlignment="1" applyProtection="1">
      <alignment horizontal="center" vertical="center"/>
      <protection hidden="1"/>
    </xf>
    <xf numFmtId="0" fontId="172" fillId="21" borderId="0" xfId="0" applyFont="1" applyFill="1" applyBorder="1" applyAlignment="1" applyProtection="1">
      <alignment horizontal="center" vertical="center"/>
      <protection hidden="1"/>
    </xf>
    <xf numFmtId="0" fontId="120" fillId="0" borderId="0" xfId="0" applyFont="1" applyBorder="1" applyAlignment="1" applyProtection="1">
      <alignment horizontal="center" vertical="center"/>
      <protection hidden="1"/>
    </xf>
    <xf numFmtId="0" fontId="81" fillId="0" borderId="6" xfId="0" applyFont="1" applyBorder="1" applyAlignment="1" applyProtection="1">
      <alignment vertical="center"/>
      <protection locked="0"/>
    </xf>
    <xf numFmtId="194" fontId="127" fillId="0" borderId="0" xfId="8" applyNumberFormat="1" applyFont="1" applyBorder="1" applyAlignment="1" applyProtection="1">
      <alignment horizontal="left" vertical="center"/>
      <protection hidden="1"/>
    </xf>
    <xf numFmtId="2" fontId="174" fillId="0" borderId="12" xfId="0" applyNumberFormat="1" applyFont="1" applyBorder="1" applyAlignment="1" applyProtection="1">
      <alignment horizontal="center" vertical="center"/>
      <protection hidden="1"/>
    </xf>
    <xf numFmtId="2" fontId="175" fillId="0" borderId="12" xfId="0" applyNumberFormat="1" applyFont="1" applyBorder="1" applyAlignment="1" applyProtection="1">
      <alignment horizontal="center" vertical="center"/>
      <protection hidden="1"/>
    </xf>
    <xf numFmtId="0" fontId="120" fillId="0" borderId="2" xfId="0" applyFont="1" applyBorder="1" applyAlignment="1" applyProtection="1">
      <alignment horizontal="center" vertical="center"/>
      <protection hidden="1"/>
    </xf>
    <xf numFmtId="2" fontId="141" fillId="0" borderId="12" xfId="0" applyNumberFormat="1" applyFont="1" applyBorder="1" applyAlignment="1" applyProtection="1">
      <alignment horizontal="center" vertical="center"/>
      <protection locked="0"/>
    </xf>
    <xf numFmtId="176" fontId="120" fillId="0" borderId="0" xfId="0" applyNumberFormat="1" applyFont="1" applyBorder="1" applyAlignment="1" applyProtection="1">
      <alignment horizontal="center" vertical="center"/>
      <protection hidden="1"/>
    </xf>
    <xf numFmtId="228" fontId="30" fillId="0" borderId="0" xfId="8" applyNumberFormat="1" applyFont="1" applyBorder="1" applyAlignment="1" applyProtection="1">
      <alignment horizontal="left" vertical="center"/>
      <protection hidden="1"/>
    </xf>
    <xf numFmtId="176" fontId="182" fillId="0" borderId="0" xfId="0" applyNumberFormat="1" applyFont="1" applyBorder="1" applyAlignment="1" applyProtection="1">
      <alignment horizontal="center" vertical="center"/>
      <protection hidden="1"/>
    </xf>
    <xf numFmtId="0" fontId="164" fillId="0" borderId="0" xfId="7" applyFont="1" applyAlignment="1" applyProtection="1">
      <alignment vertical="center"/>
      <protection hidden="1"/>
    </xf>
    <xf numFmtId="0" fontId="129" fillId="0" borderId="0" xfId="0" applyFont="1" applyBorder="1" applyProtection="1">
      <protection hidden="1"/>
    </xf>
    <xf numFmtId="2" fontId="0" fillId="0" borderId="0" xfId="0" applyNumberFormat="1" applyBorder="1" applyAlignment="1" applyProtection="1">
      <alignment horizontal="center"/>
      <protection hidden="1"/>
    </xf>
    <xf numFmtId="2" fontId="165" fillId="0" borderId="0" xfId="7" applyNumberFormat="1" applyFont="1" applyAlignment="1" applyProtection="1">
      <alignment vertical="center"/>
      <protection hidden="1"/>
    </xf>
    <xf numFmtId="0" fontId="83" fillId="0" borderId="14" xfId="7" applyFont="1" applyBorder="1" applyAlignment="1" applyProtection="1">
      <alignment horizontal="center" vertical="center"/>
      <protection hidden="1"/>
    </xf>
    <xf numFmtId="0" fontId="184" fillId="0" borderId="12" xfId="7" applyFont="1" applyBorder="1" applyAlignment="1" applyProtection="1">
      <alignment horizontal="center" vertical="center"/>
      <protection hidden="1"/>
    </xf>
    <xf numFmtId="0" fontId="137" fillId="0" borderId="16" xfId="7" applyFont="1" applyBorder="1" applyAlignment="1" applyProtection="1">
      <alignment horizontal="center" vertical="center"/>
      <protection hidden="1"/>
    </xf>
    <xf numFmtId="0" fontId="185" fillId="0" borderId="12" xfId="7" applyFont="1" applyBorder="1" applyAlignment="1" applyProtection="1">
      <alignment horizontal="center" vertical="center"/>
      <protection hidden="1"/>
    </xf>
    <xf numFmtId="0" fontId="184" fillId="0" borderId="16" xfId="7" applyFont="1" applyBorder="1" applyAlignment="1" applyProtection="1">
      <alignment horizontal="center" vertical="center"/>
      <protection hidden="1"/>
    </xf>
    <xf numFmtId="0" fontId="156" fillId="0" borderId="16" xfId="7" applyFont="1" applyBorder="1" applyAlignment="1" applyProtection="1">
      <alignment horizontal="center" vertical="center"/>
      <protection hidden="1"/>
    </xf>
    <xf numFmtId="2" fontId="10" fillId="0" borderId="0" xfId="0" applyNumberFormat="1" applyFont="1" applyBorder="1" applyAlignment="1" applyProtection="1">
      <alignment horizontal="center" vertical="center"/>
      <protection hidden="1"/>
    </xf>
    <xf numFmtId="0" fontId="51" fillId="0" borderId="0" xfId="0" applyFont="1" applyBorder="1" applyAlignment="1" applyProtection="1">
      <alignment horizontal="center" vertical="center"/>
      <protection hidden="1"/>
    </xf>
    <xf numFmtId="2" fontId="168" fillId="0" borderId="0" xfId="0" applyNumberFormat="1" applyFont="1" applyBorder="1" applyAlignment="1" applyProtection="1">
      <alignment vertical="center"/>
      <protection hidden="1"/>
    </xf>
    <xf numFmtId="0" fontId="168" fillId="0" borderId="0" xfId="6" applyFont="1" applyAlignment="1" applyProtection="1">
      <alignment vertical="center"/>
      <protection hidden="1"/>
    </xf>
    <xf numFmtId="184" fontId="168" fillId="0" borderId="0" xfId="6" applyNumberFormat="1" applyFont="1" applyAlignment="1" applyProtection="1">
      <alignment vertical="center"/>
      <protection hidden="1"/>
    </xf>
    <xf numFmtId="0" fontId="168" fillId="0" borderId="0" xfId="6" applyFont="1" applyAlignment="1" applyProtection="1">
      <alignment horizontal="center" vertical="center"/>
      <protection hidden="1"/>
    </xf>
    <xf numFmtId="0" fontId="186" fillId="0" borderId="0" xfId="6" applyFont="1" applyAlignment="1" applyProtection="1">
      <alignment vertical="center"/>
      <protection hidden="1"/>
    </xf>
    <xf numFmtId="184" fontId="174" fillId="0" borderId="0" xfId="6" applyNumberFormat="1" applyFont="1" applyAlignment="1" applyProtection="1">
      <alignment vertical="center"/>
      <protection hidden="1"/>
    </xf>
    <xf numFmtId="0" fontId="168" fillId="0" borderId="0" xfId="6" applyFont="1" applyAlignment="1" applyProtection="1">
      <alignment horizontal="left" vertical="center"/>
      <protection hidden="1"/>
    </xf>
    <xf numFmtId="184" fontId="168" fillId="0" borderId="0" xfId="6" applyNumberFormat="1" applyFont="1" applyAlignment="1" applyProtection="1">
      <alignment horizontal="right" vertical="center"/>
      <protection hidden="1"/>
    </xf>
    <xf numFmtId="184" fontId="168" fillId="0" borderId="0" xfId="6" applyNumberFormat="1" applyFont="1" applyAlignment="1" applyProtection="1">
      <alignment horizontal="center" vertical="center"/>
      <protection hidden="1"/>
    </xf>
    <xf numFmtId="0" fontId="168" fillId="0" borderId="0" xfId="6" applyFont="1" applyAlignment="1" applyProtection="1">
      <alignment horizontal="right" vertical="center"/>
      <protection hidden="1"/>
    </xf>
    <xf numFmtId="184" fontId="168" fillId="0" borderId="0" xfId="6" applyNumberFormat="1" applyFont="1" applyAlignment="1" applyProtection="1">
      <alignment horizontal="left" vertical="center"/>
      <protection hidden="1"/>
    </xf>
    <xf numFmtId="11" fontId="168" fillId="0" borderId="0" xfId="6" applyNumberFormat="1" applyFont="1" applyAlignment="1" applyProtection="1">
      <alignment horizontal="right" vertical="center"/>
      <protection hidden="1"/>
    </xf>
    <xf numFmtId="11" fontId="168" fillId="0" borderId="0" xfId="6" applyNumberFormat="1" applyFont="1" applyAlignment="1" applyProtection="1">
      <alignment horizontal="center" vertical="center"/>
      <protection hidden="1"/>
    </xf>
    <xf numFmtId="191" fontId="168" fillId="0" borderId="0" xfId="6" applyNumberFormat="1" applyFont="1" applyAlignment="1" applyProtection="1">
      <alignment horizontal="right" vertical="center"/>
      <protection hidden="1"/>
    </xf>
    <xf numFmtId="191" fontId="168" fillId="0" borderId="0" xfId="6" applyNumberFormat="1" applyFont="1" applyAlignment="1" applyProtection="1">
      <alignment horizontal="center" vertical="center"/>
      <protection hidden="1"/>
    </xf>
    <xf numFmtId="176" fontId="168" fillId="0" borderId="0" xfId="6" applyNumberFormat="1" applyFont="1" applyAlignment="1" applyProtection="1">
      <alignment horizontal="center" vertical="center"/>
      <protection hidden="1"/>
    </xf>
    <xf numFmtId="2" fontId="168" fillId="0" borderId="0" xfId="6" applyNumberFormat="1" applyFont="1" applyAlignment="1" applyProtection="1">
      <alignment vertical="center"/>
      <protection hidden="1"/>
    </xf>
    <xf numFmtId="9" fontId="8" fillId="0" borderId="0" xfId="8" applyFont="1" applyFill="1" applyBorder="1" applyAlignment="1" applyProtection="1">
      <alignment horizontal="center" vertical="center"/>
      <protection hidden="1"/>
    </xf>
    <xf numFmtId="0" fontId="174" fillId="0" borderId="0" xfId="0" applyFont="1" applyBorder="1" applyAlignment="1" applyProtection="1">
      <alignment horizontal="center" vertical="center"/>
      <protection hidden="1"/>
    </xf>
    <xf numFmtId="0" fontId="38" fillId="0" borderId="14" xfId="1" applyFont="1" applyBorder="1" applyAlignment="1" applyProtection="1">
      <alignment horizontal="center" vertical="center"/>
      <protection hidden="1"/>
    </xf>
    <xf numFmtId="0" fontId="38" fillId="0" borderId="13" xfId="1" applyFont="1" applyBorder="1" applyAlignment="1" applyProtection="1">
      <alignment horizontal="center" vertical="center"/>
      <protection hidden="1"/>
    </xf>
    <xf numFmtId="0" fontId="38" fillId="0" borderId="20" xfId="1" applyFont="1" applyBorder="1" applyAlignment="1" applyProtection="1">
      <alignment horizontal="center" vertical="center"/>
      <protection hidden="1"/>
    </xf>
    <xf numFmtId="189" fontId="39" fillId="0" borderId="7" xfId="1" applyNumberFormat="1" applyFont="1" applyBorder="1" applyAlignment="1" applyProtection="1">
      <alignment horizontal="center" vertical="center"/>
      <protection hidden="1"/>
    </xf>
    <xf numFmtId="0" fontId="38" fillId="0" borderId="14" xfId="1" quotePrefix="1" applyFont="1" applyBorder="1" applyAlignment="1" applyProtection="1">
      <alignment horizontal="center" vertical="center"/>
      <protection hidden="1"/>
    </xf>
    <xf numFmtId="0" fontId="0" fillId="3" borderId="12" xfId="0" applyFill="1" applyBorder="1" applyAlignment="1" applyProtection="1">
      <alignment horizontal="center" vertical="center"/>
      <protection hidden="1"/>
    </xf>
    <xf numFmtId="176" fontId="0" fillId="0" borderId="10" xfId="1" applyNumberFormat="1" applyFont="1" applyBorder="1" applyAlignment="1" applyProtection="1">
      <alignment horizontal="center" vertical="center"/>
      <protection hidden="1"/>
    </xf>
    <xf numFmtId="0" fontId="0" fillId="0" borderId="14" xfId="0" applyBorder="1" applyAlignment="1" applyProtection="1">
      <alignment vertical="center"/>
      <protection hidden="1"/>
    </xf>
    <xf numFmtId="176" fontId="0" fillId="0" borderId="9" xfId="1" applyNumberFormat="1" applyFont="1" applyBorder="1" applyAlignment="1" applyProtection="1">
      <alignment horizontal="center" vertical="center"/>
      <protection hidden="1"/>
    </xf>
    <xf numFmtId="176" fontId="36" fillId="0" borderId="9" xfId="1" applyNumberFormat="1" applyFont="1" applyBorder="1" applyAlignment="1" applyProtection="1">
      <alignment horizontal="center" vertical="center"/>
      <protection hidden="1"/>
    </xf>
    <xf numFmtId="176" fontId="37" fillId="0" borderId="9" xfId="1" applyNumberFormat="1" applyFont="1" applyBorder="1" applyAlignment="1" applyProtection="1">
      <alignment horizontal="center" vertical="center"/>
      <protection hidden="1"/>
    </xf>
    <xf numFmtId="2" fontId="141" fillId="0" borderId="0" xfId="0" applyNumberFormat="1" applyFont="1" applyBorder="1" applyAlignment="1" applyProtection="1">
      <alignment horizontal="center" vertical="center"/>
      <protection hidden="1"/>
    </xf>
    <xf numFmtId="0" fontId="167" fillId="0" borderId="0" xfId="0" applyFont="1" applyBorder="1" applyAlignment="1" applyProtection="1">
      <alignment horizontal="center" vertical="center"/>
      <protection hidden="1"/>
    </xf>
    <xf numFmtId="0" fontId="0" fillId="0" borderId="6" xfId="0" applyBorder="1" applyAlignment="1" applyProtection="1">
      <alignment horizontal="center" vertical="center"/>
      <protection hidden="1"/>
    </xf>
    <xf numFmtId="0" fontId="0" fillId="0" borderId="18" xfId="0" applyBorder="1" applyAlignment="1" applyProtection="1">
      <alignment horizontal="center" vertical="center"/>
      <protection hidden="1"/>
    </xf>
    <xf numFmtId="0" fontId="0" fillId="0" borderId="19" xfId="0" applyBorder="1" applyAlignment="1" applyProtection="1">
      <alignment horizontal="center" vertical="center"/>
      <protection hidden="1"/>
    </xf>
    <xf numFmtId="0" fontId="0" fillId="0" borderId="20" xfId="0" applyBorder="1" applyAlignment="1" applyProtection="1">
      <alignment horizontal="center" vertical="center"/>
      <protection hidden="1"/>
    </xf>
    <xf numFmtId="0" fontId="0" fillId="0" borderId="44" xfId="0" applyBorder="1" applyAlignment="1" applyProtection="1">
      <alignment horizontal="center" vertical="center"/>
      <protection hidden="1"/>
    </xf>
    <xf numFmtId="0" fontId="0" fillId="0" borderId="35" xfId="0" applyBorder="1" applyAlignment="1" applyProtection="1">
      <alignment horizontal="center" vertical="center"/>
      <protection hidden="1"/>
    </xf>
    <xf numFmtId="0" fontId="0" fillId="0" borderId="36" xfId="0" applyBorder="1" applyAlignment="1" applyProtection="1">
      <alignment horizontal="center" vertical="center"/>
      <protection hidden="1"/>
    </xf>
    <xf numFmtId="0" fontId="81" fillId="0" borderId="13" xfId="0" applyFont="1" applyBorder="1" applyAlignment="1" applyProtection="1">
      <alignment horizontal="center" vertical="center"/>
      <protection locked="0"/>
    </xf>
    <xf numFmtId="0" fontId="0" fillId="0" borderId="18" xfId="0" applyBorder="1" applyAlignment="1" applyProtection="1">
      <alignment horizontal="right" vertical="center"/>
      <protection hidden="1"/>
    </xf>
    <xf numFmtId="0" fontId="120" fillId="0" borderId="19" xfId="0" applyFont="1" applyBorder="1" applyAlignment="1" applyProtection="1">
      <alignment horizontal="center" vertical="center"/>
      <protection hidden="1"/>
    </xf>
    <xf numFmtId="0" fontId="120" fillId="0" borderId="7" xfId="0" applyFont="1" applyBorder="1" applyAlignment="1" applyProtection="1">
      <alignment horizontal="center" vertical="center"/>
      <protection hidden="1"/>
    </xf>
    <xf numFmtId="2" fontId="85" fillId="0" borderId="2" xfId="0" applyNumberFormat="1" applyFont="1" applyBorder="1" applyAlignment="1" applyProtection="1">
      <alignment horizontal="center" vertical="center"/>
      <protection hidden="1"/>
    </xf>
    <xf numFmtId="2" fontId="85" fillId="0" borderId="0" xfId="0" applyNumberFormat="1" applyFont="1" applyBorder="1" applyAlignment="1" applyProtection="1">
      <alignment horizontal="center" vertical="center"/>
      <protection hidden="1"/>
    </xf>
    <xf numFmtId="0" fontId="89" fillId="0" borderId="0" xfId="0" applyFont="1" applyAlignment="1" applyProtection="1">
      <alignment horizontal="center" vertical="center"/>
      <protection hidden="1"/>
    </xf>
    <xf numFmtId="2" fontId="141" fillId="0" borderId="19" xfId="0" applyNumberFormat="1" applyFont="1" applyBorder="1" applyAlignment="1" applyProtection="1">
      <alignment horizontal="center" vertical="center"/>
      <protection hidden="1"/>
    </xf>
    <xf numFmtId="0" fontId="182" fillId="0" borderId="0" xfId="0" applyFont="1" applyBorder="1" applyAlignment="1" applyProtection="1">
      <alignment horizontal="center" vertical="center"/>
      <protection hidden="1"/>
    </xf>
    <xf numFmtId="0" fontId="187" fillId="16" borderId="33" xfId="0" applyFont="1" applyFill="1" applyBorder="1" applyAlignment="1" applyProtection="1">
      <alignment vertical="center"/>
      <protection hidden="1"/>
    </xf>
    <xf numFmtId="0" fontId="0" fillId="0" borderId="12" xfId="0" applyBorder="1" applyAlignment="1" applyProtection="1">
      <alignment horizontal="center" vertical="center"/>
      <protection hidden="1"/>
    </xf>
    <xf numFmtId="0" fontId="168" fillId="7" borderId="12" xfId="0" applyFont="1" applyFill="1" applyBorder="1" applyAlignment="1" applyProtection="1">
      <alignment horizontal="center" vertical="center"/>
      <protection hidden="1"/>
    </xf>
    <xf numFmtId="0" fontId="85" fillId="7" borderId="12" xfId="0" applyFont="1" applyFill="1" applyBorder="1" applyAlignment="1" applyProtection="1">
      <alignment horizontal="center" vertical="center"/>
      <protection hidden="1"/>
    </xf>
    <xf numFmtId="227" fontId="0" fillId="0" borderId="12" xfId="13" applyNumberFormat="1" applyFont="1" applyBorder="1" applyAlignment="1" applyProtection="1">
      <alignment horizontal="center" vertical="center"/>
      <protection hidden="1"/>
    </xf>
    <xf numFmtId="0" fontId="167" fillId="0" borderId="12" xfId="0" applyFont="1" applyBorder="1" applyAlignment="1" applyProtection="1">
      <alignment horizontal="center" vertical="center"/>
      <protection hidden="1"/>
    </xf>
    <xf numFmtId="0" fontId="168" fillId="0" borderId="12" xfId="0" applyFont="1" applyBorder="1" applyAlignment="1" applyProtection="1">
      <alignment horizontal="center" vertical="center"/>
      <protection hidden="1"/>
    </xf>
    <xf numFmtId="0" fontId="85" fillId="0" borderId="12" xfId="0" applyFont="1" applyBorder="1" applyAlignment="1" applyProtection="1">
      <alignment horizontal="center" vertical="center"/>
      <protection hidden="1"/>
    </xf>
    <xf numFmtId="0" fontId="187" fillId="16" borderId="37" xfId="0" applyFont="1" applyFill="1" applyBorder="1" applyAlignment="1" applyProtection="1">
      <alignment vertical="center"/>
      <protection hidden="1"/>
    </xf>
    <xf numFmtId="0" fontId="188" fillId="0" borderId="37" xfId="0" applyFont="1" applyBorder="1" applyAlignment="1" applyProtection="1">
      <alignment horizontal="left" vertical="center"/>
      <protection hidden="1"/>
    </xf>
    <xf numFmtId="0" fontId="3" fillId="0" borderId="18" xfId="0" applyFont="1" applyBorder="1" applyAlignment="1" applyProtection="1">
      <alignment vertical="center"/>
      <protection hidden="1"/>
    </xf>
    <xf numFmtId="0" fontId="188" fillId="0" borderId="34" xfId="0" applyFont="1" applyBorder="1" applyAlignment="1" applyProtection="1">
      <alignment horizontal="left" vertical="center"/>
      <protection hidden="1"/>
    </xf>
    <xf numFmtId="0" fontId="56" fillId="0" borderId="0" xfId="0" applyFont="1" applyBorder="1" applyAlignment="1" applyProtection="1">
      <alignment horizontal="center" vertical="center"/>
      <protection hidden="1"/>
    </xf>
    <xf numFmtId="9" fontId="0" fillId="0" borderId="12" xfId="8" applyFont="1" applyBorder="1" applyAlignment="1" applyProtection="1">
      <alignment horizontal="center" vertical="center"/>
      <protection hidden="1"/>
    </xf>
    <xf numFmtId="9" fontId="0" fillId="0" borderId="12" xfId="8" applyFont="1" applyFill="1" applyBorder="1" applyAlignment="1" applyProtection="1">
      <alignment horizontal="center" vertical="center"/>
      <protection hidden="1"/>
    </xf>
    <xf numFmtId="0" fontId="40" fillId="0" borderId="12" xfId="0" applyFont="1" applyBorder="1" applyAlignment="1" applyProtection="1">
      <alignment horizontal="center" vertical="center"/>
      <protection hidden="1"/>
    </xf>
    <xf numFmtId="0" fontId="3" fillId="0" borderId="15" xfId="0" applyFont="1" applyBorder="1" applyAlignment="1" applyProtection="1">
      <alignment horizontal="left" vertical="center"/>
      <protection hidden="1"/>
    </xf>
    <xf numFmtId="0" fontId="158" fillId="7" borderId="12" xfId="0" applyFont="1" applyFill="1" applyBorder="1" applyAlignment="1" applyProtection="1">
      <alignment horizontal="center" vertical="center"/>
      <protection hidden="1"/>
    </xf>
    <xf numFmtId="0" fontId="191" fillId="7" borderId="12" xfId="0" applyFont="1" applyFill="1" applyBorder="1" applyAlignment="1" applyProtection="1">
      <alignment horizontal="center" vertical="center"/>
      <protection hidden="1"/>
    </xf>
    <xf numFmtId="0" fontId="172" fillId="21" borderId="0" xfId="0" applyFont="1" applyFill="1" applyBorder="1" applyAlignment="1" applyProtection="1">
      <alignment vertical="center"/>
      <protection hidden="1"/>
    </xf>
    <xf numFmtId="0" fontId="0" fillId="0" borderId="2" xfId="0" applyBorder="1" applyAlignment="1" applyProtection="1">
      <alignment horizontal="center" vertical="center"/>
      <protection hidden="1"/>
    </xf>
    <xf numFmtId="184" fontId="10" fillId="0" borderId="0" xfId="0" applyNumberFormat="1" applyFont="1"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0" fillId="0" borderId="16" xfId="0" applyBorder="1" applyAlignment="1" applyProtection="1">
      <alignment horizontal="center" vertical="center"/>
      <protection hidden="1"/>
    </xf>
    <xf numFmtId="0" fontId="91" fillId="0" borderId="0" xfId="0" applyFont="1" applyBorder="1" applyAlignment="1" applyProtection="1">
      <alignment horizontal="left" vertical="center" wrapText="1"/>
      <protection hidden="1"/>
    </xf>
    <xf numFmtId="0" fontId="32" fillId="0" borderId="0" xfId="0" applyFont="1" applyBorder="1" applyAlignment="1" applyProtection="1">
      <alignment vertical="center"/>
      <protection hidden="1"/>
    </xf>
    <xf numFmtId="176" fontId="81" fillId="0" borderId="0" xfId="0" applyNumberFormat="1" applyFont="1" applyAlignment="1" applyProtection="1">
      <alignment horizontal="center" vertical="center"/>
      <protection hidden="1"/>
    </xf>
    <xf numFmtId="1" fontId="40" fillId="0" borderId="0" xfId="0" applyNumberFormat="1" applyFont="1" applyBorder="1" applyAlignment="1" applyProtection="1">
      <alignment horizontal="center" vertical="center"/>
      <protection hidden="1"/>
    </xf>
    <xf numFmtId="176" fontId="89" fillId="0" borderId="0" xfId="0" applyNumberFormat="1" applyFont="1" applyBorder="1" applyAlignment="1" applyProtection="1">
      <alignment horizontal="center" vertical="center"/>
      <protection hidden="1"/>
    </xf>
    <xf numFmtId="0" fontId="0" fillId="0" borderId="0" xfId="0" applyAlignment="1" applyProtection="1">
      <alignment horizontal="right" vertical="center"/>
      <protection hidden="1"/>
    </xf>
    <xf numFmtId="0" fontId="89" fillId="19" borderId="0" xfId="0" applyFont="1" applyFill="1" applyAlignment="1" applyProtection="1">
      <alignment horizontal="center" vertical="center"/>
      <protection hidden="1"/>
    </xf>
    <xf numFmtId="0" fontId="0" fillId="19" borderId="0" xfId="0" applyFill="1" applyAlignment="1" applyProtection="1">
      <alignment vertical="center"/>
      <protection hidden="1"/>
    </xf>
    <xf numFmtId="0" fontId="177" fillId="0" borderId="0" xfId="0" applyFont="1" applyBorder="1" applyAlignment="1" applyProtection="1">
      <alignment horizontal="center" vertical="center"/>
      <protection hidden="1"/>
    </xf>
    <xf numFmtId="0" fontId="5" fillId="0" borderId="0" xfId="0" applyFont="1" applyBorder="1" applyAlignment="1" applyProtection="1">
      <alignment horizontal="center" vertical="center"/>
      <protection hidden="1"/>
    </xf>
    <xf numFmtId="0" fontId="158" fillId="0" borderId="12" xfId="0" applyFont="1" applyBorder="1" applyAlignment="1" applyProtection="1">
      <alignment horizontal="center" vertical="center"/>
      <protection locked="0"/>
    </xf>
    <xf numFmtId="176" fontId="177" fillId="0" borderId="0" xfId="0" applyNumberFormat="1" applyFont="1" applyBorder="1" applyAlignment="1" applyProtection="1">
      <alignment horizontal="center" vertical="center"/>
      <protection hidden="1"/>
    </xf>
    <xf numFmtId="176" fontId="0" fillId="0" borderId="0" xfId="0" applyNumberFormat="1" applyAlignment="1" applyProtection="1">
      <alignment vertical="center"/>
      <protection hidden="1"/>
    </xf>
    <xf numFmtId="2" fontId="87" fillId="0" borderId="0" xfId="0" applyNumberFormat="1" applyFont="1" applyBorder="1" applyAlignment="1" applyProtection="1">
      <alignment horizontal="center" vertical="center"/>
      <protection hidden="1"/>
    </xf>
    <xf numFmtId="176" fontId="82" fillId="19" borderId="12" xfId="0" applyNumberFormat="1" applyFont="1" applyFill="1" applyBorder="1" applyAlignment="1" applyProtection="1">
      <alignment horizontal="center" vertical="center"/>
      <protection hidden="1"/>
    </xf>
    <xf numFmtId="2" fontId="0" fillId="0" borderId="0" xfId="0" applyNumberFormat="1" applyBorder="1" applyAlignment="1" applyProtection="1">
      <alignment vertical="center"/>
      <protection hidden="1"/>
    </xf>
    <xf numFmtId="176" fontId="88" fillId="0" borderId="2" xfId="0" applyNumberFormat="1" applyFont="1" applyBorder="1" applyAlignment="1" applyProtection="1">
      <alignment horizontal="center" vertical="center"/>
      <protection hidden="1"/>
    </xf>
    <xf numFmtId="0" fontId="159" fillId="0" borderId="0" xfId="0" applyFont="1" applyAlignment="1" applyProtection="1">
      <alignment vertical="center"/>
      <protection hidden="1"/>
    </xf>
    <xf numFmtId="0" fontId="0" fillId="0" borderId="0" xfId="0" applyAlignment="1" applyProtection="1">
      <alignment horizontal="center" vertical="center"/>
      <protection locked="0"/>
    </xf>
    <xf numFmtId="0" fontId="159" fillId="0" borderId="0" xfId="0" applyFont="1" applyAlignment="1" applyProtection="1">
      <alignment vertical="center" wrapText="1"/>
      <protection hidden="1"/>
    </xf>
    <xf numFmtId="0" fontId="0" fillId="0" borderId="0" xfId="0" applyAlignment="1" applyProtection="1">
      <alignment horizontal="left" vertical="center"/>
      <protection hidden="1"/>
    </xf>
    <xf numFmtId="176" fontId="0" fillId="0" borderId="0" xfId="0" applyNumberFormat="1" applyAlignment="1" applyProtection="1">
      <alignment horizontal="center" vertical="center"/>
      <protection hidden="1"/>
    </xf>
    <xf numFmtId="0" fontId="82" fillId="0" borderId="0" xfId="0" applyFont="1" applyAlignment="1" applyProtection="1">
      <alignment vertical="center"/>
      <protection hidden="1"/>
    </xf>
    <xf numFmtId="0" fontId="193" fillId="0" borderId="0" xfId="0" applyFont="1" applyAlignment="1" applyProtection="1">
      <alignment vertical="center"/>
      <protection hidden="1"/>
    </xf>
    <xf numFmtId="0" fontId="87" fillId="0" borderId="0" xfId="0" applyFont="1" applyAlignment="1" applyProtection="1">
      <alignment vertical="center"/>
      <protection hidden="1"/>
    </xf>
    <xf numFmtId="0" fontId="194" fillId="0" borderId="0" xfId="0" applyFont="1" applyAlignment="1" applyProtection="1">
      <alignment vertical="center"/>
      <protection hidden="1"/>
    </xf>
    <xf numFmtId="2" fontId="122" fillId="0" borderId="0" xfId="0" applyNumberFormat="1" applyFont="1" applyBorder="1" applyAlignment="1" applyProtection="1">
      <alignment horizontal="center" vertical="center"/>
      <protection hidden="1"/>
    </xf>
    <xf numFmtId="0" fontId="141" fillId="0" borderId="12" xfId="0" applyFont="1" applyBorder="1" applyAlignment="1" applyProtection="1">
      <alignment vertical="center"/>
      <protection locked="0" hidden="1"/>
    </xf>
    <xf numFmtId="0" fontId="116" fillId="0" borderId="0" xfId="0" applyFont="1" applyBorder="1" applyAlignment="1" applyProtection="1">
      <alignment horizontal="right" vertical="center"/>
      <protection hidden="1"/>
    </xf>
    <xf numFmtId="0" fontId="130" fillId="21" borderId="0" xfId="0" applyFont="1" applyFill="1" applyBorder="1" applyAlignment="1" applyProtection="1">
      <alignment vertical="center"/>
      <protection hidden="1"/>
    </xf>
    <xf numFmtId="0" fontId="195" fillId="21" borderId="0" xfId="0" applyFont="1" applyFill="1" applyBorder="1" applyAlignment="1" applyProtection="1">
      <alignment vertical="center"/>
      <protection hidden="1"/>
    </xf>
    <xf numFmtId="0" fontId="164" fillId="0" borderId="0" xfId="7" applyFont="1" applyAlignment="1" applyProtection="1">
      <alignment horizontal="center" vertical="center" wrapText="1"/>
      <protection hidden="1"/>
    </xf>
    <xf numFmtId="0" fontId="0" fillId="0" borderId="0" xfId="7" applyFont="1" applyAlignment="1" applyProtection="1">
      <alignment horizontal="center" vertical="center"/>
      <protection hidden="1"/>
    </xf>
    <xf numFmtId="0" fontId="166" fillId="0" borderId="12" xfId="7" applyFont="1" applyBorder="1" applyAlignment="1" applyProtection="1">
      <alignment horizontal="center" vertical="center"/>
      <protection hidden="1"/>
    </xf>
    <xf numFmtId="0" fontId="62" fillId="0" borderId="0" xfId="7" applyFont="1" applyAlignment="1" applyProtection="1">
      <alignment horizontal="center" vertical="center"/>
      <protection hidden="1"/>
    </xf>
    <xf numFmtId="0" fontId="44" fillId="0" borderId="6" xfId="7" applyBorder="1" applyAlignment="1" applyProtection="1">
      <alignment vertical="center"/>
      <protection hidden="1"/>
    </xf>
    <xf numFmtId="0" fontId="44" fillId="0" borderId="7" xfId="7" applyBorder="1" applyAlignment="1" applyProtection="1">
      <alignment vertical="center"/>
      <protection hidden="1"/>
    </xf>
    <xf numFmtId="0" fontId="44" fillId="0" borderId="13" xfId="7" applyBorder="1" applyAlignment="1" applyProtection="1">
      <alignment vertical="center"/>
      <protection hidden="1"/>
    </xf>
    <xf numFmtId="0" fontId="81" fillId="0" borderId="0" xfId="7" applyFont="1" applyAlignment="1" applyProtection="1">
      <alignment horizontal="center" vertical="center"/>
      <protection locked="0"/>
    </xf>
    <xf numFmtId="0" fontId="0" fillId="0" borderId="18" xfId="7" applyFont="1" applyBorder="1" applyAlignment="1" applyProtection="1">
      <alignment vertical="center"/>
      <protection hidden="1"/>
    </xf>
    <xf numFmtId="0" fontId="44" fillId="0" borderId="19" xfId="7" applyBorder="1" applyAlignment="1" applyProtection="1">
      <alignment vertical="center"/>
      <protection hidden="1"/>
    </xf>
    <xf numFmtId="176" fontId="89" fillId="0" borderId="0" xfId="7" applyNumberFormat="1" applyFont="1" applyAlignment="1" applyProtection="1">
      <alignment horizontal="center" vertical="center"/>
      <protection hidden="1"/>
    </xf>
    <xf numFmtId="0" fontId="3" fillId="0" borderId="18" xfId="7" applyFont="1" applyBorder="1" applyAlignment="1" applyProtection="1">
      <alignment vertical="center"/>
      <protection hidden="1"/>
    </xf>
    <xf numFmtId="0" fontId="44" fillId="0" borderId="18" xfId="7" applyBorder="1" applyAlignment="1" applyProtection="1">
      <alignment vertical="center"/>
      <protection hidden="1"/>
    </xf>
    <xf numFmtId="0" fontId="61" fillId="0" borderId="18" xfId="7" applyFont="1" applyBorder="1" applyAlignment="1" applyProtection="1">
      <alignment vertical="center"/>
      <protection hidden="1"/>
    </xf>
    <xf numFmtId="0" fontId="0" fillId="0" borderId="18" xfId="7" quotePrefix="1" applyFont="1" applyBorder="1" applyAlignment="1" applyProtection="1">
      <alignment vertical="center"/>
      <protection hidden="1"/>
    </xf>
    <xf numFmtId="0" fontId="0" fillId="0" borderId="20" xfId="7" quotePrefix="1" applyFont="1" applyBorder="1" applyAlignment="1" applyProtection="1">
      <alignment vertical="center"/>
      <protection hidden="1"/>
    </xf>
    <xf numFmtId="0" fontId="61" fillId="0" borderId="7" xfId="7" applyFont="1" applyBorder="1" applyAlignment="1" applyProtection="1">
      <alignment vertical="center"/>
      <protection hidden="1"/>
    </xf>
    <xf numFmtId="0" fontId="165" fillId="0" borderId="12" xfId="13" applyNumberFormat="1" applyFont="1" applyFill="1" applyBorder="1" applyAlignment="1" applyProtection="1">
      <alignment vertical="center"/>
      <protection hidden="1"/>
    </xf>
    <xf numFmtId="0" fontId="177" fillId="0" borderId="0" xfId="7" applyFont="1" applyAlignment="1" applyProtection="1">
      <alignment vertical="center"/>
      <protection hidden="1"/>
    </xf>
    <xf numFmtId="0" fontId="196" fillId="0" borderId="0" xfId="7" applyFont="1" applyAlignment="1" applyProtection="1">
      <alignment vertical="center"/>
      <protection hidden="1"/>
    </xf>
    <xf numFmtId="0" fontId="38" fillId="0" borderId="19" xfId="14" applyFont="1" applyBorder="1" applyAlignment="1" applyProtection="1">
      <alignment vertical="center"/>
      <protection hidden="1"/>
    </xf>
    <xf numFmtId="176" fontId="83" fillId="0" borderId="2" xfId="14" applyNumberFormat="1" applyFont="1" applyBorder="1" applyAlignment="1" applyProtection="1">
      <alignment horizontal="center" vertical="center"/>
      <protection hidden="1"/>
    </xf>
    <xf numFmtId="0" fontId="3" fillId="0" borderId="18" xfId="0" applyFont="1" applyBorder="1" applyAlignment="1" applyProtection="1">
      <alignment horizontal="center" vertical="center"/>
      <protection hidden="1"/>
    </xf>
    <xf numFmtId="2" fontId="120" fillId="0" borderId="2" xfId="0" applyNumberFormat="1" applyFont="1" applyBorder="1" applyAlignment="1" applyProtection="1">
      <alignment horizontal="center" vertical="center"/>
      <protection hidden="1"/>
    </xf>
    <xf numFmtId="0" fontId="38" fillId="0" borderId="18" xfId="3" applyFont="1" applyBorder="1" applyAlignment="1" applyProtection="1">
      <alignment horizontal="center" vertical="center"/>
      <protection hidden="1"/>
    </xf>
    <xf numFmtId="184" fontId="38" fillId="0" borderId="18" xfId="3" applyNumberFormat="1" applyFont="1" applyBorder="1" applyAlignment="1" applyProtection="1">
      <alignment horizontal="center" vertical="center"/>
      <protection hidden="1"/>
    </xf>
    <xf numFmtId="176" fontId="38" fillId="0" borderId="19" xfId="3" applyNumberFormat="1" applyFont="1" applyBorder="1" applyAlignment="1" applyProtection="1">
      <alignment horizontal="center" vertical="center"/>
      <protection hidden="1"/>
    </xf>
    <xf numFmtId="0" fontId="38" fillId="0" borderId="20" xfId="3" applyFont="1" applyBorder="1" applyAlignment="1" applyProtection="1">
      <alignment vertical="center"/>
      <protection hidden="1"/>
    </xf>
    <xf numFmtId="2" fontId="38" fillId="0" borderId="19" xfId="3" applyNumberFormat="1" applyFont="1" applyBorder="1" applyAlignment="1" applyProtection="1">
      <alignment horizontal="center" vertical="center"/>
      <protection hidden="1"/>
    </xf>
    <xf numFmtId="203" fontId="38" fillId="0" borderId="19" xfId="3" applyNumberFormat="1" applyFont="1" applyBorder="1" applyAlignment="1" applyProtection="1">
      <alignment horizontal="center" vertical="center"/>
      <protection hidden="1"/>
    </xf>
    <xf numFmtId="203" fontId="68" fillId="0" borderId="2" xfId="3" applyNumberFormat="1" applyFont="1" applyBorder="1" applyAlignment="1" applyProtection="1">
      <alignment horizontal="center" vertical="center"/>
      <protection hidden="1"/>
    </xf>
    <xf numFmtId="216" fontId="38" fillId="0" borderId="19" xfId="3" applyNumberFormat="1" applyFont="1" applyBorder="1" applyAlignment="1" applyProtection="1">
      <alignment horizontal="center" vertical="center"/>
      <protection hidden="1"/>
    </xf>
    <xf numFmtId="0" fontId="38" fillId="0" borderId="20" xfId="3" applyFont="1" applyBorder="1" applyAlignment="1" applyProtection="1">
      <alignment horizontal="left" vertical="center"/>
      <protection hidden="1"/>
    </xf>
    <xf numFmtId="176" fontId="38" fillId="0" borderId="18" xfId="3" applyNumberFormat="1" applyFont="1" applyBorder="1" applyAlignment="1" applyProtection="1">
      <alignment horizontal="center" vertical="center"/>
      <protection hidden="1"/>
    </xf>
    <xf numFmtId="182" fontId="38" fillId="0" borderId="19" xfId="3" applyNumberFormat="1" applyFont="1" applyBorder="1" applyAlignment="1" applyProtection="1">
      <alignment horizontal="center" vertical="center"/>
      <protection hidden="1"/>
    </xf>
    <xf numFmtId="0" fontId="38" fillId="0" borderId="13" xfId="3" applyFont="1" applyBorder="1" applyAlignment="1" applyProtection="1">
      <alignment horizontal="center" vertical="center"/>
      <protection hidden="1"/>
    </xf>
    <xf numFmtId="0" fontId="124" fillId="0" borderId="2" xfId="3" applyFont="1" applyBorder="1" applyAlignment="1" applyProtection="1">
      <alignment horizontal="center" vertical="center"/>
      <protection hidden="1"/>
    </xf>
    <xf numFmtId="0" fontId="38" fillId="0" borderId="18" xfId="3" applyFont="1" applyBorder="1" applyAlignment="1" applyProtection="1">
      <alignment horizontal="left" vertical="center"/>
      <protection hidden="1"/>
    </xf>
    <xf numFmtId="196" fontId="38" fillId="0" borderId="18" xfId="3" applyNumberFormat="1" applyFont="1" applyBorder="1" applyAlignment="1" applyProtection="1">
      <alignment horizontal="center" vertical="center"/>
      <protection hidden="1"/>
    </xf>
    <xf numFmtId="210" fontId="38" fillId="0" borderId="19" xfId="3" applyNumberFormat="1" applyFont="1" applyBorder="1" applyAlignment="1" applyProtection="1">
      <alignment horizontal="center" vertical="center"/>
      <protection hidden="1"/>
    </xf>
    <xf numFmtId="204" fontId="68" fillId="0" borderId="2" xfId="3" applyNumberFormat="1" applyFont="1" applyBorder="1" applyAlignment="1" applyProtection="1">
      <alignment horizontal="center" vertical="center"/>
      <protection hidden="1"/>
    </xf>
    <xf numFmtId="0" fontId="38" fillId="0" borderId="19" xfId="3" quotePrefix="1" applyFont="1" applyBorder="1" applyAlignment="1" applyProtection="1">
      <alignment horizontal="center" vertical="center"/>
      <protection hidden="1"/>
    </xf>
    <xf numFmtId="176" fontId="68" fillId="0" borderId="0" xfId="3" applyNumberFormat="1" applyFont="1" applyAlignment="1" applyProtection="1">
      <alignment horizontal="center" vertical="center"/>
      <protection hidden="1"/>
    </xf>
    <xf numFmtId="0" fontId="38" fillId="0" borderId="6" xfId="3" quotePrefix="1" applyFont="1" applyBorder="1" applyAlignment="1" applyProtection="1">
      <alignment horizontal="center" vertical="center"/>
      <protection hidden="1"/>
    </xf>
    <xf numFmtId="0" fontId="38" fillId="0" borderId="18" xfId="3" applyFont="1" applyBorder="1" applyAlignment="1" applyProtection="1">
      <alignment vertical="center"/>
      <protection hidden="1"/>
    </xf>
    <xf numFmtId="209" fontId="38" fillId="0" borderId="18" xfId="3" applyNumberFormat="1" applyFont="1" applyBorder="1" applyAlignment="1" applyProtection="1">
      <alignment horizontal="center" vertical="center"/>
      <protection hidden="1"/>
    </xf>
    <xf numFmtId="176" fontId="83" fillId="0" borderId="15" xfId="3" applyNumberFormat="1" applyFont="1" applyBorder="1" applyAlignment="1" applyProtection="1">
      <alignment horizontal="center" vertical="center"/>
      <protection hidden="1"/>
    </xf>
    <xf numFmtId="0" fontId="68" fillId="0" borderId="20" xfId="3" applyFont="1" applyBorder="1" applyAlignment="1" applyProtection="1">
      <alignment horizontal="center" vertical="center"/>
      <protection hidden="1"/>
    </xf>
    <xf numFmtId="0" fontId="125" fillId="0" borderId="2" xfId="3" applyFont="1" applyBorder="1" applyAlignment="1" applyProtection="1">
      <alignment horizontal="center" vertical="center"/>
      <protection hidden="1"/>
    </xf>
    <xf numFmtId="176" fontId="125" fillId="0" borderId="2" xfId="3" applyNumberFormat="1" applyFont="1" applyBorder="1" applyAlignment="1" applyProtection="1">
      <alignment horizontal="center" vertical="center"/>
      <protection hidden="1"/>
    </xf>
    <xf numFmtId="0" fontId="36" fillId="0" borderId="19" xfId="0" applyFont="1" applyBorder="1" applyAlignment="1" applyProtection="1">
      <alignment horizontal="center" vertical="center"/>
      <protection hidden="1"/>
    </xf>
    <xf numFmtId="0" fontId="129" fillId="0" borderId="18" xfId="0" applyFont="1" applyBorder="1" applyAlignment="1" applyProtection="1">
      <alignment vertical="center"/>
      <protection hidden="1"/>
    </xf>
    <xf numFmtId="0" fontId="2" fillId="0" borderId="18" xfId="6" quotePrefix="1" applyBorder="1" applyAlignment="1" applyProtection="1">
      <alignment vertical="center"/>
      <protection hidden="1"/>
    </xf>
    <xf numFmtId="184" fontId="2" fillId="0" borderId="19" xfId="6" applyNumberFormat="1" applyBorder="1" applyAlignment="1" applyProtection="1">
      <alignment vertical="center"/>
      <protection hidden="1"/>
    </xf>
    <xf numFmtId="0" fontId="2" fillId="0" borderId="20" xfId="6" applyBorder="1" applyAlignment="1" applyProtection="1">
      <alignment vertical="center"/>
      <protection hidden="1"/>
    </xf>
    <xf numFmtId="184" fontId="2" fillId="0" borderId="7" xfId="6" applyNumberFormat="1" applyBorder="1" applyAlignment="1" applyProtection="1">
      <alignment vertical="center"/>
      <protection hidden="1"/>
    </xf>
    <xf numFmtId="184" fontId="0" fillId="0" borderId="18" xfId="6" applyNumberFormat="1" applyFont="1" applyBorder="1" applyAlignment="1" applyProtection="1">
      <alignment horizontal="center" vertical="center"/>
      <protection hidden="1"/>
    </xf>
    <xf numFmtId="0" fontId="3" fillId="0" borderId="20" xfId="6" applyFont="1" applyBorder="1" applyAlignment="1" applyProtection="1">
      <alignment vertical="center"/>
      <protection hidden="1"/>
    </xf>
    <xf numFmtId="0" fontId="0" fillId="0" borderId="2" xfId="6" applyFont="1" applyBorder="1" applyAlignment="1" applyProtection="1">
      <alignment horizontal="center" vertical="center"/>
      <protection hidden="1"/>
    </xf>
    <xf numFmtId="184" fontId="0" fillId="0" borderId="13" xfId="6" applyNumberFormat="1" applyFont="1" applyBorder="1" applyAlignment="1" applyProtection="1">
      <alignment vertical="center"/>
      <protection hidden="1"/>
    </xf>
    <xf numFmtId="184" fontId="10" fillId="0" borderId="1" xfId="6" applyNumberFormat="1" applyFont="1" applyBorder="1" applyAlignment="1" applyProtection="1">
      <alignment horizontal="center" vertical="center"/>
      <protection hidden="1"/>
    </xf>
    <xf numFmtId="0" fontId="2" fillId="0" borderId="18" xfId="6" applyBorder="1" applyAlignment="1" applyProtection="1">
      <alignment vertical="center"/>
      <protection hidden="1"/>
    </xf>
    <xf numFmtId="0" fontId="2" fillId="0" borderId="19" xfId="6" applyBorder="1" applyAlignment="1" applyProtection="1">
      <alignment horizontal="center" vertical="center"/>
      <protection hidden="1"/>
    </xf>
    <xf numFmtId="0" fontId="2" fillId="0" borderId="20" xfId="6" applyBorder="1" applyAlignment="1" applyProtection="1">
      <alignment vertical="center" wrapText="1"/>
      <protection hidden="1"/>
    </xf>
    <xf numFmtId="0" fontId="40" fillId="0" borderId="7" xfId="6" applyFont="1" applyBorder="1" applyAlignment="1" applyProtection="1">
      <alignment horizontal="center" vertical="center"/>
      <protection hidden="1"/>
    </xf>
    <xf numFmtId="1" fontId="180" fillId="0" borderId="19" xfId="6" applyNumberFormat="1" applyFont="1" applyBorder="1" applyAlignment="1" applyProtection="1">
      <alignment horizontal="center" vertical="center"/>
      <protection hidden="1"/>
    </xf>
    <xf numFmtId="0" fontId="56" fillId="0" borderId="19" xfId="6" applyFont="1" applyBorder="1" applyAlignment="1" applyProtection="1">
      <alignment horizontal="center" vertical="center"/>
      <protection hidden="1"/>
    </xf>
    <xf numFmtId="184" fontId="2" fillId="0" borderId="7" xfId="6" applyNumberFormat="1" applyBorder="1" applyAlignment="1" applyProtection="1">
      <alignment horizontal="center" vertical="center"/>
      <protection hidden="1"/>
    </xf>
    <xf numFmtId="0" fontId="0" fillId="0" borderId="18" xfId="6" applyFont="1" applyBorder="1" applyAlignment="1" applyProtection="1">
      <alignment vertical="center"/>
      <protection hidden="1"/>
    </xf>
    <xf numFmtId="0" fontId="0" fillId="0" borderId="19" xfId="6" applyFont="1" applyBorder="1" applyAlignment="1" applyProtection="1">
      <alignment horizontal="center" vertical="center"/>
      <protection hidden="1"/>
    </xf>
    <xf numFmtId="0" fontId="3" fillId="0" borderId="33"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0" fillId="0" borderId="12" xfId="0" applyBorder="1" applyAlignment="1" applyProtection="1">
      <alignment horizontal="center"/>
      <protection hidden="1"/>
    </xf>
    <xf numFmtId="184" fontId="2" fillId="0" borderId="18" xfId="6" quotePrefix="1" applyNumberFormat="1" applyBorder="1" applyAlignment="1" applyProtection="1">
      <alignment vertical="center"/>
      <protection hidden="1"/>
    </xf>
    <xf numFmtId="184" fontId="2" fillId="0" borderId="20" xfId="6" quotePrefix="1" applyNumberFormat="1" applyBorder="1" applyAlignment="1" applyProtection="1">
      <alignment horizontal="left" vertical="center"/>
      <protection hidden="1"/>
    </xf>
    <xf numFmtId="176" fontId="120" fillId="0" borderId="13" xfId="0" applyNumberFormat="1" applyFont="1" applyBorder="1" applyAlignment="1" applyProtection="1">
      <alignment horizontal="center" vertical="center"/>
      <protection hidden="1"/>
    </xf>
    <xf numFmtId="2" fontId="120" fillId="0" borderId="18" xfId="0" applyNumberFormat="1" applyFont="1" applyBorder="1" applyAlignment="1" applyProtection="1">
      <alignment horizontal="center" vertical="center"/>
      <protection hidden="1"/>
    </xf>
    <xf numFmtId="176" fontId="120" fillId="0" borderId="18" xfId="0" applyNumberFormat="1" applyFont="1" applyBorder="1" applyAlignment="1" applyProtection="1">
      <alignment horizontal="center" vertical="center"/>
      <protection hidden="1"/>
    </xf>
    <xf numFmtId="176" fontId="120" fillId="0" borderId="20" xfId="0" applyNumberFormat="1" applyFont="1" applyBorder="1" applyAlignment="1" applyProtection="1">
      <alignment horizontal="center" vertical="center"/>
      <protection hidden="1"/>
    </xf>
    <xf numFmtId="9" fontId="3" fillId="0" borderId="18" xfId="8" applyFont="1" applyFill="1" applyBorder="1" applyAlignment="1" applyProtection="1">
      <alignment vertical="center"/>
      <protection hidden="1"/>
    </xf>
    <xf numFmtId="0" fontId="0" fillId="0" borderId="18" xfId="0" applyBorder="1" applyAlignment="1" applyProtection="1">
      <alignment horizontal="left" vertical="center"/>
      <protection hidden="1"/>
    </xf>
    <xf numFmtId="0" fontId="88" fillId="0" borderId="19" xfId="0" applyFont="1" applyBorder="1" applyAlignment="1" applyProtection="1">
      <alignment horizontal="center" vertical="center"/>
      <protection hidden="1"/>
    </xf>
    <xf numFmtId="0" fontId="0" fillId="0" borderId="18" xfId="0" quotePrefix="1" applyBorder="1" applyAlignment="1" applyProtection="1">
      <alignment vertical="center"/>
      <protection hidden="1"/>
    </xf>
    <xf numFmtId="0" fontId="141" fillId="0" borderId="18" xfId="0" applyFont="1" applyBorder="1" applyAlignment="1" applyProtection="1">
      <alignment vertical="center"/>
      <protection hidden="1"/>
    </xf>
    <xf numFmtId="0" fontId="38" fillId="0" borderId="18" xfId="14" applyFont="1" applyBorder="1" applyAlignment="1" applyProtection="1">
      <alignment horizontal="center" vertical="center"/>
      <protection hidden="1"/>
    </xf>
    <xf numFmtId="4" fontId="84" fillId="0" borderId="65" xfId="14" applyNumberFormat="1" applyFont="1" applyBorder="1" applyAlignment="1" applyProtection="1">
      <alignment horizontal="right" vertical="center"/>
      <protection hidden="1"/>
    </xf>
    <xf numFmtId="43" fontId="38" fillId="0" borderId="18" xfId="13" quotePrefix="1" applyFont="1" applyFill="1" applyBorder="1" applyAlignment="1" applyProtection="1">
      <alignment horizontal="right" vertical="center"/>
      <protection hidden="1"/>
    </xf>
    <xf numFmtId="0" fontId="38" fillId="0" borderId="34" xfId="14" applyFont="1" applyBorder="1" applyAlignment="1" applyProtection="1">
      <alignment horizontal="center" vertical="center"/>
      <protection hidden="1"/>
    </xf>
    <xf numFmtId="0" fontId="38" fillId="16" borderId="12" xfId="14" applyFont="1" applyFill="1" applyBorder="1" applyAlignment="1" applyProtection="1">
      <alignment horizontal="center" vertical="center"/>
      <protection hidden="1"/>
    </xf>
    <xf numFmtId="0" fontId="198" fillId="0" borderId="0" xfId="0" applyFont="1" applyAlignment="1" applyProtection="1">
      <alignment vertical="center"/>
      <protection hidden="1"/>
    </xf>
    <xf numFmtId="0" fontId="199" fillId="0" borderId="0" xfId="0" applyFont="1" applyBorder="1" applyAlignment="1" applyProtection="1">
      <alignment horizontal="left" vertical="center"/>
      <protection hidden="1"/>
    </xf>
    <xf numFmtId="0" fontId="51" fillId="0" borderId="0" xfId="0" applyFont="1" applyAlignment="1" applyProtection="1">
      <alignment horizontal="left" vertical="center"/>
      <protection hidden="1"/>
    </xf>
    <xf numFmtId="0" fontId="8" fillId="0" borderId="0" xfId="0" applyFont="1" applyBorder="1" applyAlignment="1" applyProtection="1">
      <alignment horizontal="center" vertical="center"/>
      <protection hidden="1"/>
    </xf>
    <xf numFmtId="0" fontId="36" fillId="0" borderId="0" xfId="0" applyFont="1"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89" fillId="0" borderId="0" xfId="0" applyFont="1" applyBorder="1" applyAlignment="1" applyProtection="1">
      <alignment horizontal="left" vertical="center"/>
      <protection hidden="1"/>
    </xf>
    <xf numFmtId="0" fontId="3" fillId="0" borderId="18" xfId="0" applyFont="1" applyBorder="1" applyAlignment="1" applyProtection="1">
      <alignment horizontal="left" vertical="center"/>
      <protection hidden="1"/>
    </xf>
    <xf numFmtId="0" fontId="32" fillId="0" borderId="18" xfId="0" applyFont="1" applyBorder="1" applyAlignment="1" applyProtection="1">
      <alignment horizontal="right" vertical="center"/>
      <protection hidden="1"/>
    </xf>
    <xf numFmtId="0" fontId="40" fillId="0" borderId="0" xfId="0" applyFont="1" applyBorder="1" applyAlignment="1" applyProtection="1">
      <alignment horizontal="center" vertical="center"/>
      <protection hidden="1"/>
    </xf>
    <xf numFmtId="0" fontId="51" fillId="5" borderId="0" xfId="0" applyFont="1" applyFill="1" applyBorder="1" applyAlignment="1" applyProtection="1">
      <alignment horizontal="center" vertical="center"/>
      <protection hidden="1"/>
    </xf>
    <xf numFmtId="0" fontId="40" fillId="5" borderId="0" xfId="0" applyFont="1" applyFill="1" applyBorder="1" applyAlignment="1" applyProtection="1">
      <alignment horizontal="center" vertical="center"/>
      <protection hidden="1"/>
    </xf>
    <xf numFmtId="0" fontId="127" fillId="6" borderId="0" xfId="0" applyFont="1" applyFill="1"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0" fillId="0" borderId="24" xfId="0" applyBorder="1" applyAlignment="1" applyProtection="1">
      <alignment horizontal="right" vertical="center"/>
      <protection hidden="1"/>
    </xf>
    <xf numFmtId="1" fontId="88" fillId="0" borderId="25" xfId="1" applyNumberFormat="1" applyFont="1" applyBorder="1" applyAlignment="1" applyProtection="1">
      <alignment horizontal="center" vertical="center"/>
      <protection hidden="1"/>
    </xf>
    <xf numFmtId="0" fontId="0" fillId="0" borderId="26" xfId="0" applyBorder="1" applyAlignment="1" applyProtection="1">
      <alignment horizontal="right" vertical="center"/>
      <protection hidden="1"/>
    </xf>
    <xf numFmtId="1" fontId="88" fillId="0" borderId="27" xfId="1" applyNumberFormat="1" applyFont="1" applyBorder="1" applyAlignment="1" applyProtection="1">
      <alignment horizontal="center" vertical="center"/>
      <protection hidden="1"/>
    </xf>
    <xf numFmtId="0" fontId="40" fillId="0" borderId="26" xfId="0" applyFont="1" applyBorder="1" applyAlignment="1" applyProtection="1">
      <alignment horizontal="right" vertical="center"/>
      <protection hidden="1"/>
    </xf>
    <xf numFmtId="0" fontId="0" fillId="0" borderId="22" xfId="0" applyBorder="1" applyAlignment="1" applyProtection="1">
      <alignment horizontal="right" vertical="center"/>
      <protection hidden="1"/>
    </xf>
    <xf numFmtId="176" fontId="0" fillId="0" borderId="8" xfId="1" applyNumberFormat="1" applyFont="1" applyBorder="1" applyAlignment="1" applyProtection="1">
      <alignment horizontal="center" vertical="center"/>
      <protection hidden="1"/>
    </xf>
    <xf numFmtId="176" fontId="36" fillId="0" borderId="8" xfId="1" applyNumberFormat="1" applyFont="1" applyBorder="1" applyAlignment="1" applyProtection="1">
      <alignment horizontal="center" vertical="center"/>
      <protection hidden="1"/>
    </xf>
    <xf numFmtId="176" fontId="37" fillId="0" borderId="8" xfId="1" applyNumberFormat="1" applyFont="1" applyBorder="1" applyAlignment="1" applyProtection="1">
      <alignment horizontal="center" vertical="center"/>
      <protection hidden="1"/>
    </xf>
    <xf numFmtId="1" fontId="88" fillId="0" borderId="23" xfId="1" applyNumberFormat="1" applyFont="1" applyBorder="1" applyAlignment="1" applyProtection="1">
      <alignment horizontal="center" vertical="center"/>
      <protection hidden="1"/>
    </xf>
    <xf numFmtId="0" fontId="43" fillId="0" borderId="0" xfId="0" applyFont="1" applyBorder="1" applyAlignment="1" applyProtection="1">
      <alignment horizontal="center" vertical="center"/>
      <protection hidden="1"/>
    </xf>
    <xf numFmtId="0" fontId="127" fillId="0" borderId="0" xfId="0" applyFont="1" applyBorder="1" applyAlignment="1" applyProtection="1">
      <alignment horizontal="center" vertical="center"/>
      <protection hidden="1"/>
    </xf>
    <xf numFmtId="0" fontId="38" fillId="0" borderId="0" xfId="1" applyFont="1" applyBorder="1" applyAlignment="1" applyProtection="1">
      <alignment horizontal="left" vertical="center"/>
      <protection hidden="1"/>
    </xf>
    <xf numFmtId="0" fontId="3" fillId="0" borderId="0" xfId="0" applyFont="1" applyAlignment="1" applyProtection="1">
      <alignment horizontal="left" vertical="center"/>
      <protection hidden="1"/>
    </xf>
    <xf numFmtId="0" fontId="51" fillId="0" borderId="0" xfId="0" applyFont="1" applyBorder="1" applyAlignment="1" applyProtection="1">
      <alignment vertical="center"/>
      <protection hidden="1"/>
    </xf>
    <xf numFmtId="0" fontId="0" fillId="0" borderId="18" xfId="0" applyBorder="1" applyAlignment="1" applyProtection="1">
      <alignment vertical="center" wrapText="1"/>
      <protection hidden="1"/>
    </xf>
    <xf numFmtId="0" fontId="127" fillId="0" borderId="19" xfId="0" applyFont="1" applyBorder="1" applyAlignment="1" applyProtection="1">
      <alignment horizontal="center" vertical="center"/>
      <protection hidden="1"/>
    </xf>
    <xf numFmtId="0" fontId="40" fillId="0" borderId="19" xfId="0" applyFont="1" applyBorder="1" applyAlignment="1" applyProtection="1">
      <alignment horizontal="center" vertical="center"/>
      <protection hidden="1"/>
    </xf>
    <xf numFmtId="0" fontId="0" fillId="0" borderId="18" xfId="0" applyBorder="1" applyAlignment="1" applyProtection="1">
      <alignment horizontal="left" vertical="center" shrinkToFit="1"/>
      <protection hidden="1"/>
    </xf>
    <xf numFmtId="0" fontId="43" fillId="0" borderId="19" xfId="0" applyFont="1" applyBorder="1" applyAlignment="1" applyProtection="1">
      <alignment horizontal="center" vertical="center"/>
      <protection hidden="1"/>
    </xf>
    <xf numFmtId="0" fontId="3" fillId="0" borderId="18" xfId="0" applyFont="1" applyBorder="1" applyAlignment="1" applyProtection="1">
      <alignment vertical="center" textRotation="90" shrinkToFit="1"/>
      <protection hidden="1"/>
    </xf>
    <xf numFmtId="0" fontId="51" fillId="0" borderId="19" xfId="0" applyFont="1" applyBorder="1" applyAlignment="1" applyProtection="1">
      <alignment vertical="center"/>
      <protection hidden="1"/>
    </xf>
    <xf numFmtId="0" fontId="76" fillId="0" borderId="0" xfId="0" applyFont="1" applyBorder="1" applyAlignment="1" applyProtection="1">
      <alignment horizontal="left" vertical="center"/>
      <protection hidden="1"/>
    </xf>
    <xf numFmtId="0" fontId="76" fillId="0" borderId="0" xfId="0" applyFont="1" applyBorder="1" applyAlignment="1" applyProtection="1">
      <alignment horizontal="center" vertical="center"/>
      <protection hidden="1"/>
    </xf>
    <xf numFmtId="0" fontId="0" fillId="0" borderId="18" xfId="0" quotePrefix="1" applyBorder="1" applyAlignment="1" applyProtection="1">
      <alignment horizontal="left" vertical="center"/>
      <protection hidden="1"/>
    </xf>
    <xf numFmtId="2" fontId="127" fillId="6" borderId="0" xfId="0" applyNumberFormat="1" applyFont="1" applyFill="1" applyBorder="1" applyAlignment="1" applyProtection="1">
      <alignment horizontal="center" vertical="center"/>
      <protection hidden="1"/>
    </xf>
    <xf numFmtId="2" fontId="40" fillId="5" borderId="0" xfId="0" applyNumberFormat="1" applyFont="1" applyFill="1" applyBorder="1" applyAlignment="1" applyProtection="1">
      <alignment horizontal="center" vertical="center"/>
      <protection hidden="1"/>
    </xf>
    <xf numFmtId="0" fontId="178" fillId="21" borderId="0" xfId="0" applyFont="1" applyFill="1" applyBorder="1" applyAlignment="1" applyProtection="1">
      <alignment horizontal="left" vertical="center" wrapText="1"/>
      <protection hidden="1"/>
    </xf>
    <xf numFmtId="0" fontId="4" fillId="0" borderId="18" xfId="0" applyFont="1" applyBorder="1" applyAlignment="1" applyProtection="1">
      <alignment horizontal="left" vertical="center"/>
      <protection hidden="1"/>
    </xf>
    <xf numFmtId="194" fontId="30" fillId="0" borderId="7" xfId="8" applyNumberFormat="1" applyFont="1" applyBorder="1" applyAlignment="1" applyProtection="1">
      <alignment horizontal="center" vertical="center"/>
      <protection hidden="1"/>
    </xf>
    <xf numFmtId="0" fontId="122" fillId="0" borderId="19" xfId="6" applyFont="1" applyBorder="1" applyAlignment="1" applyProtection="1">
      <alignment horizontal="left" vertical="center" wrapText="1"/>
      <protection hidden="1"/>
    </xf>
    <xf numFmtId="0" fontId="78" fillId="0" borderId="19" xfId="0" applyFont="1" applyBorder="1" applyAlignment="1" applyProtection="1">
      <alignment horizontal="center" vertical="center"/>
      <protection hidden="1"/>
    </xf>
    <xf numFmtId="0" fontId="78" fillId="0" borderId="7" xfId="0" applyFont="1" applyBorder="1" applyAlignment="1" applyProtection="1">
      <alignment horizontal="center" vertical="center"/>
      <protection hidden="1"/>
    </xf>
    <xf numFmtId="184" fontId="2" fillId="0" borderId="6" xfId="6" applyNumberFormat="1" applyBorder="1" applyAlignment="1" applyProtection="1">
      <alignment horizontal="center" vertical="center"/>
      <protection hidden="1"/>
    </xf>
    <xf numFmtId="184" fontId="2" fillId="0" borderId="19" xfId="6" applyNumberFormat="1" applyBorder="1" applyAlignment="1" applyProtection="1">
      <alignment horizontal="center" vertical="center"/>
      <protection hidden="1"/>
    </xf>
    <xf numFmtId="0" fontId="129" fillId="0" borderId="0" xfId="0" applyFont="1" applyBorder="1" applyAlignment="1" applyProtection="1">
      <alignment horizontal="center" vertical="center"/>
      <protection hidden="1"/>
    </xf>
    <xf numFmtId="0" fontId="3" fillId="0" borderId="18" xfId="0" applyFont="1" applyBorder="1" applyAlignment="1" applyProtection="1">
      <alignment vertical="center" wrapText="1"/>
      <protection hidden="1"/>
    </xf>
    <xf numFmtId="0" fontId="158" fillId="0" borderId="12" xfId="0" applyFont="1" applyBorder="1" applyAlignment="1" applyProtection="1">
      <alignment horizontal="center" vertical="center"/>
      <protection locked="0" hidden="1"/>
    </xf>
    <xf numFmtId="0" fontId="192" fillId="0" borderId="0" xfId="0" applyFont="1" applyBorder="1" applyAlignment="1" applyProtection="1">
      <alignment horizontal="left" vertical="center" wrapText="1"/>
      <protection hidden="1"/>
    </xf>
    <xf numFmtId="1" fontId="177" fillId="0" borderId="0" xfId="0" applyNumberFormat="1" applyFont="1" applyBorder="1" applyAlignment="1" applyProtection="1">
      <alignment horizontal="center" vertical="center"/>
      <protection hidden="1"/>
    </xf>
    <xf numFmtId="0" fontId="122" fillId="0" borderId="6" xfId="6" applyFont="1" applyBorder="1" applyAlignment="1" applyProtection="1">
      <alignment horizontal="left" vertical="center" wrapText="1"/>
      <protection hidden="1"/>
    </xf>
    <xf numFmtId="0" fontId="3" fillId="0" borderId="18" xfId="6" applyFont="1" applyBorder="1" applyAlignment="1" applyProtection="1">
      <alignment vertical="center"/>
      <protection hidden="1"/>
    </xf>
    <xf numFmtId="184" fontId="2" fillId="0" borderId="0" xfId="6" applyNumberFormat="1" applyAlignment="1" applyProtection="1">
      <alignment vertical="center"/>
      <protection hidden="1"/>
    </xf>
    <xf numFmtId="0" fontId="56" fillId="0" borderId="0" xfId="6" applyFont="1" applyAlignment="1" applyProtection="1">
      <alignment horizontal="center" vertical="center"/>
      <protection hidden="1"/>
    </xf>
    <xf numFmtId="0" fontId="192" fillId="0" borderId="13" xfId="0" applyFont="1" applyBorder="1" applyAlignment="1" applyProtection="1">
      <alignment horizontal="left" vertical="center" wrapText="1"/>
      <protection hidden="1"/>
    </xf>
    <xf numFmtId="0" fontId="192" fillId="0" borderId="1" xfId="0" applyFont="1" applyBorder="1" applyAlignment="1" applyProtection="1">
      <alignment horizontal="left" vertical="center" wrapText="1"/>
      <protection hidden="1"/>
    </xf>
    <xf numFmtId="0" fontId="192" fillId="0" borderId="6" xfId="0" applyFont="1" applyBorder="1" applyAlignment="1" applyProtection="1">
      <alignment horizontal="left" vertical="center" wrapText="1"/>
      <protection hidden="1"/>
    </xf>
    <xf numFmtId="184" fontId="2" fillId="0" borderId="2" xfId="6" applyNumberFormat="1" applyBorder="1" applyAlignment="1" applyProtection="1">
      <alignment vertical="center"/>
      <protection hidden="1"/>
    </xf>
    <xf numFmtId="0" fontId="2" fillId="0" borderId="1" xfId="6" applyBorder="1" applyAlignment="1" applyProtection="1">
      <alignment horizontal="center" vertical="center"/>
      <protection hidden="1"/>
    </xf>
    <xf numFmtId="0" fontId="2" fillId="0" borderId="1" xfId="6" applyBorder="1" applyAlignment="1" applyProtection="1">
      <alignment vertical="center"/>
      <protection hidden="1"/>
    </xf>
    <xf numFmtId="0" fontId="2" fillId="0" borderId="6" xfId="6" applyBorder="1" applyAlignment="1" applyProtection="1">
      <alignment vertical="center"/>
      <protection hidden="1"/>
    </xf>
    <xf numFmtId="0" fontId="2" fillId="0" borderId="19" xfId="6" applyBorder="1" applyAlignment="1" applyProtection="1">
      <alignment vertical="center"/>
      <protection hidden="1"/>
    </xf>
    <xf numFmtId="2" fontId="201" fillId="0" borderId="12" xfId="0" applyNumberFormat="1" applyFont="1" applyBorder="1" applyAlignment="1" applyProtection="1">
      <alignment horizontal="center" vertical="center"/>
      <protection locked="0"/>
    </xf>
    <xf numFmtId="184" fontId="0" fillId="0" borderId="0" xfId="6" applyNumberFormat="1" applyFont="1" applyAlignment="1" applyProtection="1">
      <alignment horizontal="center" vertical="center"/>
      <protection hidden="1"/>
    </xf>
    <xf numFmtId="184" fontId="2" fillId="0" borderId="1" xfId="6" applyNumberFormat="1" applyBorder="1" applyAlignment="1" applyProtection="1">
      <alignment horizontal="center" vertical="center"/>
      <protection hidden="1"/>
    </xf>
    <xf numFmtId="0" fontId="2" fillId="0" borderId="18" xfId="6" applyBorder="1" applyAlignment="1" applyProtection="1">
      <alignment vertical="center" wrapText="1"/>
      <protection hidden="1"/>
    </xf>
    <xf numFmtId="0" fontId="0" fillId="0" borderId="20" xfId="6" applyFont="1" applyBorder="1" applyAlignment="1" applyProtection="1">
      <alignment vertical="center"/>
      <protection hidden="1"/>
    </xf>
    <xf numFmtId="0" fontId="40" fillId="0" borderId="2" xfId="6" applyFont="1" applyBorder="1" applyAlignment="1" applyProtection="1">
      <alignment horizontal="center" vertical="center"/>
      <protection hidden="1"/>
    </xf>
    <xf numFmtId="184" fontId="2" fillId="0" borderId="2" xfId="6" applyNumberFormat="1" applyBorder="1" applyAlignment="1" applyProtection="1">
      <alignment horizontal="center" vertical="center"/>
      <protection hidden="1"/>
    </xf>
    <xf numFmtId="184" fontId="2" fillId="0" borderId="18" xfId="6" applyNumberFormat="1" applyBorder="1" applyAlignment="1" applyProtection="1">
      <alignment horizontal="left" vertical="center"/>
      <protection hidden="1"/>
    </xf>
    <xf numFmtId="184" fontId="3" fillId="0" borderId="13" xfId="6" applyNumberFormat="1" applyFont="1" applyBorder="1" applyAlignment="1" applyProtection="1">
      <alignment vertical="center"/>
      <protection hidden="1"/>
    </xf>
    <xf numFmtId="184" fontId="202" fillId="0" borderId="6" xfId="6" applyNumberFormat="1" applyFont="1" applyBorder="1" applyAlignment="1" applyProtection="1">
      <alignment horizontal="center" vertical="center"/>
      <protection hidden="1"/>
    </xf>
    <xf numFmtId="184" fontId="0" fillId="0" borderId="18" xfId="6" applyNumberFormat="1" applyFont="1" applyBorder="1" applyAlignment="1" applyProtection="1">
      <alignment horizontal="left" vertical="center"/>
      <protection hidden="1"/>
    </xf>
    <xf numFmtId="0" fontId="2" fillId="0" borderId="0" xfId="2" applyFont="1" applyAlignment="1" applyProtection="1">
      <alignment vertical="center"/>
      <protection hidden="1"/>
    </xf>
    <xf numFmtId="0" fontId="2" fillId="0" borderId="0" xfId="2" applyFont="1" applyAlignment="1" applyProtection="1">
      <alignment horizontal="center" vertical="center"/>
      <protection hidden="1"/>
    </xf>
    <xf numFmtId="0" fontId="2" fillId="0" borderId="0" xfId="5" applyFont="1" applyAlignment="1" applyProtection="1">
      <alignment vertical="center"/>
      <protection hidden="1"/>
    </xf>
    <xf numFmtId="0" fontId="6" fillId="0" borderId="0" xfId="2" applyFont="1" applyAlignment="1" applyProtection="1">
      <alignment vertical="center"/>
      <protection hidden="1"/>
    </xf>
    <xf numFmtId="0" fontId="6" fillId="0" borderId="0" xfId="2" applyFont="1" applyAlignment="1" applyProtection="1">
      <alignment horizontal="center" vertical="center"/>
      <protection hidden="1"/>
    </xf>
    <xf numFmtId="0" fontId="6" fillId="0" borderId="13" xfId="2" applyFont="1" applyBorder="1" applyAlignment="1" applyProtection="1">
      <alignment vertical="center"/>
      <protection hidden="1"/>
    </xf>
    <xf numFmtId="0" fontId="6" fillId="0" borderId="1" xfId="2" applyFont="1" applyBorder="1" applyAlignment="1" applyProtection="1">
      <alignment horizontal="center" vertical="center"/>
      <protection hidden="1"/>
    </xf>
    <xf numFmtId="0" fontId="2" fillId="0" borderId="6" xfId="2" applyFont="1" applyBorder="1" applyAlignment="1" applyProtection="1">
      <alignment vertical="center"/>
      <protection hidden="1"/>
    </xf>
    <xf numFmtId="0" fontId="0" fillId="0" borderId="18" xfId="2" applyFont="1" applyBorder="1" applyAlignment="1" applyProtection="1">
      <alignment vertical="center"/>
      <protection hidden="1"/>
    </xf>
    <xf numFmtId="0" fontId="0" fillId="0" borderId="0" xfId="2" applyFont="1" applyAlignment="1" applyProtection="1">
      <alignment horizontal="center" vertical="center"/>
      <protection hidden="1"/>
    </xf>
    <xf numFmtId="0" fontId="2" fillId="0" borderId="19" xfId="5" applyFont="1" applyBorder="1" applyAlignment="1" applyProtection="1">
      <alignment vertical="center"/>
      <protection hidden="1"/>
    </xf>
    <xf numFmtId="0" fontId="6" fillId="0" borderId="18" xfId="2" applyFont="1" applyBorder="1" applyAlignment="1" applyProtection="1">
      <alignment vertical="center"/>
      <protection hidden="1"/>
    </xf>
    <xf numFmtId="0" fontId="7" fillId="0" borderId="18" xfId="5" applyFont="1" applyBorder="1" applyAlignment="1" applyProtection="1">
      <alignment vertical="center"/>
      <protection hidden="1"/>
    </xf>
    <xf numFmtId="0" fontId="33" fillId="0" borderId="12" xfId="2" applyFont="1" applyBorder="1" applyAlignment="1" applyProtection="1">
      <alignment horizontal="center" vertical="center"/>
      <protection hidden="1"/>
    </xf>
    <xf numFmtId="0" fontId="31" fillId="0" borderId="0" xfId="2" applyFont="1" applyAlignment="1" applyProtection="1">
      <alignment vertical="center"/>
      <protection hidden="1"/>
    </xf>
    <xf numFmtId="0" fontId="2" fillId="0" borderId="18" xfId="2" applyFont="1" applyBorder="1" applyAlignment="1" applyProtection="1">
      <alignment vertical="center"/>
      <protection hidden="1"/>
    </xf>
    <xf numFmtId="0" fontId="35" fillId="0" borderId="0" xfId="2" applyFont="1" applyAlignment="1" applyProtection="1">
      <alignment vertical="center"/>
      <protection hidden="1"/>
    </xf>
    <xf numFmtId="0" fontId="34" fillId="0" borderId="19" xfId="5" applyFont="1" applyBorder="1" applyAlignment="1" applyProtection="1">
      <alignment horizontal="center" vertical="center"/>
      <protection hidden="1"/>
    </xf>
    <xf numFmtId="0" fontId="35" fillId="0" borderId="18" xfId="2" applyFont="1" applyBorder="1" applyAlignment="1" applyProtection="1">
      <alignment vertical="center"/>
      <protection hidden="1"/>
    </xf>
    <xf numFmtId="0" fontId="35" fillId="0" borderId="0" xfId="2" applyFont="1" applyAlignment="1" applyProtection="1">
      <alignment horizontal="center" vertical="center"/>
      <protection hidden="1"/>
    </xf>
    <xf numFmtId="176" fontId="2" fillId="0" borderId="0" xfId="5" applyNumberFormat="1" applyFont="1" applyAlignment="1" applyProtection="1">
      <alignment horizontal="center" vertical="center"/>
      <protection hidden="1"/>
    </xf>
    <xf numFmtId="191" fontId="2" fillId="0" borderId="0" xfId="5" applyNumberFormat="1" applyFont="1" applyAlignment="1" applyProtection="1">
      <alignment horizontal="center" vertical="center"/>
      <protection hidden="1"/>
    </xf>
    <xf numFmtId="0" fontId="129" fillId="0" borderId="18" xfId="2" applyFont="1" applyBorder="1" applyAlignment="1" applyProtection="1">
      <alignment vertical="center"/>
      <protection hidden="1"/>
    </xf>
    <xf numFmtId="2" fontId="129" fillId="0" borderId="0" xfId="2" applyNumberFormat="1" applyFont="1" applyAlignment="1" applyProtection="1">
      <alignment horizontal="center" vertical="center"/>
      <protection hidden="1"/>
    </xf>
    <xf numFmtId="0" fontId="10" fillId="0" borderId="18" xfId="5" applyFont="1" applyBorder="1" applyAlignment="1" applyProtection="1">
      <alignment vertical="center"/>
      <protection hidden="1"/>
    </xf>
    <xf numFmtId="0" fontId="10" fillId="0" borderId="0" xfId="5" applyFont="1" applyAlignment="1" applyProtection="1">
      <alignment horizontal="center" vertical="center"/>
      <protection hidden="1"/>
    </xf>
    <xf numFmtId="0" fontId="51" fillId="0" borderId="18" xfId="5" applyFont="1" applyBorder="1" applyAlignment="1" applyProtection="1">
      <alignment vertical="center"/>
      <protection hidden="1"/>
    </xf>
    <xf numFmtId="184" fontId="51" fillId="0" borderId="0" xfId="5" applyNumberFormat="1" applyFont="1" applyAlignment="1" applyProtection="1">
      <alignment horizontal="center" vertical="center"/>
      <protection hidden="1"/>
    </xf>
    <xf numFmtId="0" fontId="55" fillId="0" borderId="20" xfId="2" applyFont="1" applyBorder="1" applyAlignment="1" applyProtection="1">
      <alignment vertical="center"/>
      <protection hidden="1"/>
    </xf>
    <xf numFmtId="0" fontId="55" fillId="0" borderId="2" xfId="2" applyFont="1" applyBorder="1" applyAlignment="1" applyProtection="1">
      <alignment horizontal="center" vertical="center"/>
      <protection hidden="1"/>
    </xf>
    <xf numFmtId="0" fontId="2" fillId="0" borderId="7" xfId="5" applyFont="1" applyBorder="1" applyAlignment="1" applyProtection="1">
      <alignment vertical="center"/>
      <protection hidden="1"/>
    </xf>
    <xf numFmtId="0" fontId="55" fillId="0" borderId="0" xfId="2" applyFont="1" applyAlignment="1" applyProtection="1">
      <alignment vertical="center"/>
      <protection hidden="1"/>
    </xf>
    <xf numFmtId="0" fontId="55" fillId="0" borderId="0" xfId="2" applyFont="1" applyAlignment="1" applyProtection="1">
      <alignment horizontal="center" vertical="center"/>
      <protection hidden="1"/>
    </xf>
    <xf numFmtId="0" fontId="50" fillId="0" borderId="0" xfId="5" applyFont="1" applyAlignment="1" applyProtection="1">
      <alignment horizontal="center" vertical="center"/>
      <protection hidden="1"/>
    </xf>
    <xf numFmtId="0" fontId="9" fillId="0" borderId="0" xfId="2" applyFont="1" applyAlignment="1" applyProtection="1">
      <alignment vertical="center"/>
      <protection hidden="1"/>
    </xf>
    <xf numFmtId="192" fontId="9" fillId="0" borderId="0" xfId="5" applyNumberFormat="1" applyFont="1" applyAlignment="1" applyProtection="1">
      <alignment horizontal="center" vertical="center"/>
      <protection hidden="1"/>
    </xf>
    <xf numFmtId="191" fontId="9" fillId="0" borderId="0" xfId="5" applyNumberFormat="1" applyFont="1" applyAlignment="1" applyProtection="1">
      <alignment horizontal="center" vertical="center"/>
      <protection hidden="1"/>
    </xf>
    <xf numFmtId="2" fontId="9" fillId="0" borderId="0" xfId="5" applyNumberFormat="1" applyFont="1" applyAlignment="1" applyProtection="1">
      <alignment horizontal="center" vertical="center"/>
      <protection hidden="1"/>
    </xf>
    <xf numFmtId="0" fontId="174" fillId="0" borderId="18" xfId="2" applyFont="1" applyBorder="1" applyAlignment="1" applyProtection="1">
      <alignment vertical="center"/>
      <protection hidden="1"/>
    </xf>
    <xf numFmtId="176" fontId="174" fillId="0" borderId="0" xfId="5" applyNumberFormat="1" applyFont="1" applyAlignment="1" applyProtection="1">
      <alignment horizontal="center" vertical="center"/>
      <protection hidden="1"/>
    </xf>
    <xf numFmtId="0" fontId="127" fillId="0" borderId="0" xfId="0" applyFont="1" applyBorder="1" applyAlignment="1" applyProtection="1">
      <alignment horizontal="left" vertical="center" wrapText="1"/>
      <protection hidden="1"/>
    </xf>
    <xf numFmtId="0" fontId="123" fillId="0" borderId="0" xfId="0" applyFont="1" applyBorder="1" applyAlignment="1" applyProtection="1">
      <alignment horizontal="center" vertical="center"/>
      <protection hidden="1"/>
    </xf>
    <xf numFmtId="0" fontId="4" fillId="0" borderId="1" xfId="14" applyFont="1" applyBorder="1" applyAlignment="1" applyProtection="1">
      <alignment vertical="center"/>
      <protection hidden="1"/>
    </xf>
    <xf numFmtId="0" fontId="4" fillId="0" borderId="18" xfId="14" applyFont="1" applyBorder="1" applyAlignment="1" applyProtection="1">
      <alignment vertical="center"/>
      <protection hidden="1"/>
    </xf>
    <xf numFmtId="0" fontId="4" fillId="0" borderId="19" xfId="14" applyFont="1" applyBorder="1" applyAlignment="1" applyProtection="1">
      <alignment vertical="center"/>
      <protection hidden="1"/>
    </xf>
    <xf numFmtId="0" fontId="4" fillId="0" borderId="20" xfId="14" applyFont="1" applyBorder="1" applyAlignment="1" applyProtection="1">
      <alignment vertical="center"/>
      <protection hidden="1"/>
    </xf>
    <xf numFmtId="0" fontId="4" fillId="0" borderId="2" xfId="14" applyFont="1" applyBorder="1" applyAlignment="1" applyProtection="1">
      <alignment vertical="center"/>
      <protection hidden="1"/>
    </xf>
    <xf numFmtId="0" fontId="4" fillId="0" borderId="7" xfId="14" applyFont="1" applyBorder="1" applyAlignment="1" applyProtection="1">
      <alignment vertical="center"/>
      <protection hidden="1"/>
    </xf>
    <xf numFmtId="0" fontId="205" fillId="22" borderId="0" xfId="0" applyFont="1" applyFill="1" applyBorder="1" applyAlignment="1" applyProtection="1">
      <alignment horizontal="center" vertical="center"/>
      <protection hidden="1"/>
    </xf>
    <xf numFmtId="0" fontId="120" fillId="0" borderId="0" xfId="0" applyFont="1" applyBorder="1" applyAlignment="1" applyProtection="1">
      <alignment vertical="center"/>
      <protection hidden="1"/>
    </xf>
    <xf numFmtId="0" fontId="178" fillId="21" borderId="0" xfId="14" applyFont="1" applyFill="1" applyAlignment="1" applyProtection="1">
      <alignment vertical="center"/>
      <protection hidden="1"/>
    </xf>
    <xf numFmtId="0" fontId="3" fillId="0" borderId="0" xfId="14" applyFont="1" applyAlignment="1" applyProtection="1">
      <alignment vertical="center"/>
      <protection hidden="1"/>
    </xf>
    <xf numFmtId="0" fontId="3" fillId="0" borderId="0" xfId="7" applyFont="1" applyAlignment="1" applyProtection="1">
      <alignment vertical="center"/>
      <protection hidden="1"/>
    </xf>
    <xf numFmtId="0" fontId="10" fillId="0" borderId="37" xfId="7" applyFont="1" applyBorder="1" applyAlignment="1" applyProtection="1">
      <alignment horizontal="center" vertical="center"/>
      <protection hidden="1"/>
    </xf>
    <xf numFmtId="0" fontId="10" fillId="0" borderId="34" xfId="7" applyFont="1" applyBorder="1" applyAlignment="1" applyProtection="1">
      <alignment horizontal="center" vertical="center"/>
      <protection hidden="1"/>
    </xf>
    <xf numFmtId="0" fontId="178" fillId="21" borderId="12" xfId="14" applyFont="1" applyFill="1" applyBorder="1" applyAlignment="1" applyProtection="1">
      <alignment vertical="center"/>
      <protection hidden="1"/>
    </xf>
    <xf numFmtId="0" fontId="178" fillId="21" borderId="0" xfId="14" applyFont="1" applyFill="1" applyAlignment="1" applyProtection="1">
      <alignment horizontal="center" vertical="center"/>
      <protection hidden="1"/>
    </xf>
    <xf numFmtId="0" fontId="154" fillId="0" borderId="1" xfId="14" applyFont="1" applyBorder="1" applyAlignment="1" applyProtection="1">
      <alignment vertical="center"/>
      <protection hidden="1"/>
    </xf>
    <xf numFmtId="0" fontId="32" fillId="0" borderId="1" xfId="0" applyFont="1" applyBorder="1" applyAlignment="1" applyProtection="1">
      <alignment vertical="center"/>
      <protection hidden="1"/>
    </xf>
    <xf numFmtId="0" fontId="127" fillId="0" borderId="33" xfId="7" applyFont="1" applyBorder="1" applyAlignment="1" applyProtection="1">
      <alignment horizontal="center" vertical="center"/>
      <protection locked="0" hidden="1"/>
    </xf>
    <xf numFmtId="0" fontId="38" fillId="17" borderId="18" xfId="14" applyFont="1" applyFill="1" applyBorder="1" applyAlignment="1" applyProtection="1">
      <alignment horizontal="center" vertical="center"/>
      <protection hidden="1"/>
    </xf>
    <xf numFmtId="176" fontId="38" fillId="17" borderId="18" xfId="14" applyNumberFormat="1" applyFont="1" applyFill="1" applyBorder="1" applyAlignment="1" applyProtection="1">
      <alignment horizontal="center" vertical="center"/>
      <protection hidden="1"/>
    </xf>
    <xf numFmtId="176" fontId="38" fillId="17" borderId="0" xfId="14" applyNumberFormat="1" applyFont="1" applyFill="1" applyAlignment="1" applyProtection="1">
      <alignment horizontal="center" vertical="center"/>
      <protection hidden="1"/>
    </xf>
    <xf numFmtId="176" fontId="38" fillId="17" borderId="19" xfId="14" applyNumberFormat="1" applyFont="1" applyFill="1" applyBorder="1" applyAlignment="1" applyProtection="1">
      <alignment horizontal="center" vertical="center"/>
      <protection hidden="1"/>
    </xf>
    <xf numFmtId="43" fontId="38" fillId="17" borderId="18" xfId="13" applyFont="1" applyFill="1" applyBorder="1" applyAlignment="1" applyProtection="1">
      <alignment horizontal="right" vertical="center"/>
      <protection hidden="1"/>
    </xf>
    <xf numFmtId="43" fontId="38" fillId="17" borderId="65" xfId="13" applyFont="1" applyFill="1" applyBorder="1" applyAlignment="1" applyProtection="1">
      <alignment horizontal="right" vertical="center"/>
      <protection hidden="1"/>
    </xf>
    <xf numFmtId="2" fontId="78" fillId="17" borderId="18" xfId="14" applyNumberFormat="1" applyFont="1" applyFill="1" applyBorder="1" applyAlignment="1" applyProtection="1">
      <alignment horizontal="center" vertical="center"/>
      <protection hidden="1"/>
    </xf>
    <xf numFmtId="1" fontId="78" fillId="17" borderId="37" xfId="14" applyNumberFormat="1" applyFont="1" applyFill="1" applyBorder="1" applyAlignment="1" applyProtection="1">
      <alignment horizontal="center" vertical="center"/>
      <protection hidden="1"/>
    </xf>
    <xf numFmtId="4" fontId="59" fillId="17" borderId="0" xfId="14" applyNumberFormat="1" applyFont="1" applyFill="1" applyAlignment="1" applyProtection="1">
      <alignment horizontal="center" vertical="center"/>
      <protection hidden="1"/>
    </xf>
    <xf numFmtId="4" fontId="59" fillId="17" borderId="0" xfId="14" applyNumberFormat="1" applyFont="1" applyFill="1" applyAlignment="1" applyProtection="1">
      <alignment horizontal="right" vertical="center"/>
      <protection hidden="1"/>
    </xf>
    <xf numFmtId="4" fontId="59" fillId="17" borderId="3" xfId="14" applyNumberFormat="1" applyFont="1" applyFill="1" applyBorder="1" applyAlignment="1" applyProtection="1">
      <alignment horizontal="right" vertical="center"/>
      <protection hidden="1"/>
    </xf>
    <xf numFmtId="4" fontId="84" fillId="17" borderId="18" xfId="14" applyNumberFormat="1" applyFont="1" applyFill="1" applyBorder="1" applyAlignment="1" applyProtection="1">
      <alignment horizontal="center" vertical="center"/>
      <protection hidden="1"/>
    </xf>
    <xf numFmtId="4" fontId="84" fillId="17" borderId="0" xfId="14" applyNumberFormat="1" applyFont="1" applyFill="1" applyAlignment="1" applyProtection="1">
      <alignment horizontal="right" vertical="center"/>
      <protection hidden="1"/>
    </xf>
    <xf numFmtId="4" fontId="84" fillId="17" borderId="65" xfId="14" applyNumberFormat="1" applyFont="1" applyFill="1" applyBorder="1" applyAlignment="1" applyProtection="1">
      <alignment horizontal="right" vertical="center"/>
      <protection hidden="1"/>
    </xf>
    <xf numFmtId="0" fontId="81" fillId="0" borderId="13" xfId="0" applyFont="1" applyBorder="1" applyAlignment="1" applyProtection="1">
      <alignment horizontal="center" vertical="center"/>
      <protection hidden="1"/>
    </xf>
    <xf numFmtId="2" fontId="89" fillId="0" borderId="0" xfId="0" applyNumberFormat="1" applyFont="1" applyBorder="1" applyAlignment="1" applyProtection="1">
      <alignment vertical="center"/>
      <protection hidden="1"/>
    </xf>
    <xf numFmtId="0" fontId="89" fillId="0" borderId="0" xfId="0" applyFont="1" applyBorder="1" applyAlignment="1" applyProtection="1">
      <alignment horizontal="right" vertical="center"/>
      <protection hidden="1"/>
    </xf>
    <xf numFmtId="191" fontId="87" fillId="0" borderId="0" xfId="0" applyNumberFormat="1" applyFont="1" applyBorder="1" applyAlignment="1" applyProtection="1">
      <alignment horizontal="center" vertical="center"/>
      <protection hidden="1"/>
    </xf>
    <xf numFmtId="0" fontId="141" fillId="0" borderId="0" xfId="0" applyFont="1" applyBorder="1" applyAlignment="1" applyProtection="1">
      <alignment horizontal="center" vertical="center"/>
      <protection hidden="1"/>
    </xf>
    <xf numFmtId="0" fontId="127" fillId="21" borderId="0" xfId="0" applyFont="1" applyFill="1" applyBorder="1" applyAlignment="1" applyProtection="1">
      <alignment horizontal="left" vertical="center"/>
      <protection hidden="1"/>
    </xf>
    <xf numFmtId="0" fontId="3" fillId="0" borderId="19" xfId="0" applyFont="1" applyBorder="1" applyAlignment="1" applyProtection="1">
      <alignment horizontal="left" vertical="center"/>
      <protection hidden="1"/>
    </xf>
    <xf numFmtId="9" fontId="0" fillId="0" borderId="0" xfId="0" applyNumberFormat="1" applyAlignment="1" applyProtection="1">
      <alignment horizontal="center" vertical="center"/>
      <protection hidden="1"/>
    </xf>
    <xf numFmtId="0" fontId="127" fillId="21" borderId="0" xfId="0" applyFont="1" applyFill="1" applyBorder="1" applyAlignment="1" applyProtection="1">
      <alignment vertical="center"/>
      <protection hidden="1"/>
    </xf>
    <xf numFmtId="176" fontId="89" fillId="0" borderId="0" xfId="0" applyNumberFormat="1" applyFont="1" applyAlignment="1" applyProtection="1">
      <alignment horizontal="center" vertical="center"/>
      <protection hidden="1"/>
    </xf>
    <xf numFmtId="0" fontId="4" fillId="0" borderId="0" xfId="0" applyFont="1" applyBorder="1" applyAlignment="1" applyProtection="1">
      <alignment vertical="center"/>
      <protection hidden="1"/>
    </xf>
    <xf numFmtId="0" fontId="38" fillId="16" borderId="34" xfId="14" applyFont="1" applyFill="1" applyBorder="1" applyAlignment="1" applyProtection="1">
      <alignment horizontal="center" vertical="center"/>
      <protection hidden="1"/>
    </xf>
    <xf numFmtId="0" fontId="81" fillId="21" borderId="12" xfId="0" applyFont="1" applyFill="1" applyBorder="1" applyAlignment="1" applyProtection="1">
      <alignment horizontal="center" vertical="center" wrapText="1"/>
      <protection hidden="1"/>
    </xf>
    <xf numFmtId="0" fontId="92" fillId="11" borderId="32" xfId="9" applyFont="1" applyFill="1" applyBorder="1" applyAlignment="1" applyProtection="1">
      <alignment horizontal="center" vertical="center"/>
      <protection hidden="1"/>
    </xf>
    <xf numFmtId="0" fontId="92" fillId="11" borderId="17" xfId="9" applyFont="1" applyFill="1" applyBorder="1" applyAlignment="1" applyProtection="1">
      <alignment horizontal="center" vertical="center"/>
      <protection hidden="1"/>
    </xf>
    <xf numFmtId="0" fontId="92" fillId="12" borderId="32" xfId="9" applyFont="1" applyFill="1" applyBorder="1" applyAlignment="1" applyProtection="1">
      <alignment horizontal="center" vertical="center"/>
      <protection hidden="1"/>
    </xf>
    <xf numFmtId="0" fontId="92" fillId="12" borderId="17" xfId="9" applyFont="1" applyFill="1" applyBorder="1" applyAlignment="1" applyProtection="1">
      <alignment horizontal="center" vertical="center"/>
      <protection hidden="1"/>
    </xf>
    <xf numFmtId="0" fontId="92" fillId="13" borderId="32" xfId="9" applyFont="1" applyFill="1" applyBorder="1" applyAlignment="1" applyProtection="1">
      <alignment horizontal="center" vertical="center"/>
      <protection hidden="1"/>
    </xf>
    <xf numFmtId="0" fontId="92" fillId="13" borderId="17" xfId="9" applyFont="1" applyFill="1" applyBorder="1" applyAlignment="1" applyProtection="1">
      <alignment horizontal="center" vertical="center"/>
      <protection hidden="1"/>
    </xf>
    <xf numFmtId="0" fontId="92" fillId="14" borderId="32" xfId="9" applyFont="1" applyFill="1" applyBorder="1" applyAlignment="1" applyProtection="1">
      <alignment horizontal="center" vertical="center"/>
      <protection hidden="1"/>
    </xf>
    <xf numFmtId="0" fontId="92" fillId="14" borderId="17" xfId="9" applyFont="1" applyFill="1" applyBorder="1" applyAlignment="1" applyProtection="1">
      <alignment horizontal="center" vertical="center"/>
      <protection hidden="1"/>
    </xf>
    <xf numFmtId="0" fontId="92" fillId="15" borderId="32" xfId="9" applyFont="1" applyFill="1" applyBorder="1" applyAlignment="1" applyProtection="1">
      <alignment horizontal="center" vertical="center"/>
      <protection hidden="1"/>
    </xf>
    <xf numFmtId="0" fontId="92" fillId="15" borderId="17" xfId="9" applyFont="1" applyFill="1" applyBorder="1" applyAlignment="1" applyProtection="1">
      <alignment horizontal="center" vertical="center"/>
      <protection hidden="1"/>
    </xf>
    <xf numFmtId="0" fontId="81" fillId="0" borderId="13" xfId="0" applyFont="1" applyBorder="1" applyAlignment="1" applyProtection="1">
      <alignment horizontal="center" vertical="center"/>
      <protection locked="0" hidden="1"/>
    </xf>
    <xf numFmtId="0" fontId="38" fillId="16" borderId="20" xfId="14" applyFont="1" applyFill="1" applyBorder="1" applyAlignment="1" applyProtection="1">
      <alignment horizontal="center" vertical="center"/>
      <protection hidden="1"/>
    </xf>
    <xf numFmtId="0" fontId="38" fillId="16" borderId="2" xfId="14" applyFont="1" applyFill="1" applyBorder="1" applyAlignment="1" applyProtection="1">
      <alignment horizontal="center" vertical="center"/>
      <protection hidden="1"/>
    </xf>
    <xf numFmtId="0" fontId="0" fillId="16" borderId="12" xfId="0" applyFill="1" applyBorder="1" applyAlignment="1" applyProtection="1">
      <alignment horizontal="center" vertical="center" wrapText="1"/>
      <protection hidden="1"/>
    </xf>
    <xf numFmtId="0" fontId="0" fillId="16" borderId="12" xfId="1" applyFont="1" applyFill="1" applyBorder="1" applyAlignment="1" applyProtection="1">
      <alignment horizontal="center" vertical="center" wrapText="1"/>
      <protection hidden="1"/>
    </xf>
    <xf numFmtId="0" fontId="0" fillId="16" borderId="12" xfId="0" applyFill="1" applyBorder="1" applyAlignment="1" applyProtection="1">
      <alignment horizontal="center" vertical="center"/>
      <protection hidden="1"/>
    </xf>
    <xf numFmtId="0" fontId="127" fillId="21" borderId="14" xfId="0" applyFont="1" applyFill="1" applyBorder="1" applyAlignment="1" applyProtection="1">
      <alignment horizontal="left" vertical="center"/>
      <protection hidden="1"/>
    </xf>
    <xf numFmtId="0" fontId="81" fillId="21" borderId="15" xfId="0" applyFont="1" applyFill="1" applyBorder="1" applyAlignment="1" applyProtection="1">
      <alignment horizontal="center" vertical="center"/>
      <protection hidden="1"/>
    </xf>
    <xf numFmtId="0" fontId="127" fillId="21" borderId="16" xfId="0" applyFont="1" applyFill="1" applyBorder="1" applyAlignment="1" applyProtection="1">
      <alignment horizontal="center" vertical="center"/>
      <protection hidden="1"/>
    </xf>
    <xf numFmtId="0" fontId="0" fillId="0" borderId="19" xfId="0" applyBorder="1" applyAlignment="1" applyProtection="1">
      <alignment horizontal="left" vertical="center"/>
      <protection hidden="1"/>
    </xf>
    <xf numFmtId="0" fontId="44" fillId="0" borderId="18" xfId="4" applyBorder="1" applyAlignment="1" applyProtection="1">
      <alignment vertical="center"/>
      <protection hidden="1"/>
    </xf>
    <xf numFmtId="1" fontId="10" fillId="0" borderId="0" xfId="0" applyNumberFormat="1" applyFont="1" applyBorder="1" applyAlignment="1" applyProtection="1">
      <alignment vertical="center"/>
      <protection hidden="1"/>
    </xf>
    <xf numFmtId="0" fontId="92" fillId="12" borderId="4" xfId="9" applyFont="1" applyFill="1" applyBorder="1" applyAlignment="1" applyProtection="1">
      <alignment horizontal="center" vertical="center"/>
      <protection hidden="1"/>
    </xf>
    <xf numFmtId="0" fontId="95" fillId="16" borderId="12" xfId="9" applyFont="1" applyFill="1" applyBorder="1" applyAlignment="1" applyProtection="1">
      <alignment horizontal="center" vertical="center"/>
      <protection hidden="1"/>
    </xf>
    <xf numFmtId="0" fontId="92" fillId="0" borderId="13" xfId="9" applyFont="1" applyBorder="1" applyAlignment="1" applyProtection="1">
      <alignment horizontal="right" vertical="center"/>
      <protection hidden="1"/>
    </xf>
    <xf numFmtId="1" fontId="92" fillId="0" borderId="78" xfId="9" applyNumberFormat="1" applyFont="1" applyBorder="1" applyAlignment="1" applyProtection="1">
      <alignment horizontal="right" vertical="center"/>
      <protection hidden="1"/>
    </xf>
    <xf numFmtId="0" fontId="92" fillId="17" borderId="18" xfId="9" applyFont="1" applyFill="1" applyBorder="1" applyAlignment="1" applyProtection="1">
      <alignment horizontal="right" vertical="center"/>
      <protection hidden="1"/>
    </xf>
    <xf numFmtId="1" fontId="92" fillId="17" borderId="65" xfId="9" applyNumberFormat="1" applyFont="1" applyFill="1" applyBorder="1" applyAlignment="1" applyProtection="1">
      <alignment horizontal="right" vertical="center"/>
      <protection hidden="1"/>
    </xf>
    <xf numFmtId="0" fontId="92" fillId="0" borderId="18" xfId="9" applyFont="1" applyBorder="1" applyAlignment="1" applyProtection="1">
      <alignment horizontal="right" vertical="center"/>
      <protection hidden="1"/>
    </xf>
    <xf numFmtId="1" fontId="92" fillId="0" borderId="65" xfId="9" applyNumberFormat="1" applyFont="1" applyBorder="1" applyAlignment="1" applyProtection="1">
      <alignment horizontal="right" vertical="center"/>
      <protection hidden="1"/>
    </xf>
    <xf numFmtId="0" fontId="92" fillId="0" borderId="20" xfId="9" applyFont="1" applyBorder="1" applyAlignment="1" applyProtection="1">
      <alignment horizontal="right" vertical="center"/>
      <protection hidden="1"/>
    </xf>
    <xf numFmtId="1" fontId="92" fillId="0" borderId="79" xfId="9" applyNumberFormat="1" applyFont="1" applyBorder="1" applyAlignment="1" applyProtection="1">
      <alignment horizontal="right" vertical="center"/>
      <protection hidden="1"/>
    </xf>
    <xf numFmtId="0" fontId="92" fillId="11" borderId="78" xfId="9" applyFont="1" applyFill="1" applyBorder="1" applyAlignment="1" applyProtection="1">
      <alignment horizontal="center" vertical="center"/>
      <protection hidden="1"/>
    </xf>
    <xf numFmtId="0" fontId="92" fillId="11" borderId="79" xfId="9" applyFont="1" applyFill="1" applyBorder="1" applyAlignment="1" applyProtection="1">
      <alignment horizontal="center" vertical="center"/>
      <protection hidden="1"/>
    </xf>
    <xf numFmtId="0" fontId="95" fillId="16" borderId="82" xfId="9" applyFont="1" applyFill="1" applyBorder="1" applyAlignment="1" applyProtection="1">
      <alignment horizontal="center" vertical="center"/>
      <protection hidden="1"/>
    </xf>
    <xf numFmtId="0" fontId="95" fillId="0" borderId="65" xfId="9" applyFont="1" applyBorder="1" applyAlignment="1" applyProtection="1">
      <alignment horizontal="center" vertical="center"/>
      <protection hidden="1"/>
    </xf>
    <xf numFmtId="0" fontId="95" fillId="17" borderId="65" xfId="9" applyFont="1" applyFill="1" applyBorder="1" applyAlignment="1" applyProtection="1">
      <alignment horizontal="center" vertical="center"/>
      <protection hidden="1"/>
    </xf>
    <xf numFmtId="0" fontId="83" fillId="16" borderId="82" xfId="9" applyFont="1" applyFill="1" applyBorder="1" applyAlignment="1" applyProtection="1">
      <alignment horizontal="center" vertical="center"/>
      <protection hidden="1"/>
    </xf>
    <xf numFmtId="0" fontId="83" fillId="0" borderId="65" xfId="9" applyFont="1" applyBorder="1" applyAlignment="1" applyProtection="1">
      <alignment horizontal="center" vertical="center"/>
      <protection hidden="1"/>
    </xf>
    <xf numFmtId="0" fontId="83" fillId="17" borderId="65" xfId="9" applyFont="1" applyFill="1" applyBorder="1" applyAlignment="1" applyProtection="1">
      <alignment horizontal="center" vertical="center"/>
      <protection hidden="1"/>
    </xf>
    <xf numFmtId="0" fontId="96" fillId="16" borderId="82" xfId="9" applyFont="1" applyFill="1" applyBorder="1" applyAlignment="1" applyProtection="1">
      <alignment horizontal="center" vertical="center"/>
      <protection hidden="1"/>
    </xf>
    <xf numFmtId="0" fontId="96" fillId="0" borderId="65" xfId="9" applyFont="1" applyBorder="1" applyAlignment="1" applyProtection="1">
      <alignment horizontal="center" vertical="center"/>
      <protection hidden="1"/>
    </xf>
    <xf numFmtId="0" fontId="96" fillId="17" borderId="65" xfId="9" applyFont="1" applyFill="1" applyBorder="1" applyAlignment="1" applyProtection="1">
      <alignment horizontal="center" vertical="center"/>
      <protection hidden="1"/>
    </xf>
    <xf numFmtId="0" fontId="97" fillId="16" borderId="82" xfId="9" applyFont="1" applyFill="1" applyBorder="1" applyAlignment="1" applyProtection="1">
      <alignment horizontal="center" vertical="center"/>
      <protection hidden="1"/>
    </xf>
    <xf numFmtId="0" fontId="97" fillId="17" borderId="65" xfId="9" applyFont="1" applyFill="1" applyBorder="1" applyAlignment="1" applyProtection="1">
      <alignment horizontal="center" vertical="center"/>
      <protection hidden="1"/>
    </xf>
    <xf numFmtId="0" fontId="97" fillId="0" borderId="65" xfId="9" applyFont="1" applyBorder="1" applyAlignment="1" applyProtection="1">
      <alignment horizontal="center" vertical="center"/>
      <protection hidden="1"/>
    </xf>
    <xf numFmtId="0" fontId="98" fillId="16" borderId="82" xfId="9" applyFont="1" applyFill="1" applyBorder="1" applyAlignment="1" applyProtection="1">
      <alignment horizontal="center" vertical="center"/>
      <protection hidden="1"/>
    </xf>
    <xf numFmtId="0" fontId="98" fillId="0" borderId="65" xfId="9" applyFont="1" applyBorder="1" applyAlignment="1" applyProtection="1">
      <alignment horizontal="center" vertical="center"/>
      <protection hidden="1"/>
    </xf>
    <xf numFmtId="0" fontId="98" fillId="17" borderId="65" xfId="9" applyFont="1" applyFill="1" applyBorder="1" applyAlignment="1" applyProtection="1">
      <alignment horizontal="center" vertical="center"/>
      <protection hidden="1"/>
    </xf>
    <xf numFmtId="0" fontId="99" fillId="16" borderId="82" xfId="9" applyFont="1" applyFill="1" applyBorder="1" applyAlignment="1" applyProtection="1">
      <alignment horizontal="center" vertical="center"/>
      <protection hidden="1"/>
    </xf>
    <xf numFmtId="0" fontId="99" fillId="0" borderId="65" xfId="9" applyFont="1" applyBorder="1" applyAlignment="1" applyProtection="1">
      <alignment horizontal="center" vertical="center"/>
      <protection hidden="1"/>
    </xf>
    <xf numFmtId="0" fontId="99" fillId="17" borderId="65" xfId="9" applyFont="1" applyFill="1" applyBorder="1" applyAlignment="1" applyProtection="1">
      <alignment horizontal="center" vertical="center"/>
      <protection hidden="1"/>
    </xf>
    <xf numFmtId="0" fontId="100" fillId="16" borderId="82" xfId="9" applyFont="1" applyFill="1" applyBorder="1" applyAlignment="1" applyProtection="1">
      <alignment horizontal="center" vertical="center"/>
      <protection hidden="1"/>
    </xf>
    <xf numFmtId="0" fontId="100" fillId="0" borderId="65" xfId="9" applyFont="1" applyBorder="1" applyAlignment="1" applyProtection="1">
      <alignment horizontal="center" vertical="center"/>
      <protection hidden="1"/>
    </xf>
    <xf numFmtId="0" fontId="100" fillId="17" borderId="65" xfId="9" applyFont="1" applyFill="1" applyBorder="1" applyAlignment="1" applyProtection="1">
      <alignment horizontal="center" vertical="center"/>
      <protection hidden="1"/>
    </xf>
    <xf numFmtId="0" fontId="101" fillId="16" borderId="82" xfId="9" applyFont="1" applyFill="1" applyBorder="1" applyAlignment="1" applyProtection="1">
      <alignment horizontal="center" vertical="center"/>
      <protection hidden="1"/>
    </xf>
    <xf numFmtId="0" fontId="101" fillId="0" borderId="65" xfId="9" applyFont="1" applyBorder="1" applyAlignment="1" applyProtection="1">
      <alignment horizontal="center" vertical="center"/>
      <protection hidden="1"/>
    </xf>
    <xf numFmtId="0" fontId="101" fillId="17" borderId="65" xfId="9" applyFont="1" applyFill="1" applyBorder="1" applyAlignment="1" applyProtection="1">
      <alignment horizontal="center" vertical="center"/>
      <protection hidden="1"/>
    </xf>
    <xf numFmtId="0" fontId="83" fillId="16" borderId="81" xfId="9" applyFont="1" applyFill="1" applyBorder="1" applyAlignment="1" applyProtection="1">
      <alignment horizontal="center" vertical="center"/>
      <protection hidden="1"/>
    </xf>
    <xf numFmtId="0" fontId="83" fillId="0" borderId="17" xfId="9" applyFont="1" applyBorder="1" applyAlignment="1" applyProtection="1">
      <alignment horizontal="center" vertical="center"/>
      <protection hidden="1"/>
    </xf>
    <xf numFmtId="0" fontId="83" fillId="0" borderId="5" xfId="9" applyFont="1" applyBorder="1" applyAlignment="1" applyProtection="1">
      <alignment horizontal="center" vertical="center"/>
      <protection hidden="1"/>
    </xf>
    <xf numFmtId="0" fontId="83" fillId="0" borderId="79" xfId="9" applyFont="1" applyBorder="1" applyAlignment="1" applyProtection="1">
      <alignment horizontal="center" vertical="center"/>
      <protection hidden="1"/>
    </xf>
    <xf numFmtId="0" fontId="92" fillId="12" borderId="78" xfId="9" applyFont="1" applyFill="1" applyBorder="1" applyAlignment="1" applyProtection="1">
      <alignment horizontal="center" vertical="center"/>
      <protection hidden="1"/>
    </xf>
    <xf numFmtId="0" fontId="92" fillId="12" borderId="79" xfId="9" applyFont="1" applyFill="1" applyBorder="1" applyAlignment="1" applyProtection="1">
      <alignment horizontal="center" vertical="center"/>
      <protection hidden="1"/>
    </xf>
    <xf numFmtId="0" fontId="92" fillId="13" borderId="78" xfId="9" applyFont="1" applyFill="1" applyBorder="1" applyAlignment="1" applyProtection="1">
      <alignment horizontal="center" vertical="center"/>
      <protection hidden="1"/>
    </xf>
    <xf numFmtId="0" fontId="92" fillId="13" borderId="79" xfId="9" applyFont="1" applyFill="1" applyBorder="1" applyAlignment="1" applyProtection="1">
      <alignment horizontal="center" vertical="center"/>
      <protection hidden="1"/>
    </xf>
    <xf numFmtId="0" fontId="101" fillId="16" borderId="81" xfId="9" applyFont="1" applyFill="1" applyBorder="1" applyAlignment="1" applyProtection="1">
      <alignment horizontal="center" vertical="center"/>
      <protection hidden="1"/>
    </xf>
    <xf numFmtId="0" fontId="101" fillId="0" borderId="17" xfId="9" applyFont="1" applyBorder="1" applyAlignment="1" applyProtection="1">
      <alignment horizontal="center" vertical="center"/>
      <protection hidden="1"/>
    </xf>
    <xf numFmtId="0" fontId="101" fillId="0" borderId="5" xfId="9" applyFont="1" applyBorder="1" applyAlignment="1" applyProtection="1">
      <alignment horizontal="center" vertical="center"/>
      <protection hidden="1"/>
    </xf>
    <xf numFmtId="0" fontId="101" fillId="0" borderId="79" xfId="9" applyFont="1" applyBorder="1" applyAlignment="1" applyProtection="1">
      <alignment horizontal="center" vertical="center"/>
      <protection hidden="1"/>
    </xf>
    <xf numFmtId="0" fontId="92" fillId="14" borderId="78" xfId="9" applyFont="1" applyFill="1" applyBorder="1" applyAlignment="1" applyProtection="1">
      <alignment horizontal="center" vertical="center"/>
      <protection hidden="1"/>
    </xf>
    <xf numFmtId="0" fontId="92" fillId="14" borderId="79" xfId="9" applyFont="1" applyFill="1" applyBorder="1" applyAlignment="1" applyProtection="1">
      <alignment horizontal="center" vertical="center"/>
      <protection hidden="1"/>
    </xf>
    <xf numFmtId="0" fontId="95" fillId="16" borderId="81" xfId="9" applyFont="1" applyFill="1" applyBorder="1" applyAlignment="1" applyProtection="1">
      <alignment horizontal="center" vertical="center"/>
      <protection hidden="1"/>
    </xf>
    <xf numFmtId="0" fontId="95" fillId="0" borderId="17" xfId="9" applyFont="1" applyBorder="1" applyAlignment="1" applyProtection="1">
      <alignment horizontal="center" vertical="center"/>
      <protection hidden="1"/>
    </xf>
    <xf numFmtId="0" fontId="95" fillId="0" borderId="5" xfId="9" applyFont="1" applyBorder="1" applyAlignment="1" applyProtection="1">
      <alignment horizontal="center" vertical="center"/>
      <protection hidden="1"/>
    </xf>
    <xf numFmtId="0" fontId="95" fillId="0" borderId="79" xfId="9" applyFont="1" applyBorder="1" applyAlignment="1" applyProtection="1">
      <alignment horizontal="center" vertical="center"/>
      <protection hidden="1"/>
    </xf>
    <xf numFmtId="0" fontId="58" fillId="16" borderId="82" xfId="9" applyFont="1" applyFill="1" applyBorder="1" applyAlignment="1" applyProtection="1">
      <alignment horizontal="center" vertical="center"/>
      <protection hidden="1"/>
    </xf>
    <xf numFmtId="0" fontId="58" fillId="17" borderId="65" xfId="9" applyFont="1" applyFill="1" applyBorder="1" applyAlignment="1" applyProtection="1">
      <alignment horizontal="center" vertical="center"/>
      <protection hidden="1"/>
    </xf>
    <xf numFmtId="0" fontId="58" fillId="0" borderId="65" xfId="9" applyFont="1" applyBorder="1" applyAlignment="1" applyProtection="1">
      <alignment horizontal="center" vertical="center"/>
      <protection hidden="1"/>
    </xf>
    <xf numFmtId="0" fontId="96" fillId="16" borderId="81" xfId="9" applyFont="1" applyFill="1" applyBorder="1" applyAlignment="1" applyProtection="1">
      <alignment horizontal="center" vertical="center"/>
      <protection hidden="1"/>
    </xf>
    <xf numFmtId="0" fontId="96" fillId="0" borderId="17" xfId="9" applyFont="1" applyBorder="1" applyAlignment="1" applyProtection="1">
      <alignment horizontal="center" vertical="center"/>
      <protection hidden="1"/>
    </xf>
    <xf numFmtId="0" fontId="96" fillId="0" borderId="5" xfId="9" applyFont="1" applyBorder="1" applyAlignment="1" applyProtection="1">
      <alignment horizontal="center" vertical="center"/>
      <protection hidden="1"/>
    </xf>
    <xf numFmtId="0" fontId="96" fillId="0" borderId="79" xfId="9" applyFont="1" applyBorder="1" applyAlignment="1" applyProtection="1">
      <alignment horizontal="center" vertical="center"/>
      <protection hidden="1"/>
    </xf>
    <xf numFmtId="0" fontId="92" fillId="15" borderId="78" xfId="9" applyFont="1" applyFill="1" applyBorder="1" applyAlignment="1" applyProtection="1">
      <alignment horizontal="center" vertical="center"/>
      <protection hidden="1"/>
    </xf>
    <xf numFmtId="0" fontId="92" fillId="15" borderId="79" xfId="9" applyFont="1" applyFill="1" applyBorder="1" applyAlignment="1" applyProtection="1">
      <alignment horizontal="center" vertical="center"/>
      <protection hidden="1"/>
    </xf>
    <xf numFmtId="0" fontId="97" fillId="16" borderId="81" xfId="9" applyFont="1" applyFill="1" applyBorder="1" applyAlignment="1" applyProtection="1">
      <alignment horizontal="center" vertical="center"/>
      <protection hidden="1"/>
    </xf>
    <xf numFmtId="0" fontId="97" fillId="0" borderId="17" xfId="9" applyFont="1" applyBorder="1" applyAlignment="1" applyProtection="1">
      <alignment horizontal="center" vertical="center"/>
      <protection hidden="1"/>
    </xf>
    <xf numFmtId="0" fontId="97" fillId="0" borderId="5" xfId="9" applyFont="1" applyBorder="1" applyAlignment="1" applyProtection="1">
      <alignment horizontal="center" vertical="center"/>
      <protection hidden="1"/>
    </xf>
    <xf numFmtId="0" fontId="97" fillId="0" borderId="79" xfId="9" applyFont="1" applyBorder="1" applyAlignment="1" applyProtection="1">
      <alignment horizontal="center" vertical="center"/>
      <protection hidden="1"/>
    </xf>
    <xf numFmtId="0" fontId="98" fillId="16" borderId="81" xfId="9" applyFont="1" applyFill="1" applyBorder="1" applyAlignment="1" applyProtection="1">
      <alignment horizontal="center" vertical="center"/>
      <protection hidden="1"/>
    </xf>
    <xf numFmtId="0" fontId="98" fillId="0" borderId="17" xfId="9" applyFont="1" applyBorder="1" applyAlignment="1" applyProtection="1">
      <alignment horizontal="center" vertical="center"/>
      <protection hidden="1"/>
    </xf>
    <xf numFmtId="0" fontId="98" fillId="0" borderId="5" xfId="9" applyFont="1" applyBorder="1" applyAlignment="1" applyProtection="1">
      <alignment horizontal="center" vertical="center"/>
      <protection hidden="1"/>
    </xf>
    <xf numFmtId="0" fontId="96" fillId="16" borderId="82" xfId="0" applyFont="1" applyFill="1" applyBorder="1" applyAlignment="1" applyProtection="1">
      <alignment horizontal="center" vertical="center"/>
      <protection hidden="1"/>
    </xf>
    <xf numFmtId="0" fontId="96" fillId="17" borderId="65" xfId="0" applyFont="1" applyFill="1" applyBorder="1" applyAlignment="1" applyProtection="1">
      <alignment horizontal="center" vertical="center"/>
      <protection hidden="1"/>
    </xf>
    <xf numFmtId="0" fontId="58" fillId="16" borderId="82" xfId="0" applyFont="1" applyFill="1" applyBorder="1" applyAlignment="1" applyProtection="1">
      <alignment horizontal="center" vertical="center"/>
      <protection hidden="1"/>
    </xf>
    <xf numFmtId="0" fontId="58" fillId="0" borderId="65" xfId="0" applyFont="1" applyBorder="1" applyAlignment="1" applyProtection="1">
      <alignment horizontal="center" vertical="center"/>
      <protection hidden="1"/>
    </xf>
    <xf numFmtId="0" fontId="58" fillId="17" borderId="65" xfId="0" applyFont="1" applyFill="1" applyBorder="1" applyAlignment="1" applyProtection="1">
      <alignment horizontal="center" vertical="center"/>
      <protection hidden="1"/>
    </xf>
    <xf numFmtId="0" fontId="100" fillId="16" borderId="82" xfId="0" applyFont="1" applyFill="1" applyBorder="1" applyAlignment="1" applyProtection="1">
      <alignment horizontal="center" vertical="center"/>
      <protection hidden="1"/>
    </xf>
    <xf numFmtId="0" fontId="100" fillId="0" borderId="65" xfId="0" applyFont="1" applyBorder="1" applyAlignment="1" applyProtection="1">
      <alignment horizontal="center" vertical="center"/>
      <protection hidden="1"/>
    </xf>
    <xf numFmtId="0" fontId="100" fillId="17" borderId="65" xfId="0" applyFont="1" applyFill="1" applyBorder="1" applyAlignment="1" applyProtection="1">
      <alignment horizontal="center" vertical="center"/>
      <protection hidden="1"/>
    </xf>
    <xf numFmtId="0" fontId="58" fillId="16" borderId="81" xfId="9" applyFont="1" applyFill="1" applyBorder="1" applyAlignment="1" applyProtection="1">
      <alignment horizontal="center" vertical="center"/>
      <protection hidden="1"/>
    </xf>
    <xf numFmtId="0" fontId="58" fillId="0" borderId="17" xfId="9" applyFont="1" applyBorder="1" applyAlignment="1" applyProtection="1">
      <alignment horizontal="center" vertical="center"/>
      <protection hidden="1"/>
    </xf>
    <xf numFmtId="0" fontId="58" fillId="0" borderId="5" xfId="9" applyFont="1" applyBorder="1" applyAlignment="1" applyProtection="1">
      <alignment horizontal="center" vertical="center"/>
      <protection hidden="1"/>
    </xf>
    <xf numFmtId="0" fontId="58" fillId="0" borderId="79" xfId="9" applyFont="1" applyBorder="1" applyAlignment="1" applyProtection="1">
      <alignment horizontal="center" vertical="center"/>
      <protection hidden="1"/>
    </xf>
    <xf numFmtId="0" fontId="99" fillId="16" borderId="82" xfId="0" applyFont="1" applyFill="1" applyBorder="1" applyAlignment="1" applyProtection="1">
      <alignment horizontal="center" vertical="center"/>
      <protection hidden="1"/>
    </xf>
    <xf numFmtId="0" fontId="99" fillId="17" borderId="65" xfId="0" applyFont="1" applyFill="1" applyBorder="1" applyAlignment="1" applyProtection="1">
      <alignment horizontal="center" vertical="center"/>
      <protection hidden="1"/>
    </xf>
    <xf numFmtId="0" fontId="101" fillId="16" borderId="82" xfId="0" applyFont="1" applyFill="1" applyBorder="1" applyAlignment="1" applyProtection="1">
      <alignment horizontal="center" vertical="center"/>
      <protection hidden="1"/>
    </xf>
    <xf numFmtId="0" fontId="101" fillId="17" borderId="65" xfId="0" applyFont="1" applyFill="1" applyBorder="1" applyAlignment="1" applyProtection="1">
      <alignment horizontal="center" vertical="center"/>
      <protection hidden="1"/>
    </xf>
    <xf numFmtId="0" fontId="99" fillId="0" borderId="65" xfId="0" applyFont="1" applyBorder="1" applyAlignment="1" applyProtection="1">
      <alignment horizontal="center" vertical="center"/>
      <protection hidden="1"/>
    </xf>
    <xf numFmtId="0" fontId="97" fillId="16" borderId="80" xfId="9" applyFont="1" applyFill="1" applyBorder="1" applyAlignment="1" applyProtection="1">
      <alignment horizontal="center" vertical="center"/>
      <protection hidden="1"/>
    </xf>
    <xf numFmtId="0" fontId="97" fillId="0" borderId="78" xfId="9" applyFont="1" applyBorder="1" applyAlignment="1" applyProtection="1">
      <alignment horizontal="center" vertical="center"/>
      <protection hidden="1"/>
    </xf>
    <xf numFmtId="0" fontId="98" fillId="16" borderId="82" xfId="0" applyFont="1" applyFill="1" applyBorder="1" applyAlignment="1" applyProtection="1">
      <alignment horizontal="center" vertical="center"/>
      <protection hidden="1"/>
    </xf>
    <xf numFmtId="0" fontId="98" fillId="0" borderId="65" xfId="0" applyFont="1" applyBorder="1" applyAlignment="1" applyProtection="1">
      <alignment horizontal="center" vertical="center"/>
      <protection hidden="1"/>
    </xf>
    <xf numFmtId="0" fontId="101" fillId="0" borderId="65" xfId="0" applyFont="1" applyBorder="1" applyAlignment="1" applyProtection="1">
      <alignment horizontal="center" vertical="center"/>
      <protection hidden="1"/>
    </xf>
    <xf numFmtId="0" fontId="99" fillId="16" borderId="80" xfId="0" applyFont="1" applyFill="1" applyBorder="1" applyAlignment="1" applyProtection="1">
      <alignment horizontal="center" vertical="center"/>
      <protection hidden="1"/>
    </xf>
    <xf numFmtId="0" fontId="99" fillId="0" borderId="78" xfId="0" applyFont="1" applyBorder="1" applyAlignment="1" applyProtection="1">
      <alignment horizontal="center" vertical="center"/>
      <protection hidden="1"/>
    </xf>
    <xf numFmtId="0" fontId="100" fillId="16" borderId="81" xfId="9" applyFont="1" applyFill="1" applyBorder="1" applyAlignment="1" applyProtection="1">
      <alignment horizontal="center" vertical="center"/>
      <protection hidden="1"/>
    </xf>
    <xf numFmtId="0" fontId="100" fillId="0" borderId="17" xfId="9" applyFont="1" applyBorder="1" applyAlignment="1" applyProtection="1">
      <alignment horizontal="center" vertical="center"/>
      <protection hidden="1"/>
    </xf>
    <xf numFmtId="0" fontId="100" fillId="0" borderId="5" xfId="9" applyFont="1" applyBorder="1" applyAlignment="1" applyProtection="1">
      <alignment horizontal="center" vertical="center"/>
      <protection hidden="1"/>
    </xf>
    <xf numFmtId="0" fontId="100" fillId="0" borderId="79" xfId="9" applyFont="1" applyBorder="1" applyAlignment="1" applyProtection="1">
      <alignment horizontal="center" vertical="center"/>
      <protection hidden="1"/>
    </xf>
    <xf numFmtId="0" fontId="92" fillId="21" borderId="0" xfId="9" applyFont="1" applyFill="1" applyAlignment="1" applyProtection="1">
      <alignment vertical="center"/>
      <protection hidden="1"/>
    </xf>
    <xf numFmtId="0" fontId="93" fillId="21" borderId="0" xfId="9" applyFont="1" applyFill="1" applyAlignment="1" applyProtection="1">
      <alignment vertical="center"/>
      <protection hidden="1"/>
    </xf>
    <xf numFmtId="0" fontId="92" fillId="21" borderId="0" xfId="9" applyFont="1" applyFill="1" applyAlignment="1" applyProtection="1">
      <alignment horizontal="center" vertical="center"/>
      <protection hidden="1"/>
    </xf>
    <xf numFmtId="0" fontId="81" fillId="21" borderId="0" xfId="0" applyFont="1" applyFill="1" applyAlignment="1">
      <alignment vertical="center"/>
    </xf>
    <xf numFmtId="0" fontId="172" fillId="21" borderId="0" xfId="0" applyFont="1" applyFill="1" applyAlignment="1">
      <alignment vertical="center"/>
    </xf>
    <xf numFmtId="0" fontId="0" fillId="0" borderId="37" xfId="0" applyBorder="1" applyAlignment="1">
      <alignment vertical="center"/>
    </xf>
    <xf numFmtId="0" fontId="0" fillId="0" borderId="33" xfId="0" applyBorder="1" applyAlignment="1">
      <alignment vertical="center"/>
    </xf>
    <xf numFmtId="0" fontId="121" fillId="0" borderId="33" xfId="10" applyBorder="1" applyAlignment="1">
      <alignment vertical="center"/>
    </xf>
    <xf numFmtId="0" fontId="121" fillId="0" borderId="37" xfId="10" applyBorder="1" applyAlignment="1">
      <alignment vertical="center"/>
    </xf>
    <xf numFmtId="0" fontId="172" fillId="21" borderId="0" xfId="0" applyFont="1" applyFill="1" applyBorder="1" applyAlignment="1" applyProtection="1">
      <alignment horizontal="left" vertical="center"/>
      <protection hidden="1"/>
    </xf>
    <xf numFmtId="2" fontId="82" fillId="0" borderId="0" xfId="0" applyNumberFormat="1" applyFont="1" applyBorder="1" applyAlignment="1" applyProtection="1">
      <alignment horizontal="center" vertical="center"/>
      <protection hidden="1"/>
    </xf>
    <xf numFmtId="176" fontId="2" fillId="0" borderId="19" xfId="6" applyNumberFormat="1" applyBorder="1" applyAlignment="1" applyProtection="1">
      <alignment horizontal="center" vertical="center"/>
      <protection hidden="1"/>
    </xf>
    <xf numFmtId="0" fontId="2" fillId="0" borderId="2" xfId="6" applyBorder="1" applyAlignment="1" applyProtection="1">
      <alignment horizontal="center" vertical="center"/>
      <protection hidden="1"/>
    </xf>
    <xf numFmtId="0" fontId="98" fillId="0" borderId="79" xfId="9" applyFont="1" applyBorder="1" applyAlignment="1" applyProtection="1">
      <alignment horizontal="center" vertical="center"/>
      <protection hidden="1"/>
    </xf>
    <xf numFmtId="0" fontId="38" fillId="0" borderId="19" xfId="0" applyFont="1" applyBorder="1" applyAlignment="1" applyProtection="1">
      <alignment vertical="center"/>
      <protection hidden="1"/>
    </xf>
    <xf numFmtId="0" fontId="0" fillId="0" borderId="1" xfId="3" applyFont="1" applyBorder="1" applyAlignment="1" applyProtection="1">
      <alignment horizontal="center" vertical="center"/>
      <protection hidden="1"/>
    </xf>
    <xf numFmtId="2" fontId="81" fillId="0" borderId="0" xfId="3" applyNumberFormat="1" applyFont="1" applyAlignment="1" applyProtection="1">
      <alignment horizontal="center" vertical="center"/>
      <protection hidden="1"/>
    </xf>
    <xf numFmtId="0" fontId="0" fillId="0" borderId="51" xfId="0" applyBorder="1" applyAlignment="1" applyProtection="1">
      <alignment vertical="center"/>
      <protection hidden="1"/>
    </xf>
    <xf numFmtId="0" fontId="0" fillId="0" borderId="53" xfId="0" applyBorder="1" applyAlignment="1" applyProtection="1">
      <alignment vertical="center"/>
      <protection hidden="1"/>
    </xf>
    <xf numFmtId="0" fontId="0" fillId="0" borderId="21" xfId="0" applyBorder="1" applyAlignment="1" applyProtection="1">
      <alignment vertical="center"/>
      <protection hidden="1"/>
    </xf>
    <xf numFmtId="0" fontId="0" fillId="0" borderId="55" xfId="0" applyBorder="1" applyAlignment="1" applyProtection="1">
      <alignment vertical="center"/>
      <protection hidden="1"/>
    </xf>
    <xf numFmtId="0" fontId="0" fillId="0" borderId="2" xfId="0" applyBorder="1" applyAlignment="1" applyProtection="1">
      <alignment horizontal="left" vertical="center"/>
      <protection hidden="1"/>
    </xf>
    <xf numFmtId="0" fontId="34" fillId="0" borderId="2" xfId="0" applyFont="1" applyBorder="1" applyAlignment="1" applyProtection="1">
      <alignment vertical="center"/>
      <protection hidden="1"/>
    </xf>
    <xf numFmtId="0" fontId="3" fillId="0" borderId="1" xfId="0" applyFont="1" applyBorder="1" applyAlignment="1" applyProtection="1">
      <alignment vertical="center"/>
      <protection hidden="1"/>
    </xf>
    <xf numFmtId="0" fontId="3" fillId="0" borderId="20" xfId="0" applyFont="1" applyBorder="1" applyAlignment="1" applyProtection="1">
      <alignment vertical="center"/>
      <protection hidden="1"/>
    </xf>
    <xf numFmtId="0" fontId="3" fillId="0" borderId="2" xfId="0" applyFont="1" applyBorder="1" applyAlignment="1" applyProtection="1">
      <alignment vertical="center"/>
      <protection hidden="1"/>
    </xf>
    <xf numFmtId="0" fontId="207" fillId="0" borderId="0" xfId="11" applyFont="1" applyAlignment="1" applyProtection="1">
      <alignment vertical="center"/>
      <protection hidden="1"/>
    </xf>
    <xf numFmtId="0" fontId="0" fillId="0" borderId="18" xfId="11" applyFont="1" applyBorder="1" applyAlignment="1" applyProtection="1">
      <alignment vertical="center"/>
      <protection hidden="1"/>
    </xf>
    <xf numFmtId="0" fontId="0" fillId="0" borderId="19" xfId="11" applyFont="1" applyBorder="1" applyAlignment="1" applyProtection="1">
      <alignment vertical="center"/>
      <protection hidden="1"/>
    </xf>
    <xf numFmtId="0" fontId="3" fillId="0" borderId="13" xfId="11" applyFont="1" applyBorder="1" applyAlignment="1" applyProtection="1">
      <alignment vertical="center"/>
      <protection hidden="1"/>
    </xf>
    <xf numFmtId="0" fontId="0" fillId="0" borderId="1" xfId="11" applyFont="1" applyBorder="1" applyAlignment="1" applyProtection="1">
      <alignment horizontal="center" vertical="center"/>
      <protection hidden="1"/>
    </xf>
    <xf numFmtId="225" fontId="0" fillId="0" borderId="1" xfId="11" applyNumberFormat="1" applyFont="1" applyBorder="1" applyAlignment="1" applyProtection="1">
      <alignment horizontal="center" vertical="center"/>
      <protection hidden="1"/>
    </xf>
    <xf numFmtId="0" fontId="0" fillId="0" borderId="6" xfId="11" applyFont="1" applyBorder="1" applyAlignment="1" applyProtection="1">
      <alignment horizontal="center" vertical="center"/>
      <protection hidden="1"/>
    </xf>
    <xf numFmtId="0" fontId="89" fillId="0" borderId="19" xfId="11" applyFont="1" applyBorder="1" applyAlignment="1" applyProtection="1">
      <alignment vertical="center"/>
      <protection hidden="1"/>
    </xf>
    <xf numFmtId="0" fontId="0" fillId="0" borderId="18" xfId="11" applyFont="1" applyBorder="1" applyAlignment="1" applyProtection="1">
      <alignment vertical="center" wrapText="1"/>
      <protection hidden="1"/>
    </xf>
    <xf numFmtId="0" fontId="120" fillId="0" borderId="19" xfId="11" applyFont="1" applyBorder="1" applyAlignment="1" applyProtection="1">
      <alignment vertical="center"/>
      <protection hidden="1"/>
    </xf>
    <xf numFmtId="0" fontId="0" fillId="0" borderId="19" xfId="11" applyFont="1" applyBorder="1" applyAlignment="1" applyProtection="1">
      <alignment horizontal="center" vertical="center"/>
      <protection hidden="1"/>
    </xf>
    <xf numFmtId="0" fontId="3" fillId="0" borderId="18" xfId="11" applyFont="1" applyBorder="1" applyAlignment="1" applyProtection="1">
      <alignment vertical="center"/>
      <protection hidden="1"/>
    </xf>
    <xf numFmtId="0" fontId="163" fillId="0" borderId="18" xfId="11" applyFont="1" applyBorder="1" applyAlignment="1" applyProtection="1">
      <alignment vertical="center"/>
      <protection hidden="1"/>
    </xf>
    <xf numFmtId="0" fontId="2" fillId="0" borderId="20" xfId="11" applyBorder="1" applyAlignment="1" applyProtection="1">
      <alignment vertical="center"/>
      <protection hidden="1"/>
    </xf>
    <xf numFmtId="0" fontId="2" fillId="0" borderId="2" xfId="11" applyBorder="1" applyAlignment="1" applyProtection="1">
      <alignment vertical="center"/>
      <protection hidden="1"/>
    </xf>
    <xf numFmtId="225" fontId="2" fillId="0" borderId="2" xfId="11" applyNumberFormat="1" applyBorder="1" applyAlignment="1" applyProtection="1">
      <alignment horizontal="center" vertical="center"/>
      <protection hidden="1"/>
    </xf>
    <xf numFmtId="225" fontId="0" fillId="0" borderId="2" xfId="11" applyNumberFormat="1" applyFont="1" applyBorder="1" applyAlignment="1" applyProtection="1">
      <alignment horizontal="center" vertical="center"/>
      <protection hidden="1"/>
    </xf>
    <xf numFmtId="0" fontId="0" fillId="0" borderId="7" xfId="11" applyFont="1" applyBorder="1" applyAlignment="1" applyProtection="1">
      <alignment horizontal="center" vertical="center"/>
      <protection hidden="1"/>
    </xf>
    <xf numFmtId="0" fontId="0" fillId="0" borderId="12" xfId="11" applyFont="1" applyBorder="1" applyAlignment="1" applyProtection="1">
      <alignment horizontal="center"/>
      <protection hidden="1"/>
    </xf>
    <xf numFmtId="2" fontId="141" fillId="0" borderId="34" xfId="0" applyNumberFormat="1" applyFont="1" applyBorder="1" applyAlignment="1" applyProtection="1">
      <alignment horizontal="center" vertical="center"/>
      <protection locked="0"/>
    </xf>
    <xf numFmtId="0" fontId="38" fillId="0" borderId="0" xfId="0" applyFont="1" applyBorder="1" applyAlignment="1" applyProtection="1">
      <alignment vertical="center"/>
      <protection hidden="1"/>
    </xf>
    <xf numFmtId="0" fontId="38" fillId="0" borderId="13" xfId="0" applyFont="1" applyBorder="1" applyAlignment="1" applyProtection="1">
      <alignment vertical="center"/>
      <protection hidden="1"/>
    </xf>
    <xf numFmtId="0" fontId="38" fillId="0" borderId="1" xfId="0" applyFont="1" applyBorder="1" applyAlignment="1" applyProtection="1">
      <alignment vertical="center"/>
      <protection hidden="1"/>
    </xf>
    <xf numFmtId="0" fontId="38" fillId="0" borderId="6" xfId="0" applyFont="1" applyBorder="1" applyAlignment="1" applyProtection="1">
      <alignment vertical="center"/>
      <protection hidden="1"/>
    </xf>
    <xf numFmtId="0" fontId="38" fillId="0" borderId="18" xfId="0" applyFont="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83" fillId="0" borderId="0" xfId="0" applyFont="1" applyBorder="1" applyAlignment="1" applyProtection="1">
      <alignment horizontal="center" vertical="center"/>
      <protection hidden="1"/>
    </xf>
    <xf numFmtId="2" fontId="83" fillId="0" borderId="0" xfId="0" applyNumberFormat="1" applyFont="1" applyBorder="1" applyAlignment="1" applyProtection="1">
      <alignment horizontal="center" vertical="center"/>
      <protection hidden="1"/>
    </xf>
    <xf numFmtId="0" fontId="58" fillId="0" borderId="18" xfId="0" applyFont="1" applyBorder="1" applyAlignment="1" applyProtection="1">
      <alignment vertical="center"/>
      <protection hidden="1"/>
    </xf>
    <xf numFmtId="0" fontId="58" fillId="0" borderId="0" xfId="0" applyFont="1" applyBorder="1" applyAlignment="1" applyProtection="1">
      <alignment vertical="center"/>
      <protection hidden="1"/>
    </xf>
    <xf numFmtId="0" fontId="155" fillId="0" borderId="19" xfId="0" applyFont="1" applyBorder="1" applyAlignment="1" applyProtection="1">
      <alignment vertical="center"/>
      <protection hidden="1"/>
    </xf>
    <xf numFmtId="0" fontId="155" fillId="0" borderId="0" xfId="0" applyFont="1" applyBorder="1" applyAlignment="1" applyProtection="1">
      <alignment vertical="center"/>
      <protection hidden="1"/>
    </xf>
    <xf numFmtId="176" fontId="197" fillId="0" borderId="0" xfId="0" applyNumberFormat="1" applyFont="1" applyBorder="1" applyAlignment="1" applyProtection="1">
      <alignment horizontal="center" vertical="center"/>
      <protection hidden="1"/>
    </xf>
    <xf numFmtId="176" fontId="84" fillId="0" borderId="0" xfId="0" applyNumberFormat="1" applyFont="1" applyBorder="1" applyAlignment="1" applyProtection="1">
      <alignment horizontal="center" vertical="center"/>
      <protection hidden="1"/>
    </xf>
    <xf numFmtId="0" fontId="38" fillId="0" borderId="0" xfId="0" quotePrefix="1" applyFont="1" applyBorder="1" applyAlignment="1" applyProtection="1">
      <alignment vertical="center"/>
      <protection hidden="1"/>
    </xf>
    <xf numFmtId="229" fontId="83" fillId="0" borderId="0" xfId="0" applyNumberFormat="1" applyFont="1" applyBorder="1" applyAlignment="1" applyProtection="1">
      <alignment horizontal="left" vertical="center"/>
      <protection hidden="1"/>
    </xf>
    <xf numFmtId="230" fontId="83" fillId="0" borderId="0" xfId="0" applyNumberFormat="1" applyFont="1" applyBorder="1" applyAlignment="1" applyProtection="1">
      <alignment horizontal="left" vertical="center"/>
      <protection hidden="1"/>
    </xf>
    <xf numFmtId="201" fontId="185" fillId="0" borderId="0" xfId="0" applyNumberFormat="1" applyFont="1" applyBorder="1" applyAlignment="1" applyProtection="1">
      <alignment horizontal="center" vertical="center"/>
      <protection hidden="1"/>
    </xf>
    <xf numFmtId="0" fontId="58" fillId="0" borderId="0" xfId="0" applyFont="1" applyBorder="1" applyAlignment="1" applyProtection="1">
      <alignment horizontal="right" vertical="center"/>
      <protection hidden="1"/>
    </xf>
    <xf numFmtId="176" fontId="83" fillId="7" borderId="0" xfId="0" applyNumberFormat="1" applyFont="1" applyFill="1" applyBorder="1" applyAlignment="1" applyProtection="1">
      <alignment horizontal="center" vertical="center"/>
      <protection hidden="1"/>
    </xf>
    <xf numFmtId="2" fontId="197" fillId="0" borderId="0" xfId="0" applyNumberFormat="1" applyFont="1" applyBorder="1" applyAlignment="1" applyProtection="1">
      <alignment horizontal="center" vertical="center"/>
      <protection hidden="1"/>
    </xf>
    <xf numFmtId="2" fontId="83" fillId="7" borderId="0" xfId="0" applyNumberFormat="1" applyFont="1" applyFill="1" applyBorder="1" applyAlignment="1" applyProtection="1">
      <alignment horizontal="center" vertical="center"/>
      <protection hidden="1"/>
    </xf>
    <xf numFmtId="0" fontId="197" fillId="0" borderId="0" xfId="0" applyFont="1" applyBorder="1" applyAlignment="1" applyProtection="1">
      <alignment horizontal="center" vertical="center"/>
      <protection hidden="1"/>
    </xf>
    <xf numFmtId="0" fontId="38" fillId="0" borderId="20" xfId="0" applyFont="1" applyBorder="1" applyAlignment="1" applyProtection="1">
      <alignment vertical="center"/>
      <protection hidden="1"/>
    </xf>
    <xf numFmtId="0" fontId="38" fillId="0" borderId="2" xfId="0" applyFont="1" applyBorder="1" applyAlignment="1" applyProtection="1">
      <alignment vertical="center"/>
      <protection hidden="1"/>
    </xf>
    <xf numFmtId="0" fontId="38" fillId="0" borderId="7" xfId="0" applyFont="1" applyBorder="1" applyAlignment="1" applyProtection="1">
      <alignment vertical="center"/>
      <protection hidden="1"/>
    </xf>
    <xf numFmtId="0" fontId="197" fillId="0" borderId="0" xfId="0" applyFont="1" applyBorder="1" applyAlignment="1" applyProtection="1">
      <alignment vertical="center"/>
      <protection hidden="1"/>
    </xf>
    <xf numFmtId="0" fontId="38" fillId="0" borderId="0" xfId="0" applyFont="1" applyBorder="1" applyAlignment="1" applyProtection="1">
      <alignment horizontal="left" vertical="center"/>
      <protection hidden="1"/>
    </xf>
    <xf numFmtId="0" fontId="156" fillId="0" borderId="0" xfId="0" applyFont="1" applyBorder="1" applyAlignment="1" applyProtection="1">
      <alignment horizontal="center" vertical="center"/>
      <protection hidden="1"/>
    </xf>
    <xf numFmtId="1" fontId="156" fillId="0" borderId="0" xfId="0" applyNumberFormat="1" applyFont="1" applyBorder="1" applyAlignment="1" applyProtection="1">
      <alignment horizontal="center" vertical="center"/>
      <protection hidden="1"/>
    </xf>
    <xf numFmtId="0" fontId="155" fillId="0" borderId="18" xfId="0" applyFont="1" applyBorder="1" applyAlignment="1" applyProtection="1">
      <alignment vertical="center"/>
      <protection hidden="1"/>
    </xf>
    <xf numFmtId="201" fontId="185" fillId="0" borderId="2" xfId="0" applyNumberFormat="1" applyFont="1" applyBorder="1" applyAlignment="1" applyProtection="1">
      <alignment horizontal="center" vertical="center"/>
      <protection hidden="1"/>
    </xf>
    <xf numFmtId="0" fontId="155" fillId="0" borderId="7" xfId="0" applyFont="1" applyBorder="1" applyAlignment="1" applyProtection="1">
      <alignment vertical="center"/>
      <protection hidden="1"/>
    </xf>
    <xf numFmtId="2" fontId="155" fillId="0" borderId="0" xfId="0" applyNumberFormat="1" applyFont="1" applyBorder="1" applyAlignment="1" applyProtection="1">
      <alignment horizontal="center" vertical="center"/>
      <protection hidden="1"/>
    </xf>
    <xf numFmtId="0" fontId="155" fillId="0" borderId="0" xfId="0" applyFont="1" applyBorder="1" applyAlignment="1" applyProtection="1">
      <alignment horizontal="center" vertical="center"/>
      <protection hidden="1"/>
    </xf>
    <xf numFmtId="1" fontId="155" fillId="0" borderId="0" xfId="0" applyNumberFormat="1" applyFont="1" applyBorder="1" applyAlignment="1" applyProtection="1">
      <alignment horizontal="center" vertical="center"/>
      <protection hidden="1"/>
    </xf>
    <xf numFmtId="0" fontId="209" fillId="0" borderId="19" xfId="0" applyFont="1" applyBorder="1" applyAlignment="1" applyProtection="1">
      <alignment horizontal="center" vertical="center"/>
      <protection hidden="1"/>
    </xf>
    <xf numFmtId="0" fontId="155" fillId="0" borderId="19" xfId="0" applyFont="1" applyBorder="1" applyAlignment="1" applyProtection="1">
      <alignment horizontal="center" vertical="center"/>
      <protection hidden="1"/>
    </xf>
    <xf numFmtId="0" fontId="155" fillId="0" borderId="2" xfId="0" applyFont="1" applyBorder="1" applyAlignment="1" applyProtection="1">
      <alignment horizontal="center" vertical="center"/>
      <protection hidden="1"/>
    </xf>
    <xf numFmtId="0" fontId="155" fillId="0" borderId="7" xfId="0" applyFont="1" applyBorder="1" applyAlignment="1" applyProtection="1">
      <alignment horizontal="center" vertical="center"/>
      <protection hidden="1"/>
    </xf>
    <xf numFmtId="0" fontId="38" fillId="0" borderId="18" xfId="0" applyFont="1" applyBorder="1" applyAlignment="1" applyProtection="1">
      <alignment vertical="center" wrapText="1"/>
      <protection hidden="1"/>
    </xf>
    <xf numFmtId="0" fontId="94" fillId="0" borderId="0" xfId="0" applyFont="1" applyBorder="1" applyAlignment="1" applyProtection="1">
      <alignment vertical="center"/>
      <protection hidden="1"/>
    </xf>
    <xf numFmtId="2" fontId="94" fillId="0" borderId="0" xfId="0" applyNumberFormat="1" applyFont="1" applyBorder="1" applyAlignment="1" applyProtection="1">
      <alignment horizontal="center" vertical="center"/>
      <protection hidden="1"/>
    </xf>
    <xf numFmtId="0" fontId="94" fillId="0" borderId="0" xfId="0" applyFont="1" applyBorder="1" applyAlignment="1" applyProtection="1">
      <alignment horizontal="center" vertical="center"/>
      <protection hidden="1"/>
    </xf>
    <xf numFmtId="0" fontId="94" fillId="0" borderId="0" xfId="0" quotePrefix="1" applyFont="1" applyBorder="1" applyAlignment="1" applyProtection="1">
      <alignment vertical="center"/>
      <protection hidden="1"/>
    </xf>
    <xf numFmtId="184" fontId="38" fillId="0" borderId="0" xfId="0" applyNumberFormat="1" applyFont="1" applyBorder="1" applyAlignment="1" applyProtection="1">
      <alignment vertical="center"/>
      <protection hidden="1"/>
    </xf>
    <xf numFmtId="0" fontId="107" fillId="9" borderId="0" xfId="0" applyFont="1" applyFill="1" applyBorder="1" applyAlignment="1" applyProtection="1">
      <alignment horizontal="center" vertical="center"/>
      <protection hidden="1"/>
    </xf>
    <xf numFmtId="0" fontId="94" fillId="0" borderId="13" xfId="0" applyFont="1" applyBorder="1" applyAlignment="1" applyProtection="1">
      <alignment vertical="center"/>
      <protection locked="0"/>
    </xf>
    <xf numFmtId="0" fontId="209" fillId="0" borderId="12" xfId="0" applyFont="1" applyBorder="1" applyAlignment="1" applyProtection="1">
      <alignment horizontal="center" vertical="center"/>
      <protection locked="0"/>
    </xf>
    <xf numFmtId="1" fontId="155" fillId="0" borderId="2" xfId="0" applyNumberFormat="1" applyFont="1" applyBorder="1" applyAlignment="1" applyProtection="1">
      <alignment horizontal="center" vertical="center"/>
      <protection hidden="1"/>
    </xf>
    <xf numFmtId="1" fontId="210" fillId="0" borderId="18" xfId="11" applyNumberFormat="1" applyFont="1" applyBorder="1" applyAlignment="1" applyProtection="1">
      <alignment horizontal="left" vertical="center"/>
      <protection hidden="1"/>
    </xf>
    <xf numFmtId="0" fontId="3" fillId="21" borderId="0" xfId="0" applyFont="1" applyFill="1" applyBorder="1" applyAlignment="1" applyProtection="1">
      <alignment vertical="center"/>
      <protection hidden="1"/>
    </xf>
    <xf numFmtId="0" fontId="3" fillId="0" borderId="0" xfId="4" applyFont="1" applyAlignment="1" applyProtection="1">
      <alignment horizontal="center" vertical="center"/>
      <protection hidden="1"/>
    </xf>
    <xf numFmtId="0" fontId="178" fillId="21" borderId="0" xfId="4" applyFont="1" applyFill="1" applyAlignment="1" applyProtection="1">
      <alignment vertical="center"/>
      <protection hidden="1"/>
    </xf>
    <xf numFmtId="0" fontId="178" fillId="21" borderId="0" xfId="4" applyFont="1" applyFill="1" applyAlignment="1" applyProtection="1">
      <alignment horizontal="center" vertical="center"/>
      <protection hidden="1"/>
    </xf>
    <xf numFmtId="0" fontId="44" fillId="21" borderId="0" xfId="4" applyFill="1" applyAlignment="1" applyProtection="1">
      <alignment horizontal="center" vertical="center"/>
      <protection hidden="1"/>
    </xf>
    <xf numFmtId="0" fontId="44" fillId="21" borderId="0" xfId="4" applyFill="1" applyAlignment="1" applyProtection="1">
      <alignment vertical="center"/>
      <protection hidden="1"/>
    </xf>
    <xf numFmtId="0" fontId="44" fillId="0" borderId="37" xfId="4" applyBorder="1" applyAlignment="1" applyProtection="1">
      <alignment vertical="center"/>
      <protection hidden="1"/>
    </xf>
    <xf numFmtId="0" fontId="40" fillId="0" borderId="0" xfId="4" applyFont="1" applyAlignment="1" applyProtection="1">
      <alignment vertical="center"/>
      <protection hidden="1"/>
    </xf>
    <xf numFmtId="0" fontId="44" fillId="0" borderId="34" xfId="4" applyBorder="1" applyAlignment="1" applyProtection="1">
      <alignment vertical="center"/>
      <protection hidden="1"/>
    </xf>
    <xf numFmtId="0" fontId="44" fillId="0" borderId="13" xfId="4" applyBorder="1" applyAlignment="1" applyProtection="1">
      <alignment vertical="center"/>
      <protection hidden="1"/>
    </xf>
    <xf numFmtId="0" fontId="44" fillId="0" borderId="1" xfId="4" applyBorder="1" applyAlignment="1" applyProtection="1">
      <alignment horizontal="center" vertical="center"/>
      <protection hidden="1"/>
    </xf>
    <xf numFmtId="0" fontId="44" fillId="0" borderId="1" xfId="4" applyBorder="1" applyAlignment="1" applyProtection="1">
      <alignment vertical="center"/>
      <protection hidden="1"/>
    </xf>
    <xf numFmtId="0" fontId="44" fillId="0" borderId="6" xfId="4" applyBorder="1" applyAlignment="1" applyProtection="1">
      <alignment vertical="center"/>
      <protection hidden="1"/>
    </xf>
    <xf numFmtId="0" fontId="40" fillId="0" borderId="12" xfId="0" applyFont="1" applyBorder="1" applyAlignment="1" applyProtection="1">
      <alignment horizontal="left" vertical="center"/>
      <protection hidden="1"/>
    </xf>
    <xf numFmtId="0" fontId="47" fillId="0" borderId="12" xfId="4" applyFont="1" applyBorder="1" applyAlignment="1" applyProtection="1">
      <alignment horizontal="center" vertical="center"/>
      <protection hidden="1"/>
    </xf>
    <xf numFmtId="0" fontId="44" fillId="0" borderId="19" xfId="4" applyBorder="1" applyAlignment="1" applyProtection="1">
      <alignment vertical="center"/>
      <protection hidden="1"/>
    </xf>
    <xf numFmtId="0" fontId="4" fillId="0" borderId="12" xfId="4" applyFont="1" applyBorder="1" applyAlignment="1" applyProtection="1">
      <alignment horizontal="center" vertical="center"/>
      <protection hidden="1"/>
    </xf>
    <xf numFmtId="0" fontId="4" fillId="0" borderId="12" xfId="4" applyFont="1" applyBorder="1" applyAlignment="1" applyProtection="1">
      <alignment vertical="center"/>
      <protection hidden="1"/>
    </xf>
    <xf numFmtId="0" fontId="60" fillId="0" borderId="0" xfId="4" applyFont="1" applyAlignment="1" applyProtection="1">
      <alignment vertical="center"/>
      <protection hidden="1"/>
    </xf>
    <xf numFmtId="176" fontId="48" fillId="0" borderId="0" xfId="4" applyNumberFormat="1" applyFont="1" applyAlignment="1" applyProtection="1">
      <alignment horizontal="center" vertical="center"/>
      <protection hidden="1"/>
    </xf>
    <xf numFmtId="0" fontId="0" fillId="0" borderId="0" xfId="4" applyFont="1" applyAlignment="1" applyProtection="1">
      <alignment vertical="center"/>
      <protection hidden="1"/>
    </xf>
    <xf numFmtId="0" fontId="44" fillId="0" borderId="20" xfId="4" applyBorder="1" applyAlignment="1" applyProtection="1">
      <alignment vertical="center"/>
      <protection hidden="1"/>
    </xf>
    <xf numFmtId="0" fontId="44" fillId="0" borderId="2" xfId="4" applyBorder="1" applyAlignment="1" applyProtection="1">
      <alignment horizontal="center" vertical="center"/>
      <protection hidden="1"/>
    </xf>
    <xf numFmtId="0" fontId="44" fillId="0" borderId="2" xfId="4" applyBorder="1" applyAlignment="1" applyProtection="1">
      <alignment vertical="center"/>
      <protection hidden="1"/>
    </xf>
    <xf numFmtId="0" fontId="44" fillId="0" borderId="7" xfId="4" applyBorder="1" applyAlignment="1" applyProtection="1">
      <alignment vertical="center"/>
      <protection hidden="1"/>
    </xf>
    <xf numFmtId="0" fontId="178" fillId="21" borderId="12" xfId="4" applyFont="1" applyFill="1" applyBorder="1" applyAlignment="1" applyProtection="1">
      <alignment vertical="center"/>
      <protection hidden="1"/>
    </xf>
    <xf numFmtId="0" fontId="81" fillId="0" borderId="33" xfId="4" applyFont="1" applyBorder="1" applyAlignment="1" applyProtection="1">
      <alignment vertical="center"/>
      <protection locked="0"/>
    </xf>
    <xf numFmtId="0" fontId="88" fillId="0" borderId="0" xfId="4" applyFont="1" applyAlignment="1" applyProtection="1">
      <alignment vertical="center"/>
      <protection hidden="1"/>
    </xf>
    <xf numFmtId="0" fontId="88" fillId="0" borderId="2" xfId="4" applyFont="1" applyBorder="1" applyAlignment="1" applyProtection="1">
      <alignment vertical="center"/>
      <protection hidden="1"/>
    </xf>
    <xf numFmtId="0" fontId="172" fillId="21" borderId="0" xfId="9" applyFont="1" applyFill="1" applyAlignment="1" applyProtection="1">
      <alignment vertical="center"/>
      <protection hidden="1"/>
    </xf>
    <xf numFmtId="0" fontId="3" fillId="0" borderId="12" xfId="0" applyFont="1" applyBorder="1" applyAlignment="1" applyProtection="1">
      <alignment horizontal="center" vertical="center"/>
      <protection hidden="1"/>
    </xf>
    <xf numFmtId="0" fontId="76" fillId="0" borderId="12" xfId="0" applyFont="1" applyBorder="1" applyAlignment="1" applyProtection="1">
      <alignment horizontal="center" vertical="center"/>
      <protection hidden="1"/>
    </xf>
    <xf numFmtId="2" fontId="40" fillId="0" borderId="12" xfId="0" applyNumberFormat="1" applyFont="1" applyBorder="1" applyAlignment="1" applyProtection="1">
      <alignment horizontal="center" vertical="center"/>
      <protection hidden="1"/>
    </xf>
    <xf numFmtId="2" fontId="10" fillId="0" borderId="12" xfId="0" applyNumberFormat="1" applyFont="1" applyBorder="1" applyAlignment="1" applyProtection="1">
      <alignment horizontal="center" vertical="center"/>
      <protection hidden="1"/>
    </xf>
    <xf numFmtId="2" fontId="51" fillId="0" borderId="12" xfId="0" applyNumberFormat="1" applyFont="1" applyBorder="1" applyAlignment="1" applyProtection="1">
      <alignment horizontal="center" vertical="center"/>
      <protection hidden="1"/>
    </xf>
    <xf numFmtId="0" fontId="38" fillId="28" borderId="12" xfId="14" applyFont="1" applyFill="1" applyBorder="1" applyAlignment="1" applyProtection="1">
      <alignment horizontal="center" vertical="center"/>
      <protection hidden="1"/>
    </xf>
    <xf numFmtId="43" fontId="38" fillId="0" borderId="12" xfId="13" quotePrefix="1" applyFont="1" applyFill="1" applyBorder="1" applyAlignment="1" applyProtection="1">
      <alignment horizontal="right" vertical="center"/>
      <protection hidden="1"/>
    </xf>
    <xf numFmtId="2" fontId="78" fillId="0" borderId="12" xfId="14" applyNumberFormat="1" applyFont="1" applyBorder="1" applyAlignment="1" applyProtection="1">
      <alignment horizontal="center" vertical="center"/>
      <protection hidden="1"/>
    </xf>
    <xf numFmtId="1" fontId="78" fillId="0" borderId="12" xfId="14" applyNumberFormat="1" applyFont="1" applyBorder="1" applyAlignment="1" applyProtection="1">
      <alignment horizontal="center" vertical="center"/>
      <protection hidden="1"/>
    </xf>
    <xf numFmtId="176" fontId="38" fillId="16" borderId="12" xfId="14" applyNumberFormat="1" applyFont="1" applyFill="1" applyBorder="1" applyAlignment="1" applyProtection="1">
      <alignment horizontal="center" vertical="center"/>
      <protection hidden="1"/>
    </xf>
    <xf numFmtId="43" fontId="38" fillId="16" borderId="12" xfId="13" applyFont="1" applyFill="1" applyBorder="1" applyAlignment="1" applyProtection="1">
      <alignment horizontal="right" vertical="center"/>
      <protection hidden="1"/>
    </xf>
    <xf numFmtId="2" fontId="78" fillId="16" borderId="12" xfId="14" applyNumberFormat="1" applyFont="1" applyFill="1" applyBorder="1" applyAlignment="1" applyProtection="1">
      <alignment horizontal="center" vertical="center"/>
      <protection hidden="1"/>
    </xf>
    <xf numFmtId="1" fontId="78" fillId="16" borderId="12" xfId="14" applyNumberFormat="1" applyFont="1" applyFill="1" applyBorder="1" applyAlignment="1" applyProtection="1">
      <alignment horizontal="center" vertical="center"/>
      <protection hidden="1"/>
    </xf>
    <xf numFmtId="43" fontId="38" fillId="0" borderId="12" xfId="13" applyFont="1" applyFill="1" applyBorder="1" applyAlignment="1" applyProtection="1">
      <alignment horizontal="right" vertical="center"/>
      <protection hidden="1"/>
    </xf>
    <xf numFmtId="43" fontId="0" fillId="0" borderId="0" xfId="0" applyNumberFormat="1" applyAlignment="1" applyProtection="1">
      <alignment vertical="center"/>
      <protection hidden="1"/>
    </xf>
    <xf numFmtId="0" fontId="44" fillId="0" borderId="12" xfId="7" applyBorder="1" applyAlignment="1" applyProtection="1">
      <alignment horizontal="center" vertical="center"/>
      <protection hidden="1"/>
    </xf>
    <xf numFmtId="0" fontId="0" fillId="0" borderId="12" xfId="7" quotePrefix="1" applyFont="1" applyBorder="1" applyAlignment="1" applyProtection="1">
      <alignment horizontal="center" vertical="center"/>
      <protection hidden="1"/>
    </xf>
    <xf numFmtId="0" fontId="58" fillId="0" borderId="0" xfId="3" applyFont="1" applyAlignment="1" applyProtection="1">
      <alignment vertical="center"/>
      <protection hidden="1"/>
    </xf>
    <xf numFmtId="0" fontId="0" fillId="0" borderId="0" xfId="4" applyFont="1" applyAlignment="1" applyProtection="1">
      <alignment horizontal="center" vertical="center"/>
      <protection hidden="1"/>
    </xf>
    <xf numFmtId="0" fontId="108" fillId="0" borderId="0" xfId="14" applyFont="1" applyAlignment="1" applyProtection="1">
      <alignment vertical="top" wrapText="1"/>
      <protection hidden="1"/>
    </xf>
    <xf numFmtId="0" fontId="108" fillId="0" borderId="2" xfId="14" applyFont="1" applyBorder="1" applyAlignment="1" applyProtection="1">
      <alignment vertical="top" wrapText="1"/>
      <protection hidden="1"/>
    </xf>
    <xf numFmtId="3" fontId="38" fillId="0" borderId="12" xfId="0" applyNumberFormat="1" applyFont="1" applyBorder="1" applyAlignment="1" applyProtection="1">
      <alignment vertical="center"/>
      <protection hidden="1"/>
    </xf>
    <xf numFmtId="4" fontId="38" fillId="0" borderId="12" xfId="0" applyNumberFormat="1" applyFont="1" applyBorder="1" applyAlignment="1" applyProtection="1">
      <alignment vertical="center"/>
      <protection hidden="1"/>
    </xf>
    <xf numFmtId="2" fontId="59" fillId="0" borderId="12" xfId="0" applyNumberFormat="1" applyFont="1" applyBorder="1" applyAlignment="1" applyProtection="1">
      <alignment horizontal="right" vertical="center"/>
      <protection hidden="1"/>
    </xf>
    <xf numFmtId="2" fontId="39" fillId="0" borderId="12" xfId="0" applyNumberFormat="1" applyFont="1" applyBorder="1" applyAlignment="1" applyProtection="1">
      <alignment horizontal="right" vertical="center"/>
      <protection hidden="1"/>
    </xf>
    <xf numFmtId="4" fontId="59" fillId="0" borderId="12" xfId="0" applyNumberFormat="1" applyFont="1" applyBorder="1" applyAlignment="1" applyProtection="1">
      <alignment horizontal="center" vertical="center"/>
      <protection hidden="1"/>
    </xf>
    <xf numFmtId="4" fontId="39" fillId="0" borderId="12" xfId="0" applyNumberFormat="1" applyFont="1" applyBorder="1" applyAlignment="1" applyProtection="1">
      <alignment horizontal="center" vertical="center"/>
      <protection hidden="1"/>
    </xf>
    <xf numFmtId="3" fontId="213" fillId="0" borderId="12" xfId="0" applyNumberFormat="1" applyFont="1" applyBorder="1" applyAlignment="1" applyProtection="1">
      <alignment horizontal="center" vertical="center"/>
      <protection hidden="1"/>
    </xf>
    <xf numFmtId="4" fontId="38" fillId="0" borderId="12" xfId="0" applyNumberFormat="1" applyFont="1" applyBorder="1" applyAlignment="1" applyProtection="1">
      <alignment horizontal="right" vertical="center"/>
      <protection hidden="1"/>
    </xf>
    <xf numFmtId="0" fontId="137" fillId="17" borderId="12" xfId="0" applyFont="1" applyFill="1" applyBorder="1" applyAlignment="1" applyProtection="1">
      <alignment horizontal="center" vertical="center"/>
      <protection hidden="1"/>
    </xf>
    <xf numFmtId="176" fontId="8" fillId="0" borderId="0" xfId="0" applyNumberFormat="1" applyFont="1" applyAlignment="1" applyProtection="1">
      <alignment vertical="center"/>
      <protection hidden="1"/>
    </xf>
    <xf numFmtId="0" fontId="38" fillId="10" borderId="12" xfId="0" applyFont="1" applyFill="1" applyBorder="1" applyAlignment="1" applyProtection="1">
      <alignment horizontal="center" vertical="center"/>
      <protection locked="0"/>
    </xf>
    <xf numFmtId="2" fontId="59" fillId="0" borderId="12" xfId="0" applyNumberFormat="1" applyFont="1" applyBorder="1" applyAlignment="1" applyProtection="1">
      <alignment horizontal="center" vertical="center"/>
      <protection hidden="1"/>
    </xf>
    <xf numFmtId="2" fontId="39" fillId="0" borderId="12" xfId="0" applyNumberFormat="1" applyFont="1" applyBorder="1" applyAlignment="1" applyProtection="1">
      <alignment horizontal="center" vertical="center"/>
      <protection hidden="1"/>
    </xf>
    <xf numFmtId="176" fontId="213" fillId="0" borderId="12" xfId="0" applyNumberFormat="1" applyFont="1" applyBorder="1" applyAlignment="1" applyProtection="1">
      <alignment horizontal="center" vertical="center"/>
      <protection hidden="1"/>
    </xf>
    <xf numFmtId="0" fontId="196" fillId="0" borderId="1" xfId="0" applyFont="1" applyBorder="1" applyAlignment="1" applyProtection="1">
      <alignment vertical="center"/>
      <protection hidden="1"/>
    </xf>
    <xf numFmtId="0" fontId="172" fillId="21" borderId="14" xfId="0" applyFont="1" applyFill="1" applyBorder="1" applyAlignment="1" applyProtection="1">
      <alignment horizontal="left" vertical="center"/>
      <protection hidden="1"/>
    </xf>
    <xf numFmtId="0" fontId="0" fillId="7" borderId="12" xfId="0" applyFill="1" applyBorder="1" applyAlignment="1" applyProtection="1">
      <alignment horizontal="center" vertical="center"/>
      <protection hidden="1"/>
    </xf>
    <xf numFmtId="0" fontId="41" fillId="2" borderId="20" xfId="0" applyFont="1" applyFill="1" applyBorder="1" applyAlignment="1" applyProtection="1">
      <alignment horizontal="center" vertical="center"/>
      <protection hidden="1"/>
    </xf>
    <xf numFmtId="0" fontId="38" fillId="16" borderId="12" xfId="0" applyFont="1" applyFill="1" applyBorder="1" applyAlignment="1" applyProtection="1">
      <alignment horizontal="center" vertical="center"/>
      <protection hidden="1"/>
    </xf>
    <xf numFmtId="0" fontId="94" fillId="0" borderId="15" xfId="3" applyFont="1" applyBorder="1" applyAlignment="1" applyProtection="1">
      <alignment vertical="center"/>
      <protection hidden="1"/>
    </xf>
    <xf numFmtId="0" fontId="38" fillId="0" borderId="1" xfId="14" applyFont="1" applyBorder="1" applyAlignment="1" applyProtection="1">
      <alignment horizontal="center" vertical="center"/>
      <protection hidden="1"/>
    </xf>
    <xf numFmtId="0" fontId="38" fillId="0" borderId="2" xfId="14" applyFont="1" applyBorder="1" applyAlignment="1" applyProtection="1">
      <alignment horizontal="center" vertical="center"/>
      <protection hidden="1"/>
    </xf>
    <xf numFmtId="0" fontId="74" fillId="0" borderId="20" xfId="6" applyFont="1" applyBorder="1" applyAlignment="1" applyProtection="1">
      <alignment horizontal="center" vertical="center"/>
      <protection hidden="1"/>
    </xf>
    <xf numFmtId="0" fontId="172" fillId="21" borderId="14" xfId="0" applyFont="1" applyFill="1" applyBorder="1" applyProtection="1">
      <protection hidden="1"/>
    </xf>
    <xf numFmtId="0" fontId="172" fillId="21" borderId="15" xfId="0" applyFont="1" applyFill="1" applyBorder="1" applyProtection="1">
      <protection hidden="1"/>
    </xf>
    <xf numFmtId="0" fontId="172" fillId="21" borderId="16" xfId="0" applyFont="1" applyFill="1" applyBorder="1" applyProtection="1">
      <protection hidden="1"/>
    </xf>
    <xf numFmtId="0" fontId="81" fillId="0" borderId="13" xfId="0" applyFont="1" applyBorder="1" applyAlignment="1" applyProtection="1">
      <alignment vertical="center"/>
      <protection locked="0"/>
    </xf>
    <xf numFmtId="0" fontId="58" fillId="0" borderId="2" xfId="3" applyFont="1" applyBorder="1" applyAlignment="1" applyProtection="1">
      <alignment horizontal="left" vertical="center"/>
      <protection hidden="1"/>
    </xf>
    <xf numFmtId="217" fontId="137" fillId="0" borderId="0" xfId="3" applyNumberFormat="1" applyFont="1" applyAlignment="1" applyProtection="1">
      <alignment horizontal="right" vertical="center"/>
      <protection hidden="1"/>
    </xf>
    <xf numFmtId="217" fontId="137" fillId="0" borderId="19" xfId="3" applyNumberFormat="1" applyFont="1" applyBorder="1" applyAlignment="1" applyProtection="1">
      <alignment horizontal="right" vertical="center"/>
      <protection hidden="1"/>
    </xf>
    <xf numFmtId="0" fontId="58" fillId="0" borderId="13" xfId="3" applyFont="1" applyBorder="1" applyAlignment="1" applyProtection="1">
      <alignment vertical="center"/>
      <protection hidden="1"/>
    </xf>
    <xf numFmtId="0" fontId="116" fillId="0" borderId="18" xfId="3" applyFont="1" applyBorder="1" applyAlignment="1" applyProtection="1">
      <alignment vertical="center"/>
      <protection hidden="1"/>
    </xf>
    <xf numFmtId="213" fontId="38" fillId="0" borderId="19" xfId="3" applyNumberFormat="1" applyFont="1" applyBorder="1" applyAlignment="1" applyProtection="1">
      <alignment horizontal="center" vertical="center"/>
      <protection hidden="1"/>
    </xf>
    <xf numFmtId="1" fontId="62" fillId="0" borderId="2" xfId="3" applyNumberFormat="1" applyFont="1" applyBorder="1" applyAlignment="1" applyProtection="1">
      <alignment horizontal="center" vertical="center"/>
      <protection hidden="1"/>
    </xf>
    <xf numFmtId="0" fontId="38" fillId="0" borderId="16" xfId="0" applyFont="1" applyBorder="1" applyAlignment="1" applyProtection="1">
      <alignment horizontal="center"/>
      <protection hidden="1"/>
    </xf>
    <xf numFmtId="0" fontId="107" fillId="25" borderId="12" xfId="3" applyFont="1" applyFill="1" applyBorder="1" applyAlignment="1" applyProtection="1">
      <alignment horizontal="left" vertical="center"/>
      <protection hidden="1"/>
    </xf>
    <xf numFmtId="2" fontId="132" fillId="0" borderId="1" xfId="14" applyNumberFormat="1" applyFont="1" applyBorder="1" applyAlignment="1" applyProtection="1">
      <alignment horizontal="center" vertical="center"/>
      <protection hidden="1"/>
    </xf>
    <xf numFmtId="2" fontId="132" fillId="0" borderId="0" xfId="14" applyNumberFormat="1" applyFont="1" applyAlignment="1" applyProtection="1">
      <alignment horizontal="center" vertical="center"/>
      <protection hidden="1"/>
    </xf>
    <xf numFmtId="0" fontId="4" fillId="0" borderId="18" xfId="14" quotePrefix="1" applyFont="1" applyBorder="1" applyAlignment="1" applyProtection="1">
      <alignment horizontal="left" vertical="center"/>
      <protection hidden="1"/>
    </xf>
    <xf numFmtId="0" fontId="4" fillId="0" borderId="20" xfId="14" quotePrefix="1" applyFont="1" applyBorder="1" applyAlignment="1" applyProtection="1">
      <alignment horizontal="left" vertical="center"/>
      <protection hidden="1"/>
    </xf>
    <xf numFmtId="2" fontId="218" fillId="0" borderId="0" xfId="14" applyNumberFormat="1" applyFont="1" applyAlignment="1" applyProtection="1">
      <alignment horizontal="center" vertical="center"/>
      <protection hidden="1"/>
    </xf>
    <xf numFmtId="0" fontId="219" fillId="0" borderId="2" xfId="14" applyFont="1" applyBorder="1" applyAlignment="1" applyProtection="1">
      <alignment horizontal="center" vertical="center"/>
      <protection hidden="1"/>
    </xf>
    <xf numFmtId="0" fontId="4" fillId="0" borderId="2" xfId="14" applyFont="1" applyBorder="1" applyAlignment="1" applyProtection="1">
      <alignment horizontal="center" vertical="center"/>
      <protection hidden="1"/>
    </xf>
    <xf numFmtId="197" fontId="107" fillId="33" borderId="12" xfId="14" applyNumberFormat="1" applyFont="1" applyFill="1" applyBorder="1" applyAlignment="1" applyProtection="1">
      <alignment horizontal="center" vertical="center"/>
      <protection hidden="1"/>
    </xf>
    <xf numFmtId="197" fontId="107" fillId="34" borderId="12" xfId="14" applyNumberFormat="1" applyFont="1" applyFill="1" applyBorder="1" applyAlignment="1" applyProtection="1">
      <alignment horizontal="center" vertical="center"/>
      <protection hidden="1"/>
    </xf>
    <xf numFmtId="197" fontId="107" fillId="35" borderId="12" xfId="14" applyNumberFormat="1" applyFont="1" applyFill="1" applyBorder="1" applyAlignment="1" applyProtection="1">
      <alignment horizontal="center" vertical="center"/>
      <protection hidden="1"/>
    </xf>
    <xf numFmtId="233" fontId="38" fillId="0" borderId="0" xfId="3" applyNumberFormat="1" applyFont="1" applyAlignment="1" applyProtection="1">
      <alignment vertical="center"/>
      <protection hidden="1"/>
    </xf>
    <xf numFmtId="0" fontId="220" fillId="0" borderId="0" xfId="7" applyFont="1" applyAlignment="1" applyProtection="1">
      <alignment horizontal="left" vertical="center"/>
      <protection hidden="1"/>
    </xf>
    <xf numFmtId="197" fontId="38" fillId="8" borderId="34" xfId="14" applyNumberFormat="1" applyFont="1" applyFill="1" applyBorder="1" applyAlignment="1" applyProtection="1">
      <alignment horizontal="center" vertical="center"/>
      <protection locked="0"/>
    </xf>
    <xf numFmtId="176" fontId="167" fillId="0" borderId="12" xfId="0" applyNumberFormat="1" applyFont="1" applyBorder="1" applyAlignment="1" applyProtection="1">
      <alignment horizontal="center" vertical="center"/>
      <protection hidden="1"/>
    </xf>
    <xf numFmtId="176" fontId="168" fillId="0" borderId="12" xfId="0" applyNumberFormat="1" applyFont="1" applyBorder="1" applyAlignment="1" applyProtection="1">
      <alignment horizontal="center" vertical="center"/>
      <protection hidden="1"/>
    </xf>
    <xf numFmtId="176" fontId="141" fillId="0" borderId="12" xfId="0" applyNumberFormat="1" applyFont="1" applyBorder="1" applyAlignment="1" applyProtection="1">
      <alignment horizontal="center" vertical="center"/>
      <protection hidden="1"/>
    </xf>
    <xf numFmtId="176" fontId="85" fillId="0" borderId="12" xfId="0" applyNumberFormat="1" applyFont="1" applyBorder="1" applyAlignment="1" applyProtection="1">
      <alignment horizontal="center" vertical="center"/>
      <protection hidden="1"/>
    </xf>
    <xf numFmtId="0" fontId="38" fillId="0" borderId="0" xfId="11" applyFont="1" applyAlignment="1" applyProtection="1">
      <alignment vertical="center"/>
      <protection hidden="1"/>
    </xf>
    <xf numFmtId="0" fontId="38" fillId="0" borderId="0" xfId="11" applyFont="1" applyAlignment="1" applyProtection="1">
      <alignment horizontal="center" vertical="center"/>
      <protection hidden="1"/>
    </xf>
    <xf numFmtId="0" fontId="38" fillId="0" borderId="0" xfId="11" applyFont="1" applyAlignment="1" applyProtection="1">
      <alignment horizontal="center" vertical="center" wrapText="1"/>
      <protection hidden="1"/>
    </xf>
    <xf numFmtId="0" fontId="58" fillId="0" borderId="0" xfId="11" applyFont="1" applyAlignment="1" applyProtection="1">
      <alignment vertical="center"/>
      <protection hidden="1"/>
    </xf>
    <xf numFmtId="0" fontId="38" fillId="0" borderId="1" xfId="11" applyFont="1" applyBorder="1" applyAlignment="1" applyProtection="1">
      <alignment vertical="center"/>
      <protection hidden="1"/>
    </xf>
    <xf numFmtId="0" fontId="38" fillId="0" borderId="18" xfId="11" applyFont="1" applyBorder="1" applyAlignment="1" applyProtection="1">
      <alignment vertical="center"/>
      <protection hidden="1"/>
    </xf>
    <xf numFmtId="0" fontId="4" fillId="0" borderId="18" xfId="11" applyFont="1" applyBorder="1" applyAlignment="1" applyProtection="1">
      <alignment horizontal="center" vertical="center"/>
      <protection hidden="1"/>
    </xf>
    <xf numFmtId="0" fontId="4" fillId="0" borderId="37" xfId="11" applyFont="1" applyBorder="1" applyAlignment="1" applyProtection="1">
      <alignment horizontal="center" vertical="center"/>
      <protection hidden="1"/>
    </xf>
    <xf numFmtId="0" fontId="4" fillId="0" borderId="18" xfId="11" applyFont="1" applyBorder="1" applyAlignment="1" applyProtection="1">
      <alignment horizontal="center" vertical="center" wrapText="1"/>
      <protection hidden="1"/>
    </xf>
    <xf numFmtId="0" fontId="4" fillId="0" borderId="37" xfId="11" applyFont="1" applyBorder="1" applyAlignment="1" applyProtection="1">
      <alignment horizontal="center" vertical="center" wrapText="1"/>
      <protection hidden="1"/>
    </xf>
    <xf numFmtId="0" fontId="222" fillId="7" borderId="18" xfId="11" applyFont="1" applyFill="1" applyBorder="1" applyAlignment="1" applyProtection="1">
      <alignment horizontal="center" vertical="center"/>
      <protection hidden="1"/>
    </xf>
    <xf numFmtId="0" fontId="222" fillId="7" borderId="37" xfId="11" applyFont="1" applyFill="1" applyBorder="1" applyAlignment="1" applyProtection="1">
      <alignment horizontal="center" vertical="center"/>
      <protection hidden="1"/>
    </xf>
    <xf numFmtId="0" fontId="4" fillId="0" borderId="18" xfId="11" applyFont="1" applyBorder="1" applyAlignment="1" applyProtection="1">
      <alignment vertical="center"/>
      <protection hidden="1"/>
    </xf>
    <xf numFmtId="0" fontId="4" fillId="0" borderId="37" xfId="11" applyFont="1" applyBorder="1" applyAlignment="1" applyProtection="1">
      <alignment vertical="center"/>
      <protection hidden="1"/>
    </xf>
    <xf numFmtId="0" fontId="38" fillId="0" borderId="0" xfId="11" quotePrefix="1" applyFont="1" applyAlignment="1" applyProtection="1">
      <alignment vertical="center"/>
      <protection hidden="1"/>
    </xf>
    <xf numFmtId="2" fontId="223" fillId="0" borderId="18" xfId="11" applyNumberFormat="1" applyFont="1" applyBorder="1" applyAlignment="1" applyProtection="1">
      <alignment horizontal="center" vertical="center"/>
      <protection hidden="1"/>
    </xf>
    <xf numFmtId="2" fontId="223" fillId="0" borderId="37" xfId="11" applyNumberFormat="1" applyFont="1" applyBorder="1" applyAlignment="1" applyProtection="1">
      <alignment horizontal="center" vertical="center"/>
      <protection hidden="1"/>
    </xf>
    <xf numFmtId="2" fontId="148" fillId="0" borderId="18" xfId="11" applyNumberFormat="1" applyFont="1" applyBorder="1" applyAlignment="1" applyProtection="1">
      <alignment horizontal="center" vertical="center"/>
      <protection hidden="1"/>
    </xf>
    <xf numFmtId="2" fontId="148" fillId="0" borderId="37" xfId="11" applyNumberFormat="1" applyFont="1" applyBorder="1" applyAlignment="1" applyProtection="1">
      <alignment horizontal="center" vertical="center"/>
      <protection hidden="1"/>
    </xf>
    <xf numFmtId="0" fontId="224" fillId="0" borderId="18" xfId="11" applyFont="1" applyBorder="1" applyAlignment="1" applyProtection="1">
      <alignment horizontal="center" vertical="center"/>
      <protection hidden="1"/>
    </xf>
    <xf numFmtId="0" fontId="224" fillId="0" borderId="37" xfId="11" applyFont="1" applyBorder="1" applyAlignment="1" applyProtection="1">
      <alignment horizontal="center" vertical="center"/>
      <protection hidden="1"/>
    </xf>
    <xf numFmtId="0" fontId="38" fillId="0" borderId="2" xfId="11" applyFont="1" applyBorder="1" applyAlignment="1" applyProtection="1">
      <alignment vertical="center"/>
      <protection hidden="1"/>
    </xf>
    <xf numFmtId="0" fontId="4" fillId="0" borderId="20" xfId="11" applyFont="1" applyBorder="1" applyAlignment="1" applyProtection="1">
      <alignment horizontal="center" vertical="center"/>
      <protection hidden="1"/>
    </xf>
    <xf numFmtId="0" fontId="4" fillId="0" borderId="34" xfId="11" applyFont="1" applyBorder="1" applyAlignment="1" applyProtection="1">
      <alignment horizontal="center" vertical="center"/>
      <protection hidden="1"/>
    </xf>
    <xf numFmtId="0" fontId="38" fillId="0" borderId="0" xfId="11" applyFont="1" applyProtection="1">
      <protection hidden="1"/>
    </xf>
    <xf numFmtId="0" fontId="38" fillId="0" borderId="0" xfId="11" applyFont="1" applyAlignment="1" applyProtection="1">
      <alignment horizontal="center"/>
      <protection hidden="1"/>
    </xf>
    <xf numFmtId="0" fontId="38" fillId="20" borderId="1" xfId="11" applyFont="1" applyFill="1" applyBorder="1" applyAlignment="1" applyProtection="1">
      <alignment vertical="center"/>
      <protection hidden="1"/>
    </xf>
    <xf numFmtId="0" fontId="38" fillId="0" borderId="1" xfId="11" applyFont="1" applyBorder="1" applyAlignment="1" applyProtection="1">
      <alignment horizontal="center" vertical="center" wrapText="1"/>
      <protection hidden="1"/>
    </xf>
    <xf numFmtId="0" fontId="38" fillId="0" borderId="6" xfId="11" applyFont="1" applyBorder="1" applyAlignment="1" applyProtection="1">
      <alignment horizontal="center" vertical="center" wrapText="1"/>
      <protection hidden="1"/>
    </xf>
    <xf numFmtId="0" fontId="38" fillId="0" borderId="19" xfId="11" applyFont="1" applyBorder="1" applyAlignment="1" applyProtection="1">
      <alignment horizontal="center" vertical="center" wrapText="1"/>
      <protection hidden="1"/>
    </xf>
    <xf numFmtId="2" fontId="83" fillId="20" borderId="0" xfId="11" applyNumberFormat="1" applyFont="1" applyFill="1" applyAlignment="1" applyProtection="1">
      <alignment horizontal="center" vertical="center"/>
      <protection hidden="1"/>
    </xf>
    <xf numFmtId="2" fontId="83" fillId="20" borderId="19" xfId="11" applyNumberFormat="1" applyFont="1" applyFill="1" applyBorder="1" applyAlignment="1" applyProtection="1">
      <alignment horizontal="center" vertical="center"/>
      <protection hidden="1"/>
    </xf>
    <xf numFmtId="2" fontId="38" fillId="0" borderId="0" xfId="11" applyNumberFormat="1" applyFont="1" applyAlignment="1" applyProtection="1">
      <alignment horizontal="center" vertical="center"/>
      <protection hidden="1"/>
    </xf>
    <xf numFmtId="2" fontId="83" fillId="0" borderId="0" xfId="11" applyNumberFormat="1" applyFont="1" applyAlignment="1" applyProtection="1">
      <alignment horizontal="center" vertical="center"/>
      <protection hidden="1"/>
    </xf>
    <xf numFmtId="2" fontId="83" fillId="0" borderId="19" xfId="11" applyNumberFormat="1" applyFont="1" applyBorder="1" applyAlignment="1" applyProtection="1">
      <alignment horizontal="center" vertical="center"/>
      <protection hidden="1"/>
    </xf>
    <xf numFmtId="0" fontId="38" fillId="0" borderId="19" xfId="11" applyFont="1" applyBorder="1" applyAlignment="1" applyProtection="1">
      <alignment horizontal="center" vertical="center"/>
      <protection hidden="1"/>
    </xf>
    <xf numFmtId="0" fontId="38" fillId="20" borderId="0" xfId="11" applyFont="1" applyFill="1" applyAlignment="1" applyProtection="1">
      <alignment vertical="center"/>
      <protection hidden="1"/>
    </xf>
    <xf numFmtId="0" fontId="221" fillId="0" borderId="0" xfId="11" applyFont="1" applyAlignment="1" applyProtection="1">
      <alignment horizontal="center" vertical="center" wrapText="1"/>
      <protection hidden="1"/>
    </xf>
    <xf numFmtId="0" fontId="221" fillId="0" borderId="19" xfId="11" applyFont="1" applyBorder="1" applyAlignment="1" applyProtection="1">
      <alignment horizontal="center" vertical="center" wrapText="1"/>
      <protection hidden="1"/>
    </xf>
    <xf numFmtId="0" fontId="221" fillId="0" borderId="0" xfId="11" applyFont="1" applyAlignment="1" applyProtection="1">
      <alignment horizontal="center" vertical="center"/>
      <protection hidden="1"/>
    </xf>
    <xf numFmtId="0" fontId="221" fillId="0" borderId="19" xfId="11" applyFont="1" applyBorder="1" applyAlignment="1" applyProtection="1">
      <alignment horizontal="center" vertical="center"/>
      <protection hidden="1"/>
    </xf>
    <xf numFmtId="0" fontId="38" fillId="0" borderId="2" xfId="11" applyFont="1" applyBorder="1" applyAlignment="1" applyProtection="1">
      <alignment horizontal="center" vertical="center"/>
      <protection hidden="1"/>
    </xf>
    <xf numFmtId="0" fontId="38" fillId="0" borderId="7" xfId="11" applyFont="1" applyBorder="1" applyAlignment="1" applyProtection="1">
      <alignment horizontal="center" vertical="center"/>
      <protection hidden="1"/>
    </xf>
    <xf numFmtId="0" fontId="83" fillId="20" borderId="0" xfId="11" applyFont="1" applyFill="1" applyAlignment="1" applyProtection="1">
      <alignment horizontal="center" vertical="center"/>
      <protection hidden="1"/>
    </xf>
    <xf numFmtId="0" fontId="83" fillId="0" borderId="0" xfId="11" applyFont="1" applyAlignment="1" applyProtection="1">
      <alignment vertical="center" textRotation="90"/>
      <protection hidden="1"/>
    </xf>
    <xf numFmtId="0" fontId="83" fillId="0" borderId="0" xfId="11" applyFont="1" applyProtection="1">
      <protection hidden="1"/>
    </xf>
    <xf numFmtId="0" fontId="38" fillId="0" borderId="1" xfId="11" applyFont="1" applyBorder="1" applyProtection="1">
      <protection hidden="1"/>
    </xf>
    <xf numFmtId="0" fontId="38" fillId="0" borderId="1" xfId="11" applyFont="1" applyBorder="1" applyAlignment="1" applyProtection="1">
      <alignment horizontal="center" wrapText="1"/>
      <protection hidden="1"/>
    </xf>
    <xf numFmtId="0" fontId="38" fillId="0" borderId="6" xfId="11" applyFont="1" applyBorder="1" applyAlignment="1" applyProtection="1">
      <alignment horizontal="center" wrapText="1"/>
      <protection hidden="1"/>
    </xf>
    <xf numFmtId="0" fontId="38" fillId="0" borderId="0" xfId="11" applyFont="1" applyAlignment="1" applyProtection="1">
      <alignment horizontal="center" wrapText="1"/>
      <protection hidden="1"/>
    </xf>
    <xf numFmtId="0" fontId="38" fillId="0" borderId="19" xfId="11" applyFont="1" applyBorder="1" applyAlignment="1" applyProtection="1">
      <alignment horizontal="center"/>
      <protection hidden="1"/>
    </xf>
    <xf numFmtId="0" fontId="38" fillId="0" borderId="19" xfId="11" applyFont="1" applyBorder="1" applyAlignment="1" applyProtection="1">
      <alignment horizontal="center" wrapText="1"/>
      <protection hidden="1"/>
    </xf>
    <xf numFmtId="2" fontId="38" fillId="0" borderId="0" xfId="11" applyNumberFormat="1" applyFont="1" applyAlignment="1" applyProtection="1">
      <alignment horizontal="center"/>
      <protection hidden="1"/>
    </xf>
    <xf numFmtId="2" fontId="38" fillId="0" borderId="19" xfId="11" applyNumberFormat="1" applyFont="1" applyBorder="1" applyAlignment="1" applyProtection="1">
      <alignment horizontal="center"/>
      <protection hidden="1"/>
    </xf>
    <xf numFmtId="0" fontId="38" fillId="0" borderId="2" xfId="11" applyFont="1" applyBorder="1" applyProtection="1">
      <protection hidden="1"/>
    </xf>
    <xf numFmtId="0" fontId="38" fillId="0" borderId="2" xfId="11" applyFont="1" applyBorder="1" applyAlignment="1" applyProtection="1">
      <alignment horizontal="center"/>
      <protection hidden="1"/>
    </xf>
    <xf numFmtId="0" fontId="38" fillId="0" borderId="7" xfId="11" applyFont="1" applyBorder="1" applyAlignment="1" applyProtection="1">
      <alignment horizontal="center"/>
      <protection hidden="1"/>
    </xf>
    <xf numFmtId="0" fontId="38" fillId="0" borderId="1" xfId="11" applyFont="1" applyBorder="1" applyAlignment="1" applyProtection="1">
      <alignment horizontal="center"/>
      <protection hidden="1"/>
    </xf>
    <xf numFmtId="0" fontId="38" fillId="0" borderId="6" xfId="11" applyFont="1" applyBorder="1" applyAlignment="1" applyProtection="1">
      <alignment horizontal="center"/>
      <protection hidden="1"/>
    </xf>
    <xf numFmtId="0" fontId="38" fillId="0" borderId="37" xfId="11" applyFont="1" applyBorder="1" applyAlignment="1" applyProtection="1">
      <alignment vertical="center"/>
      <protection hidden="1"/>
    </xf>
    <xf numFmtId="0" fontId="38" fillId="0" borderId="34" xfId="11" applyFont="1" applyBorder="1" applyAlignment="1" applyProtection="1">
      <alignment vertical="center"/>
      <protection hidden="1"/>
    </xf>
    <xf numFmtId="0" fontId="4" fillId="0" borderId="0" xfId="11" applyFont="1" applyAlignment="1" applyProtection="1">
      <alignment vertical="center"/>
      <protection hidden="1"/>
    </xf>
    <xf numFmtId="0" fontId="146" fillId="7" borderId="18" xfId="11" applyFont="1" applyFill="1" applyBorder="1" applyAlignment="1" applyProtection="1">
      <alignment vertical="center"/>
      <protection hidden="1"/>
    </xf>
    <xf numFmtId="0" fontId="225" fillId="7" borderId="0" xfId="11" applyFont="1" applyFill="1" applyAlignment="1" applyProtection="1">
      <alignment vertical="center"/>
      <protection hidden="1"/>
    </xf>
    <xf numFmtId="0" fontId="4" fillId="0" borderId="18" xfId="11" quotePrefix="1" applyFont="1" applyBorder="1" applyAlignment="1" applyProtection="1">
      <alignment vertical="center"/>
      <protection hidden="1"/>
    </xf>
    <xf numFmtId="0" fontId="4" fillId="0" borderId="0" xfId="11" applyFont="1" applyAlignment="1" applyProtection="1">
      <alignment horizontal="center" vertical="center"/>
      <protection hidden="1"/>
    </xf>
    <xf numFmtId="0" fontId="196" fillId="0" borderId="18" xfId="11" quotePrefix="1" applyFont="1" applyBorder="1" applyAlignment="1" applyProtection="1">
      <alignment vertical="center"/>
      <protection hidden="1"/>
    </xf>
    <xf numFmtId="0" fontId="226" fillId="0" borderId="18" xfId="11" applyFont="1" applyBorder="1" applyAlignment="1" applyProtection="1">
      <alignment horizontal="center" vertical="center"/>
      <protection hidden="1"/>
    </xf>
    <xf numFmtId="2" fontId="227" fillId="0" borderId="18" xfId="11" applyNumberFormat="1" applyFont="1" applyBorder="1" applyAlignment="1" applyProtection="1">
      <alignment horizontal="center" vertical="center"/>
      <protection hidden="1"/>
    </xf>
    <xf numFmtId="2" fontId="227" fillId="0" borderId="37" xfId="11" applyNumberFormat="1" applyFont="1" applyBorder="1" applyAlignment="1" applyProtection="1">
      <alignment horizontal="center" vertical="center"/>
      <protection hidden="1"/>
    </xf>
    <xf numFmtId="0" fontId="38" fillId="0" borderId="19" xfId="11" applyFont="1" applyBorder="1" applyAlignment="1" applyProtection="1">
      <alignment vertical="center"/>
      <protection hidden="1"/>
    </xf>
    <xf numFmtId="0" fontId="38" fillId="0" borderId="20" xfId="11" applyFont="1" applyBorder="1" applyAlignment="1" applyProtection="1">
      <alignment vertical="center"/>
      <protection hidden="1"/>
    </xf>
    <xf numFmtId="0" fontId="84" fillId="0" borderId="13" xfId="11" applyFont="1" applyBorder="1" applyAlignment="1" applyProtection="1">
      <alignment horizontal="center" vertical="center"/>
      <protection hidden="1"/>
    </xf>
    <xf numFmtId="0" fontId="84" fillId="0" borderId="1" xfId="11" applyFont="1" applyBorder="1" applyAlignment="1" applyProtection="1">
      <alignment horizontal="center" vertical="center"/>
      <protection hidden="1"/>
    </xf>
    <xf numFmtId="0" fontId="84" fillId="0" borderId="6" xfId="11" applyFont="1" applyBorder="1" applyAlignment="1" applyProtection="1">
      <alignment horizontal="center" vertical="center"/>
      <protection hidden="1"/>
    </xf>
    <xf numFmtId="0" fontId="84" fillId="0" borderId="18" xfId="11" applyFont="1" applyBorder="1" applyAlignment="1" applyProtection="1">
      <alignment horizontal="center" vertical="center" wrapText="1"/>
      <protection hidden="1"/>
    </xf>
    <xf numFmtId="0" fontId="84" fillId="0" borderId="0" xfId="11" applyFont="1" applyAlignment="1" applyProtection="1">
      <alignment horizontal="center" vertical="center" wrapText="1"/>
      <protection hidden="1"/>
    </xf>
    <xf numFmtId="0" fontId="84" fillId="0" borderId="19" xfId="11" applyFont="1" applyBorder="1" applyAlignment="1" applyProtection="1">
      <alignment horizontal="center" vertical="center"/>
      <protection hidden="1"/>
    </xf>
    <xf numFmtId="0" fontId="84" fillId="0" borderId="18" xfId="11" applyFont="1" applyBorder="1" applyAlignment="1" applyProtection="1">
      <alignment horizontal="center" vertical="center"/>
      <protection hidden="1"/>
    </xf>
    <xf numFmtId="0" fontId="84" fillId="0" borderId="0" xfId="11" applyFont="1" applyAlignment="1" applyProtection="1">
      <alignment horizontal="center" vertical="center"/>
      <protection hidden="1"/>
    </xf>
    <xf numFmtId="0" fontId="84" fillId="0" borderId="19" xfId="11" applyFont="1" applyBorder="1" applyAlignment="1" applyProtection="1">
      <alignment vertical="center"/>
      <protection hidden="1"/>
    </xf>
    <xf numFmtId="0" fontId="84" fillId="0" borderId="0" xfId="11" applyFont="1" applyAlignment="1" applyProtection="1">
      <alignment vertical="center"/>
      <protection hidden="1"/>
    </xf>
    <xf numFmtId="0" fontId="84" fillId="0" borderId="18" xfId="11" applyFont="1" applyBorder="1" applyAlignment="1" applyProtection="1">
      <alignment horizontal="center"/>
      <protection hidden="1"/>
    </xf>
    <xf numFmtId="0" fontId="84" fillId="0" borderId="0" xfId="11" applyFont="1" applyAlignment="1" applyProtection="1">
      <alignment horizontal="center"/>
      <protection hidden="1"/>
    </xf>
    <xf numFmtId="0" fontId="84" fillId="0" borderId="19" xfId="11" applyFont="1" applyBorder="1" applyAlignment="1" applyProtection="1">
      <alignment horizontal="center"/>
      <protection hidden="1"/>
    </xf>
    <xf numFmtId="0" fontId="84" fillId="0" borderId="19" xfId="11" applyFont="1" applyBorder="1" applyAlignment="1" applyProtection="1">
      <alignment horizontal="center" vertical="center" wrapText="1"/>
      <protection hidden="1"/>
    </xf>
    <xf numFmtId="0" fontId="84" fillId="0" borderId="18" xfId="11" applyFont="1" applyBorder="1" applyAlignment="1" applyProtection="1">
      <alignment vertical="center"/>
      <protection hidden="1"/>
    </xf>
    <xf numFmtId="0" fontId="84" fillId="0" borderId="20" xfId="11" applyFont="1" applyBorder="1" applyAlignment="1" applyProtection="1">
      <alignment vertical="center"/>
      <protection hidden="1"/>
    </xf>
    <xf numFmtId="0" fontId="84" fillId="0" borderId="2" xfId="11" applyFont="1" applyBorder="1" applyAlignment="1" applyProtection="1">
      <alignment horizontal="center" vertical="center"/>
      <protection hidden="1"/>
    </xf>
    <xf numFmtId="0" fontId="84" fillId="0" borderId="7" xfId="11" applyFont="1" applyBorder="1" applyAlignment="1" applyProtection="1">
      <alignment horizontal="center" vertical="center"/>
      <protection hidden="1"/>
    </xf>
    <xf numFmtId="0" fontId="38" fillId="0" borderId="7" xfId="11" applyFont="1" applyBorder="1" applyAlignment="1" applyProtection="1">
      <alignment vertical="center"/>
      <protection hidden="1"/>
    </xf>
    <xf numFmtId="0" fontId="38" fillId="0" borderId="6" xfId="11" applyFont="1" applyBorder="1" applyAlignment="1" applyProtection="1">
      <alignment vertical="center"/>
      <protection hidden="1"/>
    </xf>
    <xf numFmtId="0" fontId="38" fillId="0" borderId="1" xfId="11" applyFont="1" applyBorder="1" applyAlignment="1" applyProtection="1">
      <alignment vertical="center" wrapText="1"/>
      <protection hidden="1"/>
    </xf>
    <xf numFmtId="0" fontId="38" fillId="0" borderId="6" xfId="11" applyFont="1" applyBorder="1" applyAlignment="1" applyProtection="1">
      <alignment vertical="center" wrapText="1"/>
      <protection hidden="1"/>
    </xf>
    <xf numFmtId="0" fontId="38" fillId="0" borderId="0" xfId="11" applyFont="1" applyAlignment="1" applyProtection="1">
      <alignment vertical="center" wrapText="1"/>
      <protection hidden="1"/>
    </xf>
    <xf numFmtId="0" fontId="38" fillId="0" borderId="19" xfId="11" applyFont="1" applyBorder="1" applyAlignment="1" applyProtection="1">
      <alignment vertical="center" wrapText="1"/>
      <protection hidden="1"/>
    </xf>
    <xf numFmtId="0" fontId="221" fillId="0" borderId="0" xfId="11" applyFont="1" applyAlignment="1" applyProtection="1">
      <alignment vertical="center" wrapText="1"/>
      <protection hidden="1"/>
    </xf>
    <xf numFmtId="0" fontId="221" fillId="0" borderId="0" xfId="11" applyFont="1" applyAlignment="1" applyProtection="1">
      <alignment vertical="center"/>
      <protection hidden="1"/>
    </xf>
    <xf numFmtId="0" fontId="221" fillId="0" borderId="19" xfId="11" applyFont="1" applyBorder="1" applyAlignment="1" applyProtection="1">
      <alignment vertical="center"/>
      <protection hidden="1"/>
    </xf>
    <xf numFmtId="0" fontId="38" fillId="0" borderId="6" xfId="11" applyFont="1" applyBorder="1" applyProtection="1">
      <protection hidden="1"/>
    </xf>
    <xf numFmtId="0" fontId="38" fillId="0" borderId="19" xfId="11" applyFont="1" applyBorder="1" applyProtection="1">
      <protection hidden="1"/>
    </xf>
    <xf numFmtId="0" fontId="38" fillId="20" borderId="6" xfId="11" applyFont="1" applyFill="1" applyBorder="1" applyAlignment="1" applyProtection="1">
      <alignment vertical="center"/>
      <protection hidden="1"/>
    </xf>
    <xf numFmtId="0" fontId="38" fillId="20" borderId="19" xfId="11" applyFont="1" applyFill="1" applyBorder="1" applyAlignment="1" applyProtection="1">
      <alignment vertical="center"/>
      <protection hidden="1"/>
    </xf>
    <xf numFmtId="0" fontId="4" fillId="0" borderId="33" xfId="11" applyFont="1" applyBorder="1" applyAlignment="1" applyProtection="1">
      <alignment horizontal="center" vertical="center"/>
      <protection hidden="1"/>
    </xf>
    <xf numFmtId="0" fontId="226" fillId="0" borderId="37" xfId="11" applyFont="1" applyBorder="1" applyAlignment="1" applyProtection="1">
      <alignment horizontal="center" vertical="center"/>
      <protection hidden="1"/>
    </xf>
    <xf numFmtId="0" fontId="4" fillId="0" borderId="20" xfId="11" applyFont="1" applyBorder="1" applyAlignment="1" applyProtection="1">
      <alignment vertical="center"/>
      <protection hidden="1"/>
    </xf>
    <xf numFmtId="0" fontId="4" fillId="0" borderId="2" xfId="11" applyFont="1" applyBorder="1" applyAlignment="1" applyProtection="1">
      <alignment vertical="center"/>
      <protection hidden="1"/>
    </xf>
    <xf numFmtId="0" fontId="4" fillId="0" borderId="34" xfId="11" applyFont="1" applyBorder="1" applyAlignment="1" applyProtection="1">
      <alignment vertical="center"/>
      <protection hidden="1"/>
    </xf>
    <xf numFmtId="0" fontId="94" fillId="0" borderId="19" xfId="11" applyFont="1" applyBorder="1" applyAlignment="1" applyProtection="1">
      <alignment vertical="center"/>
      <protection hidden="1"/>
    </xf>
    <xf numFmtId="0" fontId="94" fillId="0" borderId="18" xfId="11" applyFont="1" applyBorder="1" applyAlignment="1" applyProtection="1">
      <alignment vertical="center"/>
      <protection locked="0"/>
    </xf>
    <xf numFmtId="0" fontId="164" fillId="0" borderId="0" xfId="3" applyFont="1" applyAlignment="1" applyProtection="1">
      <alignment horizontal="center" vertical="center"/>
      <protection hidden="1"/>
    </xf>
    <xf numFmtId="176" fontId="164" fillId="0" borderId="0" xfId="3" applyNumberFormat="1" applyFont="1" applyAlignment="1" applyProtection="1">
      <alignment horizontal="center" vertical="center"/>
      <protection hidden="1"/>
    </xf>
    <xf numFmtId="0" fontId="164" fillId="0" borderId="0" xfId="3" applyFont="1" applyAlignment="1" applyProtection="1">
      <alignment vertical="center"/>
      <protection hidden="1"/>
    </xf>
    <xf numFmtId="204" fontId="164" fillId="0" borderId="0" xfId="3" applyNumberFormat="1" applyFont="1" applyAlignment="1" applyProtection="1">
      <alignment horizontal="center" vertical="center"/>
      <protection hidden="1"/>
    </xf>
    <xf numFmtId="2" fontId="89" fillId="0" borderId="0" xfId="0" applyNumberFormat="1" applyFont="1" applyBorder="1" applyAlignment="1" applyProtection="1">
      <alignment horizontal="center"/>
      <protection hidden="1"/>
    </xf>
    <xf numFmtId="0" fontId="233" fillId="0" borderId="0" xfId="0" applyFont="1" applyAlignment="1" applyProtection="1">
      <alignment horizontal="center" vertical="center"/>
      <protection hidden="1"/>
    </xf>
    <xf numFmtId="0" fontId="233" fillId="0" borderId="0" xfId="0" applyFont="1" applyBorder="1" applyAlignment="1" applyProtection="1">
      <alignment horizontal="center" vertical="center"/>
      <protection hidden="1"/>
    </xf>
    <xf numFmtId="0" fontId="234" fillId="0" borderId="0" xfId="1" applyFont="1" applyBorder="1" applyAlignment="1" applyProtection="1">
      <alignment vertical="center"/>
      <protection hidden="1"/>
    </xf>
    <xf numFmtId="2" fontId="233" fillId="0" borderId="0" xfId="0" applyNumberFormat="1" applyFont="1" applyBorder="1" applyAlignment="1" applyProtection="1">
      <alignment vertical="center"/>
      <protection hidden="1"/>
    </xf>
    <xf numFmtId="0" fontId="233" fillId="0" borderId="0" xfId="0" applyFont="1" applyBorder="1" applyAlignment="1" applyProtection="1">
      <alignment vertical="center"/>
      <protection hidden="1"/>
    </xf>
    <xf numFmtId="0" fontId="233" fillId="0" borderId="0" xfId="0" applyFont="1" applyAlignment="1" applyProtection="1">
      <alignment horizontal="center" vertical="center"/>
      <protection locked="0" hidden="1"/>
    </xf>
    <xf numFmtId="176" fontId="233" fillId="0" borderId="0" xfId="0" applyNumberFormat="1" applyFont="1" applyAlignment="1" applyProtection="1">
      <alignment horizontal="center" vertical="center"/>
      <protection hidden="1"/>
    </xf>
    <xf numFmtId="176" fontId="233" fillId="0" borderId="0" xfId="0" applyNumberFormat="1" applyFont="1" applyBorder="1" applyAlignment="1" applyProtection="1">
      <alignment horizontal="center" vertical="center"/>
      <protection hidden="1"/>
    </xf>
    <xf numFmtId="2" fontId="233" fillId="0" borderId="0" xfId="0" applyNumberFormat="1" applyFont="1" applyBorder="1" applyAlignment="1" applyProtection="1">
      <alignment horizontal="center" vertical="center"/>
      <protection hidden="1"/>
    </xf>
    <xf numFmtId="0" fontId="233" fillId="0" borderId="0" xfId="0" applyFont="1" applyBorder="1" applyAlignment="1" applyProtection="1">
      <alignment horizontal="left" vertical="center"/>
      <protection hidden="1"/>
    </xf>
    <xf numFmtId="2" fontId="233" fillId="0" borderId="0" xfId="0" applyNumberFormat="1" applyFont="1" applyBorder="1" applyAlignment="1" applyProtection="1">
      <alignment horizontal="center"/>
      <protection locked="0"/>
    </xf>
    <xf numFmtId="2" fontId="233" fillId="0" borderId="0" xfId="0" applyNumberFormat="1" applyFont="1" applyBorder="1" applyAlignment="1" applyProtection="1">
      <alignment horizontal="center"/>
      <protection hidden="1"/>
    </xf>
    <xf numFmtId="0" fontId="233" fillId="0" borderId="0" xfId="0" applyFont="1" applyAlignment="1" applyProtection="1">
      <alignment vertical="center"/>
      <protection hidden="1"/>
    </xf>
    <xf numFmtId="9" fontId="233" fillId="0" borderId="0" xfId="8" applyFont="1" applyBorder="1" applyAlignment="1" applyProtection="1">
      <alignment horizontal="center" vertical="center"/>
      <protection hidden="1"/>
    </xf>
    <xf numFmtId="0" fontId="233" fillId="0" borderId="0" xfId="0" applyFont="1" applyBorder="1" applyAlignment="1" applyProtection="1">
      <alignment horizontal="right" vertical="center"/>
      <protection hidden="1"/>
    </xf>
    <xf numFmtId="176" fontId="174" fillId="0" borderId="0" xfId="0" applyNumberFormat="1" applyFont="1" applyBorder="1" applyAlignment="1" applyProtection="1">
      <alignment horizontal="center" vertical="center"/>
      <protection hidden="1"/>
    </xf>
    <xf numFmtId="0" fontId="233" fillId="0" borderId="13" xfId="0" applyFont="1" applyBorder="1" applyAlignment="1" applyProtection="1">
      <alignment horizontal="center" vertical="center"/>
      <protection hidden="1"/>
    </xf>
    <xf numFmtId="0" fontId="233" fillId="0" borderId="18" xfId="0" applyFont="1" applyBorder="1" applyAlignment="1" applyProtection="1">
      <alignment horizontal="center" vertical="center"/>
      <protection hidden="1"/>
    </xf>
    <xf numFmtId="0" fontId="233" fillId="0" borderId="20" xfId="0" applyFont="1" applyBorder="1" applyAlignment="1" applyProtection="1">
      <alignment horizontal="center" vertical="center"/>
      <protection hidden="1"/>
    </xf>
    <xf numFmtId="0" fontId="233" fillId="0" borderId="33" xfId="0" applyFont="1" applyBorder="1" applyAlignment="1" applyProtection="1">
      <alignment horizontal="center" vertical="center"/>
      <protection hidden="1"/>
    </xf>
    <xf numFmtId="0" fontId="233" fillId="0" borderId="37" xfId="0" applyFont="1" applyBorder="1" applyAlignment="1" applyProtection="1">
      <alignment horizontal="center" vertical="center"/>
      <protection hidden="1"/>
    </xf>
    <xf numFmtId="0" fontId="233" fillId="0" borderId="34" xfId="0" applyFont="1" applyBorder="1" applyAlignment="1" applyProtection="1">
      <alignment horizontal="center" vertical="center"/>
      <protection hidden="1"/>
    </xf>
    <xf numFmtId="0" fontId="58" fillId="0" borderId="1" xfId="3" applyFont="1" applyBorder="1" applyAlignment="1" applyProtection="1">
      <alignment vertical="center"/>
      <protection hidden="1"/>
    </xf>
    <xf numFmtId="0" fontId="58" fillId="0" borderId="6" xfId="3" applyFont="1" applyBorder="1" applyAlignment="1" applyProtection="1">
      <alignment vertical="center"/>
      <protection hidden="1"/>
    </xf>
    <xf numFmtId="0" fontId="237" fillId="0" borderId="0" xfId="0" applyFont="1" applyAlignment="1">
      <alignment vertical="center"/>
    </xf>
    <xf numFmtId="0" fontId="0" fillId="37" borderId="12" xfId="0" applyFill="1" applyBorder="1" applyAlignment="1" applyProtection="1">
      <alignment horizontal="center" vertical="center"/>
      <protection locked="0"/>
    </xf>
    <xf numFmtId="176" fontId="3" fillId="37" borderId="12" xfId="0" applyNumberFormat="1" applyFont="1" applyFill="1" applyBorder="1" applyAlignment="1" applyProtection="1">
      <alignment horizontal="center" vertical="center"/>
      <protection locked="0"/>
    </xf>
    <xf numFmtId="176" fontId="179" fillId="37" borderId="12" xfId="0" applyNumberFormat="1" applyFont="1" applyFill="1" applyBorder="1" applyAlignment="1" applyProtection="1">
      <alignment horizontal="center" vertical="center"/>
      <protection locked="0"/>
    </xf>
    <xf numFmtId="184" fontId="2" fillId="37" borderId="12" xfId="6" applyNumberFormat="1" applyFill="1" applyBorder="1" applyAlignment="1" applyProtection="1">
      <alignment horizontal="center" vertical="center"/>
      <protection locked="0"/>
    </xf>
    <xf numFmtId="0" fontId="2" fillId="37" borderId="12" xfId="6" applyFill="1" applyBorder="1" applyAlignment="1" applyProtection="1">
      <alignment horizontal="center" vertical="center"/>
      <protection locked="0"/>
    </xf>
    <xf numFmtId="0" fontId="38" fillId="37" borderId="12" xfId="0" applyFont="1" applyFill="1" applyBorder="1" applyAlignment="1" applyProtection="1">
      <alignment horizontal="center" vertical="center"/>
      <protection locked="0"/>
    </xf>
    <xf numFmtId="176" fontId="38" fillId="37" borderId="12" xfId="3" applyNumberFormat="1" applyFont="1" applyFill="1" applyBorder="1" applyAlignment="1" applyProtection="1">
      <alignment horizontal="center" vertical="center"/>
      <protection locked="0"/>
    </xf>
    <xf numFmtId="177" fontId="38" fillId="37" borderId="12" xfId="3" applyNumberFormat="1" applyFont="1" applyFill="1" applyBorder="1" applyAlignment="1" applyProtection="1">
      <alignment horizontal="center" vertical="center"/>
      <protection locked="0"/>
    </xf>
    <xf numFmtId="184" fontId="38" fillId="37" borderId="12" xfId="3" applyNumberFormat="1" applyFont="1" applyFill="1" applyBorder="1" applyAlignment="1" applyProtection="1">
      <alignment horizontal="center" vertical="center"/>
      <protection locked="0"/>
    </xf>
    <xf numFmtId="195" fontId="38" fillId="37" borderId="12" xfId="3" applyNumberFormat="1" applyFont="1" applyFill="1" applyBorder="1" applyAlignment="1" applyProtection="1">
      <alignment horizontal="center" vertical="center"/>
      <protection locked="0"/>
    </xf>
    <xf numFmtId="183" fontId="38" fillId="37" borderId="12" xfId="3" applyNumberFormat="1" applyFont="1" applyFill="1" applyBorder="1" applyAlignment="1" applyProtection="1">
      <alignment horizontal="center" vertical="center"/>
      <protection locked="0"/>
    </xf>
    <xf numFmtId="183" fontId="38" fillId="37" borderId="34" xfId="3" applyNumberFormat="1" applyFont="1" applyFill="1" applyBorder="1" applyAlignment="1" applyProtection="1">
      <alignment horizontal="center" vertical="center"/>
      <protection locked="0"/>
    </xf>
    <xf numFmtId="184" fontId="38" fillId="37" borderId="34" xfId="3" applyNumberFormat="1" applyFont="1" applyFill="1" applyBorder="1" applyAlignment="1" applyProtection="1">
      <alignment horizontal="center" vertical="center"/>
      <protection locked="0"/>
    </xf>
    <xf numFmtId="2" fontId="38" fillId="37" borderId="12" xfId="14" applyNumberFormat="1" applyFont="1" applyFill="1" applyBorder="1" applyAlignment="1" applyProtection="1">
      <alignment horizontal="center" vertical="center"/>
      <protection locked="0"/>
    </xf>
    <xf numFmtId="1" fontId="38" fillId="37" borderId="12" xfId="14" applyNumberFormat="1" applyFont="1" applyFill="1" applyBorder="1" applyAlignment="1" applyProtection="1">
      <alignment horizontal="center" vertical="center"/>
      <protection locked="0"/>
    </xf>
    <xf numFmtId="9" fontId="0" fillId="37" borderId="12" xfId="8" applyFont="1" applyFill="1" applyBorder="1" applyAlignment="1" applyProtection="1">
      <alignment horizontal="center" vertical="center"/>
      <protection locked="0"/>
    </xf>
    <xf numFmtId="2" fontId="0" fillId="37" borderId="12" xfId="0" applyNumberFormat="1" applyFill="1" applyBorder="1" applyAlignment="1" applyProtection="1">
      <alignment horizontal="center" vertical="center"/>
      <protection locked="0"/>
    </xf>
    <xf numFmtId="1" fontId="3" fillId="37" borderId="12" xfId="0" applyNumberFormat="1" applyFont="1" applyFill="1" applyBorder="1" applyAlignment="1" applyProtection="1">
      <alignment horizontal="center" vertical="center"/>
      <protection locked="0"/>
    </xf>
    <xf numFmtId="0" fontId="0" fillId="37" borderId="12" xfId="6" applyFont="1" applyFill="1" applyBorder="1" applyAlignment="1" applyProtection="1">
      <alignment horizontal="center" vertical="center"/>
      <protection locked="0"/>
    </xf>
    <xf numFmtId="176" fontId="0" fillId="37" borderId="12" xfId="0" applyNumberFormat="1" applyFill="1" applyBorder="1" applyAlignment="1" applyProtection="1">
      <alignment horizontal="center" vertical="center"/>
      <protection locked="0"/>
    </xf>
    <xf numFmtId="0" fontId="6" fillId="37" borderId="12" xfId="2" applyFont="1" applyFill="1" applyBorder="1" applyAlignment="1" applyProtection="1">
      <alignment horizontal="center" vertical="center"/>
      <protection locked="0"/>
    </xf>
    <xf numFmtId="0" fontId="35" fillId="37" borderId="12" xfId="2" applyFont="1" applyFill="1" applyBorder="1" applyAlignment="1" applyProtection="1">
      <alignment horizontal="center" vertical="center"/>
      <protection locked="0"/>
    </xf>
    <xf numFmtId="0" fontId="0" fillId="37" borderId="12" xfId="2" applyFont="1" applyFill="1" applyBorder="1" applyAlignment="1" applyProtection="1">
      <alignment horizontal="center" vertical="center"/>
      <protection locked="0"/>
    </xf>
    <xf numFmtId="197" fontId="38" fillId="37" borderId="34" xfId="14" applyNumberFormat="1" applyFont="1" applyFill="1" applyBorder="1" applyAlignment="1" applyProtection="1">
      <alignment horizontal="center" vertical="center"/>
      <protection locked="0"/>
    </xf>
    <xf numFmtId="197" fontId="0" fillId="37" borderId="12" xfId="0" applyNumberFormat="1" applyFill="1" applyBorder="1" applyAlignment="1" applyProtection="1">
      <alignment horizontal="center" vertical="center"/>
      <protection locked="0"/>
    </xf>
    <xf numFmtId="0" fontId="44" fillId="37" borderId="12" xfId="7" applyFill="1" applyBorder="1" applyAlignment="1" applyProtection="1">
      <alignment horizontal="center" vertical="center"/>
      <protection locked="0"/>
    </xf>
    <xf numFmtId="176" fontId="3" fillId="37" borderId="20" xfId="0" applyNumberFormat="1" applyFont="1" applyFill="1" applyBorder="1" applyAlignment="1" applyProtection="1">
      <alignment horizontal="center" vertical="center"/>
      <protection locked="0"/>
    </xf>
    <xf numFmtId="189" fontId="38" fillId="37" borderId="12" xfId="1" applyNumberFormat="1" applyFont="1" applyFill="1" applyBorder="1" applyAlignment="1" applyProtection="1">
      <alignment horizontal="center" vertical="center"/>
      <protection locked="0"/>
    </xf>
    <xf numFmtId="9" fontId="0" fillId="37" borderId="12" xfId="0" applyNumberFormat="1" applyFill="1" applyBorder="1" applyAlignment="1" applyProtection="1">
      <alignment horizontal="center" vertical="center"/>
      <protection locked="0"/>
    </xf>
    <xf numFmtId="2" fontId="38" fillId="37" borderId="12" xfId="1" applyNumberFormat="1" applyFont="1" applyFill="1" applyBorder="1" applyAlignment="1" applyProtection="1">
      <alignment horizontal="center" vertical="center"/>
      <protection locked="0"/>
    </xf>
    <xf numFmtId="1" fontId="0" fillId="37" borderId="12" xfId="0" applyNumberFormat="1" applyFill="1" applyBorder="1" applyAlignment="1" applyProtection="1">
      <alignment horizontal="center" vertical="center"/>
      <protection locked="0"/>
    </xf>
    <xf numFmtId="0" fontId="83" fillId="0" borderId="7" xfId="14" applyFont="1" applyBorder="1" applyAlignment="1" applyProtection="1">
      <alignment horizontal="center" vertical="center"/>
      <protection hidden="1"/>
    </xf>
    <xf numFmtId="176" fontId="44" fillId="37" borderId="12" xfId="4" applyNumberFormat="1" applyFill="1" applyBorder="1" applyAlignment="1" applyProtection="1">
      <alignment horizontal="center" vertical="center"/>
      <protection locked="0"/>
    </xf>
    <xf numFmtId="0" fontId="44" fillId="37" borderId="12" xfId="4" applyFill="1" applyBorder="1" applyAlignment="1" applyProtection="1">
      <alignment horizontal="center" vertical="center"/>
      <protection locked="0"/>
    </xf>
    <xf numFmtId="0" fontId="44" fillId="37" borderId="36" xfId="4" applyFill="1" applyBorder="1" applyAlignment="1" applyProtection="1">
      <alignment horizontal="center" vertical="center"/>
      <protection locked="0"/>
    </xf>
    <xf numFmtId="2" fontId="3" fillId="37" borderId="14" xfId="0" applyNumberFormat="1" applyFont="1" applyFill="1" applyBorder="1" applyAlignment="1" applyProtection="1">
      <alignment horizontal="center" vertical="center"/>
      <protection locked="0"/>
    </xf>
    <xf numFmtId="2" fontId="3" fillId="37" borderId="12" xfId="0" applyNumberFormat="1" applyFont="1" applyFill="1" applyBorder="1" applyAlignment="1" applyProtection="1">
      <alignment horizontal="center" vertical="center"/>
      <protection locked="0"/>
    </xf>
    <xf numFmtId="176" fontId="3" fillId="37" borderId="14" xfId="0" applyNumberFormat="1" applyFont="1" applyFill="1" applyBorder="1" applyAlignment="1" applyProtection="1">
      <alignment horizontal="center" vertical="center"/>
      <protection locked="0"/>
    </xf>
    <xf numFmtId="1" fontId="38" fillId="37" borderId="12" xfId="0" applyNumberFormat="1" applyFont="1" applyFill="1" applyBorder="1" applyAlignment="1" applyProtection="1">
      <alignment horizontal="center" vertical="center"/>
      <protection locked="0"/>
    </xf>
    <xf numFmtId="2" fontId="38" fillId="37" borderId="12" xfId="0" applyNumberFormat="1" applyFont="1" applyFill="1" applyBorder="1" applyAlignment="1" applyProtection="1">
      <alignment horizontal="center" vertical="center"/>
      <protection locked="0"/>
    </xf>
    <xf numFmtId="176" fontId="38" fillId="37" borderId="12" xfId="0" applyNumberFormat="1" applyFont="1" applyFill="1" applyBorder="1" applyAlignment="1" applyProtection="1">
      <alignment horizontal="center" vertical="center"/>
      <protection locked="0"/>
    </xf>
    <xf numFmtId="232" fontId="38" fillId="37" borderId="12" xfId="0" applyNumberFormat="1" applyFont="1" applyFill="1" applyBorder="1" applyAlignment="1" applyProtection="1">
      <alignment horizontal="center" vertical="center"/>
      <protection locked="0"/>
    </xf>
    <xf numFmtId="0" fontId="3" fillId="37" borderId="12" xfId="0" applyFont="1" applyFill="1" applyBorder="1" applyAlignment="1" applyProtection="1">
      <alignment horizontal="center" vertical="center"/>
      <protection locked="0"/>
    </xf>
    <xf numFmtId="0" fontId="38" fillId="37" borderId="12" xfId="11" applyFont="1" applyFill="1" applyBorder="1" applyAlignment="1" applyProtection="1">
      <alignment horizontal="center" vertical="center"/>
      <protection locked="0"/>
    </xf>
    <xf numFmtId="2" fontId="0" fillId="37" borderId="33" xfId="0" applyNumberFormat="1" applyFill="1" applyBorder="1" applyAlignment="1" applyProtection="1">
      <alignment horizontal="center" vertical="center"/>
      <protection locked="0"/>
    </xf>
    <xf numFmtId="184" fontId="88" fillId="28" borderId="15" xfId="0" applyNumberFormat="1" applyFont="1" applyFill="1" applyBorder="1" applyAlignment="1" applyProtection="1">
      <alignment horizontal="center" vertical="center"/>
      <protection hidden="1"/>
    </xf>
    <xf numFmtId="0" fontId="113" fillId="0" borderId="0" xfId="0" applyFont="1" applyBorder="1" applyAlignment="1" applyProtection="1">
      <alignment vertical="center"/>
      <protection hidden="1"/>
    </xf>
    <xf numFmtId="0" fontId="242" fillId="0" borderId="0" xfId="0" applyFont="1" applyBorder="1" applyAlignment="1" applyProtection="1">
      <alignment horizontal="center" vertical="center"/>
      <protection hidden="1"/>
    </xf>
    <xf numFmtId="0" fontId="87" fillId="0" borderId="0" xfId="0" applyFont="1" applyBorder="1" applyAlignment="1" applyProtection="1">
      <alignment horizontal="center" vertical="center"/>
      <protection hidden="1"/>
    </xf>
    <xf numFmtId="0" fontId="0" fillId="37" borderId="12" xfId="4" applyFont="1" applyFill="1" applyBorder="1" applyAlignment="1" applyProtection="1">
      <alignment horizontal="center" vertical="center"/>
      <protection locked="0"/>
    </xf>
    <xf numFmtId="184" fontId="0" fillId="37" borderId="12" xfId="0" applyNumberFormat="1" applyFill="1" applyBorder="1" applyAlignment="1" applyProtection="1">
      <alignment horizontal="center" vertical="center"/>
      <protection locked="0"/>
    </xf>
    <xf numFmtId="0" fontId="58" fillId="0" borderId="14" xfId="3" applyFont="1" applyBorder="1" applyAlignment="1" applyProtection="1">
      <alignment horizontal="center" vertical="center" shrinkToFit="1"/>
      <protection locked="0"/>
    </xf>
    <xf numFmtId="0" fontId="38" fillId="0" borderId="15" xfId="3" applyFont="1" applyBorder="1" applyAlignment="1" applyProtection="1">
      <alignment vertical="center"/>
      <protection hidden="1"/>
    </xf>
    <xf numFmtId="0" fontId="155" fillId="0" borderId="2" xfId="3" applyFont="1" applyBorder="1" applyAlignment="1" applyProtection="1">
      <alignment horizontal="left" vertical="center"/>
      <protection hidden="1"/>
    </xf>
    <xf numFmtId="2" fontId="38" fillId="37" borderId="12" xfId="3" applyNumberFormat="1" applyFont="1" applyFill="1" applyBorder="1" applyAlignment="1" applyProtection="1">
      <alignment horizontal="center" vertical="center"/>
      <protection locked="0"/>
    </xf>
    <xf numFmtId="0" fontId="2" fillId="0" borderId="0" xfId="18" applyAlignment="1">
      <alignment horizontal="center" vertical="center"/>
    </xf>
    <xf numFmtId="0" fontId="2" fillId="0" borderId="0" xfId="18" applyAlignment="1">
      <alignment vertical="center"/>
    </xf>
    <xf numFmtId="0" fontId="82" fillId="0" borderId="0" xfId="18" applyFont="1" applyAlignment="1" applyProtection="1">
      <alignment vertical="center"/>
      <protection hidden="1"/>
    </xf>
    <xf numFmtId="0" fontId="89" fillId="0" borderId="0" xfId="18" applyFont="1" applyAlignment="1" applyProtection="1">
      <alignment vertical="center"/>
      <protection hidden="1"/>
    </xf>
    <xf numFmtId="0" fontId="8" fillId="0" borderId="0" xfId="18" applyFont="1" applyAlignment="1">
      <alignment vertical="center"/>
    </xf>
    <xf numFmtId="0" fontId="2" fillId="0" borderId="18" xfId="18" applyBorder="1" applyAlignment="1">
      <alignment vertical="center"/>
    </xf>
    <xf numFmtId="0" fontId="2" fillId="0" borderId="19" xfId="18" applyBorder="1" applyAlignment="1">
      <alignment horizontal="center" vertical="center"/>
    </xf>
    <xf numFmtId="0" fontId="2" fillId="0" borderId="18" xfId="18" applyBorder="1" applyAlignment="1">
      <alignment horizontal="center" vertical="center"/>
    </xf>
    <xf numFmtId="0" fontId="81" fillId="0" borderId="19" xfId="18" applyFont="1" applyBorder="1" applyAlignment="1" applyProtection="1">
      <alignment vertical="center"/>
      <protection locked="0" hidden="1"/>
    </xf>
    <xf numFmtId="0" fontId="89" fillId="0" borderId="0" xfId="18" applyFont="1" applyAlignment="1" applyProtection="1">
      <alignment horizontal="center" vertical="center"/>
      <protection hidden="1"/>
    </xf>
    <xf numFmtId="0" fontId="89" fillId="0" borderId="0" xfId="18" applyFont="1" applyAlignment="1" applyProtection="1">
      <alignment horizontal="center" vertical="center"/>
      <protection locked="0" hidden="1"/>
    </xf>
    <xf numFmtId="0" fontId="2" fillId="0" borderId="19" xfId="18" applyBorder="1" applyAlignment="1">
      <alignment vertical="center"/>
    </xf>
    <xf numFmtId="0" fontId="2" fillId="0" borderId="20" xfId="18" applyBorder="1" applyAlignment="1">
      <alignment vertical="center"/>
    </xf>
    <xf numFmtId="0" fontId="2" fillId="0" borderId="7" xfId="18" applyBorder="1" applyAlignment="1">
      <alignment vertical="center"/>
    </xf>
    <xf numFmtId="0" fontId="3" fillId="17" borderId="12" xfId="18" applyFont="1" applyFill="1" applyBorder="1" applyAlignment="1">
      <alignment horizontal="center" vertical="center"/>
    </xf>
    <xf numFmtId="0" fontId="40" fillId="17" borderId="12" xfId="18" applyFont="1" applyFill="1" applyBorder="1" applyAlignment="1">
      <alignment horizontal="center" vertical="center"/>
    </xf>
    <xf numFmtId="0" fontId="89" fillId="0" borderId="0" xfId="18" quotePrefix="1" applyFont="1" applyAlignment="1" applyProtection="1">
      <alignment horizontal="center" vertical="center"/>
      <protection hidden="1"/>
    </xf>
    <xf numFmtId="0" fontId="89" fillId="0" borderId="0" xfId="18" applyFont="1" applyAlignment="1" applyProtection="1">
      <alignment horizontal="right" vertical="center"/>
      <protection hidden="1"/>
    </xf>
    <xf numFmtId="0" fontId="2" fillId="0" borderId="2" xfId="18" applyBorder="1" applyAlignment="1">
      <alignment vertical="center"/>
    </xf>
    <xf numFmtId="0" fontId="2" fillId="0" borderId="7" xfId="18" applyBorder="1" applyAlignment="1">
      <alignment horizontal="center" vertical="center"/>
    </xf>
    <xf numFmtId="0" fontId="2" fillId="0" borderId="12" xfId="18" quotePrefix="1" applyBorder="1" applyAlignment="1">
      <alignment horizontal="center" vertical="center"/>
    </xf>
    <xf numFmtId="0" fontId="89" fillId="0" borderId="0" xfId="18" applyFont="1" applyAlignment="1">
      <alignment horizontal="center" vertical="center"/>
    </xf>
    <xf numFmtId="0" fontId="2" fillId="0" borderId="12" xfId="18" applyBorder="1" applyAlignment="1">
      <alignment vertical="center"/>
    </xf>
    <xf numFmtId="176" fontId="2" fillId="0" borderId="12" xfId="18" applyNumberFormat="1" applyBorder="1" applyAlignment="1">
      <alignment vertical="center"/>
    </xf>
    <xf numFmtId="0" fontId="182" fillId="0" borderId="0" xfId="18" applyFont="1" applyAlignment="1">
      <alignment horizontal="center" vertical="center"/>
    </xf>
    <xf numFmtId="0" fontId="8" fillId="0" borderId="12" xfId="18" applyFont="1" applyBorder="1" applyAlignment="1">
      <alignment horizontal="center" vertical="center"/>
    </xf>
    <xf numFmtId="0" fontId="182" fillId="0" borderId="12" xfId="18" applyFont="1" applyBorder="1" applyAlignment="1">
      <alignment horizontal="center" vertical="center"/>
    </xf>
    <xf numFmtId="0" fontId="2" fillId="0" borderId="12" xfId="18" applyBorder="1" applyAlignment="1">
      <alignment horizontal="center" vertical="center"/>
    </xf>
    <xf numFmtId="0" fontId="2" fillId="17" borderId="12" xfId="18" quotePrefix="1" applyFill="1" applyBorder="1" applyAlignment="1">
      <alignment horizontal="center" vertical="center"/>
    </xf>
    <xf numFmtId="0" fontId="2" fillId="17" borderId="12" xfId="18" applyFill="1" applyBorder="1" applyAlignment="1">
      <alignment vertical="center"/>
    </xf>
    <xf numFmtId="176" fontId="2" fillId="17" borderId="12" xfId="18" applyNumberFormat="1" applyFill="1" applyBorder="1" applyAlignment="1">
      <alignment vertical="center"/>
    </xf>
    <xf numFmtId="0" fontId="8" fillId="17" borderId="12" xfId="18" applyFont="1" applyFill="1" applyBorder="1" applyAlignment="1">
      <alignment horizontal="center" vertical="center"/>
    </xf>
    <xf numFmtId="0" fontId="182" fillId="17" borderId="12" xfId="18" applyFont="1" applyFill="1" applyBorder="1" applyAlignment="1">
      <alignment horizontal="center" vertical="center"/>
    </xf>
    <xf numFmtId="0" fontId="2" fillId="17" borderId="12" xfId="18" applyFill="1" applyBorder="1" applyAlignment="1">
      <alignment horizontal="center" vertical="center"/>
    </xf>
    <xf numFmtId="0" fontId="2" fillId="0" borderId="0" xfId="18" applyAlignment="1" applyProtection="1">
      <alignment vertical="center"/>
      <protection hidden="1"/>
    </xf>
    <xf numFmtId="176" fontId="0" fillId="8" borderId="12" xfId="0" applyNumberFormat="1" applyFill="1" applyBorder="1" applyAlignment="1" applyProtection="1">
      <alignment horizontal="center" vertical="center"/>
      <protection locked="0"/>
    </xf>
    <xf numFmtId="0" fontId="2" fillId="0" borderId="0" xfId="18" applyAlignment="1" applyProtection="1">
      <alignment horizontal="center" vertical="center"/>
      <protection hidden="1"/>
    </xf>
    <xf numFmtId="0" fontId="2" fillId="0" borderId="19" xfId="18" applyBorder="1" applyAlignment="1" applyProtection="1">
      <alignment horizontal="center" vertical="center"/>
      <protection hidden="1"/>
    </xf>
    <xf numFmtId="2" fontId="158" fillId="0" borderId="12" xfId="0" applyNumberFormat="1" applyFont="1" applyBorder="1" applyAlignment="1" applyProtection="1">
      <alignment horizontal="center" vertical="center"/>
      <protection locked="0"/>
    </xf>
    <xf numFmtId="2" fontId="158" fillId="0" borderId="19" xfId="0" applyNumberFormat="1" applyFont="1" applyBorder="1" applyAlignment="1" applyProtection="1">
      <alignment horizontal="center" vertical="center"/>
      <protection locked="0"/>
    </xf>
    <xf numFmtId="2" fontId="85" fillId="0" borderId="13" xfId="0" applyNumberFormat="1" applyFont="1" applyBorder="1" applyAlignment="1" applyProtection="1">
      <alignment horizontal="center" vertical="center"/>
      <protection hidden="1"/>
    </xf>
    <xf numFmtId="0" fontId="182" fillId="0" borderId="6" xfId="0" applyFont="1" applyBorder="1" applyAlignment="1" applyProtection="1">
      <alignment horizontal="center" vertical="center"/>
      <protection hidden="1"/>
    </xf>
    <xf numFmtId="2" fontId="0" fillId="8" borderId="12" xfId="0" applyNumberFormat="1" applyFill="1" applyBorder="1" applyAlignment="1" applyProtection="1">
      <alignment horizontal="center" vertical="center"/>
      <protection locked="0"/>
    </xf>
    <xf numFmtId="0" fontId="89" fillId="0" borderId="0" xfId="18" applyFont="1" applyAlignment="1">
      <alignment vertical="center"/>
    </xf>
    <xf numFmtId="2" fontId="85" fillId="0" borderId="18" xfId="0" applyNumberFormat="1" applyFont="1" applyBorder="1" applyAlignment="1" applyProtection="1">
      <alignment horizontal="center" vertical="center"/>
      <protection hidden="1"/>
    </xf>
    <xf numFmtId="0" fontId="182" fillId="0" borderId="19" xfId="0" applyFont="1" applyBorder="1" applyAlignment="1" applyProtection="1">
      <alignment horizontal="center" vertical="center"/>
      <protection hidden="1"/>
    </xf>
    <xf numFmtId="2" fontId="8" fillId="0" borderId="0" xfId="18" applyNumberFormat="1" applyFont="1" applyAlignment="1" applyProtection="1">
      <alignment horizontal="center" vertical="center"/>
      <protection hidden="1"/>
    </xf>
    <xf numFmtId="0" fontId="2" fillId="8" borderId="12" xfId="18" applyFill="1" applyBorder="1" applyAlignment="1" applyProtection="1">
      <alignment horizontal="center" vertical="center"/>
      <protection locked="0"/>
    </xf>
    <xf numFmtId="0" fontId="5" fillId="0" borderId="0" xfId="18" applyFont="1" applyAlignment="1" applyProtection="1">
      <alignment horizontal="center" vertical="center"/>
      <protection hidden="1"/>
    </xf>
    <xf numFmtId="0" fontId="5" fillId="0" borderId="19" xfId="18" applyFont="1" applyBorder="1" applyAlignment="1" applyProtection="1">
      <alignment horizontal="center" vertical="center"/>
      <protection hidden="1"/>
    </xf>
    <xf numFmtId="2" fontId="85" fillId="0" borderId="20" xfId="0" applyNumberFormat="1" applyFont="1" applyBorder="1" applyAlignment="1" applyProtection="1">
      <alignment horizontal="center" vertical="center"/>
      <protection hidden="1"/>
    </xf>
    <xf numFmtId="0" fontId="182" fillId="0" borderId="7" xfId="0" applyFont="1" applyBorder="1" applyAlignment="1" applyProtection="1">
      <alignment horizontal="center" vertical="center"/>
      <protection hidden="1"/>
    </xf>
    <xf numFmtId="0" fontId="182" fillId="0" borderId="0" xfId="18" applyFont="1" applyAlignment="1" applyProtection="1">
      <alignment vertical="center"/>
      <protection hidden="1"/>
    </xf>
    <xf numFmtId="1" fontId="87" fillId="0" borderId="0" xfId="18" applyNumberFormat="1" applyFont="1" applyAlignment="1" applyProtection="1">
      <alignment horizontal="center" vertical="center"/>
      <protection hidden="1"/>
    </xf>
    <xf numFmtId="0" fontId="87" fillId="0" borderId="0" xfId="18" applyFont="1" applyAlignment="1" applyProtection="1">
      <alignment horizontal="center" vertical="center"/>
      <protection hidden="1"/>
    </xf>
    <xf numFmtId="0" fontId="87" fillId="0" borderId="19" xfId="18" applyFont="1" applyBorder="1" applyAlignment="1" applyProtection="1">
      <alignment horizontal="center" vertical="center"/>
      <protection hidden="1"/>
    </xf>
    <xf numFmtId="0" fontId="3" fillId="0" borderId="0" xfId="18" applyFont="1" applyAlignment="1">
      <alignment vertical="center"/>
    </xf>
    <xf numFmtId="0" fontId="182" fillId="0" borderId="2" xfId="18" applyFont="1" applyBorder="1" applyAlignment="1" applyProtection="1">
      <alignment vertical="center"/>
      <protection hidden="1"/>
    </xf>
    <xf numFmtId="1" fontId="87" fillId="0" borderId="2" xfId="18" applyNumberFormat="1" applyFont="1" applyBorder="1" applyAlignment="1" applyProtection="1">
      <alignment horizontal="center" vertical="center"/>
      <protection hidden="1"/>
    </xf>
    <xf numFmtId="0" fontId="87" fillId="0" borderId="2" xfId="18" applyFont="1" applyBorder="1" applyAlignment="1" applyProtection="1">
      <alignment horizontal="center" vertical="center"/>
      <protection hidden="1"/>
    </xf>
    <xf numFmtId="0" fontId="87" fillId="0" borderId="7" xfId="18" applyFont="1" applyBorder="1" applyAlignment="1" applyProtection="1">
      <alignment horizontal="center" vertical="center"/>
      <protection hidden="1"/>
    </xf>
    <xf numFmtId="0" fontId="89" fillId="0" borderId="2" xfId="18" applyFont="1" applyBorder="1" applyAlignment="1">
      <alignment horizontal="center" vertical="center"/>
    </xf>
    <xf numFmtId="0" fontId="182" fillId="0" borderId="2" xfId="18" applyFont="1" applyBorder="1" applyAlignment="1">
      <alignment horizontal="center" vertical="center"/>
    </xf>
    <xf numFmtId="0" fontId="81" fillId="0" borderId="0" xfId="18" applyFont="1" applyAlignment="1" applyProtection="1">
      <alignment vertical="center"/>
      <protection hidden="1"/>
    </xf>
    <xf numFmtId="176" fontId="81" fillId="0" borderId="0" xfId="18" applyNumberFormat="1" applyFont="1" applyAlignment="1" applyProtection="1">
      <alignment vertical="center"/>
      <protection hidden="1"/>
    </xf>
    <xf numFmtId="176" fontId="2" fillId="8" borderId="12" xfId="0" applyNumberFormat="1" applyFont="1" applyFill="1" applyBorder="1" applyAlignment="1" applyProtection="1">
      <alignment horizontal="center" vertical="center"/>
      <protection locked="0"/>
    </xf>
    <xf numFmtId="1" fontId="2" fillId="0" borderId="0" xfId="18" applyNumberFormat="1" applyAlignment="1">
      <alignment horizontal="center" vertical="center"/>
    </xf>
    <xf numFmtId="0" fontId="89" fillId="0" borderId="0" xfId="18" quotePrefix="1" applyFont="1" applyAlignment="1" applyProtection="1">
      <alignment horizontal="center" vertical="center" shrinkToFit="1"/>
      <protection hidden="1"/>
    </xf>
    <xf numFmtId="0" fontId="127" fillId="0" borderId="0" xfId="18" applyFont="1" applyAlignment="1" applyProtection="1">
      <alignment vertical="center"/>
      <protection hidden="1"/>
    </xf>
    <xf numFmtId="0" fontId="2" fillId="0" borderId="13" xfId="18" applyBorder="1" applyAlignment="1">
      <alignment vertical="center"/>
    </xf>
    <xf numFmtId="0" fontId="2" fillId="0" borderId="1" xfId="18" applyBorder="1" applyAlignment="1">
      <alignment vertical="center"/>
    </xf>
    <xf numFmtId="0" fontId="2" fillId="0" borderId="1" xfId="18" applyBorder="1" applyAlignment="1">
      <alignment horizontal="center" vertical="center"/>
    </xf>
    <xf numFmtId="0" fontId="2" fillId="0" borderId="6" xfId="18" applyBorder="1" applyAlignment="1">
      <alignment horizontal="center" vertical="center"/>
    </xf>
    <xf numFmtId="0" fontId="2" fillId="0" borderId="2" xfId="18" applyBorder="1" applyAlignment="1">
      <alignment horizontal="center" vertical="center"/>
    </xf>
    <xf numFmtId="0" fontId="41" fillId="0" borderId="1" xfId="18" applyFont="1" applyBorder="1" applyAlignment="1">
      <alignment horizontal="left" vertical="center"/>
    </xf>
    <xf numFmtId="0" fontId="41" fillId="0" borderId="6" xfId="18" applyFont="1" applyBorder="1" applyAlignment="1">
      <alignment horizontal="left" vertical="center"/>
    </xf>
    <xf numFmtId="0" fontId="0" fillId="0" borderId="0" xfId="18" applyFont="1" applyAlignment="1" applyProtection="1">
      <alignment vertical="center"/>
      <protection hidden="1"/>
    </xf>
    <xf numFmtId="0" fontId="87" fillId="0" borderId="0" xfId="18" applyFont="1" applyAlignment="1" applyProtection="1">
      <alignment vertical="center"/>
      <protection hidden="1"/>
    </xf>
    <xf numFmtId="0" fontId="3" fillId="0" borderId="20" xfId="18" applyFont="1" applyBorder="1" applyAlignment="1">
      <alignment vertical="center"/>
    </xf>
    <xf numFmtId="0" fontId="87" fillId="0" borderId="2" xfId="18" applyFont="1" applyBorder="1" applyAlignment="1" applyProtection="1">
      <alignment vertical="center"/>
      <protection hidden="1"/>
    </xf>
    <xf numFmtId="0" fontId="172" fillId="21" borderId="0" xfId="11" applyFont="1" applyFill="1" applyAlignment="1">
      <alignment vertical="center"/>
    </xf>
    <xf numFmtId="0" fontId="172" fillId="21" borderId="0" xfId="11" applyFont="1" applyFill="1" applyAlignment="1">
      <alignment horizontal="center" vertical="center"/>
    </xf>
    <xf numFmtId="0" fontId="38" fillId="0" borderId="0" xfId="11" applyFont="1" applyAlignment="1">
      <alignment vertical="center"/>
    </xf>
    <xf numFmtId="0" fontId="107" fillId="7" borderId="0" xfId="11" applyFont="1" applyFill="1" applyAlignment="1">
      <alignment vertical="center"/>
    </xf>
    <xf numFmtId="0" fontId="38" fillId="0" borderId="1" xfId="11" applyFont="1" applyBorder="1" applyAlignment="1">
      <alignment horizontal="center" vertical="center"/>
    </xf>
    <xf numFmtId="0" fontId="38" fillId="0" borderId="0" xfId="11" applyFont="1" applyAlignment="1">
      <alignment horizontal="center" vertical="center"/>
    </xf>
    <xf numFmtId="0" fontId="246" fillId="0" borderId="0" xfId="12" applyFont="1" applyFill="1" applyBorder="1" applyAlignment="1" applyProtection="1">
      <alignment vertical="center"/>
    </xf>
    <xf numFmtId="0" fontId="38" fillId="0" borderId="2" xfId="11" applyFont="1" applyBorder="1" applyAlignment="1">
      <alignment horizontal="center" vertical="center"/>
    </xf>
    <xf numFmtId="0" fontId="38" fillId="0" borderId="0" xfId="11" applyFont="1" applyAlignment="1">
      <alignment horizontal="left" vertical="center"/>
    </xf>
    <xf numFmtId="0" fontId="225" fillId="21" borderId="0" xfId="11" applyFont="1" applyFill="1" applyAlignment="1">
      <alignment vertical="center"/>
    </xf>
    <xf numFmtId="0" fontId="4" fillId="0" borderId="0" xfId="11" applyFont="1" applyAlignment="1">
      <alignment vertical="center"/>
    </xf>
    <xf numFmtId="0" fontId="81" fillId="0" borderId="0" xfId="11" applyFont="1" applyAlignment="1" applyProtection="1">
      <alignment vertical="center"/>
      <protection locked="0" hidden="1"/>
    </xf>
    <xf numFmtId="0" fontId="130" fillId="21" borderId="0" xfId="11" applyFont="1" applyFill="1" applyAlignment="1">
      <alignment vertical="center"/>
    </xf>
    <xf numFmtId="0" fontId="168" fillId="0" borderId="0" xfId="6" quotePrefix="1" applyFont="1" applyAlignment="1" applyProtection="1">
      <alignment vertical="center"/>
      <protection hidden="1"/>
    </xf>
    <xf numFmtId="0" fontId="0" fillId="0" borderId="0" xfId="6" applyFont="1" applyAlignment="1" applyProtection="1">
      <alignment vertical="center"/>
      <protection hidden="1"/>
    </xf>
    <xf numFmtId="0" fontId="168" fillId="19" borderId="0" xfId="6" applyFont="1" applyFill="1" applyAlignment="1" applyProtection="1">
      <alignment vertical="center"/>
      <protection hidden="1"/>
    </xf>
    <xf numFmtId="0" fontId="127" fillId="7" borderId="0" xfId="6" applyFont="1" applyFill="1" applyAlignment="1" applyProtection="1">
      <alignment horizontal="center" vertical="center"/>
      <protection hidden="1"/>
    </xf>
    <xf numFmtId="0" fontId="251" fillId="0" borderId="0" xfId="0" applyFont="1" applyBorder="1" applyAlignment="1" applyProtection="1">
      <alignment vertical="center"/>
      <protection hidden="1"/>
    </xf>
    <xf numFmtId="0" fontId="252" fillId="21" borderId="0" xfId="0" applyFont="1" applyFill="1" applyBorder="1" applyAlignment="1" applyProtection="1">
      <alignment horizontal="left" vertical="center"/>
      <protection hidden="1"/>
    </xf>
    <xf numFmtId="0" fontId="253" fillId="0" borderId="0" xfId="0" applyFont="1" applyBorder="1" applyAlignment="1" applyProtection="1">
      <alignment horizontal="center" vertical="center"/>
      <protection hidden="1"/>
    </xf>
    <xf numFmtId="184" fontId="254" fillId="0" borderId="0" xfId="6" applyNumberFormat="1" applyFont="1" applyAlignment="1" applyProtection="1">
      <alignment vertical="center"/>
      <protection hidden="1"/>
    </xf>
    <xf numFmtId="0" fontId="255" fillId="0" borderId="0" xfId="0" applyFont="1" applyBorder="1" applyAlignment="1" applyProtection="1">
      <alignment horizontal="left" vertical="center"/>
      <protection hidden="1"/>
    </xf>
    <xf numFmtId="0" fontId="251" fillId="0" borderId="6" xfId="0" applyFont="1" applyBorder="1" applyAlignment="1" applyProtection="1">
      <alignment vertical="center"/>
      <protection hidden="1"/>
    </xf>
    <xf numFmtId="0" fontId="251" fillId="0" borderId="19" xfId="0" applyFont="1" applyBorder="1" applyAlignment="1" applyProtection="1">
      <alignment vertical="center"/>
      <protection hidden="1"/>
    </xf>
    <xf numFmtId="0" fontId="253" fillId="0" borderId="0" xfId="0" applyFont="1" applyBorder="1" applyAlignment="1" applyProtection="1">
      <alignment vertical="center"/>
      <protection hidden="1"/>
    </xf>
    <xf numFmtId="0" fontId="251" fillId="0" borderId="19" xfId="0" applyFont="1" applyBorder="1" applyAlignment="1" applyProtection="1">
      <alignment horizontal="center" vertical="center"/>
      <protection hidden="1"/>
    </xf>
    <xf numFmtId="0" fontId="256" fillId="0" borderId="0" xfId="0" applyFont="1" applyBorder="1" applyAlignment="1" applyProtection="1">
      <alignment vertical="center" wrapText="1"/>
      <protection hidden="1"/>
    </xf>
    <xf numFmtId="0" fontId="251" fillId="0" borderId="7" xfId="0" applyFont="1" applyBorder="1" applyAlignment="1" applyProtection="1">
      <alignment vertical="center"/>
      <protection hidden="1"/>
    </xf>
    <xf numFmtId="0" fontId="192" fillId="0" borderId="0" xfId="0" applyFont="1" applyBorder="1" applyAlignment="1" applyProtection="1">
      <alignment vertical="center" wrapText="1"/>
      <protection hidden="1"/>
    </xf>
    <xf numFmtId="0" fontId="32" fillId="0" borderId="14" xfId="18" applyFont="1" applyBorder="1" applyAlignment="1">
      <alignment horizontal="left" vertical="center"/>
    </xf>
    <xf numFmtId="0" fontId="2" fillId="0" borderId="16" xfId="18" applyBorder="1" applyAlignment="1">
      <alignment horizontal="center" vertical="center"/>
    </xf>
    <xf numFmtId="0" fontId="74" fillId="0" borderId="15" xfId="6" applyFont="1" applyBorder="1" applyAlignment="1" applyProtection="1">
      <alignment horizontal="center" vertical="center"/>
      <protection hidden="1"/>
    </xf>
    <xf numFmtId="0" fontId="120" fillId="0" borderId="6" xfId="0" applyFont="1" applyBorder="1" applyAlignment="1" applyProtection="1">
      <alignment horizontal="left" vertical="center"/>
      <protection hidden="1"/>
    </xf>
    <xf numFmtId="0" fontId="120" fillId="0" borderId="19" xfId="0" applyFont="1" applyBorder="1" applyAlignment="1" applyProtection="1">
      <alignment horizontal="left" vertical="center"/>
      <protection hidden="1"/>
    </xf>
    <xf numFmtId="0" fontId="120" fillId="0" borderId="7" xfId="0" applyFont="1" applyBorder="1" applyAlignment="1" applyProtection="1">
      <alignment horizontal="left" vertical="center"/>
      <protection hidden="1"/>
    </xf>
    <xf numFmtId="184" fontId="10" fillId="0" borderId="19" xfId="6" applyNumberFormat="1" applyFont="1" applyBorder="1" applyAlignment="1" applyProtection="1">
      <alignment horizontal="left" vertical="center"/>
      <protection hidden="1"/>
    </xf>
    <xf numFmtId="184" fontId="10" fillId="0" borderId="7" xfId="6" applyNumberFormat="1" applyFont="1" applyBorder="1" applyAlignment="1" applyProtection="1">
      <alignment horizontal="left" vertical="center"/>
      <protection hidden="1"/>
    </xf>
    <xf numFmtId="0" fontId="3" fillId="0" borderId="33" xfId="0" applyFont="1" applyBorder="1" applyAlignment="1" applyProtection="1">
      <alignment horizontal="center" vertical="center"/>
      <protection hidden="1"/>
    </xf>
    <xf numFmtId="0" fontId="3" fillId="0" borderId="34" xfId="0" applyFont="1" applyBorder="1" applyAlignment="1" applyProtection="1">
      <alignment horizontal="center" vertical="center"/>
      <protection hidden="1"/>
    </xf>
    <xf numFmtId="0" fontId="120" fillId="0" borderId="12" xfId="0" applyFont="1" applyBorder="1" applyAlignment="1" applyProtection="1">
      <alignment horizontal="center"/>
      <protection hidden="1"/>
    </xf>
    <xf numFmtId="176" fontId="168" fillId="0" borderId="0" xfId="6" applyNumberFormat="1" applyFont="1" applyAlignment="1" applyProtection="1">
      <alignment vertical="center"/>
      <protection hidden="1"/>
    </xf>
    <xf numFmtId="9" fontId="168" fillId="0" borderId="0" xfId="8" applyFont="1" applyBorder="1" applyAlignment="1" applyProtection="1">
      <alignment vertical="center"/>
      <protection hidden="1"/>
    </xf>
    <xf numFmtId="184" fontId="174" fillId="0" borderId="0" xfId="6" applyNumberFormat="1" applyFont="1" applyAlignment="1" applyProtection="1">
      <alignment horizontal="left" vertical="center"/>
      <protection hidden="1"/>
    </xf>
    <xf numFmtId="0" fontId="168" fillId="0" borderId="0" xfId="0" applyFont="1" applyBorder="1" applyAlignment="1" applyProtection="1">
      <alignment vertical="center"/>
      <protection hidden="1"/>
    </xf>
    <xf numFmtId="184" fontId="259" fillId="0" borderId="0" xfId="6" applyNumberFormat="1" applyFont="1" applyAlignment="1" applyProtection="1">
      <alignment vertical="center"/>
      <protection hidden="1"/>
    </xf>
    <xf numFmtId="9" fontId="168" fillId="0" borderId="0" xfId="8" applyFont="1" applyFill="1" applyBorder="1" applyAlignment="1" applyProtection="1">
      <alignment horizontal="center" vertical="center"/>
      <protection hidden="1"/>
    </xf>
    <xf numFmtId="193" fontId="168" fillId="0" borderId="0" xfId="6" applyNumberFormat="1" applyFont="1" applyAlignment="1" applyProtection="1">
      <alignment horizontal="center" vertical="center"/>
      <protection hidden="1"/>
    </xf>
    <xf numFmtId="2" fontId="168" fillId="0" borderId="0" xfId="6" applyNumberFormat="1" applyFont="1" applyAlignment="1" applyProtection="1">
      <alignment horizontal="center" vertical="center"/>
      <protection hidden="1"/>
    </xf>
    <xf numFmtId="0" fontId="74" fillId="0" borderId="1" xfId="6" applyFont="1" applyBorder="1" applyAlignment="1" applyProtection="1">
      <alignment horizontal="center" vertical="center"/>
      <protection hidden="1"/>
    </xf>
    <xf numFmtId="0" fontId="74" fillId="0" borderId="0" xfId="6" applyFont="1" applyAlignment="1" applyProtection="1">
      <alignment horizontal="left" vertical="center"/>
      <protection hidden="1"/>
    </xf>
    <xf numFmtId="0" fontId="260" fillId="0" borderId="15" xfId="6" applyFont="1" applyBorder="1" applyAlignment="1" applyProtection="1">
      <alignment horizontal="left" vertical="center"/>
      <protection hidden="1"/>
    </xf>
    <xf numFmtId="0" fontId="38" fillId="0" borderId="2" xfId="11" applyFont="1" applyBorder="1" applyAlignment="1">
      <alignment vertical="center"/>
    </xf>
    <xf numFmtId="0" fontId="38" fillId="0" borderId="1" xfId="11" applyFont="1" applyBorder="1" applyAlignment="1">
      <alignment vertical="center"/>
    </xf>
    <xf numFmtId="0" fontId="38" fillId="0" borderId="0" xfId="11" applyFont="1" applyAlignment="1">
      <alignment vertical="center" wrapText="1"/>
    </xf>
    <xf numFmtId="0" fontId="246" fillId="0" borderId="0" xfId="12" applyFont="1" applyAlignment="1" applyProtection="1">
      <alignment vertical="center"/>
    </xf>
    <xf numFmtId="0" fontId="2" fillId="0" borderId="0" xfId="11" applyAlignment="1">
      <alignment horizontal="left" vertical="center"/>
    </xf>
    <xf numFmtId="0" fontId="172" fillId="21" borderId="0" xfId="11" applyFont="1" applyFill="1" applyAlignment="1">
      <alignment horizontal="left" vertical="center"/>
    </xf>
    <xf numFmtId="0" fontId="107" fillId="7" borderId="0" xfId="11" applyFont="1" applyFill="1" applyAlignment="1">
      <alignment horizontal="left" vertical="center"/>
    </xf>
    <xf numFmtId="0" fontId="38" fillId="0" borderId="4" xfId="11" applyFont="1" applyBorder="1" applyAlignment="1">
      <alignment vertical="center"/>
    </xf>
    <xf numFmtId="0" fontId="38" fillId="0" borderId="3" xfId="11" applyFont="1" applyBorder="1" applyAlignment="1">
      <alignment vertical="center"/>
    </xf>
    <xf numFmtId="0" fontId="58" fillId="0" borderId="3" xfId="11" applyFont="1" applyBorder="1" applyAlignment="1">
      <alignment horizontal="right" vertical="center"/>
    </xf>
    <xf numFmtId="0" fontId="38" fillId="0" borderId="5" xfId="11" applyFont="1" applyBorder="1" applyAlignment="1">
      <alignment vertical="center"/>
    </xf>
    <xf numFmtId="0" fontId="39" fillId="0" borderId="5" xfId="11" applyFont="1" applyBorder="1" applyAlignment="1">
      <alignment vertical="center"/>
    </xf>
    <xf numFmtId="0" fontId="246" fillId="0" borderId="4" xfId="12" applyFont="1" applyFill="1" applyBorder="1" applyAlignment="1" applyProtection="1">
      <alignment vertical="center"/>
    </xf>
    <xf numFmtId="0" fontId="246" fillId="0" borderId="3" xfId="12" applyFont="1" applyFill="1" applyBorder="1" applyAlignment="1" applyProtection="1">
      <alignment vertical="center"/>
    </xf>
    <xf numFmtId="0" fontId="246" fillId="0" borderId="5" xfId="12" applyFont="1" applyFill="1" applyBorder="1" applyAlignment="1" applyProtection="1">
      <alignment vertical="center"/>
    </xf>
    <xf numFmtId="0" fontId="250" fillId="0" borderId="4" xfId="10" applyFont="1" applyFill="1" applyBorder="1" applyAlignment="1" applyProtection="1">
      <alignment vertical="center"/>
    </xf>
    <xf numFmtId="0" fontId="38" fillId="0" borderId="4" xfId="11" applyFont="1" applyBorder="1" applyAlignment="1">
      <alignment horizontal="left" vertical="center"/>
    </xf>
    <xf numFmtId="0" fontId="38" fillId="0" borderId="3" xfId="11" applyFont="1" applyBorder="1" applyAlignment="1">
      <alignment horizontal="left" vertical="center"/>
    </xf>
    <xf numFmtId="0" fontId="38" fillId="0" borderId="5" xfId="11" applyFont="1" applyBorder="1" applyAlignment="1">
      <alignment horizontal="left" vertical="center"/>
    </xf>
    <xf numFmtId="0" fontId="38" fillId="0" borderId="3" xfId="11" applyFont="1" applyBorder="1" applyAlignment="1">
      <alignment horizontal="left" vertical="center" wrapText="1"/>
    </xf>
    <xf numFmtId="0" fontId="38" fillId="0" borderId="17" xfId="11" applyFont="1" applyBorder="1" applyAlignment="1">
      <alignment vertical="center"/>
    </xf>
    <xf numFmtId="0" fontId="38" fillId="0" borderId="32" xfId="11" applyFont="1" applyBorder="1" applyAlignment="1">
      <alignment vertical="center"/>
    </xf>
    <xf numFmtId="0" fontId="38" fillId="0" borderId="45" xfId="11" applyFont="1" applyBorder="1" applyAlignment="1">
      <alignment vertical="center"/>
    </xf>
    <xf numFmtId="0" fontId="4" fillId="0" borderId="32" xfId="11" applyFont="1" applyBorder="1" applyAlignment="1">
      <alignment vertical="center"/>
    </xf>
    <xf numFmtId="0" fontId="4" fillId="0" borderId="45" xfId="11" applyFont="1" applyBorder="1" applyAlignment="1">
      <alignment vertical="center"/>
    </xf>
    <xf numFmtId="0" fontId="4" fillId="0" borderId="45" xfId="11" applyFont="1" applyBorder="1" applyAlignment="1">
      <alignment horizontal="right" vertical="center"/>
    </xf>
    <xf numFmtId="0" fontId="4" fillId="0" borderId="17" xfId="11" applyFont="1" applyBorder="1" applyAlignment="1">
      <alignment vertical="center"/>
    </xf>
    <xf numFmtId="0" fontId="246" fillId="0" borderId="32" xfId="12" applyFont="1" applyFill="1" applyBorder="1" applyAlignment="1" applyProtection="1">
      <alignment vertical="center"/>
    </xf>
    <xf numFmtId="0" fontId="246" fillId="0" borderId="45" xfId="12" applyFont="1" applyFill="1" applyBorder="1" applyAlignment="1" applyProtection="1">
      <alignment vertical="center"/>
    </xf>
    <xf numFmtId="0" fontId="246" fillId="0" borderId="17" xfId="12" applyFont="1" applyFill="1" applyBorder="1" applyAlignment="1" applyProtection="1">
      <alignment vertical="center"/>
    </xf>
    <xf numFmtId="0" fontId="246" fillId="0" borderId="32" xfId="12" applyFont="1" applyFill="1" applyBorder="1" applyAlignment="1" applyProtection="1">
      <alignment vertical="center" wrapText="1"/>
    </xf>
    <xf numFmtId="0" fontId="250" fillId="0" borderId="32" xfId="10" applyFont="1" applyBorder="1" applyAlignment="1">
      <alignment vertical="center"/>
    </xf>
    <xf numFmtId="0" fontId="38" fillId="0" borderId="32" xfId="11" applyFont="1" applyBorder="1" applyAlignment="1">
      <alignment horizontal="left" vertical="center"/>
    </xf>
    <xf numFmtId="0" fontId="38" fillId="0" borderId="45" xfId="11" applyFont="1" applyBorder="1" applyAlignment="1">
      <alignment horizontal="left" vertical="center"/>
    </xf>
    <xf numFmtId="0" fontId="38" fillId="0" borderId="17" xfId="11" applyFont="1" applyBorder="1" applyAlignment="1">
      <alignment horizontal="left" vertical="center"/>
    </xf>
    <xf numFmtId="0" fontId="38" fillId="0" borderId="45" xfId="11" quotePrefix="1" applyFont="1" applyBorder="1" applyAlignment="1">
      <alignment horizontal="left" vertical="center"/>
    </xf>
    <xf numFmtId="0" fontId="38" fillId="0" borderId="32" xfId="11" quotePrefix="1" applyFont="1" applyBorder="1" applyAlignment="1">
      <alignment horizontal="left" vertical="center"/>
    </xf>
    <xf numFmtId="0" fontId="38" fillId="0" borderId="45" xfId="11" applyFont="1" applyBorder="1" applyAlignment="1">
      <alignment horizontal="right" vertical="center"/>
    </xf>
    <xf numFmtId="0" fontId="250" fillId="0" borderId="45" xfId="10" applyFont="1" applyFill="1" applyBorder="1" applyAlignment="1" applyProtection="1">
      <alignment vertical="center"/>
    </xf>
    <xf numFmtId="0" fontId="250" fillId="0" borderId="45" xfId="10" applyFont="1" applyBorder="1" applyAlignment="1">
      <alignment vertical="center"/>
    </xf>
    <xf numFmtId="0" fontId="250" fillId="0" borderId="32" xfId="10" applyFont="1" applyFill="1" applyBorder="1" applyAlignment="1" applyProtection="1">
      <alignment vertical="center"/>
    </xf>
    <xf numFmtId="0" fontId="92" fillId="0" borderId="45" xfId="11" applyFont="1" applyBorder="1" applyAlignment="1">
      <alignment vertical="center"/>
    </xf>
    <xf numFmtId="0" fontId="39" fillId="0" borderId="17" xfId="11" applyFont="1" applyBorder="1" applyAlignment="1">
      <alignment vertical="center"/>
    </xf>
    <xf numFmtId="0" fontId="38" fillId="0" borderId="32" xfId="11" applyFont="1" applyBorder="1" applyAlignment="1">
      <alignment horizontal="left" vertical="center" wrapText="1"/>
    </xf>
    <xf numFmtId="0" fontId="38" fillId="0" borderId="45" xfId="11" applyFont="1" applyBorder="1" applyAlignment="1">
      <alignment horizontal="left" vertical="center" wrapText="1"/>
    </xf>
    <xf numFmtId="0" fontId="38" fillId="0" borderId="17" xfId="11" applyFont="1" applyBorder="1" applyAlignment="1">
      <alignment horizontal="left" vertical="center" wrapText="1"/>
    </xf>
    <xf numFmtId="0" fontId="247" fillId="0" borderId="45" xfId="12" applyFont="1" applyFill="1" applyBorder="1" applyAlignment="1" applyProtection="1">
      <alignment vertical="center"/>
    </xf>
    <xf numFmtId="0" fontId="247" fillId="0" borderId="17" xfId="12" applyFont="1" applyFill="1" applyBorder="1" applyAlignment="1" applyProtection="1">
      <alignment vertical="center"/>
    </xf>
    <xf numFmtId="0" fontId="121" fillId="0" borderId="32" xfId="10" applyBorder="1" applyAlignment="1">
      <alignment vertical="center" wrapText="1"/>
    </xf>
    <xf numFmtId="216" fontId="38" fillId="0" borderId="0" xfId="3" applyNumberFormat="1" applyFont="1" applyAlignment="1" applyProtection="1">
      <alignment horizontal="center" vertical="center"/>
      <protection hidden="1"/>
    </xf>
    <xf numFmtId="235" fontId="38" fillId="37" borderId="12" xfId="8" applyNumberFormat="1" applyFont="1" applyFill="1" applyBorder="1" applyAlignment="1" applyProtection="1">
      <alignment horizontal="center" vertical="center"/>
      <protection locked="0"/>
    </xf>
    <xf numFmtId="0" fontId="130" fillId="7" borderId="12" xfId="3" applyFont="1" applyFill="1" applyBorder="1" applyAlignment="1" applyProtection="1">
      <alignment vertical="center"/>
      <protection hidden="1"/>
    </xf>
    <xf numFmtId="2" fontId="38" fillId="0" borderId="0" xfId="3" applyNumberFormat="1" applyFont="1" applyAlignment="1" applyProtection="1">
      <alignment vertical="center"/>
      <protection hidden="1"/>
    </xf>
    <xf numFmtId="236" fontId="38" fillId="0" borderId="0" xfId="3" applyNumberFormat="1" applyFont="1" applyAlignment="1" applyProtection="1">
      <alignment horizontal="center" vertical="center"/>
      <protection hidden="1"/>
    </xf>
    <xf numFmtId="0" fontId="58" fillId="0" borderId="18" xfId="3" applyFont="1" applyBorder="1" applyAlignment="1" applyProtection="1">
      <alignment vertical="center"/>
      <protection hidden="1"/>
    </xf>
    <xf numFmtId="237" fontId="38" fillId="0" borderId="19" xfId="3" applyNumberFormat="1" applyFont="1" applyBorder="1" applyAlignment="1" applyProtection="1">
      <alignment horizontal="center" vertical="center"/>
      <protection hidden="1"/>
    </xf>
    <xf numFmtId="0" fontId="58" fillId="0" borderId="1" xfId="3" applyFont="1" applyBorder="1" applyAlignment="1" applyProtection="1">
      <alignment horizontal="center" vertical="center"/>
      <protection hidden="1"/>
    </xf>
    <xf numFmtId="0" fontId="80" fillId="0" borderId="0" xfId="3" applyFont="1" applyAlignment="1" applyProtection="1">
      <alignment horizontal="center" vertical="center"/>
      <protection hidden="1"/>
    </xf>
    <xf numFmtId="0" fontId="38" fillId="0" borderId="0" xfId="0" applyFont="1" applyBorder="1" applyAlignment="1" applyProtection="1">
      <alignment horizontal="center"/>
      <protection hidden="1"/>
    </xf>
    <xf numFmtId="0" fontId="156" fillId="0" borderId="2" xfId="3" applyFont="1" applyBorder="1" applyAlignment="1" applyProtection="1">
      <alignment horizontal="center" vertical="center"/>
      <protection hidden="1"/>
    </xf>
    <xf numFmtId="0" fontId="38" fillId="0" borderId="7" xfId="3" applyFont="1" applyBorder="1" applyAlignment="1" applyProtection="1">
      <alignment horizontal="center" vertical="center"/>
      <protection hidden="1"/>
    </xf>
    <xf numFmtId="0" fontId="84" fillId="0" borderId="2" xfId="3" applyFont="1" applyBorder="1" applyAlignment="1" applyProtection="1">
      <alignment vertical="center"/>
      <protection hidden="1"/>
    </xf>
    <xf numFmtId="0" fontId="172" fillId="7" borderId="15" xfId="7" applyFont="1" applyFill="1" applyBorder="1" applyAlignment="1" applyProtection="1">
      <alignment vertical="center"/>
      <protection hidden="1"/>
    </xf>
    <xf numFmtId="0" fontId="172" fillId="7" borderId="14" xfId="7" applyFont="1" applyFill="1" applyBorder="1" applyAlignment="1" applyProtection="1">
      <alignment vertical="center"/>
      <protection hidden="1"/>
    </xf>
    <xf numFmtId="0" fontId="94" fillId="7" borderId="15" xfId="7" applyFont="1" applyFill="1" applyBorder="1" applyAlignment="1" applyProtection="1">
      <alignment vertical="center"/>
      <protection hidden="1"/>
    </xf>
    <xf numFmtId="0" fontId="81" fillId="7" borderId="16" xfId="7" applyFont="1" applyFill="1" applyBorder="1" applyAlignment="1" applyProtection="1">
      <alignment vertical="center"/>
      <protection hidden="1"/>
    </xf>
    <xf numFmtId="176" fontId="156" fillId="28" borderId="2" xfId="3" applyNumberFormat="1" applyFont="1" applyFill="1" applyBorder="1" applyAlignment="1" applyProtection="1">
      <alignment horizontal="center" vertical="center"/>
      <protection hidden="1"/>
    </xf>
    <xf numFmtId="0" fontId="262" fillId="38" borderId="15" xfId="3" applyFont="1" applyFill="1" applyBorder="1" applyAlignment="1" applyProtection="1">
      <alignment horizontal="center" vertical="center"/>
      <protection hidden="1"/>
    </xf>
    <xf numFmtId="0" fontId="262" fillId="32" borderId="16" xfId="3" applyFont="1" applyFill="1" applyBorder="1" applyAlignment="1" applyProtection="1">
      <alignment horizontal="center" vertical="center"/>
      <protection hidden="1"/>
    </xf>
    <xf numFmtId="0" fontId="121" fillId="0" borderId="32" xfId="10" applyBorder="1" applyAlignment="1">
      <alignment vertical="center"/>
    </xf>
    <xf numFmtId="0" fontId="84" fillId="0" borderId="0" xfId="3" applyFont="1" applyAlignment="1" applyProtection="1">
      <alignment vertical="center"/>
      <protection locked="0" hidden="1"/>
    </xf>
    <xf numFmtId="2" fontId="169" fillId="0" borderId="0" xfId="0" applyNumberFormat="1" applyFont="1" applyBorder="1" applyProtection="1">
      <protection hidden="1"/>
    </xf>
    <xf numFmtId="176" fontId="38" fillId="0" borderId="0" xfId="3" applyNumberFormat="1" applyFont="1" applyAlignment="1" applyProtection="1">
      <alignment vertical="center"/>
      <protection hidden="1"/>
    </xf>
    <xf numFmtId="0" fontId="184" fillId="0" borderId="0" xfId="3" applyFont="1" applyAlignment="1" applyProtection="1">
      <alignment horizontal="center" vertical="center"/>
      <protection hidden="1"/>
    </xf>
    <xf numFmtId="176" fontId="84" fillId="0" borderId="0" xfId="0" applyNumberFormat="1" applyFont="1" applyBorder="1" applyProtection="1">
      <protection hidden="1"/>
    </xf>
    <xf numFmtId="2" fontId="184" fillId="0" borderId="0" xfId="0" applyNumberFormat="1" applyFont="1" applyBorder="1" applyProtection="1">
      <protection hidden="1"/>
    </xf>
    <xf numFmtId="183" fontId="84" fillId="0" borderId="0" xfId="0" applyNumberFormat="1" applyFont="1" applyBorder="1" applyProtection="1">
      <protection hidden="1"/>
    </xf>
    <xf numFmtId="0" fontId="6" fillId="37" borderId="0" xfId="2" applyFont="1" applyFill="1" applyAlignment="1" applyProtection="1">
      <alignment horizontal="center" vertical="center"/>
      <protection locked="0"/>
    </xf>
    <xf numFmtId="0" fontId="0" fillId="0" borderId="0" xfId="2" applyFont="1" applyAlignment="1" applyProtection="1">
      <alignment vertical="center"/>
      <protection hidden="1"/>
    </xf>
    <xf numFmtId="0" fontId="244" fillId="0" borderId="0" xfId="2" applyFont="1"/>
    <xf numFmtId="0" fontId="265" fillId="0" borderId="2" xfId="3" applyFont="1" applyBorder="1" applyAlignment="1" applyProtection="1">
      <alignment horizontal="left" vertical="center"/>
      <protection hidden="1"/>
    </xf>
    <xf numFmtId="176" fontId="209" fillId="0" borderId="18" xfId="3" applyNumberFormat="1" applyFont="1" applyBorder="1" applyAlignment="1" applyProtection="1">
      <alignment horizontal="center" vertical="center"/>
      <protection hidden="1"/>
    </xf>
    <xf numFmtId="0" fontId="121" fillId="0" borderId="45" xfId="10" applyFill="1" applyBorder="1" applyAlignment="1" applyProtection="1">
      <alignment vertical="center"/>
    </xf>
    <xf numFmtId="0" fontId="3" fillId="0" borderId="33" xfId="0" applyFont="1" applyBorder="1" applyAlignment="1">
      <alignment vertical="center"/>
    </xf>
    <xf numFmtId="0" fontId="3" fillId="0" borderId="6" xfId="0" applyFont="1" applyBorder="1" applyAlignment="1">
      <alignment vertical="center"/>
    </xf>
    <xf numFmtId="0" fontId="0" fillId="0" borderId="12" xfId="0" applyBorder="1" applyAlignment="1">
      <alignment vertical="center"/>
    </xf>
    <xf numFmtId="0" fontId="121" fillId="0" borderId="12" xfId="10" applyBorder="1" applyAlignment="1">
      <alignment vertical="center"/>
    </xf>
    <xf numFmtId="0" fontId="0" fillId="0" borderId="34" xfId="0" applyBorder="1" applyAlignment="1">
      <alignment vertical="center"/>
    </xf>
    <xf numFmtId="0" fontId="121" fillId="0" borderId="34" xfId="10" applyBorder="1" applyAlignment="1">
      <alignment vertical="center"/>
    </xf>
    <xf numFmtId="0" fontId="224" fillId="0" borderId="2" xfId="3" applyFont="1" applyBorder="1" applyAlignment="1" applyProtection="1">
      <alignment horizontal="left" vertical="center"/>
      <protection hidden="1"/>
    </xf>
    <xf numFmtId="176" fontId="83" fillId="28" borderId="0" xfId="3" applyNumberFormat="1" applyFont="1" applyFill="1" applyAlignment="1" applyProtection="1">
      <alignment horizontal="center" vertical="center"/>
      <protection hidden="1"/>
    </xf>
    <xf numFmtId="176" fontId="83" fillId="28" borderId="2" xfId="3" applyNumberFormat="1" applyFont="1" applyFill="1" applyBorder="1" applyAlignment="1" applyProtection="1">
      <alignment horizontal="center" vertical="center"/>
      <protection hidden="1"/>
    </xf>
    <xf numFmtId="0" fontId="262" fillId="39" borderId="14" xfId="3" applyFont="1" applyFill="1" applyBorder="1" applyAlignment="1" applyProtection="1">
      <alignment horizontal="center" vertical="center"/>
      <protection hidden="1"/>
    </xf>
    <xf numFmtId="0" fontId="262" fillId="11" borderId="14" xfId="3" applyFont="1" applyFill="1" applyBorder="1" applyAlignment="1" applyProtection="1">
      <alignment horizontal="center" vertical="center"/>
      <protection hidden="1"/>
    </xf>
    <xf numFmtId="0" fontId="130" fillId="7" borderId="14" xfId="3" applyFont="1" applyFill="1" applyBorder="1" applyAlignment="1" applyProtection="1">
      <alignment horizontal="left" vertical="center"/>
      <protection hidden="1"/>
    </xf>
    <xf numFmtId="0" fontId="130" fillId="7" borderId="15" xfId="3" applyFont="1" applyFill="1" applyBorder="1" applyAlignment="1" applyProtection="1">
      <alignment horizontal="left" vertical="center"/>
      <protection hidden="1"/>
    </xf>
    <xf numFmtId="0" fontId="130" fillId="7" borderId="16" xfId="3" applyFont="1" applyFill="1" applyBorder="1" applyAlignment="1" applyProtection="1">
      <alignment horizontal="left" vertical="center"/>
      <protection hidden="1"/>
    </xf>
    <xf numFmtId="0" fontId="269" fillId="0" borderId="13" xfId="3" applyFont="1" applyBorder="1" applyAlignment="1" applyProtection="1">
      <alignment horizontal="center" vertical="center"/>
      <protection hidden="1"/>
    </xf>
    <xf numFmtId="238" fontId="84" fillId="0" borderId="0" xfId="3" applyNumberFormat="1" applyFont="1" applyAlignment="1" applyProtection="1">
      <alignment vertical="center"/>
      <protection hidden="1"/>
    </xf>
    <xf numFmtId="239" fontId="169" fillId="0" borderId="0" xfId="0" applyNumberFormat="1" applyFont="1" applyBorder="1" applyProtection="1">
      <protection hidden="1"/>
    </xf>
    <xf numFmtId="239" fontId="38" fillId="0" borderId="0" xfId="3" applyNumberFormat="1" applyFont="1" applyAlignment="1" applyProtection="1">
      <alignment vertical="center"/>
      <protection hidden="1"/>
    </xf>
    <xf numFmtId="240" fontId="38" fillId="0" borderId="0" xfId="3" applyNumberFormat="1" applyFont="1" applyAlignment="1" applyProtection="1">
      <alignment vertical="center"/>
      <protection hidden="1"/>
    </xf>
    <xf numFmtId="0" fontId="270" fillId="0" borderId="0" xfId="3" applyFont="1" applyAlignment="1" applyProtection="1">
      <alignment vertical="center"/>
      <protection hidden="1"/>
    </xf>
    <xf numFmtId="239" fontId="38" fillId="0" borderId="0" xfId="0" applyNumberFormat="1" applyFont="1" applyBorder="1" applyProtection="1">
      <protection hidden="1"/>
    </xf>
    <xf numFmtId="0" fontId="266" fillId="0" borderId="2" xfId="3" applyFont="1" applyBorder="1" applyAlignment="1" applyProtection="1">
      <alignment horizontal="left" vertical="center"/>
      <protection hidden="1"/>
    </xf>
    <xf numFmtId="0" fontId="266" fillId="0" borderId="2" xfId="3" applyFont="1" applyBorder="1" applyAlignment="1" applyProtection="1">
      <alignment vertical="center"/>
      <protection hidden="1"/>
    </xf>
    <xf numFmtId="0" fontId="270" fillId="0" borderId="15" xfId="3" applyFont="1" applyBorder="1" applyAlignment="1" applyProtection="1">
      <alignment vertical="center"/>
      <protection hidden="1"/>
    </xf>
    <xf numFmtId="0" fontId="275" fillId="0" borderId="0" xfId="3" applyFont="1" applyAlignment="1" applyProtection="1">
      <alignment vertical="center"/>
      <protection hidden="1"/>
    </xf>
    <xf numFmtId="0" fontId="155" fillId="0" borderId="2" xfId="3" applyFont="1" applyBorder="1" applyAlignment="1" applyProtection="1">
      <alignment horizontal="center" vertical="center"/>
      <protection hidden="1"/>
    </xf>
    <xf numFmtId="0" fontId="84" fillId="0" borderId="2" xfId="3" applyFont="1" applyBorder="1" applyAlignment="1" applyProtection="1">
      <alignment horizontal="center" vertical="center"/>
      <protection hidden="1"/>
    </xf>
    <xf numFmtId="0" fontId="84" fillId="0" borderId="20" xfId="3" applyFont="1" applyBorder="1" applyAlignment="1" applyProtection="1">
      <alignment horizontal="center" vertical="center"/>
      <protection hidden="1"/>
    </xf>
    <xf numFmtId="0" fontId="84" fillId="0" borderId="18" xfId="3" applyFont="1" applyBorder="1" applyAlignment="1" applyProtection="1">
      <alignment horizontal="center" vertical="center"/>
      <protection hidden="1"/>
    </xf>
    <xf numFmtId="0" fontId="236" fillId="0" borderId="0" xfId="0" applyFont="1" applyAlignment="1">
      <alignment vertical="center"/>
    </xf>
    <xf numFmtId="0" fontId="0" fillId="0" borderId="0" xfId="0" applyBorder="1" applyAlignment="1">
      <alignment vertical="center"/>
    </xf>
    <xf numFmtId="0" fontId="236" fillId="0" borderId="0" xfId="0" applyFont="1" applyBorder="1" applyAlignment="1">
      <alignment vertical="center"/>
    </xf>
    <xf numFmtId="0" fontId="0" fillId="7" borderId="0" xfId="0" applyFill="1" applyBorder="1" applyAlignment="1" applyProtection="1">
      <alignment vertical="center"/>
      <protection hidden="1"/>
    </xf>
    <xf numFmtId="0" fontId="3" fillId="0" borderId="0" xfId="0" applyFont="1" applyBorder="1" applyAlignment="1">
      <alignment vertical="center"/>
    </xf>
    <xf numFmtId="0" fontId="82" fillId="0" borderId="0" xfId="0" applyFont="1" applyAlignment="1">
      <alignment vertical="center"/>
    </xf>
    <xf numFmtId="0" fontId="89" fillId="0" borderId="0" xfId="0" applyFont="1" applyAlignment="1">
      <alignment vertical="center"/>
    </xf>
    <xf numFmtId="0" fontId="0" fillId="7" borderId="0" xfId="0" applyFill="1" applyBorder="1" applyAlignment="1">
      <alignment vertical="center"/>
    </xf>
    <xf numFmtId="0" fontId="249" fillId="0" borderId="0" xfId="0" applyFont="1" applyAlignment="1">
      <alignment horizontal="right" vertical="center"/>
    </xf>
    <xf numFmtId="0" fontId="144" fillId="0" borderId="0" xfId="0" applyFont="1" applyAlignment="1">
      <alignment horizontal="left" vertical="center"/>
    </xf>
    <xf numFmtId="0" fontId="38" fillId="0" borderId="0" xfId="0" applyFont="1" applyAlignment="1">
      <alignment vertical="center"/>
    </xf>
    <xf numFmtId="0" fontId="248" fillId="0" borderId="0" xfId="0" applyFont="1" applyAlignment="1">
      <alignment vertical="center"/>
    </xf>
    <xf numFmtId="0" fontId="236" fillId="29" borderId="0" xfId="0" applyFont="1" applyFill="1" applyBorder="1" applyAlignment="1">
      <alignment vertical="center"/>
    </xf>
    <xf numFmtId="0" fontId="0" fillId="29" borderId="0" xfId="0" applyFill="1" applyBorder="1" applyAlignment="1">
      <alignment vertical="center"/>
    </xf>
    <xf numFmtId="0" fontId="227" fillId="0" borderId="0" xfId="0" applyFont="1" applyAlignment="1">
      <alignment vertical="center"/>
    </xf>
    <xf numFmtId="0" fontId="268" fillId="0" borderId="0" xfId="0" applyFont="1" applyAlignment="1">
      <alignment vertical="center"/>
    </xf>
    <xf numFmtId="0" fontId="4" fillId="0" borderId="0" xfId="0" applyFont="1" applyAlignment="1">
      <alignment vertical="center"/>
    </xf>
    <xf numFmtId="0" fontId="236" fillId="18" borderId="0" xfId="0" applyFont="1" applyFill="1" applyBorder="1" applyAlignment="1">
      <alignment vertical="center"/>
    </xf>
    <xf numFmtId="0" fontId="236" fillId="30" borderId="0" xfId="0" applyFont="1" applyFill="1" applyBorder="1" applyAlignment="1">
      <alignment vertical="center"/>
    </xf>
    <xf numFmtId="0" fontId="0" fillId="18" borderId="0" xfId="0" applyFill="1" applyBorder="1" applyAlignment="1">
      <alignment vertical="center"/>
    </xf>
    <xf numFmtId="0" fontId="0" fillId="30" borderId="0" xfId="0" applyFill="1" applyBorder="1" applyAlignment="1">
      <alignment vertical="center"/>
    </xf>
    <xf numFmtId="2" fontId="83" fillId="28" borderId="2" xfId="3" applyNumberFormat="1" applyFont="1" applyFill="1" applyBorder="1" applyAlignment="1" applyProtection="1">
      <alignment horizontal="center" vertical="center"/>
      <protection hidden="1"/>
    </xf>
    <xf numFmtId="204" fontId="38" fillId="0" borderId="0" xfId="3" applyNumberFormat="1" applyFont="1" applyAlignment="1" applyProtection="1">
      <alignment vertical="center"/>
      <protection hidden="1"/>
    </xf>
    <xf numFmtId="2" fontId="155" fillId="0" borderId="15" xfId="3" applyNumberFormat="1" applyFont="1" applyBorder="1" applyAlignment="1" applyProtection="1">
      <alignment horizontal="center" vertical="center"/>
      <protection locked="0"/>
    </xf>
    <xf numFmtId="0" fontId="38" fillId="16" borderId="12" xfId="14" applyFont="1" applyFill="1" applyBorder="1" applyAlignment="1" applyProtection="1">
      <alignment horizontal="center" vertical="center" wrapText="1"/>
      <protection hidden="1"/>
    </xf>
    <xf numFmtId="0" fontId="130" fillId="21" borderId="12" xfId="11" applyFont="1" applyFill="1" applyBorder="1" applyAlignment="1" applyProtection="1">
      <alignment vertical="center"/>
      <protection hidden="1"/>
    </xf>
    <xf numFmtId="0" fontId="38" fillId="0" borderId="0" xfId="0" applyFont="1" applyAlignment="1" applyProtection="1">
      <alignment horizontal="left" vertical="center"/>
      <protection hidden="1"/>
    </xf>
    <xf numFmtId="0" fontId="38" fillId="16" borderId="12" xfId="14" quotePrefix="1" applyFont="1" applyFill="1" applyBorder="1" applyAlignment="1" applyProtection="1">
      <alignment horizontal="center" vertical="center" wrapText="1"/>
      <protection hidden="1"/>
    </xf>
    <xf numFmtId="176" fontId="38" fillId="37" borderId="12" xfId="11" applyNumberFormat="1" applyFont="1" applyFill="1" applyBorder="1" applyAlignment="1" applyProtection="1">
      <alignment horizontal="center" vertical="center"/>
      <protection locked="0"/>
    </xf>
    <xf numFmtId="0" fontId="38" fillId="0" borderId="0" xfId="0" applyFont="1" applyAlignment="1" applyProtection="1">
      <alignment horizontal="center" vertical="center"/>
      <protection hidden="1"/>
    </xf>
    <xf numFmtId="0" fontId="155" fillId="0" borderId="0" xfId="0" applyFont="1" applyAlignment="1" applyProtection="1">
      <alignment horizontal="left" vertical="center"/>
      <protection hidden="1"/>
    </xf>
    <xf numFmtId="0" fontId="198" fillId="0" borderId="0" xfId="0" applyFont="1" applyBorder="1" applyAlignment="1" applyProtection="1">
      <alignment vertical="top"/>
      <protection hidden="1"/>
    </xf>
    <xf numFmtId="0" fontId="84" fillId="0" borderId="0" xfId="0" applyFont="1" applyAlignment="1" applyProtection="1">
      <alignment horizontal="center" vertical="center"/>
      <protection hidden="1"/>
    </xf>
    <xf numFmtId="0" fontId="38" fillId="0" borderId="30" xfId="0" applyFont="1" applyBorder="1" applyAlignment="1" applyProtection="1">
      <alignment horizontal="center" vertical="center"/>
      <protection hidden="1"/>
    </xf>
    <xf numFmtId="0" fontId="38" fillId="0" borderId="11" xfId="0" applyFont="1" applyBorder="1" applyAlignment="1" applyProtection="1">
      <alignment horizontal="center" vertical="center"/>
      <protection hidden="1"/>
    </xf>
    <xf numFmtId="0" fontId="125" fillId="0" borderId="31" xfId="0" applyFont="1" applyBorder="1" applyAlignment="1" applyProtection="1">
      <alignment horizontal="center" vertical="center"/>
      <protection hidden="1"/>
    </xf>
    <xf numFmtId="0" fontId="38" fillId="0" borderId="83" xfId="0" applyFont="1" applyBorder="1" applyAlignment="1" applyProtection="1">
      <alignment horizontal="center" vertical="center"/>
      <protection hidden="1"/>
    </xf>
    <xf numFmtId="0" fontId="125" fillId="0" borderId="44" xfId="0" applyFont="1" applyBorder="1" applyAlignment="1" applyProtection="1">
      <alignment horizontal="center" vertical="center"/>
      <protection hidden="1"/>
    </xf>
    <xf numFmtId="0" fontId="125" fillId="0" borderId="83" xfId="0" applyFont="1" applyBorder="1" applyAlignment="1" applyProtection="1">
      <alignment horizontal="center" vertical="center"/>
      <protection hidden="1"/>
    </xf>
    <xf numFmtId="0" fontId="38" fillId="12" borderId="26" xfId="0" applyFont="1" applyFill="1" applyBorder="1" applyAlignment="1" applyProtection="1">
      <alignment horizontal="center" vertical="center"/>
      <protection hidden="1"/>
    </xf>
    <xf numFmtId="0" fontId="38" fillId="12" borderId="10" xfId="0" applyFont="1" applyFill="1" applyBorder="1" applyAlignment="1" applyProtection="1">
      <alignment horizontal="center" vertical="center"/>
      <protection hidden="1"/>
    </xf>
    <xf numFmtId="0" fontId="125" fillId="12" borderId="27" xfId="0" applyFont="1" applyFill="1" applyBorder="1" applyAlignment="1" applyProtection="1">
      <alignment horizontal="center" vertical="center"/>
      <protection hidden="1"/>
    </xf>
    <xf numFmtId="0" fontId="38" fillId="12" borderId="84" xfId="0" applyFont="1" applyFill="1" applyBorder="1" applyAlignment="1" applyProtection="1">
      <alignment horizontal="center" vertical="center"/>
      <protection hidden="1"/>
    </xf>
    <xf numFmtId="0" fontId="125" fillId="12" borderId="35" xfId="0" applyFont="1" applyFill="1" applyBorder="1" applyAlignment="1" applyProtection="1">
      <alignment horizontal="center" vertical="center"/>
      <protection hidden="1"/>
    </xf>
    <xf numFmtId="0" fontId="125" fillId="12" borderId="84" xfId="0" applyFont="1" applyFill="1" applyBorder="1" applyAlignment="1" applyProtection="1">
      <alignment horizontal="center" vertical="center"/>
      <protection hidden="1"/>
    </xf>
    <xf numFmtId="0" fontId="38" fillId="0" borderId="26" xfId="0" applyFont="1" applyBorder="1" applyAlignment="1" applyProtection="1">
      <alignment horizontal="center" vertical="center"/>
      <protection hidden="1"/>
    </xf>
    <xf numFmtId="0" fontId="38" fillId="0" borderId="10" xfId="0" applyFont="1" applyBorder="1" applyAlignment="1" applyProtection="1">
      <alignment horizontal="center" vertical="center"/>
      <protection hidden="1"/>
    </xf>
    <xf numFmtId="0" fontId="125" fillId="0" borderId="27" xfId="0" applyFont="1" applyBorder="1" applyAlignment="1" applyProtection="1">
      <alignment horizontal="center" vertical="center"/>
      <protection hidden="1"/>
    </xf>
    <xf numFmtId="0" fontId="38" fillId="0" borderId="85" xfId="0" applyFont="1" applyBorder="1" applyAlignment="1" applyProtection="1">
      <alignment horizontal="center" vertical="center"/>
      <protection hidden="1"/>
    </xf>
    <xf numFmtId="0" fontId="125" fillId="0" borderId="23" xfId="0" applyFont="1" applyBorder="1" applyAlignment="1" applyProtection="1">
      <alignment horizontal="center" vertical="center"/>
      <protection hidden="1"/>
    </xf>
    <xf numFmtId="0" fontId="38" fillId="0" borderId="84" xfId="0" applyFont="1" applyBorder="1" applyAlignment="1" applyProtection="1">
      <alignment horizontal="center" vertical="center"/>
      <protection hidden="1"/>
    </xf>
    <xf numFmtId="0" fontId="125" fillId="0" borderId="35" xfId="0" applyFont="1" applyBorder="1" applyAlignment="1" applyProtection="1">
      <alignment horizontal="center" vertical="center"/>
      <protection hidden="1"/>
    </xf>
    <xf numFmtId="0" fontId="125" fillId="0" borderId="84" xfId="0" applyFont="1" applyBorder="1" applyAlignment="1" applyProtection="1">
      <alignment horizontal="center" vertical="center"/>
      <protection hidden="1"/>
    </xf>
    <xf numFmtId="0" fontId="125" fillId="0" borderId="36" xfId="0" applyFont="1" applyBorder="1" applyAlignment="1" applyProtection="1">
      <alignment horizontal="center" vertical="center"/>
      <protection hidden="1"/>
    </xf>
    <xf numFmtId="0" fontId="125" fillId="0" borderId="85" xfId="0" applyFont="1" applyBorder="1" applyAlignment="1" applyProtection="1">
      <alignment horizontal="center" vertical="center"/>
      <protection hidden="1"/>
    </xf>
    <xf numFmtId="0" fontId="38" fillId="12" borderId="22" xfId="0" applyFont="1" applyFill="1" applyBorder="1" applyAlignment="1" applyProtection="1">
      <alignment horizontal="center" vertical="center"/>
      <protection hidden="1"/>
    </xf>
    <xf numFmtId="0" fontId="38" fillId="12" borderId="8" xfId="0" applyFont="1" applyFill="1" applyBorder="1" applyAlignment="1" applyProtection="1">
      <alignment horizontal="center" vertical="center"/>
      <protection hidden="1"/>
    </xf>
    <xf numFmtId="0" fontId="125" fillId="12" borderId="23" xfId="0" applyFont="1" applyFill="1" applyBorder="1" applyAlignment="1" applyProtection="1">
      <alignment horizontal="center" vertical="center"/>
      <protection hidden="1"/>
    </xf>
    <xf numFmtId="197" fontId="38" fillId="8" borderId="12" xfId="14" applyNumberFormat="1" applyFont="1" applyFill="1" applyBorder="1" applyAlignment="1" applyProtection="1">
      <alignment horizontal="center" vertical="center"/>
      <protection locked="0"/>
    </xf>
    <xf numFmtId="0" fontId="38" fillId="0" borderId="0" xfId="19" applyFont="1" applyProtection="1">
      <protection hidden="1"/>
    </xf>
    <xf numFmtId="241" fontId="38" fillId="0" borderId="0" xfId="19" applyNumberFormat="1" applyFont="1" applyProtection="1">
      <protection hidden="1"/>
    </xf>
    <xf numFmtId="0" fontId="38" fillId="0" borderId="0" xfId="19" applyFont="1" applyAlignment="1" applyProtection="1">
      <alignment horizontal="center"/>
      <protection hidden="1"/>
    </xf>
    <xf numFmtId="0" fontId="278" fillId="0" borderId="0" xfId="19" applyFont="1" applyAlignment="1" applyProtection="1">
      <alignment horizontal="center"/>
      <protection hidden="1"/>
    </xf>
    <xf numFmtId="176" fontId="84" fillId="0" borderId="0" xfId="11" applyNumberFormat="1" applyFont="1" applyAlignment="1" applyProtection="1">
      <alignment horizontal="center" vertical="center"/>
      <protection hidden="1"/>
    </xf>
    <xf numFmtId="0" fontId="278" fillId="0" borderId="0" xfId="19" applyFont="1" applyProtection="1">
      <protection hidden="1"/>
    </xf>
    <xf numFmtId="242" fontId="155" fillId="0" borderId="0" xfId="19" applyNumberFormat="1" applyFont="1" applyAlignment="1" applyProtection="1">
      <alignment horizontal="center"/>
      <protection hidden="1"/>
    </xf>
    <xf numFmtId="0" fontId="38" fillId="0" borderId="0" xfId="19" applyFont="1" applyAlignment="1" applyProtection="1">
      <alignment horizontal="center" vertical="center"/>
      <protection hidden="1"/>
    </xf>
    <xf numFmtId="241" fontId="38" fillId="0" borderId="0" xfId="19" applyNumberFormat="1" applyFont="1" applyAlignment="1" applyProtection="1">
      <alignment horizontal="left"/>
      <protection hidden="1"/>
    </xf>
    <xf numFmtId="242" fontId="209" fillId="0" borderId="0" xfId="19" applyNumberFormat="1" applyFont="1" applyAlignment="1" applyProtection="1">
      <alignment horizontal="center"/>
      <protection hidden="1"/>
    </xf>
    <xf numFmtId="242" fontId="280" fillId="0" borderId="0" xfId="19" applyNumberFormat="1" applyFont="1" applyAlignment="1" applyProtection="1">
      <alignment horizontal="center"/>
      <protection hidden="1"/>
    </xf>
    <xf numFmtId="0" fontId="270" fillId="0" borderId="0" xfId="0" applyFont="1" applyAlignment="1" applyProtection="1">
      <alignment horizontal="left" vertical="center"/>
      <protection hidden="1"/>
    </xf>
    <xf numFmtId="2" fontId="270" fillId="0" borderId="0" xfId="19" applyNumberFormat="1" applyFont="1" applyProtection="1">
      <protection hidden="1"/>
    </xf>
    <xf numFmtId="2" fontId="281" fillId="0" borderId="0" xfId="19" applyNumberFormat="1" applyFont="1" applyProtection="1">
      <protection hidden="1"/>
    </xf>
    <xf numFmtId="2" fontId="270" fillId="0" borderId="0" xfId="19" applyNumberFormat="1" applyFont="1" applyAlignment="1" applyProtection="1">
      <alignment horizontal="center"/>
      <protection hidden="1"/>
    </xf>
    <xf numFmtId="0" fontId="270" fillId="0" borderId="0" xfId="19" applyFont="1" applyAlignment="1" applyProtection="1">
      <alignment horizontal="center"/>
      <protection hidden="1"/>
    </xf>
    <xf numFmtId="0" fontId="270" fillId="0" borderId="0" xfId="0" applyFont="1" applyBorder="1" applyAlignment="1" applyProtection="1">
      <alignment horizontal="left" vertical="center"/>
      <protection hidden="1"/>
    </xf>
    <xf numFmtId="184" fontId="270" fillId="0" borderId="0" xfId="0" applyNumberFormat="1" applyFont="1" applyBorder="1" applyAlignment="1" applyProtection="1">
      <alignment horizontal="center" vertical="center"/>
      <protection hidden="1"/>
    </xf>
    <xf numFmtId="2" fontId="282" fillId="0" borderId="0" xfId="19" applyNumberFormat="1" applyFont="1" applyAlignment="1" applyProtection="1">
      <alignment horizontal="center"/>
      <protection hidden="1"/>
    </xf>
    <xf numFmtId="0" fontId="284" fillId="0" borderId="0" xfId="19" applyFont="1" applyAlignment="1" applyProtection="1">
      <alignment horizontal="center"/>
      <protection hidden="1"/>
    </xf>
    <xf numFmtId="0" fontId="270" fillId="0" borderId="0" xfId="0" applyFont="1" applyAlignment="1" applyProtection="1">
      <alignment horizontal="center" vertical="center"/>
      <protection hidden="1"/>
    </xf>
    <xf numFmtId="0" fontId="270" fillId="0" borderId="0" xfId="0" applyFont="1" applyBorder="1" applyAlignment="1" applyProtection="1">
      <alignment horizontal="center" vertical="center"/>
      <protection hidden="1"/>
    </xf>
    <xf numFmtId="184" fontId="270" fillId="22" borderId="0" xfId="0" applyNumberFormat="1" applyFont="1" applyFill="1" applyBorder="1" applyAlignment="1" applyProtection="1">
      <alignment horizontal="center" vertical="center"/>
      <protection hidden="1"/>
    </xf>
    <xf numFmtId="0" fontId="94" fillId="0" borderId="33" xfId="11" applyFont="1" applyBorder="1" applyAlignment="1" applyProtection="1">
      <alignment vertical="center"/>
      <protection locked="0"/>
    </xf>
    <xf numFmtId="0" fontId="38" fillId="0" borderId="34" xfId="0" applyFont="1" applyBorder="1" applyAlignment="1" applyProtection="1">
      <alignment horizontal="left" vertical="center"/>
      <protection hidden="1"/>
    </xf>
    <xf numFmtId="0" fontId="38" fillId="0" borderId="18" xfId="19" applyFont="1" applyBorder="1" applyProtection="1">
      <protection hidden="1"/>
    </xf>
    <xf numFmtId="241" fontId="38" fillId="0" borderId="19" xfId="19" applyNumberFormat="1" applyFont="1" applyBorder="1" applyProtection="1">
      <protection hidden="1"/>
    </xf>
    <xf numFmtId="0" fontId="38" fillId="0" borderId="19" xfId="0" applyFont="1" applyBorder="1" applyAlignment="1" applyProtection="1">
      <alignment horizontal="left" vertical="center"/>
      <protection hidden="1"/>
    </xf>
    <xf numFmtId="0" fontId="38" fillId="0" borderId="18" xfId="19" applyFont="1" applyBorder="1" applyAlignment="1" applyProtection="1">
      <alignment horizontal="right"/>
      <protection hidden="1"/>
    </xf>
    <xf numFmtId="0" fontId="38" fillId="0" borderId="19" xfId="19" applyFont="1" applyBorder="1" applyProtection="1">
      <protection hidden="1"/>
    </xf>
    <xf numFmtId="0" fontId="278" fillId="0" borderId="18" xfId="19" applyFont="1" applyBorder="1" applyProtection="1">
      <protection hidden="1"/>
    </xf>
    <xf numFmtId="0" fontId="38" fillId="0" borderId="20" xfId="19" applyFont="1" applyBorder="1" applyProtection="1">
      <protection hidden="1"/>
    </xf>
    <xf numFmtId="0" fontId="38" fillId="0" borderId="2" xfId="19" applyFont="1" applyBorder="1" applyProtection="1">
      <protection hidden="1"/>
    </xf>
    <xf numFmtId="241" fontId="38" fillId="0" borderId="7" xfId="19" applyNumberFormat="1" applyFont="1" applyBorder="1" applyProtection="1">
      <protection hidden="1"/>
    </xf>
    <xf numFmtId="0" fontId="38" fillId="0" borderId="13" xfId="19" applyFont="1" applyBorder="1" applyProtection="1">
      <protection hidden="1"/>
    </xf>
    <xf numFmtId="0" fontId="38" fillId="0" borderId="1" xfId="19" applyFont="1" applyBorder="1" applyProtection="1">
      <protection hidden="1"/>
    </xf>
    <xf numFmtId="241" fontId="38" fillId="0" borderId="6" xfId="19" applyNumberFormat="1" applyFont="1" applyBorder="1" applyProtection="1">
      <protection hidden="1"/>
    </xf>
    <xf numFmtId="0" fontId="278" fillId="0" borderId="20" xfId="19" applyFont="1" applyBorder="1" applyProtection="1">
      <protection hidden="1"/>
    </xf>
    <xf numFmtId="0" fontId="38" fillId="0" borderId="2" xfId="19" applyFont="1" applyBorder="1" applyAlignment="1" applyProtection="1">
      <alignment horizontal="center"/>
      <protection hidden="1"/>
    </xf>
    <xf numFmtId="242" fontId="280" fillId="0" borderId="2" xfId="19" applyNumberFormat="1" applyFont="1" applyBorder="1" applyAlignment="1" applyProtection="1">
      <alignment horizontal="center"/>
      <protection hidden="1"/>
    </xf>
    <xf numFmtId="0" fontId="38" fillId="0" borderId="18" xfId="0" applyFont="1" applyBorder="1" applyAlignment="1" applyProtection="1">
      <alignment horizontal="left" vertical="center"/>
      <protection hidden="1"/>
    </xf>
    <xf numFmtId="0" fontId="121" fillId="0" borderId="12" xfId="10" applyBorder="1" applyAlignment="1">
      <alignment vertical="center" wrapText="1"/>
    </xf>
    <xf numFmtId="9" fontId="137" fillId="0" borderId="0" xfId="8" applyFont="1" applyBorder="1" applyAlignment="1" applyProtection="1">
      <alignment vertical="center"/>
      <protection hidden="1"/>
    </xf>
    <xf numFmtId="0" fontId="271" fillId="0" borderId="2" xfId="3" applyFont="1" applyBorder="1" applyAlignment="1" applyProtection="1">
      <alignment horizontal="center" vertical="center"/>
      <protection hidden="1"/>
    </xf>
    <xf numFmtId="243" fontId="271" fillId="0" borderId="2" xfId="8" applyNumberFormat="1" applyFont="1" applyBorder="1" applyAlignment="1" applyProtection="1">
      <alignment horizontal="center" vertical="center"/>
      <protection hidden="1"/>
    </xf>
    <xf numFmtId="0" fontId="286" fillId="26" borderId="0" xfId="2" applyFont="1" applyFill="1"/>
    <xf numFmtId="14" fontId="38" fillId="0" borderId="0" xfId="3" applyNumberFormat="1" applyFont="1" applyAlignment="1" applyProtection="1">
      <alignment vertical="center"/>
      <protection hidden="1"/>
    </xf>
    <xf numFmtId="191" fontId="38" fillId="0" borderId="0" xfId="3" applyNumberFormat="1" applyFont="1" applyAlignment="1" applyProtection="1">
      <alignment vertical="center"/>
      <protection hidden="1"/>
    </xf>
    <xf numFmtId="0" fontId="38" fillId="0" borderId="2" xfId="8" applyNumberFormat="1" applyFont="1" applyBorder="1" applyAlignment="1" applyProtection="1">
      <alignment horizontal="center" vertical="center"/>
      <protection hidden="1"/>
    </xf>
    <xf numFmtId="0" fontId="83" fillId="0" borderId="2" xfId="3" applyFont="1" applyBorder="1" applyAlignment="1" applyProtection="1">
      <alignment horizontal="right" vertical="center"/>
      <protection hidden="1"/>
    </xf>
    <xf numFmtId="0" fontId="49" fillId="7" borderId="0" xfId="0" applyFont="1" applyFill="1" applyBorder="1" applyAlignment="1" applyProtection="1">
      <alignment horizontal="right" vertical="center"/>
      <protection hidden="1"/>
    </xf>
    <xf numFmtId="2" fontId="84" fillId="0" borderId="0" xfId="0" applyNumberFormat="1" applyFont="1" applyBorder="1" applyAlignment="1" applyProtection="1">
      <alignment horizontal="right" vertical="center"/>
      <protection hidden="1"/>
    </xf>
    <xf numFmtId="0" fontId="172" fillId="0" borderId="18" xfId="0" applyFont="1" applyBorder="1" applyAlignment="1" applyProtection="1">
      <alignment horizontal="left" vertical="center"/>
      <protection hidden="1"/>
    </xf>
    <xf numFmtId="0" fontId="172" fillId="0" borderId="2" xfId="0" applyFont="1" applyBorder="1" applyAlignment="1" applyProtection="1">
      <alignment horizontal="left" vertical="center"/>
      <protection hidden="1"/>
    </xf>
    <xf numFmtId="0" fontId="172" fillId="0" borderId="19" xfId="0" applyFont="1" applyBorder="1" applyAlignment="1" applyProtection="1">
      <alignment horizontal="left" vertical="center"/>
      <protection hidden="1"/>
    </xf>
    <xf numFmtId="204" fontId="168" fillId="0" borderId="0" xfId="6" applyNumberFormat="1" applyFont="1" applyAlignment="1" applyProtection="1">
      <alignment vertical="center"/>
      <protection hidden="1"/>
    </xf>
    <xf numFmtId="0" fontId="287" fillId="0" borderId="0" xfId="0" applyFont="1" applyBorder="1" applyAlignment="1" applyProtection="1">
      <alignment horizontal="center" vertical="center"/>
      <protection hidden="1"/>
    </xf>
    <xf numFmtId="0" fontId="287" fillId="0" borderId="0" xfId="0" applyFont="1" applyBorder="1" applyAlignment="1" applyProtection="1">
      <alignment vertical="center"/>
      <protection hidden="1"/>
    </xf>
    <xf numFmtId="0" fontId="287" fillId="0" borderId="0" xfId="6" applyFont="1" applyAlignment="1" applyProtection="1">
      <alignment vertical="center"/>
      <protection hidden="1"/>
    </xf>
    <xf numFmtId="204" fontId="168" fillId="0" borderId="0" xfId="6" applyNumberFormat="1" applyFont="1" applyAlignment="1" applyProtection="1">
      <alignment horizontal="center" vertical="center"/>
      <protection hidden="1"/>
    </xf>
    <xf numFmtId="193" fontId="168" fillId="0" borderId="0" xfId="6" applyNumberFormat="1" applyFont="1" applyAlignment="1" applyProtection="1">
      <alignment horizontal="right" vertical="center"/>
      <protection hidden="1"/>
    </xf>
    <xf numFmtId="176" fontId="82" fillId="0" borderId="2" xfId="6" applyNumberFormat="1" applyFont="1" applyBorder="1" applyAlignment="1" applyProtection="1">
      <alignment horizontal="center" vertical="center"/>
      <protection hidden="1"/>
    </xf>
    <xf numFmtId="245" fontId="38" fillId="0" borderId="0" xfId="3" applyNumberFormat="1" applyFont="1" applyAlignment="1" applyProtection="1">
      <alignment horizontal="center" vertical="center"/>
      <protection hidden="1"/>
    </xf>
    <xf numFmtId="0" fontId="290" fillId="0" borderId="0" xfId="0" applyFont="1"/>
    <xf numFmtId="0" fontId="291" fillId="0" borderId="0" xfId="0" applyFont="1" applyAlignment="1" applyProtection="1">
      <alignment horizontal="center" vertical="center"/>
      <protection hidden="1"/>
    </xf>
    <xf numFmtId="0" fontId="291" fillId="0" borderId="0" xfId="0" applyFont="1" applyAlignment="1" applyProtection="1">
      <alignment horizontal="left" vertical="center"/>
      <protection hidden="1"/>
    </xf>
    <xf numFmtId="0" fontId="292" fillId="21" borderId="0" xfId="0" applyFont="1" applyFill="1" applyAlignment="1" applyProtection="1">
      <alignment horizontal="left" vertical="center"/>
      <protection hidden="1"/>
    </xf>
    <xf numFmtId="0" fontId="292" fillId="21" borderId="0" xfId="0" applyFont="1" applyFill="1" applyAlignment="1" applyProtection="1">
      <alignment horizontal="center" vertical="center"/>
      <protection hidden="1"/>
    </xf>
    <xf numFmtId="0" fontId="292" fillId="7" borderId="12" xfId="0" applyFont="1" applyFill="1" applyBorder="1" applyAlignment="1" applyProtection="1">
      <alignment horizontal="center" vertical="center"/>
      <protection hidden="1"/>
    </xf>
    <xf numFmtId="0" fontId="292" fillId="7" borderId="12" xfId="0" applyFont="1" applyFill="1" applyBorder="1" applyAlignment="1" applyProtection="1">
      <alignment horizontal="justify" vertical="center"/>
      <protection hidden="1"/>
    </xf>
    <xf numFmtId="0" fontId="291" fillId="0" borderId="12" xfId="0" applyFont="1" applyBorder="1" applyAlignment="1" applyProtection="1">
      <alignment horizontal="justify" vertical="center"/>
      <protection hidden="1"/>
    </xf>
    <xf numFmtId="0" fontId="291" fillId="0" borderId="12" xfId="0" applyFont="1" applyBorder="1" applyAlignment="1" applyProtection="1">
      <alignment horizontal="left" vertical="center"/>
      <protection hidden="1"/>
    </xf>
    <xf numFmtId="0" fontId="293" fillId="0" borderId="12" xfId="0" applyFont="1" applyBorder="1" applyAlignment="1" applyProtection="1">
      <alignment horizontal="center" vertical="center"/>
      <protection hidden="1"/>
    </xf>
    <xf numFmtId="0" fontId="296" fillId="0" borderId="12" xfId="0" applyFont="1" applyBorder="1" applyAlignment="1" applyProtection="1">
      <alignment horizontal="center" vertical="center"/>
      <protection hidden="1"/>
    </xf>
    <xf numFmtId="0" fontId="298" fillId="0" borderId="12" xfId="0" applyFont="1" applyBorder="1" applyAlignment="1" applyProtection="1">
      <alignment horizontal="center" vertical="center"/>
      <protection hidden="1"/>
    </xf>
    <xf numFmtId="0" fontId="299" fillId="0" borderId="12" xfId="0" applyFont="1" applyBorder="1" applyAlignment="1" applyProtection="1">
      <alignment horizontal="center" vertical="center"/>
      <protection hidden="1"/>
    </xf>
    <xf numFmtId="0" fontId="300" fillId="0" borderId="12" xfId="0" applyFont="1" applyBorder="1" applyAlignment="1" applyProtection="1">
      <alignment horizontal="center" vertical="center"/>
      <protection hidden="1"/>
    </xf>
    <xf numFmtId="0" fontId="289" fillId="7" borderId="14" xfId="0" applyFont="1" applyFill="1" applyBorder="1" applyAlignment="1" applyProtection="1">
      <alignment horizontal="left" vertical="center"/>
      <protection hidden="1"/>
    </xf>
    <xf numFmtId="0" fontId="289" fillId="7" borderId="15" xfId="0" applyFont="1" applyFill="1" applyBorder="1" applyAlignment="1" applyProtection="1">
      <alignment horizontal="left" vertical="center"/>
      <protection hidden="1"/>
    </xf>
    <xf numFmtId="0" fontId="289" fillId="7" borderId="16" xfId="0" applyFont="1" applyFill="1" applyBorder="1" applyAlignment="1" applyProtection="1">
      <alignment horizontal="left" vertical="center"/>
      <protection hidden="1"/>
    </xf>
    <xf numFmtId="0" fontId="292" fillId="7" borderId="12" xfId="0" applyFont="1" applyFill="1" applyBorder="1" applyAlignment="1" applyProtection="1">
      <alignment horizontal="left" vertical="center"/>
      <protection hidden="1"/>
    </xf>
    <xf numFmtId="0" fontId="301" fillId="0" borderId="12" xfId="0" applyFont="1" applyBorder="1" applyAlignment="1" applyProtection="1">
      <alignment horizontal="center" vertical="center"/>
      <protection hidden="1"/>
    </xf>
    <xf numFmtId="0" fontId="300" fillId="0" borderId="12" xfId="0" applyFont="1" applyBorder="1" applyAlignment="1" applyProtection="1">
      <alignment vertical="center"/>
      <protection hidden="1"/>
    </xf>
    <xf numFmtId="0" fontId="303" fillId="0" borderId="12" xfId="0" applyFont="1" applyBorder="1" applyAlignment="1" applyProtection="1">
      <alignment vertical="center"/>
      <protection hidden="1"/>
    </xf>
    <xf numFmtId="0" fontId="304" fillId="0" borderId="12" xfId="0" applyFont="1" applyBorder="1" applyAlignment="1" applyProtection="1">
      <alignment vertical="center"/>
      <protection hidden="1"/>
    </xf>
    <xf numFmtId="0" fontId="305" fillId="0" borderId="12" xfId="0" applyFont="1" applyBorder="1" applyAlignment="1" applyProtection="1">
      <alignment vertical="center"/>
      <protection hidden="1"/>
    </xf>
    <xf numFmtId="0" fontId="306" fillId="0" borderId="12" xfId="0" applyFont="1" applyBorder="1" applyAlignment="1" applyProtection="1">
      <alignment vertical="center"/>
      <protection hidden="1"/>
    </xf>
    <xf numFmtId="0" fontId="307" fillId="0" borderId="12" xfId="0" applyFont="1" applyBorder="1" applyAlignment="1" applyProtection="1">
      <alignment vertical="center"/>
      <protection hidden="1"/>
    </xf>
    <xf numFmtId="0" fontId="308" fillId="0" borderId="12" xfId="0" applyFont="1" applyBorder="1" applyAlignment="1" applyProtection="1">
      <alignment vertical="center"/>
      <protection hidden="1"/>
    </xf>
    <xf numFmtId="0" fontId="309" fillId="0" borderId="12" xfId="0" applyFont="1" applyBorder="1" applyAlignment="1" applyProtection="1">
      <alignment vertical="center"/>
      <protection hidden="1"/>
    </xf>
    <xf numFmtId="0" fontId="310" fillId="0" borderId="12" xfId="0" applyFont="1" applyBorder="1" applyAlignment="1" applyProtection="1">
      <alignment vertical="center"/>
      <protection hidden="1"/>
    </xf>
    <xf numFmtId="0" fontId="302" fillId="0" borderId="12" xfId="0" applyFont="1" applyBorder="1" applyAlignment="1" applyProtection="1">
      <alignment vertical="center"/>
      <protection hidden="1"/>
    </xf>
    <xf numFmtId="0" fontId="130" fillId="21" borderId="0" xfId="11" applyFont="1" applyFill="1" applyAlignment="1">
      <alignment horizontal="center" vertical="center"/>
    </xf>
    <xf numFmtId="0" fontId="130" fillId="21" borderId="0" xfId="11" applyFont="1" applyFill="1" applyAlignment="1">
      <alignment horizontal="left" vertical="center"/>
    </xf>
    <xf numFmtId="0" fontId="4" fillId="0" borderId="5" xfId="11" applyFont="1" applyBorder="1" applyAlignment="1">
      <alignment vertical="center"/>
    </xf>
    <xf numFmtId="0" fontId="38" fillId="0" borderId="86" xfId="11" applyFont="1" applyBorder="1" applyAlignment="1">
      <alignment horizontal="center" vertical="center"/>
    </xf>
    <xf numFmtId="204" fontId="89" fillId="0" borderId="0" xfId="0" applyNumberFormat="1" applyFont="1" applyAlignment="1" applyProtection="1">
      <alignment vertical="center"/>
      <protection hidden="1"/>
    </xf>
    <xf numFmtId="187" fontId="147" fillId="16" borderId="0" xfId="14" applyNumberFormat="1" applyFont="1" applyFill="1" applyAlignment="1" applyProtection="1">
      <alignment horizontal="center" vertical="center"/>
      <protection hidden="1"/>
    </xf>
    <xf numFmtId="188" fontId="148" fillId="16" borderId="0" xfId="14" applyNumberFormat="1" applyFont="1" applyFill="1" applyAlignment="1" applyProtection="1">
      <alignment horizontal="center" vertical="center"/>
      <protection hidden="1"/>
    </xf>
    <xf numFmtId="188" fontId="148" fillId="16" borderId="0" xfId="14" applyNumberFormat="1" applyFont="1" applyFill="1" applyAlignment="1" applyProtection="1">
      <alignment horizontal="center" vertical="center" wrapText="1"/>
      <protection hidden="1"/>
    </xf>
    <xf numFmtId="0" fontId="38" fillId="16" borderId="34" xfId="14" applyFont="1" applyFill="1" applyBorder="1" applyAlignment="1" applyProtection="1">
      <alignment horizontal="center" vertical="center"/>
      <protection hidden="1"/>
    </xf>
    <xf numFmtId="0" fontId="3" fillId="0" borderId="13" xfId="0" applyFont="1" applyBorder="1" applyAlignment="1" applyProtection="1">
      <alignment horizontal="center" vertical="center"/>
      <protection hidden="1"/>
    </xf>
    <xf numFmtId="0" fontId="3" fillId="0" borderId="20" xfId="0" applyFont="1" applyBorder="1" applyAlignment="1" applyProtection="1">
      <alignment horizontal="center" vertical="center"/>
      <protection hidden="1"/>
    </xf>
    <xf numFmtId="0" fontId="130" fillId="7" borderId="14" xfId="3" applyFont="1" applyFill="1" applyBorder="1" applyAlignment="1" applyProtection="1">
      <alignment horizontal="left" vertical="center"/>
      <protection hidden="1"/>
    </xf>
    <xf numFmtId="0" fontId="130" fillId="7" borderId="15" xfId="3" applyFont="1" applyFill="1" applyBorder="1" applyAlignment="1" applyProtection="1">
      <alignment horizontal="left" vertical="center"/>
      <protection hidden="1"/>
    </xf>
    <xf numFmtId="0" fontId="130" fillId="7" borderId="16" xfId="3" applyFont="1" applyFill="1" applyBorder="1" applyAlignment="1" applyProtection="1">
      <alignment horizontal="left" vertical="center"/>
      <protection hidden="1"/>
    </xf>
    <xf numFmtId="0" fontId="38" fillId="16" borderId="12" xfId="14" applyFont="1" applyFill="1" applyBorder="1" applyAlignment="1" applyProtection="1">
      <alignment horizontal="center" vertical="center" wrapText="1"/>
      <protection hidden="1"/>
    </xf>
    <xf numFmtId="0" fontId="108" fillId="0" borderId="0" xfId="14" applyFont="1" applyAlignment="1" applyProtection="1">
      <alignment horizontal="left" vertical="top" wrapText="1"/>
      <protection hidden="1"/>
    </xf>
    <xf numFmtId="0" fontId="127" fillId="9" borderId="0" xfId="7" applyFont="1" applyFill="1" applyAlignment="1" applyProtection="1">
      <alignment horizontal="left" vertical="center"/>
      <protection hidden="1"/>
    </xf>
    <xf numFmtId="2" fontId="204" fillId="0" borderId="13" xfId="3" applyNumberFormat="1" applyFont="1" applyBorder="1" applyAlignment="1" applyProtection="1">
      <alignment horizontal="center" vertical="center"/>
      <protection locked="0"/>
    </xf>
    <xf numFmtId="2" fontId="204" fillId="0" borderId="6" xfId="3" applyNumberFormat="1" applyFont="1" applyBorder="1" applyAlignment="1" applyProtection="1">
      <alignment horizontal="center" vertical="center"/>
      <protection locked="0"/>
    </xf>
    <xf numFmtId="2" fontId="204" fillId="0" borderId="20" xfId="3" applyNumberFormat="1" applyFont="1" applyBorder="1" applyAlignment="1" applyProtection="1">
      <alignment horizontal="center" vertical="center"/>
      <protection locked="0"/>
    </xf>
    <xf numFmtId="2" fontId="204" fillId="0" borderId="7" xfId="3" applyNumberFormat="1" applyFont="1" applyBorder="1" applyAlignment="1" applyProtection="1">
      <alignment horizontal="center" vertical="center"/>
      <protection locked="0"/>
    </xf>
    <xf numFmtId="0" fontId="146" fillId="27" borderId="2" xfId="14" applyFont="1" applyFill="1" applyBorder="1" applyAlignment="1" applyProtection="1">
      <alignment horizontal="center" vertical="center"/>
      <protection hidden="1"/>
    </xf>
    <xf numFmtId="0" fontId="4" fillId="0" borderId="0" xfId="14" applyFont="1" applyAlignment="1" applyProtection="1">
      <alignment horizontal="center" vertical="center"/>
      <protection hidden="1"/>
    </xf>
    <xf numFmtId="0" fontId="38" fillId="16" borderId="37" xfId="14" applyFont="1" applyFill="1" applyBorder="1" applyAlignment="1" applyProtection="1">
      <alignment horizontal="center" vertical="center"/>
      <protection hidden="1"/>
    </xf>
    <xf numFmtId="0" fontId="184" fillId="16" borderId="14" xfId="14" applyFont="1" applyFill="1" applyBorder="1" applyAlignment="1" applyProtection="1">
      <alignment horizontal="left" vertical="center"/>
      <protection hidden="1"/>
    </xf>
    <xf numFmtId="0" fontId="184" fillId="16" borderId="15" xfId="14" applyFont="1" applyFill="1" applyBorder="1" applyAlignment="1" applyProtection="1">
      <alignment horizontal="left" vertical="center"/>
      <protection hidden="1"/>
    </xf>
    <xf numFmtId="0" fontId="184" fillId="16" borderId="16" xfId="14" applyFont="1" applyFill="1" applyBorder="1" applyAlignment="1" applyProtection="1">
      <alignment horizontal="left" vertical="center"/>
      <protection hidden="1"/>
    </xf>
    <xf numFmtId="0" fontId="38" fillId="16" borderId="33" xfId="14" applyFont="1" applyFill="1" applyBorder="1" applyAlignment="1" applyProtection="1">
      <alignment horizontal="center" vertical="center" wrapText="1"/>
      <protection hidden="1"/>
    </xf>
    <xf numFmtId="0" fontId="38" fillId="16" borderId="34" xfId="14" applyFont="1" applyFill="1" applyBorder="1" applyAlignment="1" applyProtection="1">
      <alignment horizontal="center" vertical="center" wrapText="1"/>
      <protection hidden="1"/>
    </xf>
    <xf numFmtId="0" fontId="38" fillId="16" borderId="12" xfId="14" applyFont="1" applyFill="1" applyBorder="1" applyAlignment="1" applyProtection="1">
      <alignment horizontal="center" vertical="center"/>
      <protection hidden="1"/>
    </xf>
    <xf numFmtId="0" fontId="38" fillId="16" borderId="13" xfId="14" applyFont="1" applyFill="1" applyBorder="1" applyAlignment="1" applyProtection="1">
      <alignment horizontal="center" vertical="center" wrapText="1"/>
      <protection hidden="1"/>
    </xf>
    <xf numFmtId="0" fontId="38" fillId="16" borderId="20" xfId="14" applyFont="1" applyFill="1" applyBorder="1" applyAlignment="1" applyProtection="1">
      <alignment horizontal="center" vertical="center" wrapText="1"/>
      <protection hidden="1"/>
    </xf>
    <xf numFmtId="187" fontId="152" fillId="16" borderId="1" xfId="14" applyNumberFormat="1" applyFont="1" applyFill="1" applyBorder="1" applyAlignment="1" applyProtection="1">
      <alignment horizontal="center" vertical="center"/>
      <protection hidden="1"/>
    </xf>
    <xf numFmtId="187" fontId="152" fillId="16" borderId="2" xfId="14" applyNumberFormat="1" applyFont="1" applyFill="1" applyBorder="1" applyAlignment="1" applyProtection="1">
      <alignment horizontal="center" vertical="center"/>
      <protection hidden="1"/>
    </xf>
    <xf numFmtId="188" fontId="83" fillId="16" borderId="13" xfId="14" applyNumberFormat="1" applyFont="1" applyFill="1" applyBorder="1" applyAlignment="1" applyProtection="1">
      <alignment horizontal="center" vertical="center"/>
      <protection hidden="1"/>
    </xf>
    <xf numFmtId="188" fontId="83" fillId="16" borderId="1" xfId="14" applyNumberFormat="1" applyFont="1" applyFill="1" applyBorder="1" applyAlignment="1" applyProtection="1">
      <alignment horizontal="center" vertical="center"/>
      <protection hidden="1"/>
    </xf>
    <xf numFmtId="188" fontId="83" fillId="16" borderId="6" xfId="14" applyNumberFormat="1" applyFont="1" applyFill="1" applyBorder="1" applyAlignment="1" applyProtection="1">
      <alignment horizontal="center" vertical="center"/>
      <protection hidden="1"/>
    </xf>
    <xf numFmtId="188" fontId="83" fillId="16" borderId="20" xfId="14" applyNumberFormat="1" applyFont="1" applyFill="1" applyBorder="1" applyAlignment="1" applyProtection="1">
      <alignment horizontal="center" vertical="center"/>
      <protection hidden="1"/>
    </xf>
    <xf numFmtId="188" fontId="83" fillId="16" borderId="2" xfId="14" applyNumberFormat="1" applyFont="1" applyFill="1" applyBorder="1" applyAlignment="1" applyProtection="1">
      <alignment horizontal="center" vertical="center"/>
      <protection hidden="1"/>
    </xf>
    <xf numFmtId="188" fontId="83" fillId="16" borderId="7" xfId="14" applyNumberFormat="1" applyFont="1" applyFill="1" applyBorder="1" applyAlignment="1" applyProtection="1">
      <alignment horizontal="center" vertical="center"/>
      <protection hidden="1"/>
    </xf>
    <xf numFmtId="0" fontId="83" fillId="0" borderId="13" xfId="14" applyFont="1" applyBorder="1" applyAlignment="1" applyProtection="1">
      <alignment horizontal="left" vertical="center"/>
      <protection hidden="1"/>
    </xf>
    <xf numFmtId="0" fontId="83" fillId="0" borderId="20" xfId="14" applyFont="1" applyBorder="1" applyAlignment="1" applyProtection="1">
      <alignment horizontal="left" vertical="center"/>
      <protection hidden="1"/>
    </xf>
    <xf numFmtId="186" fontId="38" fillId="0" borderId="6" xfId="14" applyNumberFormat="1" applyFont="1" applyBorder="1" applyAlignment="1" applyProtection="1">
      <alignment horizontal="center" vertical="center"/>
      <protection hidden="1"/>
    </xf>
    <xf numFmtId="186" fontId="38" fillId="0" borderId="7" xfId="14" applyNumberFormat="1" applyFont="1" applyBorder="1" applyAlignment="1" applyProtection="1">
      <alignment horizontal="center" vertical="center"/>
      <protection hidden="1"/>
    </xf>
    <xf numFmtId="0" fontId="82" fillId="0" borderId="13" xfId="14" applyFont="1" applyBorder="1" applyAlignment="1" applyProtection="1">
      <alignment horizontal="center" vertical="center"/>
      <protection hidden="1"/>
    </xf>
    <xf numFmtId="0" fontId="82" fillId="0" borderId="18" xfId="14" applyFont="1" applyBorder="1" applyAlignment="1" applyProtection="1">
      <alignment horizontal="center" vertical="center"/>
      <protection hidden="1"/>
    </xf>
    <xf numFmtId="186" fontId="38" fillId="0" borderId="19" xfId="14" applyNumberFormat="1" applyFont="1" applyBorder="1" applyAlignment="1" applyProtection="1">
      <alignment horizontal="center" vertical="center"/>
      <protection hidden="1"/>
    </xf>
    <xf numFmtId="0" fontId="156" fillId="0" borderId="13" xfId="14" applyFont="1" applyBorder="1" applyAlignment="1" applyProtection="1">
      <alignment horizontal="left" vertical="center"/>
      <protection hidden="1"/>
    </xf>
    <xf numFmtId="0" fontId="156" fillId="0" borderId="20" xfId="14" applyFont="1" applyBorder="1" applyAlignment="1" applyProtection="1">
      <alignment horizontal="left" vertical="center"/>
      <protection hidden="1"/>
    </xf>
    <xf numFmtId="0" fontId="174" fillId="0" borderId="13" xfId="0" applyFont="1" applyBorder="1" applyAlignment="1" applyProtection="1">
      <alignment horizontal="center" vertical="center"/>
      <protection hidden="1"/>
    </xf>
    <xf numFmtId="0" fontId="174" fillId="0" borderId="18" xfId="0" applyFont="1" applyBorder="1" applyAlignment="1" applyProtection="1">
      <alignment horizontal="center" vertical="center"/>
      <protection hidden="1"/>
    </xf>
    <xf numFmtId="0" fontId="3" fillId="0" borderId="37" xfId="14" applyFont="1" applyBorder="1" applyAlignment="1" applyProtection="1">
      <alignment horizontal="center" vertical="center"/>
      <protection hidden="1"/>
    </xf>
    <xf numFmtId="0" fontId="146" fillId="27" borderId="0" xfId="14" applyFont="1" applyFill="1" applyAlignment="1" applyProtection="1">
      <alignment horizontal="center" vertical="center"/>
      <protection hidden="1"/>
    </xf>
    <xf numFmtId="0" fontId="8" fillId="0" borderId="0" xfId="7" applyFont="1" applyAlignment="1" applyProtection="1">
      <alignment horizontal="left" vertical="center"/>
      <protection hidden="1"/>
    </xf>
    <xf numFmtId="226" fontId="8" fillId="0" borderId="0" xfId="7" applyNumberFormat="1" applyFont="1" applyAlignment="1" applyProtection="1">
      <alignment horizontal="left" vertical="center"/>
      <protection hidden="1"/>
    </xf>
    <xf numFmtId="0" fontId="62" fillId="0" borderId="0" xfId="7" applyFont="1" applyAlignment="1" applyProtection="1">
      <alignment horizontal="center" vertical="center"/>
      <protection hidden="1"/>
    </xf>
    <xf numFmtId="0" fontId="164" fillId="0" borderId="47" xfId="7" applyFont="1" applyBorder="1" applyAlignment="1" applyProtection="1">
      <alignment horizontal="center" vertical="center"/>
      <protection hidden="1"/>
    </xf>
    <xf numFmtId="0" fontId="164" fillId="0" borderId="49" xfId="7" applyFont="1" applyBorder="1" applyAlignment="1" applyProtection="1">
      <alignment horizontal="center" vertical="center"/>
      <protection hidden="1"/>
    </xf>
    <xf numFmtId="0" fontId="164" fillId="0" borderId="50" xfId="7" applyFont="1" applyBorder="1" applyAlignment="1" applyProtection="1">
      <alignment horizontal="center" vertical="center"/>
      <protection hidden="1"/>
    </xf>
    <xf numFmtId="0" fontId="166" fillId="0" borderId="63" xfId="7" applyFont="1" applyBorder="1" applyAlignment="1" applyProtection="1">
      <alignment horizontal="center" vertical="center"/>
      <protection hidden="1"/>
    </xf>
    <xf numFmtId="0" fontId="166" fillId="0" borderId="77" xfId="7" applyFont="1" applyBorder="1" applyAlignment="1" applyProtection="1">
      <alignment horizontal="center" vertical="center"/>
      <protection hidden="1"/>
    </xf>
    <xf numFmtId="0" fontId="122" fillId="0" borderId="18" xfId="7" applyFont="1" applyBorder="1" applyAlignment="1" applyProtection="1">
      <alignment horizontal="left" vertical="center"/>
      <protection hidden="1"/>
    </xf>
    <xf numFmtId="0" fontId="38" fillId="0" borderId="49" xfId="7" applyFont="1" applyBorder="1" applyAlignment="1" applyProtection="1">
      <alignment horizontal="center" vertical="center"/>
      <protection hidden="1"/>
    </xf>
    <xf numFmtId="0" fontId="38" fillId="0" borderId="66" xfId="7" applyFont="1" applyBorder="1" applyAlignment="1" applyProtection="1">
      <alignment horizontal="center" vertical="center"/>
      <protection hidden="1"/>
    </xf>
    <xf numFmtId="0" fontId="58" fillId="16" borderId="12" xfId="7" applyFont="1" applyFill="1" applyBorder="1" applyAlignment="1" applyProtection="1">
      <alignment horizontal="center" vertical="center"/>
      <protection hidden="1"/>
    </xf>
    <xf numFmtId="0" fontId="38" fillId="0" borderId="64" xfId="7" applyFont="1" applyBorder="1" applyAlignment="1" applyProtection="1">
      <alignment horizontal="center" vertical="center"/>
      <protection hidden="1"/>
    </xf>
    <xf numFmtId="0" fontId="205" fillId="37" borderId="33" xfId="7" applyFont="1" applyFill="1" applyBorder="1" applyAlignment="1" applyProtection="1">
      <alignment horizontal="center" vertical="center"/>
      <protection locked="0"/>
    </xf>
    <xf numFmtId="0" fontId="205" fillId="37" borderId="34" xfId="7" applyFont="1" applyFill="1" applyBorder="1" applyAlignment="1" applyProtection="1">
      <alignment horizontal="center" vertical="center"/>
      <protection locked="0"/>
    </xf>
    <xf numFmtId="0" fontId="125" fillId="0" borderId="47" xfId="7" applyFont="1" applyBorder="1" applyAlignment="1" applyProtection="1">
      <alignment horizontal="center" vertical="center"/>
      <protection hidden="1"/>
    </xf>
    <xf numFmtId="0" fontId="125" fillId="0" borderId="38" xfId="7" applyFont="1" applyBorder="1" applyAlignment="1" applyProtection="1">
      <alignment horizontal="center" vertical="center"/>
      <protection hidden="1"/>
    </xf>
    <xf numFmtId="0" fontId="125" fillId="0" borderId="48" xfId="7" applyFont="1" applyBorder="1" applyAlignment="1" applyProtection="1">
      <alignment horizontal="center" vertical="center"/>
      <protection hidden="1"/>
    </xf>
    <xf numFmtId="0" fontId="63" fillId="0" borderId="46" xfId="7" applyFont="1" applyBorder="1" applyAlignment="1" applyProtection="1">
      <alignment horizontal="center" vertical="center"/>
      <protection hidden="1"/>
    </xf>
    <xf numFmtId="0" fontId="63" fillId="0" borderId="15" xfId="7" applyFont="1" applyBorder="1" applyAlignment="1" applyProtection="1">
      <alignment horizontal="center" vertical="center"/>
      <protection hidden="1"/>
    </xf>
    <xf numFmtId="0" fontId="63" fillId="0" borderId="69" xfId="7" applyFont="1" applyBorder="1" applyAlignment="1" applyProtection="1">
      <alignment horizontal="center" vertical="center"/>
      <protection hidden="1"/>
    </xf>
    <xf numFmtId="0" fontId="164" fillId="0" borderId="70" xfId="7" applyFont="1" applyBorder="1" applyAlignment="1" applyProtection="1">
      <alignment horizontal="center" vertical="center"/>
      <protection hidden="1"/>
    </xf>
    <xf numFmtId="0" fontId="164" fillId="0" borderId="71" xfId="7" applyFont="1" applyBorder="1" applyAlignment="1" applyProtection="1">
      <alignment horizontal="center" vertical="center"/>
      <protection hidden="1"/>
    </xf>
    <xf numFmtId="0" fontId="164" fillId="0" borderId="72" xfId="7" applyFont="1" applyBorder="1" applyAlignment="1" applyProtection="1">
      <alignment horizontal="center" vertical="center"/>
      <protection hidden="1"/>
    </xf>
    <xf numFmtId="0" fontId="164" fillId="0" borderId="39" xfId="7" applyFont="1" applyBorder="1" applyAlignment="1" applyProtection="1">
      <alignment horizontal="center" vertical="center"/>
      <protection hidden="1"/>
    </xf>
    <xf numFmtId="0" fontId="164" fillId="0" borderId="14" xfId="7" applyFont="1" applyBorder="1" applyAlignment="1" applyProtection="1">
      <alignment horizontal="center" vertical="center"/>
      <protection hidden="1"/>
    </xf>
    <xf numFmtId="0" fontId="164" fillId="0" borderId="68" xfId="7" applyFont="1" applyBorder="1" applyAlignment="1" applyProtection="1">
      <alignment horizontal="center" vertical="center"/>
      <protection hidden="1"/>
    </xf>
    <xf numFmtId="0" fontId="137" fillId="0" borderId="14" xfId="7" applyFont="1" applyBorder="1" applyAlignment="1" applyProtection="1">
      <alignment horizontal="center" vertical="center"/>
      <protection hidden="1"/>
    </xf>
    <xf numFmtId="0" fontId="137" fillId="0" borderId="16" xfId="7" applyFont="1" applyBorder="1" applyAlignment="1" applyProtection="1">
      <alignment horizontal="center" vertical="center"/>
      <protection hidden="1"/>
    </xf>
    <xf numFmtId="0" fontId="137" fillId="7" borderId="14" xfId="0" applyFont="1" applyFill="1" applyBorder="1" applyAlignment="1" applyProtection="1">
      <alignment horizontal="center"/>
      <protection hidden="1"/>
    </xf>
    <xf numFmtId="0" fontId="137" fillId="7" borderId="15" xfId="0" applyFont="1" applyFill="1" applyBorder="1" applyAlignment="1" applyProtection="1">
      <alignment horizontal="center"/>
      <protection hidden="1"/>
    </xf>
    <xf numFmtId="0" fontId="137" fillId="7" borderId="16" xfId="0" applyFont="1" applyFill="1" applyBorder="1" applyAlignment="1" applyProtection="1">
      <alignment horizontal="center"/>
      <protection hidden="1"/>
    </xf>
    <xf numFmtId="0" fontId="166" fillId="0" borderId="0" xfId="7" applyFont="1" applyAlignment="1" applyProtection="1">
      <alignment horizontal="center" vertical="center"/>
      <protection hidden="1"/>
    </xf>
    <xf numFmtId="0" fontId="164" fillId="0" borderId="0" xfId="7" applyFont="1" applyAlignment="1" applyProtection="1">
      <alignment horizontal="center" vertical="center" wrapText="1"/>
      <protection hidden="1"/>
    </xf>
    <xf numFmtId="0" fontId="38" fillId="0" borderId="50" xfId="7" applyFont="1" applyBorder="1" applyAlignment="1" applyProtection="1">
      <alignment horizontal="center" vertical="center"/>
      <protection hidden="1"/>
    </xf>
    <xf numFmtId="0" fontId="129" fillId="0" borderId="0" xfId="0" applyFont="1" applyBorder="1" applyAlignment="1" applyProtection="1">
      <alignment horizontal="center"/>
      <protection hidden="1"/>
    </xf>
    <xf numFmtId="197" fontId="122" fillId="0" borderId="2" xfId="7" applyNumberFormat="1" applyFont="1" applyBorder="1" applyAlignment="1" applyProtection="1">
      <alignment horizontal="center" vertical="center"/>
      <protection hidden="1"/>
    </xf>
    <xf numFmtId="0" fontId="184" fillId="7" borderId="13" xfId="7" applyFont="1" applyFill="1" applyBorder="1" applyAlignment="1" applyProtection="1">
      <alignment horizontal="center" vertical="center"/>
      <protection hidden="1"/>
    </xf>
    <xf numFmtId="0" fontId="184" fillId="7" borderId="1" xfId="7" applyFont="1" applyFill="1" applyBorder="1" applyAlignment="1" applyProtection="1">
      <alignment horizontal="center" vertical="center"/>
      <protection hidden="1"/>
    </xf>
    <xf numFmtId="0" fontId="184" fillId="7" borderId="6" xfId="7" applyFont="1" applyFill="1" applyBorder="1" applyAlignment="1" applyProtection="1">
      <alignment horizontal="center" vertical="center"/>
      <protection hidden="1"/>
    </xf>
    <xf numFmtId="0" fontId="184" fillId="0" borderId="14" xfId="7" applyFont="1" applyBorder="1" applyAlignment="1" applyProtection="1">
      <alignment horizontal="center" vertical="center"/>
      <protection hidden="1"/>
    </xf>
    <xf numFmtId="0" fontId="184" fillId="0" borderId="16" xfId="7" applyFont="1" applyBorder="1" applyAlignment="1" applyProtection="1">
      <alignment horizontal="center" vertical="center"/>
      <protection hidden="1"/>
    </xf>
    <xf numFmtId="0" fontId="156" fillId="7" borderId="14" xfId="0" applyFont="1" applyFill="1" applyBorder="1" applyAlignment="1" applyProtection="1">
      <alignment horizontal="center"/>
      <protection hidden="1"/>
    </xf>
    <xf numFmtId="0" fontId="156" fillId="7" borderId="15" xfId="0" applyFont="1" applyFill="1" applyBorder="1" applyAlignment="1" applyProtection="1">
      <alignment horizontal="center"/>
      <protection hidden="1"/>
    </xf>
    <xf numFmtId="0" fontId="156" fillId="7" borderId="16" xfId="0" applyFont="1" applyFill="1" applyBorder="1" applyAlignment="1" applyProtection="1">
      <alignment horizontal="center"/>
      <protection hidden="1"/>
    </xf>
    <xf numFmtId="0" fontId="156" fillId="0" borderId="14" xfId="7" applyFont="1" applyBorder="1" applyAlignment="1" applyProtection="1">
      <alignment horizontal="center" vertical="center"/>
      <protection hidden="1"/>
    </xf>
    <xf numFmtId="0" fontId="156" fillId="0" borderId="16" xfId="7" applyFont="1" applyBorder="1" applyAlignment="1" applyProtection="1">
      <alignment horizontal="center" vertical="center"/>
      <protection hidden="1"/>
    </xf>
    <xf numFmtId="0" fontId="2" fillId="37" borderId="14" xfId="7" applyFont="1" applyFill="1" applyBorder="1" applyAlignment="1" applyProtection="1">
      <alignment horizontal="center" vertical="center"/>
      <protection locked="0"/>
    </xf>
    <xf numFmtId="0" fontId="2" fillId="37" borderId="16" xfId="7" applyFont="1" applyFill="1" applyBorder="1" applyAlignment="1" applyProtection="1">
      <alignment horizontal="center" vertical="center"/>
      <protection locked="0"/>
    </xf>
    <xf numFmtId="0" fontId="141" fillId="0" borderId="33" xfId="7" applyFont="1" applyBorder="1" applyAlignment="1" applyProtection="1">
      <alignment horizontal="center" vertical="center"/>
      <protection locked="0"/>
    </xf>
    <xf numFmtId="0" fontId="141" fillId="0" borderId="34" xfId="7" applyFont="1" applyBorder="1" applyAlignment="1" applyProtection="1">
      <alignment horizontal="center" vertical="center"/>
      <protection locked="0"/>
    </xf>
    <xf numFmtId="197" fontId="174" fillId="0" borderId="0" xfId="7" applyNumberFormat="1" applyFont="1" applyAlignment="1" applyProtection="1">
      <alignment horizontal="center" vertical="center"/>
      <protection hidden="1"/>
    </xf>
    <xf numFmtId="197" fontId="40" fillId="0" borderId="0" xfId="7" applyNumberFormat="1" applyFont="1" applyAlignment="1" applyProtection="1">
      <alignment horizontal="center" vertical="center"/>
      <protection hidden="1"/>
    </xf>
    <xf numFmtId="0" fontId="38" fillId="16" borderId="12" xfId="3" applyFont="1" applyFill="1" applyBorder="1" applyAlignment="1" applyProtection="1">
      <alignment horizontal="center" vertical="center"/>
      <protection hidden="1"/>
    </xf>
    <xf numFmtId="246" fontId="65" fillId="0" borderId="0" xfId="7" applyNumberFormat="1" applyFont="1" applyAlignment="1" applyProtection="1">
      <alignment horizontal="left" vertical="center"/>
      <protection hidden="1"/>
    </xf>
    <xf numFmtId="0" fontId="184" fillId="16" borderId="12" xfId="14" applyFont="1" applyFill="1" applyBorder="1" applyAlignment="1" applyProtection="1">
      <alignment horizontal="left" vertical="center"/>
      <protection hidden="1"/>
    </xf>
    <xf numFmtId="0" fontId="38" fillId="16" borderId="37" xfId="14" applyFont="1" applyFill="1" applyBorder="1" applyAlignment="1" applyProtection="1">
      <alignment horizontal="center" vertical="center" wrapText="1"/>
      <protection hidden="1"/>
    </xf>
    <xf numFmtId="0" fontId="40" fillId="0" borderId="13" xfId="14" applyFont="1" applyBorder="1" applyAlignment="1" applyProtection="1">
      <alignment horizontal="center" vertical="center"/>
      <protection hidden="1"/>
    </xf>
    <xf numFmtId="0" fontId="40" fillId="0" borderId="18" xfId="14" applyFont="1" applyBorder="1" applyAlignment="1" applyProtection="1">
      <alignment horizontal="center" vertical="center"/>
      <protection hidden="1"/>
    </xf>
    <xf numFmtId="234" fontId="139" fillId="0" borderId="0" xfId="0" applyNumberFormat="1" applyFont="1" applyBorder="1" applyAlignment="1" applyProtection="1">
      <alignment horizontal="center" vertical="center"/>
      <protection hidden="1"/>
    </xf>
    <xf numFmtId="0" fontId="138" fillId="7" borderId="0" xfId="0" applyFont="1" applyFill="1" applyBorder="1" applyAlignment="1" applyProtection="1">
      <alignment horizontal="center" vertical="center"/>
      <protection hidden="1"/>
    </xf>
    <xf numFmtId="219" fontId="235" fillId="0" borderId="0" xfId="0" applyNumberFormat="1" applyFont="1" applyBorder="1" applyAlignment="1" applyProtection="1">
      <alignment horizontal="center" vertical="center"/>
      <protection hidden="1"/>
    </xf>
    <xf numFmtId="0" fontId="157" fillId="16" borderId="0" xfId="0" applyFont="1" applyFill="1" applyBorder="1" applyAlignment="1" applyProtection="1">
      <alignment horizontal="center" vertical="center"/>
      <protection hidden="1"/>
    </xf>
    <xf numFmtId="0" fontId="142" fillId="26" borderId="0" xfId="0" applyFont="1" applyFill="1" applyBorder="1" applyAlignment="1" applyProtection="1">
      <alignment horizontal="center" vertical="center"/>
      <protection hidden="1"/>
    </xf>
    <xf numFmtId="0" fontId="122" fillId="0" borderId="18" xfId="6" applyFont="1" applyBorder="1" applyAlignment="1" applyProtection="1">
      <alignment horizontal="left" vertical="center" wrapText="1"/>
      <protection hidden="1"/>
    </xf>
    <xf numFmtId="0" fontId="122" fillId="0" borderId="0" xfId="6" applyFont="1" applyAlignment="1" applyProtection="1">
      <alignment horizontal="left" vertical="center" wrapText="1"/>
      <protection hidden="1"/>
    </xf>
    <xf numFmtId="176" fontId="0" fillId="37" borderId="14" xfId="6" applyNumberFormat="1" applyFont="1" applyFill="1" applyBorder="1" applyAlignment="1" applyProtection="1">
      <alignment horizontal="center" vertical="center"/>
      <protection locked="0"/>
    </xf>
    <xf numFmtId="176" fontId="2" fillId="37" borderId="16" xfId="6" applyNumberFormat="1" applyFill="1" applyBorder="1" applyAlignment="1" applyProtection="1">
      <alignment horizontal="center" vertical="center"/>
      <protection locked="0"/>
    </xf>
    <xf numFmtId="0" fontId="3" fillId="0" borderId="18" xfId="6" applyFont="1" applyBorder="1" applyAlignment="1" applyProtection="1">
      <alignment horizontal="left" vertical="center" wrapText="1"/>
      <protection hidden="1"/>
    </xf>
    <xf numFmtId="0" fontId="3" fillId="0" borderId="20" xfId="6" applyFont="1" applyBorder="1" applyAlignment="1" applyProtection="1">
      <alignment horizontal="left" vertical="center"/>
      <protection hidden="1"/>
    </xf>
    <xf numFmtId="2" fontId="68" fillId="0" borderId="0" xfId="0" applyNumberFormat="1" applyFont="1" applyBorder="1" applyAlignment="1" applyProtection="1">
      <alignment horizontal="center" vertical="center"/>
      <protection hidden="1"/>
    </xf>
    <xf numFmtId="2" fontId="68" fillId="0" borderId="2" xfId="0" applyNumberFormat="1" applyFont="1" applyBorder="1" applyAlignment="1" applyProtection="1">
      <alignment horizontal="center" vertical="center"/>
      <protection hidden="1"/>
    </xf>
    <xf numFmtId="0" fontId="78" fillId="0" borderId="0" xfId="0" applyFont="1" applyBorder="1" applyAlignment="1" applyProtection="1">
      <alignment horizontal="center" vertical="center"/>
      <protection hidden="1"/>
    </xf>
    <xf numFmtId="0" fontId="78" fillId="0" borderId="2" xfId="0" applyFont="1" applyBorder="1" applyAlignment="1" applyProtection="1">
      <alignment horizontal="center" vertical="center"/>
      <protection hidden="1"/>
    </xf>
    <xf numFmtId="184" fontId="0" fillId="0" borderId="13" xfId="6" quotePrefix="1" applyNumberFormat="1" applyFont="1" applyBorder="1" applyAlignment="1" applyProtection="1">
      <alignment horizontal="left" vertical="center" wrapText="1"/>
      <protection hidden="1"/>
    </xf>
    <xf numFmtId="184" fontId="2" fillId="0" borderId="18" xfId="6" quotePrefix="1" applyNumberFormat="1" applyBorder="1" applyAlignment="1" applyProtection="1">
      <alignment horizontal="left" vertical="center"/>
      <protection hidden="1"/>
    </xf>
    <xf numFmtId="176" fontId="89" fillId="0" borderId="1" xfId="6" applyNumberFormat="1" applyFont="1" applyBorder="1" applyAlignment="1" applyProtection="1">
      <alignment horizontal="center" vertical="center"/>
      <protection hidden="1"/>
    </xf>
    <xf numFmtId="176" fontId="89" fillId="0" borderId="0" xfId="6" applyNumberFormat="1" applyFont="1" applyAlignment="1" applyProtection="1">
      <alignment horizontal="center" vertical="center"/>
      <protection hidden="1"/>
    </xf>
    <xf numFmtId="184" fontId="2" fillId="0" borderId="1" xfId="6" applyNumberFormat="1" applyBorder="1" applyAlignment="1" applyProtection="1">
      <alignment horizontal="center" vertical="center"/>
      <protection hidden="1"/>
    </xf>
    <xf numFmtId="184" fontId="2" fillId="0" borderId="0" xfId="6" applyNumberFormat="1" applyAlignment="1" applyProtection="1">
      <alignment horizontal="center" vertical="center"/>
      <protection hidden="1"/>
    </xf>
    <xf numFmtId="0" fontId="178" fillId="21" borderId="14" xfId="6" applyFont="1" applyFill="1" applyBorder="1" applyAlignment="1" applyProtection="1">
      <alignment horizontal="left" vertical="center"/>
      <protection hidden="1"/>
    </xf>
    <xf numFmtId="0" fontId="178" fillId="21" borderId="15" xfId="6" applyFont="1" applyFill="1" applyBorder="1" applyAlignment="1" applyProtection="1">
      <alignment horizontal="left" vertical="center"/>
      <protection hidden="1"/>
    </xf>
    <xf numFmtId="0" fontId="178" fillId="21" borderId="16" xfId="6" applyFont="1" applyFill="1" applyBorder="1" applyAlignment="1" applyProtection="1">
      <alignment horizontal="left" vertical="center"/>
      <protection hidden="1"/>
    </xf>
    <xf numFmtId="0" fontId="172" fillId="21" borderId="0" xfId="0" applyFont="1" applyFill="1" applyBorder="1" applyAlignment="1" applyProtection="1">
      <alignment horizontal="left" vertical="center"/>
      <protection hidden="1"/>
    </xf>
    <xf numFmtId="0" fontId="88" fillId="0" borderId="0" xfId="0" applyFont="1" applyBorder="1" applyAlignment="1" applyProtection="1">
      <alignment horizontal="left" vertical="center"/>
      <protection hidden="1"/>
    </xf>
    <xf numFmtId="0" fontId="192" fillId="0" borderId="0" xfId="0" applyFont="1" applyBorder="1" applyAlignment="1" applyProtection="1">
      <alignment horizontal="left" vertical="center" wrapText="1"/>
      <protection hidden="1"/>
    </xf>
    <xf numFmtId="0" fontId="192" fillId="0" borderId="2" xfId="0" applyFont="1" applyBorder="1" applyAlignment="1" applyProtection="1">
      <alignment horizontal="left" vertical="center" wrapText="1"/>
      <protection hidden="1"/>
    </xf>
    <xf numFmtId="0" fontId="178" fillId="21" borderId="0" xfId="6" applyFont="1" applyFill="1" applyAlignment="1" applyProtection="1">
      <alignment horizontal="left" vertical="center"/>
      <protection hidden="1"/>
    </xf>
    <xf numFmtId="0" fontId="203" fillId="37" borderId="33" xfId="6" applyFont="1" applyFill="1" applyBorder="1" applyAlignment="1" applyProtection="1">
      <alignment horizontal="center" vertical="center"/>
      <protection locked="0"/>
    </xf>
    <xf numFmtId="0" fontId="203" fillId="37" borderId="34" xfId="6" applyFont="1" applyFill="1" applyBorder="1" applyAlignment="1" applyProtection="1">
      <alignment horizontal="center" vertical="center"/>
      <protection locked="0"/>
    </xf>
    <xf numFmtId="231" fontId="180" fillId="0" borderId="0" xfId="6" applyNumberFormat="1" applyFont="1" applyAlignment="1" applyProtection="1">
      <alignment horizontal="center" vertical="center"/>
      <protection hidden="1"/>
    </xf>
    <xf numFmtId="0" fontId="216" fillId="0" borderId="13" xfId="6" applyFont="1" applyBorder="1" applyAlignment="1" applyProtection="1">
      <alignment horizontal="center" wrapText="1"/>
      <protection hidden="1"/>
    </xf>
    <xf numFmtId="0" fontId="216" fillId="0" borderId="18" xfId="6" applyFont="1" applyBorder="1" applyAlignment="1" applyProtection="1">
      <alignment horizontal="center" wrapText="1"/>
      <protection hidden="1"/>
    </xf>
    <xf numFmtId="0" fontId="258" fillId="37" borderId="33" xfId="6" applyFont="1" applyFill="1" applyBorder="1" applyAlignment="1" applyProtection="1">
      <alignment horizontal="center" vertical="center"/>
      <protection locked="0"/>
    </xf>
    <xf numFmtId="0" fontId="258" fillId="37" borderId="34" xfId="6" applyFont="1" applyFill="1" applyBorder="1" applyAlignment="1" applyProtection="1">
      <alignment horizontal="center" vertical="center"/>
      <protection locked="0"/>
    </xf>
    <xf numFmtId="231" fontId="258" fillId="0" borderId="0" xfId="6" applyNumberFormat="1" applyFont="1" applyAlignment="1" applyProtection="1">
      <alignment horizontal="center" vertical="center"/>
      <protection hidden="1"/>
    </xf>
    <xf numFmtId="0" fontId="257" fillId="0" borderId="13" xfId="6" applyFont="1" applyBorder="1" applyAlignment="1" applyProtection="1">
      <alignment horizontal="center" vertical="center" wrapText="1"/>
      <protection hidden="1"/>
    </xf>
    <xf numFmtId="0" fontId="257" fillId="0" borderId="18" xfId="6" applyFont="1" applyBorder="1" applyAlignment="1" applyProtection="1">
      <alignment horizontal="center" vertical="center" wrapText="1"/>
      <protection hidden="1"/>
    </xf>
    <xf numFmtId="0" fontId="257" fillId="0" borderId="20" xfId="6" applyFont="1" applyBorder="1" applyAlignment="1" applyProtection="1">
      <alignment horizontal="center" vertical="center" wrapText="1"/>
      <protection hidden="1"/>
    </xf>
    <xf numFmtId="194" fontId="147" fillId="0" borderId="2" xfId="8" applyNumberFormat="1" applyFont="1" applyBorder="1" applyAlignment="1" applyProtection="1">
      <alignment horizontal="center" vertical="center"/>
      <protection hidden="1"/>
    </xf>
    <xf numFmtId="0" fontId="172" fillId="21" borderId="13" xfId="0" applyFont="1" applyFill="1" applyBorder="1" applyAlignment="1" applyProtection="1">
      <alignment horizontal="left" vertical="center"/>
      <protection hidden="1"/>
    </xf>
    <xf numFmtId="0" fontId="172" fillId="21" borderId="1" xfId="0" applyFont="1" applyFill="1" applyBorder="1" applyAlignment="1" applyProtection="1">
      <alignment horizontal="left" vertical="center"/>
      <protection hidden="1"/>
    </xf>
    <xf numFmtId="0" fontId="172" fillId="21" borderId="6" xfId="0" applyFont="1" applyFill="1" applyBorder="1" applyAlignment="1" applyProtection="1">
      <alignment horizontal="left" vertical="center"/>
      <protection hidden="1"/>
    </xf>
    <xf numFmtId="0" fontId="179" fillId="0" borderId="13" xfId="0" applyFont="1" applyBorder="1" applyAlignment="1" applyProtection="1">
      <alignment horizontal="left"/>
      <protection hidden="1"/>
    </xf>
    <xf numFmtId="0" fontId="179" fillId="0" borderId="18" xfId="0" applyFont="1" applyBorder="1" applyAlignment="1" applyProtection="1">
      <alignment horizontal="left"/>
      <protection hidden="1"/>
    </xf>
    <xf numFmtId="0" fontId="0" fillId="0" borderId="18" xfId="6" quotePrefix="1" applyFont="1" applyBorder="1" applyAlignment="1" applyProtection="1">
      <alignment horizontal="center" vertical="center"/>
      <protection hidden="1"/>
    </xf>
    <xf numFmtId="0" fontId="2" fillId="0" borderId="0" xfId="6" applyAlignment="1" applyProtection="1">
      <alignment horizontal="center" vertical="center"/>
      <protection hidden="1"/>
    </xf>
    <xf numFmtId="0" fontId="2" fillId="0" borderId="19" xfId="6" applyBorder="1" applyAlignment="1" applyProtection="1">
      <alignment horizontal="center" vertical="center"/>
      <protection hidden="1"/>
    </xf>
    <xf numFmtId="0" fontId="178" fillId="21" borderId="14" xfId="6" applyFont="1" applyFill="1" applyBorder="1" applyAlignment="1" applyProtection="1">
      <alignment horizontal="left" vertical="center" wrapText="1"/>
      <protection hidden="1"/>
    </xf>
    <xf numFmtId="0" fontId="178" fillId="21" borderId="15" xfId="6" applyFont="1" applyFill="1" applyBorder="1" applyAlignment="1" applyProtection="1">
      <alignment horizontal="left" vertical="center" wrapText="1"/>
      <protection hidden="1"/>
    </xf>
    <xf numFmtId="0" fontId="178" fillId="21" borderId="16" xfId="6" applyFont="1" applyFill="1" applyBorder="1" applyAlignment="1" applyProtection="1">
      <alignment horizontal="left" vertical="center" wrapText="1"/>
      <protection hidden="1"/>
    </xf>
    <xf numFmtId="0" fontId="129" fillId="0" borderId="37" xfId="0" applyFont="1" applyBorder="1" applyAlignment="1" applyProtection="1">
      <alignment horizontal="left" vertical="center"/>
      <protection hidden="1"/>
    </xf>
    <xf numFmtId="2" fontId="10" fillId="0" borderId="1" xfId="0" applyNumberFormat="1" applyFont="1" applyBorder="1" applyAlignment="1" applyProtection="1">
      <alignment horizontal="center" vertical="center"/>
      <protection hidden="1"/>
    </xf>
    <xf numFmtId="0" fontId="32" fillId="0" borderId="14" xfId="0" applyFont="1" applyBorder="1" applyAlignment="1" applyProtection="1">
      <alignment horizontal="left" vertical="center"/>
      <protection hidden="1"/>
    </xf>
    <xf numFmtId="0" fontId="32" fillId="0" borderId="16" xfId="0" applyFont="1" applyBorder="1" applyAlignment="1" applyProtection="1">
      <alignment horizontal="left" vertical="center"/>
      <protection hidden="1"/>
    </xf>
    <xf numFmtId="0" fontId="0" fillId="0" borderId="0" xfId="6" applyFont="1" applyAlignment="1" applyProtection="1">
      <alignment horizontal="center" vertical="center"/>
      <protection hidden="1"/>
    </xf>
    <xf numFmtId="0" fontId="168" fillId="0" borderId="0" xfId="6" applyFont="1" applyAlignment="1" applyProtection="1">
      <alignment vertical="center"/>
      <protection hidden="1"/>
    </xf>
    <xf numFmtId="0" fontId="122" fillId="0" borderId="13" xfId="6" applyFont="1" applyBorder="1" applyAlignment="1" applyProtection="1">
      <alignment horizontal="left" vertical="center" wrapText="1"/>
      <protection hidden="1"/>
    </xf>
    <xf numFmtId="0" fontId="122" fillId="0" borderId="1" xfId="6" applyFont="1" applyBorder="1" applyAlignment="1" applyProtection="1">
      <alignment horizontal="left" vertical="center" wrapText="1"/>
      <protection hidden="1"/>
    </xf>
    <xf numFmtId="0" fontId="58" fillId="0" borderId="14" xfId="3" applyFont="1" applyBorder="1" applyAlignment="1" applyProtection="1">
      <alignment horizontal="left" vertical="center"/>
      <protection hidden="1"/>
    </xf>
    <xf numFmtId="0" fontId="58" fillId="0" borderId="16" xfId="3" applyFont="1" applyBorder="1" applyAlignment="1" applyProtection="1">
      <alignment horizontal="left" vertical="center"/>
      <protection hidden="1"/>
    </xf>
    <xf numFmtId="0" fontId="83" fillId="0" borderId="15" xfId="3" applyFont="1" applyBorder="1" applyAlignment="1" applyProtection="1">
      <alignment horizontal="left" vertical="center"/>
      <protection hidden="1"/>
    </xf>
    <xf numFmtId="0" fontId="83" fillId="0" borderId="16" xfId="3" applyFont="1" applyBorder="1" applyAlignment="1" applyProtection="1">
      <alignment horizontal="left" vertical="center"/>
      <protection hidden="1"/>
    </xf>
    <xf numFmtId="0" fontId="107" fillId="25" borderId="0" xfId="3" applyFont="1" applyFill="1" applyAlignment="1" applyProtection="1">
      <alignment horizontal="center" vertical="center"/>
      <protection hidden="1"/>
    </xf>
    <xf numFmtId="0" fontId="38" fillId="0" borderId="15" xfId="3" applyFont="1" applyBorder="1" applyAlignment="1" applyProtection="1">
      <alignment horizontal="left" vertical="center"/>
      <protection hidden="1"/>
    </xf>
    <xf numFmtId="0" fontId="58" fillId="0" borderId="14" xfId="3" applyFont="1" applyBorder="1" applyAlignment="1" applyProtection="1">
      <alignment horizontal="center" vertical="center"/>
      <protection hidden="1"/>
    </xf>
    <xf numFmtId="0" fontId="58" fillId="0" borderId="16" xfId="3" applyFont="1" applyBorder="1" applyAlignment="1" applyProtection="1">
      <alignment horizontal="center" vertical="center"/>
      <protection hidden="1"/>
    </xf>
    <xf numFmtId="0" fontId="130" fillId="7" borderId="1" xfId="3" applyFont="1" applyFill="1" applyBorder="1" applyAlignment="1" applyProtection="1">
      <alignment horizontal="left" vertical="center"/>
      <protection hidden="1"/>
    </xf>
    <xf numFmtId="0" fontId="58" fillId="0" borderId="2" xfId="3" applyFont="1" applyBorder="1" applyAlignment="1" applyProtection="1">
      <alignment horizontal="left" vertical="center"/>
      <protection hidden="1"/>
    </xf>
    <xf numFmtId="0" fontId="107" fillId="24" borderId="0" xfId="3" applyFont="1" applyFill="1" applyAlignment="1" applyProtection="1">
      <alignment horizontal="center" vertical="center"/>
      <protection hidden="1"/>
    </xf>
    <xf numFmtId="0" fontId="130" fillId="7" borderId="13" xfId="3" applyFont="1" applyFill="1" applyBorder="1" applyAlignment="1" applyProtection="1">
      <alignment horizontal="left" vertical="center"/>
      <protection hidden="1"/>
    </xf>
    <xf numFmtId="0" fontId="130" fillId="7" borderId="6" xfId="3" applyFont="1" applyFill="1" applyBorder="1" applyAlignment="1" applyProtection="1">
      <alignment horizontal="left" vertical="center"/>
      <protection hidden="1"/>
    </xf>
    <xf numFmtId="0" fontId="131" fillId="7" borderId="14" xfId="3" applyFont="1" applyFill="1" applyBorder="1" applyAlignment="1" applyProtection="1">
      <alignment horizontal="left" vertical="center"/>
      <protection hidden="1"/>
    </xf>
    <xf numFmtId="0" fontId="131" fillId="7" borderId="15" xfId="3" applyFont="1" applyFill="1" applyBorder="1" applyAlignment="1" applyProtection="1">
      <alignment horizontal="left" vertical="center"/>
      <protection hidden="1"/>
    </xf>
    <xf numFmtId="0" fontId="131" fillId="7" borderId="16" xfId="3" applyFont="1" applyFill="1" applyBorder="1" applyAlignment="1" applyProtection="1">
      <alignment horizontal="left" vertical="center"/>
      <protection hidden="1"/>
    </xf>
    <xf numFmtId="0" fontId="58" fillId="0" borderId="13" xfId="3" applyFont="1" applyBorder="1" applyAlignment="1" applyProtection="1">
      <alignment horizontal="center" vertical="center" wrapText="1"/>
      <protection hidden="1"/>
    </xf>
    <xf numFmtId="0" fontId="58" fillId="0" borderId="20" xfId="3" applyFont="1" applyBorder="1" applyAlignment="1" applyProtection="1">
      <alignment horizontal="center" vertical="center"/>
      <protection hidden="1"/>
    </xf>
    <xf numFmtId="0" fontId="84" fillId="0" borderId="0" xfId="0" applyFont="1" applyBorder="1" applyAlignment="1" applyProtection="1">
      <alignment horizontal="center"/>
      <protection hidden="1"/>
    </xf>
    <xf numFmtId="0" fontId="38" fillId="0" borderId="14" xfId="3" applyFont="1" applyBorder="1" applyAlignment="1" applyProtection="1">
      <alignment horizontal="left" vertical="center"/>
      <protection hidden="1"/>
    </xf>
    <xf numFmtId="0" fontId="38" fillId="0" borderId="14" xfId="3" applyFont="1" applyBorder="1" applyAlignment="1" applyProtection="1">
      <alignment horizontal="center" vertical="center"/>
      <protection hidden="1"/>
    </xf>
    <xf numFmtId="0" fontId="38" fillId="0" borderId="15" xfId="3" applyFont="1" applyBorder="1" applyAlignment="1" applyProtection="1">
      <alignment horizontal="center" vertical="center"/>
      <protection hidden="1"/>
    </xf>
    <xf numFmtId="0" fontId="130" fillId="7" borderId="20" xfId="3" applyFont="1" applyFill="1" applyBorder="1" applyAlignment="1" applyProtection="1">
      <alignment horizontal="left" vertical="center"/>
      <protection hidden="1"/>
    </xf>
    <xf numFmtId="0" fontId="130" fillId="7" borderId="2" xfId="3" applyFont="1" applyFill="1" applyBorder="1" applyAlignment="1" applyProtection="1">
      <alignment horizontal="left" vertical="center"/>
      <protection hidden="1"/>
    </xf>
    <xf numFmtId="0" fontId="130" fillId="7" borderId="7" xfId="3" applyFont="1" applyFill="1" applyBorder="1" applyAlignment="1" applyProtection="1">
      <alignment horizontal="left" vertical="center"/>
      <protection hidden="1"/>
    </xf>
    <xf numFmtId="0" fontId="107" fillId="20" borderId="0" xfId="3" applyFont="1" applyFill="1" applyAlignment="1" applyProtection="1">
      <alignment horizontal="center" vertical="center"/>
      <protection hidden="1"/>
    </xf>
    <xf numFmtId="0" fontId="38" fillId="28" borderId="12" xfId="14" applyFont="1" applyFill="1" applyBorder="1" applyAlignment="1" applyProtection="1">
      <alignment horizontal="center" vertical="center" wrapText="1"/>
      <protection hidden="1"/>
    </xf>
    <xf numFmtId="0" fontId="38" fillId="28" borderId="12" xfId="14" applyFont="1" applyFill="1" applyBorder="1" applyAlignment="1" applyProtection="1">
      <alignment horizontal="center" vertical="center"/>
      <protection hidden="1"/>
    </xf>
    <xf numFmtId="2" fontId="38" fillId="0" borderId="12" xfId="3" applyNumberFormat="1" applyFont="1" applyBorder="1" applyAlignment="1" applyProtection="1">
      <alignment horizontal="center" vertical="center"/>
      <protection hidden="1"/>
    </xf>
    <xf numFmtId="0" fontId="207" fillId="0" borderId="13" xfId="3" applyFont="1" applyBorder="1" applyAlignment="1" applyProtection="1">
      <alignment horizontal="center" vertical="center"/>
      <protection hidden="1"/>
    </xf>
    <xf numFmtId="0" fontId="207" fillId="0" borderId="6" xfId="3" applyFont="1" applyBorder="1" applyAlignment="1" applyProtection="1">
      <alignment horizontal="center" vertical="center"/>
      <protection hidden="1"/>
    </xf>
    <xf numFmtId="0" fontId="207" fillId="0" borderId="20" xfId="3" applyFont="1" applyBorder="1" applyAlignment="1" applyProtection="1">
      <alignment horizontal="center" vertical="center"/>
      <protection hidden="1"/>
    </xf>
    <xf numFmtId="0" fontId="207" fillId="0" borderId="7" xfId="3" applyFont="1" applyBorder="1" applyAlignment="1" applyProtection="1">
      <alignment horizontal="center" vertical="center"/>
      <protection hidden="1"/>
    </xf>
    <xf numFmtId="217" fontId="137" fillId="0" borderId="2" xfId="3" applyNumberFormat="1" applyFont="1" applyBorder="1" applyAlignment="1" applyProtection="1">
      <alignment horizontal="center" vertical="center"/>
      <protection hidden="1"/>
    </xf>
    <xf numFmtId="217" fontId="137" fillId="0" borderId="7" xfId="3" applyNumberFormat="1" applyFont="1" applyBorder="1" applyAlignment="1" applyProtection="1">
      <alignment horizontal="center" vertical="center"/>
      <protection hidden="1"/>
    </xf>
    <xf numFmtId="0" fontId="94" fillId="24" borderId="12" xfId="3" applyFont="1" applyFill="1" applyBorder="1" applyAlignment="1" applyProtection="1">
      <alignment horizontal="left" vertical="center" shrinkToFit="1"/>
      <protection hidden="1"/>
    </xf>
    <xf numFmtId="0" fontId="58" fillId="0" borderId="12" xfId="3" applyFont="1" applyBorder="1" applyAlignment="1" applyProtection="1">
      <alignment horizontal="left" vertical="center" shrinkToFit="1"/>
      <protection hidden="1"/>
    </xf>
    <xf numFmtId="0" fontId="94" fillId="0" borderId="12" xfId="3" applyFont="1" applyBorder="1" applyAlignment="1" applyProtection="1">
      <alignment horizontal="left" vertical="center" shrinkToFit="1"/>
      <protection hidden="1"/>
    </xf>
    <xf numFmtId="0" fontId="4" fillId="0" borderId="14" xfId="14" applyFont="1" applyBorder="1" applyAlignment="1" applyProtection="1">
      <alignment horizontal="left" vertical="center"/>
      <protection hidden="1"/>
    </xf>
    <xf numFmtId="0" fontId="4" fillId="0" borderId="16" xfId="14" applyFont="1" applyBorder="1" applyAlignment="1" applyProtection="1">
      <alignment horizontal="left" vertical="center"/>
      <protection hidden="1"/>
    </xf>
    <xf numFmtId="0" fontId="4" fillId="0" borderId="20" xfId="14" applyFont="1" applyBorder="1" applyAlignment="1" applyProtection="1">
      <alignment horizontal="left" vertical="center"/>
      <protection hidden="1"/>
    </xf>
    <xf numFmtId="0" fontId="4" fillId="0" borderId="7" xfId="14" applyFont="1" applyBorder="1" applyAlignment="1" applyProtection="1">
      <alignment horizontal="left" vertical="center"/>
      <protection hidden="1"/>
    </xf>
    <xf numFmtId="0" fontId="38" fillId="0" borderId="12" xfId="3" applyFont="1" applyBorder="1" applyAlignment="1" applyProtection="1">
      <alignment horizontal="center" vertical="center"/>
      <protection hidden="1"/>
    </xf>
    <xf numFmtId="176" fontId="38" fillId="0" borderId="0" xfId="3" applyNumberFormat="1" applyFont="1" applyAlignment="1" applyProtection="1">
      <alignment horizontal="left" vertical="center"/>
      <protection hidden="1"/>
    </xf>
    <xf numFmtId="0" fontId="38" fillId="0" borderId="1" xfId="3" applyFont="1" applyBorder="1" applyAlignment="1" applyProtection="1">
      <alignment horizontal="left" vertical="center"/>
      <protection hidden="1"/>
    </xf>
    <xf numFmtId="0" fontId="68" fillId="0" borderId="2" xfId="3" applyFont="1" applyBorder="1" applyAlignment="1" applyProtection="1">
      <alignment horizontal="left" vertical="center"/>
      <protection hidden="1"/>
    </xf>
    <xf numFmtId="217" fontId="137" fillId="0" borderId="2" xfId="3" applyNumberFormat="1" applyFont="1" applyBorder="1" applyAlignment="1" applyProtection="1">
      <alignment horizontal="right" vertical="center"/>
      <protection hidden="1"/>
    </xf>
    <xf numFmtId="217" fontId="137" fillId="0" borderId="7" xfId="3" applyNumberFormat="1" applyFont="1" applyBorder="1" applyAlignment="1" applyProtection="1">
      <alignment horizontal="right" vertical="center"/>
      <protection hidden="1"/>
    </xf>
    <xf numFmtId="0" fontId="107" fillId="24" borderId="33" xfId="3" applyFont="1" applyFill="1" applyBorder="1" applyAlignment="1" applyProtection="1">
      <alignment horizontal="left" vertical="center"/>
      <protection hidden="1"/>
    </xf>
    <xf numFmtId="0" fontId="107" fillId="24" borderId="37" xfId="3" applyFont="1" applyFill="1" applyBorder="1" applyAlignment="1" applyProtection="1">
      <alignment horizontal="left" vertical="center"/>
      <protection hidden="1"/>
    </xf>
    <xf numFmtId="0" fontId="107" fillId="24" borderId="34" xfId="3" applyFont="1" applyFill="1" applyBorder="1" applyAlignment="1" applyProtection="1">
      <alignment horizontal="left" vertical="center"/>
      <protection hidden="1"/>
    </xf>
    <xf numFmtId="244" fontId="137" fillId="0" borderId="2" xfId="3" applyNumberFormat="1" applyFont="1" applyBorder="1" applyAlignment="1" applyProtection="1">
      <alignment horizontal="center" vertical="center"/>
      <protection hidden="1"/>
    </xf>
    <xf numFmtId="244" fontId="137" fillId="0" borderId="7" xfId="3" applyNumberFormat="1" applyFont="1" applyBorder="1" applyAlignment="1" applyProtection="1">
      <alignment horizontal="center" vertical="center"/>
      <protection hidden="1"/>
    </xf>
    <xf numFmtId="0" fontId="38" fillId="0" borderId="18" xfId="3" applyFont="1" applyBorder="1" applyAlignment="1" applyProtection="1">
      <alignment horizontal="left" vertical="center" wrapText="1"/>
      <protection hidden="1"/>
    </xf>
    <xf numFmtId="0" fontId="38" fillId="0" borderId="0" xfId="3" applyFont="1" applyAlignment="1" applyProtection="1">
      <alignment horizontal="left" vertical="center" wrapText="1"/>
      <protection hidden="1"/>
    </xf>
    <xf numFmtId="0" fontId="38" fillId="7" borderId="33" xfId="3" applyFont="1" applyFill="1" applyBorder="1" applyAlignment="1" applyProtection="1">
      <alignment horizontal="center" vertical="center" textRotation="90"/>
      <protection hidden="1"/>
    </xf>
    <xf numFmtId="0" fontId="38" fillId="7" borderId="37" xfId="3" applyFont="1" applyFill="1" applyBorder="1" applyAlignment="1" applyProtection="1">
      <alignment horizontal="center" vertical="center" textRotation="90"/>
      <protection hidden="1"/>
    </xf>
    <xf numFmtId="0" fontId="38" fillId="7" borderId="34" xfId="3" applyFont="1" applyFill="1" applyBorder="1" applyAlignment="1" applyProtection="1">
      <alignment horizontal="center" vertical="center" textRotation="90"/>
      <protection hidden="1"/>
    </xf>
    <xf numFmtId="0" fontId="269" fillId="0" borderId="1" xfId="3" applyFont="1" applyBorder="1" applyAlignment="1" applyProtection="1">
      <alignment horizontal="center" vertical="center"/>
      <protection hidden="1"/>
    </xf>
    <xf numFmtId="0" fontId="269" fillId="0" borderId="6" xfId="3" applyFont="1" applyBorder="1" applyAlignment="1" applyProtection="1">
      <alignment horizontal="center" vertical="center"/>
      <protection hidden="1"/>
    </xf>
    <xf numFmtId="176" fontId="125" fillId="0" borderId="0" xfId="3" applyNumberFormat="1" applyFont="1" applyAlignment="1" applyProtection="1">
      <alignment horizontal="center" vertical="center"/>
      <protection hidden="1"/>
    </xf>
    <xf numFmtId="176" fontId="125" fillId="0" borderId="19" xfId="3" applyNumberFormat="1" applyFont="1" applyBorder="1" applyAlignment="1" applyProtection="1">
      <alignment horizontal="center" vertical="center"/>
      <protection hidden="1"/>
    </xf>
    <xf numFmtId="0" fontId="38" fillId="0" borderId="0" xfId="3" applyFont="1" applyAlignment="1" applyProtection="1">
      <alignment horizontal="center" vertical="center"/>
      <protection hidden="1"/>
    </xf>
    <xf numFmtId="0" fontId="38" fillId="0" borderId="19" xfId="3" applyFont="1" applyBorder="1" applyAlignment="1" applyProtection="1">
      <alignment horizontal="center" vertical="center"/>
      <protection hidden="1"/>
    </xf>
    <xf numFmtId="0" fontId="132" fillId="0" borderId="18" xfId="3" applyFont="1" applyBorder="1" applyAlignment="1" applyProtection="1">
      <alignment horizontal="left" vertical="center" wrapText="1"/>
      <protection hidden="1"/>
    </xf>
    <xf numFmtId="0" fontId="132" fillId="0" borderId="0" xfId="3" applyFont="1" applyAlignment="1" applyProtection="1">
      <alignment horizontal="left" vertical="center" wrapText="1"/>
      <protection hidden="1"/>
    </xf>
    <xf numFmtId="0" fontId="132" fillId="0" borderId="19" xfId="3" applyFont="1" applyBorder="1" applyAlignment="1" applyProtection="1">
      <alignment horizontal="left" vertical="center" wrapText="1"/>
      <protection hidden="1"/>
    </xf>
    <xf numFmtId="0" fontId="132" fillId="0" borderId="20" xfId="3" applyFont="1" applyBorder="1" applyAlignment="1" applyProtection="1">
      <alignment horizontal="left" vertical="center" wrapText="1"/>
      <protection hidden="1"/>
    </xf>
    <xf numFmtId="0" fontId="132" fillId="0" borderId="2" xfId="3" applyFont="1" applyBorder="1" applyAlignment="1" applyProtection="1">
      <alignment horizontal="left" vertical="center" wrapText="1"/>
      <protection hidden="1"/>
    </xf>
    <xf numFmtId="0" fontId="132" fillId="0" borderId="7" xfId="3" applyFont="1" applyBorder="1" applyAlignment="1" applyProtection="1">
      <alignment horizontal="left" vertical="center" wrapText="1"/>
      <protection hidden="1"/>
    </xf>
    <xf numFmtId="0" fontId="107" fillId="26" borderId="14" xfId="3" applyFont="1" applyFill="1" applyBorder="1" applyAlignment="1" applyProtection="1">
      <alignment horizontal="center" vertical="center"/>
      <protection hidden="1"/>
    </xf>
    <xf numFmtId="0" fontId="107" fillId="26" borderId="15" xfId="3" applyFont="1" applyFill="1" applyBorder="1" applyAlignment="1" applyProtection="1">
      <alignment horizontal="center" vertical="center"/>
      <protection hidden="1"/>
    </xf>
    <xf numFmtId="0" fontId="107" fillId="26" borderId="16" xfId="3" applyFont="1" applyFill="1" applyBorder="1" applyAlignment="1" applyProtection="1">
      <alignment horizontal="center" vertical="center"/>
      <protection hidden="1"/>
    </xf>
    <xf numFmtId="0" fontId="270" fillId="0" borderId="18" xfId="3" applyFont="1" applyBorder="1" applyAlignment="1" applyProtection="1">
      <alignment horizontal="left" vertical="center" wrapText="1"/>
      <protection hidden="1"/>
    </xf>
    <xf numFmtId="0" fontId="270" fillId="0" borderId="0" xfId="3" applyFont="1" applyAlignment="1" applyProtection="1">
      <alignment horizontal="left" vertical="center" wrapText="1"/>
      <protection hidden="1"/>
    </xf>
    <xf numFmtId="0" fontId="107" fillId="26" borderId="0" xfId="3" applyFont="1" applyFill="1" applyAlignment="1" applyProtection="1">
      <alignment horizontal="center" vertical="center"/>
      <protection hidden="1"/>
    </xf>
    <xf numFmtId="0" fontId="107" fillId="22" borderId="0" xfId="3" applyFont="1" applyFill="1" applyAlignment="1" applyProtection="1">
      <alignment horizontal="center" vertical="center"/>
      <protection hidden="1"/>
    </xf>
    <xf numFmtId="0" fontId="107" fillId="22" borderId="14" xfId="3" applyFont="1" applyFill="1" applyBorder="1" applyAlignment="1" applyProtection="1">
      <alignment horizontal="center" vertical="center"/>
      <protection hidden="1"/>
    </xf>
    <xf numFmtId="0" fontId="107" fillId="22" borderId="15" xfId="3" applyFont="1" applyFill="1" applyBorder="1" applyAlignment="1" applyProtection="1">
      <alignment horizontal="center" vertical="center"/>
      <protection hidden="1"/>
    </xf>
    <xf numFmtId="0" fontId="107" fillId="22" borderId="16" xfId="3" applyFont="1" applyFill="1" applyBorder="1" applyAlignment="1" applyProtection="1">
      <alignment horizontal="center" vertical="center"/>
      <protection hidden="1"/>
    </xf>
    <xf numFmtId="0" fontId="58" fillId="0" borderId="13" xfId="3" applyFont="1" applyBorder="1" applyAlignment="1" applyProtection="1">
      <alignment horizontal="left" vertical="center"/>
      <protection hidden="1"/>
    </xf>
    <xf numFmtId="0" fontId="58" fillId="0" borderId="1" xfId="3" applyFont="1" applyBorder="1" applyAlignment="1" applyProtection="1">
      <alignment horizontal="left" vertical="center"/>
      <protection hidden="1"/>
    </xf>
    <xf numFmtId="0" fontId="178" fillId="21" borderId="0" xfId="14" applyFont="1" applyFill="1" applyAlignment="1" applyProtection="1">
      <alignment horizontal="left" vertical="center"/>
      <protection hidden="1"/>
    </xf>
    <xf numFmtId="0" fontId="196" fillId="0" borderId="1" xfId="2" applyFont="1" applyBorder="1" applyAlignment="1" applyProtection="1">
      <alignment horizontal="left" vertical="center" wrapText="1"/>
      <protection hidden="1"/>
    </xf>
    <xf numFmtId="0" fontId="196" fillId="0" borderId="0" xfId="2" applyFont="1" applyAlignment="1" applyProtection="1">
      <alignment horizontal="left" vertical="center" wrapText="1"/>
      <protection hidden="1"/>
    </xf>
    <xf numFmtId="0" fontId="38" fillId="0" borderId="12" xfId="1" applyFont="1" applyBorder="1" applyAlignment="1" applyProtection="1">
      <alignment horizontal="left" vertical="center"/>
      <protection hidden="1"/>
    </xf>
    <xf numFmtId="0" fontId="130" fillId="21" borderId="14" xfId="1" applyFont="1" applyFill="1" applyBorder="1" applyAlignment="1" applyProtection="1">
      <alignment horizontal="left" vertical="center"/>
      <protection hidden="1"/>
    </xf>
    <xf numFmtId="0" fontId="130" fillId="21" borderId="16" xfId="1" applyFont="1" applyFill="1" applyBorder="1" applyAlignment="1" applyProtection="1">
      <alignment horizontal="left" vertical="center"/>
      <protection hidden="1"/>
    </xf>
    <xf numFmtId="0" fontId="131" fillId="21" borderId="12" xfId="1" applyFont="1" applyFill="1" applyBorder="1" applyAlignment="1" applyProtection="1">
      <alignment horizontal="left" vertical="center"/>
      <protection hidden="1"/>
    </xf>
    <xf numFmtId="9" fontId="172" fillId="21" borderId="14" xfId="0" applyNumberFormat="1" applyFont="1" applyFill="1" applyBorder="1" applyAlignment="1" applyProtection="1">
      <alignment horizontal="left" vertical="center"/>
      <protection hidden="1"/>
    </xf>
    <xf numFmtId="0" fontId="172" fillId="21" borderId="16" xfId="0" applyFont="1" applyFill="1" applyBorder="1" applyAlignment="1" applyProtection="1">
      <alignment horizontal="left" vertical="center"/>
      <protection hidden="1"/>
    </xf>
    <xf numFmtId="0" fontId="172" fillId="21" borderId="14" xfId="0" applyFont="1" applyFill="1" applyBorder="1" applyAlignment="1" applyProtection="1">
      <alignment horizontal="left" vertical="center"/>
      <protection hidden="1"/>
    </xf>
    <xf numFmtId="0" fontId="172" fillId="21" borderId="15" xfId="0" applyFont="1" applyFill="1" applyBorder="1" applyAlignment="1" applyProtection="1">
      <alignment horizontal="left" vertical="center"/>
      <protection hidden="1"/>
    </xf>
    <xf numFmtId="0" fontId="178" fillId="21" borderId="0" xfId="0" applyFont="1" applyFill="1" applyBorder="1" applyAlignment="1" applyProtection="1">
      <alignment horizontal="left" vertical="center"/>
      <protection hidden="1"/>
    </xf>
    <xf numFmtId="0" fontId="0" fillId="16" borderId="12" xfId="1" applyFont="1" applyFill="1" applyBorder="1" applyAlignment="1" applyProtection="1">
      <alignment horizontal="center" vertical="center" wrapText="1"/>
      <protection hidden="1"/>
    </xf>
    <xf numFmtId="0" fontId="51" fillId="0" borderId="18" xfId="0" applyFont="1" applyBorder="1" applyAlignment="1" applyProtection="1">
      <alignment horizontal="left" vertical="center"/>
      <protection hidden="1"/>
    </xf>
    <xf numFmtId="0" fontId="51" fillId="0" borderId="0" xfId="0" applyFont="1" applyBorder="1" applyAlignment="1" applyProtection="1">
      <alignment horizontal="left" vertical="center"/>
      <protection hidden="1"/>
    </xf>
    <xf numFmtId="0" fontId="40" fillId="0" borderId="18" xfId="0" applyFont="1" applyBorder="1" applyAlignment="1" applyProtection="1">
      <alignment horizontal="left" vertical="center"/>
      <protection hidden="1"/>
    </xf>
    <xf numFmtId="0" fontId="40" fillId="0" borderId="0" xfId="0" applyFont="1" applyBorder="1" applyAlignment="1" applyProtection="1">
      <alignment horizontal="left" vertical="center"/>
      <protection hidden="1"/>
    </xf>
    <xf numFmtId="0" fontId="32" fillId="0" borderId="18" xfId="0" applyFont="1" applyBorder="1" applyAlignment="1" applyProtection="1">
      <alignment horizontal="right" vertical="center"/>
      <protection hidden="1"/>
    </xf>
    <xf numFmtId="0" fontId="32" fillId="0" borderId="0" xfId="0" applyFont="1" applyBorder="1" applyAlignment="1" applyProtection="1">
      <alignment horizontal="right" vertical="center"/>
      <protection hidden="1"/>
    </xf>
    <xf numFmtId="0" fontId="0" fillId="16" borderId="12" xfId="0" applyFill="1" applyBorder="1" applyAlignment="1" applyProtection="1">
      <alignment horizontal="center" vertical="center"/>
      <protection hidden="1"/>
    </xf>
    <xf numFmtId="0" fontId="196" fillId="0" borderId="1" xfId="0" applyFont="1" applyBorder="1" applyAlignment="1" applyProtection="1">
      <alignment horizontal="left" vertical="center"/>
      <protection hidden="1"/>
    </xf>
    <xf numFmtId="0" fontId="88" fillId="0" borderId="18" xfId="0" applyFont="1" applyBorder="1" applyAlignment="1" applyProtection="1">
      <alignment horizontal="left" vertical="center"/>
      <protection hidden="1"/>
    </xf>
    <xf numFmtId="2" fontId="0" fillId="37" borderId="14" xfId="0" applyNumberFormat="1" applyFill="1" applyBorder="1" applyAlignment="1" applyProtection="1">
      <alignment horizontal="center" vertical="center"/>
      <protection locked="0"/>
    </xf>
    <xf numFmtId="2" fontId="0" fillId="37" borderId="16" xfId="0" applyNumberFormat="1" applyFill="1" applyBorder="1" applyAlignment="1" applyProtection="1">
      <alignment horizontal="center" vertical="center"/>
      <protection locked="0"/>
    </xf>
    <xf numFmtId="0" fontId="89" fillId="0" borderId="0" xfId="0" applyFont="1" applyBorder="1" applyAlignment="1" applyProtection="1">
      <alignment horizontal="center" vertical="center"/>
      <protection hidden="1"/>
    </xf>
    <xf numFmtId="0" fontId="88" fillId="0" borderId="0" xfId="4" applyFont="1" applyAlignment="1" applyProtection="1">
      <alignment horizontal="left" vertical="center"/>
      <protection hidden="1"/>
    </xf>
    <xf numFmtId="0" fontId="88" fillId="0" borderId="2" xfId="4" applyFont="1" applyBorder="1" applyAlignment="1" applyProtection="1">
      <alignment horizontal="left" vertical="center"/>
      <protection hidden="1"/>
    </xf>
    <xf numFmtId="0" fontId="81" fillId="21" borderId="0" xfId="0" applyFont="1" applyFill="1" applyBorder="1" applyAlignment="1" applyProtection="1">
      <alignment horizontal="left" vertical="center"/>
      <protection hidden="1"/>
    </xf>
    <xf numFmtId="0" fontId="10" fillId="0" borderId="15" xfId="0" applyFont="1" applyBorder="1" applyAlignment="1" applyProtection="1">
      <alignment horizontal="center" vertical="center"/>
      <protection hidden="1"/>
    </xf>
    <xf numFmtId="0" fontId="81" fillId="21" borderId="14" xfId="0" applyFont="1" applyFill="1" applyBorder="1" applyAlignment="1" applyProtection="1">
      <alignment horizontal="left" vertical="center"/>
      <protection hidden="1"/>
    </xf>
    <xf numFmtId="0" fontId="81" fillId="21" borderId="16" xfId="0" applyFont="1" applyFill="1" applyBorder="1" applyAlignment="1" applyProtection="1">
      <alignment horizontal="left" vertical="center"/>
      <protection hidden="1"/>
    </xf>
    <xf numFmtId="0" fontId="0" fillId="7" borderId="33" xfId="0" applyFill="1" applyBorder="1" applyAlignment="1" applyProtection="1">
      <alignment horizontal="center" vertical="center" wrapText="1"/>
      <protection hidden="1"/>
    </xf>
    <xf numFmtId="0" fontId="0" fillId="7" borderId="34" xfId="0" applyFill="1" applyBorder="1" applyAlignment="1" applyProtection="1">
      <alignment horizontal="center" vertical="center"/>
      <protection hidden="1"/>
    </xf>
    <xf numFmtId="0" fontId="0" fillId="0" borderId="0" xfId="0" applyBorder="1" applyAlignment="1" applyProtection="1">
      <alignment horizontal="left" vertical="center"/>
      <protection hidden="1"/>
    </xf>
    <xf numFmtId="0" fontId="32" fillId="0" borderId="1" xfId="0" applyFont="1" applyBorder="1" applyAlignment="1" applyProtection="1">
      <alignment horizontal="left" vertical="center"/>
      <protection hidden="1"/>
    </xf>
    <xf numFmtId="0" fontId="177" fillId="0" borderId="0" xfId="0" applyFont="1" applyBorder="1" applyAlignment="1" applyProtection="1">
      <alignment horizontal="left" vertical="center"/>
      <protection hidden="1"/>
    </xf>
    <xf numFmtId="0" fontId="123" fillId="7" borderId="14" xfId="0" applyFont="1" applyFill="1" applyBorder="1" applyAlignment="1" applyProtection="1">
      <alignment horizontal="center" vertical="center"/>
      <protection hidden="1"/>
    </xf>
    <xf numFmtId="0" fontId="0" fillId="7" borderId="15" xfId="0" applyFill="1" applyBorder="1" applyAlignment="1" applyProtection="1">
      <alignment horizontal="center" vertical="center"/>
      <protection hidden="1"/>
    </xf>
    <xf numFmtId="0" fontId="0" fillId="7" borderId="16" xfId="0" applyFill="1" applyBorder="1" applyAlignment="1" applyProtection="1">
      <alignment horizontal="center" vertical="center"/>
      <protection hidden="1"/>
    </xf>
    <xf numFmtId="0" fontId="0" fillId="7" borderId="33" xfId="0" applyFill="1" applyBorder="1" applyAlignment="1" applyProtection="1">
      <alignment horizontal="center" vertical="center"/>
      <protection hidden="1"/>
    </xf>
    <xf numFmtId="0" fontId="81" fillId="21" borderId="12" xfId="0" applyFont="1" applyFill="1" applyBorder="1" applyAlignment="1" applyProtection="1">
      <alignment horizontal="center" vertical="center"/>
      <protection hidden="1"/>
    </xf>
    <xf numFmtId="0" fontId="81" fillId="21" borderId="12" xfId="0" applyFont="1" applyFill="1" applyBorder="1" applyAlignment="1" applyProtection="1">
      <alignment horizontal="center" vertical="center" wrapText="1"/>
      <protection hidden="1"/>
    </xf>
    <xf numFmtId="0" fontId="3" fillId="0" borderId="15" xfId="0" applyFont="1" applyBorder="1" applyAlignment="1" applyProtection="1">
      <alignment horizontal="center" vertical="center"/>
      <protection hidden="1"/>
    </xf>
    <xf numFmtId="0" fontId="81" fillId="21" borderId="12" xfId="0" applyFont="1" applyFill="1" applyBorder="1" applyAlignment="1" applyProtection="1">
      <alignment horizontal="left" vertical="center" wrapText="1"/>
      <protection hidden="1"/>
    </xf>
    <xf numFmtId="0" fontId="81" fillId="21" borderId="12" xfId="0" applyFont="1" applyFill="1" applyBorder="1" applyAlignment="1" applyProtection="1">
      <alignment horizontal="left" vertical="center"/>
      <protection hidden="1"/>
    </xf>
    <xf numFmtId="0" fontId="94" fillId="0" borderId="0" xfId="0" applyFont="1" applyBorder="1" applyAlignment="1" applyProtection="1">
      <alignment horizontal="center" vertical="center"/>
      <protection hidden="1"/>
    </xf>
    <xf numFmtId="0" fontId="94" fillId="0" borderId="0" xfId="0" applyFont="1" applyBorder="1" applyAlignment="1" applyProtection="1">
      <alignment horizontal="center" vertical="center" wrapText="1"/>
      <protection hidden="1"/>
    </xf>
    <xf numFmtId="0" fontId="58" fillId="0" borderId="18" xfId="0" applyFont="1" applyBorder="1" applyAlignment="1" applyProtection="1">
      <alignment horizontal="left" vertical="center"/>
      <protection hidden="1"/>
    </xf>
    <xf numFmtId="0" fontId="58" fillId="0" borderId="0" xfId="0" applyFont="1" applyBorder="1" applyAlignment="1" applyProtection="1">
      <alignment horizontal="left" vertical="center"/>
      <protection hidden="1"/>
    </xf>
    <xf numFmtId="0" fontId="38" fillId="0" borderId="13" xfId="0" applyFont="1" applyBorder="1" applyAlignment="1" applyProtection="1">
      <alignment horizontal="center" vertical="center" wrapText="1"/>
      <protection hidden="1"/>
    </xf>
    <xf numFmtId="0" fontId="38" fillId="0" borderId="18" xfId="0" applyFont="1" applyBorder="1" applyAlignment="1" applyProtection="1">
      <alignment horizontal="center" vertical="center" wrapText="1"/>
      <protection hidden="1"/>
    </xf>
    <xf numFmtId="0" fontId="159" fillId="0" borderId="0" xfId="0" applyFont="1" applyAlignment="1" applyProtection="1">
      <alignment horizontal="left" vertical="center" wrapText="1"/>
      <protection hidden="1"/>
    </xf>
    <xf numFmtId="0" fontId="172" fillId="21" borderId="0" xfId="0" applyFont="1" applyFill="1" applyAlignment="1" applyProtection="1">
      <alignment horizontal="left" vertical="center"/>
      <protection hidden="1"/>
    </xf>
    <xf numFmtId="0" fontId="3" fillId="0" borderId="18" xfId="0" applyFont="1" applyBorder="1" applyAlignment="1" applyProtection="1">
      <alignment horizontal="left" vertical="center"/>
      <protection hidden="1"/>
    </xf>
    <xf numFmtId="0" fontId="3" fillId="0" borderId="0" xfId="0" applyFont="1" applyBorder="1" applyAlignment="1" applyProtection="1">
      <alignment horizontal="left" vertical="center"/>
      <protection hidden="1"/>
    </xf>
    <xf numFmtId="0" fontId="121" fillId="0" borderId="18" xfId="10" applyBorder="1" applyAlignment="1" applyProtection="1">
      <alignment horizontal="left" vertical="center"/>
      <protection hidden="1"/>
    </xf>
    <xf numFmtId="0" fontId="121" fillId="0" borderId="0" xfId="10" applyBorder="1" applyAlignment="1" applyProtection="1">
      <alignment horizontal="left" vertical="center"/>
      <protection hidden="1"/>
    </xf>
    <xf numFmtId="0" fontId="122" fillId="0" borderId="18" xfId="0" applyFont="1" applyBorder="1" applyAlignment="1" applyProtection="1">
      <alignment horizontal="center" vertical="center" wrapText="1"/>
      <protection hidden="1"/>
    </xf>
    <xf numFmtId="0" fontId="122" fillId="0" borderId="0" xfId="0" applyFont="1" applyBorder="1" applyAlignment="1" applyProtection="1">
      <alignment horizontal="center" vertical="center" wrapText="1"/>
      <protection hidden="1"/>
    </xf>
    <xf numFmtId="0" fontId="122" fillId="0" borderId="19" xfId="0" applyFont="1" applyBorder="1" applyAlignment="1" applyProtection="1">
      <alignment horizontal="center" vertical="center" wrapText="1"/>
      <protection hidden="1"/>
    </xf>
    <xf numFmtId="0" fontId="3" fillId="0" borderId="13" xfId="0" applyFont="1" applyBorder="1" applyAlignment="1" applyProtection="1">
      <alignment horizontal="left" vertical="center"/>
      <protection hidden="1"/>
    </xf>
    <xf numFmtId="0" fontId="3" fillId="0" borderId="1" xfId="0" applyFont="1" applyBorder="1" applyAlignment="1" applyProtection="1">
      <alignment horizontal="left" vertical="center"/>
      <protection hidden="1"/>
    </xf>
    <xf numFmtId="0" fontId="82" fillId="0" borderId="0" xfId="0" applyFont="1" applyBorder="1" applyAlignment="1" applyProtection="1">
      <alignment horizontal="center" vertical="center"/>
      <protection hidden="1"/>
    </xf>
    <xf numFmtId="0" fontId="174" fillId="19" borderId="43" xfId="0" applyFont="1" applyFill="1" applyBorder="1" applyAlignment="1" applyProtection="1">
      <alignment horizontal="center" vertical="center"/>
      <protection hidden="1"/>
    </xf>
    <xf numFmtId="0" fontId="3" fillId="17" borderId="14" xfId="18" applyFont="1" applyFill="1" applyBorder="1" applyAlignment="1">
      <alignment horizontal="center" vertical="center"/>
    </xf>
    <xf numFmtId="0" fontId="3" fillId="17" borderId="16" xfId="18" applyFont="1" applyFill="1" applyBorder="1" applyAlignment="1">
      <alignment horizontal="center" vertical="center"/>
    </xf>
    <xf numFmtId="0" fontId="178" fillId="21" borderId="14" xfId="18" applyFont="1" applyFill="1" applyBorder="1" applyAlignment="1">
      <alignment horizontal="left" vertical="center"/>
    </xf>
    <xf numFmtId="0" fontId="178" fillId="21" borderId="16" xfId="18" applyFont="1" applyFill="1" applyBorder="1" applyAlignment="1">
      <alignment horizontal="left" vertical="center"/>
    </xf>
    <xf numFmtId="0" fontId="178" fillId="21" borderId="13" xfId="18" applyFont="1" applyFill="1" applyBorder="1" applyAlignment="1">
      <alignment horizontal="left" vertical="center"/>
    </xf>
    <xf numFmtId="0" fontId="178" fillId="21" borderId="1" xfId="18" applyFont="1" applyFill="1" applyBorder="1" applyAlignment="1">
      <alignment horizontal="left" vertical="center"/>
    </xf>
    <xf numFmtId="0" fontId="178" fillId="21" borderId="6" xfId="18" applyFont="1" applyFill="1" applyBorder="1" applyAlignment="1">
      <alignment horizontal="left" vertical="center"/>
    </xf>
    <xf numFmtId="0" fontId="178" fillId="21" borderId="20" xfId="18" applyFont="1" applyFill="1" applyBorder="1" applyAlignment="1">
      <alignment horizontal="left" vertical="center"/>
    </xf>
    <xf numFmtId="0" fontId="178" fillId="21" borderId="2" xfId="18" applyFont="1" applyFill="1" applyBorder="1" applyAlignment="1">
      <alignment horizontal="left" vertical="center"/>
    </xf>
    <xf numFmtId="0" fontId="178" fillId="21" borderId="7" xfId="18" applyFont="1" applyFill="1" applyBorder="1" applyAlignment="1">
      <alignment horizontal="left" vertical="center"/>
    </xf>
    <xf numFmtId="0" fontId="3" fillId="17" borderId="20" xfId="18" applyFont="1" applyFill="1" applyBorder="1" applyAlignment="1">
      <alignment horizontal="center" vertical="center" wrapText="1"/>
    </xf>
    <xf numFmtId="0" fontId="3" fillId="17" borderId="2" xfId="18" applyFont="1" applyFill="1" applyBorder="1" applyAlignment="1">
      <alignment horizontal="center" vertical="center" wrapText="1"/>
    </xf>
    <xf numFmtId="0" fontId="3" fillId="17" borderId="7" xfId="18" applyFont="1" applyFill="1" applyBorder="1" applyAlignment="1">
      <alignment horizontal="center" vertical="center" wrapText="1"/>
    </xf>
    <xf numFmtId="0" fontId="3" fillId="17" borderId="34" xfId="18" applyFont="1" applyFill="1" applyBorder="1" applyAlignment="1">
      <alignment horizontal="center" vertical="center"/>
    </xf>
    <xf numFmtId="0" fontId="3" fillId="17" borderId="12" xfId="18" applyFont="1" applyFill="1" applyBorder="1" applyAlignment="1">
      <alignment horizontal="center" vertical="center"/>
    </xf>
    <xf numFmtId="0" fontId="89" fillId="0" borderId="0" xfId="18" applyFont="1" applyAlignment="1" applyProtection="1">
      <alignment horizontal="center" vertical="center"/>
      <protection hidden="1"/>
    </xf>
    <xf numFmtId="0" fontId="3" fillId="17" borderId="15" xfId="18" applyFont="1" applyFill="1" applyBorder="1" applyAlignment="1">
      <alignment horizontal="center" vertical="center"/>
    </xf>
    <xf numFmtId="0" fontId="158" fillId="0" borderId="14" xfId="0" applyFont="1" applyBorder="1" applyAlignment="1" applyProtection="1">
      <alignment horizontal="left" vertical="center"/>
      <protection locked="0" hidden="1"/>
    </xf>
    <xf numFmtId="0" fontId="158" fillId="0" borderId="16" xfId="0" applyFont="1" applyBorder="1" applyAlignment="1" applyProtection="1">
      <alignment horizontal="left" vertical="center"/>
      <protection locked="0" hidden="1"/>
    </xf>
    <xf numFmtId="0" fontId="178" fillId="21" borderId="15" xfId="18" applyFont="1" applyFill="1" applyBorder="1" applyAlignment="1">
      <alignment horizontal="left" vertical="center"/>
    </xf>
    <xf numFmtId="0" fontId="53" fillId="0" borderId="0" xfId="18" applyFont="1" applyAlignment="1">
      <alignment horizontal="left" vertical="center"/>
    </xf>
    <xf numFmtId="0" fontId="92" fillId="15" borderId="80" xfId="9" applyFont="1" applyFill="1" applyBorder="1" applyAlignment="1" applyProtection="1">
      <alignment horizontal="center" vertical="center" wrapText="1"/>
      <protection hidden="1"/>
    </xf>
    <xf numFmtId="0" fontId="92" fillId="15" borderId="81" xfId="9" applyFont="1" applyFill="1" applyBorder="1" applyAlignment="1" applyProtection="1">
      <alignment horizontal="center" vertical="center" wrapText="1"/>
      <protection hidden="1"/>
    </xf>
    <xf numFmtId="0" fontId="92" fillId="15" borderId="32" xfId="9" applyFont="1" applyFill="1" applyBorder="1" applyAlignment="1" applyProtection="1">
      <alignment horizontal="center" vertical="center"/>
      <protection hidden="1"/>
    </xf>
    <xf numFmtId="0" fontId="92" fillId="15" borderId="17" xfId="9" applyFont="1" applyFill="1" applyBorder="1" applyAlignment="1" applyProtection="1">
      <alignment horizontal="center" vertical="center"/>
      <protection hidden="1"/>
    </xf>
    <xf numFmtId="0" fontId="92" fillId="12" borderId="80" xfId="9" applyFont="1" applyFill="1" applyBorder="1" applyAlignment="1" applyProtection="1">
      <alignment horizontal="center" vertical="center" wrapText="1"/>
      <protection hidden="1"/>
    </xf>
    <xf numFmtId="0" fontId="92" fillId="12" borderId="81" xfId="9" applyFont="1" applyFill="1" applyBorder="1" applyAlignment="1" applyProtection="1">
      <alignment horizontal="center" vertical="center"/>
      <protection hidden="1"/>
    </xf>
    <xf numFmtId="0" fontId="92" fillId="12" borderId="32" xfId="9" applyFont="1" applyFill="1" applyBorder="1" applyAlignment="1" applyProtection="1">
      <alignment horizontal="center" vertical="center"/>
      <protection hidden="1"/>
    </xf>
    <xf numFmtId="0" fontId="92" fillId="12" borderId="17" xfId="9" applyFont="1" applyFill="1" applyBorder="1" applyAlignment="1" applyProtection="1">
      <alignment horizontal="center" vertical="center"/>
      <protection hidden="1"/>
    </xf>
    <xf numFmtId="0" fontId="92" fillId="13" borderId="80" xfId="9" applyFont="1" applyFill="1" applyBorder="1" applyAlignment="1" applyProtection="1">
      <alignment horizontal="center" vertical="center" wrapText="1"/>
      <protection hidden="1"/>
    </xf>
    <xf numFmtId="0" fontId="92" fillId="13" borderId="81" xfId="9" applyFont="1" applyFill="1" applyBorder="1" applyAlignment="1" applyProtection="1">
      <alignment horizontal="center" vertical="center"/>
      <protection hidden="1"/>
    </xf>
    <xf numFmtId="0" fontId="92" fillId="13" borderId="32" xfId="9" applyFont="1" applyFill="1" applyBorder="1" applyAlignment="1" applyProtection="1">
      <alignment horizontal="center" vertical="center"/>
      <protection hidden="1"/>
    </xf>
    <xf numFmtId="0" fontId="92" fillId="13" borderId="17" xfId="9" applyFont="1" applyFill="1" applyBorder="1" applyAlignment="1" applyProtection="1">
      <alignment horizontal="center" vertical="center"/>
      <protection hidden="1"/>
    </xf>
    <xf numFmtId="0" fontId="92" fillId="14" borderId="80" xfId="9" applyFont="1" applyFill="1" applyBorder="1" applyAlignment="1" applyProtection="1">
      <alignment horizontal="center" vertical="center" wrapText="1"/>
      <protection hidden="1"/>
    </xf>
    <xf numFmtId="0" fontId="92" fillId="14" borderId="81" xfId="9" applyFont="1" applyFill="1" applyBorder="1" applyAlignment="1" applyProtection="1">
      <alignment horizontal="center" vertical="center"/>
      <protection hidden="1"/>
    </xf>
    <xf numFmtId="0" fontId="92" fillId="14" borderId="32" xfId="9" applyFont="1" applyFill="1" applyBorder="1" applyAlignment="1" applyProtection="1">
      <alignment horizontal="center" vertical="center"/>
      <protection hidden="1"/>
    </xf>
    <xf numFmtId="0" fontId="92" fillId="14" borderId="17" xfId="9" applyFont="1" applyFill="1" applyBorder="1" applyAlignment="1" applyProtection="1">
      <alignment horizontal="center" vertical="center"/>
      <protection hidden="1"/>
    </xf>
    <xf numFmtId="0" fontId="92" fillId="11" borderId="32" xfId="9" applyFont="1" applyFill="1" applyBorder="1" applyAlignment="1" applyProtection="1">
      <alignment horizontal="center" vertical="center"/>
      <protection hidden="1"/>
    </xf>
    <xf numFmtId="0" fontId="92" fillId="11" borderId="17" xfId="9" applyFont="1" applyFill="1" applyBorder="1" applyAlignment="1" applyProtection="1">
      <alignment horizontal="center" vertical="center"/>
      <protection hidden="1"/>
    </xf>
    <xf numFmtId="0" fontId="92" fillId="11" borderId="80" xfId="9" applyFont="1" applyFill="1" applyBorder="1" applyAlignment="1" applyProtection="1">
      <alignment horizontal="center" vertical="center" wrapText="1"/>
      <protection hidden="1"/>
    </xf>
    <xf numFmtId="0" fontId="92" fillId="11" borderId="81" xfId="9" applyFont="1" applyFill="1" applyBorder="1" applyAlignment="1" applyProtection="1">
      <alignment horizontal="center" vertical="center"/>
      <protection hidden="1"/>
    </xf>
    <xf numFmtId="0" fontId="102" fillId="11" borderId="12" xfId="9" applyFont="1" applyFill="1" applyBorder="1" applyAlignment="1" applyProtection="1">
      <alignment horizontal="center" vertical="center"/>
      <protection hidden="1"/>
    </xf>
    <xf numFmtId="0" fontId="102" fillId="12" borderId="12" xfId="9" applyFont="1" applyFill="1" applyBorder="1" applyAlignment="1" applyProtection="1">
      <alignment horizontal="center" vertical="center"/>
      <protection hidden="1"/>
    </xf>
    <xf numFmtId="0" fontId="102" fillId="13" borderId="12" xfId="9" applyFont="1" applyFill="1" applyBorder="1" applyAlignment="1" applyProtection="1">
      <alignment horizontal="center" vertical="center"/>
      <protection hidden="1"/>
    </xf>
    <xf numFmtId="0" fontId="102" fillId="14" borderId="12" xfId="9" applyFont="1" applyFill="1" applyBorder="1" applyAlignment="1" applyProtection="1">
      <alignment horizontal="center" vertical="center"/>
      <protection hidden="1"/>
    </xf>
    <xf numFmtId="0" fontId="102" fillId="15" borderId="12" xfId="9" applyFont="1" applyFill="1" applyBorder="1" applyAlignment="1" applyProtection="1">
      <alignment horizontal="center" vertical="center"/>
      <protection hidden="1"/>
    </xf>
    <xf numFmtId="0" fontId="95" fillId="16" borderId="18" xfId="9" applyFont="1" applyFill="1" applyBorder="1" applyAlignment="1" applyProtection="1">
      <alignment horizontal="center" vertical="center"/>
      <protection hidden="1"/>
    </xf>
    <xf numFmtId="0" fontId="95" fillId="16" borderId="19" xfId="9" applyFont="1" applyFill="1" applyBorder="1" applyAlignment="1" applyProtection="1">
      <alignment horizontal="center" vertical="center"/>
      <protection hidden="1"/>
    </xf>
    <xf numFmtId="0" fontId="102" fillId="12" borderId="14" xfId="9" applyFont="1" applyFill="1" applyBorder="1" applyAlignment="1" applyProtection="1">
      <alignment horizontal="center" vertical="center"/>
      <protection hidden="1"/>
    </xf>
    <xf numFmtId="0" fontId="100" fillId="0" borderId="14" xfId="9" applyFont="1" applyBorder="1" applyAlignment="1" applyProtection="1">
      <alignment horizontal="center" vertical="center"/>
      <protection hidden="1"/>
    </xf>
    <xf numFmtId="0" fontId="100" fillId="0" borderId="16" xfId="9" applyFont="1" applyBorder="1" applyAlignment="1" applyProtection="1">
      <alignment horizontal="center" vertical="center"/>
      <protection hidden="1"/>
    </xf>
    <xf numFmtId="0" fontId="102" fillId="11" borderId="14" xfId="9" applyFont="1" applyFill="1" applyBorder="1" applyAlignment="1" applyProtection="1">
      <alignment horizontal="center" vertical="center"/>
      <protection hidden="1"/>
    </xf>
    <xf numFmtId="0" fontId="102" fillId="11" borderId="15" xfId="9" applyFont="1" applyFill="1" applyBorder="1" applyAlignment="1" applyProtection="1">
      <alignment horizontal="center" vertical="center"/>
      <protection hidden="1"/>
    </xf>
    <xf numFmtId="0" fontId="102" fillId="11" borderId="16" xfId="9" applyFont="1" applyFill="1" applyBorder="1" applyAlignment="1" applyProtection="1">
      <alignment horizontal="center" vertical="center"/>
      <protection hidden="1"/>
    </xf>
    <xf numFmtId="0" fontId="102" fillId="12" borderId="15" xfId="9" applyFont="1" applyFill="1" applyBorder="1" applyAlignment="1" applyProtection="1">
      <alignment horizontal="center" vertical="center"/>
      <protection hidden="1"/>
    </xf>
    <xf numFmtId="0" fontId="102" fillId="12" borderId="16" xfId="9" applyFont="1" applyFill="1" applyBorder="1" applyAlignment="1" applyProtection="1">
      <alignment horizontal="center" vertical="center"/>
      <protection hidden="1"/>
    </xf>
    <xf numFmtId="0" fontId="102" fillId="13" borderId="14" xfId="9" applyFont="1" applyFill="1" applyBorder="1" applyAlignment="1" applyProtection="1">
      <alignment horizontal="center" vertical="center"/>
      <protection hidden="1"/>
    </xf>
    <xf numFmtId="0" fontId="102" fillId="13" borderId="15" xfId="9" applyFont="1" applyFill="1" applyBorder="1" applyAlignment="1" applyProtection="1">
      <alignment horizontal="center" vertical="center"/>
      <protection hidden="1"/>
    </xf>
    <xf numFmtId="0" fontId="102" fillId="13" borderId="16" xfId="9" applyFont="1" applyFill="1" applyBorder="1" applyAlignment="1" applyProtection="1">
      <alignment horizontal="center" vertical="center"/>
      <protection hidden="1"/>
    </xf>
    <xf numFmtId="0" fontId="102" fillId="14" borderId="14" xfId="9" applyFont="1" applyFill="1" applyBorder="1" applyAlignment="1" applyProtection="1">
      <alignment horizontal="center" vertical="center"/>
      <protection hidden="1"/>
    </xf>
    <xf numFmtId="0" fontId="102" fillId="14" borderId="15" xfId="9" applyFont="1" applyFill="1" applyBorder="1" applyAlignment="1" applyProtection="1">
      <alignment horizontal="center" vertical="center"/>
      <protection hidden="1"/>
    </xf>
    <xf numFmtId="0" fontId="102" fillId="14" borderId="16" xfId="9" applyFont="1" applyFill="1" applyBorder="1" applyAlignment="1" applyProtection="1">
      <alignment horizontal="center" vertical="center"/>
      <protection hidden="1"/>
    </xf>
    <xf numFmtId="0" fontId="83" fillId="0" borderId="0" xfId="9" applyFont="1" applyAlignment="1" applyProtection="1">
      <alignment horizontal="left" vertical="center"/>
      <protection hidden="1"/>
    </xf>
    <xf numFmtId="0" fontId="95" fillId="0" borderId="0" xfId="9" applyFont="1" applyAlignment="1" applyProtection="1">
      <alignment horizontal="left" vertical="center"/>
      <protection hidden="1"/>
    </xf>
    <xf numFmtId="0" fontId="58" fillId="0" borderId="0" xfId="9" applyFont="1" applyAlignment="1" applyProtection="1">
      <alignment horizontal="left" vertical="center"/>
      <protection hidden="1"/>
    </xf>
    <xf numFmtId="0" fontId="172" fillId="21" borderId="13" xfId="0" applyFont="1" applyFill="1" applyBorder="1" applyAlignment="1" applyProtection="1">
      <alignment horizontal="left"/>
      <protection hidden="1"/>
    </xf>
    <xf numFmtId="0" fontId="172" fillId="21" borderId="1" xfId="0" applyFont="1" applyFill="1" applyBorder="1" applyAlignment="1" applyProtection="1">
      <alignment horizontal="left"/>
      <protection hidden="1"/>
    </xf>
    <xf numFmtId="0" fontId="172" fillId="21" borderId="6" xfId="0" applyFont="1" applyFill="1" applyBorder="1" applyAlignment="1" applyProtection="1">
      <alignment horizontal="left"/>
      <protection hidden="1"/>
    </xf>
    <xf numFmtId="0" fontId="4" fillId="0" borderId="12" xfId="14" applyFont="1" applyBorder="1" applyAlignment="1" applyProtection="1">
      <alignment horizontal="center" vertical="center"/>
      <protection hidden="1"/>
    </xf>
    <xf numFmtId="0" fontId="2" fillId="3" borderId="13" xfId="0" applyFont="1" applyFill="1" applyBorder="1" applyAlignment="1" applyProtection="1">
      <alignment horizontal="center" vertical="center"/>
      <protection hidden="1"/>
    </xf>
    <xf numFmtId="0" fontId="2" fillId="3" borderId="1" xfId="0" applyFont="1" applyFill="1" applyBorder="1" applyAlignment="1" applyProtection="1">
      <alignment horizontal="center" vertical="center"/>
      <protection hidden="1"/>
    </xf>
    <xf numFmtId="0" fontId="2" fillId="3" borderId="6" xfId="0" applyFont="1" applyFill="1" applyBorder="1" applyAlignment="1" applyProtection="1">
      <alignment horizontal="center" vertical="center"/>
      <protection hidden="1"/>
    </xf>
    <xf numFmtId="0" fontId="0" fillId="7" borderId="12" xfId="0" applyFill="1" applyBorder="1" applyAlignment="1" applyProtection="1">
      <alignment horizontal="center" vertical="center"/>
      <protection hidden="1"/>
    </xf>
    <xf numFmtId="0" fontId="3" fillId="0" borderId="0" xfId="0" applyFont="1" applyAlignment="1" applyProtection="1">
      <alignment horizontal="right" vertical="center"/>
      <protection hidden="1"/>
    </xf>
    <xf numFmtId="0" fontId="10" fillId="2" borderId="0" xfId="0" applyFont="1" applyFill="1" applyBorder="1" applyAlignment="1" applyProtection="1">
      <alignment horizontal="center" vertical="center"/>
      <protection hidden="1"/>
    </xf>
    <xf numFmtId="0" fontId="41" fillId="2" borderId="13" xfId="0" applyFont="1" applyFill="1" applyBorder="1" applyAlignment="1" applyProtection="1">
      <alignment horizontal="center" vertical="center"/>
      <protection hidden="1"/>
    </xf>
    <xf numFmtId="0" fontId="41" fillId="2" borderId="18" xfId="0" applyFont="1" applyFill="1" applyBorder="1" applyAlignment="1" applyProtection="1">
      <alignment horizontal="center" vertical="center"/>
      <protection hidden="1"/>
    </xf>
    <xf numFmtId="0" fontId="41" fillId="2" borderId="20" xfId="0" applyFont="1" applyFill="1" applyBorder="1" applyAlignment="1" applyProtection="1">
      <alignment horizontal="center" vertical="center"/>
      <protection hidden="1"/>
    </xf>
    <xf numFmtId="0" fontId="10" fillId="2" borderId="13" xfId="0" applyFont="1" applyFill="1" applyBorder="1" applyAlignment="1" applyProtection="1">
      <alignment horizontal="center" vertical="center"/>
      <protection hidden="1"/>
    </xf>
    <xf numFmtId="0" fontId="10" fillId="2" borderId="1" xfId="0" applyFont="1" applyFill="1" applyBorder="1" applyAlignment="1" applyProtection="1">
      <alignment horizontal="center" vertical="center"/>
      <protection hidden="1"/>
    </xf>
    <xf numFmtId="0" fontId="10" fillId="2" borderId="6" xfId="0" applyFont="1" applyFill="1" applyBorder="1" applyAlignment="1" applyProtection="1">
      <alignment horizontal="center" vertical="center"/>
      <protection hidden="1"/>
    </xf>
    <xf numFmtId="0" fontId="41" fillId="2" borderId="37" xfId="0" applyFont="1" applyFill="1" applyBorder="1" applyAlignment="1" applyProtection="1">
      <alignment horizontal="center" vertical="center"/>
      <protection hidden="1"/>
    </xf>
    <xf numFmtId="0" fontId="41" fillId="2" borderId="34" xfId="0" applyFont="1" applyFill="1" applyBorder="1" applyAlignment="1" applyProtection="1">
      <alignment horizontal="center" vertical="center"/>
      <protection hidden="1"/>
    </xf>
    <xf numFmtId="0" fontId="8" fillId="0" borderId="0" xfId="0" applyFont="1" applyBorder="1" applyAlignment="1" applyProtection="1">
      <alignment horizontal="center" vertical="center"/>
      <protection hidden="1"/>
    </xf>
    <xf numFmtId="0" fontId="60" fillId="0" borderId="0" xfId="0" quotePrefix="1" applyFont="1" applyAlignment="1" applyProtection="1">
      <alignment horizontal="left" vertical="center"/>
      <protection hidden="1"/>
    </xf>
    <xf numFmtId="0" fontId="71" fillId="0" borderId="0" xfId="0" applyFont="1" applyAlignment="1" applyProtection="1">
      <alignment horizontal="left" vertical="center"/>
      <protection hidden="1"/>
    </xf>
    <xf numFmtId="0" fontId="10" fillId="2" borderId="18" xfId="0" applyFont="1" applyFill="1" applyBorder="1" applyAlignment="1" applyProtection="1">
      <alignment horizontal="center" vertical="center"/>
      <protection hidden="1"/>
    </xf>
    <xf numFmtId="0" fontId="8" fillId="0" borderId="13" xfId="0" applyFont="1" applyBorder="1" applyAlignment="1" applyProtection="1">
      <alignment horizontal="center" vertical="center"/>
      <protection hidden="1"/>
    </xf>
    <xf numFmtId="0" fontId="8" fillId="0" borderId="1" xfId="0" applyFont="1" applyBorder="1" applyAlignment="1" applyProtection="1">
      <alignment horizontal="center" vertical="center"/>
      <protection hidden="1"/>
    </xf>
    <xf numFmtId="0" fontId="8" fillId="0" borderId="6" xfId="0" applyFont="1" applyBorder="1" applyAlignment="1" applyProtection="1">
      <alignment horizontal="center" vertical="center"/>
      <protection hidden="1"/>
    </xf>
    <xf numFmtId="0" fontId="10" fillId="2" borderId="19" xfId="0" applyFont="1" applyFill="1" applyBorder="1" applyAlignment="1" applyProtection="1">
      <alignment horizontal="center" vertical="center"/>
      <protection hidden="1"/>
    </xf>
    <xf numFmtId="0" fontId="0" fillId="0" borderId="14"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0" fillId="0" borderId="16" xfId="0" applyBorder="1" applyAlignment="1" applyProtection="1">
      <alignment horizontal="center" vertical="center"/>
      <protection hidden="1"/>
    </xf>
    <xf numFmtId="0" fontId="8" fillId="0" borderId="20" xfId="0" applyFont="1" applyBorder="1" applyAlignment="1" applyProtection="1">
      <alignment horizontal="center" vertical="center"/>
      <protection hidden="1"/>
    </xf>
    <xf numFmtId="0" fontId="8" fillId="0" borderId="2" xfId="0" applyFont="1" applyBorder="1" applyAlignment="1" applyProtection="1">
      <alignment horizontal="center" vertical="center"/>
      <protection hidden="1"/>
    </xf>
    <xf numFmtId="0" fontId="8" fillId="0" borderId="7" xfId="0" applyFont="1" applyBorder="1" applyAlignment="1" applyProtection="1">
      <alignment horizontal="center" vertical="center"/>
      <protection hidden="1"/>
    </xf>
    <xf numFmtId="0" fontId="127" fillId="21" borderId="0" xfId="0" applyFont="1" applyFill="1" applyBorder="1" applyAlignment="1" applyProtection="1">
      <alignment horizontal="left" vertical="center"/>
      <protection hidden="1"/>
    </xf>
    <xf numFmtId="0" fontId="74" fillId="0" borderId="0" xfId="0" quotePrefix="1" applyFont="1" applyAlignment="1" applyProtection="1">
      <alignment horizontal="left" vertical="center"/>
      <protection hidden="1"/>
    </xf>
    <xf numFmtId="0" fontId="74" fillId="0" borderId="0" xfId="0" applyFont="1" applyAlignment="1" applyProtection="1">
      <alignment horizontal="left" vertical="center"/>
      <protection hidden="1"/>
    </xf>
    <xf numFmtId="0" fontId="38" fillId="16" borderId="33" xfId="0" applyFont="1" applyFill="1" applyBorder="1" applyAlignment="1" applyProtection="1">
      <alignment horizontal="center" vertical="center" wrapText="1"/>
      <protection hidden="1"/>
    </xf>
    <xf numFmtId="0" fontId="38" fillId="16" borderId="34" xfId="0" applyFont="1" applyFill="1" applyBorder="1" applyAlignment="1" applyProtection="1">
      <alignment horizontal="center" vertical="center" wrapText="1"/>
      <protection hidden="1"/>
    </xf>
    <xf numFmtId="0" fontId="38" fillId="16" borderId="33" xfId="0" applyFont="1" applyFill="1" applyBorder="1" applyAlignment="1" applyProtection="1">
      <alignment horizontal="center" vertical="center"/>
      <protection hidden="1"/>
    </xf>
    <xf numFmtId="0" fontId="38" fillId="16" borderId="34" xfId="0" applyFont="1" applyFill="1" applyBorder="1" applyAlignment="1" applyProtection="1">
      <alignment horizontal="center" vertical="center"/>
      <protection hidden="1"/>
    </xf>
    <xf numFmtId="0" fontId="38" fillId="16" borderId="12" xfId="0" applyFont="1" applyFill="1" applyBorder="1" applyAlignment="1" applyProtection="1">
      <alignment horizontal="center" vertical="center"/>
      <protection hidden="1"/>
    </xf>
    <xf numFmtId="0" fontId="38" fillId="16" borderId="12" xfId="0" applyFont="1" applyFill="1" applyBorder="1" applyProtection="1">
      <protection hidden="1"/>
    </xf>
    <xf numFmtId="0" fontId="4" fillId="0" borderId="18" xfId="14" applyFont="1" applyBorder="1" applyAlignment="1" applyProtection="1">
      <alignment horizontal="center" vertical="center"/>
      <protection hidden="1"/>
    </xf>
    <xf numFmtId="0" fontId="130" fillId="7" borderId="12" xfId="3" applyFont="1" applyFill="1" applyBorder="1" applyAlignment="1" applyProtection="1">
      <alignment horizontal="left" vertical="center"/>
      <protection hidden="1"/>
    </xf>
    <xf numFmtId="0" fontId="83" fillId="36" borderId="0" xfId="11" applyFont="1" applyFill="1" applyAlignment="1" applyProtection="1">
      <alignment horizontal="center" vertical="center" textRotation="90"/>
      <protection hidden="1"/>
    </xf>
    <xf numFmtId="0" fontId="38" fillId="0" borderId="13" xfId="11" applyFont="1" applyBorder="1" applyAlignment="1" applyProtection="1">
      <alignment horizontal="center" vertical="center"/>
      <protection hidden="1"/>
    </xf>
    <xf numFmtId="0" fontId="38" fillId="0" borderId="18" xfId="11" applyFont="1" applyBorder="1" applyAlignment="1" applyProtection="1">
      <alignment horizontal="center" vertical="center"/>
      <protection hidden="1"/>
    </xf>
    <xf numFmtId="0" fontId="38" fillId="0" borderId="20" xfId="11" applyFont="1" applyBorder="1" applyAlignment="1" applyProtection="1">
      <alignment horizontal="center" vertical="center"/>
      <protection hidden="1"/>
    </xf>
    <xf numFmtId="0" fontId="38" fillId="0" borderId="33" xfId="11" quotePrefix="1" applyFont="1" applyBorder="1" applyAlignment="1" applyProtection="1">
      <alignment horizontal="center" vertical="center"/>
      <protection hidden="1"/>
    </xf>
    <xf numFmtId="0" fontId="38" fillId="0" borderId="37" xfId="11" applyFont="1" applyBorder="1" applyAlignment="1" applyProtection="1">
      <alignment horizontal="center" vertical="center"/>
      <protection hidden="1"/>
    </xf>
    <xf numFmtId="0" fontId="38" fillId="0" borderId="34" xfId="11" applyFont="1" applyBorder="1" applyAlignment="1" applyProtection="1">
      <alignment horizontal="center" vertical="center"/>
      <protection hidden="1"/>
    </xf>
    <xf numFmtId="0" fontId="172" fillId="21" borderId="0" xfId="11" applyFont="1" applyFill="1" applyAlignment="1" applyProtection="1">
      <alignment horizontal="left"/>
      <protection hidden="1"/>
    </xf>
    <xf numFmtId="0" fontId="107" fillId="27" borderId="0" xfId="11" applyFont="1" applyFill="1" applyAlignment="1" applyProtection="1">
      <alignment horizontal="center" vertical="center"/>
      <protection hidden="1"/>
    </xf>
    <xf numFmtId="0" fontId="83" fillId="28" borderId="0" xfId="11" applyFont="1" applyFill="1" applyAlignment="1" applyProtection="1">
      <alignment horizontal="center" vertical="center" textRotation="90"/>
      <protection hidden="1"/>
    </xf>
    <xf numFmtId="0" fontId="38" fillId="37" borderId="14" xfId="11" applyFont="1" applyFill="1" applyBorder="1" applyAlignment="1" applyProtection="1">
      <alignment horizontal="center" vertical="center"/>
      <protection locked="0"/>
    </xf>
    <xf numFmtId="0" fontId="38" fillId="37" borderId="16" xfId="11" applyFont="1" applyFill="1" applyBorder="1" applyAlignment="1" applyProtection="1">
      <alignment horizontal="center" vertical="center"/>
      <protection locked="0"/>
    </xf>
    <xf numFmtId="0" fontId="4" fillId="0" borderId="18" xfId="11" applyFont="1" applyBorder="1" applyAlignment="1" applyProtection="1">
      <alignment horizontal="left"/>
      <protection hidden="1"/>
    </xf>
    <xf numFmtId="0" fontId="4" fillId="0" borderId="19" xfId="11" applyFont="1" applyBorder="1" applyAlignment="1" applyProtection="1">
      <alignment horizontal="left"/>
      <protection hidden="1"/>
    </xf>
    <xf numFmtId="0" fontId="4" fillId="0" borderId="18" xfId="11" applyFont="1" applyBorder="1" applyAlignment="1" applyProtection="1">
      <alignment horizontal="left" vertical="center"/>
      <protection hidden="1"/>
    </xf>
    <xf numFmtId="0" fontId="4" fillId="0" borderId="19" xfId="11" applyFont="1" applyBorder="1" applyAlignment="1" applyProtection="1">
      <alignment horizontal="left" vertical="center"/>
      <protection hidden="1"/>
    </xf>
    <xf numFmtId="0" fontId="146" fillId="7" borderId="18" xfId="11" applyFont="1" applyFill="1" applyBorder="1" applyAlignment="1" applyProtection="1">
      <alignment horizontal="left" vertical="center"/>
      <protection hidden="1"/>
    </xf>
    <xf numFmtId="0" fontId="146" fillId="7" borderId="19" xfId="11" applyFont="1" applyFill="1" applyBorder="1" applyAlignment="1" applyProtection="1">
      <alignment horizontal="left" vertical="center"/>
      <protection hidden="1"/>
    </xf>
    <xf numFmtId="0" fontId="77" fillId="0" borderId="18" xfId="11" applyFont="1" applyBorder="1" applyAlignment="1" applyProtection="1">
      <alignment horizontal="left" vertical="center"/>
      <protection hidden="1"/>
    </xf>
    <xf numFmtId="0" fontId="77" fillId="0" borderId="19" xfId="11" applyFont="1" applyBorder="1" applyAlignment="1" applyProtection="1">
      <alignment horizontal="left" vertical="center"/>
      <protection hidden="1"/>
    </xf>
    <xf numFmtId="0" fontId="4" fillId="0" borderId="37" xfId="11" applyFont="1" applyBorder="1" applyAlignment="1" applyProtection="1">
      <alignment horizontal="center" vertical="center" wrapText="1"/>
      <protection hidden="1"/>
    </xf>
    <xf numFmtId="0" fontId="130" fillId="21" borderId="0" xfId="11" applyFont="1" applyFill="1" applyAlignment="1" applyProtection="1">
      <alignment horizontal="left"/>
      <protection hidden="1"/>
    </xf>
    <xf numFmtId="0" fontId="229" fillId="0" borderId="33" xfId="11" applyFont="1" applyBorder="1" applyAlignment="1" applyProtection="1">
      <alignment horizontal="center" vertical="center" wrapText="1"/>
      <protection hidden="1"/>
    </xf>
    <xf numFmtId="0" fontId="229" fillId="0" borderId="34" xfId="11" applyFont="1" applyBorder="1" applyAlignment="1" applyProtection="1">
      <alignment horizontal="center" vertical="center" wrapText="1"/>
      <protection hidden="1"/>
    </xf>
    <xf numFmtId="0" fontId="77" fillId="0" borderId="13" xfId="11" applyFont="1" applyBorder="1" applyAlignment="1" applyProtection="1">
      <alignment horizontal="left" vertical="center"/>
      <protection hidden="1"/>
    </xf>
    <xf numFmtId="0" fontId="77" fillId="0" borderId="6" xfId="11" applyFont="1" applyBorder="1" applyAlignment="1" applyProtection="1">
      <alignment horizontal="left" vertical="center"/>
      <protection hidden="1"/>
    </xf>
    <xf numFmtId="0" fontId="77" fillId="0" borderId="20" xfId="11" applyFont="1" applyBorder="1" applyAlignment="1" applyProtection="1">
      <alignment horizontal="left" vertical="center"/>
      <protection hidden="1"/>
    </xf>
    <xf numFmtId="0" fontId="77" fillId="0" borderId="7" xfId="11" applyFont="1" applyBorder="1" applyAlignment="1" applyProtection="1">
      <alignment horizontal="left" vertical="center"/>
      <protection hidden="1"/>
    </xf>
    <xf numFmtId="0" fontId="77" fillId="0" borderId="37" xfId="11" applyFont="1" applyBorder="1" applyAlignment="1" applyProtection="1">
      <alignment horizontal="center" vertical="center" wrapText="1"/>
      <protection hidden="1"/>
    </xf>
    <xf numFmtId="0" fontId="77" fillId="0" borderId="1" xfId="11" applyFont="1" applyBorder="1" applyAlignment="1" applyProtection="1">
      <alignment horizontal="left" vertical="center"/>
      <protection hidden="1"/>
    </xf>
    <xf numFmtId="0" fontId="77" fillId="0" borderId="2" xfId="11" applyFont="1" applyBorder="1" applyAlignment="1" applyProtection="1">
      <alignment horizontal="left" vertical="center"/>
      <protection hidden="1"/>
    </xf>
    <xf numFmtId="0" fontId="77" fillId="0" borderId="0" xfId="11" applyFont="1" applyAlignment="1" applyProtection="1">
      <alignment horizontal="left" vertical="center"/>
      <protection hidden="1"/>
    </xf>
    <xf numFmtId="0" fontId="130" fillId="21" borderId="14" xfId="11" applyFont="1" applyFill="1" applyBorder="1" applyAlignment="1" applyProtection="1">
      <alignment horizontal="left" vertical="center"/>
      <protection hidden="1"/>
    </xf>
    <xf numFmtId="0" fontId="130" fillId="21" borderId="16" xfId="11" applyFont="1" applyFill="1" applyBorder="1" applyAlignment="1" applyProtection="1">
      <alignment horizontal="left" vertical="center"/>
      <protection hidden="1"/>
    </xf>
    <xf numFmtId="0" fontId="4" fillId="0" borderId="20" xfId="11" applyFont="1" applyBorder="1" applyAlignment="1" applyProtection="1">
      <alignment horizontal="left"/>
      <protection hidden="1"/>
    </xf>
    <xf numFmtId="0" fontId="4" fillId="0" borderId="7" xfId="11" applyFont="1" applyBorder="1" applyAlignment="1" applyProtection="1">
      <alignment horizontal="left"/>
      <protection hidden="1"/>
    </xf>
    <xf numFmtId="0" fontId="4" fillId="0" borderId="13" xfId="11" applyFont="1" applyBorder="1" applyAlignment="1" applyProtection="1">
      <alignment horizontal="left" vertical="center"/>
      <protection hidden="1"/>
    </xf>
    <xf numFmtId="0" fontId="4" fillId="0" borderId="6" xfId="11" applyFont="1" applyBorder="1" applyAlignment="1" applyProtection="1">
      <alignment horizontal="left" vertical="center"/>
      <protection hidden="1"/>
    </xf>
    <xf numFmtId="0" fontId="291" fillId="0" borderId="12" xfId="0" applyFont="1" applyBorder="1" applyAlignment="1" applyProtection="1">
      <alignment horizontal="left" vertical="center" wrapText="1"/>
      <protection hidden="1"/>
    </xf>
    <xf numFmtId="0" fontId="291" fillId="0" borderId="33" xfId="0" applyFont="1" applyBorder="1" applyAlignment="1" applyProtection="1">
      <alignment horizontal="left" vertical="center"/>
      <protection hidden="1"/>
    </xf>
    <xf numFmtId="0" fontId="291" fillId="0" borderId="34" xfId="0" applyFont="1" applyBorder="1" applyAlignment="1" applyProtection="1">
      <alignment horizontal="left" vertical="center"/>
      <protection hidden="1"/>
    </xf>
    <xf numFmtId="0" fontId="291" fillId="0" borderId="12" xfId="0" applyFont="1" applyBorder="1" applyAlignment="1">
      <alignment horizontal="left" vertical="center" wrapText="1"/>
    </xf>
    <xf numFmtId="0" fontId="310" fillId="0" borderId="12" xfId="0" applyFont="1" applyBorder="1" applyAlignment="1">
      <alignment horizontal="center" vertical="center" wrapText="1"/>
    </xf>
    <xf numFmtId="0" fontId="310" fillId="0" borderId="12" xfId="0" applyFont="1" applyBorder="1" applyAlignment="1">
      <alignment horizontal="left" vertical="center" wrapText="1"/>
    </xf>
    <xf numFmtId="0" fontId="307" fillId="0" borderId="12" xfId="0" applyFont="1" applyBorder="1" applyAlignment="1">
      <alignment horizontal="center" vertical="center" wrapText="1"/>
    </xf>
    <xf numFmtId="0" fontId="307" fillId="0" borderId="12" xfId="0" applyFont="1" applyBorder="1" applyAlignment="1">
      <alignment horizontal="left" vertical="center" wrapText="1"/>
    </xf>
    <xf numFmtId="0" fontId="309" fillId="0" borderId="12" xfId="0" applyFont="1" applyBorder="1" applyAlignment="1">
      <alignment horizontal="center" vertical="center" wrapText="1"/>
    </xf>
    <xf numFmtId="0" fontId="309" fillId="0" borderId="12" xfId="0" applyFont="1" applyBorder="1" applyAlignment="1">
      <alignment horizontal="left" vertical="center" wrapText="1"/>
    </xf>
    <xf numFmtId="0" fontId="291" fillId="0" borderId="12" xfId="0" applyFont="1" applyBorder="1" applyAlignment="1" applyProtection="1">
      <alignment horizontal="left" vertical="center"/>
      <protection hidden="1"/>
    </xf>
    <xf numFmtId="0" fontId="308" fillId="0" borderId="12" xfId="0" applyFont="1" applyBorder="1" applyAlignment="1">
      <alignment horizontal="center" vertical="center" wrapText="1"/>
    </xf>
    <xf numFmtId="0" fontId="308" fillId="0" borderId="12" xfId="0" applyFont="1" applyBorder="1" applyAlignment="1">
      <alignment horizontal="left" vertical="center" wrapText="1"/>
    </xf>
    <xf numFmtId="0" fontId="291" fillId="0" borderId="12" xfId="0" applyFont="1" applyBorder="1" applyAlignment="1">
      <alignment horizontal="center" vertical="center" wrapText="1"/>
    </xf>
    <xf numFmtId="0" fontId="291" fillId="0" borderId="12" xfId="0" applyFont="1" applyBorder="1" applyAlignment="1" applyProtection="1">
      <alignment horizontal="center" vertical="center"/>
      <protection hidden="1"/>
    </xf>
    <xf numFmtId="0" fontId="293" fillId="0" borderId="12" xfId="0" applyFont="1" applyBorder="1" applyAlignment="1" applyProtection="1">
      <alignment horizontal="center" vertical="center"/>
      <protection hidden="1"/>
    </xf>
    <xf numFmtId="0" fontId="308" fillId="0" borderId="12" xfId="0" applyFont="1" applyBorder="1" applyAlignment="1" applyProtection="1">
      <alignment horizontal="left" vertical="center"/>
      <protection hidden="1"/>
    </xf>
    <xf numFmtId="0" fontId="306" fillId="0" borderId="12" xfId="0" applyFont="1" applyBorder="1" applyAlignment="1">
      <alignment horizontal="center" vertical="center" wrapText="1"/>
    </xf>
    <xf numFmtId="0" fontId="306" fillId="0" borderId="12" xfId="0" applyFont="1" applyBorder="1" applyAlignment="1">
      <alignment horizontal="left" vertical="center" wrapText="1"/>
    </xf>
    <xf numFmtId="0" fontId="291" fillId="0" borderId="33" xfId="0" applyFont="1" applyBorder="1" applyAlignment="1" applyProtection="1">
      <alignment horizontal="left" vertical="center" wrapText="1"/>
      <protection hidden="1"/>
    </xf>
    <xf numFmtId="0" fontId="291" fillId="0" borderId="37" xfId="0" applyFont="1" applyBorder="1" applyAlignment="1" applyProtection="1">
      <alignment horizontal="left" vertical="center" wrapText="1"/>
      <protection hidden="1"/>
    </xf>
    <xf numFmtId="0" fontId="291" fillId="0" borderId="34" xfId="0" applyFont="1" applyBorder="1" applyAlignment="1" applyProtection="1">
      <alignment horizontal="left" vertical="center" wrapText="1"/>
      <protection hidden="1"/>
    </xf>
    <xf numFmtId="0" fontId="305" fillId="0" borderId="12" xfId="0" applyFont="1" applyBorder="1" applyAlignment="1">
      <alignment horizontal="center" vertical="center" wrapText="1"/>
    </xf>
    <xf numFmtId="0" fontId="305" fillId="0" borderId="12" xfId="0" applyFont="1" applyBorder="1" applyAlignment="1">
      <alignment horizontal="left" vertical="center" wrapText="1"/>
    </xf>
    <xf numFmtId="0" fontId="295" fillId="0" borderId="30" xfId="0" applyFont="1" applyBorder="1" applyAlignment="1" applyProtection="1">
      <alignment horizontal="left" vertical="center"/>
      <protection hidden="1"/>
    </xf>
    <xf numFmtId="0" fontId="295" fillId="0" borderId="26" xfId="0" applyFont="1" applyBorder="1" applyAlignment="1" applyProtection="1">
      <alignment horizontal="left" vertical="center"/>
      <protection hidden="1"/>
    </xf>
    <xf numFmtId="0" fontId="304" fillId="0" borderId="12" xfId="0" applyFont="1" applyBorder="1" applyAlignment="1">
      <alignment horizontal="center" vertical="center" wrapText="1"/>
    </xf>
    <xf numFmtId="0" fontId="304" fillId="0" borderId="12" xfId="0" applyFont="1" applyBorder="1" applyAlignment="1">
      <alignment horizontal="left" vertical="center" wrapText="1"/>
    </xf>
    <xf numFmtId="0" fontId="289" fillId="21" borderId="0" xfId="0" applyFont="1" applyFill="1" applyAlignment="1" applyProtection="1">
      <alignment horizontal="left" vertical="center"/>
      <protection hidden="1"/>
    </xf>
    <xf numFmtId="0" fontId="292" fillId="7" borderId="14" xfId="0" applyFont="1" applyFill="1" applyBorder="1" applyAlignment="1" applyProtection="1">
      <alignment horizontal="left" vertical="center"/>
      <protection hidden="1"/>
    </xf>
    <xf numFmtId="0" fontId="292" fillId="7" borderId="15" xfId="0" applyFont="1" applyFill="1" applyBorder="1" applyAlignment="1" applyProtection="1">
      <alignment horizontal="left" vertical="center"/>
      <protection hidden="1"/>
    </xf>
    <xf numFmtId="0" fontId="292" fillId="7" borderId="16" xfId="0" applyFont="1" applyFill="1" applyBorder="1" applyAlignment="1" applyProtection="1">
      <alignment horizontal="left" vertical="center"/>
      <protection hidden="1"/>
    </xf>
    <xf numFmtId="0" fontId="292" fillId="7" borderId="12" xfId="0" applyFont="1" applyFill="1" applyBorder="1" applyAlignment="1" applyProtection="1">
      <alignment horizontal="center" vertical="center"/>
      <protection hidden="1"/>
    </xf>
    <xf numFmtId="0" fontId="303" fillId="0" borderId="12" xfId="0" applyFont="1" applyBorder="1" applyAlignment="1">
      <alignment horizontal="center" vertical="center" wrapText="1"/>
    </xf>
    <xf numFmtId="0" fontId="303" fillId="0" borderId="12" xfId="0" applyFont="1" applyBorder="1" applyAlignment="1">
      <alignment horizontal="left" vertical="center" wrapText="1"/>
    </xf>
    <xf numFmtId="0" fontId="291" fillId="0" borderId="12" xfId="0" applyFont="1" applyBorder="1" applyAlignment="1">
      <alignment horizontal="left" vertical="top" wrapText="1"/>
    </xf>
    <xf numFmtId="0" fontId="302" fillId="0" borderId="12" xfId="0" applyFont="1" applyBorder="1" applyAlignment="1">
      <alignment horizontal="center" vertical="center" wrapText="1"/>
    </xf>
    <xf numFmtId="0" fontId="302" fillId="0" borderId="12" xfId="0" applyFont="1" applyBorder="1" applyAlignment="1">
      <alignment horizontal="left" vertical="center" wrapText="1"/>
    </xf>
    <xf numFmtId="0" fontId="130" fillId="21" borderId="0" xfId="0" applyFont="1" applyFill="1" applyAlignment="1" applyProtection="1">
      <alignment horizontal="left" vertical="center"/>
      <protection hidden="1"/>
    </xf>
    <xf numFmtId="0" fontId="58" fillId="0" borderId="2" xfId="0" applyFont="1" applyBorder="1" applyAlignment="1" applyProtection="1">
      <alignment horizontal="left" vertical="center"/>
      <protection hidden="1"/>
    </xf>
    <xf numFmtId="0" fontId="270" fillId="16" borderId="0" xfId="14" applyFont="1" applyFill="1" applyAlignment="1" applyProtection="1">
      <alignment horizontal="center" vertical="center" wrapText="1"/>
      <protection hidden="1"/>
    </xf>
    <xf numFmtId="0" fontId="270" fillId="16" borderId="2" xfId="14" applyFont="1" applyFill="1" applyBorder="1" applyAlignment="1" applyProtection="1">
      <alignment horizontal="center" vertical="center" wrapText="1"/>
      <protection hidden="1"/>
    </xf>
    <xf numFmtId="0" fontId="198" fillId="0" borderId="1" xfId="0" applyFont="1" applyBorder="1" applyAlignment="1" applyProtection="1">
      <alignment horizontal="left" vertical="top"/>
      <protection hidden="1"/>
    </xf>
    <xf numFmtId="0" fontId="131" fillId="7" borderId="14" xfId="19" applyFont="1" applyFill="1" applyBorder="1" applyAlignment="1" applyProtection="1">
      <alignment horizontal="left"/>
      <protection hidden="1"/>
    </xf>
    <xf numFmtId="0" fontId="131" fillId="7" borderId="15" xfId="19" applyFont="1" applyFill="1" applyBorder="1" applyAlignment="1" applyProtection="1">
      <alignment horizontal="left"/>
      <protection hidden="1"/>
    </xf>
    <xf numFmtId="0" fontId="131" fillId="7" borderId="16" xfId="19" applyFont="1" applyFill="1" applyBorder="1" applyAlignment="1" applyProtection="1">
      <alignment horizontal="left"/>
      <protection hidden="1"/>
    </xf>
    <xf numFmtId="0" fontId="38" fillId="0" borderId="18" xfId="19" applyFont="1" applyBorder="1" applyAlignment="1" applyProtection="1">
      <alignment horizontal="left"/>
      <protection hidden="1"/>
    </xf>
    <xf numFmtId="0" fontId="38" fillId="0" borderId="0" xfId="19" applyFont="1" applyAlignment="1" applyProtection="1">
      <alignment horizontal="left"/>
      <protection hidden="1"/>
    </xf>
    <xf numFmtId="0" fontId="38" fillId="0" borderId="19" xfId="19" applyFont="1" applyBorder="1" applyAlignment="1" applyProtection="1">
      <alignment horizontal="left"/>
      <protection hidden="1"/>
    </xf>
    <xf numFmtId="0" fontId="285" fillId="0" borderId="0" xfId="0" applyFont="1" applyBorder="1" applyAlignment="1" applyProtection="1">
      <alignment horizontal="left" vertical="top" wrapText="1"/>
      <protection hidden="1"/>
    </xf>
    <xf numFmtId="0" fontId="198" fillId="0" borderId="1" xfId="0" applyFont="1" applyBorder="1" applyAlignment="1" applyProtection="1">
      <alignment horizontal="left" vertical="top" wrapText="1"/>
      <protection hidden="1"/>
    </xf>
    <xf numFmtId="0" fontId="198" fillId="0" borderId="0" xfId="0" applyFont="1" applyBorder="1" applyAlignment="1" applyProtection="1">
      <alignment horizontal="left" vertical="top" wrapText="1"/>
      <protection hidden="1"/>
    </xf>
    <xf numFmtId="0" fontId="38" fillId="16" borderId="1" xfId="14" applyFont="1" applyFill="1" applyBorder="1" applyAlignment="1" applyProtection="1">
      <alignment horizontal="center" vertical="center" wrapText="1"/>
      <protection hidden="1"/>
    </xf>
    <xf numFmtId="0" fontId="38" fillId="16" borderId="6" xfId="14" applyFont="1" applyFill="1" applyBorder="1" applyAlignment="1" applyProtection="1">
      <alignment horizontal="center" vertical="center" wrapText="1"/>
      <protection hidden="1"/>
    </xf>
    <xf numFmtId="0" fontId="38" fillId="16" borderId="2" xfId="14" applyFont="1" applyFill="1" applyBorder="1" applyAlignment="1" applyProtection="1">
      <alignment horizontal="center" vertical="center" wrapText="1"/>
      <protection hidden="1"/>
    </xf>
    <xf numFmtId="0" fontId="38" fillId="16" borderId="7" xfId="14" applyFont="1" applyFill="1" applyBorder="1" applyAlignment="1" applyProtection="1">
      <alignment horizontal="center" vertical="center" wrapText="1"/>
      <protection hidden="1"/>
    </xf>
    <xf numFmtId="0" fontId="172" fillId="21" borderId="14" xfId="3" applyFont="1" applyFill="1" applyBorder="1" applyAlignment="1" applyProtection="1">
      <alignment horizontal="left" vertical="center"/>
      <protection hidden="1"/>
    </xf>
    <xf numFmtId="0" fontId="172" fillId="21" borderId="15" xfId="3" applyFont="1" applyFill="1" applyBorder="1" applyAlignment="1" applyProtection="1">
      <alignment horizontal="left" vertical="center"/>
      <protection hidden="1"/>
    </xf>
    <xf numFmtId="0" fontId="172" fillId="21" borderId="16" xfId="3" applyFont="1" applyFill="1" applyBorder="1" applyAlignment="1" applyProtection="1">
      <alignment horizontal="left" vertical="center"/>
      <protection hidden="1"/>
    </xf>
    <xf numFmtId="202" fontId="158" fillId="0" borderId="0" xfId="0" applyNumberFormat="1" applyFont="1" applyBorder="1" applyAlignment="1" applyProtection="1">
      <alignment horizontal="right" vertical="center"/>
      <protection hidden="1"/>
    </xf>
    <xf numFmtId="202" fontId="158" fillId="0" borderId="67" xfId="0" applyNumberFormat="1" applyFont="1" applyBorder="1" applyAlignment="1" applyProtection="1">
      <alignment horizontal="right" vertical="center"/>
      <protection hidden="1"/>
    </xf>
    <xf numFmtId="0" fontId="3" fillId="7" borderId="0" xfId="0" applyFont="1" applyFill="1" applyAlignment="1" applyProtection="1">
      <alignment horizontal="center" vertical="center"/>
      <protection hidden="1"/>
    </xf>
    <xf numFmtId="224" fontId="158" fillId="0" borderId="0" xfId="0" applyNumberFormat="1" applyFont="1" applyBorder="1" applyAlignment="1" applyProtection="1">
      <alignment horizontal="right" vertical="center"/>
      <protection hidden="1"/>
    </xf>
    <xf numFmtId="224" fontId="158" fillId="0" borderId="67" xfId="0" applyNumberFormat="1" applyFont="1" applyBorder="1" applyAlignment="1" applyProtection="1">
      <alignment horizontal="right" vertical="center"/>
      <protection hidden="1"/>
    </xf>
    <xf numFmtId="0" fontId="127" fillId="27" borderId="0" xfId="0" applyFont="1" applyFill="1" applyAlignment="1" applyProtection="1">
      <alignment horizontal="center" vertical="center"/>
      <protection hidden="1"/>
    </xf>
    <xf numFmtId="0" fontId="127" fillId="21" borderId="28" xfId="0" applyFont="1" applyFill="1" applyBorder="1" applyAlignment="1" applyProtection="1">
      <alignment horizontal="center" vertical="center" wrapText="1"/>
      <protection hidden="1"/>
    </xf>
    <xf numFmtId="0" fontId="127" fillId="21" borderId="29" xfId="0" applyFont="1" applyFill="1" applyBorder="1" applyAlignment="1" applyProtection="1">
      <alignment horizontal="center" vertical="center"/>
      <protection hidden="1"/>
    </xf>
    <xf numFmtId="0" fontId="126" fillId="0" borderId="0" xfId="0" applyFont="1" applyBorder="1" applyAlignment="1" applyProtection="1">
      <alignment horizontal="center" vertical="center"/>
      <protection hidden="1"/>
    </xf>
    <xf numFmtId="0" fontId="127" fillId="7" borderId="28" xfId="0" applyFont="1" applyFill="1" applyBorder="1" applyAlignment="1" applyProtection="1">
      <alignment horizontal="center" vertical="center" wrapText="1"/>
      <protection hidden="1"/>
    </xf>
    <xf numFmtId="0" fontId="127" fillId="7" borderId="29" xfId="0" applyFont="1" applyFill="1" applyBorder="1" applyAlignment="1" applyProtection="1">
      <alignment horizontal="center" vertical="center" wrapText="1"/>
      <protection hidden="1"/>
    </xf>
    <xf numFmtId="0" fontId="127" fillId="7" borderId="29" xfId="0" applyFont="1" applyFill="1" applyBorder="1" applyAlignment="1" applyProtection="1">
      <alignment horizontal="center" vertical="center"/>
      <protection hidden="1"/>
    </xf>
    <xf numFmtId="202" fontId="127" fillId="23" borderId="6" xfId="0" applyNumberFormat="1" applyFont="1" applyFill="1" applyBorder="1" applyAlignment="1" applyProtection="1">
      <alignment horizontal="center" vertical="center"/>
      <protection hidden="1"/>
    </xf>
    <xf numFmtId="202" fontId="127" fillId="23" borderId="7" xfId="0" applyNumberFormat="1" applyFont="1" applyFill="1" applyBorder="1" applyAlignment="1" applyProtection="1">
      <alignment horizontal="center" vertical="center"/>
      <protection hidden="1"/>
    </xf>
    <xf numFmtId="0" fontId="91" fillId="0" borderId="0" xfId="0" applyFont="1" applyBorder="1" applyAlignment="1" applyProtection="1">
      <alignment horizontal="left" vertical="center" wrapText="1"/>
      <protection hidden="1"/>
    </xf>
    <xf numFmtId="0" fontId="242" fillId="0" borderId="0" xfId="0" applyFont="1" applyBorder="1" applyAlignment="1" applyProtection="1">
      <alignment horizontal="left" vertical="center"/>
      <protection hidden="1"/>
    </xf>
    <xf numFmtId="0" fontId="240" fillId="0" borderId="0" xfId="0" applyFont="1" applyBorder="1" applyAlignment="1" applyProtection="1">
      <alignment horizontal="right" vertical="center"/>
      <protection hidden="1"/>
    </xf>
    <xf numFmtId="0" fontId="240" fillId="0" borderId="19" xfId="0" applyFont="1" applyBorder="1" applyAlignment="1" applyProtection="1">
      <alignment horizontal="right" vertical="center"/>
      <protection hidden="1"/>
    </xf>
    <xf numFmtId="0" fontId="241" fillId="0" borderId="33" xfId="0" applyFont="1" applyBorder="1" applyAlignment="1" applyProtection="1">
      <alignment horizontal="center" vertical="center"/>
      <protection hidden="1"/>
    </xf>
    <xf numFmtId="0" fontId="241" fillId="0" borderId="34" xfId="0" applyFont="1" applyBorder="1" applyAlignment="1" applyProtection="1">
      <alignment horizontal="center" vertical="center"/>
      <protection hidden="1"/>
    </xf>
    <xf numFmtId="0" fontId="89" fillId="0" borderId="18" xfId="11" applyFont="1" applyBorder="1" applyAlignment="1" applyProtection="1">
      <alignment horizontal="left" vertical="center"/>
      <protection hidden="1"/>
    </xf>
    <xf numFmtId="0" fontId="89" fillId="0" borderId="0" xfId="11" applyFont="1" applyAlignment="1" applyProtection="1">
      <alignment horizontal="left" vertical="center"/>
      <protection hidden="1"/>
    </xf>
    <xf numFmtId="0" fontId="89" fillId="0" borderId="19" xfId="11" applyFont="1" applyBorder="1" applyAlignment="1" applyProtection="1">
      <alignment horizontal="left" vertical="center"/>
      <protection hidden="1"/>
    </xf>
    <xf numFmtId="0" fontId="208" fillId="21" borderId="0" xfId="14" applyFont="1" applyFill="1" applyAlignment="1" applyProtection="1">
      <alignment horizontal="left" vertical="center"/>
      <protection hidden="1"/>
    </xf>
    <xf numFmtId="0" fontId="162" fillId="0" borderId="0" xfId="11" applyFont="1" applyAlignment="1" applyProtection="1">
      <alignment horizontal="left"/>
      <protection hidden="1"/>
    </xf>
    <xf numFmtId="0" fontId="81" fillId="7" borderId="12" xfId="11" applyFont="1" applyFill="1" applyBorder="1" applyAlignment="1" applyProtection="1">
      <alignment horizontal="center" vertical="center" wrapText="1"/>
      <protection hidden="1"/>
    </xf>
    <xf numFmtId="0" fontId="81" fillId="7" borderId="12" xfId="11" applyFont="1" applyFill="1" applyBorder="1" applyAlignment="1" applyProtection="1">
      <alignment horizontal="center"/>
      <protection hidden="1"/>
    </xf>
    <xf numFmtId="0" fontId="89" fillId="31" borderId="12" xfId="11" applyFont="1" applyFill="1" applyBorder="1" applyAlignment="1" applyProtection="1">
      <alignment horizontal="center" wrapText="1"/>
      <protection hidden="1"/>
    </xf>
    <xf numFmtId="0" fontId="89" fillId="32" borderId="12" xfId="11" applyFont="1" applyFill="1" applyBorder="1" applyAlignment="1" applyProtection="1">
      <alignment horizontal="center" wrapText="1"/>
      <protection hidden="1"/>
    </xf>
    <xf numFmtId="0" fontId="0" fillId="0" borderId="33" xfId="0" applyBorder="1" applyAlignment="1">
      <alignment horizontal="left" vertical="center"/>
    </xf>
    <xf numFmtId="0" fontId="0" fillId="0" borderId="34" xfId="0" applyBorder="1" applyAlignment="1">
      <alignment horizontal="left" vertical="center"/>
    </xf>
    <xf numFmtId="0" fontId="38" fillId="0" borderId="32" xfId="11" applyFont="1" applyBorder="1" applyAlignment="1">
      <alignment horizontal="left" vertical="center" wrapText="1"/>
    </xf>
    <xf numFmtId="0" fontId="38" fillId="0" borderId="45" xfId="11" applyFont="1" applyBorder="1" applyAlignment="1">
      <alignment horizontal="left" vertical="center" wrapText="1"/>
    </xf>
    <xf numFmtId="0" fontId="38" fillId="0" borderId="17" xfId="11" applyFont="1" applyBorder="1" applyAlignment="1">
      <alignment horizontal="left" vertical="center" wrapText="1"/>
    </xf>
    <xf numFmtId="0" fontId="245" fillId="0" borderId="0" xfId="11" applyFont="1" applyAlignment="1">
      <alignment horizontal="left" vertical="center"/>
    </xf>
  </cellXfs>
  <cellStyles count="20">
    <cellStyle name="Hyperlink 2" xfId="12" xr:uid="{00000000-0005-0000-0000-000002000000}"/>
    <cellStyle name="Normal 2" xfId="9" xr:uid="{00000000-0005-0000-0000-000004000000}"/>
    <cellStyle name="Normal 3" xfId="11" xr:uid="{00000000-0005-0000-0000-000005000000}"/>
    <cellStyle name="Normal 4" xfId="14" xr:uid="{00000000-0005-0000-0000-000006000000}"/>
    <cellStyle name="Normal 5" xfId="17" xr:uid="{00000000-0005-0000-0000-000007000000}"/>
    <cellStyle name="Normal_00_MALDIVES" xfId="1" xr:uid="{00000000-0005-0000-0000-000008000000}"/>
    <cellStyle name="Normal_04_Electronic Psy Chart" xfId="2" xr:uid="{00000000-0005-0000-0000-000009000000}"/>
    <cellStyle name="Normal_20080523 Guilin Kitchen Ventilation Calculation" xfId="3" xr:uid="{00000000-0005-0000-0000-00000A000000}"/>
    <cellStyle name="Normal_20081118 Guilin minimum insulation for CDP" xfId="19" xr:uid="{00000000-0005-0000-0000-00000B000000}"/>
    <cellStyle name="Normal_Book1" xfId="4" xr:uid="{00000000-0005-0000-0000-00000C000000}"/>
    <cellStyle name="Normal_Book1 2" xfId="18" xr:uid="{00000000-0005-0000-0000-00000D000000}"/>
    <cellStyle name="Normal_Electronic Psy Chart" xfId="5" xr:uid="{00000000-0005-0000-0000-00000E000000}"/>
    <cellStyle name="Normal_Pipe sizing1_Pipe sizing" xfId="6" xr:uid="{00000000-0005-0000-0000-00000F000000}"/>
    <cellStyle name="Normal_Steam pipe sizing - Benjamin" xfId="7" xr:uid="{00000000-0005-0000-0000-000010000000}"/>
    <cellStyle name="Percent 2" xfId="15" xr:uid="{00000000-0005-0000-0000-000012000000}"/>
    <cellStyle name="一般" xfId="0" builtinId="0"/>
    <cellStyle name="千分位" xfId="13" builtinId="3"/>
    <cellStyle name="百分比" xfId="8" builtinId="5"/>
    <cellStyle name="常规_暖通清单" xfId="16" xr:uid="{00000000-0005-0000-0000-000014000000}"/>
    <cellStyle name="超連結" xfId="10" builtinId="8"/>
  </cellStyles>
  <dxfs count="127">
    <dxf>
      <font>
        <b/>
        <i val="0"/>
        <color theme="0"/>
      </font>
      <fill>
        <patternFill>
          <bgColor rgb="FFFF0000"/>
        </patternFill>
      </fill>
    </dxf>
    <dxf>
      <font>
        <b/>
        <i val="0"/>
        <color rgb="FFFF00FF"/>
      </font>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7030A0"/>
      </font>
      <fill>
        <patternFill patternType="solid">
          <bgColor theme="6" tint="0.59996337778862885"/>
        </patternFill>
      </fill>
    </dxf>
    <dxf>
      <font>
        <b/>
        <i val="0"/>
        <color rgb="FF0000FF"/>
      </font>
      <fill>
        <patternFill>
          <bgColor theme="6" tint="0.59996337778862885"/>
        </patternFill>
      </fill>
    </dxf>
    <dxf>
      <font>
        <b/>
        <i val="0"/>
        <color rgb="FF7030A0"/>
      </font>
      <fill>
        <patternFill patternType="solid">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condense val="0"/>
        <extend val="0"/>
        <color indexed="12"/>
      </font>
    </dxf>
    <dxf>
      <font>
        <condense val="0"/>
        <extend val="0"/>
        <color indexed="12"/>
      </font>
    </dxf>
    <dxf>
      <font>
        <b/>
        <i val="0"/>
        <color theme="0"/>
      </font>
      <fill>
        <patternFill>
          <bgColor rgb="FF00B0F0"/>
        </patternFill>
      </fill>
    </dxf>
    <dxf>
      <font>
        <b/>
        <i val="0"/>
        <color theme="0"/>
      </font>
      <fill>
        <patternFill>
          <bgColor rgb="FF0000FF"/>
        </patternFill>
      </fill>
    </dxf>
    <dxf>
      <font>
        <b/>
        <i val="0"/>
        <color theme="0"/>
      </font>
      <fill>
        <patternFill>
          <bgColor rgb="FFFF0000"/>
        </patternFill>
      </fill>
    </dxf>
    <dxf>
      <font>
        <b/>
        <i val="0"/>
        <color theme="0"/>
      </font>
      <fill>
        <patternFill>
          <bgColor rgb="FF7030A0"/>
        </patternFill>
      </fill>
    </dxf>
    <dxf>
      <font>
        <b/>
        <i val="0"/>
        <color rgb="FFFF00FF"/>
      </font>
    </dxf>
    <dxf>
      <font>
        <b/>
        <i val="0"/>
        <color rgb="FFFF00FF"/>
      </font>
    </dxf>
    <dxf>
      <font>
        <b/>
        <i val="0"/>
        <color rgb="FFFF00FF"/>
      </font>
    </dxf>
    <dxf>
      <font>
        <b/>
        <i val="0"/>
        <color rgb="FFFF00FF"/>
      </font>
    </dxf>
    <dxf>
      <font>
        <b/>
        <i val="0"/>
        <color rgb="FFFF00FF"/>
      </font>
    </dxf>
    <dxf>
      <font>
        <b/>
        <i val="0"/>
        <color theme="0"/>
      </font>
      <fill>
        <patternFill>
          <bgColor rgb="FF7030A0"/>
        </patternFill>
      </fill>
    </dxf>
    <dxf>
      <font>
        <b/>
        <i val="0"/>
        <color rgb="FF008000"/>
      </font>
      <fill>
        <patternFill>
          <bgColor theme="6" tint="0.39994506668294322"/>
        </patternFill>
      </fill>
    </dxf>
    <dxf>
      <font>
        <b/>
        <i val="0"/>
        <color rgb="FFFF0000"/>
      </font>
      <fill>
        <patternFill patternType="none">
          <bgColor auto="1"/>
        </patternFill>
      </fill>
    </dxf>
    <dxf>
      <font>
        <b/>
        <i val="0"/>
        <color rgb="FFFF00FF"/>
      </font>
      <fill>
        <patternFill>
          <bgColor rgb="FFFFFF00"/>
        </patternFill>
      </fill>
    </dxf>
    <dxf>
      <font>
        <b val="0"/>
        <i val="0"/>
        <color rgb="FF0000FF"/>
      </font>
      <fill>
        <patternFill>
          <bgColor rgb="FFFFFF00"/>
        </patternFill>
      </fill>
    </dxf>
    <dxf>
      <font>
        <b/>
        <i val="0"/>
        <color rgb="FF0000FF"/>
      </font>
      <fill>
        <patternFill>
          <bgColor rgb="FFFFFF00"/>
        </patternFill>
      </fill>
    </dxf>
    <dxf>
      <font>
        <color rgb="FF0000FF"/>
      </font>
      <fill>
        <patternFill>
          <bgColor rgb="FFFFFF00"/>
        </patternFill>
      </fill>
    </dxf>
    <dxf>
      <font>
        <color theme="0"/>
      </font>
      <fill>
        <patternFill patternType="none">
          <bgColor auto="1"/>
        </patternFill>
      </fill>
      <border>
        <left/>
        <right/>
        <top/>
        <bottom/>
        <vertical/>
        <horizontal/>
      </border>
    </dxf>
    <dxf>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border>
        <left/>
        <right/>
        <top style="thin">
          <color auto="1"/>
        </top>
        <bottom/>
        <vertical/>
        <horizontal/>
      </border>
    </dxf>
    <dxf>
      <font>
        <b/>
        <i val="0"/>
        <strike/>
        <color rgb="FFFF00FF"/>
      </font>
    </dxf>
    <dxf>
      <font>
        <strike/>
      </font>
    </dxf>
    <dxf>
      <font>
        <color theme="0"/>
      </font>
      <fill>
        <patternFill patternType="none">
          <bgColor auto="1"/>
        </patternFill>
      </fill>
      <border>
        <left/>
        <right/>
        <top style="thin">
          <color auto="1"/>
        </top>
        <bottom style="thin">
          <color auto="1"/>
        </bottom>
      </border>
    </dxf>
    <dxf>
      <font>
        <b/>
        <i val="0"/>
        <color auto="1"/>
      </font>
      <fill>
        <patternFill>
          <bgColor rgb="FFFFFF00"/>
        </patternFill>
      </fill>
    </dxf>
    <dxf>
      <font>
        <b/>
        <i val="0"/>
        <color theme="0"/>
      </font>
      <fill>
        <patternFill>
          <bgColor rgb="FFFF0000"/>
        </patternFill>
      </fill>
    </dxf>
    <dxf>
      <font>
        <b/>
        <i val="0"/>
        <color theme="0"/>
      </font>
      <fill>
        <patternFill>
          <bgColor rgb="FF009900"/>
        </patternFill>
      </fill>
    </dxf>
    <dxf>
      <font>
        <color theme="0"/>
      </font>
      <fill>
        <patternFill>
          <bgColor theme="0"/>
        </patternFill>
      </fill>
    </dxf>
    <dxf>
      <font>
        <color theme="0"/>
      </font>
      <fill>
        <patternFill patternType="none">
          <bgColor auto="1"/>
        </patternFill>
      </fill>
    </dxf>
    <dxf>
      <font>
        <strike/>
      </font>
    </dxf>
    <dxf>
      <font>
        <strike/>
      </font>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b/>
        <i val="0"/>
        <color theme="0"/>
      </font>
      <fill>
        <patternFill>
          <bgColor rgb="FF0000FF"/>
        </patternFill>
      </fill>
    </dxf>
    <dxf>
      <font>
        <b/>
        <i val="0"/>
        <color theme="0"/>
      </font>
      <fill>
        <patternFill>
          <bgColor rgb="FFFF0000"/>
        </patternFill>
      </fill>
    </dxf>
    <dxf>
      <font>
        <b/>
        <i val="0"/>
        <color theme="0"/>
      </font>
      <fill>
        <patternFill>
          <bgColor rgb="FF7030A0"/>
        </patternFill>
      </fill>
    </dxf>
    <dxf>
      <font>
        <condense val="0"/>
        <extend val="0"/>
        <color indexed="12"/>
      </font>
    </dxf>
    <dxf>
      <font>
        <condense val="0"/>
        <extend val="0"/>
        <color indexed="12"/>
      </font>
    </dxf>
    <dxf>
      <font>
        <condense val="0"/>
        <extend val="0"/>
        <color indexed="12"/>
      </font>
    </dxf>
    <dxf>
      <font>
        <condense val="0"/>
        <extend val="0"/>
        <color indexed="12"/>
      </font>
    </dxf>
    <dxf>
      <font>
        <color theme="0"/>
      </font>
      <fill>
        <patternFill>
          <bgColor theme="0"/>
        </patternFill>
      </fill>
    </dxf>
    <dxf>
      <font>
        <color theme="0"/>
      </font>
      <fill>
        <patternFill>
          <bgColor theme="0"/>
        </patternFill>
      </fill>
    </dxf>
    <dxf>
      <font>
        <color theme="0"/>
      </font>
      <fill>
        <patternFill>
          <bgColor theme="0"/>
        </patternFill>
      </fill>
    </dxf>
    <dxf>
      <font>
        <b val="0"/>
        <i val="0"/>
        <color auto="1"/>
      </font>
      <fill>
        <patternFill>
          <bgColor theme="4" tint="0.59996337778862885"/>
        </patternFill>
      </fill>
    </dxf>
    <dxf>
      <font>
        <b/>
        <i val="0"/>
        <color theme="0"/>
      </font>
      <fill>
        <patternFill>
          <bgColor rgb="FFFFC0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val="0"/>
        <color theme="0"/>
      </font>
      <fill>
        <patternFill>
          <bgColor rgb="FFFF0000"/>
        </patternFill>
      </fill>
    </dxf>
    <dxf>
      <font>
        <color theme="0"/>
      </font>
      <fill>
        <patternFill>
          <bgColor theme="0"/>
        </patternFill>
      </fill>
      <border>
        <left/>
        <right/>
        <top/>
      </border>
    </dxf>
    <dxf>
      <font>
        <color theme="0"/>
      </font>
      <fill>
        <patternFill>
          <bgColor theme="0"/>
        </patternFill>
      </fill>
      <border>
        <left/>
        <right/>
      </border>
    </dxf>
    <dxf>
      <font>
        <color theme="0"/>
      </font>
      <fill>
        <patternFill>
          <bgColor theme="0"/>
        </patternFill>
      </fill>
      <border>
        <left/>
        <right/>
        <top/>
        <bottom/>
      </border>
    </dxf>
    <dxf>
      <font>
        <color theme="0"/>
      </font>
      <fill>
        <patternFill>
          <bgColor theme="0"/>
        </patternFill>
      </fill>
      <border>
        <left/>
        <right/>
        <top style="thin">
          <color auto="1"/>
        </top>
        <bottom/>
      </border>
    </dxf>
    <dxf>
      <font>
        <strike/>
      </font>
    </dxf>
    <dxf>
      <font>
        <strike/>
      </font>
    </dxf>
    <dxf>
      <font>
        <strike/>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b val="0"/>
        <i val="0"/>
        <color theme="0"/>
      </font>
      <fill>
        <patternFill>
          <bgColor theme="5" tint="0.39994506668294322"/>
        </patternFill>
      </fill>
    </dxf>
    <dxf>
      <font>
        <color theme="0"/>
      </font>
    </dxf>
    <dxf>
      <font>
        <color theme="0"/>
      </font>
    </dxf>
    <dxf>
      <font>
        <color theme="0"/>
      </font>
    </dxf>
    <dxf>
      <font>
        <color theme="0"/>
      </font>
      <fill>
        <patternFill>
          <bgColor theme="0"/>
        </patternFill>
      </fill>
    </dxf>
    <dxf>
      <font>
        <color theme="0"/>
      </font>
      <fill>
        <patternFill>
          <bgColor theme="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color theme="0"/>
      </font>
      <fill>
        <patternFill>
          <bgColor theme="0"/>
        </patternFill>
      </fill>
    </dxf>
    <dxf>
      <font>
        <color theme="0"/>
      </font>
      <fill>
        <patternFill>
          <bgColor theme="0"/>
        </patternFill>
      </fill>
    </dxf>
    <dxf>
      <font>
        <b/>
        <i val="0"/>
        <color theme="0"/>
      </font>
      <fill>
        <patternFill>
          <bgColor theme="5" tint="0.39994506668294322"/>
        </patternFill>
      </fill>
    </dxf>
    <dxf>
      <font>
        <b/>
        <i val="0"/>
        <condense val="0"/>
        <extend val="0"/>
        <color indexed="9"/>
      </font>
      <fill>
        <patternFill>
          <bgColor indexed="10"/>
        </patternFill>
      </fill>
    </dxf>
    <dxf>
      <font>
        <color theme="0"/>
      </font>
      <fill>
        <patternFill>
          <bgColor theme="0"/>
        </patternFill>
      </fill>
    </dxf>
    <dxf>
      <font>
        <b val="0"/>
        <i val="0"/>
        <color theme="0"/>
      </font>
      <fill>
        <patternFill>
          <bgColor theme="5" tint="0.39994506668294322"/>
        </patternFill>
      </fill>
    </dxf>
    <dxf>
      <font>
        <b/>
        <i val="0"/>
        <condense val="0"/>
        <extend val="0"/>
        <color indexed="9"/>
      </font>
      <fill>
        <patternFill>
          <bgColor indexed="10"/>
        </patternFill>
      </fill>
    </dxf>
    <dxf>
      <font>
        <b val="0"/>
        <i val="0"/>
        <color theme="0"/>
      </font>
      <fill>
        <patternFill>
          <bgColor rgb="FF0070C0"/>
        </patternFill>
      </fill>
    </dxf>
    <dxf>
      <font>
        <b val="0"/>
        <i val="0"/>
        <color theme="0"/>
      </font>
      <fill>
        <patternFill>
          <bgColor theme="5" tint="0.39994506668294322"/>
        </patternFill>
      </fill>
    </dxf>
    <dxf>
      <font>
        <color theme="0"/>
      </font>
      <fill>
        <patternFill>
          <bgColor theme="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lor rgb="FFFF9933"/>
      </font>
    </dxf>
    <dxf>
      <font>
        <b/>
        <i val="0"/>
        <color rgb="FFFF9933"/>
      </font>
    </dxf>
    <dxf>
      <font>
        <b/>
        <i val="0"/>
        <color rgb="FFFF9933"/>
      </font>
    </dxf>
    <dxf>
      <font>
        <b/>
        <i val="0"/>
        <color rgb="FFFF00FF"/>
      </font>
    </dxf>
    <dxf>
      <font>
        <b/>
        <i val="0"/>
        <condense val="0"/>
        <extend val="0"/>
        <color indexed="9"/>
      </font>
      <fill>
        <patternFill>
          <bgColor indexed="10"/>
        </patternFill>
      </fill>
    </dxf>
    <dxf>
      <font>
        <b/>
        <i val="0"/>
        <color theme="0"/>
      </font>
      <fill>
        <patternFill>
          <bgColor rgb="FF0000FF"/>
        </patternFill>
      </fill>
    </dxf>
    <dxf>
      <font>
        <b/>
        <i val="0"/>
        <color theme="0"/>
      </font>
      <fill>
        <patternFill>
          <bgColor rgb="FFFF0000"/>
        </patternFill>
      </fill>
    </dxf>
    <dxf>
      <font>
        <b/>
        <i val="0"/>
        <color theme="0"/>
      </font>
      <fill>
        <patternFill>
          <bgColor rgb="FF7030A0"/>
        </patternFill>
      </fill>
    </dxf>
    <dxf>
      <font>
        <color auto="1"/>
      </font>
      <fill>
        <patternFill>
          <bgColor theme="4" tint="0.59996337778862885"/>
        </patternFill>
      </fill>
      <border>
        <left style="thin">
          <color auto="1"/>
        </left>
        <right style="thin">
          <color auto="1"/>
        </right>
        <top style="thin">
          <color auto="1"/>
        </top>
        <bottom style="thin">
          <color auto="1"/>
        </bottom>
      </border>
    </dxf>
    <dxf>
      <font>
        <condense val="0"/>
        <extend val="0"/>
        <color indexed="12"/>
      </font>
    </dxf>
    <dxf>
      <font>
        <condense val="0"/>
        <extend val="0"/>
        <color indexed="12"/>
      </font>
    </dxf>
    <dxf>
      <font>
        <b/>
        <i val="0"/>
        <color theme="0"/>
      </font>
      <fill>
        <patternFill>
          <bgColor rgb="FF00B0F0"/>
        </patternFill>
      </fill>
    </dxf>
    <dxf>
      <font>
        <condense val="0"/>
        <extend val="0"/>
        <color indexed="12"/>
      </font>
    </dxf>
    <dxf>
      <font>
        <condense val="0"/>
        <extend val="0"/>
        <color indexed="12"/>
      </font>
    </dxf>
    <dxf>
      <font>
        <condense val="0"/>
        <extend val="0"/>
        <color indexed="12"/>
      </font>
    </dxf>
    <dxf>
      <font>
        <condense val="0"/>
        <extend val="0"/>
        <color indexed="12"/>
      </font>
    </dxf>
    <dxf>
      <font>
        <condense val="0"/>
        <extend val="0"/>
        <color indexed="12"/>
      </font>
    </dxf>
  </dxfs>
  <tableStyles count="0" defaultTableStyle="TableStyleMedium2" defaultPivotStyle="PivotStyleLight16"/>
  <colors>
    <mruColors>
      <color rgb="FFFF9933"/>
      <color rgb="FF781DFF"/>
      <color rgb="FFFF00FF"/>
      <color rgb="FF0000FF"/>
      <color rgb="FF008000"/>
      <color rgb="FF669900"/>
      <color rgb="FF3333FF"/>
      <color rgb="FF6600FF"/>
      <color rgb="FF009900"/>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800687285223365E-2"/>
          <c:y val="5.0574730952930025E-2"/>
          <c:w val="0.92096219931271472"/>
          <c:h val="0.90250553081927087"/>
        </c:manualLayout>
      </c:layout>
      <c:scatterChart>
        <c:scatterStyle val="lineMarker"/>
        <c:varyColors val="0"/>
        <c:ser>
          <c:idx val="0"/>
          <c:order val="0"/>
          <c:tx>
            <c:strRef>
              <c:f>Coil!$BC$36</c:f>
              <c:strCache>
                <c:ptCount val="1"/>
                <c:pt idx="0">
                  <c:v>O</c:v>
                </c:pt>
              </c:strCache>
            </c:strRef>
          </c:tx>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trendlineType val="linear"/>
            <c:dispRSqr val="0"/>
            <c:dispEq val="0"/>
          </c:trendline>
          <c:xVal>
            <c:numRef>
              <c:f>Coil!$BD$36</c:f>
              <c:numCache>
                <c:formatCode>0.0</c:formatCode>
                <c:ptCount val="1"/>
                <c:pt idx="0">
                  <c:v>35</c:v>
                </c:pt>
              </c:numCache>
            </c:numRef>
          </c:xVal>
          <c:yVal>
            <c:numRef>
              <c:f>Coil!$BE$36</c:f>
              <c:numCache>
                <c:formatCode>0.0000</c:formatCode>
                <c:ptCount val="1"/>
                <c:pt idx="0">
                  <c:v>2.1131965752076085E-2</c:v>
                </c:pt>
              </c:numCache>
            </c:numRef>
          </c:yVal>
          <c:smooth val="0"/>
          <c:extLst>
            <c:ext xmlns:c16="http://schemas.microsoft.com/office/drawing/2014/chart" uri="{C3380CC4-5D6E-409C-BE32-E72D297353CC}">
              <c16:uniqueId val="{00000001-09DF-4AF7-A01D-B5C15469D190}"/>
            </c:ext>
          </c:extLst>
        </c:ser>
        <c:ser>
          <c:idx val="2"/>
          <c:order val="1"/>
          <c:tx>
            <c:strRef>
              <c:f>Coil!$BC$37</c:f>
              <c:strCache>
                <c:ptCount val="1"/>
                <c:pt idx="0">
                  <c:v>S1</c:v>
                </c:pt>
              </c:strCache>
            </c:strRef>
          </c:tx>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trendlineType val="linear"/>
            <c:dispRSqr val="0"/>
            <c:dispEq val="0"/>
          </c:trendline>
          <c:xVal>
            <c:numRef>
              <c:f>Coil!$BD$37</c:f>
              <c:numCache>
                <c:formatCode>0.0</c:formatCode>
                <c:ptCount val="1"/>
                <c:pt idx="0">
                  <c:v>13</c:v>
                </c:pt>
              </c:numCache>
            </c:numRef>
          </c:xVal>
          <c:yVal>
            <c:numRef>
              <c:f>Coil!$BE$37</c:f>
              <c:numCache>
                <c:formatCode>0.0000</c:formatCode>
                <c:ptCount val="1"/>
                <c:pt idx="0">
                  <c:v>8.85895440377126E-3</c:v>
                </c:pt>
              </c:numCache>
            </c:numRef>
          </c:yVal>
          <c:smooth val="0"/>
          <c:extLst>
            <c:ext xmlns:c16="http://schemas.microsoft.com/office/drawing/2014/chart" uri="{C3380CC4-5D6E-409C-BE32-E72D297353CC}">
              <c16:uniqueId val="{00000003-09DF-4AF7-A01D-B5C15469D190}"/>
            </c:ext>
          </c:extLst>
        </c:ser>
        <c:ser>
          <c:idx val="1"/>
          <c:order val="2"/>
          <c:tx>
            <c:v>O-S</c:v>
          </c:tx>
          <c:spPr>
            <a:ln w="19050"/>
          </c:spPr>
          <c:marker>
            <c:symbol val="none"/>
          </c:marker>
          <c:dPt>
            <c:idx val="1"/>
            <c:bubble3D val="0"/>
            <c:spPr>
              <a:ln w="19050">
                <a:solidFill>
                  <a:srgbClr val="0000FF"/>
                </a:solidFill>
              </a:ln>
            </c:spPr>
            <c:extLst>
              <c:ext xmlns:c16="http://schemas.microsoft.com/office/drawing/2014/chart" uri="{C3380CC4-5D6E-409C-BE32-E72D297353CC}">
                <c16:uniqueId val="{00000005-09DF-4AF7-A01D-B5C15469D190}"/>
              </c:ext>
            </c:extLst>
          </c:dPt>
          <c:xVal>
            <c:numRef>
              <c:f>(Coil!$BD$36,Coil!$BD$37)</c:f>
              <c:numCache>
                <c:formatCode>0.0</c:formatCode>
                <c:ptCount val="2"/>
                <c:pt idx="0">
                  <c:v>35</c:v>
                </c:pt>
                <c:pt idx="1">
                  <c:v>13</c:v>
                </c:pt>
              </c:numCache>
            </c:numRef>
          </c:xVal>
          <c:yVal>
            <c:numRef>
              <c:f>(Coil!$BE$36,Coil!$BE$37)</c:f>
              <c:numCache>
                <c:formatCode>0.0000</c:formatCode>
                <c:ptCount val="2"/>
                <c:pt idx="0">
                  <c:v>2.1131965752076085E-2</c:v>
                </c:pt>
                <c:pt idx="1">
                  <c:v>8.85895440377126E-3</c:v>
                </c:pt>
              </c:numCache>
            </c:numRef>
          </c:yVal>
          <c:smooth val="0"/>
          <c:extLst>
            <c:ext xmlns:c16="http://schemas.microsoft.com/office/drawing/2014/chart" uri="{C3380CC4-5D6E-409C-BE32-E72D297353CC}">
              <c16:uniqueId val="{00000006-09DF-4AF7-A01D-B5C15469D190}"/>
            </c:ext>
          </c:extLst>
        </c:ser>
        <c:dLbls>
          <c:showLegendKey val="0"/>
          <c:showVal val="0"/>
          <c:showCatName val="0"/>
          <c:showSerName val="0"/>
          <c:showPercent val="0"/>
          <c:showBubbleSize val="0"/>
        </c:dLbls>
        <c:axId val="145400960"/>
        <c:axId val="145402880"/>
      </c:scatterChart>
      <c:valAx>
        <c:axId val="145400960"/>
        <c:scaling>
          <c:orientation val="minMax"/>
        </c:scaling>
        <c:delete val="1"/>
        <c:axPos val="b"/>
        <c:majorGridlines/>
        <c:minorGridlines/>
        <c:title>
          <c:tx>
            <c:rich>
              <a:bodyPr/>
              <a:lstStyle/>
              <a:p>
                <a:pPr>
                  <a:defRPr/>
                </a:pPr>
                <a:endParaRPr lang="en-US"/>
              </a:p>
            </c:rich>
          </c:tx>
          <c:overlay val="0"/>
        </c:title>
        <c:numFmt formatCode="0.0" sourceLinked="1"/>
        <c:majorTickMark val="out"/>
        <c:minorTickMark val="none"/>
        <c:tickLblPos val="nextTo"/>
        <c:crossAx val="145402880"/>
        <c:crosses val="autoZero"/>
        <c:crossBetween val="midCat"/>
      </c:valAx>
      <c:valAx>
        <c:axId val="145402880"/>
        <c:scaling>
          <c:orientation val="minMax"/>
        </c:scaling>
        <c:delete val="1"/>
        <c:axPos val="l"/>
        <c:majorGridlines/>
        <c:minorGridlines/>
        <c:numFmt formatCode="0.0000" sourceLinked="1"/>
        <c:majorTickMark val="out"/>
        <c:minorTickMark val="none"/>
        <c:tickLblPos val="nextTo"/>
        <c:crossAx val="145400960"/>
        <c:crosses val="autoZero"/>
        <c:crossBetween val="midCat"/>
      </c:valAx>
    </c:plotArea>
    <c:plotVisOnly val="1"/>
    <c:dispBlanksAs val="gap"/>
    <c:showDLblsOverMax val="0"/>
  </c:chart>
  <c:spPr>
    <a:noFill/>
    <a:ln>
      <a:noFill/>
    </a:ln>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800687285223365E-2"/>
          <c:y val="5.0574730952930025E-2"/>
          <c:w val="0.92096219931271472"/>
          <c:h val="0.90250553081927087"/>
        </c:manualLayout>
      </c:layout>
      <c:scatterChart>
        <c:scatterStyle val="lineMarker"/>
        <c:varyColors val="0"/>
        <c:ser>
          <c:idx val="0"/>
          <c:order val="0"/>
          <c:tx>
            <c:strRef>
              <c:f>Coil!$U$29</c:f>
              <c:strCache>
                <c:ptCount val="1"/>
                <c:pt idx="0">
                  <c:v>O</c:v>
                </c:pt>
              </c:strCache>
            </c:strRef>
          </c:tx>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trendlineType val="linear"/>
            <c:dispRSqr val="0"/>
            <c:dispEq val="0"/>
          </c:trendline>
          <c:xVal>
            <c:numRef>
              <c:f>Coil!$V$29</c:f>
            </c:numRef>
          </c:xVal>
          <c:yVal>
            <c:numRef>
              <c:f>Coil!$W$29</c:f>
            </c:numRef>
          </c:yVal>
          <c:smooth val="0"/>
          <c:extLst>
            <c:ext xmlns:c16="http://schemas.microsoft.com/office/drawing/2014/chart" uri="{C3380CC4-5D6E-409C-BE32-E72D297353CC}">
              <c16:uniqueId val="{00000001-3089-4567-84B2-2863A4897E7F}"/>
            </c:ext>
          </c:extLst>
        </c:ser>
        <c:ser>
          <c:idx val="1"/>
          <c:order val="1"/>
          <c:tx>
            <c:strRef>
              <c:f>Coil!$U$30</c:f>
              <c:strCache>
                <c:ptCount val="1"/>
                <c:pt idx="0">
                  <c:v>R</c:v>
                </c:pt>
              </c:strCache>
            </c:strRef>
          </c:tx>
          <c:dLbls>
            <c:dLbl>
              <c:idx val="0"/>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3089-4567-84B2-2863A4897E7F}"/>
                </c:ext>
              </c:extLst>
            </c:dLbl>
            <c:spPr>
              <a:noFill/>
              <a:ln>
                <a:noFill/>
              </a:ln>
              <a:effectLst/>
            </c:spPr>
            <c:dLblPos val="b"/>
            <c:showLegendKey val="0"/>
            <c:showVal val="0"/>
            <c:showCatName val="0"/>
            <c:showSerName val="0"/>
            <c:showPercent val="0"/>
            <c:showBubbleSize val="0"/>
            <c:extLst>
              <c:ext xmlns:c15="http://schemas.microsoft.com/office/drawing/2012/chart" uri="{CE6537A1-D6FC-4f65-9D91-7224C49458BB}">
                <c15:showLeaderLines val="0"/>
              </c:ext>
            </c:extLst>
          </c:dLbls>
          <c:trendline>
            <c:trendlineType val="linear"/>
            <c:dispRSqr val="0"/>
            <c:dispEq val="0"/>
          </c:trendline>
          <c:xVal>
            <c:numRef>
              <c:f>Coil!$V$30</c:f>
            </c:numRef>
          </c:xVal>
          <c:yVal>
            <c:numRef>
              <c:f>Coil!$W$30</c:f>
            </c:numRef>
          </c:yVal>
          <c:smooth val="0"/>
          <c:extLst>
            <c:ext xmlns:c16="http://schemas.microsoft.com/office/drawing/2014/chart" uri="{C3380CC4-5D6E-409C-BE32-E72D297353CC}">
              <c16:uniqueId val="{00000004-3089-4567-84B2-2863A4897E7F}"/>
            </c:ext>
          </c:extLst>
        </c:ser>
        <c:ser>
          <c:idx val="2"/>
          <c:order val="2"/>
          <c:tx>
            <c:strRef>
              <c:f>Coil!$U$31</c:f>
              <c:strCache>
                <c:ptCount val="1"/>
                <c:pt idx="0">
                  <c:v>S1</c:v>
                </c:pt>
              </c:strCache>
            </c:strRef>
          </c:tx>
          <c:dLbls>
            <c:dLbl>
              <c:idx val="0"/>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3089-4567-84B2-2863A4897E7F}"/>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trendlineType val="linear"/>
            <c:dispRSqr val="0"/>
            <c:dispEq val="0"/>
          </c:trendline>
          <c:trendline>
            <c:trendlineType val="linear"/>
            <c:dispRSqr val="0"/>
            <c:dispEq val="0"/>
          </c:trendline>
          <c:xVal>
            <c:numRef>
              <c:f>Coil!$V$31</c:f>
            </c:numRef>
          </c:xVal>
          <c:yVal>
            <c:numRef>
              <c:f>Coil!$W$31</c:f>
            </c:numRef>
          </c:yVal>
          <c:smooth val="0"/>
          <c:extLst>
            <c:ext xmlns:c16="http://schemas.microsoft.com/office/drawing/2014/chart" uri="{C3380CC4-5D6E-409C-BE32-E72D297353CC}">
              <c16:uniqueId val="{00000008-3089-4567-84B2-2863A4897E7F}"/>
            </c:ext>
          </c:extLst>
        </c:ser>
        <c:ser>
          <c:idx val="4"/>
          <c:order val="3"/>
          <c:tx>
            <c:strRef>
              <c:f>Coil!$U$32</c:f>
              <c:strCache>
                <c:ptCount val="1"/>
                <c:pt idx="0">
                  <c:v>#VALUE!</c:v>
                </c:pt>
              </c:strCache>
            </c:strRef>
          </c:tx>
          <c:dPt>
            <c:idx val="0"/>
            <c:bubble3D val="0"/>
            <c:extLst>
              <c:ext xmlns:c16="http://schemas.microsoft.com/office/drawing/2014/chart" uri="{C3380CC4-5D6E-409C-BE32-E72D297353CC}">
                <c16:uniqueId val="{00000009-3089-4567-84B2-2863A4897E7F}"/>
              </c:ext>
            </c:extLst>
          </c:dPt>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trendlineType val="linear"/>
            <c:dispRSqr val="0"/>
            <c:dispEq val="0"/>
          </c:trendline>
          <c:xVal>
            <c:numRef>
              <c:f>Coil!$V$32</c:f>
            </c:numRef>
          </c:xVal>
          <c:yVal>
            <c:numRef>
              <c:f>Coil!$W$32</c:f>
            </c:numRef>
          </c:yVal>
          <c:smooth val="0"/>
          <c:extLst>
            <c:ext xmlns:c16="http://schemas.microsoft.com/office/drawing/2014/chart" uri="{C3380CC4-5D6E-409C-BE32-E72D297353CC}">
              <c16:uniqueId val="{0000000B-3089-4567-84B2-2863A4897E7F}"/>
            </c:ext>
          </c:extLst>
        </c:ser>
        <c:ser>
          <c:idx val="3"/>
          <c:order val="4"/>
          <c:tx>
            <c:strRef>
              <c:f>Coil!$U$33</c:f>
              <c:strCache>
                <c:ptCount val="1"/>
              </c:strCache>
            </c:strRef>
          </c:tx>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Coil!$V$33</c:f>
            </c:numRef>
          </c:xVal>
          <c:yVal>
            <c:numRef>
              <c:f>Coil!$W$33</c:f>
            </c:numRef>
          </c:yVal>
          <c:smooth val="0"/>
          <c:extLst>
            <c:ext xmlns:c16="http://schemas.microsoft.com/office/drawing/2014/chart" uri="{C3380CC4-5D6E-409C-BE32-E72D297353CC}">
              <c16:uniqueId val="{0000000C-3089-4567-84B2-2863A4897E7F}"/>
            </c:ext>
          </c:extLst>
        </c:ser>
        <c:ser>
          <c:idx val="5"/>
          <c:order val="5"/>
          <c:tx>
            <c:v>O-R</c:v>
          </c:tx>
          <c:spPr>
            <a:ln w="19050"/>
          </c:spPr>
          <c:marker>
            <c:symbol val="none"/>
          </c:marker>
          <c:dPt>
            <c:idx val="1"/>
            <c:bubble3D val="0"/>
            <c:extLst>
              <c:ext xmlns:c16="http://schemas.microsoft.com/office/drawing/2014/chart" uri="{C3380CC4-5D6E-409C-BE32-E72D297353CC}">
                <c16:uniqueId val="{0000000D-3089-4567-84B2-2863A4897E7F}"/>
              </c:ext>
            </c:extLst>
          </c:dPt>
          <c:xVal>
            <c:numRef>
              <c:f>(Coil!$V$29,Coil!$V$30)</c:f>
            </c:numRef>
          </c:xVal>
          <c:yVal>
            <c:numRef>
              <c:f>(Coil!$W$29,Coil!$W$30)</c:f>
            </c:numRef>
          </c:yVal>
          <c:smooth val="0"/>
          <c:extLst>
            <c:ext xmlns:c16="http://schemas.microsoft.com/office/drawing/2014/chart" uri="{C3380CC4-5D6E-409C-BE32-E72D297353CC}">
              <c16:uniqueId val="{0000000E-3089-4567-84B2-2863A4897E7F}"/>
            </c:ext>
          </c:extLst>
        </c:ser>
        <c:ser>
          <c:idx val="6"/>
          <c:order val="6"/>
          <c:tx>
            <c:v>S-R</c:v>
          </c:tx>
          <c:spPr>
            <a:ln w="19050"/>
          </c:spPr>
          <c:marker>
            <c:symbol val="none"/>
          </c:marker>
          <c:xVal>
            <c:numRef>
              <c:f>(Coil!$V$30,Coil!$V$33)</c:f>
            </c:numRef>
          </c:xVal>
          <c:yVal>
            <c:numRef>
              <c:f>(Coil!$W$30,Coil!$W$33)</c:f>
            </c:numRef>
          </c:yVal>
          <c:smooth val="0"/>
          <c:extLst>
            <c:ext xmlns:c16="http://schemas.microsoft.com/office/drawing/2014/chart" uri="{C3380CC4-5D6E-409C-BE32-E72D297353CC}">
              <c16:uniqueId val="{0000000F-3089-4567-84B2-2863A4897E7F}"/>
            </c:ext>
          </c:extLst>
        </c:ser>
        <c:ser>
          <c:idx val="7"/>
          <c:order val="7"/>
          <c:tx>
            <c:v>M-S</c:v>
          </c:tx>
          <c:spPr>
            <a:ln w="19050"/>
          </c:spPr>
          <c:marker>
            <c:symbol val="none"/>
          </c:marker>
          <c:xVal>
            <c:numRef>
              <c:f>(Coil!$V$32,Coil!$V$31)</c:f>
            </c:numRef>
          </c:xVal>
          <c:yVal>
            <c:numRef>
              <c:f>(Coil!$W$32,Coil!$W$31)</c:f>
            </c:numRef>
          </c:yVal>
          <c:smooth val="0"/>
          <c:extLst>
            <c:ext xmlns:c16="http://schemas.microsoft.com/office/drawing/2014/chart" uri="{C3380CC4-5D6E-409C-BE32-E72D297353CC}">
              <c16:uniqueId val="{00000010-3089-4567-84B2-2863A4897E7F}"/>
            </c:ext>
          </c:extLst>
        </c:ser>
        <c:ser>
          <c:idx val="8"/>
          <c:order val="8"/>
          <c:tx>
            <c:v>S1-S2</c:v>
          </c:tx>
          <c:spPr>
            <a:ln w="19050"/>
          </c:spPr>
          <c:marker>
            <c:symbol val="none"/>
          </c:marker>
          <c:xVal>
            <c:numRef>
              <c:f>(Coil!$V$31,Coil!$V$33)</c:f>
            </c:numRef>
          </c:xVal>
          <c:yVal>
            <c:numRef>
              <c:f>(Coil!$W$31,Coil!$W$33)</c:f>
            </c:numRef>
          </c:yVal>
          <c:smooth val="0"/>
          <c:extLst>
            <c:ext xmlns:c16="http://schemas.microsoft.com/office/drawing/2014/chart" uri="{C3380CC4-5D6E-409C-BE32-E72D297353CC}">
              <c16:uniqueId val="{00000011-3089-4567-84B2-2863A4897E7F}"/>
            </c:ext>
          </c:extLst>
        </c:ser>
        <c:dLbls>
          <c:showLegendKey val="0"/>
          <c:showVal val="0"/>
          <c:showCatName val="0"/>
          <c:showSerName val="0"/>
          <c:showPercent val="0"/>
          <c:showBubbleSize val="0"/>
        </c:dLbls>
        <c:axId val="150224896"/>
        <c:axId val="150226816"/>
      </c:scatterChart>
      <c:valAx>
        <c:axId val="150224896"/>
        <c:scaling>
          <c:orientation val="minMax"/>
        </c:scaling>
        <c:delete val="1"/>
        <c:axPos val="b"/>
        <c:majorGridlines/>
        <c:minorGridlines/>
        <c:title>
          <c:tx>
            <c:rich>
              <a:bodyPr/>
              <a:lstStyle/>
              <a:p>
                <a:pPr>
                  <a:defRPr/>
                </a:pPr>
                <a:endParaRPr lang="en-US"/>
              </a:p>
            </c:rich>
          </c:tx>
          <c:overlay val="0"/>
        </c:title>
        <c:numFmt formatCode="0.0" sourceLinked="1"/>
        <c:majorTickMark val="out"/>
        <c:minorTickMark val="none"/>
        <c:tickLblPos val="nextTo"/>
        <c:crossAx val="150226816"/>
        <c:crosses val="autoZero"/>
        <c:crossBetween val="midCat"/>
      </c:valAx>
      <c:valAx>
        <c:axId val="150226816"/>
        <c:scaling>
          <c:orientation val="minMax"/>
        </c:scaling>
        <c:delete val="1"/>
        <c:axPos val="l"/>
        <c:majorGridlines/>
        <c:minorGridlines/>
        <c:numFmt formatCode="0.0000" sourceLinked="1"/>
        <c:majorTickMark val="out"/>
        <c:minorTickMark val="none"/>
        <c:tickLblPos val="nextTo"/>
        <c:crossAx val="150224896"/>
        <c:crosses val="autoZero"/>
        <c:crossBetween val="midCat"/>
      </c:valAx>
    </c:plotArea>
    <c:plotVisOnly val="1"/>
    <c:dispBlanksAs val="gap"/>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800687285223365E-2"/>
          <c:y val="5.0574730952930025E-2"/>
          <c:w val="0.92096219931271472"/>
          <c:h val="0.90250553081927087"/>
        </c:manualLayout>
      </c:layout>
      <c:scatterChart>
        <c:scatterStyle val="lineMarker"/>
        <c:varyColors val="0"/>
        <c:ser>
          <c:idx val="0"/>
          <c:order val="0"/>
          <c:tx>
            <c:strRef>
              <c:f>Coil!$BC$39</c:f>
              <c:strCache>
                <c:ptCount val="1"/>
                <c:pt idx="0">
                  <c:v>O</c:v>
                </c:pt>
              </c:strCache>
            </c:strRef>
          </c:tx>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trendlineType val="linear"/>
            <c:dispRSqr val="0"/>
            <c:dispEq val="0"/>
          </c:trendline>
          <c:xVal>
            <c:numRef>
              <c:f>Coil!$BD$39</c:f>
              <c:numCache>
                <c:formatCode>0.0</c:formatCode>
                <c:ptCount val="1"/>
                <c:pt idx="0">
                  <c:v>7</c:v>
                </c:pt>
              </c:numCache>
            </c:numRef>
          </c:xVal>
          <c:yVal>
            <c:numRef>
              <c:f>Coil!$BE$39</c:f>
              <c:numCache>
                <c:formatCode>0.0000</c:formatCode>
                <c:ptCount val="1"/>
                <c:pt idx="0">
                  <c:v>2.4699676060335892E-3</c:v>
                </c:pt>
              </c:numCache>
            </c:numRef>
          </c:yVal>
          <c:smooth val="0"/>
          <c:extLst>
            <c:ext xmlns:c16="http://schemas.microsoft.com/office/drawing/2014/chart" uri="{C3380CC4-5D6E-409C-BE32-E72D297353CC}">
              <c16:uniqueId val="{00000001-31FF-450D-A2ED-A47465E0FDCC}"/>
            </c:ext>
          </c:extLst>
        </c:ser>
        <c:ser>
          <c:idx val="2"/>
          <c:order val="1"/>
          <c:tx>
            <c:strRef>
              <c:f>Coil!$BC$40</c:f>
              <c:strCache>
                <c:ptCount val="1"/>
                <c:pt idx="0">
                  <c:v>S</c:v>
                </c:pt>
              </c:strCache>
            </c:strRef>
          </c:tx>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trendlineType val="linear"/>
            <c:dispRSqr val="0"/>
            <c:dispEq val="0"/>
          </c:trendline>
          <c:xVal>
            <c:numRef>
              <c:f>Coil!$BD$40</c:f>
              <c:numCache>
                <c:formatCode>0.0</c:formatCode>
                <c:ptCount val="1"/>
                <c:pt idx="0">
                  <c:v>21</c:v>
                </c:pt>
              </c:numCache>
            </c:numRef>
          </c:xVal>
          <c:yVal>
            <c:numRef>
              <c:f>Coil!$BE$40</c:f>
              <c:numCache>
                <c:formatCode>0.0000</c:formatCode>
                <c:ptCount val="1"/>
                <c:pt idx="0">
                  <c:v>9.2992607306061469E-3</c:v>
                </c:pt>
              </c:numCache>
            </c:numRef>
          </c:yVal>
          <c:smooth val="0"/>
          <c:extLst>
            <c:ext xmlns:c16="http://schemas.microsoft.com/office/drawing/2014/chart" uri="{C3380CC4-5D6E-409C-BE32-E72D297353CC}">
              <c16:uniqueId val="{00000003-31FF-450D-A2ED-A47465E0FDCC}"/>
            </c:ext>
          </c:extLst>
        </c:ser>
        <c:ser>
          <c:idx val="1"/>
          <c:order val="2"/>
          <c:tx>
            <c:strRef>
              <c:f>Coil!$BC$41</c:f>
              <c:strCache>
                <c:ptCount val="1"/>
                <c:pt idx="0">
                  <c:v>O</c:v>
                </c:pt>
              </c:strCache>
            </c:strRef>
          </c:tx>
          <c:dPt>
            <c:idx val="0"/>
            <c:marker>
              <c:symbol val="x"/>
              <c:size val="7"/>
            </c:marker>
            <c:bubble3D val="0"/>
            <c:extLst>
              <c:ext xmlns:c16="http://schemas.microsoft.com/office/drawing/2014/chart" uri="{C3380CC4-5D6E-409C-BE32-E72D297353CC}">
                <c16:uniqueId val="{00000004-31FF-450D-A2ED-A47465E0FDCC}"/>
              </c:ext>
            </c:extLst>
          </c:dPt>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Coil!$BD$41</c:f>
              <c:numCache>
                <c:formatCode>0.0</c:formatCode>
                <c:ptCount val="1"/>
                <c:pt idx="0">
                  <c:v>7</c:v>
                </c:pt>
              </c:numCache>
            </c:numRef>
          </c:xVal>
          <c:yVal>
            <c:numRef>
              <c:f>Coil!$BE$41</c:f>
              <c:numCache>
                <c:formatCode>0.0000</c:formatCode>
                <c:ptCount val="1"/>
                <c:pt idx="0">
                  <c:v>2.4699676060335892E-3</c:v>
                </c:pt>
              </c:numCache>
            </c:numRef>
          </c:yVal>
          <c:smooth val="0"/>
          <c:extLst>
            <c:ext xmlns:c16="http://schemas.microsoft.com/office/drawing/2014/chart" uri="{C3380CC4-5D6E-409C-BE32-E72D297353CC}">
              <c16:uniqueId val="{00000005-31FF-450D-A2ED-A47465E0FDCC}"/>
            </c:ext>
          </c:extLst>
        </c:ser>
        <c:ser>
          <c:idx val="3"/>
          <c:order val="3"/>
          <c:tx>
            <c:v>O-PH</c:v>
          </c:tx>
          <c:spPr>
            <a:ln w="19050"/>
          </c:spPr>
          <c:marker>
            <c:symbol val="none"/>
          </c:marker>
          <c:xVal>
            <c:numRef>
              <c:f>(Coil!$BD$39,Coil!$BD$41)</c:f>
              <c:numCache>
                <c:formatCode>0.0</c:formatCode>
                <c:ptCount val="2"/>
                <c:pt idx="0">
                  <c:v>7</c:v>
                </c:pt>
                <c:pt idx="1">
                  <c:v>7</c:v>
                </c:pt>
              </c:numCache>
            </c:numRef>
          </c:xVal>
          <c:yVal>
            <c:numRef>
              <c:f>(Coil!$BE$39,Coil!$BE$41)</c:f>
              <c:numCache>
                <c:formatCode>0.0000</c:formatCode>
                <c:ptCount val="2"/>
                <c:pt idx="0">
                  <c:v>2.4699676060335892E-3</c:v>
                </c:pt>
                <c:pt idx="1">
                  <c:v>2.4699676060335892E-3</c:v>
                </c:pt>
              </c:numCache>
            </c:numRef>
          </c:yVal>
          <c:smooth val="0"/>
          <c:extLst>
            <c:ext xmlns:c16="http://schemas.microsoft.com/office/drawing/2014/chart" uri="{C3380CC4-5D6E-409C-BE32-E72D297353CC}">
              <c16:uniqueId val="{00000006-31FF-450D-A2ED-A47465E0FDCC}"/>
            </c:ext>
          </c:extLst>
        </c:ser>
        <c:ser>
          <c:idx val="4"/>
          <c:order val="4"/>
          <c:tx>
            <c:v>PH-S</c:v>
          </c:tx>
          <c:spPr>
            <a:ln w="19050">
              <a:solidFill>
                <a:srgbClr val="FF0000"/>
              </a:solidFill>
            </a:ln>
          </c:spPr>
          <c:marker>
            <c:symbol val="none"/>
          </c:marker>
          <c:xVal>
            <c:numRef>
              <c:f>(Coil!$BD$41,Coil!$BD$40)</c:f>
              <c:numCache>
                <c:formatCode>0.0</c:formatCode>
                <c:ptCount val="2"/>
                <c:pt idx="0">
                  <c:v>7</c:v>
                </c:pt>
                <c:pt idx="1">
                  <c:v>21</c:v>
                </c:pt>
              </c:numCache>
            </c:numRef>
          </c:xVal>
          <c:yVal>
            <c:numRef>
              <c:f>(Coil!$BE$41,Coil!$BE$40)</c:f>
              <c:numCache>
                <c:formatCode>0.0000</c:formatCode>
                <c:ptCount val="2"/>
                <c:pt idx="0">
                  <c:v>2.4699676060335892E-3</c:v>
                </c:pt>
                <c:pt idx="1">
                  <c:v>9.2992607306061469E-3</c:v>
                </c:pt>
              </c:numCache>
            </c:numRef>
          </c:yVal>
          <c:smooth val="0"/>
          <c:extLst>
            <c:ext xmlns:c16="http://schemas.microsoft.com/office/drawing/2014/chart" uri="{C3380CC4-5D6E-409C-BE32-E72D297353CC}">
              <c16:uniqueId val="{00000007-31FF-450D-A2ED-A47465E0FDCC}"/>
            </c:ext>
          </c:extLst>
        </c:ser>
        <c:dLbls>
          <c:showLegendKey val="0"/>
          <c:showVal val="0"/>
          <c:showCatName val="0"/>
          <c:showSerName val="0"/>
          <c:showPercent val="0"/>
          <c:showBubbleSize val="0"/>
        </c:dLbls>
        <c:axId val="156434816"/>
        <c:axId val="156436736"/>
      </c:scatterChart>
      <c:valAx>
        <c:axId val="156434816"/>
        <c:scaling>
          <c:orientation val="minMax"/>
        </c:scaling>
        <c:delete val="1"/>
        <c:axPos val="b"/>
        <c:majorGridlines/>
        <c:minorGridlines/>
        <c:title>
          <c:tx>
            <c:rich>
              <a:bodyPr/>
              <a:lstStyle/>
              <a:p>
                <a:pPr>
                  <a:defRPr/>
                </a:pPr>
                <a:endParaRPr lang="en-US"/>
              </a:p>
            </c:rich>
          </c:tx>
          <c:overlay val="0"/>
        </c:title>
        <c:numFmt formatCode="0.0" sourceLinked="1"/>
        <c:majorTickMark val="out"/>
        <c:minorTickMark val="none"/>
        <c:tickLblPos val="nextTo"/>
        <c:crossAx val="156436736"/>
        <c:crosses val="autoZero"/>
        <c:crossBetween val="midCat"/>
      </c:valAx>
      <c:valAx>
        <c:axId val="156436736"/>
        <c:scaling>
          <c:orientation val="minMax"/>
        </c:scaling>
        <c:delete val="1"/>
        <c:axPos val="l"/>
        <c:majorGridlines/>
        <c:minorGridlines/>
        <c:numFmt formatCode="0.0000" sourceLinked="1"/>
        <c:majorTickMark val="out"/>
        <c:minorTickMark val="none"/>
        <c:tickLblPos val="nextTo"/>
        <c:crossAx val="156434816"/>
        <c:crosses val="autoZero"/>
        <c:crossBetween val="midCat"/>
      </c:valAx>
    </c:plotArea>
    <c:plotVisOnly val="1"/>
    <c:dispBlanksAs val="gap"/>
    <c:showDLblsOverMax val="0"/>
  </c:chart>
  <c:spPr>
    <a:noFill/>
    <a:ln>
      <a:noFill/>
    </a:ln>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3422796321969667E-3"/>
          <c:y val="2.1087150400372151E-2"/>
          <c:w val="0.99865766109461562"/>
          <c:h val="0.94420126596152043"/>
        </c:manualLayout>
      </c:layout>
      <c:scatterChart>
        <c:scatterStyle val="lineMarker"/>
        <c:varyColors val="0"/>
        <c:ser>
          <c:idx val="0"/>
          <c:order val="0"/>
          <c:tx>
            <c:strRef>
              <c:f>Coil!$AL$26</c:f>
              <c:strCache>
                <c:ptCount val="1"/>
                <c:pt idx="0">
                  <c:v>O</c:v>
                </c:pt>
              </c:strCache>
            </c:strRef>
          </c:tx>
          <c:dLbls>
            <c:dLbl>
              <c:idx val="0"/>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3762-4C9D-9F1E-38AFC3F7BA83}"/>
                </c:ext>
              </c:extLst>
            </c:dLbl>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trendlineType val="linear"/>
            <c:dispRSqr val="0"/>
            <c:dispEq val="0"/>
          </c:trendline>
          <c:xVal>
            <c:numRef>
              <c:f>Coil!$AM$26</c:f>
            </c:numRef>
          </c:xVal>
          <c:yVal>
            <c:numRef>
              <c:f>Coil!$AN$26</c:f>
            </c:numRef>
          </c:yVal>
          <c:smooth val="0"/>
          <c:extLst>
            <c:ext xmlns:c16="http://schemas.microsoft.com/office/drawing/2014/chart" uri="{C3380CC4-5D6E-409C-BE32-E72D297353CC}">
              <c16:uniqueId val="{00000002-3762-4C9D-9F1E-38AFC3F7BA83}"/>
            </c:ext>
          </c:extLst>
        </c:ser>
        <c:ser>
          <c:idx val="1"/>
          <c:order val="1"/>
          <c:tx>
            <c:strRef>
              <c:f>Coil!$AL$27</c:f>
              <c:strCache>
                <c:ptCount val="1"/>
              </c:strCache>
            </c:strRef>
          </c:tx>
          <c:dLbls>
            <c:dLbl>
              <c:idx val="0"/>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3762-4C9D-9F1E-38AFC3F7BA83}"/>
                </c:ext>
              </c:extLst>
            </c:dLbl>
            <c:spPr>
              <a:noFill/>
              <a:ln>
                <a:noFill/>
              </a:ln>
              <a:effectLst/>
            </c:spPr>
            <c:dLblPos val="r"/>
            <c:showLegendKey val="0"/>
            <c:showVal val="0"/>
            <c:showCatName val="0"/>
            <c:showSerName val="0"/>
            <c:showPercent val="0"/>
            <c:showBubbleSize val="0"/>
            <c:extLst>
              <c:ext xmlns:c15="http://schemas.microsoft.com/office/drawing/2012/chart" uri="{CE6537A1-D6FC-4f65-9D91-7224C49458BB}">
                <c15:showLeaderLines val="0"/>
              </c:ext>
            </c:extLst>
          </c:dLbls>
          <c:trendline>
            <c:trendlineType val="linear"/>
            <c:dispRSqr val="0"/>
            <c:dispEq val="0"/>
          </c:trendline>
          <c:xVal>
            <c:numRef>
              <c:f>Coil!$AM$27</c:f>
            </c:numRef>
          </c:xVal>
          <c:yVal>
            <c:numRef>
              <c:f>Coil!$AN$27</c:f>
            </c:numRef>
          </c:yVal>
          <c:smooth val="0"/>
          <c:extLst>
            <c:ext xmlns:c16="http://schemas.microsoft.com/office/drawing/2014/chart" uri="{C3380CC4-5D6E-409C-BE32-E72D297353CC}">
              <c16:uniqueId val="{00000005-3762-4C9D-9F1E-38AFC3F7BA83}"/>
            </c:ext>
          </c:extLst>
        </c:ser>
        <c:ser>
          <c:idx val="2"/>
          <c:order val="2"/>
          <c:tx>
            <c:strRef>
              <c:f>Coil!$AL$28</c:f>
              <c:strCache>
                <c:ptCount val="1"/>
                <c:pt idx="0">
                  <c:v>S1</c:v>
                </c:pt>
              </c:strCache>
            </c:strRef>
          </c:tx>
          <c:dLbls>
            <c:dLbl>
              <c:idx val="0"/>
              <c:layout>
                <c:manualLayout>
                  <c:x val="-5.4382835012756273E-2"/>
                  <c:y val="9.1710253835078304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3762-4C9D-9F1E-38AFC3F7BA83}"/>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trendlineType val="linear"/>
            <c:dispRSqr val="0"/>
            <c:dispEq val="0"/>
          </c:trendline>
          <c:trendline>
            <c:trendlineType val="linear"/>
            <c:dispRSqr val="0"/>
            <c:dispEq val="0"/>
          </c:trendline>
          <c:xVal>
            <c:numRef>
              <c:f>Coil!$AM$28</c:f>
            </c:numRef>
          </c:xVal>
          <c:yVal>
            <c:numRef>
              <c:f>Coil!$AN$28</c:f>
            </c:numRef>
          </c:yVal>
          <c:smooth val="0"/>
          <c:extLst>
            <c:ext xmlns:c16="http://schemas.microsoft.com/office/drawing/2014/chart" uri="{C3380CC4-5D6E-409C-BE32-E72D297353CC}">
              <c16:uniqueId val="{00000009-3762-4C9D-9F1E-38AFC3F7BA83}"/>
            </c:ext>
          </c:extLst>
        </c:ser>
        <c:ser>
          <c:idx val="3"/>
          <c:order val="3"/>
          <c:tx>
            <c:strRef>
              <c:f>Coil!$AL$29</c:f>
              <c:strCache>
                <c:ptCount val="1"/>
                <c:pt idx="0">
                  <c:v>#VALUE!</c:v>
                </c:pt>
              </c:strCache>
            </c:strRef>
          </c:tx>
          <c:dLbls>
            <c:dLbl>
              <c:idx val="0"/>
              <c:layout>
                <c:manualLayout>
                  <c:x val="-6.0606060606060608E-2"/>
                  <c:y val="8.4655576194962404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3762-4C9D-9F1E-38AFC3F7BA83}"/>
                </c:ext>
              </c:extLst>
            </c:dLbl>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trendlineType val="linear"/>
            <c:dispRSqr val="0"/>
            <c:dispEq val="0"/>
          </c:trendline>
          <c:xVal>
            <c:numRef>
              <c:f>Coil!$AM$29</c:f>
            </c:numRef>
          </c:xVal>
          <c:yVal>
            <c:numRef>
              <c:f>Coil!$AN$29</c:f>
            </c:numRef>
          </c:yVal>
          <c:smooth val="0"/>
          <c:extLst>
            <c:ext xmlns:c16="http://schemas.microsoft.com/office/drawing/2014/chart" uri="{C3380CC4-5D6E-409C-BE32-E72D297353CC}">
              <c16:uniqueId val="{0000000C-3762-4C9D-9F1E-38AFC3F7BA83}"/>
            </c:ext>
          </c:extLst>
        </c:ser>
        <c:ser>
          <c:idx val="4"/>
          <c:order val="4"/>
          <c:tx>
            <c:strRef>
              <c:f>Coil!$AL$30</c:f>
              <c:strCache>
                <c:ptCount val="1"/>
              </c:strCache>
            </c:strRef>
          </c:tx>
          <c:dPt>
            <c:idx val="0"/>
            <c:bubble3D val="0"/>
            <c:extLst>
              <c:ext xmlns:c16="http://schemas.microsoft.com/office/drawing/2014/chart" uri="{C3380CC4-5D6E-409C-BE32-E72D297353CC}">
                <c16:uniqueId val="{0000000D-3762-4C9D-9F1E-38AFC3F7BA83}"/>
              </c:ext>
            </c:extLst>
          </c:dPt>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trendlineType val="linear"/>
            <c:dispRSqr val="0"/>
            <c:dispEq val="0"/>
          </c:trendline>
          <c:xVal>
            <c:numRef>
              <c:f>Coil!$AM$30</c:f>
            </c:numRef>
          </c:xVal>
          <c:yVal>
            <c:numRef>
              <c:f>Coil!$AN$30</c:f>
            </c:numRef>
          </c:yVal>
          <c:smooth val="0"/>
          <c:extLst>
            <c:ext xmlns:c16="http://schemas.microsoft.com/office/drawing/2014/chart" uri="{C3380CC4-5D6E-409C-BE32-E72D297353CC}">
              <c16:uniqueId val="{0000000F-3762-4C9D-9F1E-38AFC3F7BA83}"/>
            </c:ext>
          </c:extLst>
        </c:ser>
        <c:ser>
          <c:idx val="5"/>
          <c:order val="5"/>
          <c:tx>
            <c:v>O-PH</c:v>
          </c:tx>
          <c:dPt>
            <c:idx val="0"/>
            <c:marker>
              <c:symbol val="none"/>
            </c:marker>
            <c:bubble3D val="0"/>
            <c:spPr>
              <a:ln w="19050"/>
            </c:spPr>
            <c:extLst>
              <c:ext xmlns:c16="http://schemas.microsoft.com/office/drawing/2014/chart" uri="{C3380CC4-5D6E-409C-BE32-E72D297353CC}">
                <c16:uniqueId val="{00000011-3762-4C9D-9F1E-38AFC3F7BA83}"/>
              </c:ext>
            </c:extLst>
          </c:dPt>
          <c:dPt>
            <c:idx val="1"/>
            <c:marker>
              <c:symbol val="none"/>
            </c:marker>
            <c:bubble3D val="0"/>
            <c:spPr>
              <a:ln w="19050"/>
            </c:spPr>
            <c:extLst>
              <c:ext xmlns:c16="http://schemas.microsoft.com/office/drawing/2014/chart" uri="{C3380CC4-5D6E-409C-BE32-E72D297353CC}">
                <c16:uniqueId val="{00000013-3762-4C9D-9F1E-38AFC3F7BA83}"/>
              </c:ext>
            </c:extLst>
          </c:dPt>
          <c:xVal>
            <c:numRef>
              <c:f>(Coil!$AM$26,Coil!$AM$30)</c:f>
            </c:numRef>
          </c:xVal>
          <c:yVal>
            <c:numRef>
              <c:f>(Coil!$AN$26,Coil!$AN$30)</c:f>
            </c:numRef>
          </c:yVal>
          <c:smooth val="0"/>
          <c:extLst>
            <c:ext xmlns:c16="http://schemas.microsoft.com/office/drawing/2014/chart" uri="{C3380CC4-5D6E-409C-BE32-E72D297353CC}">
              <c16:uniqueId val="{00000014-3762-4C9D-9F1E-38AFC3F7BA83}"/>
            </c:ext>
          </c:extLst>
        </c:ser>
        <c:ser>
          <c:idx val="6"/>
          <c:order val="6"/>
          <c:tx>
            <c:v>PH-R</c:v>
          </c:tx>
          <c:dPt>
            <c:idx val="1"/>
            <c:marker>
              <c:symbol val="none"/>
            </c:marker>
            <c:bubble3D val="0"/>
            <c:spPr>
              <a:ln w="19050"/>
            </c:spPr>
            <c:extLst>
              <c:ext xmlns:c16="http://schemas.microsoft.com/office/drawing/2014/chart" uri="{C3380CC4-5D6E-409C-BE32-E72D297353CC}">
                <c16:uniqueId val="{00000016-3762-4C9D-9F1E-38AFC3F7BA83}"/>
              </c:ext>
            </c:extLst>
          </c:dPt>
          <c:xVal>
            <c:numRef>
              <c:f>(Coil!$AM$30,Coil!$AM$27)</c:f>
            </c:numRef>
          </c:xVal>
          <c:yVal>
            <c:numRef>
              <c:f>(Coil!$AN$30,Coil!$AN$27)</c:f>
            </c:numRef>
          </c:yVal>
          <c:smooth val="0"/>
          <c:extLst>
            <c:ext xmlns:c16="http://schemas.microsoft.com/office/drawing/2014/chart" uri="{C3380CC4-5D6E-409C-BE32-E72D297353CC}">
              <c16:uniqueId val="{00000017-3762-4C9D-9F1E-38AFC3F7BA83}"/>
            </c:ext>
          </c:extLst>
        </c:ser>
        <c:ser>
          <c:idx val="7"/>
          <c:order val="7"/>
          <c:tx>
            <c:v>M-S</c:v>
          </c:tx>
          <c:spPr>
            <a:ln w="19050"/>
          </c:spPr>
          <c:marker>
            <c:symbol val="none"/>
          </c:marker>
          <c:xVal>
            <c:numRef>
              <c:f>(Coil!$AM$29,Coil!$AM$28)</c:f>
            </c:numRef>
          </c:xVal>
          <c:yVal>
            <c:numRef>
              <c:f>(Coil!$AN$29,Coil!$AN$28)</c:f>
            </c:numRef>
          </c:yVal>
          <c:smooth val="0"/>
          <c:extLst>
            <c:ext xmlns:c16="http://schemas.microsoft.com/office/drawing/2014/chart" uri="{C3380CC4-5D6E-409C-BE32-E72D297353CC}">
              <c16:uniqueId val="{00000018-3762-4C9D-9F1E-38AFC3F7BA83}"/>
            </c:ext>
          </c:extLst>
        </c:ser>
        <c:ser>
          <c:idx val="8"/>
          <c:order val="8"/>
          <c:spPr>
            <a:ln w="19050"/>
          </c:spPr>
          <c:marker>
            <c:symbol val="none"/>
          </c:marker>
          <c:xVal>
            <c:numRef>
              <c:f>(Coil!$AM$28,Coil!$AM$27)</c:f>
            </c:numRef>
          </c:xVal>
          <c:yVal>
            <c:numRef>
              <c:f>(Coil!$AN$28,Coil!$AN$27)</c:f>
            </c:numRef>
          </c:yVal>
          <c:smooth val="0"/>
          <c:extLst>
            <c:ext xmlns:c16="http://schemas.microsoft.com/office/drawing/2014/chart" uri="{C3380CC4-5D6E-409C-BE32-E72D297353CC}">
              <c16:uniqueId val="{00000019-3762-4C9D-9F1E-38AFC3F7BA83}"/>
            </c:ext>
          </c:extLst>
        </c:ser>
        <c:dLbls>
          <c:showLegendKey val="0"/>
          <c:showVal val="0"/>
          <c:showCatName val="0"/>
          <c:showSerName val="0"/>
          <c:showPercent val="0"/>
          <c:showBubbleSize val="0"/>
        </c:dLbls>
        <c:axId val="156545408"/>
        <c:axId val="156547328"/>
      </c:scatterChart>
      <c:valAx>
        <c:axId val="156545408"/>
        <c:scaling>
          <c:orientation val="minMax"/>
        </c:scaling>
        <c:delete val="1"/>
        <c:axPos val="b"/>
        <c:majorGridlines/>
        <c:minorGridlines/>
        <c:title>
          <c:tx>
            <c:rich>
              <a:bodyPr/>
              <a:lstStyle/>
              <a:p>
                <a:pPr>
                  <a:defRPr/>
                </a:pPr>
                <a:endParaRPr lang="en-US"/>
              </a:p>
            </c:rich>
          </c:tx>
          <c:overlay val="0"/>
        </c:title>
        <c:numFmt formatCode="0.0" sourceLinked="1"/>
        <c:majorTickMark val="out"/>
        <c:minorTickMark val="none"/>
        <c:tickLblPos val="nextTo"/>
        <c:crossAx val="156547328"/>
        <c:crosses val="autoZero"/>
        <c:crossBetween val="midCat"/>
      </c:valAx>
      <c:valAx>
        <c:axId val="156547328"/>
        <c:scaling>
          <c:orientation val="minMax"/>
        </c:scaling>
        <c:delete val="1"/>
        <c:axPos val="l"/>
        <c:majorGridlines/>
        <c:minorGridlines/>
        <c:numFmt formatCode="0.0000" sourceLinked="1"/>
        <c:majorTickMark val="out"/>
        <c:minorTickMark val="none"/>
        <c:tickLblPos val="nextTo"/>
        <c:crossAx val="156545408"/>
        <c:crosses val="autoZero"/>
        <c:crossBetween val="midCat"/>
      </c:valAx>
    </c:plotArea>
    <c:plotVisOnly val="1"/>
    <c:dispBlanksAs val="gap"/>
    <c:showDLblsOverMax val="0"/>
  </c:chart>
  <c:spPr>
    <a:ln>
      <a:noFill/>
    </a:ln>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3.4369904632312371E-4"/>
          <c:w val="1"/>
          <c:h val="0.99965618438340353"/>
        </c:manualLayout>
      </c:layout>
      <c:scatterChart>
        <c:scatterStyle val="smoothMarker"/>
        <c:varyColors val="0"/>
        <c:ser>
          <c:idx val="1"/>
          <c:order val="1"/>
          <c:tx>
            <c:strRef>
              <c:f>Hx!$G$34</c:f>
              <c:strCache>
                <c:ptCount val="1"/>
                <c:pt idx="0">
                  <c:v>Cold</c:v>
                </c:pt>
              </c:strCache>
            </c:strRef>
          </c:tx>
          <c:spPr>
            <a:ln w="22225"/>
          </c:spPr>
          <c:marker>
            <c:symbol val="diamond"/>
            <c:size val="4"/>
            <c:spPr>
              <a:solidFill>
                <a:schemeClr val="tx2">
                  <a:lumMod val="60000"/>
                  <a:lumOff val="40000"/>
                </a:schemeClr>
              </a:solidFill>
              <a:ln>
                <a:solidFill>
                  <a:schemeClr val="tx2">
                    <a:lumMod val="60000"/>
                    <a:lumOff val="40000"/>
                  </a:schemeClr>
                </a:solidFill>
              </a:ln>
            </c:spPr>
          </c:marker>
          <c:dPt>
            <c:idx val="1"/>
            <c:bubble3D val="0"/>
            <c:spPr>
              <a:ln w="22225">
                <a:solidFill>
                  <a:schemeClr val="tx2">
                    <a:lumMod val="60000"/>
                    <a:lumOff val="40000"/>
                  </a:schemeClr>
                </a:solidFill>
              </a:ln>
            </c:spPr>
            <c:extLst>
              <c:ext xmlns:c16="http://schemas.microsoft.com/office/drawing/2014/chart" uri="{C3380CC4-5D6E-409C-BE32-E72D297353CC}">
                <c16:uniqueId val="{00000001-2C15-41A1-ABC4-162FB5522826}"/>
              </c:ext>
            </c:extLst>
          </c:dPt>
          <c:dLbls>
            <c:dLbl>
              <c:idx val="0"/>
              <c:layout>
                <c:manualLayout>
                  <c:x val="-0.25556803601052019"/>
                  <c:y val="7.868838915986547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C15-41A1-ABC4-162FB5522826}"/>
                </c:ext>
              </c:extLst>
            </c:dLbl>
            <c:dLbl>
              <c:idx val="1"/>
              <c:layout>
                <c:manualLayout>
                  <c:x val="-7.5757620948234874E-3"/>
                  <c:y val="5.245892610657698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C15-41A1-ABC4-162FB5522826}"/>
                </c:ext>
              </c:extLst>
            </c:dLbl>
            <c:numFmt formatCode="#,##0.0" sourceLinked="0"/>
            <c:spPr>
              <a:noFill/>
              <a:ln>
                <a:noFill/>
              </a:ln>
              <a:effectLst/>
            </c:sp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yVal>
            <c:numRef>
              <c:f>Hx!$H$35:$H$36</c:f>
              <c:numCache>
                <c:formatCode>0.0</c:formatCode>
                <c:ptCount val="2"/>
                <c:pt idx="0" formatCode="General">
                  <c:v>0</c:v>
                </c:pt>
                <c:pt idx="1">
                  <c:v>0</c:v>
                </c:pt>
              </c:numCache>
            </c:numRef>
          </c:yVal>
          <c:smooth val="1"/>
          <c:extLst>
            <c:ext xmlns:c16="http://schemas.microsoft.com/office/drawing/2014/chart" uri="{C3380CC4-5D6E-409C-BE32-E72D297353CC}">
              <c16:uniqueId val="{00000003-2C15-41A1-ABC4-162FB5522826}"/>
            </c:ext>
          </c:extLst>
        </c:ser>
        <c:ser>
          <c:idx val="0"/>
          <c:order val="0"/>
          <c:tx>
            <c:strRef>
              <c:f>Hx!$G$30</c:f>
              <c:strCache>
                <c:ptCount val="1"/>
                <c:pt idx="0">
                  <c:v>Hot</c:v>
                </c:pt>
              </c:strCache>
            </c:strRef>
          </c:tx>
          <c:spPr>
            <a:ln w="22225"/>
          </c:spPr>
          <c:marker>
            <c:symbol val="x"/>
            <c:size val="5"/>
          </c:marker>
          <c:dPt>
            <c:idx val="0"/>
            <c:marker>
              <c:spPr>
                <a:ln>
                  <a:solidFill>
                    <a:srgbClr val="FF0000"/>
                  </a:solidFill>
                </a:ln>
              </c:spPr>
            </c:marker>
            <c:bubble3D val="0"/>
            <c:extLst>
              <c:ext xmlns:c16="http://schemas.microsoft.com/office/drawing/2014/chart" uri="{C3380CC4-5D6E-409C-BE32-E72D297353CC}">
                <c16:uniqueId val="{00000004-2C15-41A1-ABC4-162FB5522826}"/>
              </c:ext>
            </c:extLst>
          </c:dPt>
          <c:dPt>
            <c:idx val="1"/>
            <c:marker>
              <c:spPr>
                <a:noFill/>
                <a:ln>
                  <a:solidFill>
                    <a:srgbClr val="FF0000"/>
                  </a:solidFill>
                </a:ln>
              </c:spPr>
            </c:marker>
            <c:bubble3D val="0"/>
            <c:spPr>
              <a:ln w="22225">
                <a:solidFill>
                  <a:srgbClr val="FF0000"/>
                </a:solidFill>
              </a:ln>
            </c:spPr>
            <c:extLst>
              <c:ext xmlns:c16="http://schemas.microsoft.com/office/drawing/2014/chart" uri="{C3380CC4-5D6E-409C-BE32-E72D297353CC}">
                <c16:uniqueId val="{00000006-2C15-41A1-ABC4-162FB5522826}"/>
              </c:ext>
            </c:extLst>
          </c:dPt>
          <c:dLbls>
            <c:dLbl>
              <c:idx val="0"/>
              <c:layout>
                <c:manualLayout>
                  <c:x val="-0.26314379810534366"/>
                  <c:y val="-5.245892610657698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C15-41A1-ABC4-162FB5522826}"/>
                </c:ext>
              </c:extLst>
            </c:dLbl>
            <c:dLbl>
              <c:idx val="1"/>
              <c:layout>
                <c:manualLayout>
                  <c:x val="0"/>
                  <c:y val="-5.245892610657694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C15-41A1-ABC4-162FB5522826}"/>
                </c:ext>
              </c:extLst>
            </c:dLbl>
            <c:numFmt formatCode="#,##0.0" sourceLinked="0"/>
            <c:spPr>
              <a:noFill/>
              <a:ln>
                <a:noFill/>
              </a:ln>
              <a:effectLst/>
            </c:sp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yVal>
            <c:numRef>
              <c:f>Hx!$H$31:$H$32</c:f>
              <c:numCache>
                <c:formatCode>0.0</c:formatCode>
                <c:ptCount val="2"/>
                <c:pt idx="0">
                  <c:v>0</c:v>
                </c:pt>
                <c:pt idx="1">
                  <c:v>0</c:v>
                </c:pt>
              </c:numCache>
            </c:numRef>
          </c:yVal>
          <c:smooth val="1"/>
          <c:extLst>
            <c:ext xmlns:c16="http://schemas.microsoft.com/office/drawing/2014/chart" uri="{C3380CC4-5D6E-409C-BE32-E72D297353CC}">
              <c16:uniqueId val="{00000007-2C15-41A1-ABC4-162FB5522826}"/>
            </c:ext>
          </c:extLst>
        </c:ser>
        <c:dLbls>
          <c:showLegendKey val="0"/>
          <c:showVal val="0"/>
          <c:showCatName val="0"/>
          <c:showSerName val="0"/>
          <c:showPercent val="0"/>
          <c:showBubbleSize val="0"/>
        </c:dLbls>
        <c:axId val="157360128"/>
        <c:axId val="157361664"/>
      </c:scatterChart>
      <c:valAx>
        <c:axId val="157360128"/>
        <c:scaling>
          <c:orientation val="minMax"/>
        </c:scaling>
        <c:delete val="1"/>
        <c:axPos val="b"/>
        <c:majorTickMark val="out"/>
        <c:minorTickMark val="none"/>
        <c:tickLblPos val="nextTo"/>
        <c:crossAx val="157361664"/>
        <c:crosses val="autoZero"/>
        <c:crossBetween val="midCat"/>
        <c:majorUnit val="1"/>
      </c:valAx>
      <c:valAx>
        <c:axId val="157361664"/>
        <c:scaling>
          <c:orientation val="minMax"/>
        </c:scaling>
        <c:delete val="1"/>
        <c:axPos val="l"/>
        <c:numFmt formatCode="General" sourceLinked="1"/>
        <c:majorTickMark val="out"/>
        <c:minorTickMark val="none"/>
        <c:tickLblPos val="nextTo"/>
        <c:crossAx val="157360128"/>
        <c:crosses val="autoZero"/>
        <c:crossBetween val="midCat"/>
      </c:valAx>
    </c:plotArea>
    <c:plotVisOnly val="1"/>
    <c:dispBlanksAs val="zero"/>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checked="Checked" firstButton="1" fmlaLink="$D$3"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Radio" firstButton="1" fmlaLink="$B$4" lockText="1"/>
</file>

<file path=xl/ctrlProps/ctrlProp36.xml><?xml version="1.0" encoding="utf-8"?>
<formControlPr xmlns="http://schemas.microsoft.com/office/spreadsheetml/2009/9/main" objectType="Radio" checked="Checked"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CheckBox" fmlaLink="$B$20" lockText="1" noThreeD="1"/>
</file>

<file path=xl/ctrlProps/ctrlProp40.xml><?xml version="1.0" encoding="utf-8"?>
<formControlPr xmlns="http://schemas.microsoft.com/office/spreadsheetml/2009/9/main" objectType="CheckBox" fmlaLink="$C$20" lockText="1" noThreeD="1"/>
</file>

<file path=xl/ctrlProps/ctrlProp41.xml><?xml version="1.0" encoding="utf-8"?>
<formControlPr xmlns="http://schemas.microsoft.com/office/spreadsheetml/2009/9/main" objectType="CheckBox" fmlaLink="$D$20" lockText="1" noThreeD="1"/>
</file>

<file path=xl/ctrlProps/ctrlProp42.xml><?xml version="1.0" encoding="utf-8"?>
<formControlPr xmlns="http://schemas.microsoft.com/office/spreadsheetml/2009/9/main" objectType="CheckBox" checked="Checked" fmlaLink="$E$20" lockText="1" noThreeD="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AF$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Radio" checked="Checked" firstButton="1" fmlaLink="B3" lockText="1" noThreeD="1"/>
</file>

<file path=xl/ctrlProps/ctrlProp55.xml><?xml version="1.0" encoding="utf-8"?>
<formControlPr xmlns="http://schemas.microsoft.com/office/spreadsheetml/2009/9/main" objectType="Radio" lockText="1" noThreeD="1"/>
</file>

<file path=xl/ctrlProps/ctrlProp56.xml><?xml version="1.0" encoding="utf-8"?>
<formControlPr xmlns="http://schemas.microsoft.com/office/spreadsheetml/2009/9/main" objectType="Radio" lockText="1" noThreeD="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Radio" firstButton="1" fmlaLink="B3" lockText="1" noThreeD="1"/>
</file>

<file path=xl/ctrlProps/ctrlProp62.xml><?xml version="1.0" encoding="utf-8"?>
<formControlPr xmlns="http://schemas.microsoft.com/office/spreadsheetml/2009/9/main" objectType="Radio" lockText="1" noThreeD="1"/>
</file>

<file path=xl/ctrlProps/ctrlProp63.xml><?xml version="1.0" encoding="utf-8"?>
<formControlPr xmlns="http://schemas.microsoft.com/office/spreadsheetml/2009/9/main" objectType="Radio" lockText="1" noThreeD="1"/>
</file>

<file path=xl/ctrlProps/ctrlProp64.xml><?xml version="1.0" encoding="utf-8"?>
<formControlPr xmlns="http://schemas.microsoft.com/office/spreadsheetml/2009/9/main" objectType="Radio" checked="Checked" lockText="1" noThreeD="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CheckBox" fmlaLink="BC7" lockText="1" noThreeD="1"/>
</file>

<file path=xl/ctrlProps/ctrlProp69.xml><?xml version="1.0" encoding="utf-8"?>
<formControlPr xmlns="http://schemas.microsoft.com/office/spreadsheetml/2009/9/main" objectType="CheckBox" fmlaLink="BC9" lockText="1" noThreeD="1"/>
</file>

<file path=xl/ctrlProps/ctrlProp70.xml><?xml version="1.0" encoding="utf-8"?>
<formControlPr xmlns="http://schemas.microsoft.com/office/spreadsheetml/2009/9/main" objectType="CheckBox" fmlaLink="BC10" lockText="1" noThreeD="1"/>
</file>

<file path=xl/ctrlProps/ctrlProp71.xml><?xml version="1.0" encoding="utf-8"?>
<formControlPr xmlns="http://schemas.microsoft.com/office/spreadsheetml/2009/9/main" objectType="CheckBox" fmlaLink="BC11" lockText="1" noThreeD="1"/>
</file>

<file path=xl/ctrlProps/ctrlProp72.xml><?xml version="1.0" encoding="utf-8"?>
<formControlPr xmlns="http://schemas.microsoft.com/office/spreadsheetml/2009/9/main" objectType="CheckBox" fmlaLink="BC12" lockText="1" noThreeD="1"/>
</file>

<file path=xl/ctrlProps/ctrlProp73.xml><?xml version="1.0" encoding="utf-8"?>
<formControlPr xmlns="http://schemas.microsoft.com/office/spreadsheetml/2009/9/main" objectType="CheckBox" fmlaLink="BC13" lockText="1" noThreeD="1"/>
</file>

<file path=xl/ctrlProps/ctrlProp74.xml><?xml version="1.0" encoding="utf-8"?>
<formControlPr xmlns="http://schemas.microsoft.com/office/spreadsheetml/2009/9/main" objectType="CheckBox" fmlaLink="BC14" lockText="1" noThreeD="1"/>
</file>

<file path=xl/ctrlProps/ctrlProp75.xml><?xml version="1.0" encoding="utf-8"?>
<formControlPr xmlns="http://schemas.microsoft.com/office/spreadsheetml/2009/9/main" objectType="CheckBox" fmlaLink="BC8" lockText="1" noThreeD="1"/>
</file>

<file path=xl/ctrlProps/ctrlProp76.xml><?xml version="1.0" encoding="utf-8"?>
<formControlPr xmlns="http://schemas.microsoft.com/office/spreadsheetml/2009/9/main" objectType="CheckBox" fmlaLink="BC18" lockText="1" noThreeD="1"/>
</file>

<file path=xl/ctrlProps/ctrlProp77.xml><?xml version="1.0" encoding="utf-8"?>
<formControlPr xmlns="http://schemas.microsoft.com/office/spreadsheetml/2009/9/main" objectType="Radio" lockText="1" noThreeD="1"/>
</file>

<file path=xl/ctrlProps/ctrlProp78.xml><?xml version="1.0" encoding="utf-8"?>
<formControlPr xmlns="http://schemas.microsoft.com/office/spreadsheetml/2009/9/main" objectType="Radio" lockText="1" noThreeD="1"/>
</file>

<file path=xl/ctrlProps/ctrlProp79.xml><?xml version="1.0" encoding="utf-8"?>
<formControlPr xmlns="http://schemas.microsoft.com/office/spreadsheetml/2009/9/main" objectType="Radio" lockText="1" noThreeD="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Radio" checked="Checked" firstButton="1" fmlaLink="B3" lockText="1" noThreeD="1"/>
</file>

<file path=xl/ctrlProps/ctrlProp88.xml><?xml version="1.0" encoding="utf-8"?>
<formControlPr xmlns="http://schemas.microsoft.com/office/spreadsheetml/2009/9/main" objectType="Radio" lockText="1" noThreeD="1"/>
</file>

<file path=xl/ctrlProps/ctrlProp89.xml><?xml version="1.0" encoding="utf-8"?>
<formControlPr xmlns="http://schemas.microsoft.com/office/spreadsheetml/2009/9/main" objectType="Radio" lockText="1" noThreeD="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Radio" checked="Checked" firstButton="1" fmlaLink="B3" lockText="1" noThreeD="1"/>
</file>

<file path=xl/ctrlProps/ctrlProp96.xml><?xml version="1.0" encoding="utf-8"?>
<formControlPr xmlns="http://schemas.microsoft.com/office/spreadsheetml/2009/9/main" objectType="Radio" lockText="1" noThreeD="1"/>
</file>

<file path=xl/ctrlProps/ctrlProp97.xml><?xml version="1.0" encoding="utf-8"?>
<formControlPr xmlns="http://schemas.microsoft.com/office/spreadsheetml/2009/9/main" objectType="Radio" lockText="1" noThreeD="1"/>
</file>

<file path=xl/ctrlProps/ctrlProp98.xml><?xml version="1.0" encoding="utf-8"?>
<formControlPr xmlns="http://schemas.microsoft.com/office/spreadsheetml/2009/9/main" objectType="Radio" lockText="1" noThreeD="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Radio" checked="Checked" firstButton="1" fmlaLink="B3" lockText="1" noThreeD="1"/>
</file>

<file path=xl/ctrlProps/ctrlProp104.xml><?xml version="1.0" encoding="utf-8"?>
<formControlPr xmlns="http://schemas.microsoft.com/office/spreadsheetml/2009/9/main" objectType="Radio" lockText="1" noThreeD="1"/>
</file>

<file path=xl/ctrlProps/ctrlProp105.xml><?xml version="1.0" encoding="utf-8"?>
<formControlPr xmlns="http://schemas.microsoft.com/office/spreadsheetml/2009/9/main" objectType="Radio" lockText="1" noThreeD="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Radio" checked="Checked" firstButton="1" fmlaLink="$M$9" lockText="1" noThreeD="1"/>
</file>

<file path=xl/ctrlProps/ctrlProp112.xml><?xml version="1.0" encoding="utf-8"?>
<formControlPr xmlns="http://schemas.microsoft.com/office/spreadsheetml/2009/9/main" objectType="Radio" lockText="1" noThreeD="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CheckBox" fmlaLink="$AL$3:$AO$27" lockText="1" noThreeD="1"/>
</file>

<file path=xl/ctrlProps/ctrlProp115.xml><?xml version="1.0" encoding="utf-8"?>
<formControlPr xmlns="http://schemas.microsoft.com/office/spreadsheetml/2009/9/main" objectType="CheckBox" fmlaLink="$AJ$3:$AJ$3606" lockText="1" noThreeD="1"/>
</file>

<file path=xl/ctrlProps/ctrlProp116.xml><?xml version="1.0" encoding="utf-8"?>
<formControlPr xmlns="http://schemas.microsoft.com/office/spreadsheetml/2009/9/main" objectType="CheckBox" fmlaLink="$AK$3:$AK$27" lockText="1" noThreeD="1"/>
</file>

<file path=xl/ctrlProps/ctrlProp117.xml><?xml version="1.0" encoding="utf-8"?>
<formControlPr xmlns="http://schemas.microsoft.com/office/spreadsheetml/2009/9/main" objectType="CheckBox" fmlaLink="$AP$3:$AP$27" lockText="1" noThreeD="1"/>
</file>

<file path=xl/ctrlProps/ctrlProp118.xml><?xml version="1.0" encoding="utf-8"?>
<formControlPr xmlns="http://schemas.microsoft.com/office/spreadsheetml/2009/9/main" objectType="CheckBox" fmlaLink="$AQ$3:$AQ$27" lockText="1" noThreeD="1"/>
</file>

<file path=xl/ctrlProps/ctrlProp119.xml><?xml version="1.0" encoding="utf-8"?>
<formControlPr xmlns="http://schemas.microsoft.com/office/spreadsheetml/2009/9/main" objectType="CheckBox" fmlaLink="$AR$3:$AR$27" lockText="1" noThreeD="1"/>
</file>

<file path=xl/ctrlProps/ctrlProp120.xml><?xml version="1.0" encoding="utf-8"?>
<formControlPr xmlns="http://schemas.microsoft.com/office/spreadsheetml/2009/9/main" objectType="CheckBox" fmlaLink="$AI$3:$AI$27" lockText="1" noThreeD="1"/>
</file>

<file path=xl/ctrlProps/ctrlProp121.xml><?xml version="1.0" encoding="utf-8"?>
<formControlPr xmlns="http://schemas.microsoft.com/office/spreadsheetml/2009/9/main" objectType="CheckBox" fmlaLink="$AS$3:$AS$27" lockText="1" noThreeD="1"/>
</file>

<file path=xl/ctrlProps/ctrlProp122.xml><?xml version="1.0" encoding="utf-8"?>
<formControlPr xmlns="http://schemas.microsoft.com/office/spreadsheetml/2009/9/main" objectType="Radio" checked="Checked" firstButton="1" fmlaLink="$J$3" lockText="1"/>
</file>

<file path=xl/ctrlProps/ctrlProp123.xml><?xml version="1.0" encoding="utf-8"?>
<formControlPr xmlns="http://schemas.microsoft.com/office/spreadsheetml/2009/9/main" objectType="Radio" lockText="1"/>
</file>

<file path=xl/ctrlProps/ctrlProp124.xml><?xml version="1.0" encoding="utf-8"?>
<formControlPr xmlns="http://schemas.microsoft.com/office/spreadsheetml/2009/9/main" objectType="Radio"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Radio" firstButton="1" fmlaLink="$E$3" lockText="1" noThreeD="1"/>
</file>

<file path=xl/ctrlProps/ctrlProp127.xml><?xml version="1.0" encoding="utf-8"?>
<formControlPr xmlns="http://schemas.microsoft.com/office/spreadsheetml/2009/9/main" objectType="Radio" lockText="1" noThreeD="1"/>
</file>

<file path=xl/ctrlProps/ctrlProp128.xml><?xml version="1.0" encoding="utf-8"?>
<formControlPr xmlns="http://schemas.microsoft.com/office/spreadsheetml/2009/9/main" objectType="Radio" checked="Checked" lockText="1" noThreeD="1"/>
</file>

<file path=xl/ctrlProps/ctrlProp129.xml><?xml version="1.0" encoding="utf-8"?>
<formControlPr xmlns="http://schemas.microsoft.com/office/spreadsheetml/2009/9/main" objectType="Radio" lockText="1" noThreeD="1"/>
</file>

<file path=xl/ctrlProps/ctrlProp130.xml><?xml version="1.0" encoding="utf-8"?>
<formControlPr xmlns="http://schemas.microsoft.com/office/spreadsheetml/2009/9/main" objectType="Radio" lockText="1" noThreeD="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Radio" checked="Checked" firstButton="1" fmlaLink="B3" lockText="1" noThreeD="1"/>
</file>

<file path=xl/ctrlProps/ctrlProp135.xml><?xml version="1.0" encoding="utf-8"?>
<formControlPr xmlns="http://schemas.microsoft.com/office/spreadsheetml/2009/9/main" objectType="Radio" lockText="1" noThreeD="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Radio" checked="Checked" firstButton="1" fmlaLink="$B$3" lockText="1" noThreeD="1"/>
</file>

<file path=xl/ctrlProps/ctrlProp140.xml><?xml version="1.0" encoding="utf-8"?>
<formControlPr xmlns="http://schemas.microsoft.com/office/spreadsheetml/2009/9/main" objectType="Radio" lockText="1" noThreeD="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Radio" firstButton="1" fmlaLink="$B$3" lockText="1" noThreeD="1"/>
</file>

<file path=xl/ctrlProps/ctrlProp145.xml><?xml version="1.0" encoding="utf-8"?>
<formControlPr xmlns="http://schemas.microsoft.com/office/spreadsheetml/2009/9/main" objectType="Radio" lockText="1" noThreeD="1"/>
</file>

<file path=xl/ctrlProps/ctrlProp146.xml><?xml version="1.0" encoding="utf-8"?>
<formControlPr xmlns="http://schemas.microsoft.com/office/spreadsheetml/2009/9/main" objectType="Radio" checked="Checked" lockText="1" noThreeD="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Radio" checked="Checked" firstButton="1" fmlaLink="$B$3" lockText="1"/>
</file>

<file path=xl/ctrlProps/ctrlProp153.xml><?xml version="1.0" encoding="utf-8"?>
<formControlPr xmlns="http://schemas.microsoft.com/office/spreadsheetml/2009/9/main" objectType="Radio"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Radio" firstButton="1" fmlaLink="$A$1" lockText="1" noThreeD="1"/>
</file>

<file path=xl/ctrlProps/ctrlProp162.xml><?xml version="1.0" encoding="utf-8"?>
<formControlPr xmlns="http://schemas.microsoft.com/office/spreadsheetml/2009/9/main" objectType="Radio" lockText="1" noThreeD="1"/>
</file>

<file path=xl/ctrlProps/ctrlProp163.xml><?xml version="1.0" encoding="utf-8"?>
<formControlPr xmlns="http://schemas.microsoft.com/office/spreadsheetml/2009/9/main" objectType="Radio" lockText="1" noThreeD="1"/>
</file>

<file path=xl/ctrlProps/ctrlProp164.xml><?xml version="1.0" encoding="utf-8"?>
<formControlPr xmlns="http://schemas.microsoft.com/office/spreadsheetml/2009/9/main" objectType="Radio" checked="Checked" lockText="1" noThreeD="1"/>
</file>

<file path=xl/ctrlProps/ctrlProp165.xml><?xml version="1.0" encoding="utf-8"?>
<formControlPr xmlns="http://schemas.microsoft.com/office/spreadsheetml/2009/9/main" objectType="Radio" lockText="1" noThreeD="1"/>
</file>

<file path=xl/ctrlProps/ctrlProp166.xml><?xml version="1.0" encoding="utf-8"?>
<formControlPr xmlns="http://schemas.microsoft.com/office/spreadsheetml/2009/9/main" objectType="Radio" lockText="1" noThreeD="1"/>
</file>

<file path=xl/ctrlProps/ctrlProp167.xml><?xml version="1.0" encoding="utf-8"?>
<formControlPr xmlns="http://schemas.microsoft.com/office/spreadsheetml/2009/9/main" objectType="Radio" lockText="1" noThreeD="1"/>
</file>

<file path=xl/ctrlProps/ctrlProp168.xml><?xml version="1.0" encoding="utf-8"?>
<formControlPr xmlns="http://schemas.microsoft.com/office/spreadsheetml/2009/9/main" objectType="Radio" lockText="1" noThreeD="1"/>
</file>

<file path=xl/ctrlProps/ctrlProp169.xml><?xml version="1.0" encoding="utf-8"?>
<formControlPr xmlns="http://schemas.microsoft.com/office/spreadsheetml/2009/9/main" objectType="Radio" lockText="1" noThreeD="1"/>
</file>

<file path=xl/ctrlProps/ctrlProp170.xml><?xml version="1.0" encoding="utf-8"?>
<formControlPr xmlns="http://schemas.microsoft.com/office/spreadsheetml/2009/9/main" objectType="Radio" lockText="1" noThreeD="1"/>
</file>

<file path=xl/ctrlProps/ctrlProp171.xml><?xml version="1.0" encoding="utf-8"?>
<formControlPr xmlns="http://schemas.microsoft.com/office/spreadsheetml/2009/9/main" objectType="Radio" lockText="1" noThreeD="1"/>
</file>

<file path=xl/ctrlProps/ctrlProp172.xml><?xml version="1.0" encoding="utf-8"?>
<formControlPr xmlns="http://schemas.microsoft.com/office/spreadsheetml/2009/9/main" objectType="Radio" lockText="1" noThreeD="1"/>
</file>

<file path=xl/ctrlProps/ctrlProp17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hyperlink" Target="mailto:benjamin.leung@wspgroup.com.hk" TargetMode="External"/><Relationship Id="rId2" Type="http://schemas.microsoft.com/office/2007/relationships/hdphoto" Target="../media/hdphoto1.wdp"/><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png"/><Relationship Id="rId4" Type="http://schemas.openxmlformats.org/officeDocument/2006/relationships/chart" Target="../charts/chart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20</xdr:col>
      <xdr:colOff>9525</xdr:colOff>
      <xdr:row>3</xdr:row>
      <xdr:rowOff>85725</xdr:rowOff>
    </xdr:from>
    <xdr:to>
      <xdr:col>32</xdr:col>
      <xdr:colOff>175187</xdr:colOff>
      <xdr:row>30</xdr:row>
      <xdr:rowOff>0</xdr:rowOff>
    </xdr:to>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1">
          <a:clrChange>
            <a:clrFrom>
              <a:srgbClr val="000000"/>
            </a:clrFrom>
            <a:clrTo>
              <a:srgbClr val="000000">
                <a:alpha val="0"/>
              </a:srgbClr>
            </a:clrTo>
          </a:clrChange>
          <a:duotone>
            <a:schemeClr val="bg2">
              <a:shade val="45000"/>
              <a:satMod val="135000"/>
            </a:schemeClr>
            <a:prstClr val="white"/>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90500" y="657225"/>
          <a:ext cx="6137837" cy="4286250"/>
        </a:xfrm>
        <a:prstGeom prst="rect">
          <a:avLst/>
        </a:prstGeom>
      </xdr:spPr>
    </xdr:pic>
    <xdr:clientData/>
  </xdr:twoCellAnchor>
  <mc:AlternateContent xmlns:mc="http://schemas.openxmlformats.org/markup-compatibility/2006">
    <mc:Choice xmlns:a14="http://schemas.microsoft.com/office/drawing/2010/main" Requires="a14">
      <xdr:twoCellAnchor>
        <xdr:from>
          <xdr:col>21</xdr:col>
          <xdr:colOff>12700</xdr:colOff>
          <xdr:row>5</xdr:row>
          <xdr:rowOff>12700</xdr:rowOff>
        </xdr:from>
        <xdr:to>
          <xdr:col>24</xdr:col>
          <xdr:colOff>12700</xdr:colOff>
          <xdr:row>7</xdr:row>
          <xdr:rowOff>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000-000001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900" b="1" i="0" u="none" strike="noStrike" baseline="0">
                  <a:solidFill>
                    <a:srgbClr val="000000"/>
                  </a:solidFill>
                  <a:latin typeface="Arial"/>
                  <a:cs typeface="Arial"/>
                </a:rPr>
                <a:t>Air-side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12700</xdr:colOff>
          <xdr:row>14</xdr:row>
          <xdr:rowOff>12700</xdr:rowOff>
        </xdr:from>
        <xdr:to>
          <xdr:col>24</xdr:col>
          <xdr:colOff>12700</xdr:colOff>
          <xdr:row>16</xdr:row>
          <xdr:rowOff>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000-000004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900" b="1" i="0" u="none" strike="noStrike" baseline="0">
                  <a:solidFill>
                    <a:srgbClr val="000000"/>
                  </a:solidFill>
                  <a:latin typeface="Arial"/>
                  <a:cs typeface="Arial"/>
                </a:rPr>
                <a:t>Psychrometric Chart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12700</xdr:colOff>
          <xdr:row>17</xdr:row>
          <xdr:rowOff>12700</xdr:rowOff>
        </xdr:from>
        <xdr:to>
          <xdr:col>24</xdr:col>
          <xdr:colOff>12700</xdr:colOff>
          <xdr:row>19</xdr:row>
          <xdr:rowOff>12700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000-000005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900" b="1" i="0" u="none" strike="noStrike" baseline="0">
                  <a:solidFill>
                    <a:srgbClr val="000000"/>
                  </a:solidFill>
                  <a:latin typeface="Arial"/>
                  <a:cs typeface="Arial"/>
                </a:rPr>
                <a:t>Pipe Sizing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12700</xdr:colOff>
          <xdr:row>20</xdr:row>
          <xdr:rowOff>12700</xdr:rowOff>
        </xdr:from>
        <xdr:to>
          <xdr:col>24</xdr:col>
          <xdr:colOff>12700</xdr:colOff>
          <xdr:row>22</xdr:row>
          <xdr:rowOff>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000-000006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900" b="1" i="0" u="none" strike="noStrike" baseline="0">
                  <a:solidFill>
                    <a:srgbClr val="000000"/>
                  </a:solidFill>
                  <a:latin typeface="Arial"/>
                  <a:cs typeface="Arial"/>
                </a:rPr>
                <a:t>Static &amp; Motor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12700</xdr:colOff>
          <xdr:row>20</xdr:row>
          <xdr:rowOff>12700</xdr:rowOff>
        </xdr:from>
        <xdr:to>
          <xdr:col>28</xdr:col>
          <xdr:colOff>12700</xdr:colOff>
          <xdr:row>22</xdr:row>
          <xdr:rowOff>0</xdr:rowOff>
        </xdr:to>
        <xdr:sp macro="" textlink="">
          <xdr:nvSpPr>
            <xdr:cNvPr id="19463" name="Button 7" hidden="1">
              <a:extLst>
                <a:ext uri="{63B3BB69-23CF-44E3-9099-C40C66FF867C}">
                  <a14:compatExt spid="_x0000_s19463"/>
                </a:ext>
                <a:ext uri="{FF2B5EF4-FFF2-40B4-BE49-F238E27FC236}">
                  <a16:creationId xmlns:a16="http://schemas.microsoft.com/office/drawing/2014/main" id="{00000000-0008-0000-0000-000007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900" b="1" i="0" u="none" strike="noStrike" baseline="0">
                  <a:solidFill>
                    <a:srgbClr val="000000"/>
                  </a:solidFill>
                  <a:latin typeface="Arial"/>
                  <a:cs typeface="Arial"/>
                </a:rPr>
                <a:t>Fan Coil Units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0</xdr:colOff>
          <xdr:row>26</xdr:row>
          <xdr:rowOff>12700</xdr:rowOff>
        </xdr:from>
        <xdr:to>
          <xdr:col>28</xdr:col>
          <xdr:colOff>0</xdr:colOff>
          <xdr:row>28</xdr:row>
          <xdr:rowOff>12700</xdr:rowOff>
        </xdr:to>
        <xdr:sp macro="" textlink="">
          <xdr:nvSpPr>
            <xdr:cNvPr id="19464" name="Button 8" hidden="1">
              <a:extLst>
                <a:ext uri="{63B3BB69-23CF-44E3-9099-C40C66FF867C}">
                  <a14:compatExt spid="_x0000_s19464"/>
                </a:ext>
                <a:ext uri="{FF2B5EF4-FFF2-40B4-BE49-F238E27FC236}">
                  <a16:creationId xmlns:a16="http://schemas.microsoft.com/office/drawing/2014/main" id="{00000000-0008-0000-0000-000008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900" b="1" i="0" u="none" strike="noStrike" baseline="0">
                  <a:solidFill>
                    <a:srgbClr val="000000"/>
                  </a:solidFill>
                  <a:latin typeface="Arial"/>
                  <a:cs typeface="Arial"/>
                </a:rPr>
                <a:t>Insulations &amp; Pipe Materials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12700</xdr:colOff>
          <xdr:row>14</xdr:row>
          <xdr:rowOff>12700</xdr:rowOff>
        </xdr:from>
        <xdr:to>
          <xdr:col>28</xdr:col>
          <xdr:colOff>12700</xdr:colOff>
          <xdr:row>16</xdr:row>
          <xdr:rowOff>12700</xdr:rowOff>
        </xdr:to>
        <xdr:sp macro="" textlink="">
          <xdr:nvSpPr>
            <xdr:cNvPr id="19492" name="Button 36" hidden="1">
              <a:extLst>
                <a:ext uri="{63B3BB69-23CF-44E3-9099-C40C66FF867C}">
                  <a14:compatExt spid="_x0000_s19492"/>
                </a:ext>
                <a:ext uri="{FF2B5EF4-FFF2-40B4-BE49-F238E27FC236}">
                  <a16:creationId xmlns:a16="http://schemas.microsoft.com/office/drawing/2014/main" id="{00000000-0008-0000-0000-000024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900" b="1" i="0" u="none" strike="noStrike" baseline="0">
                  <a:solidFill>
                    <a:srgbClr val="000000"/>
                  </a:solidFill>
                  <a:latin typeface="Arial"/>
                  <a:cs typeface="Arial"/>
                </a:rPr>
                <a:t>AHU / PAU Selection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12700</xdr:colOff>
          <xdr:row>23</xdr:row>
          <xdr:rowOff>12700</xdr:rowOff>
        </xdr:from>
        <xdr:to>
          <xdr:col>24</xdr:col>
          <xdr:colOff>12700</xdr:colOff>
          <xdr:row>25</xdr:row>
          <xdr:rowOff>12700</xdr:rowOff>
        </xdr:to>
        <xdr:sp macro="" textlink="">
          <xdr:nvSpPr>
            <xdr:cNvPr id="19493" name="Button 37" hidden="1">
              <a:extLst>
                <a:ext uri="{63B3BB69-23CF-44E3-9099-C40C66FF867C}">
                  <a14:compatExt spid="_x0000_s19493"/>
                </a:ext>
                <a:ext uri="{FF2B5EF4-FFF2-40B4-BE49-F238E27FC236}">
                  <a16:creationId xmlns:a16="http://schemas.microsoft.com/office/drawing/2014/main" id="{00000000-0008-0000-0000-000025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900" b="1" i="0" u="none" strike="noStrike" baseline="0">
                  <a:solidFill>
                    <a:srgbClr val="000000"/>
                  </a:solidFill>
                  <a:latin typeface="Arial"/>
                  <a:cs typeface="Arial"/>
                </a:rPr>
                <a:t>Acoustics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12700</xdr:colOff>
          <xdr:row>17</xdr:row>
          <xdr:rowOff>12700</xdr:rowOff>
        </xdr:from>
        <xdr:to>
          <xdr:col>28</xdr:col>
          <xdr:colOff>12700</xdr:colOff>
          <xdr:row>19</xdr:row>
          <xdr:rowOff>12700</xdr:rowOff>
        </xdr:to>
        <xdr:sp macro="" textlink="">
          <xdr:nvSpPr>
            <xdr:cNvPr id="19501" name="Button 45" hidden="1">
              <a:extLst>
                <a:ext uri="{63B3BB69-23CF-44E3-9099-C40C66FF867C}">
                  <a14:compatExt spid="_x0000_s19501"/>
                </a:ext>
                <a:ext uri="{FF2B5EF4-FFF2-40B4-BE49-F238E27FC236}">
                  <a16:creationId xmlns:a16="http://schemas.microsoft.com/office/drawing/2014/main" id="{00000000-0008-0000-0000-00002D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900" b="1" i="0" u="none" strike="noStrike" baseline="0">
                  <a:solidFill>
                    <a:srgbClr val="000000"/>
                  </a:solidFill>
                  <a:latin typeface="Arial"/>
                  <a:cs typeface="Arial"/>
                </a:rPr>
                <a:t>Fan Selection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12700</xdr:colOff>
          <xdr:row>8</xdr:row>
          <xdr:rowOff>12700</xdr:rowOff>
        </xdr:from>
        <xdr:to>
          <xdr:col>24</xdr:col>
          <xdr:colOff>12700</xdr:colOff>
          <xdr:row>10</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000-000003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900" b="1" i="0" u="none" strike="noStrike" baseline="0">
                  <a:solidFill>
                    <a:srgbClr val="000000"/>
                  </a:solidFill>
                  <a:latin typeface="Arial"/>
                  <a:cs typeface="Arial"/>
                </a:rPr>
                <a:t>Coil Load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12700</xdr:colOff>
          <xdr:row>5</xdr:row>
          <xdr:rowOff>12700</xdr:rowOff>
        </xdr:from>
        <xdr:to>
          <xdr:col>28</xdr:col>
          <xdr:colOff>12700</xdr:colOff>
          <xdr:row>7</xdr:row>
          <xdr:rowOff>12700</xdr:rowOff>
        </xdr:to>
        <xdr:sp macro="" textlink="">
          <xdr:nvSpPr>
            <xdr:cNvPr id="19590" name="Button 134" hidden="1">
              <a:extLst>
                <a:ext uri="{63B3BB69-23CF-44E3-9099-C40C66FF867C}">
                  <a14:compatExt spid="_x0000_s19590"/>
                </a:ext>
                <a:ext uri="{FF2B5EF4-FFF2-40B4-BE49-F238E27FC236}">
                  <a16:creationId xmlns:a16="http://schemas.microsoft.com/office/drawing/2014/main" id="{00000000-0008-0000-0000-000086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900" b="1" i="0" u="none" strike="noStrike" baseline="0">
                  <a:solidFill>
                    <a:srgbClr val="000000"/>
                  </a:solidFill>
                  <a:latin typeface="Arial"/>
                  <a:cs typeface="Arial"/>
                </a:rPr>
                <a:t>Cooling Load &amp; Chillers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12700</xdr:colOff>
          <xdr:row>11</xdr:row>
          <xdr:rowOff>12700</xdr:rowOff>
        </xdr:from>
        <xdr:to>
          <xdr:col>28</xdr:col>
          <xdr:colOff>12700</xdr:colOff>
          <xdr:row>13</xdr:row>
          <xdr:rowOff>12700</xdr:rowOff>
        </xdr:to>
        <xdr:sp macro="" textlink="">
          <xdr:nvSpPr>
            <xdr:cNvPr id="19591" name="Button 135" hidden="1">
              <a:extLst>
                <a:ext uri="{63B3BB69-23CF-44E3-9099-C40C66FF867C}">
                  <a14:compatExt spid="_x0000_s19591"/>
                </a:ext>
                <a:ext uri="{FF2B5EF4-FFF2-40B4-BE49-F238E27FC236}">
                  <a16:creationId xmlns:a16="http://schemas.microsoft.com/office/drawing/2014/main" id="{00000000-0008-0000-0000-000087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900" b="1" i="0" u="none" strike="noStrike" baseline="0">
                  <a:solidFill>
                    <a:srgbClr val="000000"/>
                  </a:solidFill>
                  <a:latin typeface="Arial"/>
                  <a:cs typeface="Arial"/>
                </a:rPr>
                <a:t>Heat Exchanger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12700</xdr:colOff>
          <xdr:row>8</xdr:row>
          <xdr:rowOff>12700</xdr:rowOff>
        </xdr:from>
        <xdr:to>
          <xdr:col>32</xdr:col>
          <xdr:colOff>12700</xdr:colOff>
          <xdr:row>10</xdr:row>
          <xdr:rowOff>12700</xdr:rowOff>
        </xdr:to>
        <xdr:sp macro="" textlink="">
          <xdr:nvSpPr>
            <xdr:cNvPr id="19592" name="Button 136" hidden="1">
              <a:extLst>
                <a:ext uri="{63B3BB69-23CF-44E3-9099-C40C66FF867C}">
                  <a14:compatExt spid="_x0000_s19592"/>
                </a:ext>
                <a:ext uri="{FF2B5EF4-FFF2-40B4-BE49-F238E27FC236}">
                  <a16:creationId xmlns:a16="http://schemas.microsoft.com/office/drawing/2014/main" id="{00000000-0008-0000-0000-000088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900" b="1" i="0" u="none" strike="noStrike" baseline="0">
                  <a:solidFill>
                    <a:srgbClr val="000000"/>
                  </a:solidFill>
                  <a:latin typeface="Arial"/>
                  <a:cs typeface="Arial"/>
                </a:rPr>
                <a:t>Net Positive Suction Head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29</xdr:row>
          <xdr:rowOff>76200</xdr:rowOff>
        </xdr:from>
        <xdr:to>
          <xdr:col>23</xdr:col>
          <xdr:colOff>222250</xdr:colOff>
          <xdr:row>31</xdr:row>
          <xdr:rowOff>76200</xdr:rowOff>
        </xdr:to>
        <xdr:sp macro="" textlink="">
          <xdr:nvSpPr>
            <xdr:cNvPr id="19594" name="Button 138" hidden="1">
              <a:extLst>
                <a:ext uri="{63B3BB69-23CF-44E3-9099-C40C66FF867C}">
                  <a14:compatExt spid="_x0000_s19594"/>
                </a:ext>
                <a:ext uri="{FF2B5EF4-FFF2-40B4-BE49-F238E27FC236}">
                  <a16:creationId xmlns:a16="http://schemas.microsoft.com/office/drawing/2014/main" id="{00000000-0008-0000-0000-00008A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900" b="1" i="0" u="none" strike="noStrike" baseline="0">
                  <a:solidFill>
                    <a:srgbClr val="000000"/>
                  </a:solidFill>
                  <a:latin typeface="Arial"/>
                  <a:cs typeface="Arial"/>
                </a:rPr>
                <a:t>Equipment Websites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12700</xdr:colOff>
          <xdr:row>8</xdr:row>
          <xdr:rowOff>12700</xdr:rowOff>
        </xdr:from>
        <xdr:to>
          <xdr:col>28</xdr:col>
          <xdr:colOff>12700</xdr:colOff>
          <xdr:row>10</xdr:row>
          <xdr:rowOff>0</xdr:rowOff>
        </xdr:to>
        <xdr:sp macro="" textlink="">
          <xdr:nvSpPr>
            <xdr:cNvPr id="19595" name="Button 139" hidden="1">
              <a:extLst>
                <a:ext uri="{63B3BB69-23CF-44E3-9099-C40C66FF867C}">
                  <a14:compatExt spid="_x0000_s19595"/>
                </a:ext>
                <a:ext uri="{FF2B5EF4-FFF2-40B4-BE49-F238E27FC236}">
                  <a16:creationId xmlns:a16="http://schemas.microsoft.com/office/drawing/2014/main" id="{00000000-0008-0000-0000-00008B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900" b="1" i="0" u="none" strike="noStrike" baseline="0">
                  <a:solidFill>
                    <a:srgbClr val="000000"/>
                  </a:solidFill>
                  <a:latin typeface="Arial"/>
                  <a:cs typeface="Arial"/>
                </a:rPr>
                <a:t>Boiler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23</xdr:col>
          <xdr:colOff>317500</xdr:colOff>
          <xdr:row>29</xdr:row>
          <xdr:rowOff>76200</xdr:rowOff>
        </xdr:from>
        <xdr:to>
          <xdr:col>26</xdr:col>
          <xdr:colOff>285750</xdr:colOff>
          <xdr:row>31</xdr:row>
          <xdr:rowOff>76200</xdr:rowOff>
        </xdr:to>
        <xdr:sp macro="" textlink="">
          <xdr:nvSpPr>
            <xdr:cNvPr id="19597" name="Button 141" hidden="1">
              <a:extLst>
                <a:ext uri="{63B3BB69-23CF-44E3-9099-C40C66FF867C}">
                  <a14:compatExt spid="_x0000_s19597"/>
                </a:ext>
                <a:ext uri="{FF2B5EF4-FFF2-40B4-BE49-F238E27FC236}">
                  <a16:creationId xmlns:a16="http://schemas.microsoft.com/office/drawing/2014/main" id="{00000000-0008-0000-0000-00008D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900" b="1" i="0" u="none" strike="noStrike" baseline="0">
                  <a:solidFill>
                    <a:srgbClr val="000000"/>
                  </a:solidFill>
                  <a:latin typeface="Arial"/>
                  <a:cs typeface="Arial"/>
                </a:rPr>
                <a:t>Suppliers' Contact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12700</xdr:colOff>
          <xdr:row>5</xdr:row>
          <xdr:rowOff>12700</xdr:rowOff>
        </xdr:from>
        <xdr:to>
          <xdr:col>32</xdr:col>
          <xdr:colOff>12700</xdr:colOff>
          <xdr:row>7</xdr:row>
          <xdr:rowOff>12700</xdr:rowOff>
        </xdr:to>
        <xdr:sp macro="" textlink="">
          <xdr:nvSpPr>
            <xdr:cNvPr id="19598" name="Button 142" hidden="1">
              <a:extLst>
                <a:ext uri="{63B3BB69-23CF-44E3-9099-C40C66FF867C}">
                  <a14:compatExt spid="_x0000_s19598"/>
                </a:ext>
                <a:ext uri="{FF2B5EF4-FFF2-40B4-BE49-F238E27FC236}">
                  <a16:creationId xmlns:a16="http://schemas.microsoft.com/office/drawing/2014/main" id="{00000000-0008-0000-0000-00008E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900" b="1" i="0" u="none" strike="noStrike" baseline="0">
                  <a:solidFill>
                    <a:srgbClr val="000000"/>
                  </a:solidFill>
                  <a:latin typeface="Arial"/>
                  <a:cs typeface="Arial"/>
                </a:rPr>
                <a:t>System Pressure</a:t>
              </a:r>
            </a:p>
            <a:p>
              <a:pPr algn="ctr" rtl="0">
                <a:defRPr sz="1000"/>
              </a:pPr>
              <a:r>
                <a:rPr lang="zh-TW" altLang="en-US" sz="900" b="1" i="0" u="none" strike="noStrike" baseline="0">
                  <a:solidFill>
                    <a:srgbClr val="000000"/>
                  </a:solidFill>
                  <a:latin typeface="Arial"/>
                  <a:cs typeface="Arial"/>
                </a:rPr>
                <a:t>PN Grade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30</xdr:col>
          <xdr:colOff>381000</xdr:colOff>
          <xdr:row>29</xdr:row>
          <xdr:rowOff>107950</xdr:rowOff>
        </xdr:from>
        <xdr:to>
          <xdr:col>32</xdr:col>
          <xdr:colOff>0</xdr:colOff>
          <xdr:row>31</xdr:row>
          <xdr:rowOff>107950</xdr:rowOff>
        </xdr:to>
        <xdr:sp macro="" textlink="">
          <xdr:nvSpPr>
            <xdr:cNvPr id="19619" name="Button 163" hidden="1">
              <a:extLst>
                <a:ext uri="{63B3BB69-23CF-44E3-9099-C40C66FF867C}">
                  <a14:compatExt spid="_x0000_s19619"/>
                </a:ext>
                <a:ext uri="{FF2B5EF4-FFF2-40B4-BE49-F238E27FC236}">
                  <a16:creationId xmlns:a16="http://schemas.microsoft.com/office/drawing/2014/main" id="{00000000-0008-0000-0000-0000A34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TW" altLang="en-US" sz="1800" b="1" i="0" u="none" strike="noStrike" baseline="0">
                  <a:solidFill>
                    <a:srgbClr val="FF0000"/>
                  </a:solidFill>
                  <a:latin typeface="Arial"/>
                  <a:cs typeface="Arial"/>
                </a:rPr>
                <a:t>Close</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12700</xdr:colOff>
          <xdr:row>11</xdr:row>
          <xdr:rowOff>12700</xdr:rowOff>
        </xdr:from>
        <xdr:to>
          <xdr:col>32</xdr:col>
          <xdr:colOff>12700</xdr:colOff>
          <xdr:row>13</xdr:row>
          <xdr:rowOff>12700</xdr:rowOff>
        </xdr:to>
        <xdr:sp macro="" textlink="">
          <xdr:nvSpPr>
            <xdr:cNvPr id="19621" name="Button 165" hidden="1">
              <a:extLst>
                <a:ext uri="{63B3BB69-23CF-44E3-9099-C40C66FF867C}">
                  <a14:compatExt spid="_x0000_s19621"/>
                </a:ext>
                <a:ext uri="{FF2B5EF4-FFF2-40B4-BE49-F238E27FC236}">
                  <a16:creationId xmlns:a16="http://schemas.microsoft.com/office/drawing/2014/main" id="{00000000-0008-0000-0000-0000A5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900" b="1" i="0" u="none" strike="noStrike" baseline="0">
                  <a:solidFill>
                    <a:srgbClr val="000000"/>
                  </a:solidFill>
                  <a:latin typeface="Arial"/>
                  <a:cs typeface="Arial"/>
                </a:rPr>
                <a:t>Staircase Pressurization</a:t>
              </a:r>
            </a:p>
            <a:p>
              <a:pPr algn="ctr" rtl="0">
                <a:defRPr sz="1000"/>
              </a:pPr>
              <a:r>
                <a:rPr lang="zh-TW" altLang="en-US" sz="900" b="1" i="0" u="none" strike="noStrike" baseline="0">
                  <a:solidFill>
                    <a:srgbClr val="000000"/>
                  </a:solidFill>
                  <a:latin typeface="Arial"/>
                  <a:cs typeface="Arial"/>
                </a:rPr>
                <a:t>(PRC)</a:t>
              </a:r>
            </a:p>
          </xdr:txBody>
        </xdr:sp>
        <xdr:clientData/>
      </xdr:twoCellAnchor>
    </mc:Choice>
    <mc:Fallback/>
  </mc:AlternateContent>
  <xdr:twoCellAnchor>
    <xdr:from>
      <xdr:col>1</xdr:col>
      <xdr:colOff>371475</xdr:colOff>
      <xdr:row>2</xdr:row>
      <xdr:rowOff>142874</xdr:rowOff>
    </xdr:from>
    <xdr:to>
      <xdr:col>12</xdr:col>
      <xdr:colOff>9525</xdr:colOff>
      <xdr:row>24</xdr:row>
      <xdr:rowOff>161923</xdr:rowOff>
    </xdr:to>
    <xdr:sp macro="" textlink="">
      <xdr:nvSpPr>
        <xdr:cNvPr id="3" name="Rounded Rectangular Callout 2">
          <a:extLst>
            <a:ext uri="{FF2B5EF4-FFF2-40B4-BE49-F238E27FC236}">
              <a16:creationId xmlns:a16="http://schemas.microsoft.com/office/drawing/2014/main" id="{00000000-0008-0000-0000-000003000000}"/>
            </a:ext>
          </a:extLst>
        </xdr:cNvPr>
        <xdr:cNvSpPr/>
      </xdr:nvSpPr>
      <xdr:spPr>
        <a:xfrm>
          <a:off x="552450" y="561974"/>
          <a:ext cx="4143375" cy="3581399"/>
        </a:xfrm>
        <a:prstGeom prst="wedgeRoundRectCallout">
          <a:avLst>
            <a:gd name="adj1" fmla="val -2335"/>
            <a:gd name="adj2" fmla="val 66533"/>
            <a:gd name="adj3" fmla="val 16667"/>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US" sz="2000" b="0" i="0" u="sng">
              <a:solidFill>
                <a:srgbClr val="7030A0"/>
              </a:solidFill>
              <a:latin typeface="Swis721 Blk BT" panose="020B0904030502020204" pitchFamily="34" charset="0"/>
              <a:cs typeface="Arial" panose="020B0604020202020204" pitchFamily="34" charset="0"/>
            </a:rPr>
            <a:t>Important</a:t>
          </a:r>
          <a:r>
            <a:rPr lang="en-US" sz="2000" b="0" i="0" u="sng" baseline="0">
              <a:solidFill>
                <a:srgbClr val="7030A0"/>
              </a:solidFill>
              <a:latin typeface="Swis721 Blk BT" panose="020B0904030502020204" pitchFamily="34" charset="0"/>
              <a:cs typeface="Arial" panose="020B0604020202020204" pitchFamily="34" charset="0"/>
            </a:rPr>
            <a:t> </a:t>
          </a:r>
          <a:r>
            <a:rPr lang="en-US" sz="2000" b="0" i="0" u="sng">
              <a:solidFill>
                <a:srgbClr val="7030A0"/>
              </a:solidFill>
              <a:latin typeface="Swis721 Blk BT" panose="020B0904030502020204" pitchFamily="34" charset="0"/>
              <a:cs typeface="Arial" panose="020B0604020202020204" pitchFamily="34" charset="0"/>
            </a:rPr>
            <a:t>Notice:</a:t>
          </a:r>
        </a:p>
        <a:p>
          <a:endParaRPr lang="en-US" sz="1100">
            <a:solidFill>
              <a:srgbClr val="7030A0"/>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600" b="0" i="0" u="none">
              <a:solidFill>
                <a:srgbClr val="669900"/>
              </a:solidFill>
              <a:latin typeface="Swis721 Blk BT" panose="020B0904030502020204" pitchFamily="34" charset="0"/>
              <a:ea typeface="+mn-ea"/>
              <a:cs typeface="Arial" panose="020B0604020202020204" pitchFamily="34" charset="0"/>
            </a:rPr>
            <a:t>Please always verify the data &amp; calculation results or consult your tutors/ seniors before using!</a:t>
          </a:r>
        </a:p>
        <a:p>
          <a:endParaRPr lang="en-US" sz="1100">
            <a:solidFill>
              <a:srgbClr val="7030A0"/>
            </a:solidFill>
            <a:effectLst/>
            <a:latin typeface="+mn-lt"/>
            <a:ea typeface="+mn-ea"/>
            <a:cs typeface="+mn-cs"/>
          </a:endParaRPr>
        </a:p>
        <a:p>
          <a:r>
            <a:rPr lang="en-US" sz="1000" i="0">
              <a:solidFill>
                <a:sysClr val="windowText" lastClr="000000"/>
              </a:solidFill>
              <a:effectLst/>
              <a:latin typeface="+mn-lt"/>
              <a:ea typeface="+mn-ea"/>
              <a:cs typeface="+mn-cs"/>
            </a:rPr>
            <a:t>This excel application endeavours to provide convenient design data and efficient</a:t>
          </a:r>
          <a:r>
            <a:rPr lang="en-US" sz="1000" i="0" baseline="0">
              <a:solidFill>
                <a:sysClr val="windowText" lastClr="000000"/>
              </a:solidFill>
              <a:effectLst/>
              <a:latin typeface="+mn-lt"/>
              <a:ea typeface="+mn-ea"/>
              <a:cs typeface="+mn-cs"/>
            </a:rPr>
            <a:t> </a:t>
          </a:r>
          <a:r>
            <a:rPr lang="en-US" sz="1000" i="0">
              <a:solidFill>
                <a:sysClr val="windowText" lastClr="000000"/>
              </a:solidFill>
              <a:effectLst/>
              <a:latin typeface="+mn-lt"/>
              <a:ea typeface="+mn-ea"/>
              <a:cs typeface="+mn-cs"/>
            </a:rPr>
            <a:t>calculation models for HVAC designers but</a:t>
          </a:r>
          <a:r>
            <a:rPr lang="en-US" sz="1000" i="0" baseline="0">
              <a:solidFill>
                <a:sysClr val="windowText" lastClr="000000"/>
              </a:solidFill>
              <a:effectLst/>
              <a:latin typeface="+mn-lt"/>
              <a:ea typeface="+mn-ea"/>
              <a:cs typeface="+mn-cs"/>
            </a:rPr>
            <a:t> </a:t>
          </a:r>
          <a:r>
            <a:rPr lang="en-US" sz="1000" i="0">
              <a:solidFill>
                <a:sysClr val="windowText" lastClr="000000"/>
              </a:solidFill>
              <a:effectLst/>
              <a:latin typeface="+mn-lt"/>
              <a:ea typeface="+mn-ea"/>
              <a:cs typeface="+mn-cs"/>
            </a:rPr>
            <a:t>is not guaranteed for its accuracy or reliability due </a:t>
          </a:r>
          <a:r>
            <a:rPr lang="en-US" sz="1000" i="0" u="none">
              <a:solidFill>
                <a:sysClr val="windowText" lastClr="000000"/>
              </a:solidFill>
              <a:effectLst/>
              <a:latin typeface="+mn-lt"/>
              <a:ea typeface="+mn-ea"/>
              <a:cs typeface="+mn-cs"/>
            </a:rPr>
            <a:t>to </a:t>
          </a:r>
          <a:r>
            <a:rPr lang="en-US" sz="1000" b="1" i="0" u="none">
              <a:solidFill>
                <a:srgbClr val="FF0000"/>
              </a:solidFill>
              <a:effectLst/>
              <a:latin typeface="+mn-lt"/>
              <a:ea typeface="+mn-ea"/>
              <a:cs typeface="+mn-cs"/>
            </a:rPr>
            <a:t>numerous assumptions and personal judgment </a:t>
          </a:r>
          <a:r>
            <a:rPr lang="en-US" sz="1000" i="0" u="none">
              <a:solidFill>
                <a:sysClr val="windowText" lastClr="000000"/>
              </a:solidFill>
              <a:effectLst/>
              <a:latin typeface="+mn-lt"/>
              <a:ea typeface="+mn-ea"/>
              <a:cs typeface="+mn-cs"/>
            </a:rPr>
            <a:t>made by the developer. Technical data provided </a:t>
          </a:r>
          <a:r>
            <a:rPr lang="en-US" sz="1000" b="1" i="0" u="none">
              <a:solidFill>
                <a:srgbClr val="FF0000"/>
              </a:solidFill>
              <a:effectLst/>
              <a:latin typeface="+mn-lt"/>
              <a:ea typeface="+mn-ea"/>
              <a:cs typeface="+mn-cs"/>
            </a:rPr>
            <a:t>may not also be up-to-date or applicable</a:t>
          </a:r>
          <a:r>
            <a:rPr lang="en-US" sz="1000" i="0" u="none">
              <a:solidFill>
                <a:srgbClr val="FF0000"/>
              </a:solidFill>
              <a:effectLst/>
              <a:latin typeface="+mn-lt"/>
              <a:ea typeface="+mn-ea"/>
              <a:cs typeface="+mn-cs"/>
            </a:rPr>
            <a:t> </a:t>
          </a:r>
          <a:r>
            <a:rPr lang="en-US" sz="1000" b="1" i="0" u="none">
              <a:solidFill>
                <a:srgbClr val="FF0000"/>
              </a:solidFill>
              <a:effectLst/>
              <a:latin typeface="+mn-lt"/>
              <a:ea typeface="+mn-ea"/>
              <a:cs typeface="+mn-cs"/>
            </a:rPr>
            <a:t>for all projects. </a:t>
          </a:r>
        </a:p>
        <a:p>
          <a:endParaRPr lang="en-US" sz="1000" b="0" i="0">
            <a:solidFill>
              <a:srgbClr val="7030A0"/>
            </a:solidFill>
            <a:effectLst/>
            <a:latin typeface="+mn-lt"/>
            <a:ea typeface="+mn-ea"/>
            <a:cs typeface="+mn-cs"/>
          </a:endParaRPr>
        </a:p>
        <a:p>
          <a:r>
            <a:rPr lang="en-US" sz="1000" b="0" i="0">
              <a:solidFill>
                <a:sysClr val="windowText" lastClr="000000"/>
              </a:solidFill>
              <a:effectLst/>
              <a:latin typeface="+mn-lt"/>
              <a:ea typeface="+mn-ea"/>
              <a:cs typeface="+mn-cs"/>
            </a:rPr>
            <a:t>The developer will bear no liability for any losses arising from any inaccuracies or omission. </a:t>
          </a:r>
        </a:p>
      </xdr:txBody>
    </xdr:sp>
    <xdr:clientData/>
  </xdr:twoCellAnchor>
  <mc:AlternateContent xmlns:mc="http://schemas.openxmlformats.org/markup-compatibility/2006">
    <mc:Choice xmlns:a14="http://schemas.microsoft.com/office/drawing/2010/main" Requires="a14">
      <xdr:twoCellAnchor>
        <xdr:from>
          <xdr:col>34</xdr:col>
          <xdr:colOff>12700</xdr:colOff>
          <xdr:row>28</xdr:row>
          <xdr:rowOff>127000</xdr:rowOff>
        </xdr:from>
        <xdr:to>
          <xdr:col>34</xdr:col>
          <xdr:colOff>603250</xdr:colOff>
          <xdr:row>32</xdr:row>
          <xdr:rowOff>38100</xdr:rowOff>
        </xdr:to>
        <xdr:sp macro="" textlink="">
          <xdr:nvSpPr>
            <xdr:cNvPr id="19630" name="Button 174" descr="Press me!" hidden="1">
              <a:extLst>
                <a:ext uri="{63B3BB69-23CF-44E3-9099-C40C66FF867C}">
                  <a14:compatExt spid="_x0000_s19630"/>
                </a:ext>
                <a:ext uri="{FF2B5EF4-FFF2-40B4-BE49-F238E27FC236}">
                  <a16:creationId xmlns:a16="http://schemas.microsoft.com/office/drawing/2014/main" id="{00000000-0008-0000-0000-0000AE4C0000}"/>
                </a:ext>
              </a:extLst>
            </xdr:cNvPr>
            <xdr:cNvSpPr/>
          </xdr:nvSpPr>
          <xdr:spPr bwMode="auto">
            <a:xfrm>
              <a:off x="0" y="0"/>
              <a:ext cx="0" cy="0"/>
            </a:xfrm>
            <a:prstGeom prst="rect">
              <a:avLst/>
            </a:prstGeom>
            <a:noFill/>
            <a:ln w="9525">
              <a:miter lim="800000"/>
              <a:headEnd/>
              <a:tailEnd/>
            </a:ln>
          </xdr:spPr>
          <xdr:txBody>
            <a:bodyPr vertOverflow="clip" wrap="square" lIns="310896" tIns="100584" rIns="310896" bIns="100584" anchor="ctr" upright="1"/>
            <a:lstStyle/>
            <a:p>
              <a:pPr algn="ctr" rtl="0">
                <a:defRPr sz="1000"/>
              </a:pPr>
              <a:r>
                <a:rPr lang="zh-TW" altLang="en-US" sz="4800" b="0" i="0" u="none" strike="noStrike" baseline="0">
                  <a:solidFill>
                    <a:srgbClr val="333399"/>
                  </a:solidFill>
                  <a:latin typeface="Wingdings"/>
                </a:rPr>
                <a: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2438400</xdr:colOff>
          <xdr:row>28</xdr:row>
          <xdr:rowOff>50800</xdr:rowOff>
        </xdr:from>
        <xdr:to>
          <xdr:col>4</xdr:col>
          <xdr:colOff>107950</xdr:colOff>
          <xdr:row>31</xdr:row>
          <xdr:rowOff>114300</xdr:rowOff>
        </xdr:to>
        <xdr:sp macro="" textlink="">
          <xdr:nvSpPr>
            <xdr:cNvPr id="19631" name="Button 175" hidden="1">
              <a:extLst>
                <a:ext uri="{63B3BB69-23CF-44E3-9099-C40C66FF867C}">
                  <a14:compatExt spid="_x0000_s19631"/>
                </a:ext>
                <a:ext uri="{FF2B5EF4-FFF2-40B4-BE49-F238E27FC236}">
                  <a16:creationId xmlns:a16="http://schemas.microsoft.com/office/drawing/2014/main" id="{00000000-0008-0000-0000-0000AF4C0000}"/>
                </a:ext>
              </a:extLst>
            </xdr:cNvPr>
            <xdr:cNvSpPr/>
          </xdr:nvSpPr>
          <xdr:spPr bwMode="auto">
            <a:xfrm>
              <a:off x="0" y="0"/>
              <a:ext cx="0" cy="0"/>
            </a:xfrm>
            <a:prstGeom prst="rect">
              <a:avLst/>
            </a:prstGeom>
            <a:noFill/>
            <a:ln w="9525">
              <a:miter lim="800000"/>
              <a:headEnd/>
              <a:tailEnd/>
            </a:ln>
          </xdr:spPr>
          <xdr:txBody>
            <a:bodyPr vertOverflow="clip" wrap="square" lIns="91440" tIns="105156" rIns="91440" bIns="105156" anchor="ctr" upright="1"/>
            <a:lstStyle/>
            <a:p>
              <a:pPr algn="ctr" rtl="0">
                <a:defRPr sz="1000"/>
              </a:pPr>
              <a:r>
                <a:rPr lang="zh-TW" altLang="en-US" sz="2600" b="0" i="0" u="none" strike="noStrike" baseline="0">
                  <a:solidFill>
                    <a:srgbClr val="333399"/>
                  </a:solidFill>
                  <a:latin typeface="Arial Black"/>
                </a:rPr>
                <a:t>OK</a:t>
              </a:r>
              <a:r>
                <a:rPr lang="zh-TW" altLang="en-US" sz="4800" b="0" i="0" u="none" strike="noStrike" baseline="0">
                  <a:solidFill>
                    <a:srgbClr val="333399"/>
                  </a:solidFill>
                  <a:latin typeface="Arial Black"/>
                </a:rPr>
                <a:t>x</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12700</xdr:colOff>
          <xdr:row>29</xdr:row>
          <xdr:rowOff>107950</xdr:rowOff>
        </xdr:from>
        <xdr:to>
          <xdr:col>30</xdr:col>
          <xdr:colOff>209550</xdr:colOff>
          <xdr:row>31</xdr:row>
          <xdr:rowOff>107950</xdr:rowOff>
        </xdr:to>
        <xdr:sp macro="" textlink="">
          <xdr:nvSpPr>
            <xdr:cNvPr id="19632" name="Button 176" hidden="1">
              <a:extLst>
                <a:ext uri="{63B3BB69-23CF-44E3-9099-C40C66FF867C}">
                  <a14:compatExt spid="_x0000_s19632"/>
                </a:ext>
                <a:ext uri="{FF2B5EF4-FFF2-40B4-BE49-F238E27FC236}">
                  <a16:creationId xmlns:a16="http://schemas.microsoft.com/office/drawing/2014/main" id="{00000000-0008-0000-0000-0000B04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TW" altLang="en-US" sz="18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12700</xdr:colOff>
          <xdr:row>23</xdr:row>
          <xdr:rowOff>12700</xdr:rowOff>
        </xdr:from>
        <xdr:to>
          <xdr:col>28</xdr:col>
          <xdr:colOff>12700</xdr:colOff>
          <xdr:row>25</xdr:row>
          <xdr:rowOff>12700</xdr:rowOff>
        </xdr:to>
        <xdr:sp macro="" textlink="">
          <xdr:nvSpPr>
            <xdr:cNvPr id="19635" name="Button 179" hidden="1">
              <a:extLst>
                <a:ext uri="{63B3BB69-23CF-44E3-9099-C40C66FF867C}">
                  <a14:compatExt spid="_x0000_s19635"/>
                </a:ext>
                <a:ext uri="{FF2B5EF4-FFF2-40B4-BE49-F238E27FC236}">
                  <a16:creationId xmlns:a16="http://schemas.microsoft.com/office/drawing/2014/main" id="{00000000-0008-0000-0000-0000B3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900" b="1" i="0" u="none" strike="noStrike" baseline="0">
                  <a:solidFill>
                    <a:srgbClr val="000000"/>
                  </a:solidFill>
                  <a:latin typeface="Arial"/>
                  <a:cs typeface="Arial"/>
                </a:rPr>
                <a:t>Split/ Multi-Split Unit</a:t>
              </a:r>
            </a:p>
          </xdr:txBody>
        </xdr:sp>
        <xdr:clientData/>
      </xdr:twoCellAnchor>
    </mc:Choice>
    <mc:Fallback/>
  </mc:AlternateContent>
  <xdr:twoCellAnchor>
    <xdr:from>
      <xdr:col>5</xdr:col>
      <xdr:colOff>161925</xdr:colOff>
      <xdr:row>31</xdr:row>
      <xdr:rowOff>152400</xdr:rowOff>
    </xdr:from>
    <xdr:to>
      <xdr:col>11</xdr:col>
      <xdr:colOff>66675</xdr:colOff>
      <xdr:row>33</xdr:row>
      <xdr:rowOff>142875</xdr:rowOff>
    </xdr:to>
    <xdr:sp macro="" textlink="">
      <xdr:nvSpPr>
        <xdr:cNvPr id="2" name="Rounded Rectangular Callout 1">
          <a:hlinkClick xmlns:r="http://schemas.openxmlformats.org/officeDocument/2006/relationships" r:id="rId3"/>
          <a:extLst>
            <a:ext uri="{FF2B5EF4-FFF2-40B4-BE49-F238E27FC236}">
              <a16:creationId xmlns:a16="http://schemas.microsoft.com/office/drawing/2014/main" id="{00000000-0008-0000-0000-000002000000}"/>
            </a:ext>
          </a:extLst>
        </xdr:cNvPr>
        <xdr:cNvSpPr/>
      </xdr:nvSpPr>
      <xdr:spPr>
        <a:xfrm>
          <a:off x="3581400" y="5276850"/>
          <a:ext cx="990600" cy="314325"/>
        </a:xfrm>
        <a:prstGeom prst="wedgeRoundRectCallout">
          <a:avLst>
            <a:gd name="adj1" fmla="val 1191"/>
            <a:gd name="adj2" fmla="val 135945"/>
            <a:gd name="adj3" fmla="val 16667"/>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US" sz="1200" b="1">
              <a:ln>
                <a:noFill/>
              </a:ln>
              <a:solidFill>
                <a:srgbClr val="669900"/>
              </a:solidFill>
            </a:rPr>
            <a:t>Contact</a:t>
          </a:r>
          <a:r>
            <a:rPr lang="en-US" sz="1200" b="1" baseline="0">
              <a:ln>
                <a:noFill/>
              </a:ln>
              <a:solidFill>
                <a:srgbClr val="669900"/>
              </a:solidFill>
            </a:rPr>
            <a:t> me!</a:t>
          </a:r>
          <a:endParaRPr lang="en-US" sz="1200" b="1">
            <a:ln>
              <a:noFill/>
            </a:ln>
            <a:solidFill>
              <a:srgbClr val="669900"/>
            </a:solidFill>
          </a:endParaRPr>
        </a:p>
      </xdr:txBody>
    </xdr:sp>
    <xdr:clientData/>
  </xdr:twoCellAnchor>
  <xdr:twoCellAnchor>
    <xdr:from>
      <xdr:col>34</xdr:col>
      <xdr:colOff>47624</xdr:colOff>
      <xdr:row>25</xdr:row>
      <xdr:rowOff>19050</xdr:rowOff>
    </xdr:from>
    <xdr:to>
      <xdr:col>35</xdr:col>
      <xdr:colOff>438149</xdr:colOff>
      <xdr:row>27</xdr:row>
      <xdr:rowOff>47625</xdr:rowOff>
    </xdr:to>
    <xdr:sp macro="" textlink="">
      <xdr:nvSpPr>
        <xdr:cNvPr id="4" name="Rounded Rectangular Callout 3">
          <a:extLst>
            <a:ext uri="{FF2B5EF4-FFF2-40B4-BE49-F238E27FC236}">
              <a16:creationId xmlns:a16="http://schemas.microsoft.com/office/drawing/2014/main" id="{00000000-0008-0000-0000-000004000000}"/>
            </a:ext>
          </a:extLst>
        </xdr:cNvPr>
        <xdr:cNvSpPr/>
      </xdr:nvSpPr>
      <xdr:spPr>
        <a:xfrm>
          <a:off x="6562724" y="4152900"/>
          <a:ext cx="1000125" cy="352425"/>
        </a:xfrm>
        <a:prstGeom prst="wedgeRoundRectCallout">
          <a:avLst>
            <a:gd name="adj1" fmla="val 2804"/>
            <a:gd name="adj2" fmla="val 100961"/>
            <a:gd name="adj3" fmla="val 16667"/>
          </a:avLst>
        </a:prstGeom>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100" b="1">
              <a:solidFill>
                <a:srgbClr val="FF0000"/>
              </a:solidFill>
            </a:rPr>
            <a:t>Please</a:t>
          </a:r>
          <a:r>
            <a:rPr lang="en-US" sz="1100" b="1" baseline="0">
              <a:solidFill>
                <a:srgbClr val="FF0000"/>
              </a:solidFill>
            </a:rPr>
            <a:t> read</a:t>
          </a:r>
          <a:r>
            <a:rPr lang="en-US" sz="1100" b="1">
              <a:solidFill>
                <a:srgbClr val="FF0000"/>
              </a:solidFill>
            </a:rPr>
            <a:t>!</a:t>
          </a:r>
          <a:endParaRPr lang="en-US" sz="1100" b="1"/>
        </a:p>
      </xdr:txBody>
    </xdr:sp>
    <xdr:clientData/>
  </xdr:twoCellAnchor>
  <mc:AlternateContent xmlns:mc="http://schemas.openxmlformats.org/markup-compatibility/2006">
    <mc:Choice xmlns:a14="http://schemas.microsoft.com/office/drawing/2010/main" Requires="a14">
      <xdr:twoCellAnchor>
        <xdr:from>
          <xdr:col>21</xdr:col>
          <xdr:colOff>12700</xdr:colOff>
          <xdr:row>11</xdr:row>
          <xdr:rowOff>12700</xdr:rowOff>
        </xdr:from>
        <xdr:to>
          <xdr:col>24</xdr:col>
          <xdr:colOff>12700</xdr:colOff>
          <xdr:row>13</xdr:row>
          <xdr:rowOff>0</xdr:rowOff>
        </xdr:to>
        <xdr:sp macro="" textlink="">
          <xdr:nvSpPr>
            <xdr:cNvPr id="19636" name="Button 180" hidden="1">
              <a:extLst>
                <a:ext uri="{63B3BB69-23CF-44E3-9099-C40C66FF867C}">
                  <a14:compatExt spid="_x0000_s19636"/>
                </a:ext>
                <a:ext uri="{FF2B5EF4-FFF2-40B4-BE49-F238E27FC236}">
                  <a16:creationId xmlns:a16="http://schemas.microsoft.com/office/drawing/2014/main" id="{00000000-0008-0000-0000-0000B4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900" b="1" i="0" u="none" strike="noStrike" baseline="0">
                  <a:solidFill>
                    <a:srgbClr val="000000"/>
                  </a:solidFill>
                  <a:latin typeface="Arial"/>
                  <a:cs typeface="Arial"/>
                </a:rPr>
                <a:t>Thermal Wheel</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133350</xdr:rowOff>
        </xdr:from>
        <xdr:to>
          <xdr:col>1</xdr:col>
          <xdr:colOff>781050</xdr:colOff>
          <xdr:row>8</xdr:row>
          <xdr:rowOff>95250</xdr:rowOff>
        </xdr:to>
        <xdr:sp macro="" textlink="">
          <xdr:nvSpPr>
            <xdr:cNvPr id="35865" name="Button 25" hidden="1">
              <a:extLst>
                <a:ext uri="{63B3BB69-23CF-44E3-9099-C40C66FF867C}">
                  <a14:compatExt spid="_x0000_s35865"/>
                </a:ext>
                <a:ext uri="{FF2B5EF4-FFF2-40B4-BE49-F238E27FC236}">
                  <a16:creationId xmlns:a16="http://schemas.microsoft.com/office/drawing/2014/main" id="{00000000-0008-0000-0100-0000198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Home</a:t>
              </a:r>
            </a:p>
          </xdr:txBody>
        </xdr:sp>
        <xdr:clientData/>
      </xdr:twoCellAnchor>
    </mc:Choice>
    <mc:Fallback/>
  </mc:AlternateContent>
  <xdr:twoCellAnchor editAs="oneCell">
    <xdr:from>
      <xdr:col>0</xdr:col>
      <xdr:colOff>104775</xdr:colOff>
      <xdr:row>10</xdr:row>
      <xdr:rowOff>152400</xdr:rowOff>
    </xdr:from>
    <xdr:to>
      <xdr:col>3</xdr:col>
      <xdr:colOff>323850</xdr:colOff>
      <xdr:row>12</xdr:row>
      <xdr:rowOff>47625</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775" y="1866900"/>
          <a:ext cx="18954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12700</xdr:colOff>
          <xdr:row>2</xdr:row>
          <xdr:rowOff>0</xdr:rowOff>
        </xdr:from>
        <xdr:to>
          <xdr:col>2</xdr:col>
          <xdr:colOff>476250</xdr:colOff>
          <xdr:row>3</xdr:row>
          <xdr:rowOff>38100</xdr:rowOff>
        </xdr:to>
        <xdr:sp macro="" textlink="">
          <xdr:nvSpPr>
            <xdr:cNvPr id="35867" name="Option Button 27" hidden="1">
              <a:extLst>
                <a:ext uri="{63B3BB69-23CF-44E3-9099-C40C66FF867C}">
                  <a14:compatExt spid="_x0000_s35867"/>
                </a:ext>
                <a:ext uri="{FF2B5EF4-FFF2-40B4-BE49-F238E27FC236}">
                  <a16:creationId xmlns:a16="http://schemas.microsoft.com/office/drawing/2014/main" id="{00000000-0008-0000-0100-00001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Air Change Hour (ACH)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3</xdr:row>
          <xdr:rowOff>146050</xdr:rowOff>
        </xdr:from>
        <xdr:to>
          <xdr:col>3</xdr:col>
          <xdr:colOff>0</xdr:colOff>
          <xdr:row>5</xdr:row>
          <xdr:rowOff>50800</xdr:rowOff>
        </xdr:to>
        <xdr:sp macro="" textlink="">
          <xdr:nvSpPr>
            <xdr:cNvPr id="35868" name="Option Button 28" hidden="1">
              <a:extLst>
                <a:ext uri="{63B3BB69-23CF-44E3-9099-C40C66FF867C}">
                  <a14:compatExt spid="_x0000_s35868"/>
                </a:ext>
                <a:ext uri="{FF2B5EF4-FFF2-40B4-BE49-F238E27FC236}">
                  <a16:creationId xmlns:a16="http://schemas.microsoft.com/office/drawing/2014/main" id="{00000000-0008-0000-0100-00001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Diffuser/ Air Boot Sizing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4</xdr:row>
          <xdr:rowOff>133350</xdr:rowOff>
        </xdr:from>
        <xdr:to>
          <xdr:col>2</xdr:col>
          <xdr:colOff>133350</xdr:colOff>
          <xdr:row>6</xdr:row>
          <xdr:rowOff>31750</xdr:rowOff>
        </xdr:to>
        <xdr:sp macro="" textlink="">
          <xdr:nvSpPr>
            <xdr:cNvPr id="35869" name="Option Button 29" hidden="1">
              <a:extLst>
                <a:ext uri="{63B3BB69-23CF-44E3-9099-C40C66FF867C}">
                  <a14:compatExt spid="_x0000_s35869"/>
                </a:ext>
                <a:ext uri="{FF2B5EF4-FFF2-40B4-BE49-F238E27FC236}">
                  <a16:creationId xmlns:a16="http://schemas.microsoft.com/office/drawing/2014/main" id="{00000000-0008-0000-0100-00001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Louvre Sizing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xdr:row>
          <xdr:rowOff>152400</xdr:rowOff>
        </xdr:from>
        <xdr:to>
          <xdr:col>2</xdr:col>
          <xdr:colOff>133350</xdr:colOff>
          <xdr:row>4</xdr:row>
          <xdr:rowOff>38100</xdr:rowOff>
        </xdr:to>
        <xdr:sp macro="" textlink="">
          <xdr:nvSpPr>
            <xdr:cNvPr id="35873" name="Option Button 33" hidden="1">
              <a:extLst>
                <a:ext uri="{63B3BB69-23CF-44E3-9099-C40C66FF867C}">
                  <a14:compatExt spid="_x0000_s35873"/>
                </a:ext>
                <a:ext uri="{FF2B5EF4-FFF2-40B4-BE49-F238E27FC236}">
                  <a16:creationId xmlns:a16="http://schemas.microsoft.com/office/drawing/2014/main" id="{00000000-0008-0000-0100-00002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Air Duct Sizing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590550</xdr:colOff>
          <xdr:row>16</xdr:row>
          <xdr:rowOff>146050</xdr:rowOff>
        </xdr:from>
        <xdr:to>
          <xdr:col>12</xdr:col>
          <xdr:colOff>19050</xdr:colOff>
          <xdr:row>18</xdr:row>
          <xdr:rowOff>38100</xdr:rowOff>
        </xdr:to>
        <xdr:sp macro="" textlink="">
          <xdr:nvSpPr>
            <xdr:cNvPr id="35883" name="Button 43" hidden="1">
              <a:extLst>
                <a:ext uri="{63B3BB69-23CF-44E3-9099-C40C66FF867C}">
                  <a14:compatExt spid="_x0000_s35883"/>
                </a:ext>
                <a:ext uri="{FF2B5EF4-FFF2-40B4-BE49-F238E27FC236}">
                  <a16:creationId xmlns:a16="http://schemas.microsoft.com/office/drawing/2014/main" id="{00000000-0008-0000-0100-00002B8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19</xdr:col>
          <xdr:colOff>12700</xdr:colOff>
          <xdr:row>14</xdr:row>
          <xdr:rowOff>76200</xdr:rowOff>
        </xdr:from>
        <xdr:to>
          <xdr:col>19</xdr:col>
          <xdr:colOff>603250</xdr:colOff>
          <xdr:row>15</xdr:row>
          <xdr:rowOff>114300</xdr:rowOff>
        </xdr:to>
        <xdr:sp macro="" textlink="">
          <xdr:nvSpPr>
            <xdr:cNvPr id="35885" name="Button 45" hidden="1">
              <a:extLst>
                <a:ext uri="{63B3BB69-23CF-44E3-9099-C40C66FF867C}">
                  <a14:compatExt spid="_x0000_s35885"/>
                </a:ext>
                <a:ext uri="{FF2B5EF4-FFF2-40B4-BE49-F238E27FC236}">
                  <a16:creationId xmlns:a16="http://schemas.microsoft.com/office/drawing/2014/main" id="{00000000-0008-0000-0100-00002D8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24</xdr:col>
          <xdr:colOff>247650</xdr:colOff>
          <xdr:row>42</xdr:row>
          <xdr:rowOff>114300</xdr:rowOff>
        </xdr:from>
        <xdr:to>
          <xdr:col>25</xdr:col>
          <xdr:colOff>190500</xdr:colOff>
          <xdr:row>44</xdr:row>
          <xdr:rowOff>19050</xdr:rowOff>
        </xdr:to>
        <xdr:sp macro="" textlink="">
          <xdr:nvSpPr>
            <xdr:cNvPr id="35887" name="Button 47" hidden="1">
              <a:extLst>
                <a:ext uri="{63B3BB69-23CF-44E3-9099-C40C66FF867C}">
                  <a14:compatExt spid="_x0000_s35887"/>
                </a:ext>
                <a:ext uri="{FF2B5EF4-FFF2-40B4-BE49-F238E27FC236}">
                  <a16:creationId xmlns:a16="http://schemas.microsoft.com/office/drawing/2014/main" id="{00000000-0008-0000-0100-00002F8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641350</xdr:colOff>
          <xdr:row>26</xdr:row>
          <xdr:rowOff>127000</xdr:rowOff>
        </xdr:from>
        <xdr:to>
          <xdr:col>31</xdr:col>
          <xdr:colOff>0</xdr:colOff>
          <xdr:row>27</xdr:row>
          <xdr:rowOff>152400</xdr:rowOff>
        </xdr:to>
        <xdr:sp macro="" textlink="">
          <xdr:nvSpPr>
            <xdr:cNvPr id="35890" name="Button 50" hidden="1">
              <a:extLst>
                <a:ext uri="{63B3BB69-23CF-44E3-9099-C40C66FF867C}">
                  <a14:compatExt spid="_x0000_s35890"/>
                </a:ext>
                <a:ext uri="{FF2B5EF4-FFF2-40B4-BE49-F238E27FC236}">
                  <a16:creationId xmlns:a16="http://schemas.microsoft.com/office/drawing/2014/main" id="{00000000-0008-0000-0100-0000328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781050</xdr:colOff>
          <xdr:row>10</xdr:row>
          <xdr:rowOff>146050</xdr:rowOff>
        </xdr:to>
        <xdr:sp macro="" textlink="">
          <xdr:nvSpPr>
            <xdr:cNvPr id="35897" name="Button 57" hidden="1">
              <a:extLst>
                <a:ext uri="{63B3BB69-23CF-44E3-9099-C40C66FF867C}">
                  <a14:compatExt spid="_x0000_s35897"/>
                </a:ext>
                <a:ext uri="{FF2B5EF4-FFF2-40B4-BE49-F238E27FC236}">
                  <a16:creationId xmlns:a16="http://schemas.microsoft.com/office/drawing/2014/main" id="{00000000-0008-0000-0100-0000398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Reset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76199</xdr:colOff>
      <xdr:row>45</xdr:row>
      <xdr:rowOff>114300</xdr:rowOff>
    </xdr:from>
    <xdr:to>
      <xdr:col>3</xdr:col>
      <xdr:colOff>123825</xdr:colOff>
      <xdr:row>47</xdr:row>
      <xdr:rowOff>1732</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76199" y="7677150"/>
          <a:ext cx="1704976" cy="211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19050</xdr:colOff>
          <xdr:row>2</xdr:row>
          <xdr:rowOff>57150</xdr:rowOff>
        </xdr:from>
        <xdr:to>
          <xdr:col>1</xdr:col>
          <xdr:colOff>908050</xdr:colOff>
          <xdr:row>3</xdr:row>
          <xdr:rowOff>107950</xdr:rowOff>
        </xdr:to>
        <xdr:sp macro="" textlink="">
          <xdr:nvSpPr>
            <xdr:cNvPr id="13320" name="Option Button 8" hidden="1">
              <a:extLst>
                <a:ext uri="{63B3BB69-23CF-44E3-9099-C40C66FF867C}">
                  <a14:compatExt spid="_x0000_s13320"/>
                </a:ext>
                <a:ext uri="{FF2B5EF4-FFF2-40B4-BE49-F238E27FC236}">
                  <a16:creationId xmlns:a16="http://schemas.microsoft.com/office/drawing/2014/main" id="{00000000-0008-0000-0200-000008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AHU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438150</xdr:colOff>
          <xdr:row>2</xdr:row>
          <xdr:rowOff>57150</xdr:rowOff>
        </xdr:from>
        <xdr:to>
          <xdr:col>2</xdr:col>
          <xdr:colOff>381000</xdr:colOff>
          <xdr:row>3</xdr:row>
          <xdr:rowOff>107950</xdr:rowOff>
        </xdr:to>
        <xdr:sp macro="" textlink="">
          <xdr:nvSpPr>
            <xdr:cNvPr id="13321" name="Option Button 9" hidden="1">
              <a:extLst>
                <a:ext uri="{63B3BB69-23CF-44E3-9099-C40C66FF867C}">
                  <a14:compatExt spid="_x0000_s13321"/>
                </a:ext>
                <a:ext uri="{FF2B5EF4-FFF2-40B4-BE49-F238E27FC236}">
                  <a16:creationId xmlns:a16="http://schemas.microsoft.com/office/drawing/2014/main" id="{00000000-0008-0000-0200-000009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PAU</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247650</xdr:colOff>
          <xdr:row>0</xdr:row>
          <xdr:rowOff>69850</xdr:rowOff>
        </xdr:from>
        <xdr:to>
          <xdr:col>8</xdr:col>
          <xdr:colOff>476250</xdr:colOff>
          <xdr:row>2</xdr:row>
          <xdr:rowOff>76200</xdr:rowOff>
        </xdr:to>
        <xdr:sp macro="" textlink="">
          <xdr:nvSpPr>
            <xdr:cNvPr id="13339" name="Button 27" hidden="1">
              <a:extLst>
                <a:ext uri="{63B3BB69-23CF-44E3-9099-C40C66FF867C}">
                  <a14:compatExt spid="_x0000_s13339"/>
                </a:ext>
                <a:ext uri="{FF2B5EF4-FFF2-40B4-BE49-F238E27FC236}">
                  <a16:creationId xmlns:a16="http://schemas.microsoft.com/office/drawing/2014/main" id="{00000000-0008-0000-0200-00001B3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247650</xdr:colOff>
          <xdr:row>2</xdr:row>
          <xdr:rowOff>127000</xdr:rowOff>
        </xdr:from>
        <xdr:to>
          <xdr:col>8</xdr:col>
          <xdr:colOff>476250</xdr:colOff>
          <xdr:row>4</xdr:row>
          <xdr:rowOff>107950</xdr:rowOff>
        </xdr:to>
        <xdr:sp macro="" textlink="">
          <xdr:nvSpPr>
            <xdr:cNvPr id="13369" name="Button 57" hidden="1">
              <a:extLst>
                <a:ext uri="{63B3BB69-23CF-44E3-9099-C40C66FF867C}">
                  <a14:compatExt spid="_x0000_s13369"/>
                </a:ext>
                <a:ext uri="{FF2B5EF4-FFF2-40B4-BE49-F238E27FC236}">
                  <a16:creationId xmlns:a16="http://schemas.microsoft.com/office/drawing/2014/main" id="{00000000-0008-0000-0200-0000393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152400</xdr:rowOff>
        </xdr:from>
        <xdr:to>
          <xdr:col>1</xdr:col>
          <xdr:colOff>876300</xdr:colOff>
          <xdr:row>20</xdr:row>
          <xdr:rowOff>31750</xdr:rowOff>
        </xdr:to>
        <xdr:sp macro="" textlink="">
          <xdr:nvSpPr>
            <xdr:cNvPr id="13371" name="Check Box 59" hidden="1">
              <a:extLst>
                <a:ext uri="{63B3BB69-23CF-44E3-9099-C40C66FF867C}">
                  <a14:compatExt spid="_x0000_s13371"/>
                </a:ext>
                <a:ext uri="{FF2B5EF4-FFF2-40B4-BE49-F238E27FC236}">
                  <a16:creationId xmlns:a16="http://schemas.microsoft.com/office/drawing/2014/main" id="{00000000-0008-0000-0200-00003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Cooling - reheat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152400</xdr:rowOff>
        </xdr:from>
        <xdr:to>
          <xdr:col>3</xdr:col>
          <xdr:colOff>342900</xdr:colOff>
          <xdr:row>20</xdr:row>
          <xdr:rowOff>31750</xdr:rowOff>
        </xdr:to>
        <xdr:sp macro="" textlink="">
          <xdr:nvSpPr>
            <xdr:cNvPr id="13372" name="Check Box 60" hidden="1">
              <a:extLst>
                <a:ext uri="{63B3BB69-23CF-44E3-9099-C40C66FF867C}">
                  <a14:compatExt spid="_x0000_s13372"/>
                </a:ext>
                <a:ext uri="{FF2B5EF4-FFF2-40B4-BE49-F238E27FC236}">
                  <a16:creationId xmlns:a16="http://schemas.microsoft.com/office/drawing/2014/main" id="{00000000-0008-0000-0200-00003C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Fresh Air Preheat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165100</xdr:rowOff>
        </xdr:from>
        <xdr:to>
          <xdr:col>6</xdr:col>
          <xdr:colOff>304800</xdr:colOff>
          <xdr:row>20</xdr:row>
          <xdr:rowOff>31750</xdr:rowOff>
        </xdr:to>
        <xdr:sp macro="" textlink="">
          <xdr:nvSpPr>
            <xdr:cNvPr id="13377" name="Check Box 65" hidden="1">
              <a:extLst>
                <a:ext uri="{63B3BB69-23CF-44E3-9099-C40C66FF867C}">
                  <a14:compatExt spid="_x0000_s13377"/>
                </a:ext>
                <a:ext uri="{FF2B5EF4-FFF2-40B4-BE49-F238E27FC236}">
                  <a16:creationId xmlns:a16="http://schemas.microsoft.com/office/drawing/2014/main" id="{00000000-0008-0000-0200-00004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Steam Heating</a:t>
              </a:r>
            </a:p>
          </xdr:txBody>
        </xdr:sp>
        <xdr:clientData/>
      </xdr:twoCellAnchor>
    </mc:Choice>
    <mc:Fallback/>
  </mc:AlternateContent>
  <xdr:twoCellAnchor>
    <xdr:from>
      <xdr:col>52</xdr:col>
      <xdr:colOff>171450</xdr:colOff>
      <xdr:row>23</xdr:row>
      <xdr:rowOff>47625</xdr:rowOff>
    </xdr:from>
    <xdr:to>
      <xdr:col>60</xdr:col>
      <xdr:colOff>114299</xdr:colOff>
      <xdr:row>33</xdr:row>
      <xdr:rowOff>38099</xdr:rowOff>
    </xdr:to>
    <xdr:graphicFrame macro="">
      <xdr:nvGraphicFramePr>
        <xdr:cNvPr id="21" name="Chart 20">
          <a:extLst>
            <a:ext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66674</xdr:colOff>
      <xdr:row>25</xdr:row>
      <xdr:rowOff>85725</xdr:rowOff>
    </xdr:from>
    <xdr:to>
      <xdr:col>27</xdr:col>
      <xdr:colOff>438150</xdr:colOff>
      <xdr:row>36</xdr:row>
      <xdr:rowOff>142875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97022</xdr:colOff>
      <xdr:row>26</xdr:row>
      <xdr:rowOff>95250</xdr:rowOff>
    </xdr:from>
    <xdr:to>
      <xdr:col>22</xdr:col>
      <xdr:colOff>219075</xdr:colOff>
      <xdr:row>27</xdr:row>
      <xdr:rowOff>96161</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9050522" y="4438650"/>
          <a:ext cx="674503" cy="191411"/>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1">
              <a:solidFill>
                <a:schemeClr val="bg1"/>
              </a:solidFill>
              <a:latin typeface="Arial" pitchFamily="34" charset="0"/>
              <a:cs typeface="Arial" pitchFamily="34" charset="0"/>
            </a:rPr>
            <a:t>Cooling</a:t>
          </a:r>
        </a:p>
      </xdr:txBody>
    </xdr:sp>
    <xdr:clientData/>
  </xdr:twoCellAnchor>
  <xdr:twoCellAnchor>
    <xdr:from>
      <xdr:col>52</xdr:col>
      <xdr:colOff>152400</xdr:colOff>
      <xdr:row>32</xdr:row>
      <xdr:rowOff>180975</xdr:rowOff>
    </xdr:from>
    <xdr:to>
      <xdr:col>60</xdr:col>
      <xdr:colOff>133350</xdr:colOff>
      <xdr:row>43</xdr:row>
      <xdr:rowOff>57150</xdr:rowOff>
    </xdr:to>
    <xdr:graphicFrame macro="">
      <xdr:nvGraphicFramePr>
        <xdr:cNvPr id="16" name="Chart 15">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36</xdr:col>
      <xdr:colOff>174814</xdr:colOff>
      <xdr:row>23</xdr:row>
      <xdr:rowOff>117660</xdr:rowOff>
    </xdr:from>
    <xdr:to>
      <xdr:col>43</xdr:col>
      <xdr:colOff>438150</xdr:colOff>
      <xdr:row>34</xdr:row>
      <xdr:rowOff>9525</xdr:rowOff>
    </xdr:to>
    <xdr:graphicFrame macro="">
      <xdr:nvGraphicFramePr>
        <xdr:cNvPr id="18" name="Chart 17">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355600</xdr:colOff>
          <xdr:row>18</xdr:row>
          <xdr:rowOff>152400</xdr:rowOff>
        </xdr:from>
        <xdr:to>
          <xdr:col>8</xdr:col>
          <xdr:colOff>38100</xdr:colOff>
          <xdr:row>20</xdr:row>
          <xdr:rowOff>31750</xdr:rowOff>
        </xdr:to>
        <xdr:sp macro="" textlink="">
          <xdr:nvSpPr>
            <xdr:cNvPr id="13387" name="Check Box 75" hidden="1">
              <a:extLst>
                <a:ext uri="{63B3BB69-23CF-44E3-9099-C40C66FF867C}">
                  <a14:compatExt spid="_x0000_s13387"/>
                </a:ext>
                <a:ext uri="{FF2B5EF4-FFF2-40B4-BE49-F238E27FC236}">
                  <a16:creationId xmlns:a16="http://schemas.microsoft.com/office/drawing/2014/main" id="{00000000-0008-0000-0200-00004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Steam Humidification</a:t>
              </a:r>
            </a:p>
          </xdr:txBody>
        </xdr:sp>
        <xdr:clientData/>
      </xdr:twoCellAnchor>
    </mc:Choice>
    <mc:Fallback/>
  </mc:AlternateContent>
  <xdr:twoCellAnchor editAs="absolute">
    <xdr:from>
      <xdr:col>6</xdr:col>
      <xdr:colOff>85727</xdr:colOff>
      <xdr:row>25</xdr:row>
      <xdr:rowOff>149017</xdr:rowOff>
    </xdr:from>
    <xdr:to>
      <xdr:col>10</xdr:col>
      <xdr:colOff>409575</xdr:colOff>
      <xdr:row>33</xdr:row>
      <xdr:rowOff>18794</xdr:rowOff>
    </xdr:to>
    <xdr:pic>
      <xdr:nvPicPr>
        <xdr:cNvPr id="19" name="Picture 18">
          <a:extLst>
            <a:ext uri="{FF2B5EF4-FFF2-40B4-BE49-F238E27FC236}">
              <a16:creationId xmlns:a16="http://schemas.microsoft.com/office/drawing/2014/main" id="{00000000-0008-0000-0200-00001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a:ext>
          </a:extLst>
        </a:blip>
        <a:srcRect/>
        <a:stretch>
          <a:fillRect/>
        </a:stretch>
      </xdr:blipFill>
      <xdr:spPr bwMode="auto">
        <a:xfrm>
          <a:off x="3257552" y="4340017"/>
          <a:ext cx="2381248" cy="1260427"/>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6</xdr:col>
          <xdr:colOff>317500</xdr:colOff>
          <xdr:row>12</xdr:row>
          <xdr:rowOff>0</xdr:rowOff>
        </xdr:from>
        <xdr:to>
          <xdr:col>8</xdr:col>
          <xdr:colOff>31750</xdr:colOff>
          <xdr:row>13</xdr:row>
          <xdr:rowOff>165100</xdr:rowOff>
        </xdr:to>
        <xdr:sp macro="" textlink="">
          <xdr:nvSpPr>
            <xdr:cNvPr id="13388" name="Button 76" hidden="1">
              <a:extLst>
                <a:ext uri="{63B3BB69-23CF-44E3-9099-C40C66FF867C}">
                  <a14:compatExt spid="_x0000_s13388"/>
                </a:ext>
                <a:ext uri="{FF2B5EF4-FFF2-40B4-BE49-F238E27FC236}">
                  <a16:creationId xmlns:a16="http://schemas.microsoft.com/office/drawing/2014/main" id="{00000000-0008-0000-0200-00004C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900" b="1" i="0" u="none" strike="noStrike" baseline="0">
                  <a:solidFill>
                    <a:srgbClr val="0000FF"/>
                  </a:solidFill>
                  <a:latin typeface="Arial"/>
                  <a:cs typeface="Arial"/>
                </a:rPr>
                <a:t>Energy</a:t>
              </a:r>
            </a:p>
            <a:p>
              <a:pPr algn="ctr" rtl="0">
                <a:defRPr sz="1000"/>
              </a:pPr>
              <a:r>
                <a:rPr lang="zh-TW" altLang="en-US" sz="900" b="1" i="0" u="none" strike="noStrike" baseline="0">
                  <a:solidFill>
                    <a:srgbClr val="0000FF"/>
                  </a:solidFill>
                  <a:latin typeface="Arial"/>
                  <a:cs typeface="Arial"/>
                </a:rPr>
                <a:t>Wheel</a:t>
              </a:r>
            </a:p>
          </xdr:txBody>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0.06945</cdr:x>
      <cdr:y>0.08833</cdr:y>
    </cdr:from>
    <cdr:to>
      <cdr:x>0.30778</cdr:x>
      <cdr:y>0.17741</cdr:y>
    </cdr:to>
    <cdr:sp macro="" textlink="">
      <cdr:nvSpPr>
        <cdr:cNvPr id="3" name="TextBox 2"/>
        <cdr:cNvSpPr txBox="1"/>
      </cdr:nvSpPr>
      <cdr:spPr>
        <a:xfrm xmlns:a="http://schemas.openxmlformats.org/drawingml/2006/main">
          <a:off x="188534" y="143863"/>
          <a:ext cx="646977" cy="145091"/>
        </a:xfrm>
        <a:prstGeom xmlns:a="http://schemas.openxmlformats.org/drawingml/2006/main" prst="rect">
          <a:avLst/>
        </a:prstGeom>
        <a:solidFill xmlns:a="http://schemas.openxmlformats.org/drawingml/2006/main">
          <a:srgbClr val="0070C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900" b="1">
              <a:solidFill>
                <a:schemeClr val="bg1"/>
              </a:solidFill>
              <a:latin typeface="Arial" pitchFamily="34" charset="0"/>
              <a:cs typeface="Arial" pitchFamily="34" charset="0"/>
            </a:rPr>
            <a:t>Cooling</a:t>
          </a:r>
        </a:p>
      </cdr:txBody>
    </cdr:sp>
  </cdr:relSizeAnchor>
</c:userShapes>
</file>

<file path=xl/drawings/drawing5.xml><?xml version="1.0" encoding="utf-8"?>
<c:userShapes xmlns:c="http://schemas.openxmlformats.org/drawingml/2006/chart">
  <cdr:relSizeAnchor xmlns:cdr="http://schemas.openxmlformats.org/drawingml/2006/chartDrawing">
    <cdr:from>
      <cdr:x>0.06564</cdr:x>
      <cdr:y>0.09942</cdr:y>
    </cdr:from>
    <cdr:to>
      <cdr:x>0.31095</cdr:x>
      <cdr:y>0.19308</cdr:y>
    </cdr:to>
    <cdr:sp macro="" textlink="">
      <cdr:nvSpPr>
        <cdr:cNvPr id="4" name="TextBox 1"/>
        <cdr:cNvSpPr txBox="1"/>
      </cdr:nvSpPr>
      <cdr:spPr>
        <a:xfrm xmlns:a="http://schemas.openxmlformats.org/drawingml/2006/main">
          <a:off x="176936" y="161925"/>
          <a:ext cx="661264" cy="152558"/>
        </a:xfrm>
        <a:prstGeom xmlns:a="http://schemas.openxmlformats.org/drawingml/2006/main" prst="rect">
          <a:avLst/>
        </a:prstGeom>
        <a:solidFill xmlns:a="http://schemas.openxmlformats.org/drawingml/2006/main">
          <a:schemeClr val="accent2">
            <a:lumMod val="60000"/>
            <a:lumOff val="40000"/>
          </a:schemeClr>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900" b="1">
              <a:solidFill>
                <a:schemeClr val="bg1"/>
              </a:solidFill>
              <a:latin typeface="Arial" pitchFamily="34" charset="0"/>
              <a:cs typeface="Arial" pitchFamily="34" charset="0"/>
            </a:rPr>
            <a:t>Heating</a:t>
          </a:r>
        </a:p>
      </cdr:txBody>
    </cdr:sp>
  </cdr:relSizeAnchor>
</c:userShapes>
</file>

<file path=xl/drawings/drawing6.xml><?xml version="1.0" encoding="utf-8"?>
<c:userShapes xmlns:c="http://schemas.openxmlformats.org/drawingml/2006/chart">
  <cdr:relSizeAnchor xmlns:cdr="http://schemas.openxmlformats.org/drawingml/2006/chartDrawing">
    <cdr:from>
      <cdr:x>0.03153</cdr:x>
      <cdr:y>0.03913</cdr:y>
    </cdr:from>
    <cdr:to>
      <cdr:x>0.29688</cdr:x>
      <cdr:y>0.13705</cdr:y>
    </cdr:to>
    <cdr:sp macro="" textlink="">
      <cdr:nvSpPr>
        <cdr:cNvPr id="2" name="TextBox 2"/>
        <cdr:cNvSpPr txBox="1"/>
      </cdr:nvSpPr>
      <cdr:spPr>
        <a:xfrm xmlns:a="http://schemas.openxmlformats.org/drawingml/2006/main">
          <a:off x="76871" y="74169"/>
          <a:ext cx="647029" cy="185605"/>
        </a:xfrm>
        <a:prstGeom xmlns:a="http://schemas.openxmlformats.org/drawingml/2006/main" prst="rect">
          <a:avLst/>
        </a:prstGeom>
        <a:solidFill xmlns:a="http://schemas.openxmlformats.org/drawingml/2006/main">
          <a:schemeClr val="accent2">
            <a:lumMod val="60000"/>
            <a:lumOff val="40000"/>
          </a:schemeClr>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900" b="1">
              <a:solidFill>
                <a:schemeClr val="bg1"/>
              </a:solidFill>
              <a:latin typeface="Arial" pitchFamily="34" charset="0"/>
              <a:cs typeface="Arial" pitchFamily="34" charset="0"/>
            </a:rPr>
            <a:t>Heating</a:t>
          </a:r>
        </a:p>
      </cdr:txBody>
    </cdr:sp>
  </cdr:relSizeAnchor>
</c:userShapes>
</file>

<file path=xl/drawings/drawing7.xml><?xml version="1.0" encoding="utf-8"?>
<xdr:wsDr xmlns:xdr="http://schemas.openxmlformats.org/drawingml/2006/spreadsheetDrawing" xmlns:a="http://schemas.openxmlformats.org/drawingml/2006/main">
  <xdr:twoCellAnchor editAs="absolute">
    <xdr:from>
      <xdr:col>0</xdr:col>
      <xdr:colOff>87795</xdr:colOff>
      <xdr:row>37</xdr:row>
      <xdr:rowOff>126333</xdr:rowOff>
    </xdr:from>
    <xdr:to>
      <xdr:col>3</xdr:col>
      <xdr:colOff>268771</xdr:colOff>
      <xdr:row>39</xdr:row>
      <xdr:rowOff>32401</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87795" y="6374733"/>
          <a:ext cx="1704976" cy="2203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a:t>Developed by Benjamin Leung</a:t>
          </a:r>
        </a:p>
      </xdr:txBody>
    </xdr:sp>
    <xdr:clientData/>
  </xdr:twoCellAnchor>
  <mc:AlternateContent xmlns:mc="http://schemas.openxmlformats.org/markup-compatibility/2006">
    <mc:Choice xmlns:a14="http://schemas.microsoft.com/office/drawing/2010/main" Requires="a14">
      <xdr:twoCellAnchor editAs="absolute">
        <xdr:from>
          <xdr:col>8</xdr:col>
          <xdr:colOff>222250</xdr:colOff>
          <xdr:row>0</xdr:row>
          <xdr:rowOff>57150</xdr:rowOff>
        </xdr:from>
        <xdr:to>
          <xdr:col>10</xdr:col>
          <xdr:colOff>12700</xdr:colOff>
          <xdr:row>2</xdr:row>
          <xdr:rowOff>69850</xdr:rowOff>
        </xdr:to>
        <xdr:sp macro="" textlink="">
          <xdr:nvSpPr>
            <xdr:cNvPr id="385027" name="Button 3" hidden="1">
              <a:extLst>
                <a:ext uri="{63B3BB69-23CF-44E3-9099-C40C66FF867C}">
                  <a14:compatExt spid="_x0000_s385027"/>
                </a:ext>
                <a:ext uri="{FF2B5EF4-FFF2-40B4-BE49-F238E27FC236}">
                  <a16:creationId xmlns:a16="http://schemas.microsoft.com/office/drawing/2014/main" id="{00000000-0008-0000-0400-000003E005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222250</xdr:colOff>
          <xdr:row>2</xdr:row>
          <xdr:rowOff>114300</xdr:rowOff>
        </xdr:from>
        <xdr:to>
          <xdr:col>10</xdr:col>
          <xdr:colOff>12700</xdr:colOff>
          <xdr:row>4</xdr:row>
          <xdr:rowOff>95250</xdr:rowOff>
        </xdr:to>
        <xdr:sp macro="" textlink="">
          <xdr:nvSpPr>
            <xdr:cNvPr id="385028" name="Button 4" hidden="1">
              <a:extLst>
                <a:ext uri="{63B3BB69-23CF-44E3-9099-C40C66FF867C}">
                  <a14:compatExt spid="_x0000_s385028"/>
                </a:ext>
                <a:ext uri="{FF2B5EF4-FFF2-40B4-BE49-F238E27FC236}">
                  <a16:creationId xmlns:a16="http://schemas.microsoft.com/office/drawing/2014/main" id="{00000000-0008-0000-0400-000004E005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508000</xdr:colOff>
          <xdr:row>12</xdr:row>
          <xdr:rowOff>0</xdr:rowOff>
        </xdr:from>
        <xdr:to>
          <xdr:col>8</xdr:col>
          <xdr:colOff>260350</xdr:colOff>
          <xdr:row>13</xdr:row>
          <xdr:rowOff>165100</xdr:rowOff>
        </xdr:to>
        <xdr:sp macro="" textlink="">
          <xdr:nvSpPr>
            <xdr:cNvPr id="385029" name="Button 5" hidden="1">
              <a:extLst>
                <a:ext uri="{63B3BB69-23CF-44E3-9099-C40C66FF867C}">
                  <a14:compatExt spid="_x0000_s385029"/>
                </a:ext>
                <a:ext uri="{FF2B5EF4-FFF2-40B4-BE49-F238E27FC236}">
                  <a16:creationId xmlns:a16="http://schemas.microsoft.com/office/drawing/2014/main" id="{00000000-0008-0000-0400-000005E0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000" b="1" i="0" u="none" strike="noStrike" baseline="0">
                  <a:solidFill>
                    <a:srgbClr val="0000FF"/>
                  </a:solidFill>
                  <a:latin typeface="Arial"/>
                  <a:cs typeface="Arial"/>
                </a:rPr>
                <a:t>Coil load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2</xdr:row>
          <xdr:rowOff>146050</xdr:rowOff>
        </xdr:from>
        <xdr:to>
          <xdr:col>2</xdr:col>
          <xdr:colOff>381000</xdr:colOff>
          <xdr:row>4</xdr:row>
          <xdr:rowOff>19050</xdr:rowOff>
        </xdr:to>
        <xdr:sp macro="" textlink="">
          <xdr:nvSpPr>
            <xdr:cNvPr id="385033" name="Option Button 9" hidden="1">
              <a:extLst>
                <a:ext uri="{63B3BB69-23CF-44E3-9099-C40C66FF867C}">
                  <a14:compatExt spid="_x0000_s385033"/>
                </a:ext>
                <a:ext uri="{FF2B5EF4-FFF2-40B4-BE49-F238E27FC236}">
                  <a16:creationId xmlns:a16="http://schemas.microsoft.com/office/drawing/2014/main" id="{00000000-0008-0000-0400-000009E0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Sensible Heat Recovery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1</xdr:row>
          <xdr:rowOff>146050</xdr:rowOff>
        </xdr:from>
        <xdr:to>
          <xdr:col>2</xdr:col>
          <xdr:colOff>381000</xdr:colOff>
          <xdr:row>3</xdr:row>
          <xdr:rowOff>31750</xdr:rowOff>
        </xdr:to>
        <xdr:sp macro="" textlink="">
          <xdr:nvSpPr>
            <xdr:cNvPr id="385034" name="Option Button 10" hidden="1">
              <a:extLst>
                <a:ext uri="{63B3BB69-23CF-44E3-9099-C40C66FF867C}">
                  <a14:compatExt spid="_x0000_s385034"/>
                </a:ext>
                <a:ext uri="{FF2B5EF4-FFF2-40B4-BE49-F238E27FC236}">
                  <a16:creationId xmlns:a16="http://schemas.microsoft.com/office/drawing/2014/main" id="{00000000-0008-0000-0400-00000AE0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Total Heat Recovery</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209550</xdr:colOff>
          <xdr:row>4</xdr:row>
          <xdr:rowOff>31750</xdr:rowOff>
        </xdr:from>
        <xdr:to>
          <xdr:col>6</xdr:col>
          <xdr:colOff>412750</xdr:colOff>
          <xdr:row>6</xdr:row>
          <xdr:rowOff>31750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600-00000498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209550</xdr:colOff>
          <xdr:row>6</xdr:row>
          <xdr:rowOff>88900</xdr:rowOff>
        </xdr:from>
        <xdr:to>
          <xdr:col>6</xdr:col>
          <xdr:colOff>412750</xdr:colOff>
          <xdr:row>8</xdr:row>
          <xdr:rowOff>88900</xdr:rowOff>
        </xdr:to>
        <xdr:sp macro="" textlink="">
          <xdr:nvSpPr>
            <xdr:cNvPr id="38922" name="Button 10" hidden="1">
              <a:extLst>
                <a:ext uri="{63B3BB69-23CF-44E3-9099-C40C66FF867C}">
                  <a14:compatExt spid="_x0000_s38922"/>
                </a:ext>
                <a:ext uri="{FF2B5EF4-FFF2-40B4-BE49-F238E27FC236}">
                  <a16:creationId xmlns:a16="http://schemas.microsoft.com/office/drawing/2014/main" id="{00000000-0008-0000-0600-00000A98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Reset</a:t>
              </a:r>
            </a:p>
          </xdr:txBody>
        </xdr:sp>
        <xdr:clientData/>
      </xdr:twoCellAnchor>
    </mc:Choice>
    <mc:Fallback/>
  </mc:AlternateContent>
  <xdr:twoCellAnchor editAs="oneCell">
    <xdr:from>
      <xdr:col>5</xdr:col>
      <xdr:colOff>104775</xdr:colOff>
      <xdr:row>8</xdr:row>
      <xdr:rowOff>85725</xdr:rowOff>
    </xdr:from>
    <xdr:to>
      <xdr:col>8</xdr:col>
      <xdr:colOff>133350</xdr:colOff>
      <xdr:row>10</xdr:row>
      <xdr:rowOff>47625</xdr:rowOff>
    </xdr:to>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3343275" y="1381125"/>
          <a:ext cx="1771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203200</xdr:colOff>
          <xdr:row>4</xdr:row>
          <xdr:rowOff>12700</xdr:rowOff>
        </xdr:from>
        <xdr:to>
          <xdr:col>6</xdr:col>
          <xdr:colOff>279400</xdr:colOff>
          <xdr:row>5</xdr:row>
          <xdr:rowOff>76200</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1200-0000059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xdr:twoCellAnchor>
    <xdr:from>
      <xdr:col>72</xdr:col>
      <xdr:colOff>161923</xdr:colOff>
      <xdr:row>3</xdr:row>
      <xdr:rowOff>76200</xdr:rowOff>
    </xdr:from>
    <xdr:to>
      <xdr:col>82</xdr:col>
      <xdr:colOff>247650</xdr:colOff>
      <xdr:row>5</xdr:row>
      <xdr:rowOff>19050</xdr:rowOff>
    </xdr:to>
    <xdr:sp macro="" textlink="">
      <xdr:nvSpPr>
        <xdr:cNvPr id="9" name="TextBox 8">
          <a:extLst>
            <a:ext uri="{FF2B5EF4-FFF2-40B4-BE49-F238E27FC236}">
              <a16:creationId xmlns:a16="http://schemas.microsoft.com/office/drawing/2014/main" id="{00000000-0008-0000-1200-000009000000}"/>
            </a:ext>
          </a:extLst>
        </xdr:cNvPr>
        <xdr:cNvSpPr txBox="1"/>
      </xdr:nvSpPr>
      <xdr:spPr>
        <a:xfrm>
          <a:off x="4019548" y="561975"/>
          <a:ext cx="2771777" cy="2667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FF00FF"/>
              </a:solidFill>
            </a:rPr>
            <a:t>kW/</a:t>
          </a:r>
          <a:r>
            <a:rPr lang="en-US" sz="1100" b="1" baseline="0">
              <a:solidFill>
                <a:srgbClr val="FF00FF"/>
              </a:solidFill>
            </a:rPr>
            <a:t> </a:t>
          </a:r>
          <a:r>
            <a:rPr lang="en-US" sz="1100" b="1" baseline="0">
              <a:solidFill>
                <a:srgbClr val="0000FF"/>
              </a:solidFill>
            </a:rPr>
            <a:t>(h</a:t>
          </a:r>
          <a:r>
            <a:rPr lang="en-US" sz="1100" b="1" baseline="-25000">
              <a:solidFill>
                <a:srgbClr val="0000FF"/>
              </a:solidFill>
            </a:rPr>
            <a:t>g</a:t>
          </a:r>
          <a:r>
            <a:rPr lang="en-US" sz="1100" b="1" baseline="0">
              <a:solidFill>
                <a:srgbClr val="0000FF"/>
              </a:solidFill>
            </a:rPr>
            <a:t>-h</a:t>
          </a:r>
          <a:r>
            <a:rPr lang="en-US" sz="1100" b="1" baseline="-25000">
              <a:solidFill>
                <a:srgbClr val="0000FF"/>
              </a:solidFill>
            </a:rPr>
            <a:t>f</a:t>
          </a:r>
          <a:r>
            <a:rPr lang="en-US" sz="1100" b="1" baseline="0">
              <a:solidFill>
                <a:srgbClr val="0000FF"/>
              </a:solidFill>
            </a:rPr>
            <a:t>) </a:t>
          </a:r>
          <a:r>
            <a:rPr lang="en-US" sz="1100" b="1" baseline="0"/>
            <a:t>= </a:t>
          </a:r>
          <a:r>
            <a:rPr lang="en-US" sz="1100" b="1" baseline="0">
              <a:solidFill>
                <a:srgbClr val="FF00FF"/>
              </a:solidFill>
            </a:rPr>
            <a:t>[(kJ/s) </a:t>
          </a:r>
          <a:r>
            <a:rPr lang="en-US" sz="1100" b="1" baseline="0">
              <a:solidFill>
                <a:srgbClr val="669900"/>
              </a:solidFill>
              <a:effectLst/>
              <a:latin typeface="+mn-lt"/>
              <a:ea typeface="+mn-ea"/>
              <a:cs typeface="+mn-cs"/>
            </a:rPr>
            <a:t>x 3600</a:t>
          </a:r>
          <a:r>
            <a:rPr lang="en-US" sz="1100" b="1" baseline="0">
              <a:solidFill>
                <a:sysClr val="windowText" lastClr="000000"/>
              </a:solidFill>
              <a:effectLst/>
              <a:latin typeface="+mn-lt"/>
              <a:ea typeface="+mn-ea"/>
              <a:cs typeface="+mn-cs"/>
            </a:rPr>
            <a:t>] </a:t>
          </a:r>
          <a:r>
            <a:rPr lang="en-US" sz="1100" b="1" baseline="0">
              <a:solidFill>
                <a:sysClr val="windowText" lastClr="000000"/>
              </a:solidFill>
            </a:rPr>
            <a:t>/ </a:t>
          </a:r>
          <a:r>
            <a:rPr lang="en-US" sz="1100" b="1" baseline="0">
              <a:solidFill>
                <a:srgbClr val="0000FF"/>
              </a:solidFill>
            </a:rPr>
            <a:t>(kJ/kg) </a:t>
          </a:r>
          <a:r>
            <a:rPr lang="en-US" sz="1100" b="1" baseline="0">
              <a:solidFill>
                <a:sysClr val="windowText" lastClr="000000"/>
              </a:solidFill>
            </a:rPr>
            <a:t>= </a:t>
          </a:r>
          <a:r>
            <a:rPr lang="en-US" sz="1100" b="1" baseline="0">
              <a:solidFill>
                <a:srgbClr val="0000FF"/>
              </a:solidFill>
            </a:rPr>
            <a:t>kg</a:t>
          </a:r>
          <a:r>
            <a:rPr lang="en-US" sz="1100" b="1" baseline="0">
              <a:solidFill>
                <a:sysClr val="windowText" lastClr="000000"/>
              </a:solidFill>
            </a:rPr>
            <a:t>/</a:t>
          </a:r>
          <a:r>
            <a:rPr lang="en-US" sz="1100" b="1" baseline="0">
              <a:solidFill>
                <a:srgbClr val="669900"/>
              </a:solidFill>
            </a:rPr>
            <a:t>hr</a:t>
          </a:r>
          <a:endParaRPr lang="en-US" sz="1100" b="1">
            <a:solidFill>
              <a:srgbClr val="6699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165100</xdr:colOff>
          <xdr:row>7</xdr:row>
          <xdr:rowOff>12700</xdr:rowOff>
        </xdr:from>
        <xdr:to>
          <xdr:col>1</xdr:col>
          <xdr:colOff>762000</xdr:colOff>
          <xdr:row>9</xdr:row>
          <xdr:rowOff>12700</xdr:rowOff>
        </xdr:to>
        <xdr:sp macro="" textlink="">
          <xdr:nvSpPr>
            <xdr:cNvPr id="37954" name="Button 66" hidden="1">
              <a:extLst>
                <a:ext uri="{63B3BB69-23CF-44E3-9099-C40C66FF867C}">
                  <a14:compatExt spid="_x0000_s37954"/>
                </a:ext>
                <a:ext uri="{FF2B5EF4-FFF2-40B4-BE49-F238E27FC236}">
                  <a16:creationId xmlns:a16="http://schemas.microsoft.com/office/drawing/2014/main" id="{00000000-0008-0000-1200-0000429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165100</xdr:colOff>
          <xdr:row>9</xdr:row>
          <xdr:rowOff>57150</xdr:rowOff>
        </xdr:from>
        <xdr:to>
          <xdr:col>1</xdr:col>
          <xdr:colOff>762000</xdr:colOff>
          <xdr:row>11</xdr:row>
          <xdr:rowOff>57150</xdr:rowOff>
        </xdr:to>
        <xdr:sp macro="" textlink="">
          <xdr:nvSpPr>
            <xdr:cNvPr id="37955" name="Button 67" hidden="1">
              <a:extLst>
                <a:ext uri="{63B3BB69-23CF-44E3-9099-C40C66FF867C}">
                  <a14:compatExt spid="_x0000_s37955"/>
                </a:ext>
                <a:ext uri="{FF2B5EF4-FFF2-40B4-BE49-F238E27FC236}">
                  <a16:creationId xmlns:a16="http://schemas.microsoft.com/office/drawing/2014/main" id="{00000000-0008-0000-1200-0000439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Reset</a:t>
              </a:r>
            </a:p>
          </xdr:txBody>
        </xdr:sp>
        <xdr:clientData/>
      </xdr:twoCellAnchor>
    </mc:Choice>
    <mc:Fallback/>
  </mc:AlternateContent>
  <xdr:twoCellAnchor editAs="oneCell">
    <xdr:from>
      <xdr:col>0</xdr:col>
      <xdr:colOff>76200</xdr:colOff>
      <xdr:row>10</xdr:row>
      <xdr:rowOff>152399</xdr:rowOff>
    </xdr:from>
    <xdr:to>
      <xdr:col>3</xdr:col>
      <xdr:colOff>628650</xdr:colOff>
      <xdr:row>13</xdr:row>
      <xdr:rowOff>9525</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76200" y="1771649"/>
          <a:ext cx="2162175"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a:t>Developed by </a:t>
          </a:r>
          <a:r>
            <a:rPr lang="en-US" sz="800" baseline="0"/>
            <a:t> </a:t>
          </a:r>
          <a:r>
            <a:rPr lang="en-US" sz="800"/>
            <a:t>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12700</xdr:colOff>
          <xdr:row>2</xdr:row>
          <xdr:rowOff>38100</xdr:rowOff>
        </xdr:from>
        <xdr:to>
          <xdr:col>3</xdr:col>
          <xdr:colOff>0</xdr:colOff>
          <xdr:row>3</xdr:row>
          <xdr:rowOff>95250</xdr:rowOff>
        </xdr:to>
        <xdr:sp macro="" textlink="">
          <xdr:nvSpPr>
            <xdr:cNvPr id="37958" name="Option Button 70" hidden="1">
              <a:extLst>
                <a:ext uri="{63B3BB69-23CF-44E3-9099-C40C66FF867C}">
                  <a14:compatExt spid="_x0000_s37958"/>
                </a:ext>
                <a:ext uri="{FF2B5EF4-FFF2-40B4-BE49-F238E27FC236}">
                  <a16:creationId xmlns:a16="http://schemas.microsoft.com/office/drawing/2014/main" id="{00000000-0008-0000-1200-000046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Water Pipes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3</xdr:row>
          <xdr:rowOff>38100</xdr:rowOff>
        </xdr:from>
        <xdr:to>
          <xdr:col>3</xdr:col>
          <xdr:colOff>0</xdr:colOff>
          <xdr:row>4</xdr:row>
          <xdr:rowOff>95250</xdr:rowOff>
        </xdr:to>
        <xdr:sp macro="" textlink="">
          <xdr:nvSpPr>
            <xdr:cNvPr id="37959" name="Option Button 71" hidden="1">
              <a:extLst>
                <a:ext uri="{63B3BB69-23CF-44E3-9099-C40C66FF867C}">
                  <a14:compatExt spid="_x0000_s37959"/>
                </a:ext>
                <a:ext uri="{FF2B5EF4-FFF2-40B4-BE49-F238E27FC236}">
                  <a16:creationId xmlns:a16="http://schemas.microsoft.com/office/drawing/2014/main" id="{00000000-0008-0000-1200-000047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Water Header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4</xdr:row>
          <xdr:rowOff>38100</xdr:rowOff>
        </xdr:from>
        <xdr:to>
          <xdr:col>3</xdr:col>
          <xdr:colOff>0</xdr:colOff>
          <xdr:row>5</xdr:row>
          <xdr:rowOff>95250</xdr:rowOff>
        </xdr:to>
        <xdr:sp macro="" textlink="">
          <xdr:nvSpPr>
            <xdr:cNvPr id="37960" name="Option Button 72" hidden="1">
              <a:extLst>
                <a:ext uri="{63B3BB69-23CF-44E3-9099-C40C66FF867C}">
                  <a14:compatExt spid="_x0000_s37960"/>
                </a:ext>
                <a:ext uri="{FF2B5EF4-FFF2-40B4-BE49-F238E27FC236}">
                  <a16:creationId xmlns:a16="http://schemas.microsoft.com/office/drawing/2014/main" id="{00000000-0008-0000-1200-000048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Steam Pipes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63</xdr:col>
          <xdr:colOff>107950</xdr:colOff>
          <xdr:row>22</xdr:row>
          <xdr:rowOff>114300</xdr:rowOff>
        </xdr:from>
        <xdr:to>
          <xdr:col>65</xdr:col>
          <xdr:colOff>50800</xdr:colOff>
          <xdr:row>24</xdr:row>
          <xdr:rowOff>19050</xdr:rowOff>
        </xdr:to>
        <xdr:sp macro="" textlink="">
          <xdr:nvSpPr>
            <xdr:cNvPr id="37964" name="Button 76" hidden="1">
              <a:extLst>
                <a:ext uri="{63B3BB69-23CF-44E3-9099-C40C66FF867C}">
                  <a14:compatExt spid="_x0000_s37964"/>
                </a:ext>
                <a:ext uri="{FF2B5EF4-FFF2-40B4-BE49-F238E27FC236}">
                  <a16:creationId xmlns:a16="http://schemas.microsoft.com/office/drawing/2014/main" id="{00000000-0008-0000-1200-00004C9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68</xdr:col>
          <xdr:colOff>19050</xdr:colOff>
          <xdr:row>25</xdr:row>
          <xdr:rowOff>114300</xdr:rowOff>
        </xdr:from>
        <xdr:to>
          <xdr:col>68</xdr:col>
          <xdr:colOff>609600</xdr:colOff>
          <xdr:row>27</xdr:row>
          <xdr:rowOff>19050</xdr:rowOff>
        </xdr:to>
        <xdr:sp macro="" textlink="">
          <xdr:nvSpPr>
            <xdr:cNvPr id="37966" name="Button 78" hidden="1">
              <a:extLst>
                <a:ext uri="{63B3BB69-23CF-44E3-9099-C40C66FF867C}">
                  <a14:compatExt spid="_x0000_s37966"/>
                </a:ext>
                <a:ext uri="{FF2B5EF4-FFF2-40B4-BE49-F238E27FC236}">
                  <a16:creationId xmlns:a16="http://schemas.microsoft.com/office/drawing/2014/main" id="{00000000-0008-0000-1200-00004E9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400050</xdr:colOff>
          <xdr:row>11</xdr:row>
          <xdr:rowOff>69850</xdr:rowOff>
        </xdr:from>
        <xdr:to>
          <xdr:col>5</xdr:col>
          <xdr:colOff>1181100</xdr:colOff>
          <xdr:row>13</xdr:row>
          <xdr:rowOff>31750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1300-0000044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8</xdr:row>
          <xdr:rowOff>152400</xdr:rowOff>
        </xdr:from>
        <xdr:to>
          <xdr:col>5</xdr:col>
          <xdr:colOff>1181100</xdr:colOff>
          <xdr:row>10</xdr:row>
          <xdr:rowOff>152400</xdr:rowOff>
        </xdr:to>
        <xdr:sp macro="" textlink="">
          <xdr:nvSpPr>
            <xdr:cNvPr id="17418" name="Button 10" hidden="1">
              <a:extLst>
                <a:ext uri="{63B3BB69-23CF-44E3-9099-C40C66FF867C}">
                  <a14:compatExt spid="_x0000_s17418"/>
                </a:ext>
                <a:ext uri="{FF2B5EF4-FFF2-40B4-BE49-F238E27FC236}">
                  <a16:creationId xmlns:a16="http://schemas.microsoft.com/office/drawing/2014/main" id="{00000000-0008-0000-1300-00000A4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Home</a:t>
              </a:r>
            </a:p>
          </xdr:txBody>
        </xdr:sp>
        <xdr:clientData/>
      </xdr:twoCellAnchor>
    </mc:Choice>
    <mc:Fallback/>
  </mc:AlternateContent>
  <xdr:twoCellAnchor editAs="absolute">
    <xdr:from>
      <xdr:col>0</xdr:col>
      <xdr:colOff>76200</xdr:colOff>
      <xdr:row>35</xdr:row>
      <xdr:rowOff>104775</xdr:rowOff>
    </xdr:from>
    <xdr:to>
      <xdr:col>4</xdr:col>
      <xdr:colOff>114300</xdr:colOff>
      <xdr:row>37</xdr:row>
      <xdr:rowOff>66675</xdr:rowOff>
    </xdr:to>
    <xdr:sp macro="" textlink="">
      <xdr:nvSpPr>
        <xdr:cNvPr id="6" name="TextBox 5">
          <a:extLst>
            <a:ext uri="{FF2B5EF4-FFF2-40B4-BE49-F238E27FC236}">
              <a16:creationId xmlns:a16="http://schemas.microsoft.com/office/drawing/2014/main" id="{00000000-0008-0000-1300-000006000000}"/>
            </a:ext>
          </a:extLst>
        </xdr:cNvPr>
        <xdr:cNvSpPr txBox="1"/>
      </xdr:nvSpPr>
      <xdr:spPr>
        <a:xfrm>
          <a:off x="76200" y="5848350"/>
          <a:ext cx="1771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2</xdr:row>
          <xdr:rowOff>19050</xdr:rowOff>
        </xdr:from>
        <xdr:to>
          <xdr:col>5</xdr:col>
          <xdr:colOff>666750</xdr:colOff>
          <xdr:row>3</xdr:row>
          <xdr:rowOff>0</xdr:rowOff>
        </xdr:to>
        <xdr:sp macro="" textlink="">
          <xdr:nvSpPr>
            <xdr:cNvPr id="17855" name="Option Button 447" hidden="1">
              <a:extLst>
                <a:ext uri="{63B3BB69-23CF-44E3-9099-C40C66FF867C}">
                  <a14:compatExt spid="_x0000_s17855"/>
                </a:ext>
                <a:ext uri="{FF2B5EF4-FFF2-40B4-BE49-F238E27FC236}">
                  <a16:creationId xmlns:a16="http://schemas.microsoft.com/office/drawing/2014/main" id="{00000000-0008-0000-1300-0000BF4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Motor Ratings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31750</xdr:rowOff>
        </xdr:from>
        <xdr:to>
          <xdr:col>5</xdr:col>
          <xdr:colOff>717550</xdr:colOff>
          <xdr:row>4</xdr:row>
          <xdr:rowOff>0</xdr:rowOff>
        </xdr:to>
        <xdr:sp macro="" textlink="">
          <xdr:nvSpPr>
            <xdr:cNvPr id="17856" name="Option Button 448" hidden="1">
              <a:extLst>
                <a:ext uri="{63B3BB69-23CF-44E3-9099-C40C66FF867C}">
                  <a14:compatExt spid="_x0000_s17856"/>
                </a:ext>
                <a:ext uri="{FF2B5EF4-FFF2-40B4-BE49-F238E27FC236}">
                  <a16:creationId xmlns:a16="http://schemas.microsoft.com/office/drawing/2014/main" id="{00000000-0008-0000-1300-0000C04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Fan Motor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12700</xdr:rowOff>
        </xdr:from>
        <xdr:to>
          <xdr:col>31</xdr:col>
          <xdr:colOff>190500</xdr:colOff>
          <xdr:row>6</xdr:row>
          <xdr:rowOff>12700</xdr:rowOff>
        </xdr:to>
        <xdr:sp macro="" textlink="">
          <xdr:nvSpPr>
            <xdr:cNvPr id="17859" name="Option Button 451" hidden="1">
              <a:extLst>
                <a:ext uri="{63B3BB69-23CF-44E3-9099-C40C66FF867C}">
                  <a14:compatExt spid="_x0000_s17859"/>
                </a:ext>
                <a:ext uri="{FF2B5EF4-FFF2-40B4-BE49-F238E27FC236}">
                  <a16:creationId xmlns:a16="http://schemas.microsoft.com/office/drawing/2014/main" id="{00000000-0008-0000-1300-0000C34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kW → Amp; Amp → kW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31750</xdr:rowOff>
        </xdr:from>
        <xdr:to>
          <xdr:col>5</xdr:col>
          <xdr:colOff>717550</xdr:colOff>
          <xdr:row>5</xdr:row>
          <xdr:rowOff>0</xdr:rowOff>
        </xdr:to>
        <xdr:sp macro="" textlink="">
          <xdr:nvSpPr>
            <xdr:cNvPr id="17860" name="Option Button 452" hidden="1">
              <a:extLst>
                <a:ext uri="{63B3BB69-23CF-44E3-9099-C40C66FF867C}">
                  <a14:compatExt spid="_x0000_s17860"/>
                </a:ext>
                <a:ext uri="{FF2B5EF4-FFF2-40B4-BE49-F238E27FC236}">
                  <a16:creationId xmlns:a16="http://schemas.microsoft.com/office/drawing/2014/main" id="{00000000-0008-0000-1300-0000C44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Pump Motor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33</xdr:col>
          <xdr:colOff>342900</xdr:colOff>
          <xdr:row>31</xdr:row>
          <xdr:rowOff>76200</xdr:rowOff>
        </xdr:from>
        <xdr:to>
          <xdr:col>35</xdr:col>
          <xdr:colOff>50800</xdr:colOff>
          <xdr:row>32</xdr:row>
          <xdr:rowOff>146050</xdr:rowOff>
        </xdr:to>
        <xdr:sp macro="" textlink="">
          <xdr:nvSpPr>
            <xdr:cNvPr id="17862" name="Button 454" hidden="1">
              <a:extLst>
                <a:ext uri="{63B3BB69-23CF-44E3-9099-C40C66FF867C}">
                  <a14:compatExt spid="_x0000_s17862"/>
                </a:ext>
                <a:ext uri="{FF2B5EF4-FFF2-40B4-BE49-F238E27FC236}">
                  <a16:creationId xmlns:a16="http://schemas.microsoft.com/office/drawing/2014/main" id="{00000000-0008-0000-1300-0000C645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38</xdr:col>
          <xdr:colOff>431800</xdr:colOff>
          <xdr:row>27</xdr:row>
          <xdr:rowOff>88900</xdr:rowOff>
        </xdr:from>
        <xdr:to>
          <xdr:col>40</xdr:col>
          <xdr:colOff>76200</xdr:colOff>
          <xdr:row>28</xdr:row>
          <xdr:rowOff>152400</xdr:rowOff>
        </xdr:to>
        <xdr:sp macro="" textlink="">
          <xdr:nvSpPr>
            <xdr:cNvPr id="17865" name="Button 457" hidden="1">
              <a:extLst>
                <a:ext uri="{63B3BB69-23CF-44E3-9099-C40C66FF867C}">
                  <a14:compatExt spid="_x0000_s17865"/>
                </a:ext>
                <a:ext uri="{FF2B5EF4-FFF2-40B4-BE49-F238E27FC236}">
                  <a16:creationId xmlns:a16="http://schemas.microsoft.com/office/drawing/2014/main" id="{00000000-0008-0000-1300-0000C945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44</xdr:col>
          <xdr:colOff>209550</xdr:colOff>
          <xdr:row>9</xdr:row>
          <xdr:rowOff>95250</xdr:rowOff>
        </xdr:from>
        <xdr:to>
          <xdr:col>45</xdr:col>
          <xdr:colOff>222250</xdr:colOff>
          <xdr:row>11</xdr:row>
          <xdr:rowOff>0</xdr:rowOff>
        </xdr:to>
        <xdr:sp macro="" textlink="">
          <xdr:nvSpPr>
            <xdr:cNvPr id="17867" name="Button 459" hidden="1">
              <a:extLst>
                <a:ext uri="{63B3BB69-23CF-44E3-9099-C40C66FF867C}">
                  <a14:compatExt spid="_x0000_s17867"/>
                </a:ext>
                <a:ext uri="{FF2B5EF4-FFF2-40B4-BE49-F238E27FC236}">
                  <a16:creationId xmlns:a16="http://schemas.microsoft.com/office/drawing/2014/main" id="{00000000-0008-0000-1300-0000CB45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342900</xdr:colOff>
          <xdr:row>5</xdr:row>
          <xdr:rowOff>152400</xdr:rowOff>
        </xdr:from>
        <xdr:to>
          <xdr:col>8</xdr:col>
          <xdr:colOff>0</xdr:colOff>
          <xdr:row>7</xdr:row>
          <xdr:rowOff>12700</xdr:rowOff>
        </xdr:to>
        <xdr:sp macro="" textlink="">
          <xdr:nvSpPr>
            <xdr:cNvPr id="17869" name="Check Box 461" hidden="1">
              <a:extLst>
                <a:ext uri="{63B3BB69-23CF-44E3-9099-C40C66FF867C}">
                  <a14:compatExt spid="_x0000_s17869"/>
                </a:ext>
                <a:ext uri="{FF2B5EF4-FFF2-40B4-BE49-F238E27FC236}">
                  <a16:creationId xmlns:a16="http://schemas.microsoft.com/office/drawing/2014/main" id="{00000000-0008-0000-1300-0000CD4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External Louvre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469900</xdr:colOff>
          <xdr:row>20</xdr:row>
          <xdr:rowOff>146050</xdr:rowOff>
        </xdr:from>
        <xdr:to>
          <xdr:col>8</xdr:col>
          <xdr:colOff>0</xdr:colOff>
          <xdr:row>22</xdr:row>
          <xdr:rowOff>19050</xdr:rowOff>
        </xdr:to>
        <xdr:sp macro="" textlink="">
          <xdr:nvSpPr>
            <xdr:cNvPr id="17870" name="Check Box 462" hidden="1">
              <a:extLst>
                <a:ext uri="{63B3BB69-23CF-44E3-9099-C40C66FF867C}">
                  <a14:compatExt spid="_x0000_s17870"/>
                </a:ext>
                <a:ext uri="{FF2B5EF4-FFF2-40B4-BE49-F238E27FC236}">
                  <a16:creationId xmlns:a16="http://schemas.microsoft.com/office/drawing/2014/main" id="{00000000-0008-0000-1300-0000CE4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Mixing Box</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469900</xdr:colOff>
          <xdr:row>22</xdr:row>
          <xdr:rowOff>0</xdr:rowOff>
        </xdr:from>
        <xdr:to>
          <xdr:col>8</xdr:col>
          <xdr:colOff>0</xdr:colOff>
          <xdr:row>23</xdr:row>
          <xdr:rowOff>38100</xdr:rowOff>
        </xdr:to>
        <xdr:sp macro="" textlink="">
          <xdr:nvSpPr>
            <xdr:cNvPr id="17871" name="Check Box 463" hidden="1">
              <a:extLst>
                <a:ext uri="{63B3BB69-23CF-44E3-9099-C40C66FF867C}">
                  <a14:compatExt spid="_x0000_s17871"/>
                </a:ext>
                <a:ext uri="{FF2B5EF4-FFF2-40B4-BE49-F238E27FC236}">
                  <a16:creationId xmlns:a16="http://schemas.microsoft.com/office/drawing/2014/main" id="{00000000-0008-0000-1300-0000CF4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Panel Filter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469900</xdr:colOff>
          <xdr:row>23</xdr:row>
          <xdr:rowOff>0</xdr:rowOff>
        </xdr:from>
        <xdr:to>
          <xdr:col>8</xdr:col>
          <xdr:colOff>0</xdr:colOff>
          <xdr:row>24</xdr:row>
          <xdr:rowOff>38100</xdr:rowOff>
        </xdr:to>
        <xdr:sp macro="" textlink="">
          <xdr:nvSpPr>
            <xdr:cNvPr id="17872" name="Check Box 464" hidden="1">
              <a:extLst>
                <a:ext uri="{63B3BB69-23CF-44E3-9099-C40C66FF867C}">
                  <a14:compatExt spid="_x0000_s17872"/>
                </a:ext>
                <a:ext uri="{FF2B5EF4-FFF2-40B4-BE49-F238E27FC236}">
                  <a16:creationId xmlns:a16="http://schemas.microsoft.com/office/drawing/2014/main" id="{00000000-0008-0000-1300-0000D04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Bag Filter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469900</xdr:colOff>
          <xdr:row>24</xdr:row>
          <xdr:rowOff>0</xdr:rowOff>
        </xdr:from>
        <xdr:to>
          <xdr:col>8</xdr:col>
          <xdr:colOff>0</xdr:colOff>
          <xdr:row>25</xdr:row>
          <xdr:rowOff>38100</xdr:rowOff>
        </xdr:to>
        <xdr:sp macro="" textlink="">
          <xdr:nvSpPr>
            <xdr:cNvPr id="17873" name="Check Box 465" hidden="1">
              <a:extLst>
                <a:ext uri="{63B3BB69-23CF-44E3-9099-C40C66FF867C}">
                  <a14:compatExt spid="_x0000_s17873"/>
                </a:ext>
                <a:ext uri="{FF2B5EF4-FFF2-40B4-BE49-F238E27FC236}">
                  <a16:creationId xmlns:a16="http://schemas.microsoft.com/office/drawing/2014/main" id="{00000000-0008-0000-1300-0000D14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Heating Coil</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469900</xdr:colOff>
          <xdr:row>25</xdr:row>
          <xdr:rowOff>0</xdr:rowOff>
        </xdr:from>
        <xdr:to>
          <xdr:col>8</xdr:col>
          <xdr:colOff>0</xdr:colOff>
          <xdr:row>26</xdr:row>
          <xdr:rowOff>38100</xdr:rowOff>
        </xdr:to>
        <xdr:sp macro="" textlink="">
          <xdr:nvSpPr>
            <xdr:cNvPr id="17874" name="Check Box 466" hidden="1">
              <a:extLst>
                <a:ext uri="{63B3BB69-23CF-44E3-9099-C40C66FF867C}">
                  <a14:compatExt spid="_x0000_s17874"/>
                </a:ext>
                <a:ext uri="{FF2B5EF4-FFF2-40B4-BE49-F238E27FC236}">
                  <a16:creationId xmlns:a16="http://schemas.microsoft.com/office/drawing/2014/main" id="{00000000-0008-0000-1300-0000D24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Cooling Coil</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469900</xdr:colOff>
          <xdr:row>26</xdr:row>
          <xdr:rowOff>0</xdr:rowOff>
        </xdr:from>
        <xdr:to>
          <xdr:col>8</xdr:col>
          <xdr:colOff>0</xdr:colOff>
          <xdr:row>27</xdr:row>
          <xdr:rowOff>38100</xdr:rowOff>
        </xdr:to>
        <xdr:sp macro="" textlink="">
          <xdr:nvSpPr>
            <xdr:cNvPr id="17875" name="Check Box 467" hidden="1">
              <a:extLst>
                <a:ext uri="{63B3BB69-23CF-44E3-9099-C40C66FF867C}">
                  <a14:compatExt spid="_x0000_s17875"/>
                </a:ext>
                <a:ext uri="{FF2B5EF4-FFF2-40B4-BE49-F238E27FC236}">
                  <a16:creationId xmlns:a16="http://schemas.microsoft.com/office/drawing/2014/main" id="{00000000-0008-0000-1300-0000D34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Humidifier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342900</xdr:colOff>
          <xdr:row>6</xdr:row>
          <xdr:rowOff>165100</xdr:rowOff>
        </xdr:from>
        <xdr:to>
          <xdr:col>8</xdr:col>
          <xdr:colOff>0</xdr:colOff>
          <xdr:row>8</xdr:row>
          <xdr:rowOff>19050</xdr:rowOff>
        </xdr:to>
        <xdr:sp macro="" textlink="">
          <xdr:nvSpPr>
            <xdr:cNvPr id="17876" name="Check Box 468" hidden="1">
              <a:extLst>
                <a:ext uri="{63B3BB69-23CF-44E3-9099-C40C66FF867C}">
                  <a14:compatExt spid="_x0000_s17876"/>
                </a:ext>
                <a:ext uri="{FF2B5EF4-FFF2-40B4-BE49-F238E27FC236}">
                  <a16:creationId xmlns:a16="http://schemas.microsoft.com/office/drawing/2014/main" id="{00000000-0008-0000-1300-0000D44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Silencer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342900</xdr:colOff>
          <xdr:row>8</xdr:row>
          <xdr:rowOff>31750</xdr:rowOff>
        </xdr:from>
        <xdr:to>
          <xdr:col>8</xdr:col>
          <xdr:colOff>0</xdr:colOff>
          <xdr:row>9</xdr:row>
          <xdr:rowOff>19050</xdr:rowOff>
        </xdr:to>
        <xdr:sp macro="" textlink="">
          <xdr:nvSpPr>
            <xdr:cNvPr id="17878" name="Check Box 470" hidden="1">
              <a:extLst>
                <a:ext uri="{63B3BB69-23CF-44E3-9099-C40C66FF867C}">
                  <a14:compatExt spid="_x0000_s17878"/>
                </a:ext>
                <a:ext uri="{FF2B5EF4-FFF2-40B4-BE49-F238E27FC236}">
                  <a16:creationId xmlns:a16="http://schemas.microsoft.com/office/drawing/2014/main" id="{00000000-0008-0000-1300-0000D64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Terminal Diffuser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152400</xdr:rowOff>
        </xdr:from>
        <xdr:to>
          <xdr:col>3</xdr:col>
          <xdr:colOff>127000</xdr:colOff>
          <xdr:row>3</xdr:row>
          <xdr:rowOff>57150</xdr:rowOff>
        </xdr:to>
        <xdr:sp macro="" textlink="">
          <xdr:nvSpPr>
            <xdr:cNvPr id="17879" name="Option Button 471" hidden="1">
              <a:extLst>
                <a:ext uri="{63B3BB69-23CF-44E3-9099-C40C66FF867C}">
                  <a14:compatExt spid="_x0000_s17879"/>
                </a:ext>
                <a:ext uri="{FF2B5EF4-FFF2-40B4-BE49-F238E27FC236}">
                  <a16:creationId xmlns:a16="http://schemas.microsoft.com/office/drawing/2014/main" id="{00000000-0008-0000-1300-0000D74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Fan-duct System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133350</xdr:rowOff>
        </xdr:from>
        <xdr:to>
          <xdr:col>3</xdr:col>
          <xdr:colOff>165100</xdr:colOff>
          <xdr:row>4</xdr:row>
          <xdr:rowOff>57150</xdr:rowOff>
        </xdr:to>
        <xdr:sp macro="" textlink="">
          <xdr:nvSpPr>
            <xdr:cNvPr id="17880" name="Option Button 472" hidden="1">
              <a:extLst>
                <a:ext uri="{63B3BB69-23CF-44E3-9099-C40C66FF867C}">
                  <a14:compatExt spid="_x0000_s17880"/>
                </a:ext>
                <a:ext uri="{FF2B5EF4-FFF2-40B4-BE49-F238E27FC236}">
                  <a16:creationId xmlns:a16="http://schemas.microsoft.com/office/drawing/2014/main" id="{00000000-0008-0000-1300-0000D84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Closed-loop Water System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133350</xdr:rowOff>
        </xdr:from>
        <xdr:to>
          <xdr:col>3</xdr:col>
          <xdr:colOff>146050</xdr:colOff>
          <xdr:row>5</xdr:row>
          <xdr:rowOff>57150</xdr:rowOff>
        </xdr:to>
        <xdr:sp macro="" textlink="">
          <xdr:nvSpPr>
            <xdr:cNvPr id="17881" name="Option Button 473" hidden="1">
              <a:extLst>
                <a:ext uri="{63B3BB69-23CF-44E3-9099-C40C66FF867C}">
                  <a14:compatExt spid="_x0000_s17881"/>
                </a:ext>
                <a:ext uri="{FF2B5EF4-FFF2-40B4-BE49-F238E27FC236}">
                  <a16:creationId xmlns:a16="http://schemas.microsoft.com/office/drawing/2014/main" id="{00000000-0008-0000-1300-0000D94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Open-loop Water System</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298450</xdr:colOff>
          <xdr:row>19</xdr:row>
          <xdr:rowOff>76200</xdr:rowOff>
        </xdr:from>
        <xdr:to>
          <xdr:col>16</xdr:col>
          <xdr:colOff>57150</xdr:colOff>
          <xdr:row>20</xdr:row>
          <xdr:rowOff>146050</xdr:rowOff>
        </xdr:to>
        <xdr:sp macro="" textlink="">
          <xdr:nvSpPr>
            <xdr:cNvPr id="17882" name="Button 474" hidden="1">
              <a:extLst>
                <a:ext uri="{63B3BB69-23CF-44E3-9099-C40C66FF867C}">
                  <a14:compatExt spid="_x0000_s17882"/>
                </a:ext>
                <a:ext uri="{FF2B5EF4-FFF2-40B4-BE49-F238E27FC236}">
                  <a16:creationId xmlns:a16="http://schemas.microsoft.com/office/drawing/2014/main" id="{00000000-0008-0000-1300-0000DA45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19</xdr:col>
          <xdr:colOff>450850</xdr:colOff>
          <xdr:row>22</xdr:row>
          <xdr:rowOff>95250</xdr:rowOff>
        </xdr:from>
        <xdr:to>
          <xdr:col>21</xdr:col>
          <xdr:colOff>88900</xdr:colOff>
          <xdr:row>24</xdr:row>
          <xdr:rowOff>0</xdr:rowOff>
        </xdr:to>
        <xdr:sp macro="" textlink="">
          <xdr:nvSpPr>
            <xdr:cNvPr id="17883" name="Button 475" hidden="1">
              <a:extLst>
                <a:ext uri="{63B3BB69-23CF-44E3-9099-C40C66FF867C}">
                  <a14:compatExt spid="_x0000_s17883"/>
                </a:ext>
                <a:ext uri="{FF2B5EF4-FFF2-40B4-BE49-F238E27FC236}">
                  <a16:creationId xmlns:a16="http://schemas.microsoft.com/office/drawing/2014/main" id="{00000000-0008-0000-1300-0000DB45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31750</xdr:colOff>
          <xdr:row>32</xdr:row>
          <xdr:rowOff>50800</xdr:rowOff>
        </xdr:from>
        <xdr:to>
          <xdr:col>7</xdr:col>
          <xdr:colOff>622300</xdr:colOff>
          <xdr:row>33</xdr:row>
          <xdr:rowOff>114300</xdr:rowOff>
        </xdr:to>
        <xdr:sp macro="" textlink="">
          <xdr:nvSpPr>
            <xdr:cNvPr id="17884" name="Button 476" hidden="1">
              <a:extLst>
                <a:ext uri="{63B3BB69-23CF-44E3-9099-C40C66FF867C}">
                  <a14:compatExt spid="_x0000_s17884"/>
                </a:ext>
                <a:ext uri="{FF2B5EF4-FFF2-40B4-BE49-F238E27FC236}">
                  <a16:creationId xmlns:a16="http://schemas.microsoft.com/office/drawing/2014/main" id="{00000000-0008-0000-1300-0000DC45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12700</xdr:rowOff>
        </xdr:from>
        <xdr:to>
          <xdr:col>5</xdr:col>
          <xdr:colOff>1257300</xdr:colOff>
          <xdr:row>7</xdr:row>
          <xdr:rowOff>0</xdr:rowOff>
        </xdr:to>
        <xdr:sp macro="" textlink="">
          <xdr:nvSpPr>
            <xdr:cNvPr id="17885" name="Option Button 477" hidden="1">
              <a:extLst>
                <a:ext uri="{63B3BB69-23CF-44E3-9099-C40C66FF867C}">
                  <a14:compatExt spid="_x0000_s17885"/>
                </a:ext>
                <a:ext uri="{FF2B5EF4-FFF2-40B4-BE49-F238E27FC236}">
                  <a16:creationId xmlns:a16="http://schemas.microsoft.com/office/drawing/2014/main" id="{00000000-0008-0000-1300-0000DD4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zh-TW" altLang="en-US" sz="800" b="0" i="0" u="none" strike="noStrike" baseline="0">
                  <a:solidFill>
                    <a:srgbClr val="000000"/>
                  </a:solidFill>
                  <a:latin typeface="新細明體"/>
                  <a:ea typeface="新細明體"/>
                </a:rPr>
                <a:t>输送能效比</a:t>
              </a:r>
              <a:r>
                <a:rPr lang="zh-TW" altLang="en-US" sz="800" b="0" i="0" u="none" strike="noStrike" baseline="0">
                  <a:solidFill>
                    <a:srgbClr val="000000"/>
                  </a:solidFill>
                  <a:latin typeface="Tahoma"/>
                  <a:ea typeface="新細明體"/>
                  <a:cs typeface="Tahoma"/>
                </a:rPr>
                <a:t>  ER</a:t>
              </a:r>
              <a:endParaRPr lang="zh-TW" altLang="en-US" sz="800" b="0" i="0" u="none" strike="noStrike" baseline="0">
                <a:solidFill>
                  <a:srgbClr val="000000"/>
                </a:solidFill>
                <a:latin typeface="Tahoma"/>
                <a:cs typeface="Tahoma"/>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50</xdr:col>
          <xdr:colOff>95250</xdr:colOff>
          <xdr:row>18</xdr:row>
          <xdr:rowOff>146050</xdr:rowOff>
        </xdr:from>
        <xdr:to>
          <xdr:col>51</xdr:col>
          <xdr:colOff>190500</xdr:colOff>
          <xdr:row>20</xdr:row>
          <xdr:rowOff>50800</xdr:rowOff>
        </xdr:to>
        <xdr:sp macro="" textlink="">
          <xdr:nvSpPr>
            <xdr:cNvPr id="17886" name="Button 478" hidden="1">
              <a:extLst>
                <a:ext uri="{63B3BB69-23CF-44E3-9099-C40C66FF867C}">
                  <a14:compatExt spid="_x0000_s17886"/>
                </a:ext>
                <a:ext uri="{FF2B5EF4-FFF2-40B4-BE49-F238E27FC236}">
                  <a16:creationId xmlns:a16="http://schemas.microsoft.com/office/drawing/2014/main" id="{00000000-0008-0000-1300-0000DE45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6</xdr:row>
          <xdr:rowOff>88900</xdr:rowOff>
        </xdr:from>
        <xdr:to>
          <xdr:col>1</xdr:col>
          <xdr:colOff>800100</xdr:colOff>
          <xdr:row>8</xdr:row>
          <xdr:rowOff>12700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400-0000016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57150</xdr:rowOff>
        </xdr:from>
        <xdr:to>
          <xdr:col>1</xdr:col>
          <xdr:colOff>800100</xdr:colOff>
          <xdr:row>9</xdr:row>
          <xdr:rowOff>184150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1400-0000026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Reset</a:t>
              </a:r>
            </a:p>
          </xdr:txBody>
        </xdr:sp>
        <xdr:clientData/>
      </xdr:twoCellAnchor>
    </mc:Choice>
    <mc:Fallback/>
  </mc:AlternateContent>
  <xdr:twoCellAnchor editAs="absolute">
    <xdr:from>
      <xdr:col>0</xdr:col>
      <xdr:colOff>85725</xdr:colOff>
      <xdr:row>9</xdr:row>
      <xdr:rowOff>161925</xdr:rowOff>
    </xdr:from>
    <xdr:to>
      <xdr:col>2</xdr:col>
      <xdr:colOff>38100</xdr:colOff>
      <xdr:row>11</xdr:row>
      <xdr:rowOff>47625</xdr:rowOff>
    </xdr:to>
    <xdr:sp macro="" textlink="">
      <xdr:nvSpPr>
        <xdr:cNvPr id="5" name="TextBox 4">
          <a:extLst>
            <a:ext uri="{FF2B5EF4-FFF2-40B4-BE49-F238E27FC236}">
              <a16:creationId xmlns:a16="http://schemas.microsoft.com/office/drawing/2014/main" id="{00000000-0008-0000-1400-000005000000}"/>
            </a:ext>
          </a:extLst>
        </xdr:cNvPr>
        <xdr:cNvSpPr txBox="1"/>
      </xdr:nvSpPr>
      <xdr:spPr>
        <a:xfrm>
          <a:off x="85725" y="1828800"/>
          <a:ext cx="1771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1</xdr:col>
          <xdr:colOff>1346200</xdr:colOff>
          <xdr:row>3</xdr:row>
          <xdr:rowOff>19050</xdr:rowOff>
        </xdr:to>
        <xdr:sp macro="" textlink="">
          <xdr:nvSpPr>
            <xdr:cNvPr id="27653" name="Option Button 5" hidden="1">
              <a:extLst>
                <a:ext uri="{63B3BB69-23CF-44E3-9099-C40C66FF867C}">
                  <a14:compatExt spid="_x0000_s27653"/>
                </a:ext>
                <a:ext uri="{FF2B5EF4-FFF2-40B4-BE49-F238E27FC236}">
                  <a16:creationId xmlns:a16="http://schemas.microsoft.com/office/drawing/2014/main" id="{00000000-0008-0000-1400-000005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Sound Pressure Level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165100</xdr:rowOff>
        </xdr:from>
        <xdr:to>
          <xdr:col>1</xdr:col>
          <xdr:colOff>1346200</xdr:colOff>
          <xdr:row>4</xdr:row>
          <xdr:rowOff>19050</xdr:rowOff>
        </xdr:to>
        <xdr:sp macro="" textlink="">
          <xdr:nvSpPr>
            <xdr:cNvPr id="27654" name="Option Button 6" hidden="1">
              <a:extLst>
                <a:ext uri="{63B3BB69-23CF-44E3-9099-C40C66FF867C}">
                  <a14:compatExt spid="_x0000_s27654"/>
                </a:ext>
                <a:ext uri="{FF2B5EF4-FFF2-40B4-BE49-F238E27FC236}">
                  <a16:creationId xmlns:a16="http://schemas.microsoft.com/office/drawing/2014/main" id="{00000000-0008-0000-1400-000006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Sound Power Level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127000</xdr:rowOff>
        </xdr:from>
        <xdr:to>
          <xdr:col>1</xdr:col>
          <xdr:colOff>1346200</xdr:colOff>
          <xdr:row>5</xdr:row>
          <xdr:rowOff>0</xdr:rowOff>
        </xdr:to>
        <xdr:sp macro="" textlink="">
          <xdr:nvSpPr>
            <xdr:cNvPr id="27655" name="Option Button 7" hidden="1">
              <a:extLst>
                <a:ext uri="{63B3BB69-23CF-44E3-9099-C40C66FF867C}">
                  <a14:compatExt spid="_x0000_s27655"/>
                </a:ext>
                <a:ext uri="{FF2B5EF4-FFF2-40B4-BE49-F238E27FC236}">
                  <a16:creationId xmlns:a16="http://schemas.microsoft.com/office/drawing/2014/main" id="{00000000-0008-0000-1400-000007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Resultant Sound Level</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11</xdr:row>
          <xdr:rowOff>127000</xdr:rowOff>
        </xdr:from>
        <xdr:to>
          <xdr:col>3</xdr:col>
          <xdr:colOff>628650</xdr:colOff>
          <xdr:row>13</xdr:row>
          <xdr:rowOff>31750</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1400-0000086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38100</xdr:colOff>
          <xdr:row>12</xdr:row>
          <xdr:rowOff>0</xdr:rowOff>
        </xdr:from>
        <xdr:to>
          <xdr:col>9</xdr:col>
          <xdr:colOff>628650</xdr:colOff>
          <xdr:row>13</xdr:row>
          <xdr:rowOff>69850</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1400-0000096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38100</xdr:colOff>
          <xdr:row>12</xdr:row>
          <xdr:rowOff>127000</xdr:rowOff>
        </xdr:from>
        <xdr:to>
          <xdr:col>15</xdr:col>
          <xdr:colOff>628650</xdr:colOff>
          <xdr:row>14</xdr:row>
          <xdr:rowOff>31750</xdr:rowOff>
        </xdr:to>
        <xdr:sp macro="" textlink="">
          <xdr:nvSpPr>
            <xdr:cNvPr id="27658" name="Button 10" hidden="1">
              <a:extLst>
                <a:ext uri="{63B3BB69-23CF-44E3-9099-C40C66FF867C}">
                  <a14:compatExt spid="_x0000_s27658"/>
                </a:ext>
                <a:ext uri="{FF2B5EF4-FFF2-40B4-BE49-F238E27FC236}">
                  <a16:creationId xmlns:a16="http://schemas.microsoft.com/office/drawing/2014/main" id="{00000000-0008-0000-1400-00000A6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17</xdr:row>
          <xdr:rowOff>146050</xdr:rowOff>
        </xdr:from>
        <xdr:to>
          <xdr:col>2</xdr:col>
          <xdr:colOff>209550</xdr:colOff>
          <xdr:row>19</xdr:row>
          <xdr:rowOff>146050</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1500-000001C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114300</xdr:rowOff>
        </xdr:from>
        <xdr:to>
          <xdr:col>2</xdr:col>
          <xdr:colOff>209550</xdr:colOff>
          <xdr:row>17</xdr:row>
          <xdr:rowOff>76200</xdr:rowOff>
        </xdr:to>
        <xdr:sp macro="" textlink="">
          <xdr:nvSpPr>
            <xdr:cNvPr id="52226" name="Button 2" hidden="1">
              <a:extLst>
                <a:ext uri="{63B3BB69-23CF-44E3-9099-C40C66FF867C}">
                  <a14:compatExt spid="_x0000_s52226"/>
                </a:ext>
                <a:ext uri="{FF2B5EF4-FFF2-40B4-BE49-F238E27FC236}">
                  <a16:creationId xmlns:a16="http://schemas.microsoft.com/office/drawing/2014/main" id="{00000000-0008-0000-1500-000002C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Home</a:t>
              </a:r>
            </a:p>
          </xdr:txBody>
        </xdr:sp>
        <xdr:clientData/>
      </xdr:twoCellAnchor>
    </mc:Choice>
    <mc:Fallback/>
  </mc:AlternateContent>
  <xdr:twoCellAnchor editAs="oneCell">
    <xdr:from>
      <xdr:col>0</xdr:col>
      <xdr:colOff>104775</xdr:colOff>
      <xdr:row>19</xdr:row>
      <xdr:rowOff>123825</xdr:rowOff>
    </xdr:from>
    <xdr:to>
      <xdr:col>3</xdr:col>
      <xdr:colOff>333375</xdr:colOff>
      <xdr:row>21</xdr:row>
      <xdr:rowOff>85725</xdr:rowOff>
    </xdr:to>
    <xdr:sp macro="" textlink="">
      <xdr:nvSpPr>
        <xdr:cNvPr id="5" name="TextBox 4">
          <a:extLst>
            <a:ext uri="{FF2B5EF4-FFF2-40B4-BE49-F238E27FC236}">
              <a16:creationId xmlns:a16="http://schemas.microsoft.com/office/drawing/2014/main" id="{00000000-0008-0000-1500-000005000000}"/>
            </a:ext>
          </a:extLst>
        </xdr:cNvPr>
        <xdr:cNvSpPr txBox="1"/>
      </xdr:nvSpPr>
      <xdr:spPr>
        <a:xfrm>
          <a:off x="104775" y="3400425"/>
          <a:ext cx="1771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31750</xdr:rowOff>
        </xdr:from>
        <xdr:to>
          <xdr:col>2</xdr:col>
          <xdr:colOff>31750</xdr:colOff>
          <xdr:row>3</xdr:row>
          <xdr:rowOff>12700</xdr:rowOff>
        </xdr:to>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1500-000004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Load Density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31750</xdr:rowOff>
        </xdr:from>
        <xdr:to>
          <xdr:col>3</xdr:col>
          <xdr:colOff>57150</xdr:colOff>
          <xdr:row>3</xdr:row>
          <xdr:rowOff>184150</xdr:rowOff>
        </xdr:to>
        <xdr:sp macro="" textlink="">
          <xdr:nvSpPr>
            <xdr:cNvPr id="52229" name="Option Button 5" hidden="1">
              <a:extLst>
                <a:ext uri="{63B3BB69-23CF-44E3-9099-C40C66FF867C}">
                  <a14:compatExt spid="_x0000_s52229"/>
                </a:ext>
                <a:ext uri="{FF2B5EF4-FFF2-40B4-BE49-F238E27FC236}">
                  <a16:creationId xmlns:a16="http://schemas.microsoft.com/office/drawing/2014/main" id="{00000000-0008-0000-1500-000005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Plant Capacity References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165100</xdr:rowOff>
        </xdr:from>
        <xdr:to>
          <xdr:col>3</xdr:col>
          <xdr:colOff>76200</xdr:colOff>
          <xdr:row>5</xdr:row>
          <xdr:rowOff>152400</xdr:rowOff>
        </xdr:to>
        <xdr:sp macro="" textlink="">
          <xdr:nvSpPr>
            <xdr:cNvPr id="52230" name="Option Button 6" hidden="1">
              <a:extLst>
                <a:ext uri="{63B3BB69-23CF-44E3-9099-C40C66FF867C}">
                  <a14:compatExt spid="_x0000_s52230"/>
                </a:ext>
                <a:ext uri="{FF2B5EF4-FFF2-40B4-BE49-F238E27FC236}">
                  <a16:creationId xmlns:a16="http://schemas.microsoft.com/office/drawing/2014/main" id="{00000000-0008-0000-1500-000006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Heat Dissipation EL Equipment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19050</xdr:rowOff>
        </xdr:from>
        <xdr:to>
          <xdr:col>3</xdr:col>
          <xdr:colOff>95250</xdr:colOff>
          <xdr:row>4</xdr:row>
          <xdr:rowOff>152400</xdr:rowOff>
        </xdr:to>
        <xdr:sp macro="" textlink="">
          <xdr:nvSpPr>
            <xdr:cNvPr id="52231" name="Option Button 7" hidden="1">
              <a:extLst>
                <a:ext uri="{63B3BB69-23CF-44E3-9099-C40C66FF867C}">
                  <a14:compatExt spid="_x0000_s52231"/>
                </a:ext>
                <a:ext uri="{FF2B5EF4-FFF2-40B4-BE49-F238E27FC236}">
                  <a16:creationId xmlns:a16="http://schemas.microsoft.com/office/drawing/2014/main" id="{00000000-0008-0000-1500-000007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IPLV/ NPLV/ COP</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xdr:colOff>
          <xdr:row>21</xdr:row>
          <xdr:rowOff>114300</xdr:rowOff>
        </xdr:from>
        <xdr:to>
          <xdr:col>6</xdr:col>
          <xdr:colOff>609600</xdr:colOff>
          <xdr:row>23</xdr:row>
          <xdr:rowOff>19050</xdr:rowOff>
        </xdr:to>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1500-000009C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30</xdr:col>
          <xdr:colOff>571500</xdr:colOff>
          <xdr:row>20</xdr:row>
          <xdr:rowOff>57150</xdr:rowOff>
        </xdr:from>
        <xdr:to>
          <xdr:col>30</xdr:col>
          <xdr:colOff>1162050</xdr:colOff>
          <xdr:row>21</xdr:row>
          <xdr:rowOff>127000</xdr:rowOff>
        </xdr:to>
        <xdr:sp macro="" textlink="">
          <xdr:nvSpPr>
            <xdr:cNvPr id="52235" name="Button 11" hidden="1">
              <a:extLst>
                <a:ext uri="{63B3BB69-23CF-44E3-9099-C40C66FF867C}">
                  <a14:compatExt spid="_x0000_s52235"/>
                </a:ext>
                <a:ext uri="{FF2B5EF4-FFF2-40B4-BE49-F238E27FC236}">
                  <a16:creationId xmlns:a16="http://schemas.microsoft.com/office/drawing/2014/main" id="{00000000-0008-0000-1500-00000BC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19</xdr:row>
          <xdr:rowOff>114300</xdr:rowOff>
        </xdr:from>
        <xdr:to>
          <xdr:col>2</xdr:col>
          <xdr:colOff>146050</xdr:colOff>
          <xdr:row>21</xdr:row>
          <xdr:rowOff>114300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600-0000016401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50800</xdr:rowOff>
        </xdr:from>
        <xdr:to>
          <xdr:col>2</xdr:col>
          <xdr:colOff>146050</xdr:colOff>
          <xdr:row>19</xdr:row>
          <xdr:rowOff>38100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600-0000026401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Home</a:t>
              </a:r>
            </a:p>
          </xdr:txBody>
        </xdr:sp>
        <xdr:clientData/>
      </xdr:twoCellAnchor>
    </mc:Choice>
    <mc:Fallback/>
  </mc:AlternateContent>
  <xdr:twoCellAnchor editAs="oneCell">
    <xdr:from>
      <xdr:col>0</xdr:col>
      <xdr:colOff>57150</xdr:colOff>
      <xdr:row>21</xdr:row>
      <xdr:rowOff>127186</xdr:rowOff>
    </xdr:from>
    <xdr:to>
      <xdr:col>3</xdr:col>
      <xdr:colOff>421900</xdr:colOff>
      <xdr:row>23</xdr:row>
      <xdr:rowOff>108137</xdr:rowOff>
    </xdr:to>
    <xdr:sp macro="" textlink="">
      <xdr:nvSpPr>
        <xdr:cNvPr id="4" name="TextBox 3">
          <a:extLst>
            <a:ext uri="{FF2B5EF4-FFF2-40B4-BE49-F238E27FC236}">
              <a16:creationId xmlns:a16="http://schemas.microsoft.com/office/drawing/2014/main" id="{00000000-0008-0000-1600-000004000000}"/>
            </a:ext>
          </a:extLst>
        </xdr:cNvPr>
        <xdr:cNvSpPr txBox="1"/>
      </xdr:nvSpPr>
      <xdr:spPr>
        <a:xfrm>
          <a:off x="57150" y="3394261"/>
          <a:ext cx="1774450"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12700</xdr:rowOff>
        </xdr:from>
        <xdr:to>
          <xdr:col>2</xdr:col>
          <xdr:colOff>374650</xdr:colOff>
          <xdr:row>3</xdr:row>
          <xdr:rowOff>69850</xdr:rowOff>
        </xdr:to>
        <xdr:sp macro="" textlink="">
          <xdr:nvSpPr>
            <xdr:cNvPr id="91163" name="Option Button 27" hidden="1">
              <a:extLst>
                <a:ext uri="{63B3BB69-23CF-44E3-9099-C40C66FF867C}">
                  <a14:compatExt spid="_x0000_s91163"/>
                </a:ext>
                <a:ext uri="{FF2B5EF4-FFF2-40B4-BE49-F238E27FC236}">
                  <a16:creationId xmlns:a16="http://schemas.microsoft.com/office/drawing/2014/main" id="{00000000-0008-0000-16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Steam Boiler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19050</xdr:rowOff>
        </xdr:from>
        <xdr:to>
          <xdr:col>2</xdr:col>
          <xdr:colOff>374650</xdr:colOff>
          <xdr:row>4</xdr:row>
          <xdr:rowOff>76200</xdr:rowOff>
        </xdr:to>
        <xdr:sp macro="" textlink="">
          <xdr:nvSpPr>
            <xdr:cNvPr id="91164" name="Option Button 28" hidden="1">
              <a:extLst>
                <a:ext uri="{63B3BB69-23CF-44E3-9099-C40C66FF867C}">
                  <a14:compatExt spid="_x0000_s91164"/>
                </a:ext>
                <a:ext uri="{FF2B5EF4-FFF2-40B4-BE49-F238E27FC236}">
                  <a16:creationId xmlns:a16="http://schemas.microsoft.com/office/drawing/2014/main" id="{00000000-0008-0000-16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Hot Water Boiler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31750</xdr:rowOff>
        </xdr:from>
        <xdr:to>
          <xdr:col>2</xdr:col>
          <xdr:colOff>374650</xdr:colOff>
          <xdr:row>5</xdr:row>
          <xdr:rowOff>88900</xdr:rowOff>
        </xdr:to>
        <xdr:sp macro="" textlink="">
          <xdr:nvSpPr>
            <xdr:cNvPr id="91182" name="Option Button 46" hidden="1">
              <a:extLst>
                <a:ext uri="{63B3BB69-23CF-44E3-9099-C40C66FF867C}">
                  <a14:compatExt spid="_x0000_s91182"/>
                </a:ext>
                <a:ext uri="{FF2B5EF4-FFF2-40B4-BE49-F238E27FC236}">
                  <a16:creationId xmlns:a16="http://schemas.microsoft.com/office/drawing/2014/main" id="{00000000-0008-0000-1600-00002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Combined Chimney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12700</xdr:colOff>
          <xdr:row>26</xdr:row>
          <xdr:rowOff>127000</xdr:rowOff>
        </xdr:from>
        <xdr:to>
          <xdr:col>13</xdr:col>
          <xdr:colOff>361950</xdr:colOff>
          <xdr:row>28</xdr:row>
          <xdr:rowOff>50800</xdr:rowOff>
        </xdr:to>
        <xdr:sp macro="" textlink="">
          <xdr:nvSpPr>
            <xdr:cNvPr id="91184" name="Button 48" hidden="1">
              <a:extLst>
                <a:ext uri="{63B3BB69-23CF-44E3-9099-C40C66FF867C}">
                  <a14:compatExt spid="_x0000_s91184"/>
                </a:ext>
                <a:ext uri="{FF2B5EF4-FFF2-40B4-BE49-F238E27FC236}">
                  <a16:creationId xmlns:a16="http://schemas.microsoft.com/office/drawing/2014/main" id="{00000000-0008-0000-1600-00003064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18</xdr:col>
          <xdr:colOff>31750</xdr:colOff>
          <xdr:row>45</xdr:row>
          <xdr:rowOff>57150</xdr:rowOff>
        </xdr:from>
        <xdr:to>
          <xdr:col>19</xdr:col>
          <xdr:colOff>381000</xdr:colOff>
          <xdr:row>46</xdr:row>
          <xdr:rowOff>133350</xdr:rowOff>
        </xdr:to>
        <xdr:sp macro="" textlink="">
          <xdr:nvSpPr>
            <xdr:cNvPr id="91185" name="Button 49" hidden="1">
              <a:extLst>
                <a:ext uri="{63B3BB69-23CF-44E3-9099-C40C66FF867C}">
                  <a14:compatExt spid="_x0000_s91185"/>
                </a:ext>
                <a:ext uri="{FF2B5EF4-FFF2-40B4-BE49-F238E27FC236}">
                  <a16:creationId xmlns:a16="http://schemas.microsoft.com/office/drawing/2014/main" id="{00000000-0008-0000-1600-00003164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24</xdr:col>
          <xdr:colOff>38100</xdr:colOff>
          <xdr:row>12</xdr:row>
          <xdr:rowOff>88900</xdr:rowOff>
        </xdr:from>
        <xdr:to>
          <xdr:col>24</xdr:col>
          <xdr:colOff>628650</xdr:colOff>
          <xdr:row>14</xdr:row>
          <xdr:rowOff>12700</xdr:rowOff>
        </xdr:to>
        <xdr:sp macro="" textlink="">
          <xdr:nvSpPr>
            <xdr:cNvPr id="91186" name="Button 50" hidden="1">
              <a:extLst>
                <a:ext uri="{63B3BB69-23CF-44E3-9099-C40C66FF867C}">
                  <a14:compatExt spid="_x0000_s91186"/>
                </a:ext>
                <a:ext uri="{FF2B5EF4-FFF2-40B4-BE49-F238E27FC236}">
                  <a16:creationId xmlns:a16="http://schemas.microsoft.com/office/drawing/2014/main" id="{00000000-0008-0000-1600-00003264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31750</xdr:colOff>
          <xdr:row>3</xdr:row>
          <xdr:rowOff>38100</xdr:rowOff>
        </xdr:from>
        <xdr:to>
          <xdr:col>7</xdr:col>
          <xdr:colOff>95250</xdr:colOff>
          <xdr:row>5</xdr:row>
          <xdr:rowOff>38100</xdr:rowOff>
        </xdr:to>
        <xdr:sp macro="" textlink="">
          <xdr:nvSpPr>
            <xdr:cNvPr id="135169" name="Button 1" hidden="1">
              <a:extLst>
                <a:ext uri="{63B3BB69-23CF-44E3-9099-C40C66FF867C}">
                  <a14:compatExt spid="_x0000_s135169"/>
                </a:ext>
                <a:ext uri="{FF2B5EF4-FFF2-40B4-BE49-F238E27FC236}">
                  <a16:creationId xmlns:a16="http://schemas.microsoft.com/office/drawing/2014/main" id="{00000000-0008-0000-1700-0000011002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5</xdr:row>
          <xdr:rowOff>114300</xdr:rowOff>
        </xdr:from>
        <xdr:to>
          <xdr:col>7</xdr:col>
          <xdr:colOff>95250</xdr:colOff>
          <xdr:row>7</xdr:row>
          <xdr:rowOff>114300</xdr:rowOff>
        </xdr:to>
        <xdr:sp macro="" textlink="">
          <xdr:nvSpPr>
            <xdr:cNvPr id="135170" name="Button 2" hidden="1">
              <a:extLst>
                <a:ext uri="{63B3BB69-23CF-44E3-9099-C40C66FF867C}">
                  <a14:compatExt spid="_x0000_s135170"/>
                </a:ext>
                <a:ext uri="{FF2B5EF4-FFF2-40B4-BE49-F238E27FC236}">
                  <a16:creationId xmlns:a16="http://schemas.microsoft.com/office/drawing/2014/main" id="{00000000-0008-0000-1700-0000021002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Reset</a:t>
              </a:r>
            </a:p>
          </xdr:txBody>
        </xdr:sp>
        <xdr:clientData/>
      </xdr:twoCellAnchor>
    </mc:Choice>
    <mc:Fallback/>
  </mc:AlternateContent>
  <xdr:twoCellAnchor>
    <xdr:from>
      <xdr:col>6</xdr:col>
      <xdr:colOff>1</xdr:colOff>
      <xdr:row>15</xdr:row>
      <xdr:rowOff>147634</xdr:rowOff>
    </xdr:from>
    <xdr:to>
      <xdr:col>8</xdr:col>
      <xdr:colOff>428625</xdr:colOff>
      <xdr:row>23</xdr:row>
      <xdr:rowOff>142874</xdr:rowOff>
    </xdr:to>
    <xdr:graphicFrame macro="">
      <xdr:nvGraphicFramePr>
        <xdr:cNvPr id="3" name="Chart 2">
          <a:extLst>
            <a:ext uri="{FF2B5EF4-FFF2-40B4-BE49-F238E27FC236}">
              <a16:creationId xmlns:a16="http://schemas.microsoft.com/office/drawing/2014/main" id="{00000000-0008-0000-1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1250950</xdr:colOff>
          <xdr:row>6</xdr:row>
          <xdr:rowOff>107950</xdr:rowOff>
        </xdr:from>
        <xdr:to>
          <xdr:col>3</xdr:col>
          <xdr:colOff>342900</xdr:colOff>
          <xdr:row>8</xdr:row>
          <xdr:rowOff>0</xdr:rowOff>
        </xdr:to>
        <xdr:sp macro="" textlink="">
          <xdr:nvSpPr>
            <xdr:cNvPr id="135180" name="Option Button 12" hidden="1">
              <a:extLst>
                <a:ext uri="{63B3BB69-23CF-44E3-9099-C40C66FF867C}">
                  <a14:compatExt spid="_x0000_s135180"/>
                </a:ext>
                <a:ext uri="{FF2B5EF4-FFF2-40B4-BE49-F238E27FC236}">
                  <a16:creationId xmlns:a16="http://schemas.microsoft.com/office/drawing/2014/main" id="{00000000-0008-0000-1700-00000C1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Counter-Flow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1250950</xdr:colOff>
          <xdr:row>7</xdr:row>
          <xdr:rowOff>95250</xdr:rowOff>
        </xdr:from>
        <xdr:to>
          <xdr:col>4</xdr:col>
          <xdr:colOff>88900</xdr:colOff>
          <xdr:row>8</xdr:row>
          <xdr:rowOff>152400</xdr:rowOff>
        </xdr:to>
        <xdr:sp macro="" textlink="">
          <xdr:nvSpPr>
            <xdr:cNvPr id="135181" name="Option Button 13" hidden="1">
              <a:extLst>
                <a:ext uri="{63B3BB69-23CF-44E3-9099-C40C66FF867C}">
                  <a14:compatExt spid="_x0000_s135181"/>
                </a:ext>
                <a:ext uri="{FF2B5EF4-FFF2-40B4-BE49-F238E27FC236}">
                  <a16:creationId xmlns:a16="http://schemas.microsoft.com/office/drawing/2014/main" id="{00000000-0008-0000-1700-00000D1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Parallel Flow/ Calorifier</a:t>
              </a:r>
            </a:p>
          </xdr:txBody>
        </xdr:sp>
        <xdr:clientData/>
      </xdr:twoCellAnchor>
    </mc:Choice>
    <mc:Fallback/>
  </mc:AlternateContent>
  <xdr:twoCellAnchor editAs="oneCell">
    <xdr:from>
      <xdr:col>5</xdr:col>
      <xdr:colOff>104775</xdr:colOff>
      <xdr:row>7</xdr:row>
      <xdr:rowOff>85725</xdr:rowOff>
    </xdr:from>
    <xdr:to>
      <xdr:col>8</xdr:col>
      <xdr:colOff>447675</xdr:colOff>
      <xdr:row>9</xdr:row>
      <xdr:rowOff>47625</xdr:rowOff>
    </xdr:to>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2990850" y="1219200"/>
          <a:ext cx="1771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12700</xdr:colOff>
          <xdr:row>7</xdr:row>
          <xdr:rowOff>69850</xdr:rowOff>
        </xdr:from>
        <xdr:to>
          <xdr:col>9</xdr:col>
          <xdr:colOff>184150</xdr:colOff>
          <xdr:row>9</xdr:row>
          <xdr:rowOff>69850</xdr:rowOff>
        </xdr:to>
        <xdr:sp macro="" textlink="">
          <xdr:nvSpPr>
            <xdr:cNvPr id="363521" name="Button 1" hidden="1">
              <a:extLst>
                <a:ext uri="{63B3BB69-23CF-44E3-9099-C40C66FF867C}">
                  <a14:compatExt spid="_x0000_s363521"/>
                </a:ext>
                <a:ext uri="{FF2B5EF4-FFF2-40B4-BE49-F238E27FC236}">
                  <a16:creationId xmlns:a16="http://schemas.microsoft.com/office/drawing/2014/main" id="{00000000-0008-0000-1800-0000018C05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508000</xdr:colOff>
          <xdr:row>3</xdr:row>
          <xdr:rowOff>69850</xdr:rowOff>
        </xdr:from>
        <xdr:to>
          <xdr:col>5</xdr:col>
          <xdr:colOff>527050</xdr:colOff>
          <xdr:row>4</xdr:row>
          <xdr:rowOff>95250</xdr:rowOff>
        </xdr:to>
        <xdr:sp macro="" textlink="">
          <xdr:nvSpPr>
            <xdr:cNvPr id="363522" name="Check Box 2" hidden="1">
              <a:extLst>
                <a:ext uri="{63B3BB69-23CF-44E3-9099-C40C66FF867C}">
                  <a14:compatExt spid="_x0000_s363522"/>
                </a:ext>
                <a:ext uri="{FF2B5EF4-FFF2-40B4-BE49-F238E27FC236}">
                  <a16:creationId xmlns:a16="http://schemas.microsoft.com/office/drawing/2014/main" id="{00000000-0008-0000-1800-0000028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6) Cooling Coil (6-row)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xdr:row>
          <xdr:rowOff>76200</xdr:rowOff>
        </xdr:from>
        <xdr:to>
          <xdr:col>3</xdr:col>
          <xdr:colOff>228600</xdr:colOff>
          <xdr:row>5</xdr:row>
          <xdr:rowOff>146050</xdr:rowOff>
        </xdr:to>
        <xdr:sp macro="" textlink="">
          <xdr:nvSpPr>
            <xdr:cNvPr id="363523" name="Check Box 3" hidden="1">
              <a:extLst>
                <a:ext uri="{63B3BB69-23CF-44E3-9099-C40C66FF867C}">
                  <a14:compatExt spid="_x0000_s363523"/>
                </a:ext>
                <a:ext uri="{FF2B5EF4-FFF2-40B4-BE49-F238E27FC236}">
                  <a16:creationId xmlns:a16="http://schemas.microsoft.com/office/drawing/2014/main" id="{00000000-0008-0000-1800-0000038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3) Panel 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5</xdr:row>
          <xdr:rowOff>107950</xdr:rowOff>
        </xdr:from>
        <xdr:to>
          <xdr:col>2</xdr:col>
          <xdr:colOff>762000</xdr:colOff>
          <xdr:row>6</xdr:row>
          <xdr:rowOff>152400</xdr:rowOff>
        </xdr:to>
        <xdr:sp macro="" textlink="">
          <xdr:nvSpPr>
            <xdr:cNvPr id="363524" name="Check Box 4" hidden="1">
              <a:extLst>
                <a:ext uri="{63B3BB69-23CF-44E3-9099-C40C66FF867C}">
                  <a14:compatExt spid="_x0000_s363524"/>
                </a:ext>
                <a:ext uri="{FF2B5EF4-FFF2-40B4-BE49-F238E27FC236}">
                  <a16:creationId xmlns:a16="http://schemas.microsoft.com/office/drawing/2014/main" id="{00000000-0008-0000-1800-0000048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4) Bag 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508000</xdr:colOff>
          <xdr:row>2</xdr:row>
          <xdr:rowOff>38100</xdr:rowOff>
        </xdr:from>
        <xdr:to>
          <xdr:col>7</xdr:col>
          <xdr:colOff>133350</xdr:colOff>
          <xdr:row>3</xdr:row>
          <xdr:rowOff>95250</xdr:rowOff>
        </xdr:to>
        <xdr:sp macro="" textlink="">
          <xdr:nvSpPr>
            <xdr:cNvPr id="363525" name="Check Box 5" hidden="1">
              <a:extLst>
                <a:ext uri="{63B3BB69-23CF-44E3-9099-C40C66FF867C}">
                  <a14:compatExt spid="_x0000_s363525"/>
                </a:ext>
                <a:ext uri="{FF2B5EF4-FFF2-40B4-BE49-F238E27FC236}">
                  <a16:creationId xmlns:a16="http://schemas.microsoft.com/office/drawing/2014/main" id="{00000000-0008-0000-1800-0000058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5) Heating Coil (2-row)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508000</xdr:colOff>
          <xdr:row>4</xdr:row>
          <xdr:rowOff>88900</xdr:rowOff>
        </xdr:from>
        <xdr:to>
          <xdr:col>5</xdr:col>
          <xdr:colOff>76200</xdr:colOff>
          <xdr:row>5</xdr:row>
          <xdr:rowOff>133350</xdr:rowOff>
        </xdr:to>
        <xdr:sp macro="" textlink="">
          <xdr:nvSpPr>
            <xdr:cNvPr id="363526" name="Check Box 6" hidden="1">
              <a:extLst>
                <a:ext uri="{63B3BB69-23CF-44E3-9099-C40C66FF867C}">
                  <a14:compatExt spid="_x0000_s363526"/>
                </a:ext>
                <a:ext uri="{FF2B5EF4-FFF2-40B4-BE49-F238E27FC236}">
                  <a16:creationId xmlns:a16="http://schemas.microsoft.com/office/drawing/2014/main" id="{00000000-0008-0000-1800-0000068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7) Humidifier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508000</xdr:colOff>
          <xdr:row>5</xdr:row>
          <xdr:rowOff>95250</xdr:rowOff>
        </xdr:from>
        <xdr:to>
          <xdr:col>5</xdr:col>
          <xdr:colOff>50800</xdr:colOff>
          <xdr:row>6</xdr:row>
          <xdr:rowOff>152400</xdr:rowOff>
        </xdr:to>
        <xdr:sp macro="" textlink="">
          <xdr:nvSpPr>
            <xdr:cNvPr id="363527" name="Check Box 7" hidden="1">
              <a:extLst>
                <a:ext uri="{63B3BB69-23CF-44E3-9099-C40C66FF867C}">
                  <a14:compatExt spid="_x0000_s363527"/>
                </a:ext>
                <a:ext uri="{FF2B5EF4-FFF2-40B4-BE49-F238E27FC236}">
                  <a16:creationId xmlns:a16="http://schemas.microsoft.com/office/drawing/2014/main" id="{00000000-0008-0000-1800-0000078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8) Fan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xdr:row>
          <xdr:rowOff>38100</xdr:rowOff>
        </xdr:from>
        <xdr:to>
          <xdr:col>3</xdr:col>
          <xdr:colOff>488950</xdr:colOff>
          <xdr:row>3</xdr:row>
          <xdr:rowOff>95250</xdr:rowOff>
        </xdr:to>
        <xdr:sp macro="" textlink="">
          <xdr:nvSpPr>
            <xdr:cNvPr id="363528" name="Check Box 8" hidden="1">
              <a:extLst>
                <a:ext uri="{63B3BB69-23CF-44E3-9099-C40C66FF867C}">
                  <a14:compatExt spid="_x0000_s363528"/>
                </a:ext>
                <a:ext uri="{FF2B5EF4-FFF2-40B4-BE49-F238E27FC236}">
                  <a16:creationId xmlns:a16="http://schemas.microsoft.com/office/drawing/2014/main" id="{00000000-0008-0000-1800-0000088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1) Inlet/ Mixing 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xdr:row>
          <xdr:rowOff>69850</xdr:rowOff>
        </xdr:from>
        <xdr:to>
          <xdr:col>3</xdr:col>
          <xdr:colOff>374650</xdr:colOff>
          <xdr:row>4</xdr:row>
          <xdr:rowOff>95250</xdr:rowOff>
        </xdr:to>
        <xdr:sp macro="" textlink="">
          <xdr:nvSpPr>
            <xdr:cNvPr id="363529" name="Check Box 9" hidden="1">
              <a:extLst>
                <a:ext uri="{63B3BB69-23CF-44E3-9099-C40C66FF867C}">
                  <a14:compatExt spid="_x0000_s363529"/>
                </a:ext>
                <a:ext uri="{FF2B5EF4-FFF2-40B4-BE49-F238E27FC236}">
                  <a16:creationId xmlns:a16="http://schemas.microsoft.com/office/drawing/2014/main" id="{00000000-0008-0000-1800-0000098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2) UV Sterilizer</a:t>
              </a:r>
            </a:p>
          </xdr:txBody>
        </xdr:sp>
        <xdr:clientData/>
      </xdr:twoCellAnchor>
    </mc:Choice>
    <mc:Fallback/>
  </mc:AlternateContent>
  <xdr:twoCellAnchor editAs="oneCell">
    <xdr:from>
      <xdr:col>1</xdr:col>
      <xdr:colOff>9523</xdr:colOff>
      <xdr:row>7</xdr:row>
      <xdr:rowOff>76201</xdr:rowOff>
    </xdr:from>
    <xdr:to>
      <xdr:col>5</xdr:col>
      <xdr:colOff>581025</xdr:colOff>
      <xdr:row>17</xdr:row>
      <xdr:rowOff>16415</xdr:rowOff>
    </xdr:to>
    <xdr:pic>
      <xdr:nvPicPr>
        <xdr:cNvPr id="11" name="Picture 27">
          <a:extLst>
            <a:ext uri="{FF2B5EF4-FFF2-40B4-BE49-F238E27FC236}">
              <a16:creationId xmlns:a16="http://schemas.microsoft.com/office/drawing/2014/main" id="{00000000-0008-0000-1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498" y="1219201"/>
          <a:ext cx="2676527" cy="1559464"/>
        </a:xfrm>
        <a:prstGeom prst="rect">
          <a:avLst/>
        </a:prstGeom>
        <a:noFill/>
        <a:ln w="12700">
          <a:solidFill>
            <a:schemeClr val="tx1"/>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8</xdr:col>
          <xdr:colOff>0</xdr:colOff>
          <xdr:row>1</xdr:row>
          <xdr:rowOff>152400</xdr:rowOff>
        </xdr:from>
        <xdr:to>
          <xdr:col>9</xdr:col>
          <xdr:colOff>590550</xdr:colOff>
          <xdr:row>3</xdr:row>
          <xdr:rowOff>57150</xdr:rowOff>
        </xdr:to>
        <xdr:sp macro="" textlink="">
          <xdr:nvSpPr>
            <xdr:cNvPr id="363530" name="Option Button 10" hidden="1">
              <a:extLst>
                <a:ext uri="{63B3BB69-23CF-44E3-9099-C40C66FF867C}">
                  <a14:compatExt spid="_x0000_s363530"/>
                </a:ext>
                <a:ext uri="{FF2B5EF4-FFF2-40B4-BE49-F238E27FC236}">
                  <a16:creationId xmlns:a16="http://schemas.microsoft.com/office/drawing/2014/main" id="{00000000-0008-0000-1800-00000A8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Trane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146050</xdr:rowOff>
        </xdr:from>
        <xdr:to>
          <xdr:col>9</xdr:col>
          <xdr:colOff>603250</xdr:colOff>
          <xdr:row>4</xdr:row>
          <xdr:rowOff>38100</xdr:rowOff>
        </xdr:to>
        <xdr:sp macro="" textlink="">
          <xdr:nvSpPr>
            <xdr:cNvPr id="363531" name="Option Button 11" hidden="1">
              <a:extLst>
                <a:ext uri="{63B3BB69-23CF-44E3-9099-C40C66FF867C}">
                  <a14:compatExt spid="_x0000_s363531"/>
                </a:ext>
                <a:ext uri="{FF2B5EF4-FFF2-40B4-BE49-F238E27FC236}">
                  <a16:creationId xmlns:a16="http://schemas.microsoft.com/office/drawing/2014/main" id="{00000000-0008-0000-1800-00000B8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Saiver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xdr:row>
          <xdr:rowOff>133350</xdr:rowOff>
        </xdr:from>
        <xdr:to>
          <xdr:col>9</xdr:col>
          <xdr:colOff>603250</xdr:colOff>
          <xdr:row>5</xdr:row>
          <xdr:rowOff>31750</xdr:rowOff>
        </xdr:to>
        <xdr:sp macro="" textlink="">
          <xdr:nvSpPr>
            <xdr:cNvPr id="363532" name="Option Button 12" hidden="1">
              <a:extLst>
                <a:ext uri="{63B3BB69-23CF-44E3-9099-C40C66FF867C}">
                  <a14:compatExt spid="_x0000_s363532"/>
                </a:ext>
                <a:ext uri="{FF2B5EF4-FFF2-40B4-BE49-F238E27FC236}">
                  <a16:creationId xmlns:a16="http://schemas.microsoft.com/office/drawing/2014/main" id="{00000000-0008-0000-1800-00000C8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Show both</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12700</xdr:colOff>
          <xdr:row>9</xdr:row>
          <xdr:rowOff>133350</xdr:rowOff>
        </xdr:from>
        <xdr:to>
          <xdr:col>9</xdr:col>
          <xdr:colOff>184150</xdr:colOff>
          <xdr:row>11</xdr:row>
          <xdr:rowOff>133350</xdr:rowOff>
        </xdr:to>
        <xdr:sp macro="" textlink="">
          <xdr:nvSpPr>
            <xdr:cNvPr id="363533" name="Button 13" hidden="1">
              <a:extLst>
                <a:ext uri="{63B3BB69-23CF-44E3-9099-C40C66FF867C}">
                  <a14:compatExt spid="_x0000_s363533"/>
                </a:ext>
                <a:ext uri="{FF2B5EF4-FFF2-40B4-BE49-F238E27FC236}">
                  <a16:creationId xmlns:a16="http://schemas.microsoft.com/office/drawing/2014/main" id="{00000000-0008-0000-1800-00000D8C05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Reset</a:t>
              </a:r>
            </a:p>
          </xdr:txBody>
        </xdr:sp>
        <xdr:clientData/>
      </xdr:twoCellAnchor>
    </mc:Choice>
    <mc:Fallback/>
  </mc:AlternateContent>
  <xdr:twoCellAnchor editAs="absolute">
    <xdr:from>
      <xdr:col>0</xdr:col>
      <xdr:colOff>57150</xdr:colOff>
      <xdr:row>38</xdr:row>
      <xdr:rowOff>19050</xdr:rowOff>
    </xdr:from>
    <xdr:to>
      <xdr:col>4</xdr:col>
      <xdr:colOff>152400</xdr:colOff>
      <xdr:row>39</xdr:row>
      <xdr:rowOff>142875</xdr:rowOff>
    </xdr:to>
    <xdr:sp macro="" textlink="">
      <xdr:nvSpPr>
        <xdr:cNvPr id="16" name="TextBox 15">
          <a:extLst>
            <a:ext uri="{FF2B5EF4-FFF2-40B4-BE49-F238E27FC236}">
              <a16:creationId xmlns:a16="http://schemas.microsoft.com/office/drawing/2014/main" id="{00000000-0008-0000-1800-000010000000}"/>
            </a:ext>
          </a:extLst>
        </xdr:cNvPr>
        <xdr:cNvSpPr txBox="1"/>
      </xdr:nvSpPr>
      <xdr:spPr>
        <a:xfrm>
          <a:off x="57150" y="6315075"/>
          <a:ext cx="1771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171450</xdr:colOff>
      <xdr:row>3</xdr:row>
      <xdr:rowOff>28575</xdr:rowOff>
    </xdr:from>
    <xdr:to>
      <xdr:col>81</xdr:col>
      <xdr:colOff>3175</xdr:colOff>
      <xdr:row>9</xdr:row>
      <xdr:rowOff>95250</xdr:rowOff>
    </xdr:to>
    <xdr:sp macro="" textlink="">
      <xdr:nvSpPr>
        <xdr:cNvPr id="2" name="Rectangle 1">
          <a:extLst>
            <a:ext uri="{FF2B5EF4-FFF2-40B4-BE49-F238E27FC236}">
              <a16:creationId xmlns:a16="http://schemas.microsoft.com/office/drawing/2014/main" id="{00000000-0008-0000-1900-000002000000}"/>
            </a:ext>
          </a:extLst>
        </xdr:cNvPr>
        <xdr:cNvSpPr/>
      </xdr:nvSpPr>
      <xdr:spPr>
        <a:xfrm>
          <a:off x="171450" y="495300"/>
          <a:ext cx="2943225" cy="981075"/>
        </a:xfrm>
        <a:prstGeom prst="rect">
          <a:avLst/>
        </a:prstGeom>
        <a:noFill/>
        <a:ln w="6350">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88900</xdr:rowOff>
        </xdr:from>
        <xdr:to>
          <xdr:col>81</xdr:col>
          <xdr:colOff>400050</xdr:colOff>
          <xdr:row>5</xdr:row>
          <xdr:rowOff>95250</xdr:rowOff>
        </xdr:to>
        <xdr:sp macro="" textlink="">
          <xdr:nvSpPr>
            <xdr:cNvPr id="80897" name="Option Button 1" hidden="1">
              <a:extLst>
                <a:ext uri="{63B3BB69-23CF-44E3-9099-C40C66FF867C}">
                  <a14:compatExt spid="_x0000_s80897"/>
                </a:ext>
                <a:ext uri="{FF2B5EF4-FFF2-40B4-BE49-F238E27FC236}">
                  <a16:creationId xmlns:a16="http://schemas.microsoft.com/office/drawing/2014/main" id="{00000000-0008-0000-1900-00000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zh-TW" altLang="en-US" sz="1100" b="0" i="0" u="none" strike="noStrike" baseline="0">
                  <a:solidFill>
                    <a:srgbClr val="000000"/>
                  </a:solidFill>
                  <a:latin typeface="Calibri"/>
                  <a:cs typeface="Calibri"/>
                </a:rPr>
                <a:t>Centrifugal Fan (BC) DIDW </a:t>
              </a:r>
              <a:r>
                <a:rPr lang="zh-TW" altLang="en-US" sz="1100" b="0" i="0" u="none" strike="noStrike" baseline="0">
                  <a:solidFill>
                    <a:srgbClr val="000000"/>
                  </a:solidFill>
                  <a:latin typeface="新細明體"/>
                  <a:ea typeface="新細明體"/>
                  <a:cs typeface="Calibri"/>
                </a:rPr>
                <a:t>柜式离心风机</a:t>
              </a:r>
              <a:endParaRPr lang="zh-TW" altLang="en-US" sz="1100" b="0" i="0" u="none" strike="noStrike" baseline="0">
                <a:solidFill>
                  <a:srgbClr val="000000"/>
                </a:solidFill>
                <a:latin typeface="新細明體"/>
                <a:ea typeface="新細明體"/>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95250</xdr:rowOff>
        </xdr:from>
        <xdr:to>
          <xdr:col>82</xdr:col>
          <xdr:colOff>95250</xdr:colOff>
          <xdr:row>6</xdr:row>
          <xdr:rowOff>127000</xdr:rowOff>
        </xdr:to>
        <xdr:sp macro="" textlink="">
          <xdr:nvSpPr>
            <xdr:cNvPr id="80898" name="Option Button 2" hidden="1">
              <a:extLst>
                <a:ext uri="{63B3BB69-23CF-44E3-9099-C40C66FF867C}">
                  <a14:compatExt spid="_x0000_s80898"/>
                </a:ext>
                <a:ext uri="{FF2B5EF4-FFF2-40B4-BE49-F238E27FC236}">
                  <a16:creationId xmlns:a16="http://schemas.microsoft.com/office/drawing/2014/main" id="{00000000-0008-0000-1900-00000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zh-TW" altLang="en-US" sz="1100" b="0" i="0" u="none" strike="noStrike" baseline="0">
                  <a:solidFill>
                    <a:srgbClr val="000000"/>
                  </a:solidFill>
                  <a:latin typeface="Calibri"/>
                  <a:cs typeface="Calibri"/>
                </a:rPr>
                <a:t>Centrifugal Fan (BC) SISW </a:t>
              </a:r>
              <a:r>
                <a:rPr lang="zh-TW" altLang="en-US" sz="1100" b="0" i="0" u="none" strike="noStrike" baseline="0">
                  <a:solidFill>
                    <a:srgbClr val="000000"/>
                  </a:solidFill>
                  <a:latin typeface="新細明體"/>
                  <a:ea typeface="新細明體"/>
                  <a:cs typeface="Calibri"/>
                </a:rPr>
                <a:t>离心风机</a:t>
              </a:r>
              <a:endParaRPr lang="zh-TW" altLang="en-US" sz="1100" b="0" i="0" u="none" strike="noStrike" baseline="0">
                <a:solidFill>
                  <a:srgbClr val="000000"/>
                </a:solidFill>
                <a:latin typeface="新細明體"/>
                <a:ea typeface="新細明體"/>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57150</xdr:rowOff>
        </xdr:from>
        <xdr:to>
          <xdr:col>80</xdr:col>
          <xdr:colOff>146050</xdr:colOff>
          <xdr:row>4</xdr:row>
          <xdr:rowOff>95250</xdr:rowOff>
        </xdr:to>
        <xdr:sp macro="" textlink="">
          <xdr:nvSpPr>
            <xdr:cNvPr id="80899" name="Option Button 3" hidden="1">
              <a:extLst>
                <a:ext uri="{63B3BB69-23CF-44E3-9099-C40C66FF867C}">
                  <a14:compatExt spid="_x0000_s80899"/>
                </a:ext>
                <a:ext uri="{FF2B5EF4-FFF2-40B4-BE49-F238E27FC236}">
                  <a16:creationId xmlns:a16="http://schemas.microsoft.com/office/drawing/2014/main" id="{00000000-0008-0000-1900-00000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zh-TW" altLang="en-US" sz="1100" b="0" i="0" u="none" strike="noStrike" baseline="0">
                  <a:solidFill>
                    <a:srgbClr val="000000"/>
                  </a:solidFill>
                  <a:latin typeface="Calibri"/>
                  <a:cs typeface="Calibri"/>
                </a:rPr>
                <a:t>Axial Fan </a:t>
              </a:r>
              <a:r>
                <a:rPr lang="zh-TW" altLang="en-US" sz="1100" b="0" i="0" u="none" strike="noStrike" baseline="0">
                  <a:solidFill>
                    <a:srgbClr val="000000"/>
                  </a:solidFill>
                  <a:latin typeface="新細明體"/>
                  <a:ea typeface="新細明體"/>
                  <a:cs typeface="Calibri"/>
                </a:rPr>
                <a:t>轴流风机</a:t>
              </a:r>
              <a:endParaRPr lang="zh-TW" altLang="en-US" sz="1100" b="0" i="0" u="none" strike="noStrike" baseline="0">
                <a:solidFill>
                  <a:srgbClr val="000000"/>
                </a:solidFill>
                <a:latin typeface="新細明體"/>
                <a:ea typeface="新細明體"/>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107950</xdr:rowOff>
        </xdr:from>
        <xdr:to>
          <xdr:col>80</xdr:col>
          <xdr:colOff>889000</xdr:colOff>
          <xdr:row>8</xdr:row>
          <xdr:rowOff>12700</xdr:rowOff>
        </xdr:to>
        <xdr:sp macro="" textlink="">
          <xdr:nvSpPr>
            <xdr:cNvPr id="80900" name="Option Button 4" hidden="1">
              <a:extLst>
                <a:ext uri="{63B3BB69-23CF-44E3-9099-C40C66FF867C}">
                  <a14:compatExt spid="_x0000_s80900"/>
                </a:ext>
                <a:ext uri="{FF2B5EF4-FFF2-40B4-BE49-F238E27FC236}">
                  <a16:creationId xmlns:a16="http://schemas.microsoft.com/office/drawing/2014/main" id="{00000000-0008-0000-1900-00000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zh-TW" altLang="en-US" sz="1100" b="0" i="0" u="none" strike="noStrike" baseline="0">
                  <a:solidFill>
                    <a:srgbClr val="000000"/>
                  </a:solidFill>
                  <a:latin typeface="Calibri"/>
                  <a:cs typeface="Calibri"/>
                </a:rPr>
                <a:t>In-line Duct Fan </a:t>
              </a:r>
              <a:r>
                <a:rPr lang="zh-TW" altLang="en-US" sz="1100" b="0" i="0" u="none" strike="noStrike" baseline="0">
                  <a:solidFill>
                    <a:srgbClr val="000000"/>
                  </a:solidFill>
                  <a:latin typeface="新細明體"/>
                  <a:ea typeface="新細明體"/>
                  <a:cs typeface="Calibri"/>
                </a:rPr>
                <a:t>管道式混流风机</a:t>
              </a:r>
              <a:endParaRPr lang="zh-TW" altLang="en-US" sz="1100" b="0" i="0" u="none" strike="noStrike" baseline="0">
                <a:solidFill>
                  <a:srgbClr val="000000"/>
                </a:solidFill>
                <a:latin typeface="新細明體"/>
                <a:ea typeface="新細明體"/>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80</xdr:col>
          <xdr:colOff>927100</xdr:colOff>
          <xdr:row>9</xdr:row>
          <xdr:rowOff>19050</xdr:rowOff>
        </xdr:to>
        <xdr:sp macro="" textlink="">
          <xdr:nvSpPr>
            <xdr:cNvPr id="80901" name="Option Button 5" hidden="1">
              <a:extLst>
                <a:ext uri="{63B3BB69-23CF-44E3-9099-C40C66FF867C}">
                  <a14:compatExt spid="_x0000_s80901"/>
                </a:ext>
                <a:ext uri="{FF2B5EF4-FFF2-40B4-BE49-F238E27FC236}">
                  <a16:creationId xmlns:a16="http://schemas.microsoft.com/office/drawing/2014/main" id="{00000000-0008-0000-1900-00000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zh-TW" altLang="en-US" sz="1100" b="0" i="0" u="none" strike="noStrike" baseline="0">
                  <a:solidFill>
                    <a:srgbClr val="000000"/>
                  </a:solidFill>
                  <a:latin typeface="Calibri"/>
                  <a:cs typeface="Calibri"/>
                </a:rPr>
                <a:t>Mixed Flow Fan </a:t>
              </a:r>
              <a:r>
                <a:rPr lang="zh-TW" altLang="en-US" sz="1100" b="0" i="0" u="none" strike="noStrike" baseline="0">
                  <a:solidFill>
                    <a:srgbClr val="000000"/>
                  </a:solidFill>
                  <a:latin typeface="新細明體"/>
                  <a:ea typeface="新細明體"/>
                  <a:cs typeface="Calibri"/>
                </a:rPr>
                <a:t>混流风机</a:t>
              </a:r>
              <a:r>
                <a:rPr lang="zh-TW" altLang="en-US" sz="1100" b="0" i="0" u="none" strike="noStrike" baseline="0">
                  <a:solidFill>
                    <a:srgbClr val="000000"/>
                  </a:solidFill>
                  <a:latin typeface="Calibri"/>
                  <a:ea typeface="新細明體"/>
                  <a:cs typeface="Calibri"/>
                </a:rPr>
                <a:t> (</a:t>
              </a:r>
              <a:r>
                <a:rPr lang="zh-TW" altLang="en-US" sz="1100" b="0" i="0" u="none" strike="noStrike" baseline="0">
                  <a:solidFill>
                    <a:srgbClr val="000000"/>
                  </a:solidFill>
                  <a:latin typeface="新細明體"/>
                  <a:ea typeface="新細明體"/>
                  <a:cs typeface="Calibri"/>
                </a:rPr>
                <a:t>国内防排烟用</a:t>
              </a:r>
              <a:r>
                <a:rPr lang="zh-TW" altLang="en-US" sz="1100" b="0" i="0" u="none" strike="noStrike" baseline="0">
                  <a:solidFill>
                    <a:srgbClr val="000000"/>
                  </a:solidFill>
                  <a:latin typeface="Calibri"/>
                  <a:ea typeface="新細明體"/>
                  <a:cs typeface="Calibri"/>
                </a:rPr>
                <a:t>)</a:t>
              </a:r>
              <a:endParaRPr lang="zh-TW" alt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81</xdr:col>
          <xdr:colOff>171450</xdr:colOff>
          <xdr:row>6</xdr:row>
          <xdr:rowOff>76200</xdr:rowOff>
        </xdr:from>
        <xdr:to>
          <xdr:col>83</xdr:col>
          <xdr:colOff>171450</xdr:colOff>
          <xdr:row>8</xdr:row>
          <xdr:rowOff>95250</xdr:rowOff>
        </xdr:to>
        <xdr:sp macro="" textlink="">
          <xdr:nvSpPr>
            <xdr:cNvPr id="80902" name="Button 6" hidden="1">
              <a:extLst>
                <a:ext uri="{63B3BB69-23CF-44E3-9099-C40C66FF867C}">
                  <a14:compatExt spid="_x0000_s80902"/>
                </a:ext>
                <a:ext uri="{FF2B5EF4-FFF2-40B4-BE49-F238E27FC236}">
                  <a16:creationId xmlns:a16="http://schemas.microsoft.com/office/drawing/2014/main" id="{00000000-0008-0000-1900-0000063C01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Home</a:t>
              </a:r>
            </a:p>
          </xdr:txBody>
        </xdr:sp>
        <xdr:clientData/>
      </xdr:twoCellAnchor>
    </mc:Choice>
    <mc:Fallback/>
  </mc:AlternateContent>
  <xdr:twoCellAnchor editAs="absolute">
    <xdr:from>
      <xdr:col>81</xdr:col>
      <xdr:colOff>60325</xdr:colOff>
      <xdr:row>8</xdr:row>
      <xdr:rowOff>47625</xdr:rowOff>
    </xdr:from>
    <xdr:to>
      <xdr:col>84</xdr:col>
      <xdr:colOff>457200</xdr:colOff>
      <xdr:row>10</xdr:row>
      <xdr:rowOff>28575</xdr:rowOff>
    </xdr:to>
    <xdr:sp macro="" textlink="">
      <xdr:nvSpPr>
        <xdr:cNvPr id="10" name="TextBox 9">
          <a:extLst>
            <a:ext uri="{FF2B5EF4-FFF2-40B4-BE49-F238E27FC236}">
              <a16:creationId xmlns:a16="http://schemas.microsoft.com/office/drawing/2014/main" id="{00000000-0008-0000-1900-00000A000000}"/>
            </a:ext>
          </a:extLst>
        </xdr:cNvPr>
        <xdr:cNvSpPr txBox="1"/>
      </xdr:nvSpPr>
      <xdr:spPr>
        <a:xfrm>
          <a:off x="3171825" y="1276350"/>
          <a:ext cx="1771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16</xdr:row>
          <xdr:rowOff>146050</xdr:rowOff>
        </xdr:from>
        <xdr:to>
          <xdr:col>1</xdr:col>
          <xdr:colOff>800100</xdr:colOff>
          <xdr:row>18</xdr:row>
          <xdr:rowOff>146050</xdr:rowOff>
        </xdr:to>
        <xdr:sp macro="" textlink="">
          <xdr:nvSpPr>
            <xdr:cNvPr id="50182" name="Button 6" hidden="1">
              <a:extLst>
                <a:ext uri="{63B3BB69-23CF-44E3-9099-C40C66FF867C}">
                  <a14:compatExt spid="_x0000_s50182"/>
                </a:ext>
                <a:ext uri="{FF2B5EF4-FFF2-40B4-BE49-F238E27FC236}">
                  <a16:creationId xmlns:a16="http://schemas.microsoft.com/office/drawing/2014/main" id="{00000000-0008-0000-1A00-000006C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31750</xdr:rowOff>
        </xdr:from>
        <xdr:to>
          <xdr:col>1</xdr:col>
          <xdr:colOff>800100</xdr:colOff>
          <xdr:row>21</xdr:row>
          <xdr:rowOff>31750</xdr:rowOff>
        </xdr:to>
        <xdr:sp macro="" textlink="">
          <xdr:nvSpPr>
            <xdr:cNvPr id="50201" name="Button 25" hidden="1">
              <a:extLst>
                <a:ext uri="{63B3BB69-23CF-44E3-9099-C40C66FF867C}">
                  <a14:compatExt spid="_x0000_s50201"/>
                </a:ext>
                <a:ext uri="{FF2B5EF4-FFF2-40B4-BE49-F238E27FC236}">
                  <a16:creationId xmlns:a16="http://schemas.microsoft.com/office/drawing/2014/main" id="{00000000-0008-0000-1A00-000019C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Reset</a:t>
              </a:r>
            </a:p>
          </xdr:txBody>
        </xdr:sp>
        <xdr:clientData/>
      </xdr:twoCellAnchor>
    </mc:Choice>
    <mc:Fallback/>
  </mc:AlternateContent>
  <xdr:twoCellAnchor editAs="absolute">
    <xdr:from>
      <xdr:col>0</xdr:col>
      <xdr:colOff>99115</xdr:colOff>
      <xdr:row>20</xdr:row>
      <xdr:rowOff>152400</xdr:rowOff>
    </xdr:from>
    <xdr:to>
      <xdr:col>3</xdr:col>
      <xdr:colOff>165921</xdr:colOff>
      <xdr:row>22</xdr:row>
      <xdr:rowOff>114300</xdr:rowOff>
    </xdr:to>
    <xdr:sp macro="" textlink="">
      <xdr:nvSpPr>
        <xdr:cNvPr id="11" name="TextBox 10">
          <a:extLst>
            <a:ext uri="{FF2B5EF4-FFF2-40B4-BE49-F238E27FC236}">
              <a16:creationId xmlns:a16="http://schemas.microsoft.com/office/drawing/2014/main" id="{00000000-0008-0000-1A00-00000B000000}"/>
            </a:ext>
          </a:extLst>
        </xdr:cNvPr>
        <xdr:cNvSpPr txBox="1"/>
      </xdr:nvSpPr>
      <xdr:spPr>
        <a:xfrm>
          <a:off x="99115" y="3390900"/>
          <a:ext cx="1771781"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12700</xdr:colOff>
          <xdr:row>2</xdr:row>
          <xdr:rowOff>31750</xdr:rowOff>
        </xdr:from>
        <xdr:to>
          <xdr:col>2</xdr:col>
          <xdr:colOff>184150</xdr:colOff>
          <xdr:row>3</xdr:row>
          <xdr:rowOff>88900</xdr:rowOff>
        </xdr:to>
        <xdr:sp macro="" textlink="">
          <xdr:nvSpPr>
            <xdr:cNvPr id="50203" name="Option Button 27" hidden="1">
              <a:extLst>
                <a:ext uri="{63B3BB69-23CF-44E3-9099-C40C66FF867C}">
                  <a14:compatExt spid="_x0000_s50203"/>
                </a:ext>
                <a:ext uri="{FF2B5EF4-FFF2-40B4-BE49-F238E27FC236}">
                  <a16:creationId xmlns:a16="http://schemas.microsoft.com/office/drawing/2014/main" id="{00000000-0008-0000-1A00-00001B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Design Figures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3</xdr:row>
          <xdr:rowOff>31750</xdr:rowOff>
        </xdr:from>
        <xdr:to>
          <xdr:col>3</xdr:col>
          <xdr:colOff>165100</xdr:colOff>
          <xdr:row>4</xdr:row>
          <xdr:rowOff>95250</xdr:rowOff>
        </xdr:to>
        <xdr:sp macro="" textlink="">
          <xdr:nvSpPr>
            <xdr:cNvPr id="50204" name="Option Button 28" hidden="1">
              <a:extLst>
                <a:ext uri="{63B3BB69-23CF-44E3-9099-C40C66FF867C}">
                  <a14:compatExt spid="_x0000_s50204"/>
                </a:ext>
                <a:ext uri="{FF2B5EF4-FFF2-40B4-BE49-F238E27FC236}">
                  <a16:creationId xmlns:a16="http://schemas.microsoft.com/office/drawing/2014/main" id="{00000000-0008-0000-1A00-00001C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Quick Pipe Sizing for FCUs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66</xdr:col>
          <xdr:colOff>279400</xdr:colOff>
          <xdr:row>4</xdr:row>
          <xdr:rowOff>31750</xdr:rowOff>
        </xdr:from>
        <xdr:to>
          <xdr:col>67</xdr:col>
          <xdr:colOff>381000</xdr:colOff>
          <xdr:row>5</xdr:row>
          <xdr:rowOff>95250</xdr:rowOff>
        </xdr:to>
        <xdr:sp macro="" textlink="">
          <xdr:nvSpPr>
            <xdr:cNvPr id="50205" name="Button 29" hidden="1">
              <a:extLst>
                <a:ext uri="{63B3BB69-23CF-44E3-9099-C40C66FF867C}">
                  <a14:compatExt spid="_x0000_s50205"/>
                </a:ext>
                <a:ext uri="{FF2B5EF4-FFF2-40B4-BE49-F238E27FC236}">
                  <a16:creationId xmlns:a16="http://schemas.microsoft.com/office/drawing/2014/main" id="{00000000-0008-0000-1A00-00001DC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15</xdr:row>
          <xdr:rowOff>38100</xdr:rowOff>
        </xdr:from>
        <xdr:to>
          <xdr:col>2</xdr:col>
          <xdr:colOff>184150</xdr:colOff>
          <xdr:row>17</xdr:row>
          <xdr:rowOff>50800</xdr:rowOff>
        </xdr:to>
        <xdr:sp macro="" textlink="">
          <xdr:nvSpPr>
            <xdr:cNvPr id="351240" name="Button 8" hidden="1">
              <a:extLst>
                <a:ext uri="{63B3BB69-23CF-44E3-9099-C40C66FF867C}">
                  <a14:compatExt spid="_x0000_s351240"/>
                </a:ext>
                <a:ext uri="{FF2B5EF4-FFF2-40B4-BE49-F238E27FC236}">
                  <a16:creationId xmlns:a16="http://schemas.microsoft.com/office/drawing/2014/main" id="{00000000-0008-0000-1B00-0000085C05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17</xdr:row>
          <xdr:rowOff>114300</xdr:rowOff>
        </xdr:from>
        <xdr:to>
          <xdr:col>2</xdr:col>
          <xdr:colOff>184150</xdr:colOff>
          <xdr:row>19</xdr:row>
          <xdr:rowOff>114300</xdr:rowOff>
        </xdr:to>
        <xdr:sp macro="" textlink="">
          <xdr:nvSpPr>
            <xdr:cNvPr id="351241" name="Button 9" hidden="1">
              <a:extLst>
                <a:ext uri="{63B3BB69-23CF-44E3-9099-C40C66FF867C}">
                  <a14:compatExt spid="_x0000_s351241"/>
                </a:ext>
                <a:ext uri="{FF2B5EF4-FFF2-40B4-BE49-F238E27FC236}">
                  <a16:creationId xmlns:a16="http://schemas.microsoft.com/office/drawing/2014/main" id="{00000000-0008-0000-1B00-0000095C05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Reset</a:t>
              </a:r>
            </a:p>
          </xdr:txBody>
        </xdr:sp>
        <xdr:clientData/>
      </xdr:twoCellAnchor>
    </mc:Choice>
    <mc:Fallback/>
  </mc:AlternateContent>
  <xdr:twoCellAnchor editAs="absolute">
    <xdr:from>
      <xdr:col>0</xdr:col>
      <xdr:colOff>66675</xdr:colOff>
      <xdr:row>19</xdr:row>
      <xdr:rowOff>118434</xdr:rowOff>
    </xdr:from>
    <xdr:to>
      <xdr:col>3</xdr:col>
      <xdr:colOff>343218</xdr:colOff>
      <xdr:row>21</xdr:row>
      <xdr:rowOff>80333</xdr:rowOff>
    </xdr:to>
    <xdr:sp macro="" textlink="">
      <xdr:nvSpPr>
        <xdr:cNvPr id="4" name="TextBox 3">
          <a:extLst>
            <a:ext uri="{FF2B5EF4-FFF2-40B4-BE49-F238E27FC236}">
              <a16:creationId xmlns:a16="http://schemas.microsoft.com/office/drawing/2014/main" id="{00000000-0008-0000-1B00-000004000000}"/>
            </a:ext>
          </a:extLst>
        </xdr:cNvPr>
        <xdr:cNvSpPr txBox="1"/>
      </xdr:nvSpPr>
      <xdr:spPr>
        <a:xfrm>
          <a:off x="66675" y="3156909"/>
          <a:ext cx="1762443" cy="28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12700</xdr:colOff>
          <xdr:row>2</xdr:row>
          <xdr:rowOff>19050</xdr:rowOff>
        </xdr:from>
        <xdr:to>
          <xdr:col>2</xdr:col>
          <xdr:colOff>647700</xdr:colOff>
          <xdr:row>3</xdr:row>
          <xdr:rowOff>133350</xdr:rowOff>
        </xdr:to>
        <xdr:sp macro="" textlink="">
          <xdr:nvSpPr>
            <xdr:cNvPr id="351244" name="Option Button 12" hidden="1">
              <a:extLst>
                <a:ext uri="{63B3BB69-23CF-44E3-9099-C40C66FF867C}">
                  <a14:compatExt spid="_x0000_s351244"/>
                </a:ext>
                <a:ext uri="{FF2B5EF4-FFF2-40B4-BE49-F238E27FC236}">
                  <a16:creationId xmlns:a16="http://schemas.microsoft.com/office/drawing/2014/main" id="{00000000-0008-0000-1B00-00000C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Single-split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3</xdr:row>
          <xdr:rowOff>31750</xdr:rowOff>
        </xdr:from>
        <xdr:to>
          <xdr:col>2</xdr:col>
          <xdr:colOff>647700</xdr:colOff>
          <xdr:row>4</xdr:row>
          <xdr:rowOff>133350</xdr:rowOff>
        </xdr:to>
        <xdr:sp macro="" textlink="">
          <xdr:nvSpPr>
            <xdr:cNvPr id="351245" name="Option Button 13" hidden="1">
              <a:extLst>
                <a:ext uri="{63B3BB69-23CF-44E3-9099-C40C66FF867C}">
                  <a14:compatExt spid="_x0000_s351245"/>
                </a:ext>
                <a:ext uri="{FF2B5EF4-FFF2-40B4-BE49-F238E27FC236}">
                  <a16:creationId xmlns:a16="http://schemas.microsoft.com/office/drawing/2014/main" id="{00000000-0008-0000-1B00-00000D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Multi-split</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247650</xdr:colOff>
          <xdr:row>4</xdr:row>
          <xdr:rowOff>38100</xdr:rowOff>
        </xdr:from>
        <xdr:to>
          <xdr:col>10</xdr:col>
          <xdr:colOff>127000</xdr:colOff>
          <xdr:row>5</xdr:row>
          <xdr:rowOff>114300</xdr:rowOff>
        </xdr:to>
        <xdr:sp macro="" textlink="">
          <xdr:nvSpPr>
            <xdr:cNvPr id="351262" name="Button 30" hidden="1">
              <a:extLst>
                <a:ext uri="{63B3BB69-23CF-44E3-9099-C40C66FF867C}">
                  <a14:compatExt spid="_x0000_s351262"/>
                </a:ext>
                <a:ext uri="{FF2B5EF4-FFF2-40B4-BE49-F238E27FC236}">
                  <a16:creationId xmlns:a16="http://schemas.microsoft.com/office/drawing/2014/main" id="{00000000-0008-0000-1B00-00001E5C05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52</xdr:col>
          <xdr:colOff>76200</xdr:colOff>
          <xdr:row>3</xdr:row>
          <xdr:rowOff>0</xdr:rowOff>
        </xdr:from>
        <xdr:to>
          <xdr:col>52</xdr:col>
          <xdr:colOff>666750</xdr:colOff>
          <xdr:row>4</xdr:row>
          <xdr:rowOff>69850</xdr:rowOff>
        </xdr:to>
        <xdr:sp macro="" textlink="">
          <xdr:nvSpPr>
            <xdr:cNvPr id="351263" name="Button 31" hidden="1">
              <a:extLst>
                <a:ext uri="{63B3BB69-23CF-44E3-9099-C40C66FF867C}">
                  <a14:compatExt spid="_x0000_s351263"/>
                </a:ext>
                <a:ext uri="{FF2B5EF4-FFF2-40B4-BE49-F238E27FC236}">
                  <a16:creationId xmlns:a16="http://schemas.microsoft.com/office/drawing/2014/main" id="{00000000-0008-0000-1B00-00001F5C05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8</xdr:row>
          <xdr:rowOff>127000</xdr:rowOff>
        </xdr:from>
        <xdr:to>
          <xdr:col>1</xdr:col>
          <xdr:colOff>781050</xdr:colOff>
          <xdr:row>10</xdr:row>
          <xdr:rowOff>88900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C00-0000015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Reset</a:t>
              </a:r>
            </a:p>
          </xdr:txBody>
        </xdr:sp>
        <xdr:clientData/>
      </xdr:twoCellAnchor>
    </mc:Choice>
    <mc:Fallback/>
  </mc:AlternateContent>
  <xdr:twoCellAnchor editAs="absolute">
    <xdr:from>
      <xdr:col>0</xdr:col>
      <xdr:colOff>57150</xdr:colOff>
      <xdr:row>10</xdr:row>
      <xdr:rowOff>85725</xdr:rowOff>
    </xdr:from>
    <xdr:to>
      <xdr:col>1</xdr:col>
      <xdr:colOff>1438275</xdr:colOff>
      <xdr:row>12</xdr:row>
      <xdr:rowOff>38100</xdr:rowOff>
    </xdr:to>
    <xdr:sp macro="" textlink="">
      <xdr:nvSpPr>
        <xdr:cNvPr id="6" name="TextBox 5">
          <a:extLst>
            <a:ext uri="{FF2B5EF4-FFF2-40B4-BE49-F238E27FC236}">
              <a16:creationId xmlns:a16="http://schemas.microsoft.com/office/drawing/2014/main" id="{00000000-0008-0000-1C00-000006000000}"/>
            </a:ext>
          </a:extLst>
        </xdr:cNvPr>
        <xdr:cNvSpPr txBox="1"/>
      </xdr:nvSpPr>
      <xdr:spPr>
        <a:xfrm>
          <a:off x="57150" y="1857375"/>
          <a:ext cx="15621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12700</xdr:colOff>
          <xdr:row>3</xdr:row>
          <xdr:rowOff>171450</xdr:rowOff>
        </xdr:from>
        <xdr:to>
          <xdr:col>1</xdr:col>
          <xdr:colOff>1543050</xdr:colOff>
          <xdr:row>5</xdr:row>
          <xdr:rowOff>114300</xdr:rowOff>
        </xdr:to>
        <xdr:sp macro="" textlink="">
          <xdr:nvSpPr>
            <xdr:cNvPr id="21506" name="Option Button 2" hidden="1">
              <a:extLst>
                <a:ext uri="{63B3BB69-23CF-44E3-9099-C40C66FF867C}">
                  <a14:compatExt spid="_x0000_s21506"/>
                </a:ext>
                <a:ext uri="{FF2B5EF4-FFF2-40B4-BE49-F238E27FC236}">
                  <a16:creationId xmlns:a16="http://schemas.microsoft.com/office/drawing/2014/main" id="{00000000-0008-0000-1C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Materials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xdr:row>
          <xdr:rowOff>184150</xdr:rowOff>
        </xdr:from>
        <xdr:to>
          <xdr:col>1</xdr:col>
          <xdr:colOff>1562100</xdr:colOff>
          <xdr:row>4</xdr:row>
          <xdr:rowOff>76200</xdr:rowOff>
        </xdr:to>
        <xdr:sp macro="" textlink="">
          <xdr:nvSpPr>
            <xdr:cNvPr id="21507" name="Option Button 3" hidden="1">
              <a:extLst>
                <a:ext uri="{63B3BB69-23CF-44E3-9099-C40C66FF867C}">
                  <a14:compatExt spid="_x0000_s21507"/>
                </a:ext>
                <a:ext uri="{FF2B5EF4-FFF2-40B4-BE49-F238E27FC236}">
                  <a16:creationId xmlns:a16="http://schemas.microsoft.com/office/drawing/2014/main" id="{00000000-0008-0000-1C00-00000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Insulation Thickness - PRC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xdr:row>
          <xdr:rowOff>12700</xdr:rowOff>
        </xdr:from>
        <xdr:to>
          <xdr:col>1</xdr:col>
          <xdr:colOff>1517650</xdr:colOff>
          <xdr:row>3</xdr:row>
          <xdr:rowOff>88900</xdr:rowOff>
        </xdr:to>
        <xdr:sp macro="" textlink="">
          <xdr:nvSpPr>
            <xdr:cNvPr id="21508" name="Option Button 4" hidden="1">
              <a:extLst>
                <a:ext uri="{63B3BB69-23CF-44E3-9099-C40C66FF867C}">
                  <a14:compatExt spid="_x0000_s21508"/>
                </a:ext>
                <a:ext uri="{FF2B5EF4-FFF2-40B4-BE49-F238E27FC236}">
                  <a16:creationId xmlns:a16="http://schemas.microsoft.com/office/drawing/2014/main" id="{00000000-0008-0000-1C00-00000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Insulation - BEC2012</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57150</xdr:colOff>
          <xdr:row>10</xdr:row>
          <xdr:rowOff>107950</xdr:rowOff>
        </xdr:from>
        <xdr:to>
          <xdr:col>7</xdr:col>
          <xdr:colOff>647700</xdr:colOff>
          <xdr:row>12</xdr:row>
          <xdr:rowOff>0</xdr:rowOff>
        </xdr:to>
        <xdr:sp macro="" textlink="">
          <xdr:nvSpPr>
            <xdr:cNvPr id="21532" name="Button 28" hidden="1">
              <a:extLst>
                <a:ext uri="{63B3BB69-23CF-44E3-9099-C40C66FF867C}">
                  <a14:compatExt spid="_x0000_s21532"/>
                </a:ext>
                <a:ext uri="{FF2B5EF4-FFF2-40B4-BE49-F238E27FC236}">
                  <a16:creationId xmlns:a16="http://schemas.microsoft.com/office/drawing/2014/main" id="{00000000-0008-0000-1C00-00001C5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18</xdr:col>
          <xdr:colOff>317500</xdr:colOff>
          <xdr:row>29</xdr:row>
          <xdr:rowOff>88900</xdr:rowOff>
        </xdr:from>
        <xdr:to>
          <xdr:col>19</xdr:col>
          <xdr:colOff>374650</xdr:colOff>
          <xdr:row>30</xdr:row>
          <xdr:rowOff>133350</xdr:rowOff>
        </xdr:to>
        <xdr:sp macro="" textlink="">
          <xdr:nvSpPr>
            <xdr:cNvPr id="21533" name="Button 29" hidden="1">
              <a:extLst>
                <a:ext uri="{63B3BB69-23CF-44E3-9099-C40C66FF867C}">
                  <a14:compatExt spid="_x0000_s21533"/>
                </a:ext>
                <a:ext uri="{FF2B5EF4-FFF2-40B4-BE49-F238E27FC236}">
                  <a16:creationId xmlns:a16="http://schemas.microsoft.com/office/drawing/2014/main" id="{00000000-0008-0000-1C00-00001D5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6</xdr:row>
          <xdr:rowOff>95250</xdr:rowOff>
        </xdr:from>
        <xdr:to>
          <xdr:col>1</xdr:col>
          <xdr:colOff>781050</xdr:colOff>
          <xdr:row>8</xdr:row>
          <xdr:rowOff>69850</xdr:rowOff>
        </xdr:to>
        <xdr:sp macro="" textlink="">
          <xdr:nvSpPr>
            <xdr:cNvPr id="21534" name="Button 30" hidden="1">
              <a:extLst>
                <a:ext uri="{63B3BB69-23CF-44E3-9099-C40C66FF867C}">
                  <a14:compatExt spid="_x0000_s21534"/>
                </a:ext>
                <a:ext uri="{FF2B5EF4-FFF2-40B4-BE49-F238E27FC236}">
                  <a16:creationId xmlns:a16="http://schemas.microsoft.com/office/drawing/2014/main" id="{00000000-0008-0000-1C00-00001E5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Home</a:t>
              </a:r>
            </a:p>
          </xdr:txBody>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13</xdr:col>
      <xdr:colOff>20349</xdr:colOff>
      <xdr:row>6</xdr:row>
      <xdr:rowOff>123825</xdr:rowOff>
    </xdr:from>
    <xdr:to>
      <xdr:col>14</xdr:col>
      <xdr:colOff>9525</xdr:colOff>
      <xdr:row>9</xdr:row>
      <xdr:rowOff>55850</xdr:rowOff>
    </xdr:to>
    <xdr:sp macro="" textlink="">
      <xdr:nvSpPr>
        <xdr:cNvPr id="2" name="Oval 1">
          <a:extLst>
            <a:ext uri="{FF2B5EF4-FFF2-40B4-BE49-F238E27FC236}">
              <a16:creationId xmlns:a16="http://schemas.microsoft.com/office/drawing/2014/main" id="{00000000-0008-0000-1D00-000002000000}"/>
            </a:ext>
          </a:extLst>
        </xdr:cNvPr>
        <xdr:cNvSpPr/>
      </xdr:nvSpPr>
      <xdr:spPr>
        <a:xfrm>
          <a:off x="2544474" y="1143000"/>
          <a:ext cx="446376" cy="446375"/>
        </a:xfrm>
        <a:prstGeom prst="ellipse">
          <a:avLst/>
        </a:prstGeom>
        <a:no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95250</xdr:colOff>
      <xdr:row>7</xdr:row>
      <xdr:rowOff>163659</xdr:rowOff>
    </xdr:from>
    <xdr:to>
      <xdr:col>12</xdr:col>
      <xdr:colOff>400050</xdr:colOff>
      <xdr:row>7</xdr:row>
      <xdr:rowOff>163659</xdr:rowOff>
    </xdr:to>
    <xdr:cxnSp macro="">
      <xdr:nvCxnSpPr>
        <xdr:cNvPr id="4" name="Straight Arrow Connector 3">
          <a:extLst>
            <a:ext uri="{FF2B5EF4-FFF2-40B4-BE49-F238E27FC236}">
              <a16:creationId xmlns:a16="http://schemas.microsoft.com/office/drawing/2014/main" id="{00000000-0008-0000-1D00-000004000000}"/>
            </a:ext>
          </a:extLst>
        </xdr:cNvPr>
        <xdr:cNvCxnSpPr/>
      </xdr:nvCxnSpPr>
      <xdr:spPr>
        <a:xfrm flipH="1">
          <a:off x="2085975" y="2173434"/>
          <a:ext cx="30480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247650</xdr:colOff>
      <xdr:row>12</xdr:row>
      <xdr:rowOff>163658</xdr:rowOff>
    </xdr:from>
    <xdr:to>
      <xdr:col>13</xdr:col>
      <xdr:colOff>390525</xdr:colOff>
      <xdr:row>12</xdr:row>
      <xdr:rowOff>163658</xdr:rowOff>
    </xdr:to>
    <xdr:cxnSp macro="">
      <xdr:nvCxnSpPr>
        <xdr:cNvPr id="5" name="Straight Arrow Connector 4">
          <a:extLst>
            <a:ext uri="{FF2B5EF4-FFF2-40B4-BE49-F238E27FC236}">
              <a16:creationId xmlns:a16="http://schemas.microsoft.com/office/drawing/2014/main" id="{00000000-0008-0000-1D00-000005000000}"/>
            </a:ext>
          </a:extLst>
        </xdr:cNvPr>
        <xdr:cNvCxnSpPr/>
      </xdr:nvCxnSpPr>
      <xdr:spPr>
        <a:xfrm>
          <a:off x="2876550" y="3011633"/>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209550</xdr:colOff>
      <xdr:row>3</xdr:row>
      <xdr:rowOff>163658</xdr:rowOff>
    </xdr:from>
    <xdr:to>
      <xdr:col>13</xdr:col>
      <xdr:colOff>352425</xdr:colOff>
      <xdr:row>3</xdr:row>
      <xdr:rowOff>163658</xdr:rowOff>
    </xdr:to>
    <xdr:cxnSp macro="">
      <xdr:nvCxnSpPr>
        <xdr:cNvPr id="7" name="Straight Arrow Connector 6">
          <a:extLst>
            <a:ext uri="{FF2B5EF4-FFF2-40B4-BE49-F238E27FC236}">
              <a16:creationId xmlns:a16="http://schemas.microsoft.com/office/drawing/2014/main" id="{00000000-0008-0000-1D00-000007000000}"/>
            </a:ext>
          </a:extLst>
        </xdr:cNvPr>
        <xdr:cNvCxnSpPr/>
      </xdr:nvCxnSpPr>
      <xdr:spPr>
        <a:xfrm>
          <a:off x="2838450" y="1497158"/>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47625</xdr:colOff>
      <xdr:row>7</xdr:row>
      <xdr:rowOff>163659</xdr:rowOff>
    </xdr:from>
    <xdr:to>
      <xdr:col>14</xdr:col>
      <xdr:colOff>352425</xdr:colOff>
      <xdr:row>7</xdr:row>
      <xdr:rowOff>163659</xdr:rowOff>
    </xdr:to>
    <xdr:cxnSp macro="">
      <xdr:nvCxnSpPr>
        <xdr:cNvPr id="8" name="Straight Arrow Connector 7">
          <a:extLst>
            <a:ext uri="{FF2B5EF4-FFF2-40B4-BE49-F238E27FC236}">
              <a16:creationId xmlns:a16="http://schemas.microsoft.com/office/drawing/2014/main" id="{00000000-0008-0000-1D00-000008000000}"/>
            </a:ext>
          </a:extLst>
        </xdr:cNvPr>
        <xdr:cNvCxnSpPr/>
      </xdr:nvCxnSpPr>
      <xdr:spPr>
        <a:xfrm flipH="1">
          <a:off x="3133725" y="2173434"/>
          <a:ext cx="30480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57150</xdr:colOff>
      <xdr:row>7</xdr:row>
      <xdr:rowOff>163659</xdr:rowOff>
    </xdr:from>
    <xdr:to>
      <xdr:col>10</xdr:col>
      <xdr:colOff>361950</xdr:colOff>
      <xdr:row>7</xdr:row>
      <xdr:rowOff>163659</xdr:rowOff>
    </xdr:to>
    <xdr:cxnSp macro="">
      <xdr:nvCxnSpPr>
        <xdr:cNvPr id="9" name="Straight Arrow Connector 8">
          <a:extLst>
            <a:ext uri="{FF2B5EF4-FFF2-40B4-BE49-F238E27FC236}">
              <a16:creationId xmlns:a16="http://schemas.microsoft.com/office/drawing/2014/main" id="{00000000-0008-0000-1D00-000009000000}"/>
            </a:ext>
          </a:extLst>
        </xdr:cNvPr>
        <xdr:cNvCxnSpPr/>
      </xdr:nvCxnSpPr>
      <xdr:spPr>
        <a:xfrm flipH="1">
          <a:off x="1095375" y="2173434"/>
          <a:ext cx="30480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390525</xdr:colOff>
      <xdr:row>3</xdr:row>
      <xdr:rowOff>163658</xdr:rowOff>
    </xdr:from>
    <xdr:to>
      <xdr:col>11</xdr:col>
      <xdr:colOff>85725</xdr:colOff>
      <xdr:row>3</xdr:row>
      <xdr:rowOff>163658</xdr:rowOff>
    </xdr:to>
    <xdr:cxnSp macro="">
      <xdr:nvCxnSpPr>
        <xdr:cNvPr id="10" name="Straight Arrow Connector 9">
          <a:extLst>
            <a:ext uri="{FF2B5EF4-FFF2-40B4-BE49-F238E27FC236}">
              <a16:creationId xmlns:a16="http://schemas.microsoft.com/office/drawing/2014/main" id="{00000000-0008-0000-1D00-00000A000000}"/>
            </a:ext>
          </a:extLst>
        </xdr:cNvPr>
        <xdr:cNvCxnSpPr/>
      </xdr:nvCxnSpPr>
      <xdr:spPr>
        <a:xfrm>
          <a:off x="1428750" y="1497158"/>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219075</xdr:colOff>
      <xdr:row>12</xdr:row>
      <xdr:rowOff>163658</xdr:rowOff>
    </xdr:from>
    <xdr:to>
      <xdr:col>10</xdr:col>
      <xdr:colOff>361950</xdr:colOff>
      <xdr:row>12</xdr:row>
      <xdr:rowOff>163658</xdr:rowOff>
    </xdr:to>
    <xdr:cxnSp macro="">
      <xdr:nvCxnSpPr>
        <xdr:cNvPr id="11" name="Straight Arrow Connector 10">
          <a:extLst>
            <a:ext uri="{FF2B5EF4-FFF2-40B4-BE49-F238E27FC236}">
              <a16:creationId xmlns:a16="http://schemas.microsoft.com/office/drawing/2014/main" id="{00000000-0008-0000-1D00-00000B000000}"/>
            </a:ext>
          </a:extLst>
        </xdr:cNvPr>
        <xdr:cNvCxnSpPr/>
      </xdr:nvCxnSpPr>
      <xdr:spPr>
        <a:xfrm>
          <a:off x="1257300" y="3011633"/>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439016</xdr:colOff>
      <xdr:row>4</xdr:row>
      <xdr:rowOff>95250</xdr:rowOff>
    </xdr:from>
    <xdr:to>
      <xdr:col>14</xdr:col>
      <xdr:colOff>439016</xdr:colOff>
      <xdr:row>6</xdr:row>
      <xdr:rowOff>95250</xdr:rowOff>
    </xdr:to>
    <xdr:cxnSp macro="">
      <xdr:nvCxnSpPr>
        <xdr:cNvPr id="12" name="Straight Arrow Connector 11">
          <a:extLst>
            <a:ext uri="{FF2B5EF4-FFF2-40B4-BE49-F238E27FC236}">
              <a16:creationId xmlns:a16="http://schemas.microsoft.com/office/drawing/2014/main" id="{00000000-0008-0000-1D00-00000C000000}"/>
            </a:ext>
          </a:extLst>
        </xdr:cNvPr>
        <xdr:cNvCxnSpPr/>
      </xdr:nvCxnSpPr>
      <xdr:spPr>
        <a:xfrm>
          <a:off x="3525116" y="1600200"/>
          <a:ext cx="0" cy="3333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105642</xdr:colOff>
      <xdr:row>9</xdr:row>
      <xdr:rowOff>57150</xdr:rowOff>
    </xdr:from>
    <xdr:to>
      <xdr:col>9</xdr:col>
      <xdr:colOff>105642</xdr:colOff>
      <xdr:row>11</xdr:row>
      <xdr:rowOff>66675</xdr:rowOff>
    </xdr:to>
    <xdr:cxnSp macro="">
      <xdr:nvCxnSpPr>
        <xdr:cNvPr id="17" name="Straight Arrow Connector 16">
          <a:extLst>
            <a:ext uri="{FF2B5EF4-FFF2-40B4-BE49-F238E27FC236}">
              <a16:creationId xmlns:a16="http://schemas.microsoft.com/office/drawing/2014/main" id="{00000000-0008-0000-1D00-000011000000}"/>
            </a:ext>
          </a:extLst>
        </xdr:cNvPr>
        <xdr:cNvCxnSpPr/>
      </xdr:nvCxnSpPr>
      <xdr:spPr>
        <a:xfrm>
          <a:off x="1029567" y="2409825"/>
          <a:ext cx="0" cy="3333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1</xdr:col>
          <xdr:colOff>31750</xdr:colOff>
          <xdr:row>13</xdr:row>
          <xdr:rowOff>165100</xdr:rowOff>
        </xdr:from>
        <xdr:to>
          <xdr:col>2</xdr:col>
          <xdr:colOff>247650</xdr:colOff>
          <xdr:row>15</xdr:row>
          <xdr:rowOff>152400</xdr:rowOff>
        </xdr:to>
        <xdr:sp macro="" textlink="">
          <xdr:nvSpPr>
            <xdr:cNvPr id="173062" name="Button 6" hidden="1">
              <a:extLst>
                <a:ext uri="{63B3BB69-23CF-44E3-9099-C40C66FF867C}">
                  <a14:compatExt spid="_x0000_s173062"/>
                </a:ext>
                <a:ext uri="{FF2B5EF4-FFF2-40B4-BE49-F238E27FC236}">
                  <a16:creationId xmlns:a16="http://schemas.microsoft.com/office/drawing/2014/main" id="{00000000-0008-0000-1D00-000006A402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31750</xdr:colOff>
          <xdr:row>16</xdr:row>
          <xdr:rowOff>69850</xdr:rowOff>
        </xdr:from>
        <xdr:to>
          <xdr:col>2</xdr:col>
          <xdr:colOff>247650</xdr:colOff>
          <xdr:row>18</xdr:row>
          <xdr:rowOff>57150</xdr:rowOff>
        </xdr:to>
        <xdr:sp macro="" textlink="">
          <xdr:nvSpPr>
            <xdr:cNvPr id="173063" name="Button 7" hidden="1">
              <a:extLst>
                <a:ext uri="{63B3BB69-23CF-44E3-9099-C40C66FF867C}">
                  <a14:compatExt spid="_x0000_s173063"/>
                </a:ext>
                <a:ext uri="{FF2B5EF4-FFF2-40B4-BE49-F238E27FC236}">
                  <a16:creationId xmlns:a16="http://schemas.microsoft.com/office/drawing/2014/main" id="{00000000-0008-0000-1D00-000007A402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Reset</a:t>
              </a:r>
            </a:p>
          </xdr:txBody>
        </xdr:sp>
        <xdr:clientData/>
      </xdr:twoCellAnchor>
    </mc:Choice>
    <mc:Fallback/>
  </mc:AlternateContent>
  <xdr:twoCellAnchor>
    <xdr:from>
      <xdr:col>24</xdr:col>
      <xdr:colOff>21214</xdr:colOff>
      <xdr:row>6</xdr:row>
      <xdr:rowOff>101777</xdr:rowOff>
    </xdr:from>
    <xdr:to>
      <xdr:col>24</xdr:col>
      <xdr:colOff>502226</xdr:colOff>
      <xdr:row>9</xdr:row>
      <xdr:rowOff>68841</xdr:rowOff>
    </xdr:to>
    <xdr:sp macro="" textlink="">
      <xdr:nvSpPr>
        <xdr:cNvPr id="25" name="Oval 24">
          <a:extLst>
            <a:ext uri="{FF2B5EF4-FFF2-40B4-BE49-F238E27FC236}">
              <a16:creationId xmlns:a16="http://schemas.microsoft.com/office/drawing/2014/main" id="{00000000-0008-0000-1D00-000019000000}"/>
            </a:ext>
          </a:extLst>
        </xdr:cNvPr>
        <xdr:cNvSpPr/>
      </xdr:nvSpPr>
      <xdr:spPr>
        <a:xfrm>
          <a:off x="1501919" y="5470413"/>
          <a:ext cx="481012" cy="486610"/>
        </a:xfrm>
        <a:prstGeom prst="ellipse">
          <a:avLst/>
        </a:prstGeom>
        <a:no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95250</xdr:colOff>
      <xdr:row>7</xdr:row>
      <xdr:rowOff>163658</xdr:rowOff>
    </xdr:from>
    <xdr:to>
      <xdr:col>25</xdr:col>
      <xdr:colOff>400050</xdr:colOff>
      <xdr:row>7</xdr:row>
      <xdr:rowOff>163658</xdr:rowOff>
    </xdr:to>
    <xdr:cxnSp macro="">
      <xdr:nvCxnSpPr>
        <xdr:cNvPr id="26" name="Straight Arrow Connector 25">
          <a:extLst>
            <a:ext uri="{FF2B5EF4-FFF2-40B4-BE49-F238E27FC236}">
              <a16:creationId xmlns:a16="http://schemas.microsoft.com/office/drawing/2014/main" id="{00000000-0008-0000-1D00-00001A000000}"/>
            </a:ext>
          </a:extLst>
        </xdr:cNvPr>
        <xdr:cNvCxnSpPr/>
      </xdr:nvCxnSpPr>
      <xdr:spPr>
        <a:xfrm flipH="1">
          <a:off x="2085975" y="2173433"/>
          <a:ext cx="30480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247650</xdr:colOff>
      <xdr:row>12</xdr:row>
      <xdr:rowOff>163658</xdr:rowOff>
    </xdr:from>
    <xdr:to>
      <xdr:col>26</xdr:col>
      <xdr:colOff>390525</xdr:colOff>
      <xdr:row>12</xdr:row>
      <xdr:rowOff>163658</xdr:rowOff>
    </xdr:to>
    <xdr:cxnSp macro="">
      <xdr:nvCxnSpPr>
        <xdr:cNvPr id="27" name="Straight Arrow Connector 26">
          <a:extLst>
            <a:ext uri="{FF2B5EF4-FFF2-40B4-BE49-F238E27FC236}">
              <a16:creationId xmlns:a16="http://schemas.microsoft.com/office/drawing/2014/main" id="{00000000-0008-0000-1D00-00001B000000}"/>
            </a:ext>
          </a:extLst>
        </xdr:cNvPr>
        <xdr:cNvCxnSpPr/>
      </xdr:nvCxnSpPr>
      <xdr:spPr>
        <a:xfrm>
          <a:off x="2876550" y="3011633"/>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209550</xdr:colOff>
      <xdr:row>3</xdr:row>
      <xdr:rowOff>163659</xdr:rowOff>
    </xdr:from>
    <xdr:to>
      <xdr:col>26</xdr:col>
      <xdr:colOff>352425</xdr:colOff>
      <xdr:row>3</xdr:row>
      <xdr:rowOff>163659</xdr:rowOff>
    </xdr:to>
    <xdr:cxnSp macro="">
      <xdr:nvCxnSpPr>
        <xdr:cNvPr id="28" name="Straight Arrow Connector 27">
          <a:extLst>
            <a:ext uri="{FF2B5EF4-FFF2-40B4-BE49-F238E27FC236}">
              <a16:creationId xmlns:a16="http://schemas.microsoft.com/office/drawing/2014/main" id="{00000000-0008-0000-1D00-00001C000000}"/>
            </a:ext>
          </a:extLst>
        </xdr:cNvPr>
        <xdr:cNvCxnSpPr/>
      </xdr:nvCxnSpPr>
      <xdr:spPr>
        <a:xfrm>
          <a:off x="2838450" y="1497159"/>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47625</xdr:colOff>
      <xdr:row>7</xdr:row>
      <xdr:rowOff>163658</xdr:rowOff>
    </xdr:from>
    <xdr:to>
      <xdr:col>27</xdr:col>
      <xdr:colOff>352425</xdr:colOff>
      <xdr:row>7</xdr:row>
      <xdr:rowOff>163658</xdr:rowOff>
    </xdr:to>
    <xdr:cxnSp macro="">
      <xdr:nvCxnSpPr>
        <xdr:cNvPr id="29" name="Straight Arrow Connector 28">
          <a:extLst>
            <a:ext uri="{FF2B5EF4-FFF2-40B4-BE49-F238E27FC236}">
              <a16:creationId xmlns:a16="http://schemas.microsoft.com/office/drawing/2014/main" id="{00000000-0008-0000-1D00-00001D000000}"/>
            </a:ext>
          </a:extLst>
        </xdr:cNvPr>
        <xdr:cNvCxnSpPr/>
      </xdr:nvCxnSpPr>
      <xdr:spPr>
        <a:xfrm flipH="1">
          <a:off x="3133725" y="2173433"/>
          <a:ext cx="30480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7</xdr:row>
      <xdr:rowOff>163658</xdr:rowOff>
    </xdr:from>
    <xdr:to>
      <xdr:col>23</xdr:col>
      <xdr:colOff>361950</xdr:colOff>
      <xdr:row>7</xdr:row>
      <xdr:rowOff>163658</xdr:rowOff>
    </xdr:to>
    <xdr:cxnSp macro="">
      <xdr:nvCxnSpPr>
        <xdr:cNvPr id="30" name="Straight Arrow Connector 29">
          <a:extLst>
            <a:ext uri="{FF2B5EF4-FFF2-40B4-BE49-F238E27FC236}">
              <a16:creationId xmlns:a16="http://schemas.microsoft.com/office/drawing/2014/main" id="{00000000-0008-0000-1D00-00001E000000}"/>
            </a:ext>
          </a:extLst>
        </xdr:cNvPr>
        <xdr:cNvCxnSpPr/>
      </xdr:nvCxnSpPr>
      <xdr:spPr>
        <a:xfrm flipH="1">
          <a:off x="1095375" y="2173433"/>
          <a:ext cx="30480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390525</xdr:colOff>
      <xdr:row>3</xdr:row>
      <xdr:rowOff>163659</xdr:rowOff>
    </xdr:from>
    <xdr:to>
      <xdr:col>24</xdr:col>
      <xdr:colOff>85725</xdr:colOff>
      <xdr:row>3</xdr:row>
      <xdr:rowOff>163659</xdr:rowOff>
    </xdr:to>
    <xdr:cxnSp macro="">
      <xdr:nvCxnSpPr>
        <xdr:cNvPr id="31" name="Straight Arrow Connector 30">
          <a:extLst>
            <a:ext uri="{FF2B5EF4-FFF2-40B4-BE49-F238E27FC236}">
              <a16:creationId xmlns:a16="http://schemas.microsoft.com/office/drawing/2014/main" id="{00000000-0008-0000-1D00-00001F000000}"/>
            </a:ext>
          </a:extLst>
        </xdr:cNvPr>
        <xdr:cNvCxnSpPr/>
      </xdr:nvCxnSpPr>
      <xdr:spPr>
        <a:xfrm>
          <a:off x="1428750" y="1497159"/>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219075</xdr:colOff>
      <xdr:row>12</xdr:row>
      <xdr:rowOff>163658</xdr:rowOff>
    </xdr:from>
    <xdr:to>
      <xdr:col>23</xdr:col>
      <xdr:colOff>361950</xdr:colOff>
      <xdr:row>12</xdr:row>
      <xdr:rowOff>163658</xdr:rowOff>
    </xdr:to>
    <xdr:cxnSp macro="">
      <xdr:nvCxnSpPr>
        <xdr:cNvPr id="32" name="Straight Arrow Connector 31">
          <a:extLst>
            <a:ext uri="{FF2B5EF4-FFF2-40B4-BE49-F238E27FC236}">
              <a16:creationId xmlns:a16="http://schemas.microsoft.com/office/drawing/2014/main" id="{00000000-0008-0000-1D00-000020000000}"/>
            </a:ext>
          </a:extLst>
        </xdr:cNvPr>
        <xdr:cNvCxnSpPr/>
      </xdr:nvCxnSpPr>
      <xdr:spPr>
        <a:xfrm>
          <a:off x="1257300" y="3011633"/>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439016</xdr:colOff>
      <xdr:row>4</xdr:row>
      <xdr:rowOff>95250</xdr:rowOff>
    </xdr:from>
    <xdr:to>
      <xdr:col>27</xdr:col>
      <xdr:colOff>439016</xdr:colOff>
      <xdr:row>6</xdr:row>
      <xdr:rowOff>95250</xdr:rowOff>
    </xdr:to>
    <xdr:cxnSp macro="">
      <xdr:nvCxnSpPr>
        <xdr:cNvPr id="33" name="Straight Arrow Connector 32">
          <a:extLst>
            <a:ext uri="{FF2B5EF4-FFF2-40B4-BE49-F238E27FC236}">
              <a16:creationId xmlns:a16="http://schemas.microsoft.com/office/drawing/2014/main" id="{00000000-0008-0000-1D00-000021000000}"/>
            </a:ext>
          </a:extLst>
        </xdr:cNvPr>
        <xdr:cNvCxnSpPr/>
      </xdr:nvCxnSpPr>
      <xdr:spPr>
        <a:xfrm>
          <a:off x="3525116" y="1600200"/>
          <a:ext cx="0" cy="3333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105642</xdr:colOff>
      <xdr:row>9</xdr:row>
      <xdr:rowOff>57150</xdr:rowOff>
    </xdr:from>
    <xdr:to>
      <xdr:col>22</xdr:col>
      <xdr:colOff>105642</xdr:colOff>
      <xdr:row>11</xdr:row>
      <xdr:rowOff>66675</xdr:rowOff>
    </xdr:to>
    <xdr:cxnSp macro="">
      <xdr:nvCxnSpPr>
        <xdr:cNvPr id="34" name="Straight Arrow Connector 33">
          <a:extLst>
            <a:ext uri="{FF2B5EF4-FFF2-40B4-BE49-F238E27FC236}">
              <a16:creationId xmlns:a16="http://schemas.microsoft.com/office/drawing/2014/main" id="{00000000-0008-0000-1D00-000022000000}"/>
            </a:ext>
          </a:extLst>
        </xdr:cNvPr>
        <xdr:cNvCxnSpPr/>
      </xdr:nvCxnSpPr>
      <xdr:spPr>
        <a:xfrm>
          <a:off x="1029567" y="2409825"/>
          <a:ext cx="0" cy="3333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38100</xdr:colOff>
          <xdr:row>2</xdr:row>
          <xdr:rowOff>38100</xdr:rowOff>
        </xdr:from>
        <xdr:to>
          <xdr:col>5</xdr:col>
          <xdr:colOff>222250</xdr:colOff>
          <xdr:row>3</xdr:row>
          <xdr:rowOff>107950</xdr:rowOff>
        </xdr:to>
        <xdr:sp macro="" textlink="">
          <xdr:nvSpPr>
            <xdr:cNvPr id="173064" name="Option Button 8" hidden="1">
              <a:extLst>
                <a:ext uri="{63B3BB69-23CF-44E3-9099-C40C66FF867C}">
                  <a14:compatExt spid="_x0000_s173064"/>
                </a:ext>
                <a:ext uri="{FF2B5EF4-FFF2-40B4-BE49-F238E27FC236}">
                  <a16:creationId xmlns:a16="http://schemas.microsoft.com/office/drawing/2014/main" id="{00000000-0008-0000-1D00-00000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Pump before chiller/ Hx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3</xdr:row>
          <xdr:rowOff>107950</xdr:rowOff>
        </xdr:from>
        <xdr:to>
          <xdr:col>6</xdr:col>
          <xdr:colOff>146050</xdr:colOff>
          <xdr:row>4</xdr:row>
          <xdr:rowOff>88900</xdr:rowOff>
        </xdr:to>
        <xdr:sp macro="" textlink="">
          <xdr:nvSpPr>
            <xdr:cNvPr id="173065" name="Option Button 9" hidden="1">
              <a:extLst>
                <a:ext uri="{63B3BB69-23CF-44E3-9099-C40C66FF867C}">
                  <a14:compatExt spid="_x0000_s173065"/>
                </a:ext>
                <a:ext uri="{FF2B5EF4-FFF2-40B4-BE49-F238E27FC236}">
                  <a16:creationId xmlns:a16="http://schemas.microsoft.com/office/drawing/2014/main" id="{00000000-0008-0000-1D00-00000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Pump after chiller/ Hx</a:t>
              </a:r>
            </a:p>
          </xdr:txBody>
        </xdr:sp>
        <xdr:clientData/>
      </xdr:twoCellAnchor>
    </mc:Choice>
    <mc:Fallback/>
  </mc:AlternateContent>
  <xdr:twoCellAnchor editAs="absolute">
    <xdr:from>
      <xdr:col>0</xdr:col>
      <xdr:colOff>161925</xdr:colOff>
      <xdr:row>18</xdr:row>
      <xdr:rowOff>89807</xdr:rowOff>
    </xdr:from>
    <xdr:to>
      <xdr:col>5</xdr:col>
      <xdr:colOff>228600</xdr:colOff>
      <xdr:row>20</xdr:row>
      <xdr:rowOff>51708</xdr:rowOff>
    </xdr:to>
    <xdr:sp macro="" textlink="">
      <xdr:nvSpPr>
        <xdr:cNvPr id="35" name="TextBox 34">
          <a:extLst>
            <a:ext uri="{FF2B5EF4-FFF2-40B4-BE49-F238E27FC236}">
              <a16:creationId xmlns:a16="http://schemas.microsoft.com/office/drawing/2014/main" id="{00000000-0008-0000-1D00-000023000000}"/>
            </a:ext>
          </a:extLst>
        </xdr:cNvPr>
        <xdr:cNvSpPr txBox="1"/>
      </xdr:nvSpPr>
      <xdr:spPr>
        <a:xfrm>
          <a:off x="161925" y="3090182"/>
          <a:ext cx="1895475"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t>Developed by Benjamin Leung</a:t>
          </a:r>
        </a:p>
      </xdr:txBody>
    </xdr:sp>
    <xdr:clientData/>
  </xdr:twoCellAnchor>
</xdr:wsDr>
</file>

<file path=xl/drawings/drawing21.xml><?xml version="1.0" encoding="utf-8"?>
<xdr:wsDr xmlns:xdr="http://schemas.openxmlformats.org/drawingml/2006/spreadsheetDrawing" xmlns:a="http://schemas.openxmlformats.org/drawingml/2006/main">
  <xdr:oneCellAnchor>
    <xdr:from>
      <xdr:col>2</xdr:col>
      <xdr:colOff>0</xdr:colOff>
      <xdr:row>2</xdr:row>
      <xdr:rowOff>47625</xdr:rowOff>
    </xdr:from>
    <xdr:ext cx="2514600" cy="264560"/>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1E00-000002000000}"/>
                </a:ext>
              </a:extLst>
            </xdr:cNvPr>
            <xdr:cNvSpPr txBox="1"/>
          </xdr:nvSpPr>
          <xdr:spPr>
            <a:xfrm>
              <a:off x="361950" y="409575"/>
              <a:ext cx="25146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m:r>
                      <a:rPr lang="en-US" sz="1100" i="1">
                        <a:latin typeface="Cambria Math"/>
                      </a:rPr>
                      <m:t>𝑁𝑃𝑆𝐻</m:t>
                    </m:r>
                    <m:r>
                      <a:rPr lang="en-US" sz="1100" i="1">
                        <a:latin typeface="Cambria Math"/>
                      </a:rPr>
                      <m:t> =  </m:t>
                    </m:r>
                    <m:sSub>
                      <m:sSubPr>
                        <m:ctrlPr>
                          <a:rPr lang="en-US" sz="1100" b="0" i="1">
                            <a:latin typeface="Cambria Math"/>
                          </a:rPr>
                        </m:ctrlPr>
                      </m:sSubPr>
                      <m:e>
                        <m:r>
                          <a:rPr lang="en-US" sz="1100" b="0" i="1">
                            <a:latin typeface="Cambria Math"/>
                          </a:rPr>
                          <m:t>𝑁𝑃𝑆𝐻</m:t>
                        </m:r>
                      </m:e>
                      <m:sub>
                        <m:r>
                          <a:rPr lang="en-US" sz="1100" b="0" i="1">
                            <a:latin typeface="Cambria Math"/>
                          </a:rPr>
                          <m:t>𝑎</m:t>
                        </m:r>
                      </m:sub>
                    </m:sSub>
                    <m:r>
                      <a:rPr lang="en-US" sz="1100" b="0" i="1">
                        <a:latin typeface="Cambria Math"/>
                      </a:rPr>
                      <m:t>− </m:t>
                    </m:r>
                    <m:sSub>
                      <m:sSubPr>
                        <m:ctrlPr>
                          <a:rPr lang="en-US" sz="1100" b="0" i="1">
                            <a:latin typeface="Cambria Math"/>
                          </a:rPr>
                        </m:ctrlPr>
                      </m:sSubPr>
                      <m:e>
                        <m:r>
                          <a:rPr lang="en-US" sz="1100" b="0" i="1">
                            <a:latin typeface="Cambria Math"/>
                          </a:rPr>
                          <m:t>𝑁𝑃𝑆𝐻</m:t>
                        </m:r>
                      </m:e>
                      <m:sub>
                        <m:r>
                          <a:rPr lang="en-US" sz="1100" b="0" i="1">
                            <a:latin typeface="Cambria Math"/>
                          </a:rPr>
                          <m:t>𝑟</m:t>
                        </m:r>
                      </m:sub>
                    </m:sSub>
                    <m:r>
                      <a:rPr lang="en-US" sz="1100" i="1">
                        <a:latin typeface="Cambria Math"/>
                      </a:rPr>
                      <m:t>≥0</m:t>
                    </m:r>
                  </m:oMath>
                </m:oMathPara>
              </a14:m>
              <a:endParaRPr lang="en-US" sz="1100"/>
            </a:p>
          </xdr:txBody>
        </xdr:sp>
      </mc:Choice>
      <mc:Fallback xmlns="">
        <xdr:sp macro="" textlink="">
          <xdr:nvSpPr>
            <xdr:cNvPr id="2" name="TextBox 1"/>
            <xdr:cNvSpPr txBox="1"/>
          </xdr:nvSpPr>
          <xdr:spPr>
            <a:xfrm>
              <a:off x="361950" y="409575"/>
              <a:ext cx="25146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US" sz="1100" i="0">
                  <a:latin typeface="Cambria Math"/>
                </a:rPr>
                <a:t>𝑁𝑃𝑆𝐻 =  〖</a:t>
              </a:r>
              <a:r>
                <a:rPr lang="en-US" sz="1100" b="0" i="0">
                  <a:latin typeface="Cambria Math"/>
                </a:rPr>
                <a:t>𝑁𝑃𝑆𝐻〗_𝑎− 〖𝑁𝑃𝑆𝐻〗_𝑟</a:t>
              </a:r>
              <a:r>
                <a:rPr lang="en-US" sz="1100" i="0">
                  <a:latin typeface="Cambria Math"/>
                </a:rPr>
                <a:t>≥0</a:t>
              </a:r>
              <a:endParaRPr lang="en-US" sz="1100"/>
            </a:p>
          </xdr:txBody>
        </xdr:sp>
      </mc:Fallback>
    </mc:AlternateContent>
    <xdr:clientData/>
  </xdr:oneCellAnchor>
  <xdr:oneCellAnchor>
    <xdr:from>
      <xdr:col>2</xdr:col>
      <xdr:colOff>9525</xdr:colOff>
      <xdr:row>3</xdr:row>
      <xdr:rowOff>133350</xdr:rowOff>
    </xdr:from>
    <xdr:ext cx="2514600" cy="275460"/>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1E00-000003000000}"/>
                </a:ext>
              </a:extLst>
            </xdr:cNvPr>
            <xdr:cNvSpPr txBox="1"/>
          </xdr:nvSpPr>
          <xdr:spPr>
            <a:xfrm>
              <a:off x="371475" y="657225"/>
              <a:ext cx="2514600" cy="2754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m:sSub>
                      <m:sSubPr>
                        <m:ctrlPr>
                          <a:rPr lang="en-US" sz="1100" b="0" i="1">
                            <a:latin typeface="Cambria Math"/>
                          </a:rPr>
                        </m:ctrlPr>
                      </m:sSubPr>
                      <m:e>
                        <m:r>
                          <a:rPr lang="en-US" sz="1100" b="0" i="1">
                            <a:latin typeface="Cambria Math"/>
                          </a:rPr>
                          <m:t>𝑁𝑃𝑆𝐻</m:t>
                        </m:r>
                      </m:e>
                      <m:sub>
                        <m:r>
                          <a:rPr lang="en-US" sz="1100" b="0" i="1">
                            <a:latin typeface="Cambria Math"/>
                          </a:rPr>
                          <m:t>𝑎</m:t>
                        </m:r>
                      </m:sub>
                    </m:sSub>
                    <m:r>
                      <a:rPr lang="en-US" sz="1100" i="1">
                        <a:latin typeface="Cambria Math"/>
                        <a:ea typeface="Cambria Math"/>
                      </a:rPr>
                      <m:t>=</m:t>
                    </m:r>
                    <m:sSub>
                      <m:sSubPr>
                        <m:ctrlPr>
                          <a:rPr lang="en-US" sz="1100" b="0" i="1">
                            <a:latin typeface="Cambria Math"/>
                            <a:ea typeface="Cambria Math"/>
                          </a:rPr>
                        </m:ctrlPr>
                      </m:sSubPr>
                      <m:e>
                        <m:r>
                          <a:rPr lang="en-US" sz="1100" b="0" i="1">
                            <a:latin typeface="Cambria Math"/>
                            <a:ea typeface="Cambria Math"/>
                          </a:rPr>
                          <m:t>𝐻</m:t>
                        </m:r>
                      </m:e>
                      <m:sub>
                        <m:r>
                          <a:rPr lang="en-US" sz="1100" b="0" i="1">
                            <a:latin typeface="Cambria Math"/>
                            <a:ea typeface="Cambria Math"/>
                          </a:rPr>
                          <m:t>𝑎</m:t>
                        </m:r>
                      </m:sub>
                    </m:sSub>
                    <m:r>
                      <a:rPr lang="en-US" sz="1100" i="1">
                        <a:latin typeface="Cambria Math"/>
                        <a:ea typeface="Cambria Math"/>
                      </a:rPr>
                      <m:t>±</m:t>
                    </m:r>
                    <m:sSub>
                      <m:sSubPr>
                        <m:ctrlPr>
                          <a:rPr lang="en-US" sz="1100" b="0" i="1">
                            <a:latin typeface="Cambria Math"/>
                            <a:ea typeface="Cambria Math"/>
                          </a:rPr>
                        </m:ctrlPr>
                      </m:sSubPr>
                      <m:e>
                        <m:r>
                          <a:rPr lang="en-US" sz="1100" b="0" i="1">
                            <a:latin typeface="Cambria Math"/>
                            <a:ea typeface="Cambria Math"/>
                          </a:rPr>
                          <m:t>𝐻</m:t>
                        </m:r>
                      </m:e>
                      <m:sub>
                        <m:r>
                          <a:rPr lang="en-US" sz="1100" b="0" i="1">
                            <a:latin typeface="Cambria Math"/>
                            <a:ea typeface="Cambria Math"/>
                          </a:rPr>
                          <m:t>𝑧</m:t>
                        </m:r>
                      </m:sub>
                    </m:sSub>
                    <m:r>
                      <a:rPr lang="en-US" sz="1100" i="1">
                        <a:latin typeface="Cambria Math"/>
                        <a:ea typeface="Cambria Math"/>
                      </a:rPr>
                      <m:t>−</m:t>
                    </m:r>
                    <m:sSub>
                      <m:sSubPr>
                        <m:ctrlPr>
                          <a:rPr lang="en-US" sz="1100" b="0" i="1">
                            <a:solidFill>
                              <a:schemeClr val="tx1"/>
                            </a:solidFill>
                            <a:effectLst/>
                            <a:latin typeface="Cambria Math"/>
                            <a:ea typeface="+mn-ea"/>
                            <a:cs typeface="+mn-cs"/>
                          </a:rPr>
                        </m:ctrlPr>
                      </m:sSubPr>
                      <m:e>
                        <m:r>
                          <a:rPr lang="en-US" sz="1100" b="0" i="1">
                            <a:solidFill>
                              <a:schemeClr val="tx1"/>
                            </a:solidFill>
                            <a:effectLst/>
                            <a:latin typeface="Cambria Math"/>
                            <a:ea typeface="+mn-ea"/>
                            <a:cs typeface="+mn-cs"/>
                          </a:rPr>
                          <m:t>𝐻</m:t>
                        </m:r>
                      </m:e>
                      <m:sub>
                        <m:r>
                          <a:rPr lang="en-US" sz="1100" b="0" i="1">
                            <a:solidFill>
                              <a:schemeClr val="tx1"/>
                            </a:solidFill>
                            <a:effectLst/>
                            <a:latin typeface="Cambria Math"/>
                            <a:ea typeface="+mn-ea"/>
                            <a:cs typeface="+mn-cs"/>
                          </a:rPr>
                          <m:t>𝑓</m:t>
                        </m:r>
                      </m:sub>
                    </m:sSub>
                    <m:sSub>
                      <m:sSubPr>
                        <m:ctrlPr>
                          <a:rPr lang="en-US" sz="1100" i="1">
                            <a:solidFill>
                              <a:schemeClr val="tx1"/>
                            </a:solidFill>
                            <a:effectLst/>
                            <a:latin typeface="Cambria Math"/>
                            <a:ea typeface="Cambria Math"/>
                            <a:cs typeface="+mn-cs"/>
                          </a:rPr>
                        </m:ctrlPr>
                      </m:sSubPr>
                      <m:e>
                        <m:r>
                          <a:rPr lang="en-US" sz="1100" i="1">
                            <a:solidFill>
                              <a:schemeClr val="tx1"/>
                            </a:solidFill>
                            <a:effectLst/>
                            <a:latin typeface="Cambria Math"/>
                            <a:ea typeface="Cambria Math"/>
                            <a:cs typeface="+mn-cs"/>
                          </a:rPr>
                          <m:t>−</m:t>
                        </m:r>
                        <m:r>
                          <a:rPr lang="en-US" sz="1100" b="0" i="1">
                            <a:solidFill>
                              <a:schemeClr val="tx1"/>
                            </a:solidFill>
                            <a:effectLst/>
                            <a:latin typeface="Cambria Math"/>
                            <a:ea typeface="+mn-ea"/>
                            <a:cs typeface="+mn-cs"/>
                          </a:rPr>
                          <m:t>𝐻</m:t>
                        </m:r>
                      </m:e>
                      <m:sub>
                        <m:r>
                          <a:rPr lang="en-US" sz="1100" b="0" i="1">
                            <a:solidFill>
                              <a:schemeClr val="tx1"/>
                            </a:solidFill>
                            <a:effectLst/>
                            <a:latin typeface="Cambria Math"/>
                            <a:ea typeface="+mn-ea"/>
                            <a:cs typeface="+mn-cs"/>
                          </a:rPr>
                          <m:t>𝑣</m:t>
                        </m:r>
                      </m:sub>
                    </m:sSub>
                  </m:oMath>
                </m:oMathPara>
              </a14:m>
              <a:endParaRPr lang="en-US" sz="1100"/>
            </a:p>
          </xdr:txBody>
        </xdr:sp>
      </mc:Choice>
      <mc:Fallback xmlns="">
        <xdr:sp macro="" textlink="">
          <xdr:nvSpPr>
            <xdr:cNvPr id="3" name="TextBox 2"/>
            <xdr:cNvSpPr txBox="1"/>
          </xdr:nvSpPr>
          <xdr:spPr>
            <a:xfrm>
              <a:off x="371475" y="657225"/>
              <a:ext cx="2514600" cy="2754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US" sz="1100" b="0" i="0">
                  <a:latin typeface="Cambria Math"/>
                </a:rPr>
                <a:t>〖𝑁𝑃𝑆𝐻〗_𝑎</a:t>
              </a:r>
              <a:r>
                <a:rPr lang="en-US" sz="1100" i="0">
                  <a:latin typeface="Cambria Math"/>
                  <a:ea typeface="Cambria Math"/>
                </a:rPr>
                <a:t>=</a:t>
              </a:r>
              <a:r>
                <a:rPr lang="en-US" sz="1100" b="0" i="0">
                  <a:latin typeface="Cambria Math"/>
                  <a:ea typeface="Cambria Math"/>
                </a:rPr>
                <a:t>𝐻_𝑎</a:t>
              </a:r>
              <a:r>
                <a:rPr lang="en-US" sz="1100" i="0">
                  <a:latin typeface="Cambria Math"/>
                  <a:ea typeface="Cambria Math"/>
                </a:rPr>
                <a:t>±</a:t>
              </a:r>
              <a:r>
                <a:rPr lang="en-US" sz="1100" b="0" i="0">
                  <a:latin typeface="Cambria Math"/>
                  <a:ea typeface="Cambria Math"/>
                </a:rPr>
                <a:t>𝐻_𝑧</a:t>
              </a:r>
              <a:r>
                <a:rPr lang="en-US" sz="1100" i="0">
                  <a:latin typeface="Cambria Math"/>
                  <a:ea typeface="Cambria Math"/>
                </a:rPr>
                <a:t>−</a:t>
              </a:r>
              <a:r>
                <a:rPr lang="en-US" sz="1100" b="0" i="0">
                  <a:solidFill>
                    <a:schemeClr val="tx1"/>
                  </a:solidFill>
                  <a:effectLst/>
                  <a:latin typeface="Cambria Math"/>
                  <a:ea typeface="+mn-ea"/>
                  <a:cs typeface="+mn-cs"/>
                </a:rPr>
                <a:t>𝐻_𝑓 </a:t>
              </a:r>
              <a:r>
                <a:rPr lang="en-US" sz="1100" i="0">
                  <a:solidFill>
                    <a:schemeClr val="tx1"/>
                  </a:solidFill>
                  <a:effectLst/>
                  <a:latin typeface="Cambria Math"/>
                  <a:ea typeface="+mn-ea"/>
                  <a:cs typeface="+mn-cs"/>
                </a:rPr>
                <a:t>〖</a:t>
              </a:r>
              <a:r>
                <a:rPr lang="en-US" sz="1100" i="0">
                  <a:solidFill>
                    <a:schemeClr val="tx1"/>
                  </a:solidFill>
                  <a:effectLst/>
                  <a:latin typeface="Cambria Math"/>
                  <a:ea typeface="Cambria Math"/>
                  <a:cs typeface="+mn-cs"/>
                </a:rPr>
                <a:t>−</a:t>
              </a:r>
              <a:r>
                <a:rPr lang="en-US" sz="1100" b="0" i="0">
                  <a:solidFill>
                    <a:schemeClr val="tx1"/>
                  </a:solidFill>
                  <a:effectLst/>
                  <a:latin typeface="Cambria Math"/>
                  <a:ea typeface="+mn-ea"/>
                  <a:cs typeface="+mn-cs"/>
                </a:rPr>
                <a:t>𝐻〗_𝑣</a:t>
              </a:r>
              <a:endParaRPr lang="en-US" sz="1100"/>
            </a:p>
          </xdr:txBody>
        </xdr:sp>
      </mc:Fallback>
    </mc:AlternateContent>
    <xdr:clientData/>
  </xdr:oneCellAnchor>
  <mc:AlternateContent xmlns:mc="http://schemas.openxmlformats.org/markup-compatibility/2006">
    <mc:Choice xmlns:a14="http://schemas.microsoft.com/office/drawing/2010/main" Requires="a14">
      <xdr:twoCellAnchor editAs="oneCell">
        <xdr:from>
          <xdr:col>12</xdr:col>
          <xdr:colOff>127000</xdr:colOff>
          <xdr:row>2</xdr:row>
          <xdr:rowOff>133350</xdr:rowOff>
        </xdr:from>
        <xdr:to>
          <xdr:col>13</xdr:col>
          <xdr:colOff>298450</xdr:colOff>
          <xdr:row>4</xdr:row>
          <xdr:rowOff>133350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1E00-000001B001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5</xdr:row>
          <xdr:rowOff>19050</xdr:rowOff>
        </xdr:from>
        <xdr:to>
          <xdr:col>13</xdr:col>
          <xdr:colOff>298450</xdr:colOff>
          <xdr:row>6</xdr:row>
          <xdr:rowOff>184150</xdr:rowOff>
        </xdr:to>
        <xdr:sp macro="" textlink="">
          <xdr:nvSpPr>
            <xdr:cNvPr id="110594" name="Button 2" hidden="1">
              <a:extLst>
                <a:ext uri="{63B3BB69-23CF-44E3-9099-C40C66FF867C}">
                  <a14:compatExt spid="_x0000_s110594"/>
                </a:ext>
                <a:ext uri="{FF2B5EF4-FFF2-40B4-BE49-F238E27FC236}">
                  <a16:creationId xmlns:a16="http://schemas.microsoft.com/office/drawing/2014/main" id="{00000000-0008-0000-1E00-000002B001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Reset</a:t>
              </a:r>
            </a:p>
          </xdr:txBody>
        </xdr:sp>
        <xdr:clientData/>
      </xdr:twoCellAnchor>
    </mc:Choice>
    <mc:Fallback/>
  </mc:AlternateContent>
  <xdr:twoCellAnchor editAs="absolute">
    <xdr:from>
      <xdr:col>12</xdr:col>
      <xdr:colOff>19050</xdr:colOff>
      <xdr:row>8</xdr:row>
      <xdr:rowOff>161925</xdr:rowOff>
    </xdr:from>
    <xdr:to>
      <xdr:col>14</xdr:col>
      <xdr:colOff>590550</xdr:colOff>
      <xdr:row>9</xdr:row>
      <xdr:rowOff>152400</xdr:rowOff>
    </xdr:to>
    <xdr:sp macro="" textlink="">
      <xdr:nvSpPr>
        <xdr:cNvPr id="6" name="TextBox 5">
          <a:extLst>
            <a:ext uri="{FF2B5EF4-FFF2-40B4-BE49-F238E27FC236}">
              <a16:creationId xmlns:a16="http://schemas.microsoft.com/office/drawing/2014/main" id="{00000000-0008-0000-1E00-000006000000}"/>
            </a:ext>
          </a:extLst>
        </xdr:cNvPr>
        <xdr:cNvSpPr txBox="1"/>
      </xdr:nvSpPr>
      <xdr:spPr>
        <a:xfrm>
          <a:off x="6886575" y="1590675"/>
          <a:ext cx="177165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12</xdr:col>
          <xdr:colOff>127000</xdr:colOff>
          <xdr:row>7</xdr:row>
          <xdr:rowOff>0</xdr:rowOff>
        </xdr:from>
        <xdr:to>
          <xdr:col>13</xdr:col>
          <xdr:colOff>298450</xdr:colOff>
          <xdr:row>8</xdr:row>
          <xdr:rowOff>95250</xdr:rowOff>
        </xdr:to>
        <xdr:sp macro="" textlink="">
          <xdr:nvSpPr>
            <xdr:cNvPr id="110595" name="Button 3" hidden="1">
              <a:extLst>
                <a:ext uri="{63B3BB69-23CF-44E3-9099-C40C66FF867C}">
                  <a14:compatExt spid="_x0000_s110595"/>
                </a:ext>
                <a:ext uri="{FF2B5EF4-FFF2-40B4-BE49-F238E27FC236}">
                  <a16:creationId xmlns:a16="http://schemas.microsoft.com/office/drawing/2014/main" id="{00000000-0008-0000-1E00-000003B001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500" b="1" i="0" u="none" strike="noStrike" baseline="0">
                  <a:solidFill>
                    <a:srgbClr val="0000FF"/>
                  </a:solidFill>
                  <a:latin typeface="Arial"/>
                  <a:cs typeface="Arial"/>
                </a:rPr>
                <a:t>Sample</a:t>
              </a:r>
            </a:p>
          </xdr:txBody>
        </xdr:sp>
        <xdr:clientData/>
      </xdr:twoCellAnchor>
    </mc:Choice>
    <mc:Fallback/>
  </mc:AlternateContent>
  <xdr:twoCellAnchor editAs="oneCell">
    <xdr:from>
      <xdr:col>7</xdr:col>
      <xdr:colOff>142876</xdr:colOff>
      <xdr:row>12</xdr:row>
      <xdr:rowOff>114300</xdr:rowOff>
    </xdr:from>
    <xdr:to>
      <xdr:col>14</xdr:col>
      <xdr:colOff>645358</xdr:colOff>
      <xdr:row>31</xdr:row>
      <xdr:rowOff>104775</xdr:rowOff>
    </xdr:to>
    <xdr:pic>
      <xdr:nvPicPr>
        <xdr:cNvPr id="11" name="Picture 10">
          <a:extLst>
            <a:ext uri="{FF2B5EF4-FFF2-40B4-BE49-F238E27FC236}">
              <a16:creationId xmlns:a16="http://schemas.microsoft.com/office/drawing/2014/main" id="{00000000-0008-0000-1E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62401" y="2505075"/>
          <a:ext cx="4750632" cy="3829050"/>
        </a:xfrm>
        <a:prstGeom prst="rect">
          <a:avLst/>
        </a:prstGeom>
        <a:noFill/>
        <a:ln>
          <a:solidFill>
            <a:schemeClr val="accent3">
              <a:lumMod val="75000"/>
            </a:schemeClr>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146050</xdr:colOff>
          <xdr:row>15</xdr:row>
          <xdr:rowOff>95250</xdr:rowOff>
        </xdr:from>
        <xdr:to>
          <xdr:col>8</xdr:col>
          <xdr:colOff>762000</xdr:colOff>
          <xdr:row>17</xdr:row>
          <xdr:rowOff>95250</xdr:rowOff>
        </xdr:to>
        <xdr:sp macro="" textlink="">
          <xdr:nvSpPr>
            <xdr:cNvPr id="300036" name="Button 4" hidden="1">
              <a:extLst>
                <a:ext uri="{63B3BB69-23CF-44E3-9099-C40C66FF867C}">
                  <a14:compatExt spid="_x0000_s300036"/>
                </a:ext>
                <a:ext uri="{FF2B5EF4-FFF2-40B4-BE49-F238E27FC236}">
                  <a16:creationId xmlns:a16="http://schemas.microsoft.com/office/drawing/2014/main" id="{00000000-0008-0000-1F00-0000049404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TW" altLang="en-US" sz="18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146050</xdr:colOff>
          <xdr:row>17</xdr:row>
          <xdr:rowOff>152400</xdr:rowOff>
        </xdr:from>
        <xdr:to>
          <xdr:col>8</xdr:col>
          <xdr:colOff>762000</xdr:colOff>
          <xdr:row>19</xdr:row>
          <xdr:rowOff>152400</xdr:rowOff>
        </xdr:to>
        <xdr:sp macro="" textlink="">
          <xdr:nvSpPr>
            <xdr:cNvPr id="300037" name="Button 5" hidden="1">
              <a:extLst>
                <a:ext uri="{63B3BB69-23CF-44E3-9099-C40C66FF867C}">
                  <a14:compatExt spid="_x0000_s300037"/>
                </a:ext>
                <a:ext uri="{FF2B5EF4-FFF2-40B4-BE49-F238E27FC236}">
                  <a16:creationId xmlns:a16="http://schemas.microsoft.com/office/drawing/2014/main" id="{00000000-0008-0000-1F00-0000059404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TW" altLang="en-US" sz="1800" b="1" i="0" u="none" strike="noStrike" baseline="0">
                  <a:solidFill>
                    <a:srgbClr val="0000FF"/>
                  </a:solidFill>
                  <a:latin typeface="Arial"/>
                  <a:cs typeface="Arial"/>
                </a:rPr>
                <a:t>Reset</a:t>
              </a:r>
            </a:p>
          </xdr:txBody>
        </xdr:sp>
        <xdr:clientData/>
      </xdr:twoCellAnchor>
    </mc:Choice>
    <mc:Fallback/>
  </mc:AlternateContent>
  <xdr:twoCellAnchor editAs="oneCell">
    <xdr:from>
      <xdr:col>6</xdr:col>
      <xdr:colOff>200025</xdr:colOff>
      <xdr:row>19</xdr:row>
      <xdr:rowOff>114300</xdr:rowOff>
    </xdr:from>
    <xdr:to>
      <xdr:col>8</xdr:col>
      <xdr:colOff>1590675</xdr:colOff>
      <xdr:row>21</xdr:row>
      <xdr:rowOff>9525</xdr:rowOff>
    </xdr:to>
    <xdr:sp macro="" textlink="">
      <xdr:nvSpPr>
        <xdr:cNvPr id="5" name="TextBox 4">
          <a:extLst>
            <a:ext uri="{FF2B5EF4-FFF2-40B4-BE49-F238E27FC236}">
              <a16:creationId xmlns:a16="http://schemas.microsoft.com/office/drawing/2014/main" id="{00000000-0008-0000-1F00-000005000000}"/>
            </a:ext>
          </a:extLst>
        </xdr:cNvPr>
        <xdr:cNvSpPr txBox="1"/>
      </xdr:nvSpPr>
      <xdr:spPr>
        <a:xfrm>
          <a:off x="3324225" y="3048000"/>
          <a:ext cx="18954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t>Developed by Benjamin Leung</a:t>
          </a:r>
        </a:p>
      </xdr:txBody>
    </xdr:sp>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260350</xdr:colOff>
          <xdr:row>4</xdr:row>
          <xdr:rowOff>19050</xdr:rowOff>
        </xdr:from>
        <xdr:to>
          <xdr:col>7</xdr:col>
          <xdr:colOff>431800</xdr:colOff>
          <xdr:row>6</xdr:row>
          <xdr:rowOff>19050</xdr:rowOff>
        </xdr:to>
        <xdr:sp macro="" textlink="">
          <xdr:nvSpPr>
            <xdr:cNvPr id="130049" name="Button 1" hidden="1">
              <a:extLst>
                <a:ext uri="{63B3BB69-23CF-44E3-9099-C40C66FF867C}">
                  <a14:compatExt spid="_x0000_s130049"/>
                </a:ext>
                <a:ext uri="{FF2B5EF4-FFF2-40B4-BE49-F238E27FC236}">
                  <a16:creationId xmlns:a16="http://schemas.microsoft.com/office/drawing/2014/main" id="{00000000-0008-0000-2000-000001FC01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Home</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146050</xdr:rowOff>
        </xdr:from>
        <xdr:to>
          <xdr:col>2</xdr:col>
          <xdr:colOff>584200</xdr:colOff>
          <xdr:row>4</xdr:row>
          <xdr:rowOff>114300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100-000001A802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TW" alt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5</xdr:row>
          <xdr:rowOff>38100</xdr:rowOff>
        </xdr:from>
        <xdr:to>
          <xdr:col>2</xdr:col>
          <xdr:colOff>869950</xdr:colOff>
          <xdr:row>6</xdr:row>
          <xdr:rowOff>57150</xdr:rowOff>
        </xdr:to>
        <xdr:sp macro="" textlink="">
          <xdr:nvSpPr>
            <xdr:cNvPr id="174094" name="Option Button 14" hidden="1">
              <a:extLst>
                <a:ext uri="{63B3BB69-23CF-44E3-9099-C40C66FF867C}">
                  <a14:compatExt spid="_x0000_s174094"/>
                </a:ext>
                <a:ext uri="{FF2B5EF4-FFF2-40B4-BE49-F238E27FC236}">
                  <a16:creationId xmlns:a16="http://schemas.microsoft.com/office/drawing/2014/main" id="{00000000-0008-0000-2100-00000E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Chiller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6</xdr:row>
          <xdr:rowOff>38100</xdr:rowOff>
        </xdr:from>
        <xdr:to>
          <xdr:col>2</xdr:col>
          <xdr:colOff>869950</xdr:colOff>
          <xdr:row>7</xdr:row>
          <xdr:rowOff>69850</xdr:rowOff>
        </xdr:to>
        <xdr:sp macro="" textlink="">
          <xdr:nvSpPr>
            <xdr:cNvPr id="174095" name="Option Button 15" hidden="1">
              <a:extLst>
                <a:ext uri="{63B3BB69-23CF-44E3-9099-C40C66FF867C}">
                  <a14:compatExt spid="_x0000_s174095"/>
                </a:ext>
                <a:ext uri="{FF2B5EF4-FFF2-40B4-BE49-F238E27FC236}">
                  <a16:creationId xmlns:a16="http://schemas.microsoft.com/office/drawing/2014/main" id="{00000000-0008-0000-2100-00000F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Cooling Tower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7</xdr:row>
          <xdr:rowOff>209550</xdr:rowOff>
        </xdr:from>
        <xdr:to>
          <xdr:col>2</xdr:col>
          <xdr:colOff>869950</xdr:colOff>
          <xdr:row>8</xdr:row>
          <xdr:rowOff>88900</xdr:rowOff>
        </xdr:to>
        <xdr:sp macro="" textlink="">
          <xdr:nvSpPr>
            <xdr:cNvPr id="174096" name="Option Button 16" hidden="1">
              <a:extLst>
                <a:ext uri="{63B3BB69-23CF-44E3-9099-C40C66FF867C}">
                  <a14:compatExt spid="_x0000_s174096"/>
                </a:ext>
                <a:ext uri="{FF2B5EF4-FFF2-40B4-BE49-F238E27FC236}">
                  <a16:creationId xmlns:a16="http://schemas.microsoft.com/office/drawing/2014/main" id="{00000000-0008-0000-2100-000010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Pool Heat Pump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8</xdr:row>
          <xdr:rowOff>69850</xdr:rowOff>
        </xdr:from>
        <xdr:to>
          <xdr:col>2</xdr:col>
          <xdr:colOff>869950</xdr:colOff>
          <xdr:row>9</xdr:row>
          <xdr:rowOff>95250</xdr:rowOff>
        </xdr:to>
        <xdr:sp macro="" textlink="">
          <xdr:nvSpPr>
            <xdr:cNvPr id="174097" name="Option Button 17" hidden="1">
              <a:extLst>
                <a:ext uri="{63B3BB69-23CF-44E3-9099-C40C66FF867C}">
                  <a14:compatExt spid="_x0000_s174097"/>
                </a:ext>
                <a:ext uri="{FF2B5EF4-FFF2-40B4-BE49-F238E27FC236}">
                  <a16:creationId xmlns:a16="http://schemas.microsoft.com/office/drawing/2014/main" id="{00000000-0008-0000-2100-000011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Fan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9</xdr:row>
          <xdr:rowOff>76200</xdr:rowOff>
        </xdr:from>
        <xdr:to>
          <xdr:col>2</xdr:col>
          <xdr:colOff>869950</xdr:colOff>
          <xdr:row>10</xdr:row>
          <xdr:rowOff>107950</xdr:rowOff>
        </xdr:to>
        <xdr:sp macro="" textlink="">
          <xdr:nvSpPr>
            <xdr:cNvPr id="174098" name="Option Button 18" hidden="1">
              <a:extLst>
                <a:ext uri="{63B3BB69-23CF-44E3-9099-C40C66FF867C}">
                  <a14:compatExt spid="_x0000_s174098"/>
                </a:ext>
                <a:ext uri="{FF2B5EF4-FFF2-40B4-BE49-F238E27FC236}">
                  <a16:creationId xmlns:a16="http://schemas.microsoft.com/office/drawing/2014/main" id="{00000000-0008-0000-2100-000012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Diffuser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10</xdr:row>
          <xdr:rowOff>88900</xdr:rowOff>
        </xdr:from>
        <xdr:to>
          <xdr:col>2</xdr:col>
          <xdr:colOff>869950</xdr:colOff>
          <xdr:row>11</xdr:row>
          <xdr:rowOff>114300</xdr:rowOff>
        </xdr:to>
        <xdr:sp macro="" textlink="">
          <xdr:nvSpPr>
            <xdr:cNvPr id="174099" name="Option Button 19" hidden="1">
              <a:extLst>
                <a:ext uri="{63B3BB69-23CF-44E3-9099-C40C66FF867C}">
                  <a14:compatExt spid="_x0000_s174099"/>
                </a:ext>
                <a:ext uri="{FF2B5EF4-FFF2-40B4-BE49-F238E27FC236}">
                  <a16:creationId xmlns:a16="http://schemas.microsoft.com/office/drawing/2014/main" id="{00000000-0008-0000-2100-000013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SAC/ VRV</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11</xdr:row>
          <xdr:rowOff>95250</xdr:rowOff>
        </xdr:from>
        <xdr:to>
          <xdr:col>2</xdr:col>
          <xdr:colOff>869950</xdr:colOff>
          <xdr:row>12</xdr:row>
          <xdr:rowOff>127000</xdr:rowOff>
        </xdr:to>
        <xdr:sp macro="" textlink="">
          <xdr:nvSpPr>
            <xdr:cNvPr id="174100" name="Option Button 20" hidden="1">
              <a:extLst>
                <a:ext uri="{63B3BB69-23CF-44E3-9099-C40C66FF867C}">
                  <a14:compatExt spid="_x0000_s174100"/>
                </a:ext>
                <a:ext uri="{FF2B5EF4-FFF2-40B4-BE49-F238E27FC236}">
                  <a16:creationId xmlns:a16="http://schemas.microsoft.com/office/drawing/2014/main" id="{00000000-0008-0000-2100-000014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DX AHU</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14</xdr:row>
          <xdr:rowOff>127000</xdr:rowOff>
        </xdr:from>
        <xdr:to>
          <xdr:col>2</xdr:col>
          <xdr:colOff>869950</xdr:colOff>
          <xdr:row>15</xdr:row>
          <xdr:rowOff>146050</xdr:rowOff>
        </xdr:to>
        <xdr:sp macro="" textlink="">
          <xdr:nvSpPr>
            <xdr:cNvPr id="174101" name="Option Button 21" hidden="1">
              <a:extLst>
                <a:ext uri="{63B3BB69-23CF-44E3-9099-C40C66FF867C}">
                  <a14:compatExt spid="_x0000_s174101"/>
                </a:ext>
                <a:ext uri="{FF2B5EF4-FFF2-40B4-BE49-F238E27FC236}">
                  <a16:creationId xmlns:a16="http://schemas.microsoft.com/office/drawing/2014/main" id="{00000000-0008-0000-2100-000015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BMS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15</xdr:row>
          <xdr:rowOff>127000</xdr:rowOff>
        </xdr:from>
        <xdr:to>
          <xdr:col>2</xdr:col>
          <xdr:colOff>869950</xdr:colOff>
          <xdr:row>17</xdr:row>
          <xdr:rowOff>0</xdr:rowOff>
        </xdr:to>
        <xdr:sp macro="" textlink="">
          <xdr:nvSpPr>
            <xdr:cNvPr id="174102" name="Option Button 22" hidden="1">
              <a:extLst>
                <a:ext uri="{63B3BB69-23CF-44E3-9099-C40C66FF867C}">
                  <a14:compatExt spid="_x0000_s174102"/>
                </a:ext>
                <a:ext uri="{FF2B5EF4-FFF2-40B4-BE49-F238E27FC236}">
                  <a16:creationId xmlns:a16="http://schemas.microsoft.com/office/drawing/2014/main" id="{00000000-0008-0000-2100-000016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Copper Pipe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16</xdr:row>
          <xdr:rowOff>133350</xdr:rowOff>
        </xdr:from>
        <xdr:to>
          <xdr:col>2</xdr:col>
          <xdr:colOff>869950</xdr:colOff>
          <xdr:row>18</xdr:row>
          <xdr:rowOff>12700</xdr:rowOff>
        </xdr:to>
        <xdr:sp macro="" textlink="">
          <xdr:nvSpPr>
            <xdr:cNvPr id="174103" name="Option Button 23" hidden="1">
              <a:extLst>
                <a:ext uri="{63B3BB69-23CF-44E3-9099-C40C66FF867C}">
                  <a14:compatExt spid="_x0000_s174103"/>
                </a:ext>
                <a:ext uri="{FF2B5EF4-FFF2-40B4-BE49-F238E27FC236}">
                  <a16:creationId xmlns:a16="http://schemas.microsoft.com/office/drawing/2014/main" id="{00000000-0008-0000-2100-000017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Insulation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7</xdr:row>
          <xdr:rowOff>50800</xdr:rowOff>
        </xdr:from>
        <xdr:to>
          <xdr:col>2</xdr:col>
          <xdr:colOff>869950</xdr:colOff>
          <xdr:row>7</xdr:row>
          <xdr:rowOff>228600</xdr:rowOff>
        </xdr:to>
        <xdr:sp macro="" textlink="">
          <xdr:nvSpPr>
            <xdr:cNvPr id="174104" name="Option Button 24" hidden="1">
              <a:extLst>
                <a:ext uri="{63B3BB69-23CF-44E3-9099-C40C66FF867C}">
                  <a14:compatExt spid="_x0000_s174104"/>
                </a:ext>
                <a:ext uri="{FF2B5EF4-FFF2-40B4-BE49-F238E27FC236}">
                  <a16:creationId xmlns:a16="http://schemas.microsoft.com/office/drawing/2014/main" id="{00000000-0008-0000-2100-000018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Heat Exchanger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13</xdr:row>
          <xdr:rowOff>114300</xdr:rowOff>
        </xdr:from>
        <xdr:to>
          <xdr:col>2</xdr:col>
          <xdr:colOff>869950</xdr:colOff>
          <xdr:row>14</xdr:row>
          <xdr:rowOff>146050</xdr:rowOff>
        </xdr:to>
        <xdr:sp macro="" textlink="">
          <xdr:nvSpPr>
            <xdr:cNvPr id="174105" name="Option Button 25" hidden="1">
              <a:extLst>
                <a:ext uri="{63B3BB69-23CF-44E3-9099-C40C66FF867C}">
                  <a14:compatExt spid="_x0000_s174105"/>
                </a:ext>
                <a:ext uri="{FF2B5EF4-FFF2-40B4-BE49-F238E27FC236}">
                  <a16:creationId xmlns:a16="http://schemas.microsoft.com/office/drawing/2014/main" id="{00000000-0008-0000-2100-000019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Silencer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12</xdr:row>
          <xdr:rowOff>107950</xdr:rowOff>
        </xdr:from>
        <xdr:to>
          <xdr:col>2</xdr:col>
          <xdr:colOff>869950</xdr:colOff>
          <xdr:row>13</xdr:row>
          <xdr:rowOff>133350</xdr:rowOff>
        </xdr:to>
        <xdr:sp macro="" textlink="">
          <xdr:nvSpPr>
            <xdr:cNvPr id="174106" name="Option Button 26" hidden="1">
              <a:extLst>
                <a:ext uri="{63B3BB69-23CF-44E3-9099-C40C66FF867C}">
                  <a14:compatExt spid="_x0000_s174106"/>
                </a:ext>
                <a:ext uri="{FF2B5EF4-FFF2-40B4-BE49-F238E27FC236}">
                  <a16:creationId xmlns:a16="http://schemas.microsoft.com/office/drawing/2014/main" id="{00000000-0008-0000-2100-00001A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TW" altLang="en-US" sz="800" b="0" i="0" u="none" strike="noStrike" baseline="0">
                  <a:solidFill>
                    <a:srgbClr val="000000"/>
                  </a:solidFill>
                  <a:latin typeface="Tahoma"/>
                  <a:cs typeface="Tahoma"/>
                </a:rPr>
                <a:t>Chilled Beam</a:t>
              </a:r>
            </a:p>
          </xdr:txBody>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2.vml"/><Relationship Id="rId7" Type="http://schemas.openxmlformats.org/officeDocument/2006/relationships/ctrlProp" Target="../ctrlProps/ctrlProp28.xml"/><Relationship Id="rId12" Type="http://schemas.openxmlformats.org/officeDocument/2006/relationships/ctrlProp" Target="../ctrlProps/ctrlProp3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8.xml"/><Relationship Id="rId3" Type="http://schemas.openxmlformats.org/officeDocument/2006/relationships/vmlDrawing" Target="../drawings/vmlDrawing4.vml"/><Relationship Id="rId7" Type="http://schemas.openxmlformats.org/officeDocument/2006/relationships/ctrlProp" Target="../ctrlProps/ctrlProp47.x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 Id="rId9"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13.vml"/><Relationship Id="rId7" Type="http://schemas.openxmlformats.org/officeDocument/2006/relationships/ctrlProp" Target="../ctrlProps/ctrlProp54.xml"/><Relationship Id="rId12" Type="http://schemas.openxmlformats.org/officeDocument/2006/relationships/comments" Target="../comments11.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53.xml"/><Relationship Id="rId11" Type="http://schemas.openxmlformats.org/officeDocument/2006/relationships/ctrlProp" Target="../ctrlProps/ctrlProp58.xml"/><Relationship Id="rId5" Type="http://schemas.openxmlformats.org/officeDocument/2006/relationships/ctrlProp" Target="../ctrlProps/ctrlProp52.xml"/><Relationship Id="rId10" Type="http://schemas.openxmlformats.org/officeDocument/2006/relationships/ctrlProp" Target="../ctrlProps/ctrlProp57.xml"/><Relationship Id="rId4" Type="http://schemas.openxmlformats.org/officeDocument/2006/relationships/ctrlProp" Target="../ctrlProps/ctrlProp51.xml"/><Relationship Id="rId9" Type="http://schemas.openxmlformats.org/officeDocument/2006/relationships/ctrlProp" Target="../ctrlProps/ctrlProp56.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18" Type="http://schemas.openxmlformats.org/officeDocument/2006/relationships/ctrlProp" Target="../ctrlProps/ctrlProp73.xml"/><Relationship Id="rId26" Type="http://schemas.openxmlformats.org/officeDocument/2006/relationships/ctrlProp" Target="../ctrlProps/ctrlProp81.xml"/><Relationship Id="rId3" Type="http://schemas.openxmlformats.org/officeDocument/2006/relationships/vmlDrawing" Target="../drawings/vmlDrawing14.vml"/><Relationship Id="rId21" Type="http://schemas.openxmlformats.org/officeDocument/2006/relationships/ctrlProp" Target="../ctrlProps/ctrlProp76.xml"/><Relationship Id="rId7" Type="http://schemas.openxmlformats.org/officeDocument/2006/relationships/ctrlProp" Target="../ctrlProps/ctrlProp62.xml"/><Relationship Id="rId12" Type="http://schemas.openxmlformats.org/officeDocument/2006/relationships/ctrlProp" Target="../ctrlProps/ctrlProp67.xml"/><Relationship Id="rId17" Type="http://schemas.openxmlformats.org/officeDocument/2006/relationships/ctrlProp" Target="../ctrlProps/ctrlProp72.xml"/><Relationship Id="rId25" Type="http://schemas.openxmlformats.org/officeDocument/2006/relationships/ctrlProp" Target="../ctrlProps/ctrlProp80.xml"/><Relationship Id="rId2" Type="http://schemas.openxmlformats.org/officeDocument/2006/relationships/drawing" Target="../drawings/drawing10.xml"/><Relationship Id="rId16" Type="http://schemas.openxmlformats.org/officeDocument/2006/relationships/ctrlProp" Target="../ctrlProps/ctrlProp71.xml"/><Relationship Id="rId20" Type="http://schemas.openxmlformats.org/officeDocument/2006/relationships/ctrlProp" Target="../ctrlProps/ctrlProp75.xml"/><Relationship Id="rId29" Type="http://schemas.openxmlformats.org/officeDocument/2006/relationships/ctrlProp" Target="../ctrlProps/ctrlProp84.xml"/><Relationship Id="rId1" Type="http://schemas.openxmlformats.org/officeDocument/2006/relationships/printerSettings" Target="../printerSettings/printerSettings8.bin"/><Relationship Id="rId6" Type="http://schemas.openxmlformats.org/officeDocument/2006/relationships/ctrlProp" Target="../ctrlProps/ctrlProp61.xml"/><Relationship Id="rId11" Type="http://schemas.openxmlformats.org/officeDocument/2006/relationships/ctrlProp" Target="../ctrlProps/ctrlProp66.xml"/><Relationship Id="rId24" Type="http://schemas.openxmlformats.org/officeDocument/2006/relationships/ctrlProp" Target="../ctrlProps/ctrlProp79.xml"/><Relationship Id="rId5" Type="http://schemas.openxmlformats.org/officeDocument/2006/relationships/ctrlProp" Target="../ctrlProps/ctrlProp60.xml"/><Relationship Id="rId15" Type="http://schemas.openxmlformats.org/officeDocument/2006/relationships/ctrlProp" Target="../ctrlProps/ctrlProp70.xml"/><Relationship Id="rId23" Type="http://schemas.openxmlformats.org/officeDocument/2006/relationships/ctrlProp" Target="../ctrlProps/ctrlProp78.xml"/><Relationship Id="rId28" Type="http://schemas.openxmlformats.org/officeDocument/2006/relationships/ctrlProp" Target="../ctrlProps/ctrlProp83.xml"/><Relationship Id="rId10" Type="http://schemas.openxmlformats.org/officeDocument/2006/relationships/ctrlProp" Target="../ctrlProps/ctrlProp65.xml"/><Relationship Id="rId19" Type="http://schemas.openxmlformats.org/officeDocument/2006/relationships/ctrlProp" Target="../ctrlProps/ctrlProp74.xml"/><Relationship Id="rId4" Type="http://schemas.openxmlformats.org/officeDocument/2006/relationships/ctrlProp" Target="../ctrlProps/ctrlProp59.xml"/><Relationship Id="rId9" Type="http://schemas.openxmlformats.org/officeDocument/2006/relationships/ctrlProp" Target="../ctrlProps/ctrlProp64.xml"/><Relationship Id="rId14" Type="http://schemas.openxmlformats.org/officeDocument/2006/relationships/ctrlProp" Target="../ctrlProps/ctrlProp69.xml"/><Relationship Id="rId22" Type="http://schemas.openxmlformats.org/officeDocument/2006/relationships/ctrlProp" Target="../ctrlProps/ctrlProp77.xml"/><Relationship Id="rId27" Type="http://schemas.openxmlformats.org/officeDocument/2006/relationships/ctrlProp" Target="../ctrlProps/ctrlProp82.xml"/><Relationship Id="rId30" Type="http://schemas.openxmlformats.org/officeDocument/2006/relationships/comments" Target="../comments12.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15.vml"/><Relationship Id="rId7" Type="http://schemas.openxmlformats.org/officeDocument/2006/relationships/ctrlProp" Target="../ctrlProps/ctrlProp88.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87.xml"/><Relationship Id="rId11" Type="http://schemas.openxmlformats.org/officeDocument/2006/relationships/ctrlProp" Target="../ctrlProps/ctrlProp92.xml"/><Relationship Id="rId5" Type="http://schemas.openxmlformats.org/officeDocument/2006/relationships/ctrlProp" Target="../ctrlProps/ctrlProp86.xml"/><Relationship Id="rId10" Type="http://schemas.openxmlformats.org/officeDocument/2006/relationships/ctrlProp" Target="../ctrlProps/ctrlProp91.xml"/><Relationship Id="rId4" Type="http://schemas.openxmlformats.org/officeDocument/2006/relationships/ctrlProp" Target="../ctrlProps/ctrlProp85.xml"/><Relationship Id="rId9" Type="http://schemas.openxmlformats.org/officeDocument/2006/relationships/ctrlProp" Target="../ctrlProps/ctrlProp90.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97.xml"/><Relationship Id="rId3" Type="http://schemas.openxmlformats.org/officeDocument/2006/relationships/vmlDrawing" Target="../drawings/vmlDrawing16.vml"/><Relationship Id="rId7" Type="http://schemas.openxmlformats.org/officeDocument/2006/relationships/ctrlProp" Target="../ctrlProps/ctrlProp96.xml"/><Relationship Id="rId12" Type="http://schemas.openxmlformats.org/officeDocument/2006/relationships/comments" Target="../comments13.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95.xml"/><Relationship Id="rId11" Type="http://schemas.openxmlformats.org/officeDocument/2006/relationships/ctrlProp" Target="../ctrlProps/ctrlProp100.xml"/><Relationship Id="rId5" Type="http://schemas.openxmlformats.org/officeDocument/2006/relationships/ctrlProp" Target="../ctrlProps/ctrlProp94.xml"/><Relationship Id="rId10" Type="http://schemas.openxmlformats.org/officeDocument/2006/relationships/ctrlProp" Target="../ctrlProps/ctrlProp99.xml"/><Relationship Id="rId4" Type="http://schemas.openxmlformats.org/officeDocument/2006/relationships/ctrlProp" Target="../ctrlProps/ctrlProp93.xml"/><Relationship Id="rId9" Type="http://schemas.openxmlformats.org/officeDocument/2006/relationships/ctrlProp" Target="../ctrlProps/ctrlProp9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05.xml"/><Relationship Id="rId3" Type="http://schemas.openxmlformats.org/officeDocument/2006/relationships/vmlDrawing" Target="../drawings/vmlDrawing17.vml"/><Relationship Id="rId7" Type="http://schemas.openxmlformats.org/officeDocument/2006/relationships/ctrlProp" Target="../ctrlProps/ctrlProp104.xml"/><Relationship Id="rId12" Type="http://schemas.openxmlformats.org/officeDocument/2006/relationships/comments" Target="../comments14.xml"/><Relationship Id="rId2" Type="http://schemas.openxmlformats.org/officeDocument/2006/relationships/drawing" Target="../drawings/drawing13.xml"/><Relationship Id="rId1" Type="http://schemas.openxmlformats.org/officeDocument/2006/relationships/printerSettings" Target="../printerSettings/printerSettings11.bin"/><Relationship Id="rId6" Type="http://schemas.openxmlformats.org/officeDocument/2006/relationships/ctrlProp" Target="../ctrlProps/ctrlProp103.xml"/><Relationship Id="rId11" Type="http://schemas.openxmlformats.org/officeDocument/2006/relationships/ctrlProp" Target="../ctrlProps/ctrlProp108.xml"/><Relationship Id="rId5" Type="http://schemas.openxmlformats.org/officeDocument/2006/relationships/ctrlProp" Target="../ctrlProps/ctrlProp102.xml"/><Relationship Id="rId10" Type="http://schemas.openxmlformats.org/officeDocument/2006/relationships/ctrlProp" Target="../ctrlProps/ctrlProp107.xml"/><Relationship Id="rId4" Type="http://schemas.openxmlformats.org/officeDocument/2006/relationships/ctrlProp" Target="../ctrlProps/ctrlProp101.xml"/><Relationship Id="rId9" Type="http://schemas.openxmlformats.org/officeDocument/2006/relationships/ctrlProp" Target="../ctrlProps/ctrlProp106.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12.xml"/><Relationship Id="rId3" Type="http://schemas.openxmlformats.org/officeDocument/2006/relationships/drawing" Target="../drawings/drawing14.xml"/><Relationship Id="rId7" Type="http://schemas.openxmlformats.org/officeDocument/2006/relationships/ctrlProp" Target="../ctrlProps/ctrlProp111.xml"/><Relationship Id="rId2" Type="http://schemas.openxmlformats.org/officeDocument/2006/relationships/printerSettings" Target="../printerSettings/printerSettings12.bin"/><Relationship Id="rId1" Type="http://schemas.openxmlformats.org/officeDocument/2006/relationships/hyperlink" Target="http://www.hisaka.co.jp/simulator_english" TargetMode="External"/><Relationship Id="rId6" Type="http://schemas.openxmlformats.org/officeDocument/2006/relationships/ctrlProp" Target="../ctrlProps/ctrlProp110.xml"/><Relationship Id="rId5" Type="http://schemas.openxmlformats.org/officeDocument/2006/relationships/ctrlProp" Target="../ctrlProps/ctrlProp109.xml"/><Relationship Id="rId4" Type="http://schemas.openxmlformats.org/officeDocument/2006/relationships/vmlDrawing" Target="../drawings/vmlDrawing18.v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17.xml"/><Relationship Id="rId13" Type="http://schemas.openxmlformats.org/officeDocument/2006/relationships/ctrlProp" Target="../ctrlProps/ctrlProp122.xml"/><Relationship Id="rId3" Type="http://schemas.openxmlformats.org/officeDocument/2006/relationships/vmlDrawing" Target="../drawings/vmlDrawing19.vml"/><Relationship Id="rId7" Type="http://schemas.openxmlformats.org/officeDocument/2006/relationships/ctrlProp" Target="../ctrlProps/ctrlProp116.xml"/><Relationship Id="rId12" Type="http://schemas.openxmlformats.org/officeDocument/2006/relationships/ctrlProp" Target="../ctrlProps/ctrlProp121.xml"/><Relationship Id="rId2" Type="http://schemas.openxmlformats.org/officeDocument/2006/relationships/drawing" Target="../drawings/drawing15.xml"/><Relationship Id="rId16" Type="http://schemas.openxmlformats.org/officeDocument/2006/relationships/ctrlProp" Target="../ctrlProps/ctrlProp125.xml"/><Relationship Id="rId1" Type="http://schemas.openxmlformats.org/officeDocument/2006/relationships/printerSettings" Target="../printerSettings/printerSettings13.bin"/><Relationship Id="rId6" Type="http://schemas.openxmlformats.org/officeDocument/2006/relationships/ctrlProp" Target="../ctrlProps/ctrlProp115.xml"/><Relationship Id="rId11" Type="http://schemas.openxmlformats.org/officeDocument/2006/relationships/ctrlProp" Target="../ctrlProps/ctrlProp120.xml"/><Relationship Id="rId5" Type="http://schemas.openxmlformats.org/officeDocument/2006/relationships/ctrlProp" Target="../ctrlProps/ctrlProp114.xml"/><Relationship Id="rId15" Type="http://schemas.openxmlformats.org/officeDocument/2006/relationships/ctrlProp" Target="../ctrlProps/ctrlProp124.xml"/><Relationship Id="rId10" Type="http://schemas.openxmlformats.org/officeDocument/2006/relationships/ctrlProp" Target="../ctrlProps/ctrlProp119.xml"/><Relationship Id="rId4" Type="http://schemas.openxmlformats.org/officeDocument/2006/relationships/ctrlProp" Target="../ctrlProps/ctrlProp113.xml"/><Relationship Id="rId9" Type="http://schemas.openxmlformats.org/officeDocument/2006/relationships/ctrlProp" Target="../ctrlProps/ctrlProp118.xml"/><Relationship Id="rId14" Type="http://schemas.openxmlformats.org/officeDocument/2006/relationships/ctrlProp" Target="../ctrlProps/ctrlProp123.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130.xml"/><Relationship Id="rId3" Type="http://schemas.openxmlformats.org/officeDocument/2006/relationships/vmlDrawing" Target="../drawings/vmlDrawing20.vml"/><Relationship Id="rId7" Type="http://schemas.openxmlformats.org/officeDocument/2006/relationships/ctrlProp" Target="../ctrlProps/ctrlProp129.xml"/><Relationship Id="rId2" Type="http://schemas.openxmlformats.org/officeDocument/2006/relationships/drawing" Target="../drawings/drawing16.xml"/><Relationship Id="rId1" Type="http://schemas.openxmlformats.org/officeDocument/2006/relationships/printerSettings" Target="../printerSettings/printerSettings14.bin"/><Relationship Id="rId6" Type="http://schemas.openxmlformats.org/officeDocument/2006/relationships/ctrlProp" Target="../ctrlProps/ctrlProp128.xml"/><Relationship Id="rId5" Type="http://schemas.openxmlformats.org/officeDocument/2006/relationships/ctrlProp" Target="../ctrlProps/ctrlProp127.xml"/><Relationship Id="rId4" Type="http://schemas.openxmlformats.org/officeDocument/2006/relationships/ctrlProp" Target="../ctrlProps/ctrlProp126.xml"/><Relationship Id="rId9" Type="http://schemas.openxmlformats.org/officeDocument/2006/relationships/ctrlProp" Target="../ctrlProps/ctrlProp131.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vmlDrawing" Target="../drawings/vmlDrawing21.vml"/><Relationship Id="rId7" Type="http://schemas.openxmlformats.org/officeDocument/2006/relationships/ctrlProp" Target="../ctrlProps/ctrlProp135.x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ctrlProp" Target="../ctrlProps/ctrlProp134.xml"/><Relationship Id="rId5" Type="http://schemas.openxmlformats.org/officeDocument/2006/relationships/ctrlProp" Target="../ctrlProps/ctrlProp133.xml"/><Relationship Id="rId4" Type="http://schemas.openxmlformats.org/officeDocument/2006/relationships/ctrlProp" Target="../ctrlProps/ctrlProp132.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141.xml"/><Relationship Id="rId3" Type="http://schemas.openxmlformats.org/officeDocument/2006/relationships/vmlDrawing" Target="../drawings/vmlDrawing22.vml"/><Relationship Id="rId7" Type="http://schemas.openxmlformats.org/officeDocument/2006/relationships/ctrlProp" Target="../ctrlProps/ctrlProp140.xml"/><Relationship Id="rId2" Type="http://schemas.openxmlformats.org/officeDocument/2006/relationships/drawing" Target="../drawings/drawing18.xml"/><Relationship Id="rId1" Type="http://schemas.openxmlformats.org/officeDocument/2006/relationships/printerSettings" Target="../printerSettings/printerSettings16.bin"/><Relationship Id="rId6" Type="http://schemas.openxmlformats.org/officeDocument/2006/relationships/ctrlProp" Target="../ctrlProps/ctrlProp139.xml"/><Relationship Id="rId5" Type="http://schemas.openxmlformats.org/officeDocument/2006/relationships/ctrlProp" Target="../ctrlProps/ctrlProp138.xml"/><Relationship Id="rId4" Type="http://schemas.openxmlformats.org/officeDocument/2006/relationships/ctrlProp" Target="../ctrlProps/ctrlProp137.xml"/><Relationship Id="rId9" Type="http://schemas.openxmlformats.org/officeDocument/2006/relationships/ctrlProp" Target="../ctrlProps/ctrlProp142.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147.xml"/><Relationship Id="rId3" Type="http://schemas.openxmlformats.org/officeDocument/2006/relationships/vmlDrawing" Target="../drawings/vmlDrawing23.vml"/><Relationship Id="rId7" Type="http://schemas.openxmlformats.org/officeDocument/2006/relationships/ctrlProp" Target="../ctrlProps/ctrlProp146.xml"/><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trlProp" Target="../ctrlProps/ctrlProp145.xml"/><Relationship Id="rId5" Type="http://schemas.openxmlformats.org/officeDocument/2006/relationships/ctrlProp" Target="../ctrlProps/ctrlProp144.xml"/><Relationship Id="rId10" Type="http://schemas.openxmlformats.org/officeDocument/2006/relationships/ctrlProp" Target="../ctrlProps/ctrlProp149.xml"/><Relationship Id="rId4" Type="http://schemas.openxmlformats.org/officeDocument/2006/relationships/ctrlProp" Target="../ctrlProps/ctrlProp143.xml"/><Relationship Id="rId9" Type="http://schemas.openxmlformats.org/officeDocument/2006/relationships/ctrlProp" Target="../ctrlProps/ctrlProp14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trlProp" Target="../ctrlProps/ctrlProp153.x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trlProp" Target="../ctrlProps/ctrlProp152.xml"/><Relationship Id="rId5" Type="http://schemas.openxmlformats.org/officeDocument/2006/relationships/ctrlProp" Target="../ctrlProps/ctrlProp151.xml"/><Relationship Id="rId4" Type="http://schemas.openxmlformats.org/officeDocument/2006/relationships/ctrlProp" Target="../ctrlProps/ctrlProp15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15.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156.xml"/><Relationship Id="rId5" Type="http://schemas.openxmlformats.org/officeDocument/2006/relationships/ctrlProp" Target="../ctrlProps/ctrlProp155.xml"/><Relationship Id="rId4" Type="http://schemas.openxmlformats.org/officeDocument/2006/relationships/ctrlProp" Target="../ctrlProps/ctrlProp154.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2.xml"/><Relationship Id="rId1" Type="http://schemas.openxmlformats.org/officeDocument/2006/relationships/printerSettings" Target="../printerSettings/printerSettings20.bin"/><Relationship Id="rId5" Type="http://schemas.openxmlformats.org/officeDocument/2006/relationships/ctrlProp" Target="../ctrlProps/ctrlProp158.xml"/><Relationship Id="rId4" Type="http://schemas.openxmlformats.org/officeDocument/2006/relationships/ctrlProp" Target="../ctrlProps/ctrlProp157.xml"/></Relationships>
</file>

<file path=xl/worksheets/_rels/sheet33.xml.rels><?xml version="1.0" encoding="UTF-8" standalone="yes"?>
<Relationships xmlns="http://schemas.openxmlformats.org/package/2006/relationships"><Relationship Id="rId8" Type="http://schemas.openxmlformats.org/officeDocument/2006/relationships/hyperlink" Target="http://www.buildingcontrolworkbench.com/BCWInfo/GrayBook/Cgray.htm" TargetMode="External"/><Relationship Id="rId13" Type="http://schemas.openxmlformats.org/officeDocument/2006/relationships/ctrlProp" Target="../ctrlProps/ctrlProp159.xml"/><Relationship Id="rId3" Type="http://schemas.openxmlformats.org/officeDocument/2006/relationships/hyperlink" Target="http://ventaxia.fanselector.co.uk/" TargetMode="External"/><Relationship Id="rId7" Type="http://schemas.openxmlformats.org/officeDocument/2006/relationships/hyperlink" Target="http://model.mesanct.com/" TargetMode="External"/><Relationship Id="rId12" Type="http://schemas.openxmlformats.org/officeDocument/2006/relationships/vmlDrawing" Target="../drawings/vmlDrawing27.vml"/><Relationship Id="rId2" Type="http://schemas.openxmlformats.org/officeDocument/2006/relationships/hyperlink" Target="http://net.grundfos.com/Appl/WebCAPS/InitCtrl?mode=0" TargetMode="External"/><Relationship Id="rId1" Type="http://schemas.openxmlformats.org/officeDocument/2006/relationships/hyperlink" Target="http://www.hisaka.co.jp/simulator_english/" TargetMode="External"/><Relationship Id="rId6" Type="http://schemas.openxmlformats.org/officeDocument/2006/relationships/hyperlink" Target="mailto:kin.li@wspgroup.com.hk" TargetMode="External"/><Relationship Id="rId11" Type="http://schemas.openxmlformats.org/officeDocument/2006/relationships/drawing" Target="../drawings/drawing23.xml"/><Relationship Id="rId5" Type="http://schemas.openxmlformats.org/officeDocument/2006/relationships/hyperlink" Target="http://www.ryowo.com/Company.php" TargetMode="External"/><Relationship Id="rId10" Type="http://schemas.openxmlformats.org/officeDocument/2006/relationships/printerSettings" Target="../printerSettings/printerSettings21.bin"/><Relationship Id="rId4" Type="http://schemas.openxmlformats.org/officeDocument/2006/relationships/hyperlink" Target="http://qtcapps.ct.spx.com/" TargetMode="External"/><Relationship Id="rId9" Type="http://schemas.openxmlformats.org/officeDocument/2006/relationships/hyperlink" Target="http://www.pacoexpresssuite.com/" TargetMode="External"/></Relationships>
</file>

<file path=xl/worksheets/_rels/sheet34.xml.rels><?xml version="1.0" encoding="UTF-8" standalone="yes"?>
<Relationships xmlns="http://schemas.openxmlformats.org/package/2006/relationships"><Relationship Id="rId117" Type="http://schemas.openxmlformats.org/officeDocument/2006/relationships/ctrlProp" Target="../ctrlProps/ctrlProp161.xml"/><Relationship Id="rId21" Type="http://schemas.openxmlformats.org/officeDocument/2006/relationships/hyperlink" Target="mailto:Calvin@heatpumps.com.hk" TargetMode="External"/><Relationship Id="rId42" Type="http://schemas.openxmlformats.org/officeDocument/2006/relationships/hyperlink" Target="mailto:Eddie.Ng@mlh.mehkg.com" TargetMode="External"/><Relationship Id="rId47" Type="http://schemas.openxmlformats.org/officeDocument/2006/relationships/hyperlink" Target="mailto:dennis.sheung@kembla.com.hk" TargetMode="External"/><Relationship Id="rId63" Type="http://schemas.openxmlformats.org/officeDocument/2006/relationships/hyperlink" Target="mailto:Arnold.Wong@carrier.utc.com" TargetMode="External"/><Relationship Id="rId68" Type="http://schemas.openxmlformats.org/officeDocument/2006/relationships/hyperlink" Target="mailto:andy@ryowo.com" TargetMode="External"/><Relationship Id="rId84" Type="http://schemas.openxmlformats.org/officeDocument/2006/relationships/hyperlink" Target="mailto:kenneth@mesanct.com" TargetMode="External"/><Relationship Id="rId89" Type="http://schemas.openxmlformats.org/officeDocument/2006/relationships/hyperlink" Target="mailto:dickhui@mcquay.com.hk" TargetMode="External"/><Relationship Id="rId112" Type="http://schemas.openxmlformats.org/officeDocument/2006/relationships/hyperlink" Target="mailto:connie.au@mlh.mehkg.com" TargetMode="External"/><Relationship Id="rId16" Type="http://schemas.openxmlformats.org/officeDocument/2006/relationships/hyperlink" Target="mailto:Joe.Man-Kit.Chan@jci.com" TargetMode="External"/><Relationship Id="rId107" Type="http://schemas.openxmlformats.org/officeDocument/2006/relationships/hyperlink" Target="mailto:ivan@mesanct.com" TargetMode="External"/><Relationship Id="rId11" Type="http://schemas.openxmlformats.org/officeDocument/2006/relationships/hyperlink" Target="mailto:Lloyd.Lo@carrier.utc.com" TargetMode="External"/><Relationship Id="rId32" Type="http://schemas.openxmlformats.org/officeDocument/2006/relationships/hyperlink" Target="mailto:wilsonhui@shunhinggroup.com" TargetMode="External"/><Relationship Id="rId37" Type="http://schemas.openxmlformats.org/officeDocument/2006/relationships/hyperlink" Target="mailto:cfyau@kruger.com.hk" TargetMode="External"/><Relationship Id="rId53" Type="http://schemas.openxmlformats.org/officeDocument/2006/relationships/hyperlink" Target="mailto:denisend@atihk.com" TargetMode="External"/><Relationship Id="rId58" Type="http://schemas.openxmlformats.org/officeDocument/2006/relationships/hyperlink" Target="mailto:Joewpli@hklpg.com.hk" TargetMode="External"/><Relationship Id="rId74" Type="http://schemas.openxmlformats.org/officeDocument/2006/relationships/hyperlink" Target="mailto:atong@alpha-general.com" TargetMode="External"/><Relationship Id="rId79" Type="http://schemas.openxmlformats.org/officeDocument/2006/relationships/hyperlink" Target="mailto:allen@welocmegroup.com.hk" TargetMode="External"/><Relationship Id="rId102" Type="http://schemas.openxmlformats.org/officeDocument/2006/relationships/hyperlink" Target="mailto:quda-sha@hisaka.co.jp" TargetMode="External"/><Relationship Id="rId123" Type="http://schemas.openxmlformats.org/officeDocument/2006/relationships/ctrlProp" Target="../ctrlProps/ctrlProp167.xml"/><Relationship Id="rId128" Type="http://schemas.openxmlformats.org/officeDocument/2006/relationships/ctrlProp" Target="../ctrlProps/ctrlProp172.xml"/><Relationship Id="rId5" Type="http://schemas.openxmlformats.org/officeDocument/2006/relationships/hyperlink" Target="mailto:willhui@hitachi-hk.com.hk" TargetMode="External"/><Relationship Id="rId90" Type="http://schemas.openxmlformats.org/officeDocument/2006/relationships/hyperlink" Target="mailto:Zhengdong.Han@spx.com" TargetMode="External"/><Relationship Id="rId95" Type="http://schemas.openxmlformats.org/officeDocument/2006/relationships/hyperlink" Target="mailto:annie@sinro.com" TargetMode="External"/><Relationship Id="rId22" Type="http://schemas.openxmlformats.org/officeDocument/2006/relationships/hyperlink" Target="mailto:louislau@haierhk.com" TargetMode="External"/><Relationship Id="rId27" Type="http://schemas.openxmlformats.org/officeDocument/2006/relationships/hyperlink" Target="mailto:gary.ng@jec.com" TargetMode="External"/><Relationship Id="rId43" Type="http://schemas.openxmlformats.org/officeDocument/2006/relationships/hyperlink" Target="mailto:manlok.ng@mlh.mehkg.com" TargetMode="External"/><Relationship Id="rId48" Type="http://schemas.openxmlformats.org/officeDocument/2006/relationships/hyperlink" Target="mailto:bill.cheung@jci.com" TargetMode="External"/><Relationship Id="rId64" Type="http://schemas.openxmlformats.org/officeDocument/2006/relationships/hyperlink" Target="mailto:co.wong@carrier.utc.com" TargetMode="External"/><Relationship Id="rId69" Type="http://schemas.openxmlformats.org/officeDocument/2006/relationships/hyperlink" Target="mailto:keith.pang@mlh.mehkg.com" TargetMode="External"/><Relationship Id="rId113" Type="http://schemas.openxmlformats.org/officeDocument/2006/relationships/printerSettings" Target="../printerSettings/printerSettings22.bin"/><Relationship Id="rId118" Type="http://schemas.openxmlformats.org/officeDocument/2006/relationships/ctrlProp" Target="../ctrlProps/ctrlProp162.xml"/><Relationship Id="rId80" Type="http://schemas.openxmlformats.org/officeDocument/2006/relationships/hyperlink" Target="mailto:kennethng@gelec.com.hk" TargetMode="External"/><Relationship Id="rId85" Type="http://schemas.openxmlformats.org/officeDocument/2006/relationships/hyperlink" Target="mailto:Arvy.Wong@chungyuen.com.hk" TargetMode="External"/><Relationship Id="rId12" Type="http://schemas.openxmlformats.org/officeDocument/2006/relationships/hyperlink" Target="mailto:Stephen.KW.Lam@jci.com" TargetMode="External"/><Relationship Id="rId17" Type="http://schemas.openxmlformats.org/officeDocument/2006/relationships/hyperlink" Target="mailto:tom.cheung@jec.com" TargetMode="External"/><Relationship Id="rId33" Type="http://schemas.openxmlformats.org/officeDocument/2006/relationships/hyperlink" Target="mailto:nick@wolter.com.hk" TargetMode="External"/><Relationship Id="rId38" Type="http://schemas.openxmlformats.org/officeDocument/2006/relationships/hyperlink" Target="mailto:raymondhau@jfthermal.com.hk" TargetMode="External"/><Relationship Id="rId59" Type="http://schemas.openxmlformats.org/officeDocument/2006/relationships/hyperlink" Target="mailto:allen@daikin.com.hk" TargetMode="External"/><Relationship Id="rId103" Type="http://schemas.openxmlformats.org/officeDocument/2006/relationships/hyperlink" Target="mailto:derekchu@extensive.com.hk" TargetMode="External"/><Relationship Id="rId108" Type="http://schemas.openxmlformats.org/officeDocument/2006/relationships/hyperlink" Target="mailto:thomas.KT.chan@jci.com" TargetMode="External"/><Relationship Id="rId124" Type="http://schemas.openxmlformats.org/officeDocument/2006/relationships/ctrlProp" Target="../ctrlProps/ctrlProp168.xml"/><Relationship Id="rId129" Type="http://schemas.openxmlformats.org/officeDocument/2006/relationships/ctrlProp" Target="../ctrlProps/ctrlProp173.xml"/><Relationship Id="rId54" Type="http://schemas.openxmlformats.org/officeDocument/2006/relationships/hyperlink" Target="mailto:colmanair@yahoo.com.hk" TargetMode="External"/><Relationship Id="rId70" Type="http://schemas.openxmlformats.org/officeDocument/2006/relationships/hyperlink" Target="mailto:samson.kam-hang.lam@jci.com" TargetMode="External"/><Relationship Id="rId75" Type="http://schemas.openxmlformats.org/officeDocument/2006/relationships/hyperlink" Target="mailto:jim@anway.com.hk" TargetMode="External"/><Relationship Id="rId91" Type="http://schemas.openxmlformats.org/officeDocument/2006/relationships/hyperlink" Target="mailto:tduan@evapcochina.com" TargetMode="External"/><Relationship Id="rId96" Type="http://schemas.openxmlformats.org/officeDocument/2006/relationships/hyperlink" Target="mailto:tracy.ng@oxprime.com" TargetMode="External"/><Relationship Id="rId1" Type="http://schemas.openxmlformats.org/officeDocument/2006/relationships/hyperlink" Target="mailto:michaell@wokeehong.com.hk" TargetMode="External"/><Relationship Id="rId6" Type="http://schemas.openxmlformats.org/officeDocument/2006/relationships/hyperlink" Target="mailto:winniel@wokeehong.com.hk" TargetMode="External"/><Relationship Id="rId23" Type="http://schemas.openxmlformats.org/officeDocument/2006/relationships/hyperlink" Target="mailto:dominic.cruz@mlh.mehkg.com" TargetMode="External"/><Relationship Id="rId28" Type="http://schemas.openxmlformats.org/officeDocument/2006/relationships/hyperlink" Target="mailto:rico.yeung@jec.com" TargetMode="External"/><Relationship Id="rId49" Type="http://schemas.openxmlformats.org/officeDocument/2006/relationships/hyperlink" Target="mailto:Pal.Chung@carrier.utc.com" TargetMode="External"/><Relationship Id="rId114" Type="http://schemas.openxmlformats.org/officeDocument/2006/relationships/drawing" Target="../drawings/drawing24.xml"/><Relationship Id="rId119" Type="http://schemas.openxmlformats.org/officeDocument/2006/relationships/ctrlProp" Target="../ctrlProps/ctrlProp163.xml"/><Relationship Id="rId44" Type="http://schemas.openxmlformats.org/officeDocument/2006/relationships/hyperlink" Target="mailto:havenchiu@shunhingeng.com" TargetMode="External"/><Relationship Id="rId60" Type="http://schemas.openxmlformats.org/officeDocument/2006/relationships/hyperlink" Target="mailto:lioubov@daikin.com.hk" TargetMode="External"/><Relationship Id="rId65" Type="http://schemas.openxmlformats.org/officeDocument/2006/relationships/hyperlink" Target="mailto:vincent.tsoi@wokeehong.com.hk" TargetMode="External"/><Relationship Id="rId81" Type="http://schemas.openxmlformats.org/officeDocument/2006/relationships/hyperlink" Target="mailto:yunkeehk@biznetvigator.com" TargetMode="External"/><Relationship Id="rId86" Type="http://schemas.openxmlformats.org/officeDocument/2006/relationships/hyperlink" Target="mailto:mike.cy.cheng@jcl.com" TargetMode="External"/><Relationship Id="rId13" Type="http://schemas.openxmlformats.org/officeDocument/2006/relationships/hyperlink" Target="mailto:dick.lam@jci.com" TargetMode="External"/><Relationship Id="rId18" Type="http://schemas.openxmlformats.org/officeDocument/2006/relationships/hyperlink" Target="mailto:cheongming.chan@honeywell.com" TargetMode="External"/><Relationship Id="rId39" Type="http://schemas.openxmlformats.org/officeDocument/2006/relationships/hyperlink" Target="mailto:dsltung@sustaine.com.hk" TargetMode="External"/><Relationship Id="rId109" Type="http://schemas.openxmlformats.org/officeDocument/2006/relationships/hyperlink" Target="mailto:edmondyeung@atalbs.com.hk" TargetMode="External"/><Relationship Id="rId34" Type="http://schemas.openxmlformats.org/officeDocument/2006/relationships/hyperlink" Target="mailto:bryden@chungyuen.com.hk" TargetMode="External"/><Relationship Id="rId50" Type="http://schemas.openxmlformats.org/officeDocument/2006/relationships/hyperlink" Target="mailto:johnng@evercoolhk.com" TargetMode="External"/><Relationship Id="rId55" Type="http://schemas.openxmlformats.org/officeDocument/2006/relationships/hyperlink" Target="mailto:laasiahh@netvigator.com" TargetMode="External"/><Relationship Id="rId76" Type="http://schemas.openxmlformats.org/officeDocument/2006/relationships/hyperlink" Target="mailto:jason@jfthermal.com.hk" TargetMode="External"/><Relationship Id="rId97" Type="http://schemas.openxmlformats.org/officeDocument/2006/relationships/hyperlink" Target="mailto:sara.yim@jinchat.com" TargetMode="External"/><Relationship Id="rId104" Type="http://schemas.openxmlformats.org/officeDocument/2006/relationships/hyperlink" Target="mailto:bunny@napafe.com.hk" TargetMode="External"/><Relationship Id="rId120" Type="http://schemas.openxmlformats.org/officeDocument/2006/relationships/ctrlProp" Target="../ctrlProps/ctrlProp164.xml"/><Relationship Id="rId125" Type="http://schemas.openxmlformats.org/officeDocument/2006/relationships/ctrlProp" Target="../ctrlProps/ctrlProp169.xml"/><Relationship Id="rId7" Type="http://schemas.openxmlformats.org/officeDocument/2006/relationships/hyperlink" Target="mailto:chichiu.cheuk@mlh.mehkg.com" TargetMode="External"/><Relationship Id="rId71" Type="http://schemas.openxmlformats.org/officeDocument/2006/relationships/hyperlink" Target="mailto:mike.cheng@jec.com" TargetMode="External"/><Relationship Id="rId92" Type="http://schemas.openxmlformats.org/officeDocument/2006/relationships/hyperlink" Target="mailto:astro@mesanct.com" TargetMode="External"/><Relationship Id="rId2" Type="http://schemas.openxmlformats.org/officeDocument/2006/relationships/hyperlink" Target="mailto:ppauyeung@shunhinggroup.com" TargetMode="External"/><Relationship Id="rId29" Type="http://schemas.openxmlformats.org/officeDocument/2006/relationships/hyperlink" Target="mailto:payton@ryowo.com" TargetMode="External"/><Relationship Id="rId24" Type="http://schemas.openxmlformats.org/officeDocument/2006/relationships/hyperlink" Target="mailto:haskinsyung@gilman-group.com" TargetMode="External"/><Relationship Id="rId40" Type="http://schemas.openxmlformats.org/officeDocument/2006/relationships/hyperlink" Target="mailto:derek@crowntingrp.com.hk" TargetMode="External"/><Relationship Id="rId45" Type="http://schemas.openxmlformats.org/officeDocument/2006/relationships/hyperlink" Target="mailto:billy.cheng@chinney-eng.com" TargetMode="External"/><Relationship Id="rId66" Type="http://schemas.openxmlformats.org/officeDocument/2006/relationships/hyperlink" Target="mailto:keithkwok@shunhinggroup.com" TargetMode="External"/><Relationship Id="rId87" Type="http://schemas.openxmlformats.org/officeDocument/2006/relationships/hyperlink" Target="mailto:hmchung@shunhinggroup.com" TargetMode="External"/><Relationship Id="rId110" Type="http://schemas.openxmlformats.org/officeDocument/2006/relationships/hyperlink" Target="mailto:billycheung@atalbs.com.hk" TargetMode="External"/><Relationship Id="rId115" Type="http://schemas.openxmlformats.org/officeDocument/2006/relationships/vmlDrawing" Target="../drawings/vmlDrawing28.vml"/><Relationship Id="rId61" Type="http://schemas.openxmlformats.org/officeDocument/2006/relationships/hyperlink" Target="mailto:clarence.cheung@carrier.utc.com" TargetMode="External"/><Relationship Id="rId82" Type="http://schemas.openxmlformats.org/officeDocument/2006/relationships/hyperlink" Target="mailto:matthew@chungyuen.com.hk" TargetMode="External"/><Relationship Id="rId19" Type="http://schemas.openxmlformats.org/officeDocument/2006/relationships/hyperlink" Target="mailto:yim.kit.chan@jci.com" TargetMode="External"/><Relationship Id="rId14" Type="http://schemas.openxmlformats.org/officeDocument/2006/relationships/hyperlink" Target="mailto:ronald.kong@jec.com" TargetMode="External"/><Relationship Id="rId30" Type="http://schemas.openxmlformats.org/officeDocument/2006/relationships/hyperlink" Target="mailto:simon.kwok@jec.com" TargetMode="External"/><Relationship Id="rId35" Type="http://schemas.openxmlformats.org/officeDocument/2006/relationships/hyperlink" Target="mailto:Kent@systemairhk.com" TargetMode="External"/><Relationship Id="rId56" Type="http://schemas.openxmlformats.org/officeDocument/2006/relationships/hyperlink" Target="mailto:lukechan@mcquay.com.hk" TargetMode="External"/><Relationship Id="rId77" Type="http://schemas.openxmlformats.org/officeDocument/2006/relationships/hyperlink" Target="mailto:tony@saiver-welaire.com.hk" TargetMode="External"/><Relationship Id="rId100" Type="http://schemas.openxmlformats.org/officeDocument/2006/relationships/hyperlink" Target="mailto:manlok.ng@mlh.mehkg.com" TargetMode="External"/><Relationship Id="rId105" Type="http://schemas.openxmlformats.org/officeDocument/2006/relationships/hyperlink" Target="mailto:kwangchin.chong@flaktwoods.com" TargetMode="External"/><Relationship Id="rId126" Type="http://schemas.openxmlformats.org/officeDocument/2006/relationships/ctrlProp" Target="../ctrlProps/ctrlProp170.xml"/><Relationship Id="rId8" Type="http://schemas.openxmlformats.org/officeDocument/2006/relationships/hyperlink" Target="mailto:daniel.tsang@mlh.mehkg.com" TargetMode="External"/><Relationship Id="rId51" Type="http://schemas.openxmlformats.org/officeDocument/2006/relationships/hyperlink" Target="mailto:evancheng@mcquay.com.hk" TargetMode="External"/><Relationship Id="rId72" Type="http://schemas.openxmlformats.org/officeDocument/2006/relationships/hyperlink" Target="mailto:jack@chungyuen.com.hk" TargetMode="External"/><Relationship Id="rId93" Type="http://schemas.openxmlformats.org/officeDocument/2006/relationships/hyperlink" Target="mailto:larry.ho@oxprime.com" TargetMode="External"/><Relationship Id="rId98" Type="http://schemas.openxmlformats.org/officeDocument/2006/relationships/hyperlink" Target="mailto:xqh@poolpakchina.com" TargetMode="External"/><Relationship Id="rId121" Type="http://schemas.openxmlformats.org/officeDocument/2006/relationships/ctrlProp" Target="../ctrlProps/ctrlProp165.xml"/><Relationship Id="rId3" Type="http://schemas.openxmlformats.org/officeDocument/2006/relationships/hyperlink" Target="mailto:gracelam@asw.com.hk" TargetMode="External"/><Relationship Id="rId25" Type="http://schemas.openxmlformats.org/officeDocument/2006/relationships/hyperlink" Target="mailto:hkairflow@biznetvigator.com" TargetMode="External"/><Relationship Id="rId46" Type="http://schemas.openxmlformats.org/officeDocument/2006/relationships/hyperlink" Target="mailto:raymond@saiver-welaire.com.hk" TargetMode="External"/><Relationship Id="rId67" Type="http://schemas.openxmlformats.org/officeDocument/2006/relationships/hyperlink" Target="mailto:sam.s.yeung@armacell.com" TargetMode="External"/><Relationship Id="rId116" Type="http://schemas.openxmlformats.org/officeDocument/2006/relationships/ctrlProp" Target="../ctrlProps/ctrlProp160.xml"/><Relationship Id="rId20" Type="http://schemas.openxmlformats.org/officeDocument/2006/relationships/hyperlink" Target="mailto:andrewlam@efatar.com.hk" TargetMode="External"/><Relationship Id="rId41" Type="http://schemas.openxmlformats.org/officeDocument/2006/relationships/hyperlink" Target="mailto:allen@saiver-welaire.com.hk" TargetMode="External"/><Relationship Id="rId62" Type="http://schemas.openxmlformats.org/officeDocument/2006/relationships/hyperlink" Target="mailto:Felix.Lau@carrier.utc.com" TargetMode="External"/><Relationship Id="rId83" Type="http://schemas.openxmlformats.org/officeDocument/2006/relationships/hyperlink" Target="mailto:sherman@mesanct.com" TargetMode="External"/><Relationship Id="rId88" Type="http://schemas.openxmlformats.org/officeDocument/2006/relationships/hyperlink" Target="mailto:jacquelinetam@analogue.com.hk" TargetMode="External"/><Relationship Id="rId111" Type="http://schemas.openxmlformats.org/officeDocument/2006/relationships/hyperlink" Target="mailto:aniatacheung@atalbs.com.hk" TargetMode="External"/><Relationship Id="rId15" Type="http://schemas.openxmlformats.org/officeDocument/2006/relationships/hyperlink" Target="mailto:Paul.Tsui@carrier.utc.com" TargetMode="External"/><Relationship Id="rId36" Type="http://schemas.openxmlformats.org/officeDocument/2006/relationships/hyperlink" Target="mailto:med@gelec.com.hk" TargetMode="External"/><Relationship Id="rId57" Type="http://schemas.openxmlformats.org/officeDocument/2006/relationships/hyperlink" Target="mailto:sale6@e-IAQ.com" TargetMode="External"/><Relationship Id="rId106" Type="http://schemas.openxmlformats.org/officeDocument/2006/relationships/hyperlink" Target="mailto:racheltlk@gelec.com.hk" TargetMode="External"/><Relationship Id="rId127" Type="http://schemas.openxmlformats.org/officeDocument/2006/relationships/ctrlProp" Target="../ctrlProps/ctrlProp171.xml"/><Relationship Id="rId10" Type="http://schemas.openxmlformats.org/officeDocument/2006/relationships/hyperlink" Target="mailto:raymond@welcomegroup.com.hk" TargetMode="External"/><Relationship Id="rId31" Type="http://schemas.openxmlformats.org/officeDocument/2006/relationships/hyperlink" Target="mailto:horace.lee@oxprime.com" TargetMode="External"/><Relationship Id="rId52" Type="http://schemas.openxmlformats.org/officeDocument/2006/relationships/hyperlink" Target="mailto:henrylau@atihk.com" TargetMode="External"/><Relationship Id="rId73" Type="http://schemas.openxmlformats.org/officeDocument/2006/relationships/hyperlink" Target="mailto:raymondtfpan@hklpg.com.hk" TargetMode="External"/><Relationship Id="rId78" Type="http://schemas.openxmlformats.org/officeDocument/2006/relationships/hyperlink" Target="mailto:allen@welocmegroup.com.hk" TargetMode="External"/><Relationship Id="rId94" Type="http://schemas.openxmlformats.org/officeDocument/2006/relationships/hyperlink" Target="mailto:kkmak@calorex.cn" TargetMode="External"/><Relationship Id="rId99" Type="http://schemas.openxmlformats.org/officeDocument/2006/relationships/hyperlink" Target="mailto:vincentlin@mcquay.com.hk" TargetMode="External"/><Relationship Id="rId101" Type="http://schemas.openxmlformats.org/officeDocument/2006/relationships/hyperlink" Target="mailto:alexleung@extensive.com.hk" TargetMode="External"/><Relationship Id="rId122" Type="http://schemas.openxmlformats.org/officeDocument/2006/relationships/ctrlProp" Target="../ctrlProps/ctrlProp166.xml"/><Relationship Id="rId4" Type="http://schemas.openxmlformats.org/officeDocument/2006/relationships/hyperlink" Target="mailto:albert.lee@chinney-eng.com" TargetMode="External"/><Relationship Id="rId9" Type="http://schemas.openxmlformats.org/officeDocument/2006/relationships/hyperlink" Target="mailto:charleschan@shunhinggroup.com" TargetMode="External"/><Relationship Id="rId26" Type="http://schemas.openxmlformats.org/officeDocument/2006/relationships/hyperlink" Target="mailto:ken@mideahk.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5">
    <pageSetUpPr fitToPage="1"/>
  </sheetPr>
  <dimension ref="A1:AM71"/>
  <sheetViews>
    <sheetView showGridLines="0" showRowColHeaders="0" zoomScaleNormal="100" zoomScaleSheetLayoutView="100" workbookViewId="0"/>
  </sheetViews>
  <sheetFormatPr defaultColWidth="9.1796875" defaultRowHeight="12.5"/>
  <cols>
    <col min="1" max="1" width="2.7265625" style="276" customWidth="1"/>
    <col min="2" max="2" width="40.453125" style="1685" hidden="1" customWidth="1"/>
    <col min="3" max="10" width="2.7265625" style="1685" hidden="1" customWidth="1"/>
    <col min="11" max="20" width="2.7265625" style="276" hidden="1" customWidth="1"/>
    <col min="21" max="21" width="3.7265625" style="276" customWidth="1"/>
    <col min="22" max="24" width="8.7265625" style="276" customWidth="1"/>
    <col min="25" max="25" width="3.7265625" style="276" customWidth="1"/>
    <col min="26" max="28" width="8.7265625" style="276" customWidth="1"/>
    <col min="29" max="29" width="3.7265625" style="276" customWidth="1"/>
    <col min="30" max="32" width="8.7265625" style="276" customWidth="1"/>
    <col min="33" max="33" width="3.7265625" style="276" customWidth="1"/>
    <col min="34" max="34" width="1.7265625" style="276" customWidth="1"/>
    <col min="35" max="37" width="9.1796875" style="276" customWidth="1"/>
    <col min="38" max="39" width="9.1796875" style="276" hidden="1" customWidth="1"/>
    <col min="40" max="92" width="0" style="276" hidden="1" customWidth="1"/>
    <col min="93" max="16384" width="9.1796875" style="276"/>
  </cols>
  <sheetData>
    <row r="1" spans="3:37">
      <c r="U1" s="1686"/>
      <c r="V1" s="1686"/>
      <c r="W1" s="1686"/>
      <c r="X1" s="1686"/>
      <c r="Y1" s="1686"/>
      <c r="Z1" s="1686"/>
      <c r="AA1" s="1686"/>
      <c r="AB1" s="1686"/>
      <c r="AC1" s="1686"/>
      <c r="AD1" s="1686"/>
      <c r="AE1" s="1686"/>
      <c r="AF1" s="1686"/>
      <c r="AG1" s="1686"/>
    </row>
    <row r="2" spans="3:37" ht="20.5">
      <c r="C2" s="1687"/>
      <c r="U2" s="1951" t="s">
        <v>1236</v>
      </c>
      <c r="V2" s="1951"/>
      <c r="W2" s="1951"/>
      <c r="X2" s="1951"/>
      <c r="Y2" s="1951"/>
      <c r="Z2" s="1951"/>
      <c r="AA2" s="1951"/>
      <c r="AB2" s="1951"/>
      <c r="AC2" s="1951"/>
      <c r="AD2" s="1951"/>
      <c r="AE2" s="1951"/>
      <c r="AF2" s="1951"/>
      <c r="AG2" s="1951"/>
    </row>
    <row r="3" spans="3:37" ht="12.75" customHeight="1">
      <c r="C3" s="1687"/>
      <c r="U3" s="1688"/>
      <c r="V3" s="1688"/>
      <c r="W3" s="1688"/>
      <c r="X3" s="1688"/>
      <c r="Y3" s="1688"/>
      <c r="Z3" s="1688"/>
      <c r="AA3" s="1688"/>
      <c r="AB3" s="1688"/>
      <c r="AC3" s="1688"/>
      <c r="AD3" s="1688"/>
      <c r="AE3" s="1688"/>
      <c r="AF3" s="1688"/>
      <c r="AG3" s="1688"/>
      <c r="AH3" s="1686"/>
    </row>
    <row r="4" spans="3:37" ht="12.75" customHeight="1">
      <c r="C4" s="1687"/>
      <c r="P4" s="1686"/>
      <c r="T4" s="1686"/>
      <c r="U4" s="1688"/>
      <c r="V4" s="1952" t="s">
        <v>797</v>
      </c>
      <c r="W4" s="1952"/>
      <c r="X4" s="1952"/>
      <c r="Y4" s="1688"/>
      <c r="Z4" s="1952" t="s">
        <v>688</v>
      </c>
      <c r="AA4" s="1952"/>
      <c r="AB4" s="1952"/>
      <c r="AC4" s="1688"/>
      <c r="AD4" s="1952" t="s">
        <v>428</v>
      </c>
      <c r="AE4" s="1952"/>
      <c r="AF4" s="1952"/>
      <c r="AG4" s="1688"/>
      <c r="AH4" s="1686"/>
      <c r="AK4" s="276" t="s">
        <v>1563</v>
      </c>
    </row>
    <row r="5" spans="3:37" ht="12.75" customHeight="1">
      <c r="U5" s="1688"/>
      <c r="V5" s="1688"/>
      <c r="W5" s="1688"/>
      <c r="X5" s="1688"/>
      <c r="Y5" s="1688"/>
      <c r="Z5" s="1688"/>
      <c r="AA5" s="1688"/>
      <c r="AB5" s="1688"/>
      <c r="AC5" s="1688"/>
      <c r="AD5" s="1688"/>
      <c r="AE5" s="1688"/>
      <c r="AF5" s="1688"/>
      <c r="AG5" s="1688"/>
      <c r="AH5" s="1686"/>
    </row>
    <row r="6" spans="3:37" ht="12.75" customHeight="1">
      <c r="U6" s="1688"/>
      <c r="V6" s="1688"/>
      <c r="W6" s="1688"/>
      <c r="X6" s="1688"/>
      <c r="Y6" s="1688"/>
      <c r="Z6" s="1688"/>
      <c r="AA6" s="1688"/>
      <c r="AB6" s="1688"/>
      <c r="AC6" s="1688"/>
      <c r="AD6" s="1688"/>
      <c r="AE6" s="1688"/>
      <c r="AF6" s="1688"/>
      <c r="AG6" s="1688"/>
      <c r="AH6" s="1686"/>
    </row>
    <row r="7" spans="3:37" ht="12.75" customHeight="1">
      <c r="U7" s="1688"/>
      <c r="V7" s="1688"/>
      <c r="W7" s="1688"/>
      <c r="X7" s="1688"/>
      <c r="Y7" s="1688"/>
      <c r="Z7" s="1688"/>
      <c r="AA7" s="1688"/>
      <c r="AB7" s="1688"/>
      <c r="AC7" s="1688"/>
      <c r="AD7" s="1688"/>
      <c r="AE7" s="1688"/>
      <c r="AF7" s="1688"/>
      <c r="AG7" s="1688"/>
      <c r="AH7" s="1686"/>
    </row>
    <row r="8" spans="3:37" ht="12.75" customHeight="1">
      <c r="U8" s="1688"/>
      <c r="V8" s="1688"/>
      <c r="W8" s="1688"/>
      <c r="X8" s="1688"/>
      <c r="Y8" s="1688"/>
      <c r="Z8" s="1688"/>
      <c r="AA8" s="1688"/>
      <c r="AB8" s="1688"/>
      <c r="AC8" s="1688"/>
      <c r="AD8" s="1688"/>
      <c r="AE8" s="1688"/>
      <c r="AF8" s="1688"/>
      <c r="AG8" s="1688"/>
      <c r="AH8" s="1686"/>
    </row>
    <row r="9" spans="3:37" ht="12.75" customHeight="1">
      <c r="U9" s="1688"/>
      <c r="V9" s="1688"/>
      <c r="W9" s="1688"/>
      <c r="X9" s="1688"/>
      <c r="Y9" s="1688"/>
      <c r="Z9" s="1688"/>
      <c r="AA9" s="1688"/>
      <c r="AB9" s="1688"/>
      <c r="AC9" s="1688"/>
      <c r="AD9" s="1688"/>
      <c r="AE9" s="1688"/>
      <c r="AF9" s="1688"/>
      <c r="AG9" s="1688"/>
      <c r="AH9" s="1686"/>
    </row>
    <row r="10" spans="3:37" ht="12.75" customHeight="1">
      <c r="U10" s="1688"/>
      <c r="V10" s="1688"/>
      <c r="W10" s="1688"/>
      <c r="X10" s="1688"/>
      <c r="Y10" s="1688"/>
      <c r="Z10" s="1688"/>
      <c r="AA10" s="1688"/>
      <c r="AB10" s="1688"/>
      <c r="AC10" s="1688"/>
      <c r="AD10" s="1688"/>
      <c r="AE10" s="1688"/>
      <c r="AF10" s="1688"/>
      <c r="AG10" s="1688"/>
      <c r="AH10" s="1686"/>
    </row>
    <row r="11" spans="3:37" ht="12.75" customHeight="1">
      <c r="U11" s="1688"/>
      <c r="V11" s="1688"/>
      <c r="W11" s="1688"/>
      <c r="X11" s="1688"/>
      <c r="Y11" s="1688"/>
      <c r="Z11" s="1688"/>
      <c r="AA11" s="1688"/>
      <c r="AB11" s="1688"/>
      <c r="AC11" s="1688"/>
      <c r="AD11" s="1688"/>
      <c r="AE11" s="1688"/>
      <c r="AF11" s="1688"/>
      <c r="AG11" s="1688"/>
      <c r="AH11" s="1686"/>
    </row>
    <row r="12" spans="3:37" ht="12.75" customHeight="1">
      <c r="U12" s="1688"/>
      <c r="V12" s="1688"/>
      <c r="W12" s="1688"/>
      <c r="X12" s="1688"/>
      <c r="Y12" s="1688"/>
      <c r="Z12" s="1688"/>
      <c r="AA12" s="1688"/>
      <c r="AB12" s="1688"/>
      <c r="AC12" s="1688"/>
      <c r="AD12" s="1688"/>
      <c r="AE12" s="1688"/>
      <c r="AF12" s="1688"/>
      <c r="AG12" s="1688"/>
      <c r="AH12" s="1686"/>
    </row>
    <row r="13" spans="3:37" ht="12.75" customHeight="1">
      <c r="U13" s="1688"/>
      <c r="V13" s="1688"/>
      <c r="W13" s="1688"/>
      <c r="X13" s="1688"/>
      <c r="Y13" s="1688"/>
      <c r="Z13" s="1688"/>
      <c r="AA13" s="1688"/>
      <c r="AB13" s="1688"/>
      <c r="AC13" s="1688"/>
      <c r="AD13" s="1688"/>
      <c r="AE13" s="1688"/>
      <c r="AF13" s="1688"/>
      <c r="AG13" s="1688"/>
      <c r="AH13" s="1686"/>
    </row>
    <row r="14" spans="3:37" ht="12.75" customHeight="1">
      <c r="P14" s="1686"/>
      <c r="T14" s="1686"/>
      <c r="U14" s="1688"/>
      <c r="V14" s="1688"/>
      <c r="W14" s="1688"/>
      <c r="X14" s="1688"/>
      <c r="Y14" s="1688"/>
      <c r="Z14" s="1688"/>
      <c r="AA14" s="1688"/>
      <c r="AB14" s="1688"/>
      <c r="AC14" s="1688"/>
      <c r="AD14" s="1688"/>
      <c r="AE14" s="1688"/>
      <c r="AF14" s="1688"/>
      <c r="AG14" s="1688"/>
      <c r="AH14" s="1686"/>
    </row>
    <row r="15" spans="3:37" ht="12.75" customHeight="1">
      <c r="P15" s="1686"/>
      <c r="T15" s="1686"/>
      <c r="U15" s="1688"/>
      <c r="V15" s="1688"/>
      <c r="W15" s="1688"/>
      <c r="X15" s="1688"/>
      <c r="Y15" s="1688"/>
      <c r="Z15" s="1688"/>
      <c r="AA15" s="1688"/>
      <c r="AB15" s="1688"/>
      <c r="AC15" s="1688"/>
      <c r="AD15" s="1688"/>
      <c r="AE15" s="1688"/>
      <c r="AF15" s="1688"/>
      <c r="AG15" s="1688"/>
      <c r="AH15" s="1686"/>
    </row>
    <row r="16" spans="3:37" ht="12.75" customHeight="1">
      <c r="P16" s="1686"/>
      <c r="T16" s="1686"/>
      <c r="U16" s="1688"/>
      <c r="V16" s="1688"/>
      <c r="W16" s="1688"/>
      <c r="X16" s="1688"/>
      <c r="Y16" s="1688"/>
      <c r="Z16" s="1688"/>
      <c r="AA16" s="1688"/>
      <c r="AB16" s="1688"/>
      <c r="AC16" s="1688"/>
      <c r="AD16" s="1688"/>
      <c r="AE16" s="1688"/>
      <c r="AF16" s="1688"/>
      <c r="AG16" s="1688"/>
      <c r="AH16" s="1686"/>
    </row>
    <row r="17" spans="2:35" ht="12.75" customHeight="1">
      <c r="P17" s="1686"/>
      <c r="T17" s="1686"/>
      <c r="U17" s="1688"/>
      <c r="V17" s="1688"/>
      <c r="W17" s="1688"/>
      <c r="X17" s="1688"/>
      <c r="Y17" s="1688"/>
      <c r="Z17" s="1688"/>
      <c r="AA17" s="1688"/>
      <c r="AB17" s="1688"/>
      <c r="AC17" s="1688"/>
      <c r="AD17" s="1688"/>
      <c r="AE17" s="1688"/>
      <c r="AF17" s="1688"/>
      <c r="AG17" s="1688"/>
      <c r="AH17" s="1686"/>
    </row>
    <row r="18" spans="2:35" ht="12.75" customHeight="1">
      <c r="P18" s="1686"/>
      <c r="T18" s="1686"/>
      <c r="U18" s="1688"/>
      <c r="V18" s="1688"/>
      <c r="W18" s="1688"/>
      <c r="X18" s="1688"/>
      <c r="Y18" s="1688"/>
      <c r="Z18" s="1688"/>
      <c r="AA18" s="1688"/>
      <c r="AB18" s="1688"/>
      <c r="AC18" s="1688"/>
      <c r="AD18" s="1688"/>
      <c r="AE18" s="1688"/>
      <c r="AF18" s="1688"/>
      <c r="AG18" s="1688"/>
      <c r="AH18" s="1686"/>
    </row>
    <row r="19" spans="2:35" ht="12.75" customHeight="1">
      <c r="P19" s="1686"/>
      <c r="T19" s="1686"/>
      <c r="U19" s="1688"/>
      <c r="V19" s="1688"/>
      <c r="W19" s="1688"/>
      <c r="X19" s="1688"/>
      <c r="Y19" s="1688"/>
      <c r="Z19" s="1688"/>
      <c r="AA19" s="1688"/>
      <c r="AB19" s="1688"/>
      <c r="AC19" s="1688"/>
      <c r="AD19" s="1688"/>
      <c r="AE19" s="1688"/>
      <c r="AF19" s="1688"/>
      <c r="AG19" s="1688"/>
      <c r="AH19" s="1686"/>
    </row>
    <row r="20" spans="2:35" ht="12.75" customHeight="1">
      <c r="P20" s="1686"/>
      <c r="T20" s="1686"/>
      <c r="U20" s="1688"/>
      <c r="V20" s="1688"/>
      <c r="W20" s="1688"/>
      <c r="X20" s="1688"/>
      <c r="Y20" s="1688"/>
      <c r="Z20" s="1688"/>
      <c r="AA20" s="1688"/>
      <c r="AB20" s="1688"/>
      <c r="AC20" s="1688"/>
      <c r="AD20" s="1688"/>
      <c r="AE20" s="1688"/>
      <c r="AF20" s="1688"/>
      <c r="AG20" s="1688"/>
      <c r="AH20" s="1686"/>
    </row>
    <row r="21" spans="2:35" ht="12.75" customHeight="1">
      <c r="P21" s="1686"/>
      <c r="T21" s="1686"/>
      <c r="U21" s="1688"/>
      <c r="V21" s="1688"/>
      <c r="W21" s="1688"/>
      <c r="X21" s="1688"/>
      <c r="Y21" s="1688"/>
      <c r="Z21" s="1688"/>
      <c r="AA21" s="1688"/>
      <c r="AB21" s="1688"/>
      <c r="AC21" s="1688"/>
      <c r="AD21" s="1688"/>
      <c r="AE21" s="1688"/>
      <c r="AF21" s="1688"/>
      <c r="AG21" s="1688"/>
      <c r="AH21" s="1686"/>
    </row>
    <row r="22" spans="2:35" ht="12.75" customHeight="1">
      <c r="P22" s="1686"/>
      <c r="T22" s="1686"/>
      <c r="U22" s="1688"/>
      <c r="V22" s="1688"/>
      <c r="W22" s="1688"/>
      <c r="X22" s="1688"/>
      <c r="Y22" s="1688"/>
      <c r="Z22" s="1688"/>
      <c r="AA22" s="1688"/>
      <c r="AB22" s="1688"/>
      <c r="AC22" s="1688"/>
      <c r="AD22" s="1688"/>
      <c r="AE22" s="1688"/>
      <c r="AF22" s="1688"/>
      <c r="AG22" s="1688"/>
      <c r="AH22" s="1686"/>
    </row>
    <row r="23" spans="2:35" ht="12.75" customHeight="1">
      <c r="P23" s="1686"/>
      <c r="T23" s="1686"/>
      <c r="U23" s="1688"/>
      <c r="V23" s="1688"/>
      <c r="W23" s="1688"/>
      <c r="X23" s="1688"/>
      <c r="Y23" s="1688"/>
      <c r="Z23" s="1688"/>
      <c r="AA23" s="1688"/>
      <c r="AB23" s="1688"/>
      <c r="AC23" s="1688"/>
      <c r="AD23" s="1688"/>
      <c r="AE23" s="1688"/>
      <c r="AF23" s="1688"/>
      <c r="AG23" s="1688"/>
      <c r="AH23" s="1686"/>
    </row>
    <row r="24" spans="2:35" ht="12.75" customHeight="1">
      <c r="P24" s="1686"/>
      <c r="T24" s="1686"/>
      <c r="U24" s="1688"/>
      <c r="V24" s="1688"/>
      <c r="W24" s="1688"/>
      <c r="X24" s="1688"/>
      <c r="Y24" s="1688"/>
      <c r="Z24" s="1688"/>
      <c r="AA24" s="1688"/>
      <c r="AB24" s="1688"/>
      <c r="AC24" s="1688"/>
      <c r="AD24" s="1688"/>
      <c r="AE24" s="1688"/>
      <c r="AF24" s="1688"/>
      <c r="AG24" s="1688"/>
      <c r="AH24" s="1686"/>
    </row>
    <row r="25" spans="2:35" ht="12.75" customHeight="1">
      <c r="P25" s="1686"/>
      <c r="T25" s="1686"/>
      <c r="U25" s="1688"/>
      <c r="V25" s="1688"/>
      <c r="W25" s="1688"/>
      <c r="X25" s="1688"/>
      <c r="Y25" s="1688"/>
      <c r="Z25" s="1688"/>
      <c r="AA25" s="1688"/>
      <c r="AB25" s="1688"/>
      <c r="AC25" s="1688"/>
      <c r="AD25" s="1688"/>
      <c r="AE25" s="1688"/>
      <c r="AF25" s="1688"/>
      <c r="AG25" s="1688"/>
      <c r="AH25" s="1686"/>
    </row>
    <row r="26" spans="2:35" ht="12.75" customHeight="1">
      <c r="P26" s="1686"/>
      <c r="T26" s="1686"/>
      <c r="U26" s="1688"/>
      <c r="V26" s="1688"/>
      <c r="W26" s="1688"/>
      <c r="X26" s="1688"/>
      <c r="Y26" s="1688"/>
      <c r="Z26" s="1688"/>
      <c r="AA26" s="1688"/>
      <c r="AB26" s="1688"/>
      <c r="AC26" s="1688"/>
      <c r="AD26" s="1688"/>
      <c r="AE26" s="1688"/>
      <c r="AF26" s="1688"/>
      <c r="AG26" s="1688"/>
      <c r="AH26" s="1686"/>
    </row>
    <row r="27" spans="2:35" ht="12.75" customHeight="1">
      <c r="P27" s="1686"/>
      <c r="T27" s="1686"/>
      <c r="U27" s="1688"/>
      <c r="V27" s="1688"/>
      <c r="W27" s="1688"/>
      <c r="X27" s="1688"/>
      <c r="Y27" s="1688"/>
      <c r="Z27" s="1688"/>
      <c r="AA27" s="1688"/>
      <c r="AB27" s="1688"/>
      <c r="AC27" s="1688"/>
      <c r="AD27" s="1688"/>
      <c r="AE27" s="1688"/>
      <c r="AF27" s="1688"/>
      <c r="AG27" s="1688"/>
      <c r="AH27" s="1686"/>
    </row>
    <row r="28" spans="2:35" ht="12.75" customHeight="1">
      <c r="P28" s="1686"/>
      <c r="T28" s="1686"/>
      <c r="U28" s="1688"/>
      <c r="V28" s="1688"/>
      <c r="W28" s="1688"/>
      <c r="X28" s="1688"/>
      <c r="Y28" s="1688"/>
      <c r="Z28" s="1688"/>
      <c r="AA28" s="1688"/>
      <c r="AB28" s="1688"/>
      <c r="AC28" s="1688"/>
      <c r="AD28" s="1688"/>
      <c r="AE28" s="1688"/>
      <c r="AF28" s="1688"/>
      <c r="AG28" s="1688"/>
      <c r="AH28" s="1689"/>
    </row>
    <row r="29" spans="2:35">
      <c r="P29" s="1686"/>
      <c r="T29" s="1686"/>
      <c r="U29" s="1688"/>
      <c r="V29" s="1688"/>
      <c r="W29" s="1688"/>
      <c r="X29" s="1688"/>
      <c r="Y29" s="1688"/>
      <c r="Z29" s="1688"/>
      <c r="AA29" s="1688"/>
      <c r="AB29" s="1688"/>
      <c r="AC29" s="1688"/>
      <c r="AD29" s="1688"/>
      <c r="AE29" s="1688"/>
      <c r="AF29" s="1688"/>
      <c r="AG29" s="1688"/>
      <c r="AH29" s="1686"/>
    </row>
    <row r="30" spans="2:35" ht="12.75" customHeight="1">
      <c r="P30" s="1686"/>
      <c r="T30" s="1686"/>
      <c r="U30" s="1688"/>
      <c r="V30" s="1688"/>
      <c r="W30" s="1688"/>
      <c r="X30" s="1688"/>
      <c r="Y30" s="1688"/>
      <c r="Z30" s="1688"/>
      <c r="AA30" s="1688"/>
      <c r="AB30" s="1688"/>
      <c r="AC30" s="1688"/>
      <c r="AD30" s="1688"/>
      <c r="AE30" s="1688"/>
      <c r="AF30" s="1688"/>
      <c r="AG30" s="1688"/>
      <c r="AH30" s="1686"/>
    </row>
    <row r="31" spans="2:35" ht="12.75" customHeight="1">
      <c r="B31" s="1386"/>
      <c r="P31" s="1686"/>
      <c r="T31" s="1686"/>
      <c r="U31" s="1688"/>
      <c r="V31" s="1692"/>
      <c r="W31" s="1692"/>
      <c r="X31" s="1692"/>
      <c r="Y31" s="1688"/>
      <c r="Z31" s="1688"/>
      <c r="AA31" s="1688"/>
      <c r="AB31" s="1688"/>
      <c r="AC31" s="1688"/>
      <c r="AD31" s="1688"/>
      <c r="AE31" s="1688"/>
      <c r="AF31" s="1688"/>
      <c r="AG31" s="1688"/>
      <c r="AH31" s="1686"/>
      <c r="AI31" s="1690"/>
    </row>
    <row r="32" spans="2:35" ht="12.75" customHeight="1">
      <c r="B32" s="1386"/>
      <c r="P32" s="1686"/>
      <c r="T32" s="1686"/>
      <c r="U32" s="1688"/>
      <c r="V32" s="1688"/>
      <c r="W32" s="1688"/>
      <c r="X32" s="1688"/>
      <c r="Y32" s="1688"/>
      <c r="Z32" s="1688"/>
      <c r="AA32" s="1688"/>
      <c r="AB32" s="1688"/>
      <c r="AC32" s="1688"/>
      <c r="AD32" s="1688"/>
      <c r="AE32" s="1688"/>
      <c r="AF32" s="1688"/>
      <c r="AG32" s="1688"/>
      <c r="AH32" s="1686"/>
      <c r="AI32" s="1691"/>
    </row>
    <row r="33" spans="1:34" ht="12.75" customHeight="1">
      <c r="B33" s="1386"/>
      <c r="P33" s="1686"/>
      <c r="T33" s="1686"/>
      <c r="U33" s="1688"/>
      <c r="V33" s="1688"/>
      <c r="W33" s="1688"/>
      <c r="X33" s="1688"/>
      <c r="Y33" s="1688"/>
      <c r="Z33" s="1688"/>
      <c r="AA33" s="1688"/>
      <c r="AB33" s="1688"/>
      <c r="AC33" s="1794"/>
      <c r="AD33" s="1794" t="s">
        <v>572</v>
      </c>
      <c r="AE33" s="1949" t="s">
        <v>237</v>
      </c>
      <c r="AF33" s="1949"/>
      <c r="AG33" s="1949"/>
      <c r="AH33" s="1686"/>
    </row>
    <row r="34" spans="1:34" ht="12.75" customHeight="1">
      <c r="B34" s="1386"/>
      <c r="U34" s="1694"/>
      <c r="V34" s="1695"/>
      <c r="AE34" s="1948">
        <v>41764</v>
      </c>
      <c r="AF34" s="1948"/>
      <c r="AG34" s="1948"/>
      <c r="AH34" s="1686"/>
    </row>
    <row r="35" spans="1:34" ht="12.75" customHeight="1">
      <c r="A35" s="1686"/>
      <c r="B35" s="1386"/>
      <c r="U35" s="1694"/>
      <c r="V35" s="1695"/>
      <c r="AE35" s="1950" t="s">
        <v>2564</v>
      </c>
      <c r="AF35" s="1950"/>
      <c r="AG35" s="1950"/>
      <c r="AH35" s="1686"/>
    </row>
    <row r="36" spans="1:34" ht="13">
      <c r="A36" s="1686"/>
      <c r="B36" s="1386"/>
    </row>
    <row r="37" spans="1:34" ht="13.5">
      <c r="B37" s="1693"/>
    </row>
    <row r="38" spans="1:34" ht="13.5">
      <c r="H38" s="1696"/>
    </row>
    <row r="48" spans="1:34">
      <c r="X48" s="1701"/>
      <c r="Y48" s="1701"/>
      <c r="Z48" s="1701"/>
      <c r="AA48" s="1701"/>
      <c r="AB48" s="1701"/>
      <c r="AC48" s="1701"/>
      <c r="AD48" s="1701"/>
      <c r="AE48" s="1701"/>
      <c r="AF48" s="1701"/>
      <c r="AG48" s="1701"/>
    </row>
    <row r="49" spans="3:39">
      <c r="X49" s="1701"/>
      <c r="Y49" s="1701"/>
      <c r="Z49" s="1701"/>
      <c r="AA49" s="1701"/>
      <c r="AB49" s="1701"/>
      <c r="AC49" s="1701"/>
      <c r="AD49" s="1701"/>
      <c r="AE49" s="1701"/>
      <c r="AF49" s="1701"/>
      <c r="AG49" s="1701"/>
    </row>
    <row r="50" spans="3:39">
      <c r="X50" s="1701"/>
      <c r="Y50" s="1701"/>
      <c r="Z50" s="1701"/>
      <c r="AA50" s="1701"/>
      <c r="AB50" s="1701"/>
      <c r="AC50" s="1701"/>
      <c r="AD50" s="1701"/>
      <c r="AE50" s="1701"/>
      <c r="AF50" s="1701"/>
      <c r="AG50" s="1701"/>
    </row>
    <row r="51" spans="3:39">
      <c r="X51" s="1701"/>
      <c r="Y51" s="1701"/>
      <c r="Z51" s="1701"/>
      <c r="AA51" s="1701"/>
      <c r="AB51" s="1701"/>
      <c r="AC51" s="1701"/>
      <c r="AD51" s="1701"/>
      <c r="AE51" s="1701"/>
      <c r="AF51" s="1701"/>
      <c r="AG51" s="1701"/>
    </row>
    <row r="54" spans="3:39">
      <c r="C54" s="1687"/>
      <c r="D54" s="1687"/>
      <c r="E54" s="1687"/>
      <c r="F54" s="1687"/>
      <c r="G54" s="1687"/>
      <c r="H54" s="1687"/>
      <c r="I54" s="1697"/>
      <c r="J54" s="1697"/>
      <c r="K54" s="1698"/>
      <c r="L54" s="1686"/>
      <c r="M54" s="1686"/>
      <c r="N54" s="1686"/>
      <c r="P54" s="1699" t="s">
        <v>2344</v>
      </c>
      <c r="T54" s="1700" t="s">
        <v>2345</v>
      </c>
      <c r="AM54" s="1701"/>
    </row>
    <row r="55" spans="3:39">
      <c r="C55" s="1687"/>
      <c r="D55" s="1687"/>
      <c r="E55" s="1687"/>
      <c r="F55" s="1687"/>
      <c r="G55" s="1697"/>
      <c r="H55" s="1697"/>
      <c r="I55" s="1697"/>
      <c r="J55" s="1697"/>
      <c r="K55" s="1698"/>
      <c r="L55" s="1698"/>
      <c r="M55" s="1686"/>
      <c r="N55" s="1686"/>
      <c r="P55" s="1699" t="s">
        <v>2346</v>
      </c>
      <c r="T55" s="1700" t="s">
        <v>2347</v>
      </c>
      <c r="AM55" s="1701"/>
    </row>
    <row r="56" spans="3:39">
      <c r="C56" s="1687"/>
      <c r="D56" s="1687"/>
      <c r="E56" s="1687"/>
      <c r="F56" s="1697"/>
      <c r="G56" s="1697"/>
      <c r="H56" s="1697"/>
      <c r="I56" s="1697"/>
      <c r="J56" s="1697"/>
      <c r="K56" s="1698"/>
      <c r="L56" s="1698"/>
      <c r="M56" s="1698"/>
      <c r="N56" s="1698"/>
      <c r="P56" s="1699" t="s">
        <v>2348</v>
      </c>
      <c r="T56" s="1700" t="s">
        <v>2349</v>
      </c>
      <c r="AM56" s="1701"/>
    </row>
    <row r="57" spans="3:39">
      <c r="C57" s="1687"/>
      <c r="D57" s="1687"/>
      <c r="E57" s="1702"/>
      <c r="F57" s="1702"/>
      <c r="G57" s="1702"/>
      <c r="H57" s="1702"/>
      <c r="I57" s="1702"/>
      <c r="J57" s="1703"/>
      <c r="K57" s="1704"/>
      <c r="L57" s="1705"/>
      <c r="M57" s="1686"/>
      <c r="N57" s="1686"/>
      <c r="O57" s="1686"/>
      <c r="P57" s="1699" t="s">
        <v>2447</v>
      </c>
      <c r="T57" s="1700" t="s">
        <v>2448</v>
      </c>
      <c r="AM57" s="1701"/>
    </row>
    <row r="58" spans="3:39">
      <c r="C58" s="1687"/>
      <c r="D58" s="1702"/>
      <c r="E58" s="1702"/>
      <c r="F58" s="1703"/>
      <c r="G58" s="1702"/>
      <c r="H58" s="1703"/>
      <c r="I58" s="1703"/>
      <c r="J58" s="1703"/>
      <c r="K58" s="1704"/>
      <c r="L58" s="1705"/>
      <c r="M58" s="1705"/>
      <c r="N58" s="1686"/>
      <c r="O58" s="1686"/>
      <c r="P58" s="1699" t="s">
        <v>2446</v>
      </c>
      <c r="T58" s="1700" t="s">
        <v>2449</v>
      </c>
    </row>
    <row r="59" spans="3:39">
      <c r="C59" s="1687"/>
      <c r="D59" s="1702"/>
      <c r="E59" s="1702"/>
      <c r="F59" s="1703"/>
      <c r="G59" s="1702"/>
      <c r="H59" s="1702"/>
      <c r="I59" s="1702"/>
      <c r="J59" s="1703"/>
      <c r="K59" s="1705"/>
      <c r="L59" s="1704"/>
      <c r="M59" s="1705"/>
      <c r="N59" s="1705"/>
      <c r="O59" s="1686"/>
      <c r="P59" s="1699" t="s">
        <v>2456</v>
      </c>
      <c r="T59" s="1700" t="s">
        <v>2457</v>
      </c>
    </row>
    <row r="60" spans="3:39">
      <c r="C60" s="1687"/>
      <c r="D60" s="1702"/>
      <c r="E60" s="1702"/>
      <c r="F60" s="1702"/>
      <c r="G60" s="1703"/>
      <c r="H60" s="1703"/>
      <c r="I60" s="1703"/>
      <c r="J60" s="1703"/>
      <c r="K60" s="1704"/>
      <c r="L60" s="1704"/>
      <c r="M60" s="1704"/>
      <c r="N60" s="1704"/>
      <c r="O60" s="1686"/>
      <c r="P60" s="1699" t="s">
        <v>2565</v>
      </c>
      <c r="T60" s="1700" t="s">
        <v>2566</v>
      </c>
    </row>
    <row r="61" spans="3:39">
      <c r="C61" s="1687"/>
      <c r="D61" s="1687"/>
      <c r="E61" s="1687"/>
      <c r="F61" s="1703"/>
      <c r="G61" s="1703"/>
      <c r="H61" s="1703"/>
      <c r="I61" s="1703"/>
      <c r="J61" s="1703"/>
      <c r="K61" s="1705"/>
      <c r="L61" s="1705"/>
      <c r="M61" s="1705"/>
      <c r="N61" s="1686"/>
      <c r="O61" s="1686"/>
    </row>
    <row r="62" spans="3:39">
      <c r="C62" s="1687"/>
      <c r="D62" s="1687"/>
      <c r="E62" s="1687"/>
      <c r="F62" s="1702"/>
      <c r="G62" s="1702"/>
      <c r="H62" s="1697"/>
      <c r="I62" s="1702"/>
      <c r="J62" s="1702"/>
      <c r="K62" s="1704"/>
      <c r="L62" s="1704"/>
      <c r="M62" s="1704"/>
      <c r="N62" s="1686"/>
      <c r="O62" s="1686"/>
    </row>
    <row r="63" spans="3:39">
      <c r="C63" s="1687"/>
      <c r="D63" s="1687"/>
      <c r="E63" s="1702"/>
      <c r="F63" s="1702"/>
      <c r="G63" s="1702"/>
      <c r="H63" s="1697"/>
      <c r="I63" s="1702"/>
      <c r="J63" s="1702"/>
      <c r="K63" s="1698"/>
      <c r="L63" s="1704"/>
      <c r="M63" s="1686"/>
      <c r="N63" s="1686"/>
      <c r="O63" s="1686"/>
    </row>
    <row r="64" spans="3:39">
      <c r="C64" s="1687"/>
      <c r="D64" s="1702"/>
      <c r="E64" s="1702"/>
      <c r="F64" s="1702"/>
      <c r="G64" s="1702"/>
      <c r="H64" s="1697"/>
      <c r="I64" s="1702"/>
      <c r="J64" s="1702"/>
      <c r="K64" s="1698"/>
      <c r="L64" s="1704"/>
      <c r="M64" s="1704"/>
      <c r="N64" s="1704"/>
      <c r="O64" s="1686"/>
    </row>
    <row r="65" spans="3:15">
      <c r="C65" s="1702"/>
      <c r="D65" s="1702"/>
      <c r="E65" s="1702"/>
      <c r="F65" s="1702"/>
      <c r="G65" s="1702"/>
      <c r="H65" s="1697"/>
      <c r="I65" s="1697"/>
      <c r="J65" s="1697"/>
      <c r="K65" s="1698"/>
      <c r="L65" s="1704"/>
      <c r="M65" s="1704"/>
      <c r="N65" s="1704"/>
      <c r="O65" s="1704"/>
    </row>
    <row r="66" spans="3:15">
      <c r="C66" s="1703"/>
      <c r="D66" s="1703"/>
      <c r="E66" s="1703"/>
      <c r="F66" s="1702"/>
      <c r="G66" s="1697"/>
      <c r="H66" s="1697"/>
      <c r="I66" s="1697"/>
      <c r="J66" s="1697"/>
      <c r="K66" s="1698"/>
      <c r="L66" s="1698"/>
      <c r="M66" s="1704"/>
      <c r="N66" s="1705"/>
      <c r="O66" s="1705"/>
    </row>
    <row r="67" spans="3:15">
      <c r="C67" s="1703"/>
      <c r="D67" s="1703"/>
      <c r="E67" s="1703"/>
      <c r="F67" s="1703"/>
      <c r="G67" s="1697"/>
      <c r="H67" s="1687"/>
      <c r="I67" s="1697"/>
      <c r="J67" s="1697"/>
      <c r="K67" s="1686"/>
      <c r="L67" s="1698"/>
      <c r="M67" s="1705"/>
      <c r="N67" s="1705"/>
      <c r="O67" s="1705"/>
    </row>
    <row r="68" spans="3:15">
      <c r="C68" s="1703"/>
      <c r="D68" s="1703"/>
      <c r="E68" s="1703"/>
      <c r="F68" s="1697"/>
      <c r="G68" s="1697"/>
      <c r="H68" s="1697"/>
      <c r="I68" s="1697"/>
      <c r="J68" s="1697"/>
      <c r="K68" s="1698"/>
      <c r="L68" s="1698"/>
      <c r="M68" s="1698"/>
      <c r="N68" s="1705"/>
      <c r="O68" s="1705"/>
    </row>
    <row r="69" spans="3:15">
      <c r="C69" s="1687"/>
      <c r="D69" s="1687"/>
      <c r="E69" s="1697"/>
      <c r="F69" s="1697"/>
      <c r="G69" s="1697"/>
      <c r="H69" s="1697"/>
      <c r="I69" s="1687"/>
      <c r="J69" s="1697"/>
      <c r="K69" s="1698"/>
      <c r="L69" s="1698"/>
      <c r="M69" s="1698"/>
      <c r="N69" s="1686"/>
      <c r="O69" s="1686"/>
    </row>
    <row r="70" spans="3:15">
      <c r="C70" s="1687"/>
      <c r="D70" s="1702"/>
      <c r="E70" s="1702"/>
      <c r="F70" s="1702"/>
      <c r="G70" s="1702"/>
      <c r="H70" s="1687"/>
      <c r="I70" s="1687"/>
      <c r="J70" s="1687"/>
      <c r="K70" s="1704"/>
      <c r="L70" s="1704"/>
      <c r="M70" s="1704"/>
      <c r="N70" s="1704"/>
      <c r="O70" s="1686"/>
    </row>
    <row r="71" spans="3:15">
      <c r="C71" s="1702"/>
      <c r="D71" s="1702"/>
      <c r="E71" s="1702"/>
      <c r="F71" s="1702"/>
      <c r="G71" s="1702"/>
      <c r="H71" s="1687"/>
      <c r="I71" s="1687"/>
      <c r="J71" s="1687"/>
      <c r="K71" s="1704"/>
      <c r="L71" s="1704"/>
      <c r="M71" s="1704"/>
      <c r="N71" s="1704"/>
      <c r="O71" s="1704"/>
    </row>
  </sheetData>
  <sheetProtection password="DFE4" sheet="1" objects="1" scenarios="1" formatColumns="0" selectLockedCells="1" selectUnlockedCells="1"/>
  <mergeCells count="7">
    <mergeCell ref="AE34:AG34"/>
    <mergeCell ref="AE33:AG33"/>
    <mergeCell ref="AE35:AG35"/>
    <mergeCell ref="U2:AG2"/>
    <mergeCell ref="V4:X4"/>
    <mergeCell ref="Z4:AB4"/>
    <mergeCell ref="AD4:AF4"/>
  </mergeCells>
  <phoneticPr fontId="4" type="noConversion"/>
  <pageMargins left="0.25" right="0.25" top="0.75" bottom="0.75" header="0.3" footer="0.3"/>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autoFill="0" autoPict="0" macro="[0]!Gen">
                <anchor moveWithCells="1" sizeWithCells="1">
                  <from>
                    <xdr:col>21</xdr:col>
                    <xdr:colOff>12700</xdr:colOff>
                    <xdr:row>5</xdr:row>
                    <xdr:rowOff>12700</xdr:rowOff>
                  </from>
                  <to>
                    <xdr:col>24</xdr:col>
                    <xdr:colOff>12700</xdr:colOff>
                    <xdr:row>7</xdr:row>
                    <xdr:rowOff>0</xdr:rowOff>
                  </to>
                </anchor>
              </controlPr>
            </control>
          </mc:Choice>
        </mc:AlternateContent>
        <mc:AlternateContent xmlns:mc="http://schemas.openxmlformats.org/markup-compatibility/2006">
          <mc:Choice Requires="x14">
            <control shapeId="19460" r:id="rId5" name="Button 4">
              <controlPr defaultSize="0" autoFill="0" autoPict="0" macro="[0]!psychart">
                <anchor moveWithCells="1" sizeWithCells="1">
                  <from>
                    <xdr:col>21</xdr:col>
                    <xdr:colOff>12700</xdr:colOff>
                    <xdr:row>14</xdr:row>
                    <xdr:rowOff>12700</xdr:rowOff>
                  </from>
                  <to>
                    <xdr:col>24</xdr:col>
                    <xdr:colOff>12700</xdr:colOff>
                    <xdr:row>16</xdr:row>
                    <xdr:rowOff>0</xdr:rowOff>
                  </to>
                </anchor>
              </controlPr>
            </control>
          </mc:Choice>
        </mc:AlternateContent>
        <mc:AlternateContent xmlns:mc="http://schemas.openxmlformats.org/markup-compatibility/2006">
          <mc:Choice Requires="x14">
            <control shapeId="19461" r:id="rId6" name="Button 5">
              <controlPr defaultSize="0" autoFill="0" autoPict="0" macro="[0]!chws">
                <anchor moveWithCells="1" sizeWithCells="1">
                  <from>
                    <xdr:col>21</xdr:col>
                    <xdr:colOff>12700</xdr:colOff>
                    <xdr:row>17</xdr:row>
                    <xdr:rowOff>12700</xdr:rowOff>
                  </from>
                  <to>
                    <xdr:col>24</xdr:col>
                    <xdr:colOff>12700</xdr:colOff>
                    <xdr:row>19</xdr:row>
                    <xdr:rowOff>12700</xdr:rowOff>
                  </to>
                </anchor>
              </controlPr>
            </control>
          </mc:Choice>
        </mc:AlternateContent>
        <mc:AlternateContent xmlns:mc="http://schemas.openxmlformats.org/markup-compatibility/2006">
          <mc:Choice Requires="x14">
            <control shapeId="19462" r:id="rId7" name="Button 6">
              <controlPr defaultSize="0" autoFill="0" autoPict="0" macro="[0]!Motor">
                <anchor moveWithCells="1" sizeWithCells="1">
                  <from>
                    <xdr:col>21</xdr:col>
                    <xdr:colOff>12700</xdr:colOff>
                    <xdr:row>20</xdr:row>
                    <xdr:rowOff>12700</xdr:rowOff>
                  </from>
                  <to>
                    <xdr:col>24</xdr:col>
                    <xdr:colOff>12700</xdr:colOff>
                    <xdr:row>22</xdr:row>
                    <xdr:rowOff>0</xdr:rowOff>
                  </to>
                </anchor>
              </controlPr>
            </control>
          </mc:Choice>
        </mc:AlternateContent>
        <mc:AlternateContent xmlns:mc="http://schemas.openxmlformats.org/markup-compatibility/2006">
          <mc:Choice Requires="x14">
            <control shapeId="19463" r:id="rId8" name="Button 7">
              <controlPr defaultSize="0" autoFill="0" autoPict="0" macro="[0]!fcu">
                <anchor moveWithCells="1" sizeWithCells="1">
                  <from>
                    <xdr:col>25</xdr:col>
                    <xdr:colOff>12700</xdr:colOff>
                    <xdr:row>20</xdr:row>
                    <xdr:rowOff>12700</xdr:rowOff>
                  </from>
                  <to>
                    <xdr:col>28</xdr:col>
                    <xdr:colOff>12700</xdr:colOff>
                    <xdr:row>22</xdr:row>
                    <xdr:rowOff>0</xdr:rowOff>
                  </to>
                </anchor>
              </controlPr>
            </control>
          </mc:Choice>
        </mc:AlternateContent>
        <mc:AlternateContent xmlns:mc="http://schemas.openxmlformats.org/markup-compatibility/2006">
          <mc:Choice Requires="x14">
            <control shapeId="19464" r:id="rId9" name="Button 8">
              <controlPr defaultSize="0" autoFill="0" autoPict="0" macro="[0]!insul">
                <anchor moveWithCells="1" sizeWithCells="1">
                  <from>
                    <xdr:col>25</xdr:col>
                    <xdr:colOff>0</xdr:colOff>
                    <xdr:row>26</xdr:row>
                    <xdr:rowOff>12700</xdr:rowOff>
                  </from>
                  <to>
                    <xdr:col>28</xdr:col>
                    <xdr:colOff>0</xdr:colOff>
                    <xdr:row>28</xdr:row>
                    <xdr:rowOff>12700</xdr:rowOff>
                  </to>
                </anchor>
              </controlPr>
            </control>
          </mc:Choice>
        </mc:AlternateContent>
        <mc:AlternateContent xmlns:mc="http://schemas.openxmlformats.org/markup-compatibility/2006">
          <mc:Choice Requires="x14">
            <control shapeId="19492" r:id="rId10" name="Button 36">
              <controlPr defaultSize="0" autoFill="0" autoPict="0" macro="[0]!ahu">
                <anchor moveWithCells="1" sizeWithCells="1">
                  <from>
                    <xdr:col>25</xdr:col>
                    <xdr:colOff>12700</xdr:colOff>
                    <xdr:row>14</xdr:row>
                    <xdr:rowOff>12700</xdr:rowOff>
                  </from>
                  <to>
                    <xdr:col>28</xdr:col>
                    <xdr:colOff>12700</xdr:colOff>
                    <xdr:row>16</xdr:row>
                    <xdr:rowOff>12700</xdr:rowOff>
                  </to>
                </anchor>
              </controlPr>
            </control>
          </mc:Choice>
        </mc:AlternateContent>
        <mc:AlternateContent xmlns:mc="http://schemas.openxmlformats.org/markup-compatibility/2006">
          <mc:Choice Requires="x14">
            <control shapeId="19493" r:id="rId11" name="Button 37">
              <controlPr defaultSize="0" autoFill="0" autoPict="0" macro="[0]!acoustics">
                <anchor moveWithCells="1" sizeWithCells="1">
                  <from>
                    <xdr:col>21</xdr:col>
                    <xdr:colOff>12700</xdr:colOff>
                    <xdr:row>23</xdr:row>
                    <xdr:rowOff>12700</xdr:rowOff>
                  </from>
                  <to>
                    <xdr:col>24</xdr:col>
                    <xdr:colOff>12700</xdr:colOff>
                    <xdr:row>25</xdr:row>
                    <xdr:rowOff>12700</xdr:rowOff>
                  </to>
                </anchor>
              </controlPr>
            </control>
          </mc:Choice>
        </mc:AlternateContent>
        <mc:AlternateContent xmlns:mc="http://schemas.openxmlformats.org/markup-compatibility/2006">
          <mc:Choice Requires="x14">
            <control shapeId="19501" r:id="rId12" name="Button 45">
              <controlPr defaultSize="0" autoFill="0" autoPict="0" macro="[0]!FAN_dimen">
                <anchor moveWithCells="1" sizeWithCells="1">
                  <from>
                    <xdr:col>25</xdr:col>
                    <xdr:colOff>12700</xdr:colOff>
                    <xdr:row>17</xdr:row>
                    <xdr:rowOff>12700</xdr:rowOff>
                  </from>
                  <to>
                    <xdr:col>28</xdr:col>
                    <xdr:colOff>12700</xdr:colOff>
                    <xdr:row>19</xdr:row>
                    <xdr:rowOff>12700</xdr:rowOff>
                  </to>
                </anchor>
              </controlPr>
            </control>
          </mc:Choice>
        </mc:AlternateContent>
        <mc:AlternateContent xmlns:mc="http://schemas.openxmlformats.org/markup-compatibility/2006">
          <mc:Choice Requires="x14">
            <control shapeId="19459" r:id="rId13" name="Button 3">
              <controlPr defaultSize="0" autoFill="0" autoPict="0" macro="[0]!Coil">
                <anchor moveWithCells="1" sizeWithCells="1">
                  <from>
                    <xdr:col>21</xdr:col>
                    <xdr:colOff>12700</xdr:colOff>
                    <xdr:row>8</xdr:row>
                    <xdr:rowOff>12700</xdr:rowOff>
                  </from>
                  <to>
                    <xdr:col>24</xdr:col>
                    <xdr:colOff>12700</xdr:colOff>
                    <xdr:row>10</xdr:row>
                    <xdr:rowOff>0</xdr:rowOff>
                  </to>
                </anchor>
              </controlPr>
            </control>
          </mc:Choice>
        </mc:AlternateContent>
        <mc:AlternateContent xmlns:mc="http://schemas.openxmlformats.org/markup-compatibility/2006">
          <mc:Choice Requires="x14">
            <control shapeId="19590" r:id="rId14" name="Button 134">
              <controlPr defaultSize="0" autoFill="0" autoPict="0" macro="[0]!GeneralAC2">
                <anchor moveWithCells="1" sizeWithCells="1">
                  <from>
                    <xdr:col>25</xdr:col>
                    <xdr:colOff>12700</xdr:colOff>
                    <xdr:row>5</xdr:row>
                    <xdr:rowOff>12700</xdr:rowOff>
                  </from>
                  <to>
                    <xdr:col>28</xdr:col>
                    <xdr:colOff>12700</xdr:colOff>
                    <xdr:row>7</xdr:row>
                    <xdr:rowOff>12700</xdr:rowOff>
                  </to>
                </anchor>
              </controlPr>
            </control>
          </mc:Choice>
        </mc:AlternateContent>
        <mc:AlternateContent xmlns:mc="http://schemas.openxmlformats.org/markup-compatibility/2006">
          <mc:Choice Requires="x14">
            <control shapeId="19591" r:id="rId15" name="Button 135">
              <controlPr defaultSize="0" autoFill="0" autoPict="0" macro="[0]!Hx">
                <anchor moveWithCells="1" sizeWithCells="1">
                  <from>
                    <xdr:col>25</xdr:col>
                    <xdr:colOff>12700</xdr:colOff>
                    <xdr:row>11</xdr:row>
                    <xdr:rowOff>12700</xdr:rowOff>
                  </from>
                  <to>
                    <xdr:col>28</xdr:col>
                    <xdr:colOff>12700</xdr:colOff>
                    <xdr:row>13</xdr:row>
                    <xdr:rowOff>12700</xdr:rowOff>
                  </to>
                </anchor>
              </controlPr>
            </control>
          </mc:Choice>
        </mc:AlternateContent>
        <mc:AlternateContent xmlns:mc="http://schemas.openxmlformats.org/markup-compatibility/2006">
          <mc:Choice Requires="x14">
            <control shapeId="19592" r:id="rId16" name="Button 136">
              <controlPr defaultSize="0" autoFill="0" autoPict="0" macro="[0]!NPSH_GO">
                <anchor moveWithCells="1" sizeWithCells="1">
                  <from>
                    <xdr:col>29</xdr:col>
                    <xdr:colOff>12700</xdr:colOff>
                    <xdr:row>8</xdr:row>
                    <xdr:rowOff>12700</xdr:rowOff>
                  </from>
                  <to>
                    <xdr:col>32</xdr:col>
                    <xdr:colOff>12700</xdr:colOff>
                    <xdr:row>10</xdr:row>
                    <xdr:rowOff>12700</xdr:rowOff>
                  </to>
                </anchor>
              </controlPr>
            </control>
          </mc:Choice>
        </mc:AlternateContent>
        <mc:AlternateContent xmlns:mc="http://schemas.openxmlformats.org/markup-compatibility/2006">
          <mc:Choice Requires="x14">
            <control shapeId="19594" r:id="rId17" name="Button 138">
              <controlPr defaultSize="0" autoFill="0" autoPict="0" macro="[0]!Web">
                <anchor moveWithCells="1" sizeWithCells="1">
                  <from>
                    <xdr:col>21</xdr:col>
                    <xdr:colOff>0</xdr:colOff>
                    <xdr:row>29</xdr:row>
                    <xdr:rowOff>76200</xdr:rowOff>
                  </from>
                  <to>
                    <xdr:col>23</xdr:col>
                    <xdr:colOff>222250</xdr:colOff>
                    <xdr:row>31</xdr:row>
                    <xdr:rowOff>76200</xdr:rowOff>
                  </to>
                </anchor>
              </controlPr>
            </control>
          </mc:Choice>
        </mc:AlternateContent>
        <mc:AlternateContent xmlns:mc="http://schemas.openxmlformats.org/markup-compatibility/2006">
          <mc:Choice Requires="x14">
            <control shapeId="19595" r:id="rId18" name="Button 139">
              <controlPr defaultSize="0" autoFill="0" autoPict="0" macro="[0]!Boiler">
                <anchor moveWithCells="1" sizeWithCells="1">
                  <from>
                    <xdr:col>25</xdr:col>
                    <xdr:colOff>12700</xdr:colOff>
                    <xdr:row>8</xdr:row>
                    <xdr:rowOff>12700</xdr:rowOff>
                  </from>
                  <to>
                    <xdr:col>28</xdr:col>
                    <xdr:colOff>12700</xdr:colOff>
                    <xdr:row>10</xdr:row>
                    <xdr:rowOff>0</xdr:rowOff>
                  </to>
                </anchor>
              </controlPr>
            </control>
          </mc:Choice>
        </mc:AlternateContent>
        <mc:AlternateContent xmlns:mc="http://schemas.openxmlformats.org/markup-compatibility/2006">
          <mc:Choice Requires="x14">
            <control shapeId="19597" r:id="rId19" name="Button 141">
              <controlPr defaultSize="0" autoFill="0" autoPict="0" macro="[0]!supplier">
                <anchor moveWithCells="1" sizeWithCells="1">
                  <from>
                    <xdr:col>23</xdr:col>
                    <xdr:colOff>317500</xdr:colOff>
                    <xdr:row>29</xdr:row>
                    <xdr:rowOff>76200</xdr:rowOff>
                  </from>
                  <to>
                    <xdr:col>26</xdr:col>
                    <xdr:colOff>285750</xdr:colOff>
                    <xdr:row>31</xdr:row>
                    <xdr:rowOff>76200</xdr:rowOff>
                  </to>
                </anchor>
              </controlPr>
            </control>
          </mc:Choice>
        </mc:AlternateContent>
        <mc:AlternateContent xmlns:mc="http://schemas.openxmlformats.org/markup-compatibility/2006">
          <mc:Choice Requires="x14">
            <control shapeId="19598" r:id="rId20" name="Button 142">
              <controlPr defaultSize="0" autoFill="0" autoPict="0" macro="[0]!pn_go">
                <anchor moveWithCells="1" sizeWithCells="1">
                  <from>
                    <xdr:col>29</xdr:col>
                    <xdr:colOff>12700</xdr:colOff>
                    <xdr:row>5</xdr:row>
                    <xdr:rowOff>12700</xdr:rowOff>
                  </from>
                  <to>
                    <xdr:col>32</xdr:col>
                    <xdr:colOff>12700</xdr:colOff>
                    <xdr:row>7</xdr:row>
                    <xdr:rowOff>12700</xdr:rowOff>
                  </to>
                </anchor>
              </controlPr>
            </control>
          </mc:Choice>
        </mc:AlternateContent>
        <mc:AlternateContent xmlns:mc="http://schemas.openxmlformats.org/markup-compatibility/2006">
          <mc:Choice Requires="x14">
            <control shapeId="19619" r:id="rId21" name="Button 163">
              <controlPr defaultSize="0" autoFill="0" autoPict="0" macro="[0]!close_">
                <anchor moveWithCells="1" sizeWithCells="1">
                  <from>
                    <xdr:col>30</xdr:col>
                    <xdr:colOff>381000</xdr:colOff>
                    <xdr:row>29</xdr:row>
                    <xdr:rowOff>107950</xdr:rowOff>
                  </from>
                  <to>
                    <xdr:col>32</xdr:col>
                    <xdr:colOff>0</xdr:colOff>
                    <xdr:row>31</xdr:row>
                    <xdr:rowOff>107950</xdr:rowOff>
                  </to>
                </anchor>
              </controlPr>
            </control>
          </mc:Choice>
        </mc:AlternateContent>
        <mc:AlternateContent xmlns:mc="http://schemas.openxmlformats.org/markup-compatibility/2006">
          <mc:Choice Requires="x14">
            <control shapeId="19621" r:id="rId22" name="Button 165">
              <controlPr defaultSize="0" autoFill="0" autoPict="0" macro="[0]!SPF">
                <anchor moveWithCells="1" sizeWithCells="1">
                  <from>
                    <xdr:col>29</xdr:col>
                    <xdr:colOff>12700</xdr:colOff>
                    <xdr:row>11</xdr:row>
                    <xdr:rowOff>12700</xdr:rowOff>
                  </from>
                  <to>
                    <xdr:col>32</xdr:col>
                    <xdr:colOff>12700</xdr:colOff>
                    <xdr:row>13</xdr:row>
                    <xdr:rowOff>12700</xdr:rowOff>
                  </to>
                </anchor>
              </controlPr>
            </control>
          </mc:Choice>
        </mc:AlternateContent>
        <mc:AlternateContent xmlns:mc="http://schemas.openxmlformats.org/markup-compatibility/2006">
          <mc:Choice Requires="x14">
            <control shapeId="19630" r:id="rId23" name="Button 174">
              <controlPr defaultSize="0" autoFill="0" autoPict="0" macro="[0]!Notes" altText="Press me!">
                <anchor moveWithCells="1" sizeWithCells="1">
                  <from>
                    <xdr:col>34</xdr:col>
                    <xdr:colOff>12700</xdr:colOff>
                    <xdr:row>28</xdr:row>
                    <xdr:rowOff>127000</xdr:rowOff>
                  </from>
                  <to>
                    <xdr:col>34</xdr:col>
                    <xdr:colOff>603250</xdr:colOff>
                    <xdr:row>32</xdr:row>
                    <xdr:rowOff>38100</xdr:rowOff>
                  </to>
                </anchor>
              </controlPr>
            </control>
          </mc:Choice>
        </mc:AlternateContent>
        <mc:AlternateContent xmlns:mc="http://schemas.openxmlformats.org/markup-compatibility/2006">
          <mc:Choice Requires="x14">
            <control shapeId="19631" r:id="rId24" name="Button 175">
              <controlPr defaultSize="0" autoFill="0" autoPict="0" macro="[0]!hide_notes">
                <anchor moveWithCells="1" sizeWithCells="1">
                  <from>
                    <xdr:col>1</xdr:col>
                    <xdr:colOff>2438400</xdr:colOff>
                    <xdr:row>28</xdr:row>
                    <xdr:rowOff>50800</xdr:rowOff>
                  </from>
                  <to>
                    <xdr:col>4</xdr:col>
                    <xdr:colOff>107950</xdr:colOff>
                    <xdr:row>31</xdr:row>
                    <xdr:rowOff>114300</xdr:rowOff>
                  </to>
                </anchor>
              </controlPr>
            </control>
          </mc:Choice>
        </mc:AlternateContent>
        <mc:AlternateContent xmlns:mc="http://schemas.openxmlformats.org/markup-compatibility/2006">
          <mc:Choice Requires="x14">
            <control shapeId="19632" r:id="rId25" name="Button 176">
              <controlPr defaultSize="0" autoFill="0" autoPict="0" macro="[0]!del_all_data">
                <anchor moveWithCells="1" sizeWithCells="1">
                  <from>
                    <xdr:col>29</xdr:col>
                    <xdr:colOff>12700</xdr:colOff>
                    <xdr:row>29</xdr:row>
                    <xdr:rowOff>107950</xdr:rowOff>
                  </from>
                  <to>
                    <xdr:col>30</xdr:col>
                    <xdr:colOff>209550</xdr:colOff>
                    <xdr:row>31</xdr:row>
                    <xdr:rowOff>107950</xdr:rowOff>
                  </to>
                </anchor>
              </controlPr>
            </control>
          </mc:Choice>
        </mc:AlternateContent>
        <mc:AlternateContent xmlns:mc="http://schemas.openxmlformats.org/markup-compatibility/2006">
          <mc:Choice Requires="x14">
            <control shapeId="19635" r:id="rId26" name="Button 179">
              <controlPr defaultSize="0" autoFill="0" autoPict="0" macro="[0]!SAC_go">
                <anchor moveWithCells="1" sizeWithCells="1">
                  <from>
                    <xdr:col>25</xdr:col>
                    <xdr:colOff>12700</xdr:colOff>
                    <xdr:row>23</xdr:row>
                    <xdr:rowOff>12700</xdr:rowOff>
                  </from>
                  <to>
                    <xdr:col>28</xdr:col>
                    <xdr:colOff>12700</xdr:colOff>
                    <xdr:row>25</xdr:row>
                    <xdr:rowOff>12700</xdr:rowOff>
                  </to>
                </anchor>
              </controlPr>
            </control>
          </mc:Choice>
        </mc:AlternateContent>
        <mc:AlternateContent xmlns:mc="http://schemas.openxmlformats.org/markup-compatibility/2006">
          <mc:Choice Requires="x14">
            <control shapeId="19636" r:id="rId27" name="Button 180">
              <controlPr defaultSize="0" autoFill="0" autoPict="0" macro="[0]!Wheel">
                <anchor moveWithCells="1" sizeWithCells="1">
                  <from>
                    <xdr:col>21</xdr:col>
                    <xdr:colOff>12700</xdr:colOff>
                    <xdr:row>11</xdr:row>
                    <xdr:rowOff>12700</xdr:rowOff>
                  </from>
                  <to>
                    <xdr:col>24</xdr:col>
                    <xdr:colOff>12700</xdr:colOff>
                    <xdr:row>13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1">
    <tabColor theme="6" tint="0.39997558519241921"/>
    <pageSetUpPr fitToPage="1"/>
  </sheetPr>
  <dimension ref="B2:CN3052"/>
  <sheetViews>
    <sheetView showGridLines="0" showRowColHeaders="0" zoomScaleNormal="100" workbookViewId="0"/>
  </sheetViews>
  <sheetFormatPr defaultColWidth="9.1796875" defaultRowHeight="12.5"/>
  <cols>
    <col min="1" max="1" width="2.7265625" style="39" customWidth="1"/>
    <col min="2" max="2" width="12.7265625" style="45" bestFit="1" customWidth="1"/>
    <col min="3" max="3" width="9.7265625" style="45" customWidth="1"/>
    <col min="4" max="4" width="5.7265625" style="45" customWidth="1"/>
    <col min="5" max="5" width="3.7265625" style="45" customWidth="1"/>
    <col min="6" max="6" width="16.1796875" style="45" customWidth="1"/>
    <col min="7" max="7" width="9.7265625" style="45" customWidth="1"/>
    <col min="8" max="8" width="4.81640625" style="45" customWidth="1"/>
    <col min="9" max="9" width="2.7265625" style="45" customWidth="1"/>
    <col min="10" max="10" width="14.7265625" style="45" customWidth="1"/>
    <col min="11" max="11" width="9.7265625" style="45" customWidth="1"/>
    <col min="12" max="12" width="7.7265625" style="45" customWidth="1"/>
    <col min="13" max="13" width="1.7265625" style="45" customWidth="1"/>
    <col min="14" max="14" width="3.7265625" style="45" hidden="1" customWidth="1"/>
    <col min="15" max="15" width="18.81640625" style="45" hidden="1" customWidth="1"/>
    <col min="16" max="17" width="9.7265625" style="45" hidden="1" customWidth="1"/>
    <col min="18" max="18" width="1.26953125" style="45" hidden="1" customWidth="1"/>
    <col min="19" max="19" width="1.7265625" style="45" hidden="1" customWidth="1"/>
    <col min="20" max="20" width="13.7265625" style="45" hidden="1" customWidth="1"/>
    <col min="21" max="21" width="11.1796875" style="1539" hidden="1" customWidth="1"/>
    <col min="22" max="22" width="6.26953125" style="1539" hidden="1" customWidth="1"/>
    <col min="23" max="23" width="23.1796875" style="1539" hidden="1" customWidth="1"/>
    <col min="24" max="25" width="8.7265625" style="1539" hidden="1" customWidth="1"/>
    <col min="26" max="26" width="4.1796875" style="1539" hidden="1" customWidth="1"/>
    <col min="27" max="27" width="1.7265625" style="1539" hidden="1" customWidth="1"/>
    <col min="28" max="28" width="6.26953125" style="1539" hidden="1" customWidth="1"/>
    <col min="29" max="29" width="18.54296875" style="1539" hidden="1" customWidth="1"/>
    <col min="30" max="31" width="9.7265625" style="1539" hidden="1" customWidth="1"/>
    <col min="32" max="32" width="1.7265625" style="1539" hidden="1" customWidth="1"/>
    <col min="33" max="33" width="6.26953125" style="1539" hidden="1" customWidth="1"/>
    <col min="34" max="34" width="6.26953125" style="1802" hidden="1" customWidth="1"/>
    <col min="35" max="37" width="6.26953125" style="571" hidden="1" customWidth="1"/>
    <col min="38" max="38" width="6.26953125" style="573" hidden="1" customWidth="1"/>
    <col min="39" max="45" width="6.26953125" style="571" hidden="1" customWidth="1"/>
    <col min="46" max="46" width="4.54296875" style="571" hidden="1" customWidth="1"/>
    <col min="47" max="47" width="9.453125" style="571" hidden="1" customWidth="1"/>
    <col min="48" max="48" width="5" style="571" hidden="1" customWidth="1"/>
    <col min="49" max="49" width="11.81640625" style="571" hidden="1" customWidth="1"/>
    <col min="50" max="50" width="9" style="571" hidden="1" customWidth="1"/>
    <col min="51" max="51" width="8" style="571" hidden="1" customWidth="1"/>
    <col min="52" max="52" width="5" style="571" hidden="1" customWidth="1"/>
    <col min="53" max="53" width="11.54296875" style="571" hidden="1" customWidth="1"/>
    <col min="54" max="54" width="9.1796875" style="571" hidden="1" customWidth="1"/>
    <col min="55" max="55" width="12.26953125" style="571" hidden="1" customWidth="1"/>
    <col min="56" max="57" width="9.453125" style="571" hidden="1" customWidth="1"/>
    <col min="58" max="58" width="10.7265625" style="571" hidden="1" customWidth="1"/>
    <col min="59" max="59" width="9.453125" style="571" hidden="1" customWidth="1"/>
    <col min="60" max="60" width="12.453125" style="571" hidden="1" customWidth="1"/>
    <col min="61" max="61" width="9.1796875" style="571" hidden="1" customWidth="1"/>
    <col min="62" max="62" width="5.1796875" style="571" hidden="1" customWidth="1"/>
    <col min="63" max="63" width="7" style="571" hidden="1" customWidth="1"/>
    <col min="64" max="65" width="5.54296875" style="39" hidden="1" customWidth="1"/>
    <col min="66" max="66" width="6.54296875" style="39" hidden="1" customWidth="1"/>
    <col min="67" max="85" width="5.54296875" style="39" hidden="1" customWidth="1"/>
    <col min="86" max="89" width="6.54296875" style="39" hidden="1" customWidth="1"/>
    <col min="90" max="92" width="9.1796875" style="39" hidden="1" customWidth="1"/>
    <col min="93" max="16384" width="9.1796875" style="39"/>
  </cols>
  <sheetData>
    <row r="2" spans="2:89" ht="13">
      <c r="B2" s="1989" t="s">
        <v>1329</v>
      </c>
      <c r="C2" s="1990"/>
      <c r="D2" s="1991"/>
      <c r="F2" s="1972" t="s">
        <v>1300</v>
      </c>
      <c r="G2" s="1972"/>
      <c r="H2" s="1972"/>
      <c r="I2" s="1972"/>
      <c r="J2" s="1972"/>
      <c r="K2" s="1972"/>
      <c r="L2" s="1972"/>
      <c r="M2" s="547"/>
      <c r="O2" s="1976" t="s">
        <v>294</v>
      </c>
      <c r="P2" s="1976"/>
      <c r="Q2" s="1976"/>
      <c r="R2" s="1976"/>
      <c r="S2" s="1976"/>
      <c r="T2" s="1976"/>
      <c r="U2" s="1976"/>
      <c r="W2" s="1972" t="s">
        <v>293</v>
      </c>
      <c r="X2" s="1972"/>
      <c r="Y2" s="1972"/>
      <c r="Z2" s="1972"/>
      <c r="AA2" s="1540"/>
      <c r="AC2" s="1972" t="s">
        <v>1325</v>
      </c>
      <c r="AD2" s="1972"/>
      <c r="AE2" s="1972"/>
      <c r="AF2" s="1972"/>
      <c r="AH2" s="1800" t="s">
        <v>480</v>
      </c>
      <c r="AI2" s="570">
        <f>IF(L6=L7,K6,0)</f>
        <v>0</v>
      </c>
      <c r="AJ2" s="570">
        <f>IF(L6=L8,K6*3600,0)</f>
        <v>0</v>
      </c>
      <c r="AK2" s="570">
        <f>IF(L6=L9,K6*3.6,0)</f>
        <v>0</v>
      </c>
      <c r="AL2" s="570">
        <f>IF(L6=L10,AL4*3.6,0)</f>
        <v>0</v>
      </c>
      <c r="AN2" s="572" t="s">
        <v>297</v>
      </c>
      <c r="AO2" s="1562">
        <v>13</v>
      </c>
      <c r="AP2" s="1563">
        <v>0.97</v>
      </c>
      <c r="AQ2" s="1799">
        <v>0.82258877693235199</v>
      </c>
      <c r="AR2" s="1799">
        <v>9.0481718537128598E-3</v>
      </c>
      <c r="AS2" s="1803">
        <f>17.78*10^-6</f>
        <v>1.7779999999999999E-5</v>
      </c>
      <c r="AU2" s="572">
        <f>IF(P17=Q17,1,IF(P17&gt;Q17,P17/Q17,IF(Q17&gt;P17,Q17/P17)))</f>
        <v>1</v>
      </c>
      <c r="AW2" s="574" t="s">
        <v>327</v>
      </c>
      <c r="BC2" s="574" t="s">
        <v>328</v>
      </c>
      <c r="BG2" s="574" t="s">
        <v>329</v>
      </c>
    </row>
    <row r="3" spans="2:89" ht="12.75" customHeight="1">
      <c r="B3" s="527"/>
      <c r="C3" s="442"/>
      <c r="D3" s="549">
        <v>1</v>
      </c>
      <c r="F3" s="1973" t="s">
        <v>1312</v>
      </c>
      <c r="G3" s="1973"/>
      <c r="H3" s="1973"/>
      <c r="J3" s="1973" t="s">
        <v>1313</v>
      </c>
      <c r="K3" s="1973"/>
      <c r="L3" s="1973"/>
      <c r="M3" s="526"/>
      <c r="O3" s="1550" t="s">
        <v>1327</v>
      </c>
      <c r="P3" s="1550"/>
      <c r="Q3" s="1550"/>
      <c r="R3" s="814"/>
      <c r="S3" s="39"/>
      <c r="T3" s="38"/>
      <c r="U3" s="1542"/>
      <c r="W3" s="1973" t="s">
        <v>1314</v>
      </c>
      <c r="X3" s="1973"/>
      <c r="Y3" s="1973"/>
      <c r="Z3" s="1973"/>
      <c r="AA3" s="1543"/>
      <c r="AC3" s="1974" t="s">
        <v>1338</v>
      </c>
      <c r="AD3" s="1974"/>
      <c r="AE3" s="1974"/>
      <c r="AF3" s="1974"/>
      <c r="AH3" s="1800" t="s">
        <v>1289</v>
      </c>
      <c r="AI3" s="570">
        <f>IF(L6=L7,K6/3600,0)</f>
        <v>0</v>
      </c>
      <c r="AJ3" s="570">
        <f>IF(L6=L8,K6,0)</f>
        <v>0</v>
      </c>
      <c r="AK3" s="570">
        <f>IF(L6=L9,K6/1000,0)</f>
        <v>0</v>
      </c>
      <c r="AL3" s="570">
        <f>IF(L6=L10,AL4/1000,0)</f>
        <v>0</v>
      </c>
      <c r="AN3" s="572" t="s">
        <v>296</v>
      </c>
      <c r="AO3" s="1562">
        <v>24</v>
      </c>
      <c r="AP3" s="1563">
        <v>0.5</v>
      </c>
      <c r="AQ3" s="1799">
        <v>0.85454980820726112</v>
      </c>
      <c r="AR3" s="1799">
        <v>9.2990284492734006E-3</v>
      </c>
      <c r="AS3" s="1803">
        <f>18.312*10^-6</f>
        <v>1.8312E-5</v>
      </c>
      <c r="AU3" s="1564" t="str">
        <f>IF(AND(P17&gt;0,Q17&gt;0,AU2&gt;4),"Unacceptable (&gt; 1:4)",IF(AND(P17&gt;0,Q17&gt;0,AU2&lt;4),"Acceptable","-"))</f>
        <v>-</v>
      </c>
      <c r="AW3" s="575"/>
      <c r="AX3" s="575"/>
      <c r="AY3" s="572"/>
      <c r="BC3" s="573"/>
      <c r="BG3" s="576" t="s">
        <v>330</v>
      </c>
      <c r="BH3" s="579" t="e">
        <f>(BH5/1000/2)^2*PI()</f>
        <v>#DIV/0!</v>
      </c>
      <c r="BI3" s="571" t="s">
        <v>1246</v>
      </c>
    </row>
    <row r="4" spans="2:89" ht="13">
      <c r="B4" s="444"/>
      <c r="D4" s="445"/>
      <c r="F4" s="1973"/>
      <c r="G4" s="1973"/>
      <c r="H4" s="1973"/>
      <c r="J4" s="1973"/>
      <c r="K4" s="1973"/>
      <c r="L4" s="1973"/>
      <c r="M4" s="526"/>
      <c r="O4" s="820"/>
      <c r="P4" s="821"/>
      <c r="Q4" s="821"/>
      <c r="R4" s="822"/>
      <c r="S4" s="39"/>
      <c r="T4" s="38"/>
      <c r="U4" s="1542"/>
      <c r="W4" s="1973"/>
      <c r="X4" s="1973"/>
      <c r="Y4" s="1973"/>
      <c r="Z4" s="1973"/>
      <c r="AA4" s="1543"/>
      <c r="AC4" s="1975"/>
      <c r="AD4" s="1975"/>
      <c r="AE4" s="1975"/>
      <c r="AF4" s="1975"/>
      <c r="AH4" s="1800" t="s">
        <v>3</v>
      </c>
      <c r="AI4" s="570">
        <f>IF(L6=L7,K6/3.6,0)</f>
        <v>0</v>
      </c>
      <c r="AJ4" s="570">
        <f>IF(L6=L8,K6*1000,0)</f>
        <v>0</v>
      </c>
      <c r="AK4" s="570">
        <f>IF(L6=L9,K6,0)</f>
        <v>0</v>
      </c>
      <c r="AL4" s="570">
        <f>IF(L6=L10,K6*0.472,0)</f>
        <v>0</v>
      </c>
      <c r="AN4" s="572" t="s">
        <v>299</v>
      </c>
      <c r="AO4" s="1562">
        <v>28</v>
      </c>
      <c r="AP4" s="1563">
        <v>0.55000000000000004</v>
      </c>
      <c r="AQ4" s="1799">
        <v>0.87118127664436473</v>
      </c>
      <c r="AR4" s="1799">
        <v>1.3036971002852922E-2</v>
      </c>
      <c r="AS4" s="1803">
        <f>18.474*10^-6</f>
        <v>1.8474E-5</v>
      </c>
      <c r="AU4" s="1564"/>
      <c r="AW4" s="576" t="s">
        <v>330</v>
      </c>
      <c r="AX4" s="577" t="e">
        <f>AU15/P13</f>
        <v>#DIV/0!</v>
      </c>
      <c r="AY4" s="573"/>
      <c r="AZ4" s="578"/>
      <c r="BA4" s="578"/>
      <c r="BB4" s="578"/>
      <c r="BC4" s="576" t="s">
        <v>330</v>
      </c>
      <c r="BD4" s="579" t="s">
        <v>243</v>
      </c>
      <c r="BG4" s="580" t="s">
        <v>331</v>
      </c>
      <c r="BH4" s="579" t="e">
        <f>AU15/BH3</f>
        <v>#DIV/0!</v>
      </c>
      <c r="BI4" s="571">
        <f>(P17/1000)*(Q17/1000)</f>
        <v>0</v>
      </c>
    </row>
    <row r="5" spans="2:89">
      <c r="B5" s="444"/>
      <c r="D5" s="445"/>
      <c r="F5" s="527"/>
      <c r="G5" s="442"/>
      <c r="H5" s="443"/>
      <c r="J5" s="527"/>
      <c r="K5" s="442"/>
      <c r="L5" s="442"/>
      <c r="M5" s="443"/>
      <c r="O5" s="734" t="s">
        <v>295</v>
      </c>
      <c r="P5" s="1955" t="s">
        <v>296</v>
      </c>
      <c r="Q5" s="1956"/>
      <c r="R5" s="1057"/>
      <c r="S5" s="39"/>
      <c r="T5" s="38"/>
      <c r="U5" s="1542"/>
      <c r="W5" s="527"/>
      <c r="X5" s="442"/>
      <c r="Y5" s="442"/>
      <c r="Z5" s="442"/>
      <c r="AA5" s="443"/>
      <c r="AC5" s="527"/>
      <c r="AD5" s="442"/>
      <c r="AE5" s="442"/>
      <c r="AF5" s="1544"/>
      <c r="AH5" s="1800" t="s">
        <v>7</v>
      </c>
      <c r="AI5" s="570">
        <f>IF(L6=L7,AI4/0.472,0)</f>
        <v>0</v>
      </c>
      <c r="AJ5" s="570">
        <f>IF(L6=L8,AJ4/0.472,0)</f>
        <v>0</v>
      </c>
      <c r="AK5" s="570">
        <f>IF(L6=L9,AK4/0.472,0)</f>
        <v>0</v>
      </c>
      <c r="AL5" s="570">
        <f>IF(L6=L10,K6,0)</f>
        <v>0</v>
      </c>
      <c r="AN5" s="572" t="s">
        <v>302</v>
      </c>
      <c r="AO5" s="1562">
        <v>37</v>
      </c>
      <c r="AP5" s="1563">
        <v>0.23</v>
      </c>
      <c r="AQ5" s="1799">
        <v>0.8915073773463642</v>
      </c>
      <c r="AR5" s="1799">
        <v>8.9960505741331076E-3</v>
      </c>
      <c r="AS5" s="1803">
        <f>18.94*10^-6</f>
        <v>1.8940000000000002E-5</v>
      </c>
      <c r="AU5" s="572"/>
      <c r="AW5" s="580" t="s">
        <v>310</v>
      </c>
      <c r="AX5" s="581" t="e">
        <f>P13*(AX9/1000)/$AO$12</f>
        <v>#DIV/0!</v>
      </c>
      <c r="AY5" s="578"/>
      <c r="AZ5" s="582"/>
      <c r="BA5" s="582"/>
      <c r="BB5" s="582"/>
      <c r="BC5" s="580" t="s">
        <v>310</v>
      </c>
      <c r="BD5" s="579" t="s">
        <v>243</v>
      </c>
      <c r="BG5" s="580" t="s">
        <v>2562</v>
      </c>
      <c r="BH5" s="579" t="e">
        <f>1.453*(BI4^0.6)/(BI6^0.2)*1000</f>
        <v>#DIV/0!</v>
      </c>
      <c r="BI5" s="571" t="s">
        <v>2009</v>
      </c>
    </row>
    <row r="6" spans="2:89" ht="14.5">
      <c r="B6" s="51"/>
      <c r="C6" s="446"/>
      <c r="D6" s="52"/>
      <c r="F6" s="628" t="s">
        <v>1296</v>
      </c>
      <c r="G6" s="1387"/>
      <c r="H6" s="723" t="s">
        <v>1317</v>
      </c>
      <c r="J6" s="628" t="s">
        <v>2</v>
      </c>
      <c r="K6" s="1388"/>
      <c r="L6" s="554" t="s">
        <v>3</v>
      </c>
      <c r="M6" s="445"/>
      <c r="O6" s="725" t="s">
        <v>1335</v>
      </c>
      <c r="P6" s="41">
        <f>(1+AO10)/AO9</f>
        <v>1.1810885904551973</v>
      </c>
      <c r="Q6" s="818" t="s">
        <v>313</v>
      </c>
      <c r="R6" s="726"/>
      <c r="S6" s="39"/>
      <c r="T6" s="38"/>
      <c r="U6" s="1542"/>
      <c r="W6" s="628" t="s">
        <v>2</v>
      </c>
      <c r="X6" s="1388"/>
      <c r="Y6" s="554" t="s">
        <v>3</v>
      </c>
      <c r="Z6" s="45"/>
      <c r="AA6" s="445"/>
      <c r="AC6" s="628" t="s">
        <v>2</v>
      </c>
      <c r="AD6" s="1388"/>
      <c r="AE6" s="554" t="s">
        <v>3</v>
      </c>
      <c r="AF6" s="1545"/>
      <c r="AH6" s="1801"/>
      <c r="AI6" s="1565"/>
      <c r="AJ6" s="1565"/>
      <c r="AK6" s="1565"/>
      <c r="AL6" s="1565"/>
      <c r="AN6" s="572"/>
      <c r="AO6" s="1562"/>
      <c r="AP6" s="1563"/>
      <c r="AS6" s="573"/>
      <c r="AU6" s="572"/>
      <c r="AW6" s="580" t="s">
        <v>311</v>
      </c>
      <c r="AX6" s="583" t="e">
        <f>POWER((1/(-1.8*LOG((6.9/AX5+POWER((($P$7/AX9)/3.71),1.11)),10))),2)</f>
        <v>#DIV/0!</v>
      </c>
      <c r="AY6" s="578"/>
      <c r="AZ6" s="584"/>
      <c r="BA6" s="584"/>
      <c r="BB6" s="584"/>
      <c r="BC6" s="580" t="s">
        <v>311</v>
      </c>
      <c r="BD6" s="579" t="s">
        <v>243</v>
      </c>
      <c r="BG6" s="571" t="s">
        <v>2563</v>
      </c>
      <c r="BH6" s="571" t="e">
        <f>(BH3/PI()*4)^0.5*1000</f>
        <v>#DIV/0!</v>
      </c>
      <c r="BI6" s="571">
        <f>((P17/1000+Q17/1000)*2)</f>
        <v>0</v>
      </c>
    </row>
    <row r="7" spans="2:89" ht="14.5">
      <c r="F7" s="444"/>
      <c r="H7" s="445"/>
      <c r="J7" s="610" t="s">
        <v>5</v>
      </c>
      <c r="K7" s="555" t="str">
        <f>IF(K6=0,"-",SUM(AI2:AL2))</f>
        <v>-</v>
      </c>
      <c r="L7" s="548" t="s">
        <v>1339</v>
      </c>
      <c r="M7" s="445"/>
      <c r="O7" s="734" t="s">
        <v>308</v>
      </c>
      <c r="P7" s="1391">
        <v>0.1</v>
      </c>
      <c r="Q7" s="818" t="s">
        <v>0</v>
      </c>
      <c r="R7" s="726"/>
      <c r="S7" s="39"/>
      <c r="T7" s="38"/>
      <c r="U7" s="1542"/>
      <c r="W7" s="610" t="s">
        <v>5</v>
      </c>
      <c r="X7" s="528" t="str">
        <f>IF($X$6=0,"-",SUM(AI7:AL7))</f>
        <v>-</v>
      </c>
      <c r="Y7" s="548" t="s">
        <v>1339</v>
      </c>
      <c r="Z7" s="45"/>
      <c r="AA7" s="445"/>
      <c r="AC7" s="610" t="s">
        <v>5</v>
      </c>
      <c r="AD7" s="555" t="str">
        <f>IF($AD$6=0,"-",SUM(AI12:AL12))</f>
        <v>-</v>
      </c>
      <c r="AE7" s="548" t="s">
        <v>1339</v>
      </c>
      <c r="AF7" s="1545"/>
      <c r="AH7" s="1800" t="s">
        <v>480</v>
      </c>
      <c r="AI7" s="570">
        <f>IF(Y6=Y7,X6,0)</f>
        <v>0</v>
      </c>
      <c r="AJ7" s="570">
        <f>IF(Y6=Y8,X6*3600,0)</f>
        <v>0</v>
      </c>
      <c r="AK7" s="570">
        <f>IF(Y6=Y9,X6*3.6,0)</f>
        <v>0</v>
      </c>
      <c r="AL7" s="570">
        <f>IF(Y6=Y10,AL9*3.6,0)</f>
        <v>0</v>
      </c>
      <c r="AN7" s="571" t="s">
        <v>175</v>
      </c>
      <c r="AO7" s="585">
        <f>VLOOKUP(P5,AN2:AO5,2)</f>
        <v>24</v>
      </c>
      <c r="AP7" s="1566" t="s">
        <v>2023</v>
      </c>
      <c r="AS7" s="573"/>
      <c r="AU7" s="572"/>
      <c r="AW7" s="580" t="s">
        <v>333</v>
      </c>
      <c r="AX7" s="577" t="e">
        <f>AX6*0.5*$P$6*16*AU15*AU15/(POWER(PI(),2)*POWER((AX9/1000),5))</f>
        <v>#DIV/0!</v>
      </c>
      <c r="AY7" s="572"/>
      <c r="BC7" s="580" t="s">
        <v>333</v>
      </c>
      <c r="BD7" s="571">
        <f>P15</f>
        <v>0</v>
      </c>
      <c r="BG7" s="580" t="s">
        <v>310</v>
      </c>
      <c r="BH7" s="1804" t="e">
        <f>BH4*(BH5/1000)/$AO$12</f>
        <v>#DIV/0!</v>
      </c>
    </row>
    <row r="8" spans="2:89" ht="14.5">
      <c r="F8" s="444" t="s">
        <v>1297</v>
      </c>
      <c r="G8" s="1387"/>
      <c r="H8" s="604" t="s">
        <v>178</v>
      </c>
      <c r="J8" s="610" t="s">
        <v>5</v>
      </c>
      <c r="K8" s="270" t="str">
        <f>IF(K6=0,"-",SUM(AI3:AL3))</f>
        <v>-</v>
      </c>
      <c r="L8" s="548" t="s">
        <v>1340</v>
      </c>
      <c r="M8" s="754"/>
      <c r="O8" s="727"/>
      <c r="P8" s="1058"/>
      <c r="Q8" s="823"/>
      <c r="R8" s="728"/>
      <c r="S8" s="39"/>
      <c r="T8" s="38"/>
      <c r="U8" s="1542"/>
      <c r="W8" s="610" t="s">
        <v>5</v>
      </c>
      <c r="X8" s="538" t="str">
        <f>IF($X$6=0,"-",SUM(AI8:AL8))</f>
        <v>-</v>
      </c>
      <c r="Y8" s="548" t="s">
        <v>1340</v>
      </c>
      <c r="Z8" s="45"/>
      <c r="AA8" s="445"/>
      <c r="AC8" s="610" t="s">
        <v>5</v>
      </c>
      <c r="AD8" s="270" t="str">
        <f>IF($AD$6=0,"-",SUM(AI13:AL13))</f>
        <v>-</v>
      </c>
      <c r="AE8" s="548" t="s">
        <v>1340</v>
      </c>
      <c r="AF8" s="1545"/>
      <c r="AH8" s="1800" t="s">
        <v>1289</v>
      </c>
      <c r="AI8" s="570">
        <f>IF(Y6=Y7,X6/3600,0)</f>
        <v>0</v>
      </c>
      <c r="AJ8" s="570">
        <f>IF(Y6=Y8,X6,0)</f>
        <v>0</v>
      </c>
      <c r="AK8" s="570">
        <f>IF(Y6=Y9,X6/1000,0)</f>
        <v>0</v>
      </c>
      <c r="AL8" s="570">
        <f>IF(Y6=Y10,AL9/1000,0)</f>
        <v>0</v>
      </c>
      <c r="AN8" s="571" t="s">
        <v>298</v>
      </c>
      <c r="AO8" s="1567">
        <f>VLOOKUP(AO7,AO2:AS6,2)</f>
        <v>0.5</v>
      </c>
      <c r="AP8" s="572"/>
      <c r="AS8" s="573"/>
      <c r="AU8" s="572" t="e">
        <f>IF(P25=Q25,1,IF(P25&gt;Q25,P25/Q25,IF(Q25&gt;P25,Q25/P25)))</f>
        <v>#VALUE!</v>
      </c>
      <c r="AW8" s="580" t="s">
        <v>331</v>
      </c>
      <c r="AX8" s="577">
        <f>P13</f>
        <v>0</v>
      </c>
      <c r="AY8" s="572"/>
      <c r="BC8" s="580" t="s">
        <v>331</v>
      </c>
      <c r="BD8" s="571" t="e">
        <f>INDEX(BC12:BC3011,BE8) + (BD7-INDEX(BH12:BH3011,BE8)) * (INDEX(BC12:BC3011,BE8+1)-INDEX(BC12:BC3011,BE8)) / (INDEX(BH12:BH3011,BE8+1)-INDEX(BH12:BH3011,BE8))</f>
        <v>#N/A</v>
      </c>
      <c r="BE8" s="273" t="e">
        <f>MATCH(BD7,BH12:BH3011)</f>
        <v>#N/A</v>
      </c>
      <c r="BF8" s="275"/>
      <c r="BG8" s="580" t="s">
        <v>311</v>
      </c>
      <c r="BH8" s="579" t="e">
        <f>POWER((1/(-1.8*LOG((6.9/BH7+POWER((($P$7/BH5)/3.71),1.11)),10))),2)</f>
        <v>#DIV/0!</v>
      </c>
      <c r="BM8" s="571"/>
      <c r="BN8" s="573" t="s">
        <v>2010</v>
      </c>
    </row>
    <row r="9" spans="2:89" ht="13">
      <c r="F9" s="444" t="s">
        <v>1298</v>
      </c>
      <c r="G9" s="1387"/>
      <c r="H9" s="604" t="s">
        <v>216</v>
      </c>
      <c r="J9" s="610" t="s">
        <v>5</v>
      </c>
      <c r="K9" s="555" t="str">
        <f>IF(K6=0,"-",SUM(AI4:AL4))</f>
        <v>-</v>
      </c>
      <c r="L9" s="548" t="s">
        <v>3</v>
      </c>
      <c r="M9" s="754"/>
      <c r="O9" s="39"/>
      <c r="P9" s="40"/>
      <c r="Q9" s="818"/>
      <c r="R9" s="818"/>
      <c r="S9" s="39"/>
      <c r="T9" s="38"/>
      <c r="U9" s="1542"/>
      <c r="W9" s="610" t="s">
        <v>5</v>
      </c>
      <c r="X9" s="528" t="str">
        <f>IF($X$6=0,"-",SUM(AI9:AL9))</f>
        <v>-</v>
      </c>
      <c r="Y9" s="548" t="s">
        <v>3</v>
      </c>
      <c r="Z9" s="45"/>
      <c r="AA9" s="445"/>
      <c r="AC9" s="610" t="s">
        <v>5</v>
      </c>
      <c r="AD9" s="555" t="str">
        <f>IF($AD$6=0,"-",SUM(AI14:AL14))</f>
        <v>-</v>
      </c>
      <c r="AE9" s="548" t="s">
        <v>3</v>
      </c>
      <c r="AF9" s="1545"/>
      <c r="AH9" s="1800" t="s">
        <v>3</v>
      </c>
      <c r="AI9" s="570">
        <f>IF(Y6=Y7,X6/3.6,0)</f>
        <v>0</v>
      </c>
      <c r="AJ9" s="570">
        <f>IF(Y6=Y8,X6*1000,0)</f>
        <v>0</v>
      </c>
      <c r="AK9" s="570">
        <f>IF(Y6=Y9,X6,0)</f>
        <v>0</v>
      </c>
      <c r="AL9" s="570">
        <f>IF(Y6=Y10,X6*0.472,0)</f>
        <v>0</v>
      </c>
      <c r="AN9" s="571" t="s">
        <v>300</v>
      </c>
      <c r="AO9" s="578">
        <f>VLOOKUP(AO7,AO2:AS6,3)</f>
        <v>0.85454980820726112</v>
      </c>
      <c r="AP9" s="572" t="s">
        <v>301</v>
      </c>
      <c r="AS9" s="573"/>
      <c r="AU9" s="1564" t="str">
        <f>IF(P25&gt;0,IF(AU8&gt;4,"Unacceptable (&gt; 1:4)","Acceptable"),"-")</f>
        <v>-</v>
      </c>
      <c r="AW9" s="580" t="s">
        <v>2454</v>
      </c>
      <c r="AX9" s="577" t="e">
        <f>(((AX4/PI())^0.5)*2)*1000</f>
        <v>#DIV/0!</v>
      </c>
      <c r="AY9" s="1840" t="str">
        <f>IF(COUNTA(P13)=1,AX9/1000,IF(COUNTA(P15)=1,BD9/1000,"-"))</f>
        <v>-</v>
      </c>
      <c r="AZ9" s="273" t="e">
        <f>MATCH(AY9,BA13:BA161)</f>
        <v>#N/A</v>
      </c>
      <c r="BA9" s="275" t="e">
        <f>INDEX(AX13:AX211,AZ9) + (AY9-INDEX(BA13:BA211,AZ9)) * (INDEX(AX13:AX211,AZ9+1)-INDEX(AX13:AX211,AZ9)) / (INDEX(BA13:BA211,AZ9+1)-INDEX(BA13:BA211,AZ9))</f>
        <v>#N/A</v>
      </c>
      <c r="BC9" s="580" t="s">
        <v>332</v>
      </c>
      <c r="BD9" s="571" t="e">
        <f>INDEX(BE12:BE3011,BE8) + (BD7-INDEX(BH12:BH3011,BE8)) * (INDEX(BE12:BE3011,BE8+1)-INDEX(BE12:BE3011,BE8)) / (INDEX(BH12:BH3011,BE8+1)-INDEX(BH12:BH3011,BE8))</f>
        <v>#N/A</v>
      </c>
      <c r="BG9" s="580" t="s">
        <v>333</v>
      </c>
      <c r="BH9" s="579" t="e">
        <f>BH8*0.5*$P$6*16*AU15*AU15/(POWER(PI(),2)*POWER((BH5/1000),5))</f>
        <v>#DIV/0!</v>
      </c>
    </row>
    <row r="10" spans="2:89" ht="14.5">
      <c r="F10" s="444" t="s">
        <v>1299</v>
      </c>
      <c r="G10" s="529" t="str">
        <f>IF(G8*G9&gt;0,G8*G9,"-")</f>
        <v>-</v>
      </c>
      <c r="H10" s="604" t="s">
        <v>177</v>
      </c>
      <c r="J10" s="610" t="s">
        <v>5</v>
      </c>
      <c r="K10" s="555" t="str">
        <f>IF(K6=0,"-",SUM(AI5:AL5))</f>
        <v>-</v>
      </c>
      <c r="L10" s="548" t="s">
        <v>7</v>
      </c>
      <c r="M10" s="754"/>
      <c r="O10" s="1992" t="s">
        <v>2</v>
      </c>
      <c r="P10" s="824"/>
      <c r="Q10" s="825"/>
      <c r="R10" s="826"/>
      <c r="S10" s="39"/>
      <c r="T10" s="2002" t="s">
        <v>2022</v>
      </c>
      <c r="U10" s="2003"/>
      <c r="W10" s="536" t="s">
        <v>5</v>
      </c>
      <c r="X10" s="658" t="str">
        <f>IF($X$6=0,"-",SUM(AI10:AL10))</f>
        <v>-</v>
      </c>
      <c r="Y10" s="553" t="s">
        <v>7</v>
      </c>
      <c r="Z10" s="446"/>
      <c r="AA10" s="52"/>
      <c r="AC10" s="610" t="s">
        <v>5</v>
      </c>
      <c r="AD10" s="555" t="str">
        <f>IF($AD$6=0,"-",SUM(AI15:AL15))</f>
        <v>-</v>
      </c>
      <c r="AE10" s="548" t="s">
        <v>7</v>
      </c>
      <c r="AF10" s="1545"/>
      <c r="AH10" s="1800" t="s">
        <v>7</v>
      </c>
      <c r="AI10" s="570">
        <f>IF(Y6=Y7,AI9/0.472,0)</f>
        <v>0</v>
      </c>
      <c r="AJ10" s="570">
        <f>IF(Y6=Y8,AJ9/0.472,0)</f>
        <v>0</v>
      </c>
      <c r="AK10" s="570">
        <f>IF(Y6=Y9,AK9/0.472,0)</f>
        <v>0</v>
      </c>
      <c r="AL10" s="570">
        <f>IF(Y6=Y10,X6,0)</f>
        <v>0</v>
      </c>
      <c r="AN10" s="571" t="s">
        <v>303</v>
      </c>
      <c r="AO10" s="578">
        <f>VLOOKUP(AO7,AO2:AS6,4)</f>
        <v>9.2990284492734006E-3</v>
      </c>
      <c r="AP10" s="572" t="s">
        <v>304</v>
      </c>
      <c r="AS10" s="573"/>
      <c r="AU10" s="572"/>
      <c r="AW10" s="572"/>
      <c r="AX10" s="572"/>
      <c r="AY10" s="572"/>
      <c r="BA10" s="571" t="e">
        <f>MROUND(BA9+20,50)</f>
        <v>#N/A</v>
      </c>
      <c r="BC10" s="573"/>
      <c r="BO10" s="571" t="s">
        <v>2013</v>
      </c>
      <c r="BP10" s="2005" t="s">
        <v>2567</v>
      </c>
      <c r="BQ10" s="2005"/>
      <c r="BR10" s="2005"/>
      <c r="BS10" s="2005"/>
      <c r="BT10" s="2005"/>
      <c r="BU10" s="2005"/>
      <c r="BV10" s="2005"/>
      <c r="BW10" s="2005"/>
      <c r="BX10" s="2005"/>
      <c r="BY10" s="2005"/>
    </row>
    <row r="11" spans="2:89" ht="16.5">
      <c r="F11" s="444"/>
      <c r="H11" s="445"/>
      <c r="J11" s="444"/>
      <c r="M11" s="445"/>
      <c r="O11" s="1993"/>
      <c r="P11" s="1389"/>
      <c r="Q11" s="828" t="s">
        <v>3</v>
      </c>
      <c r="R11" s="827"/>
      <c r="S11" s="39"/>
      <c r="T11" s="748">
        <f>SUM(AI17:AL17)</f>
        <v>0</v>
      </c>
      <c r="U11" s="1554" t="s">
        <v>1339</v>
      </c>
      <c r="W11" s="527"/>
      <c r="X11" s="442"/>
      <c r="Y11" s="442"/>
      <c r="Z11" s="442"/>
      <c r="AA11" s="443"/>
      <c r="AC11" s="444"/>
      <c r="AD11" s="45"/>
      <c r="AE11" s="45"/>
      <c r="AF11" s="1545"/>
      <c r="AH11" s="1801"/>
      <c r="AI11" s="1565"/>
      <c r="AJ11" s="1565"/>
      <c r="AK11" s="1565"/>
      <c r="AL11" s="1565"/>
      <c r="AN11" s="571" t="s">
        <v>305</v>
      </c>
      <c r="AO11" s="1568">
        <f>VLOOKUP(AO7,AO2:AS6,5)</f>
        <v>1.8312E-5</v>
      </c>
      <c r="AP11" s="572" t="s">
        <v>306</v>
      </c>
      <c r="AS11" s="573"/>
      <c r="AU11" s="572"/>
      <c r="BA11" s="571" t="s">
        <v>2455</v>
      </c>
      <c r="BC11" s="573" t="s">
        <v>316</v>
      </c>
      <c r="BD11" s="571" t="s">
        <v>317</v>
      </c>
      <c r="BE11" s="571" t="s">
        <v>318</v>
      </c>
      <c r="BF11" s="572" t="s">
        <v>319</v>
      </c>
      <c r="BG11" s="572" t="s">
        <v>320</v>
      </c>
      <c r="BH11" s="571" t="s">
        <v>321</v>
      </c>
      <c r="BO11" s="571" t="s">
        <v>2007</v>
      </c>
      <c r="BP11" s="2005" t="s">
        <v>2008</v>
      </c>
      <c r="BQ11" s="2005"/>
      <c r="BR11" s="2005"/>
      <c r="BS11" s="2005"/>
      <c r="BT11" s="2005"/>
      <c r="BU11" s="2005"/>
      <c r="BV11" s="2005"/>
      <c r="BW11" s="2005"/>
      <c r="BX11" s="2005"/>
      <c r="BY11" s="2005"/>
    </row>
    <row r="12" spans="2:89" ht="14.5">
      <c r="F12" s="2000" t="s">
        <v>2</v>
      </c>
      <c r="G12" s="530" t="str">
        <f>IF(G6*G8*G9&gt;0,G6*G8*G9,"-")</f>
        <v>-</v>
      </c>
      <c r="H12" s="611" t="s">
        <v>1339</v>
      </c>
      <c r="J12" s="444" t="s">
        <v>1297</v>
      </c>
      <c r="K12" s="1387"/>
      <c r="L12" s="253" t="s">
        <v>178</v>
      </c>
      <c r="M12" s="604"/>
      <c r="O12" s="1994"/>
      <c r="P12" s="1995"/>
      <c r="Q12" s="1995"/>
      <c r="R12" s="1996"/>
      <c r="S12" s="39"/>
      <c r="T12" s="749">
        <f>SUM(AI18:AL18)</f>
        <v>0</v>
      </c>
      <c r="U12" s="1555" t="s">
        <v>1340</v>
      </c>
      <c r="W12" s="444" t="s">
        <v>1290</v>
      </c>
      <c r="X12" s="1402">
        <v>0.7</v>
      </c>
      <c r="Y12" s="531"/>
      <c r="Z12" s="253"/>
      <c r="AA12" s="604"/>
      <c r="AC12" s="444" t="s">
        <v>384</v>
      </c>
      <c r="AD12" s="1402"/>
      <c r="AE12" s="45"/>
      <c r="AF12" s="1545"/>
      <c r="AH12" s="1800" t="s">
        <v>480</v>
      </c>
      <c r="AI12" s="570">
        <f>IF(AE6=AE7,AD6,0)</f>
        <v>0</v>
      </c>
      <c r="AJ12" s="570">
        <f>IF(AE6=AE8,AD6*3600,0)</f>
        <v>0</v>
      </c>
      <c r="AK12" s="570">
        <f>IF(AE6=AE9,AD6*3.6,0)</f>
        <v>0</v>
      </c>
      <c r="AL12" s="570">
        <f>IF(AE6=AE10,AL14*3.6,0)</f>
        <v>0</v>
      </c>
      <c r="AN12" s="571" t="s">
        <v>307</v>
      </c>
      <c r="AO12" s="1568">
        <f>AO11/P6</f>
        <v>1.5504340781873497E-5</v>
      </c>
      <c r="AP12" s="572" t="s">
        <v>2024</v>
      </c>
      <c r="AS12" s="573"/>
      <c r="AU12" s="572"/>
      <c r="AW12" s="571" t="s">
        <v>183</v>
      </c>
      <c r="AX12" s="571" t="s">
        <v>173</v>
      </c>
      <c r="AY12" s="571" t="s">
        <v>1246</v>
      </c>
      <c r="AZ12" s="571" t="s">
        <v>2009</v>
      </c>
      <c r="BA12" s="580" t="s">
        <v>332</v>
      </c>
      <c r="BC12" s="573">
        <v>0.01</v>
      </c>
      <c r="BD12" s="571">
        <f>$AU$15/BC12</f>
        <v>0</v>
      </c>
      <c r="BE12" s="571">
        <f>((BD12/PI())^0.5)*2*1000</f>
        <v>0</v>
      </c>
      <c r="BF12" s="586">
        <f t="shared" ref="BF12:BF75" si="0">BC12*(BE12/1000)/$AO$12</f>
        <v>0</v>
      </c>
      <c r="BG12" s="586" t="e">
        <f t="shared" ref="BG12:BG75" si="1">POWER((1/(-1.8*LOG((6.9/BF12+POWER((($P$7/BE12)/3.71),1.11)),10))),2)</f>
        <v>#DIV/0!</v>
      </c>
      <c r="BH12" s="571" t="e">
        <f t="shared" ref="BH12:BH75" si="2">BG12*0.5*$P$6*16*$AU$15*$AU$15/(POWER(PI(),2)*POWER((BE12/1000),5))</f>
        <v>#DIV/0!</v>
      </c>
      <c r="BO12" s="571" t="s">
        <v>2011</v>
      </c>
      <c r="BP12" s="2005" t="s">
        <v>2012</v>
      </c>
      <c r="BQ12" s="2005"/>
      <c r="BR12" s="2005"/>
      <c r="BS12" s="2005"/>
      <c r="BT12" s="2005"/>
      <c r="BU12" s="2005"/>
      <c r="BV12" s="2005"/>
      <c r="BW12" s="2005"/>
      <c r="BX12" s="2005"/>
      <c r="BY12" s="2005"/>
    </row>
    <row r="13" spans="2:89" ht="14.5">
      <c r="F13" s="2000"/>
      <c r="G13" s="532" t="str">
        <f>IF(G12="-","-",G12/3600)</f>
        <v>-</v>
      </c>
      <c r="H13" s="611" t="s">
        <v>1340</v>
      </c>
      <c r="J13" s="444" t="s">
        <v>1298</v>
      </c>
      <c r="K13" s="1387"/>
      <c r="L13" s="253" t="s">
        <v>216</v>
      </c>
      <c r="M13" s="604"/>
      <c r="O13" s="838" t="s">
        <v>1540</v>
      </c>
      <c r="P13" s="1390"/>
      <c r="Q13" s="829" t="s">
        <v>1</v>
      </c>
      <c r="R13" s="810"/>
      <c r="S13" s="39"/>
      <c r="T13" s="750">
        <f>SUM(AI19:AL19)</f>
        <v>0</v>
      </c>
      <c r="U13" s="1555" t="s">
        <v>3</v>
      </c>
      <c r="W13" s="444"/>
      <c r="X13" s="45"/>
      <c r="Y13" s="253"/>
      <c r="Z13" s="253"/>
      <c r="AA13" s="604"/>
      <c r="AC13" s="444" t="s">
        <v>2020</v>
      </c>
      <c r="AD13" s="280" t="str">
        <f>IF(AND(AD12=0,AD14=0),"-",IF(AD14&gt;0,AD14,VLOOKUP(AD12,AC27:AD29,2,FALSE)))</f>
        <v>-</v>
      </c>
      <c r="AE13" s="253" t="s">
        <v>1</v>
      </c>
      <c r="AF13" s="1545"/>
      <c r="AH13" s="1800" t="s">
        <v>1289</v>
      </c>
      <c r="AI13" s="570">
        <f>IF(AE6=AE7,AD6/3600,0)</f>
        <v>0</v>
      </c>
      <c r="AJ13" s="570">
        <f>IF(AE6=AE8,AD6,0)</f>
        <v>0</v>
      </c>
      <c r="AK13" s="570">
        <f>IF(AE6=AE9,AD6/1000,0)</f>
        <v>0</v>
      </c>
      <c r="AL13" s="570">
        <f>IF(AE6=AE10,AL14/1000,0)</f>
        <v>0</v>
      </c>
      <c r="AU13" s="572"/>
      <c r="AW13" s="571">
        <f>$P$25</f>
        <v>0</v>
      </c>
      <c r="AX13" s="571">
        <v>100</v>
      </c>
      <c r="AY13" s="571">
        <f>AW13/1000*AX13/1000</f>
        <v>0</v>
      </c>
      <c r="AZ13" s="571">
        <f>((AW13/1000+AX13/1000)*2)</f>
        <v>0.2</v>
      </c>
      <c r="BA13" s="572">
        <f t="shared" ref="BA13:BA44" si="3">1.453*(AY13^0.6)/(AZ13^0.2)</f>
        <v>0</v>
      </c>
      <c r="BC13" s="573">
        <v>0.02</v>
      </c>
      <c r="BD13" s="571">
        <f t="shared" ref="BD13:BD75" si="4">$AU$15/BC13</f>
        <v>0</v>
      </c>
      <c r="BE13" s="571">
        <f t="shared" ref="BE13:BE76" si="5">((BD13/PI())^0.5)*2*1000</f>
        <v>0</v>
      </c>
      <c r="BF13" s="586">
        <f t="shared" si="0"/>
        <v>0</v>
      </c>
      <c r="BG13" s="586" t="e">
        <f t="shared" si="1"/>
        <v>#DIV/0!</v>
      </c>
      <c r="BH13" s="571" t="e">
        <f t="shared" si="2"/>
        <v>#DIV/0!</v>
      </c>
      <c r="BL13" s="2004" t="s">
        <v>2019</v>
      </c>
      <c r="BM13" s="1995"/>
      <c r="BN13" s="1995"/>
      <c r="BO13" s="1995"/>
      <c r="BP13" s="1995"/>
      <c r="BQ13" s="1995"/>
      <c r="BR13" s="1995"/>
      <c r="BS13" s="1995"/>
      <c r="BT13" s="1995"/>
      <c r="BU13" s="1995"/>
      <c r="BV13" s="1995"/>
      <c r="BW13" s="1995"/>
      <c r="BX13" s="1995"/>
      <c r="BY13" s="1995"/>
      <c r="BZ13" s="1995"/>
      <c r="CA13" s="1995"/>
      <c r="CB13" s="1995"/>
      <c r="CC13" s="1995"/>
      <c r="CD13" s="1995"/>
      <c r="CE13" s="1995"/>
      <c r="CF13" s="1995"/>
      <c r="CG13" s="1995"/>
      <c r="CH13" s="1995"/>
      <c r="CI13" s="1995"/>
      <c r="CJ13" s="1995"/>
      <c r="CK13" s="1995"/>
    </row>
    <row r="14" spans="2:89" ht="14.5">
      <c r="F14" s="2000"/>
      <c r="G14" s="533" t="str">
        <f>IF(G12="-","-",G13*1000)</f>
        <v>-</v>
      </c>
      <c r="H14" s="611" t="s">
        <v>3</v>
      </c>
      <c r="J14" s="444" t="s">
        <v>1299</v>
      </c>
      <c r="K14" s="529" t="str">
        <f>IF(K12*K13&gt;0,K12*K13,"-")</f>
        <v>-</v>
      </c>
      <c r="L14" s="253" t="s">
        <v>177</v>
      </c>
      <c r="M14" s="604"/>
      <c r="O14" s="729" t="s">
        <v>314</v>
      </c>
      <c r="P14" s="41"/>
      <c r="Q14" s="41"/>
      <c r="R14" s="810"/>
      <c r="S14" s="39"/>
      <c r="T14" s="751">
        <f>SUM(AI20:AL20)</f>
        <v>0</v>
      </c>
      <c r="U14" s="1556" t="s">
        <v>7</v>
      </c>
      <c r="W14" s="444"/>
      <c r="X14" s="811" t="s">
        <v>291</v>
      </c>
      <c r="Y14" s="534" t="s">
        <v>447</v>
      </c>
      <c r="Z14" s="253"/>
      <c r="AA14" s="604"/>
      <c r="AC14" s="610" t="s">
        <v>1336</v>
      </c>
      <c r="AD14" s="1406"/>
      <c r="AE14" s="253" t="s">
        <v>1</v>
      </c>
      <c r="AF14" s="1545"/>
      <c r="AH14" s="1800" t="s">
        <v>3</v>
      </c>
      <c r="AI14" s="570">
        <f>IF(AE6=AE7,AD6/3.6,0)</f>
        <v>0</v>
      </c>
      <c r="AJ14" s="570">
        <f>IF(AE6=AE8,AD6*1000,0)</f>
        <v>0</v>
      </c>
      <c r="AK14" s="570">
        <f>IF(AE6=AE9,AD6,0)</f>
        <v>0</v>
      </c>
      <c r="AL14" s="570">
        <f>IF(AE6=AE10,AD6*0.472,0)</f>
        <v>0</v>
      </c>
      <c r="AU14" s="572"/>
      <c r="AW14" s="571">
        <f t="shared" ref="AW14:AW77" si="6">$P$25</f>
        <v>0</v>
      </c>
      <c r="AX14" s="571">
        <v>150</v>
      </c>
      <c r="AY14" s="571">
        <f t="shared" ref="AY14:AY77" si="7">AW14/1000*AX14/1000</f>
        <v>0</v>
      </c>
      <c r="AZ14" s="571">
        <f t="shared" ref="AZ14:AZ77" si="8">((AW14/1000+AX14/1000)*2)</f>
        <v>0.3</v>
      </c>
      <c r="BA14" s="572">
        <f t="shared" si="3"/>
        <v>0</v>
      </c>
      <c r="BC14" s="573">
        <v>0.03</v>
      </c>
      <c r="BD14" s="571">
        <f t="shared" si="4"/>
        <v>0</v>
      </c>
      <c r="BE14" s="571">
        <f t="shared" si="5"/>
        <v>0</v>
      </c>
      <c r="BF14" s="586">
        <f t="shared" si="0"/>
        <v>0</v>
      </c>
      <c r="BG14" s="586" t="e">
        <f t="shared" si="1"/>
        <v>#DIV/0!</v>
      </c>
      <c r="BH14" s="571" t="e">
        <f t="shared" si="2"/>
        <v>#DIV/0!</v>
      </c>
      <c r="BK14" s="571" t="s">
        <v>134</v>
      </c>
      <c r="BL14" s="39">
        <v>8</v>
      </c>
      <c r="BM14" s="39">
        <v>9</v>
      </c>
      <c r="BN14" s="39">
        <v>10</v>
      </c>
      <c r="BO14" s="39">
        <v>11</v>
      </c>
      <c r="BP14" s="39">
        <v>12</v>
      </c>
      <c r="BQ14" s="39">
        <v>13</v>
      </c>
      <c r="BR14" s="39">
        <v>14</v>
      </c>
      <c r="BS14" s="39">
        <v>15</v>
      </c>
      <c r="BT14" s="39">
        <v>16</v>
      </c>
      <c r="BU14" s="39">
        <v>18</v>
      </c>
      <c r="BV14" s="39">
        <v>20</v>
      </c>
      <c r="BW14" s="39">
        <v>22</v>
      </c>
      <c r="BX14" s="39">
        <v>24</v>
      </c>
      <c r="BY14" s="39">
        <v>26</v>
      </c>
      <c r="BZ14" s="39">
        <v>28</v>
      </c>
      <c r="CA14" s="39">
        <v>30</v>
      </c>
      <c r="CB14" s="39">
        <v>32</v>
      </c>
      <c r="CC14" s="39">
        <v>34</v>
      </c>
      <c r="CD14" s="39">
        <v>36</v>
      </c>
      <c r="CE14" s="39">
        <v>40</v>
      </c>
      <c r="CF14" s="39">
        <v>42</v>
      </c>
      <c r="CG14" s="39">
        <v>4</v>
      </c>
      <c r="CH14" s="39">
        <v>48</v>
      </c>
      <c r="CI14" s="39">
        <v>52</v>
      </c>
      <c r="CJ14" s="39">
        <v>56</v>
      </c>
      <c r="CK14" s="39">
        <v>60</v>
      </c>
    </row>
    <row r="15" spans="2:89" ht="14.5">
      <c r="F15" s="2000"/>
      <c r="G15" s="533" t="str">
        <f>IF(G12="-","-",G14*0.472)</f>
        <v>-</v>
      </c>
      <c r="H15" s="611" t="s">
        <v>7</v>
      </c>
      <c r="J15" s="724" t="s">
        <v>1322</v>
      </c>
      <c r="K15" s="543" t="str">
        <f>IF(AND(K12*K13&gt;0,K6&gt;0),K7/K14,"-")</f>
        <v>-</v>
      </c>
      <c r="L15" s="548" t="s">
        <v>1323</v>
      </c>
      <c r="M15" s="611"/>
      <c r="O15" s="835" t="s">
        <v>1541</v>
      </c>
      <c r="P15" s="1391"/>
      <c r="Q15" s="41" t="s">
        <v>14</v>
      </c>
      <c r="R15" s="810"/>
      <c r="S15" s="39"/>
      <c r="T15" s="550" t="str">
        <f>IF(OR(AND(P13&gt;0,P15&gt;0),AND(P13&gt;0,P17&gt;0),AND(P15&gt;0,P17&gt;0)),"x","-")</f>
        <v>-</v>
      </c>
      <c r="U15" s="1548"/>
      <c r="W15" s="752" t="s">
        <v>1315</v>
      </c>
      <c r="X15" s="1403"/>
      <c r="Y15" s="551" t="str">
        <f>IF(X12*X15=0,"-",X15*X12)</f>
        <v>-</v>
      </c>
      <c r="Z15" s="253" t="s">
        <v>1</v>
      </c>
      <c r="AA15" s="604"/>
      <c r="AC15" s="444"/>
      <c r="AD15" s="45"/>
      <c r="AE15" s="45"/>
      <c r="AF15" s="1545"/>
      <c r="AH15" s="1800" t="s">
        <v>7</v>
      </c>
      <c r="AI15" s="570">
        <f>IF(AE6=AE7,AI14/0.472,0)</f>
        <v>0</v>
      </c>
      <c r="AJ15" s="570">
        <f>IF(AE6=AE8,AJ14/0.472,0)</f>
        <v>0</v>
      </c>
      <c r="AK15" s="570">
        <f>IF(AE6=AE9,AK14/0.472,0)</f>
        <v>0</v>
      </c>
      <c r="AL15" s="570">
        <f>IF(AE6=AE10,AD6,0)</f>
        <v>0</v>
      </c>
      <c r="AU15" s="1569">
        <f>T12</f>
        <v>0</v>
      </c>
      <c r="AW15" s="571">
        <f t="shared" si="6"/>
        <v>0</v>
      </c>
      <c r="AX15" s="571">
        <v>200</v>
      </c>
      <c r="AY15" s="571">
        <f t="shared" si="7"/>
        <v>0</v>
      </c>
      <c r="AZ15" s="571">
        <f t="shared" si="8"/>
        <v>0.4</v>
      </c>
      <c r="BA15" s="572">
        <f t="shared" si="3"/>
        <v>0</v>
      </c>
      <c r="BC15" s="573">
        <v>0.04</v>
      </c>
      <c r="BD15" s="571">
        <f t="shared" si="4"/>
        <v>0</v>
      </c>
      <c r="BE15" s="571">
        <f t="shared" si="5"/>
        <v>0</v>
      </c>
      <c r="BF15" s="586">
        <f t="shared" si="0"/>
        <v>0</v>
      </c>
      <c r="BG15" s="586" t="e">
        <f t="shared" si="1"/>
        <v>#DIV/0!</v>
      </c>
      <c r="BH15" s="571" t="e">
        <f t="shared" si="2"/>
        <v>#DIV/0!</v>
      </c>
      <c r="BK15" s="1535">
        <v>150</v>
      </c>
      <c r="BL15" s="39">
        <v>264</v>
      </c>
      <c r="BM15" s="39">
        <v>305</v>
      </c>
      <c r="BN15" s="39">
        <v>343</v>
      </c>
      <c r="BO15" s="39">
        <v>381</v>
      </c>
      <c r="BP15" s="39">
        <v>419</v>
      </c>
      <c r="BQ15" s="39">
        <v>470</v>
      </c>
      <c r="BR15" s="39">
        <v>508</v>
      </c>
      <c r="BS15" s="39">
        <v>545</v>
      </c>
    </row>
    <row r="16" spans="2:89" ht="15" customHeight="1">
      <c r="F16" s="51"/>
      <c r="G16" s="446"/>
      <c r="H16" s="52"/>
      <c r="J16" s="51"/>
      <c r="K16" s="446"/>
      <c r="L16" s="446"/>
      <c r="M16" s="52"/>
      <c r="O16" s="729" t="s">
        <v>314</v>
      </c>
      <c r="P16" s="41"/>
      <c r="Q16" s="41"/>
      <c r="R16" s="810"/>
      <c r="S16" s="39"/>
      <c r="T16" s="879" t="str">
        <f>IF(P13&gt;0,1,IF(P15&gt;0,2,IF(AND(P17&gt;0,Q17&gt;0),3,"-")))</f>
        <v>-</v>
      </c>
      <c r="U16" s="1548"/>
      <c r="W16" s="444" t="s">
        <v>1291</v>
      </c>
      <c r="X16" s="2001" t="str">
        <f>IF(OR(Y15="-",X8="-"),"-",X8/Y15)</f>
        <v>-</v>
      </c>
      <c r="Y16" s="2001"/>
      <c r="Z16" s="253" t="s">
        <v>178</v>
      </c>
      <c r="AA16" s="604"/>
      <c r="AC16" s="628" t="s">
        <v>1304</v>
      </c>
      <c r="AD16" s="45"/>
      <c r="AE16" s="45"/>
      <c r="AF16" s="1545"/>
      <c r="AU16" s="572"/>
      <c r="AW16" s="571">
        <f t="shared" si="6"/>
        <v>0</v>
      </c>
      <c r="AX16" s="571">
        <v>250</v>
      </c>
      <c r="AY16" s="571">
        <f t="shared" si="7"/>
        <v>0</v>
      </c>
      <c r="AZ16" s="571">
        <f t="shared" si="8"/>
        <v>0.5</v>
      </c>
      <c r="BA16" s="572">
        <f t="shared" si="3"/>
        <v>0</v>
      </c>
      <c r="BC16" s="573">
        <v>0.05</v>
      </c>
      <c r="BD16" s="571">
        <f t="shared" si="4"/>
        <v>0</v>
      </c>
      <c r="BE16" s="571">
        <f t="shared" si="5"/>
        <v>0</v>
      </c>
      <c r="BF16" s="586">
        <f t="shared" si="0"/>
        <v>0</v>
      </c>
      <c r="BG16" s="586" t="e">
        <f t="shared" si="1"/>
        <v>#DIV/0!</v>
      </c>
      <c r="BH16" s="571" t="e">
        <f t="shared" si="2"/>
        <v>#DIV/0!</v>
      </c>
      <c r="BK16" s="571">
        <v>127</v>
      </c>
      <c r="BL16" s="39">
        <v>246</v>
      </c>
      <c r="BM16" s="39">
        <v>287</v>
      </c>
      <c r="BN16" s="39">
        <v>330</v>
      </c>
      <c r="BO16" s="39">
        <v>368</v>
      </c>
      <c r="BP16" s="39">
        <v>406</v>
      </c>
      <c r="BQ16" s="39">
        <v>445</v>
      </c>
      <c r="BR16" s="39">
        <v>495</v>
      </c>
      <c r="BS16" s="39">
        <v>533</v>
      </c>
    </row>
    <row r="17" spans="6:89" ht="13.5" customHeight="1">
      <c r="O17" s="831" t="s">
        <v>1542</v>
      </c>
      <c r="P17" s="1391"/>
      <c r="Q17" s="1391"/>
      <c r="R17" s="810"/>
      <c r="S17" s="39"/>
      <c r="T17" s="556" t="str">
        <f>IF(AND(P17&gt;0, Q17&gt;0),"Aspect ratio 1 : "&amp;AU17,"")</f>
        <v/>
      </c>
      <c r="U17" s="1542"/>
      <c r="W17" s="444"/>
      <c r="X17" s="45"/>
      <c r="Y17" s="253"/>
      <c r="Z17" s="253"/>
      <c r="AA17" s="604"/>
      <c r="AC17" s="755" t="s">
        <v>1351</v>
      </c>
      <c r="AD17" s="1402">
        <v>0.45</v>
      </c>
      <c r="AE17" s="45"/>
      <c r="AF17" s="1545"/>
      <c r="AH17" s="1800" t="s">
        <v>480</v>
      </c>
      <c r="AI17" s="570">
        <f>IF(Q11=AH17,P11,0)</f>
        <v>0</v>
      </c>
      <c r="AJ17" s="570">
        <f>AJ18*3600</f>
        <v>0</v>
      </c>
      <c r="AK17" s="570">
        <f>AK18*3600</f>
        <v>0</v>
      </c>
      <c r="AL17" s="570">
        <f>AL19*3.6</f>
        <v>0</v>
      </c>
      <c r="AU17" s="571" t="e">
        <f>ROUND(IF(P17&lt;Q17,Q17/P17,P17/Q17),2)</f>
        <v>#DIV/0!</v>
      </c>
      <c r="AW17" s="571">
        <f t="shared" si="6"/>
        <v>0</v>
      </c>
      <c r="AX17" s="571">
        <v>300</v>
      </c>
      <c r="AY17" s="571">
        <f t="shared" si="7"/>
        <v>0</v>
      </c>
      <c r="AZ17" s="571">
        <f t="shared" si="8"/>
        <v>0.6</v>
      </c>
      <c r="BA17" s="572">
        <f t="shared" si="3"/>
        <v>0</v>
      </c>
      <c r="BC17" s="573">
        <v>0.06</v>
      </c>
      <c r="BD17" s="571">
        <f t="shared" si="4"/>
        <v>0</v>
      </c>
      <c r="BE17" s="571">
        <f t="shared" si="5"/>
        <v>0</v>
      </c>
      <c r="BF17" s="586">
        <f t="shared" si="0"/>
        <v>0</v>
      </c>
      <c r="BG17" s="586" t="e">
        <f t="shared" si="1"/>
        <v>#DIV/0!</v>
      </c>
      <c r="BH17" s="571" t="e">
        <f t="shared" si="2"/>
        <v>#DIV/0!</v>
      </c>
      <c r="BK17" s="571">
        <v>152</v>
      </c>
      <c r="BL17" s="39">
        <v>238</v>
      </c>
      <c r="BM17" s="39">
        <v>280</v>
      </c>
      <c r="BN17" s="39">
        <v>318</v>
      </c>
      <c r="BO17" s="39">
        <v>356</v>
      </c>
      <c r="BP17" s="39">
        <v>394</v>
      </c>
      <c r="BQ17" s="39">
        <v>432</v>
      </c>
      <c r="BR17" s="39">
        <v>483</v>
      </c>
      <c r="BS17" s="39">
        <v>521</v>
      </c>
      <c r="BT17" s="39">
        <v>560</v>
      </c>
      <c r="BU17" s="39">
        <v>635</v>
      </c>
      <c r="BV17" s="39">
        <v>711</v>
      </c>
      <c r="BW17" s="39">
        <v>790</v>
      </c>
      <c r="BX17" s="39">
        <v>870</v>
      </c>
      <c r="BY17" s="39">
        <v>950</v>
      </c>
      <c r="BZ17" s="39">
        <v>1030</v>
      </c>
      <c r="CA17" s="39">
        <v>1110</v>
      </c>
      <c r="CB17" s="39">
        <v>1194</v>
      </c>
    </row>
    <row r="18" spans="6:89" ht="13">
      <c r="F18" s="671" t="s">
        <v>1489</v>
      </c>
      <c r="G18" s="672"/>
      <c r="H18" s="672"/>
      <c r="O18" s="730"/>
      <c r="P18" s="731" t="s">
        <v>0</v>
      </c>
      <c r="Q18" s="731" t="s">
        <v>0</v>
      </c>
      <c r="R18" s="740"/>
      <c r="S18" s="39"/>
      <c r="T18" s="38"/>
      <c r="U18" s="1542"/>
      <c r="W18" s="444"/>
      <c r="X18" s="256" t="s">
        <v>173</v>
      </c>
      <c r="Y18" s="256" t="s">
        <v>182</v>
      </c>
      <c r="Z18" s="253"/>
      <c r="AA18" s="604"/>
      <c r="AC18" s="755" t="s">
        <v>1350</v>
      </c>
      <c r="AD18" s="1402">
        <v>1</v>
      </c>
      <c r="AE18" s="45"/>
      <c r="AF18" s="1545"/>
      <c r="AH18" s="1800" t="s">
        <v>1289</v>
      </c>
      <c r="AI18" s="570">
        <f>AI17/3600</f>
        <v>0</v>
      </c>
      <c r="AJ18" s="570">
        <f>IF(Q11=AH18,P11,0)</f>
        <v>0</v>
      </c>
      <c r="AK18" s="570">
        <f>AK19/1000</f>
        <v>0</v>
      </c>
      <c r="AL18" s="570">
        <f>AL19/1000</f>
        <v>0</v>
      </c>
      <c r="AW18" s="571">
        <f t="shared" si="6"/>
        <v>0</v>
      </c>
      <c r="AX18" s="571">
        <v>350</v>
      </c>
      <c r="AY18" s="571">
        <f t="shared" si="7"/>
        <v>0</v>
      </c>
      <c r="AZ18" s="571">
        <f t="shared" si="8"/>
        <v>0.7</v>
      </c>
      <c r="BA18" s="572">
        <f t="shared" si="3"/>
        <v>0</v>
      </c>
      <c r="BC18" s="573">
        <v>7.0000000000000007E-2</v>
      </c>
      <c r="BD18" s="571">
        <f t="shared" si="4"/>
        <v>0</v>
      </c>
      <c r="BE18" s="571">
        <f t="shared" si="5"/>
        <v>0</v>
      </c>
      <c r="BF18" s="586">
        <f t="shared" si="0"/>
        <v>0</v>
      </c>
      <c r="BG18" s="586" t="e">
        <f t="shared" si="1"/>
        <v>#DIV/0!</v>
      </c>
      <c r="BH18" s="571" t="e">
        <f t="shared" si="2"/>
        <v>#DIV/0!</v>
      </c>
      <c r="BK18" s="571">
        <v>178</v>
      </c>
      <c r="BN18" s="39">
        <v>300</v>
      </c>
      <c r="BO18" s="39">
        <v>338</v>
      </c>
      <c r="BP18" s="39">
        <v>377</v>
      </c>
      <c r="BQ18" s="39">
        <v>417</v>
      </c>
      <c r="BR18" s="39">
        <v>457</v>
      </c>
      <c r="BS18" s="39">
        <v>496</v>
      </c>
      <c r="BT18" s="39">
        <v>537</v>
      </c>
      <c r="BU18" s="39">
        <v>617</v>
      </c>
      <c r="BV18" s="39">
        <v>696</v>
      </c>
      <c r="BW18" s="39">
        <v>776</v>
      </c>
      <c r="BX18" s="39">
        <v>856</v>
      </c>
      <c r="BY18" s="39">
        <v>936</v>
      </c>
      <c r="BZ18" s="39">
        <v>1015</v>
      </c>
      <c r="CA18" s="39">
        <v>1096</v>
      </c>
      <c r="CB18" s="39">
        <v>1176</v>
      </c>
      <c r="CC18" s="39">
        <v>1255</v>
      </c>
    </row>
    <row r="19" spans="6:89" ht="13">
      <c r="F19" s="268" t="s">
        <v>1477</v>
      </c>
      <c r="G19" s="268"/>
      <c r="H19" s="670">
        <v>3</v>
      </c>
      <c r="S19" s="39"/>
      <c r="U19" s="1542"/>
      <c r="W19" s="444" t="s">
        <v>1294</v>
      </c>
      <c r="X19" s="1404"/>
      <c r="Y19" s="1404"/>
      <c r="Z19" s="253" t="s">
        <v>0</v>
      </c>
      <c r="AA19" s="604"/>
      <c r="AC19" s="755"/>
      <c r="AD19" s="45"/>
      <c r="AE19" s="45"/>
      <c r="AF19" s="1545"/>
      <c r="AH19" s="1800" t="s">
        <v>3</v>
      </c>
      <c r="AI19" s="570">
        <f>AI18*1000</f>
        <v>0</v>
      </c>
      <c r="AJ19" s="570">
        <f>AJ18*1000</f>
        <v>0</v>
      </c>
      <c r="AK19" s="570">
        <f>IF(Q11=AH19,P11,0)</f>
        <v>0</v>
      </c>
      <c r="AL19" s="570">
        <f>AL20*0.472</f>
        <v>0</v>
      </c>
      <c r="AW19" s="571">
        <f t="shared" si="6"/>
        <v>0</v>
      </c>
      <c r="AX19" s="571">
        <v>400</v>
      </c>
      <c r="AY19" s="571">
        <f t="shared" si="7"/>
        <v>0</v>
      </c>
      <c r="AZ19" s="571">
        <f t="shared" si="8"/>
        <v>0.8</v>
      </c>
      <c r="BA19" s="572">
        <f t="shared" si="3"/>
        <v>0</v>
      </c>
      <c r="BC19" s="573">
        <v>0.08</v>
      </c>
      <c r="BD19" s="571">
        <f t="shared" si="4"/>
        <v>0</v>
      </c>
      <c r="BE19" s="571">
        <f t="shared" si="5"/>
        <v>0</v>
      </c>
      <c r="BF19" s="586">
        <f t="shared" si="0"/>
        <v>0</v>
      </c>
      <c r="BG19" s="586" t="e">
        <f t="shared" si="1"/>
        <v>#DIV/0!</v>
      </c>
      <c r="BH19" s="571" t="e">
        <f t="shared" si="2"/>
        <v>#DIV/0!</v>
      </c>
      <c r="BK19" s="571">
        <v>203</v>
      </c>
      <c r="BN19" s="39">
        <v>280</v>
      </c>
      <c r="BO19" s="39">
        <v>322</v>
      </c>
      <c r="BP19" s="39">
        <v>363</v>
      </c>
      <c r="BQ19" s="39">
        <v>402</v>
      </c>
      <c r="BR19" s="39">
        <v>444</v>
      </c>
      <c r="BS19" s="39">
        <v>483</v>
      </c>
      <c r="BT19" s="39">
        <v>522</v>
      </c>
      <c r="BU19" s="39">
        <v>602</v>
      </c>
      <c r="BV19" s="39">
        <v>681</v>
      </c>
      <c r="BW19" s="39">
        <v>761</v>
      </c>
      <c r="BX19" s="39">
        <v>841</v>
      </c>
      <c r="BY19" s="39">
        <v>921</v>
      </c>
      <c r="BZ19" s="39">
        <v>1000</v>
      </c>
      <c r="CA19" s="39">
        <v>1080</v>
      </c>
      <c r="CB19" s="39">
        <v>1160</v>
      </c>
      <c r="CC19" s="39">
        <v>1240</v>
      </c>
      <c r="CD19" s="39">
        <v>1320</v>
      </c>
      <c r="CE19" s="39">
        <v>1481</v>
      </c>
    </row>
    <row r="20" spans="6:89" ht="14.5">
      <c r="F20" s="268" t="s">
        <v>1478</v>
      </c>
      <c r="G20" s="268"/>
      <c r="H20" s="670">
        <v>6</v>
      </c>
      <c r="O20" s="732" t="s">
        <v>131</v>
      </c>
      <c r="P20" s="733" t="str">
        <f>IF(T15="x","x",IF(AND(T12&gt;0,P13&gt;0),AX7,IF(AND(T12&gt;0,P15&gt;0),BD7,IF(AND(T12&gt;0,P17&gt;0,Q17&gt;0),BH9,"-"))))</f>
        <v>-</v>
      </c>
      <c r="Q20" s="830" t="s">
        <v>14</v>
      </c>
      <c r="R20" s="809"/>
      <c r="S20" s="39"/>
      <c r="W20" s="444" t="s">
        <v>1295</v>
      </c>
      <c r="X20" s="253" t="s">
        <v>243</v>
      </c>
      <c r="Y20" s="539" t="str">
        <f>IF(OR(X19=0,X16="-"),"-",MROUND((X16/(X19*10^-3))*1000,50))</f>
        <v>-</v>
      </c>
      <c r="Z20" s="253"/>
      <c r="AA20" s="604"/>
      <c r="AC20" s="444" t="s">
        <v>292</v>
      </c>
      <c r="AD20" s="538" t="str">
        <f>IF(OR(AD6="-",AD13="-"),"-",AD8/AD13*0.45/AD17/AD18)</f>
        <v>-</v>
      </c>
      <c r="AE20" s="253" t="s">
        <v>178</v>
      </c>
      <c r="AF20" s="1545"/>
      <c r="AH20" s="1800" t="s">
        <v>7</v>
      </c>
      <c r="AI20" s="570">
        <f>AI19/0.472</f>
        <v>0</v>
      </c>
      <c r="AJ20" s="570">
        <f>AJ19/0.472</f>
        <v>0</v>
      </c>
      <c r="AK20" s="570">
        <f>AK19/0.472</f>
        <v>0</v>
      </c>
      <c r="AL20" s="570">
        <f>IF(Q11=AH20,P11,0)</f>
        <v>0</v>
      </c>
      <c r="AU20" s="571">
        <f>IF(P22="-",0,1)</f>
        <v>0</v>
      </c>
      <c r="AW20" s="571">
        <f t="shared" si="6"/>
        <v>0</v>
      </c>
      <c r="AX20" s="571">
        <v>450</v>
      </c>
      <c r="AY20" s="571">
        <f t="shared" si="7"/>
        <v>0</v>
      </c>
      <c r="AZ20" s="571">
        <f t="shared" si="8"/>
        <v>0.9</v>
      </c>
      <c r="BA20" s="572">
        <f t="shared" si="3"/>
        <v>0</v>
      </c>
      <c r="BC20" s="573">
        <v>0.09</v>
      </c>
      <c r="BD20" s="571">
        <f t="shared" si="4"/>
        <v>0</v>
      </c>
      <c r="BE20" s="571">
        <f t="shared" si="5"/>
        <v>0</v>
      </c>
      <c r="BF20" s="586">
        <f t="shared" si="0"/>
        <v>0</v>
      </c>
      <c r="BG20" s="586" t="e">
        <f t="shared" si="1"/>
        <v>#DIV/0!</v>
      </c>
      <c r="BH20" s="571" t="e">
        <f t="shared" si="2"/>
        <v>#DIV/0!</v>
      </c>
      <c r="BK20" s="571">
        <v>225</v>
      </c>
      <c r="BO20" s="39">
        <v>309</v>
      </c>
      <c r="BP20" s="39">
        <v>348</v>
      </c>
      <c r="BQ20" s="39">
        <v>388</v>
      </c>
      <c r="BR20" s="39">
        <v>429</v>
      </c>
      <c r="BS20" s="39">
        <v>468</v>
      </c>
      <c r="BT20" s="39">
        <v>509</v>
      </c>
      <c r="BU20" s="39">
        <v>588</v>
      </c>
      <c r="BV20" s="39">
        <v>668</v>
      </c>
      <c r="BW20" s="39">
        <v>747</v>
      </c>
      <c r="BX20" s="39">
        <v>827</v>
      </c>
      <c r="BY20" s="39">
        <v>907</v>
      </c>
      <c r="BZ20" s="39">
        <v>987</v>
      </c>
      <c r="CA20" s="39">
        <v>1067</v>
      </c>
      <c r="CB20" s="39">
        <v>1146</v>
      </c>
      <c r="CC20" s="39">
        <v>1226</v>
      </c>
      <c r="CD20" s="39">
        <v>1306</v>
      </c>
      <c r="CE20" s="39">
        <v>1466</v>
      </c>
      <c r="CF20" s="39">
        <v>1545</v>
      </c>
      <c r="CG20" s="39">
        <v>1625</v>
      </c>
      <c r="CH20" s="39">
        <v>1785</v>
      </c>
      <c r="CI20" s="39">
        <v>1944</v>
      </c>
    </row>
    <row r="21" spans="6:89" ht="14.5">
      <c r="F21" s="268" t="s">
        <v>1479</v>
      </c>
      <c r="G21" s="268"/>
      <c r="H21" s="670">
        <v>8</v>
      </c>
      <c r="O21" s="734" t="s">
        <v>15</v>
      </c>
      <c r="P21" s="42" t="str">
        <f>IF(AU14="x","x",IF(AND(AU15&gt;0,P13&gt;0),AX8,IF(AND(AU15&gt;0,P15&gt;0),BD8,IF(AND(AU15&gt;0,P17&gt;0,Q17&gt;0),BH4,"-"))))</f>
        <v>-</v>
      </c>
      <c r="Q21" s="40" t="s">
        <v>1</v>
      </c>
      <c r="R21" s="735"/>
      <c r="S21" s="39"/>
      <c r="W21" s="444" t="s">
        <v>1324</v>
      </c>
      <c r="X21" s="254" t="str">
        <f>IF(X8="-","-",IF(X19*Y19&gt;0,X19/1000*Y19/1000,"-"))</f>
        <v>-</v>
      </c>
      <c r="Y21" s="253" t="s">
        <v>178</v>
      </c>
      <c r="Z21" s="253"/>
      <c r="AA21" s="604"/>
      <c r="AC21" s="444" t="s">
        <v>1318</v>
      </c>
      <c r="AD21" s="538" t="str">
        <f>IF(AD20="-","-",AD20*AD17)</f>
        <v>-</v>
      </c>
      <c r="AE21" s="253" t="s">
        <v>178</v>
      </c>
      <c r="AF21" s="1545"/>
      <c r="AW21" s="571">
        <f t="shared" si="6"/>
        <v>0</v>
      </c>
      <c r="AX21" s="571">
        <v>500</v>
      </c>
      <c r="AY21" s="571">
        <f t="shared" si="7"/>
        <v>0</v>
      </c>
      <c r="AZ21" s="571">
        <f t="shared" si="8"/>
        <v>1</v>
      </c>
      <c r="BA21" s="572">
        <f t="shared" si="3"/>
        <v>0</v>
      </c>
      <c r="BC21" s="573">
        <v>0.1</v>
      </c>
      <c r="BD21" s="571">
        <f t="shared" si="4"/>
        <v>0</v>
      </c>
      <c r="BE21" s="571">
        <f t="shared" si="5"/>
        <v>0</v>
      </c>
      <c r="BF21" s="586">
        <f t="shared" si="0"/>
        <v>0</v>
      </c>
      <c r="BG21" s="586" t="e">
        <f t="shared" si="1"/>
        <v>#DIV/0!</v>
      </c>
      <c r="BH21" s="571" t="e">
        <f t="shared" si="2"/>
        <v>#DIV/0!</v>
      </c>
      <c r="BK21" s="571">
        <v>254</v>
      </c>
      <c r="BP21" s="39">
        <v>333</v>
      </c>
      <c r="BQ21" s="39">
        <v>373</v>
      </c>
      <c r="BR21" s="39">
        <v>414</v>
      </c>
      <c r="BS21" s="39">
        <v>454</v>
      </c>
      <c r="BT21" s="39">
        <v>493</v>
      </c>
      <c r="BU21" s="39">
        <v>573</v>
      </c>
      <c r="BV21" s="39">
        <v>653</v>
      </c>
      <c r="BW21" s="39">
        <v>732</v>
      </c>
      <c r="BX21" s="39">
        <v>812</v>
      </c>
      <c r="BY21" s="39">
        <v>892</v>
      </c>
      <c r="BZ21" s="39">
        <v>972</v>
      </c>
      <c r="CA21" s="39">
        <v>1052</v>
      </c>
      <c r="CB21" s="39">
        <v>1132</v>
      </c>
      <c r="CC21" s="39">
        <v>1212</v>
      </c>
      <c r="CD21" s="39">
        <v>1291</v>
      </c>
      <c r="CE21" s="39">
        <v>1451</v>
      </c>
      <c r="CF21" s="39">
        <v>1531</v>
      </c>
      <c r="CG21" s="39">
        <v>1610</v>
      </c>
      <c r="CH21" s="39">
        <v>1770</v>
      </c>
      <c r="CI21" s="39">
        <v>1930</v>
      </c>
    </row>
    <row r="22" spans="6:89" ht="13">
      <c r="F22" s="268" t="s">
        <v>1480</v>
      </c>
      <c r="G22" s="268"/>
      <c r="H22" s="670">
        <v>60</v>
      </c>
      <c r="O22" s="736" t="s">
        <v>309</v>
      </c>
      <c r="P22" s="546" t="str">
        <f>IF(AU14="x","x",IF(AND(AU15&gt;0,P13&gt;0),AX9,IF(AND(AU15&gt;0,P15&gt;0),BD9,IF(AND(AU15&gt;0,P17&gt;0,Q17&gt;0),BH6,"-"))))</f>
        <v>-</v>
      </c>
      <c r="Q22" s="833" t="s">
        <v>0</v>
      </c>
      <c r="R22" s="737"/>
      <c r="S22" s="39"/>
      <c r="W22" s="753" t="s">
        <v>1292</v>
      </c>
      <c r="X22" s="540" t="str">
        <f>IF(Y19&gt;0,ROUNDUP(Y20/Y19,0),"-")</f>
        <v>-</v>
      </c>
      <c r="Y22" s="253" t="s">
        <v>599</v>
      </c>
      <c r="Z22" s="253"/>
      <c r="AA22" s="604"/>
      <c r="AC22" s="444" t="s">
        <v>2021</v>
      </c>
      <c r="AD22" s="557" t="str">
        <f>IF(OR(AD21="-",AD8="-"),"-",AD8/AD21)</f>
        <v>-</v>
      </c>
      <c r="AE22" s="253" t="s">
        <v>1</v>
      </c>
      <c r="AF22" s="1545"/>
      <c r="AW22" s="571">
        <f t="shared" si="6"/>
        <v>0</v>
      </c>
      <c r="AX22" s="571">
        <v>550</v>
      </c>
      <c r="AY22" s="571">
        <f t="shared" si="7"/>
        <v>0</v>
      </c>
      <c r="AZ22" s="571">
        <f t="shared" si="8"/>
        <v>1.1000000000000001</v>
      </c>
      <c r="BA22" s="572">
        <f t="shared" si="3"/>
        <v>0</v>
      </c>
      <c r="BC22" s="573">
        <v>0.11</v>
      </c>
      <c r="BD22" s="571">
        <f t="shared" si="4"/>
        <v>0</v>
      </c>
      <c r="BE22" s="571">
        <f t="shared" si="5"/>
        <v>0</v>
      </c>
      <c r="BF22" s="586">
        <f t="shared" si="0"/>
        <v>0</v>
      </c>
      <c r="BG22" s="586" t="e">
        <f t="shared" si="1"/>
        <v>#DIV/0!</v>
      </c>
      <c r="BH22" s="571" t="e">
        <f t="shared" si="2"/>
        <v>#DIV/0!</v>
      </c>
      <c r="BK22" s="571">
        <v>279</v>
      </c>
      <c r="BQ22" s="39">
        <v>356</v>
      </c>
      <c r="BR22" s="39">
        <v>400</v>
      </c>
      <c r="BS22" s="39">
        <v>440</v>
      </c>
      <c r="BT22" s="39">
        <v>485</v>
      </c>
      <c r="BU22" s="39">
        <v>560</v>
      </c>
      <c r="BV22" s="39">
        <v>639</v>
      </c>
      <c r="BW22" s="39">
        <v>718</v>
      </c>
      <c r="BX22" s="39">
        <v>798</v>
      </c>
      <c r="BY22" s="39">
        <v>878</v>
      </c>
      <c r="BZ22" s="39">
        <v>957</v>
      </c>
      <c r="CA22" s="39">
        <v>1037</v>
      </c>
      <c r="CB22" s="39">
        <v>1117</v>
      </c>
      <c r="CC22" s="39">
        <v>1197</v>
      </c>
      <c r="CD22" s="39">
        <v>1277</v>
      </c>
      <c r="CE22" s="39">
        <v>1436</v>
      </c>
      <c r="CF22" s="39">
        <v>1516</v>
      </c>
      <c r="CG22" s="39">
        <v>1596</v>
      </c>
      <c r="CH22" s="39">
        <v>1755</v>
      </c>
      <c r="CI22" s="39">
        <v>1915</v>
      </c>
    </row>
    <row r="23" spans="6:89" ht="12.75" customHeight="1">
      <c r="F23" s="268" t="s">
        <v>1481</v>
      </c>
      <c r="G23" s="268"/>
      <c r="H23" s="670">
        <v>40</v>
      </c>
      <c r="J23" s="256"/>
      <c r="K23" s="256"/>
      <c r="L23" s="256"/>
      <c r="M23" s="256"/>
      <c r="S23" s="39"/>
      <c r="W23" s="444" t="s">
        <v>1293</v>
      </c>
      <c r="X23" s="815" t="str">
        <f>IF(Y19&gt;0,X6/X22,"-")</f>
        <v>-</v>
      </c>
      <c r="Y23" s="541" t="str">
        <f>Y6</f>
        <v>L/s</v>
      </c>
      <c r="Z23" s="253"/>
      <c r="AA23" s="604"/>
      <c r="AC23" s="444"/>
      <c r="AD23" s="557"/>
      <c r="AE23" s="253"/>
      <c r="AF23" s="1545"/>
      <c r="AW23" s="571">
        <f t="shared" si="6"/>
        <v>0</v>
      </c>
      <c r="AX23" s="571">
        <v>600</v>
      </c>
      <c r="AY23" s="571">
        <f t="shared" si="7"/>
        <v>0</v>
      </c>
      <c r="AZ23" s="571">
        <f t="shared" si="8"/>
        <v>1.2</v>
      </c>
      <c r="BA23" s="572">
        <f t="shared" si="3"/>
        <v>0</v>
      </c>
      <c r="BC23" s="573">
        <v>0.12</v>
      </c>
      <c r="BD23" s="571">
        <f t="shared" si="4"/>
        <v>0</v>
      </c>
      <c r="BE23" s="571">
        <f t="shared" si="5"/>
        <v>0</v>
      </c>
      <c r="BF23" s="586">
        <f t="shared" si="0"/>
        <v>0</v>
      </c>
      <c r="BG23" s="586" t="e">
        <f t="shared" si="1"/>
        <v>#DIV/0!</v>
      </c>
      <c r="BH23" s="571" t="e">
        <f t="shared" si="2"/>
        <v>#DIV/0!</v>
      </c>
      <c r="BK23" s="571">
        <v>305</v>
      </c>
      <c r="BQ23" s="39">
        <v>345</v>
      </c>
      <c r="BR23" s="39">
        <v>385</v>
      </c>
      <c r="BS23" s="39">
        <v>424</v>
      </c>
      <c r="BT23" s="39">
        <v>465</v>
      </c>
      <c r="BU23" s="39">
        <v>544</v>
      </c>
      <c r="BV23" s="39">
        <v>625</v>
      </c>
      <c r="BW23" s="39">
        <v>704</v>
      </c>
      <c r="BX23" s="39">
        <v>784</v>
      </c>
      <c r="BY23" s="39">
        <v>864</v>
      </c>
      <c r="BZ23" s="39">
        <v>943</v>
      </c>
      <c r="CA23" s="39">
        <v>1023</v>
      </c>
      <c r="CB23" s="39">
        <v>1103</v>
      </c>
      <c r="CC23" s="39">
        <v>1182</v>
      </c>
      <c r="CD23" s="39">
        <v>1263</v>
      </c>
      <c r="CE23" s="39">
        <v>1422</v>
      </c>
      <c r="CF23" s="39">
        <v>1502</v>
      </c>
      <c r="CG23" s="39">
        <v>1582</v>
      </c>
      <c r="CH23" s="39">
        <v>1741</v>
      </c>
      <c r="CI23" s="39">
        <v>1900</v>
      </c>
      <c r="CJ23" s="39">
        <v>2070</v>
      </c>
    </row>
    <row r="24" spans="6:89" ht="12.75" customHeight="1">
      <c r="F24" s="268" t="s">
        <v>1482</v>
      </c>
      <c r="G24" s="268"/>
      <c r="H24" s="670" t="s">
        <v>1475</v>
      </c>
      <c r="O24" s="1980" t="s">
        <v>1712</v>
      </c>
      <c r="P24" s="442"/>
      <c r="Q24" s="442"/>
      <c r="R24" s="443"/>
      <c r="S24" s="39"/>
      <c r="T24" s="836" t="s">
        <v>322</v>
      </c>
      <c r="U24" s="837" t="str">
        <f>IF(AU15&gt;0,IF(OR(AND(U25="acceptable",AU9="acceptable"),AND(U25="Acceptable",P25=0)),"a","r"),"0")</f>
        <v>0</v>
      </c>
      <c r="W24" s="51"/>
      <c r="X24" s="545"/>
      <c r="Y24" s="544"/>
      <c r="Z24" s="638"/>
      <c r="AA24" s="537"/>
      <c r="AC24" s="444"/>
      <c r="AD24" s="256" t="s">
        <v>183</v>
      </c>
      <c r="AE24" s="256" t="s">
        <v>182</v>
      </c>
      <c r="AF24" s="1547"/>
      <c r="AW24" s="571">
        <f t="shared" si="6"/>
        <v>0</v>
      </c>
      <c r="AX24" s="571">
        <v>650</v>
      </c>
      <c r="AY24" s="571">
        <f t="shared" si="7"/>
        <v>0</v>
      </c>
      <c r="AZ24" s="571">
        <f t="shared" si="8"/>
        <v>1.3</v>
      </c>
      <c r="BA24" s="572">
        <f t="shared" si="3"/>
        <v>0</v>
      </c>
      <c r="BC24" s="573">
        <v>0.13</v>
      </c>
      <c r="BD24" s="571">
        <f t="shared" si="4"/>
        <v>0</v>
      </c>
      <c r="BE24" s="571">
        <f t="shared" si="5"/>
        <v>0</v>
      </c>
      <c r="BF24" s="586">
        <f t="shared" si="0"/>
        <v>0</v>
      </c>
      <c r="BG24" s="586" t="e">
        <f t="shared" si="1"/>
        <v>#DIV/0!</v>
      </c>
      <c r="BH24" s="571" t="e">
        <f t="shared" si="2"/>
        <v>#DIV/0!</v>
      </c>
      <c r="BK24" s="571">
        <v>356</v>
      </c>
      <c r="BW24" s="39">
        <v>675</v>
      </c>
      <c r="BX24" s="39">
        <v>755</v>
      </c>
      <c r="BY24" s="39">
        <v>835</v>
      </c>
      <c r="BZ24" s="39">
        <v>915</v>
      </c>
      <c r="CA24" s="39">
        <v>995</v>
      </c>
      <c r="CB24" s="39">
        <v>1074</v>
      </c>
      <c r="CC24" s="39">
        <v>1154</v>
      </c>
      <c r="CD24" s="39">
        <v>1234</v>
      </c>
      <c r="CE24" s="39">
        <v>1393</v>
      </c>
      <c r="CF24" s="39">
        <v>1473</v>
      </c>
      <c r="CG24" s="39">
        <v>1553</v>
      </c>
      <c r="CH24" s="39">
        <v>1713</v>
      </c>
      <c r="CI24" s="39">
        <v>1872</v>
      </c>
      <c r="CJ24" s="39">
        <v>2040</v>
      </c>
      <c r="CK24" s="39">
        <v>2192</v>
      </c>
    </row>
    <row r="25" spans="6:89" ht="12.75" customHeight="1">
      <c r="F25" s="268" t="s">
        <v>1483</v>
      </c>
      <c r="G25" s="268"/>
      <c r="H25" s="670">
        <v>10</v>
      </c>
      <c r="O25" s="1981"/>
      <c r="P25" s="1977"/>
      <c r="Q25" s="1979" t="str">
        <f>IF(P20="x","-",IF(AND(AU15&gt;0,P25&gt;0),BA10,"-"))</f>
        <v>-</v>
      </c>
      <c r="R25" s="738"/>
      <c r="S25" s="39"/>
      <c r="T25" s="746" t="s">
        <v>324</v>
      </c>
      <c r="U25" s="1557" t="str">
        <f>IF(P20="x","-",IF(P20="-","-",IF(P20&gt;1.5,"Over","Acceptable")))</f>
        <v>-</v>
      </c>
      <c r="W25" s="535"/>
      <c r="X25" s="442"/>
      <c r="Y25" s="442"/>
      <c r="Z25" s="442"/>
      <c r="AA25" s="443"/>
      <c r="AC25" s="756" t="s">
        <v>1305</v>
      </c>
      <c r="AD25" s="1404"/>
      <c r="AE25" s="542" t="str">
        <f>IF(OR(AD25=0,AD20="-"),"-",MROUND((AD20/(AD25*10^-3))*1000,50))</f>
        <v>-</v>
      </c>
      <c r="AF25" s="1547"/>
      <c r="AW25" s="571">
        <f t="shared" si="6"/>
        <v>0</v>
      </c>
      <c r="AX25" s="571">
        <v>700</v>
      </c>
      <c r="AY25" s="571">
        <f t="shared" si="7"/>
        <v>0</v>
      </c>
      <c r="AZ25" s="571">
        <f t="shared" si="8"/>
        <v>1.4</v>
      </c>
      <c r="BA25" s="572">
        <f t="shared" si="3"/>
        <v>0</v>
      </c>
      <c r="BC25" s="573">
        <v>0.14000000000000001</v>
      </c>
      <c r="BD25" s="571">
        <f t="shared" si="4"/>
        <v>0</v>
      </c>
      <c r="BE25" s="571">
        <f t="shared" si="5"/>
        <v>0</v>
      </c>
      <c r="BF25" s="586">
        <f t="shared" si="0"/>
        <v>0</v>
      </c>
      <c r="BG25" s="586" t="e">
        <f t="shared" si="1"/>
        <v>#DIV/0!</v>
      </c>
      <c r="BH25" s="571" t="e">
        <f t="shared" si="2"/>
        <v>#DIV/0!</v>
      </c>
      <c r="BK25" s="571">
        <v>406</v>
      </c>
      <c r="BW25" s="39">
        <v>646</v>
      </c>
      <c r="BX25" s="39">
        <v>725</v>
      </c>
      <c r="BY25" s="39">
        <v>805</v>
      </c>
      <c r="BZ25" s="39">
        <v>885</v>
      </c>
      <c r="CA25" s="39">
        <v>966</v>
      </c>
      <c r="CB25" s="39">
        <v>1044</v>
      </c>
      <c r="CC25" s="39">
        <v>1124</v>
      </c>
      <c r="CD25" s="39">
        <v>1204</v>
      </c>
      <c r="CE25" s="39">
        <v>1364</v>
      </c>
      <c r="CF25" s="39">
        <v>1443</v>
      </c>
      <c r="CG25" s="39">
        <v>1523</v>
      </c>
      <c r="CH25" s="39">
        <v>1683</v>
      </c>
      <c r="CI25" s="39">
        <v>1842</v>
      </c>
      <c r="CJ25" s="39">
        <v>2010</v>
      </c>
      <c r="CK25" s="39">
        <v>2165</v>
      </c>
    </row>
    <row r="26" spans="6:89" ht="13">
      <c r="F26" s="268" t="s">
        <v>1484</v>
      </c>
      <c r="G26" s="268"/>
      <c r="H26" s="670">
        <v>6</v>
      </c>
      <c r="O26" s="1981"/>
      <c r="P26" s="1978"/>
      <c r="Q26" s="1979"/>
      <c r="R26" s="445"/>
      <c r="S26" s="39"/>
      <c r="T26" s="747" t="s">
        <v>325</v>
      </c>
      <c r="U26" s="1558" t="str">
        <f>IF(AU9="-",AU3,IF(AU3="-",AU9,"-"))</f>
        <v>-</v>
      </c>
      <c r="W26" s="769" t="s">
        <v>1316</v>
      </c>
      <c r="X26" s="1387"/>
      <c r="Y26" s="253" t="s">
        <v>599</v>
      </c>
      <c r="Z26" s="45"/>
      <c r="AA26" s="445"/>
      <c r="AC26" s="51"/>
      <c r="AD26" s="638" t="s">
        <v>0</v>
      </c>
      <c r="AE26" s="638" t="s">
        <v>0</v>
      </c>
      <c r="AF26" s="1549"/>
      <c r="AW26" s="571">
        <f t="shared" si="6"/>
        <v>0</v>
      </c>
      <c r="AX26" s="571">
        <v>750</v>
      </c>
      <c r="AY26" s="571">
        <f t="shared" si="7"/>
        <v>0</v>
      </c>
      <c r="AZ26" s="571">
        <f t="shared" si="8"/>
        <v>1.5</v>
      </c>
      <c r="BA26" s="572">
        <f t="shared" si="3"/>
        <v>0</v>
      </c>
      <c r="BC26" s="573">
        <v>0.15</v>
      </c>
      <c r="BD26" s="571">
        <f t="shared" si="4"/>
        <v>0</v>
      </c>
      <c r="BE26" s="571">
        <f t="shared" si="5"/>
        <v>0</v>
      </c>
      <c r="BF26" s="586">
        <f t="shared" si="0"/>
        <v>0</v>
      </c>
      <c r="BG26" s="586" t="e">
        <f t="shared" si="1"/>
        <v>#DIV/0!</v>
      </c>
      <c r="BH26" s="571" t="e">
        <f t="shared" si="2"/>
        <v>#DIV/0!</v>
      </c>
      <c r="BI26" s="1536"/>
      <c r="BK26" s="571">
        <v>457</v>
      </c>
      <c r="BX26" s="39">
        <v>697</v>
      </c>
      <c r="BY26" s="39">
        <v>776</v>
      </c>
      <c r="BZ26" s="39">
        <v>855</v>
      </c>
      <c r="CA26" s="39">
        <v>936</v>
      </c>
      <c r="CB26" s="39">
        <v>1016</v>
      </c>
      <c r="CC26" s="39">
        <v>1095</v>
      </c>
      <c r="CD26" s="39">
        <v>1175</v>
      </c>
      <c r="CE26" s="39">
        <v>1335</v>
      </c>
      <c r="CF26" s="39">
        <v>1415</v>
      </c>
      <c r="CG26" s="39">
        <v>1495</v>
      </c>
      <c r="CH26" s="39">
        <v>1654</v>
      </c>
      <c r="CI26" s="39">
        <v>1814</v>
      </c>
      <c r="CJ26" s="39">
        <v>1980</v>
      </c>
      <c r="CK26" s="39">
        <v>2135</v>
      </c>
    </row>
    <row r="27" spans="6:89" ht="14.5">
      <c r="F27" s="268" t="s">
        <v>1485</v>
      </c>
      <c r="G27" s="268"/>
      <c r="H27" s="670">
        <v>20</v>
      </c>
      <c r="O27" s="1216" t="s">
        <v>323</v>
      </c>
      <c r="P27" s="1988" t="str">
        <f>IF(P20="x","-",IF(P25&gt;0,AU8,"-"))</f>
        <v>-</v>
      </c>
      <c r="Q27" s="1988"/>
      <c r="R27" s="805"/>
      <c r="S27" s="39"/>
      <c r="W27" s="444" t="s">
        <v>1449</v>
      </c>
      <c r="X27" s="49" t="str">
        <f>IF(X28="-","-",X26*X21)</f>
        <v>-</v>
      </c>
      <c r="Y27" s="253" t="s">
        <v>178</v>
      </c>
      <c r="Z27" s="253"/>
      <c r="AA27" s="604"/>
      <c r="AC27" s="1546" t="s">
        <v>1301</v>
      </c>
      <c r="AD27" s="1541">
        <v>2</v>
      </c>
      <c r="AW27" s="571">
        <f t="shared" si="6"/>
        <v>0</v>
      </c>
      <c r="AX27" s="571">
        <v>800</v>
      </c>
      <c r="AY27" s="571">
        <f t="shared" si="7"/>
        <v>0</v>
      </c>
      <c r="AZ27" s="571">
        <f t="shared" si="8"/>
        <v>1.6</v>
      </c>
      <c r="BA27" s="572">
        <f t="shared" si="3"/>
        <v>0</v>
      </c>
      <c r="BC27" s="573">
        <v>0.16</v>
      </c>
      <c r="BD27" s="571">
        <f t="shared" si="4"/>
        <v>0</v>
      </c>
      <c r="BE27" s="571">
        <f t="shared" si="5"/>
        <v>0</v>
      </c>
      <c r="BF27" s="586">
        <f t="shared" si="0"/>
        <v>0</v>
      </c>
      <c r="BG27" s="586" t="e">
        <f t="shared" si="1"/>
        <v>#DIV/0!</v>
      </c>
      <c r="BH27" s="571" t="e">
        <f t="shared" si="2"/>
        <v>#DIV/0!</v>
      </c>
      <c r="BI27" s="1536"/>
      <c r="BK27" s="571">
        <v>508</v>
      </c>
      <c r="BY27" s="39">
        <v>748</v>
      </c>
      <c r="BZ27" s="39">
        <v>827</v>
      </c>
      <c r="CA27" s="39">
        <v>907</v>
      </c>
      <c r="CB27" s="39">
        <v>987</v>
      </c>
      <c r="CC27" s="39">
        <v>1066</v>
      </c>
      <c r="CD27" s="39">
        <v>1146</v>
      </c>
      <c r="CE27" s="39">
        <v>1306</v>
      </c>
      <c r="CF27" s="39">
        <v>1386</v>
      </c>
      <c r="CG27" s="39">
        <v>1466</v>
      </c>
      <c r="CH27" s="39">
        <v>1625</v>
      </c>
      <c r="CI27" s="39">
        <v>1785</v>
      </c>
      <c r="CJ27" s="39">
        <v>1950</v>
      </c>
      <c r="CK27" s="39">
        <v>2110</v>
      </c>
    </row>
    <row r="28" spans="6:89" ht="15" customHeight="1">
      <c r="F28" s="268" t="s">
        <v>1486</v>
      </c>
      <c r="G28" s="268"/>
      <c r="H28" s="670">
        <v>2</v>
      </c>
      <c r="O28" s="1985" t="s">
        <v>2018</v>
      </c>
      <c r="P28" s="1553" t="s">
        <v>1311</v>
      </c>
      <c r="Q28" s="1570" t="s">
        <v>446</v>
      </c>
      <c r="R28" s="443"/>
      <c r="S28" s="39"/>
      <c r="W28" s="628" t="s">
        <v>1319</v>
      </c>
      <c r="X28" s="645" t="str">
        <f>IF(X8="-","-",IF(X26&gt;0,X6/X26,"-"))</f>
        <v>-</v>
      </c>
      <c r="Y28" s="541" t="str">
        <f>Y6</f>
        <v>L/s</v>
      </c>
      <c r="Z28" s="45"/>
      <c r="AA28" s="445"/>
      <c r="AC28" s="1546" t="s">
        <v>1302</v>
      </c>
      <c r="AD28" s="1541">
        <v>2.5</v>
      </c>
      <c r="AW28" s="571">
        <f t="shared" si="6"/>
        <v>0</v>
      </c>
      <c r="AX28" s="571">
        <v>850</v>
      </c>
      <c r="AY28" s="571">
        <f t="shared" si="7"/>
        <v>0</v>
      </c>
      <c r="AZ28" s="571">
        <f t="shared" si="8"/>
        <v>1.7</v>
      </c>
      <c r="BA28" s="572">
        <f t="shared" si="3"/>
        <v>0</v>
      </c>
      <c r="BC28" s="573">
        <v>0.17</v>
      </c>
      <c r="BD28" s="571">
        <f t="shared" si="4"/>
        <v>0</v>
      </c>
      <c r="BE28" s="571">
        <f t="shared" si="5"/>
        <v>0</v>
      </c>
      <c r="BF28" s="586">
        <f t="shared" si="0"/>
        <v>0</v>
      </c>
      <c r="BG28" s="586" t="e">
        <f t="shared" si="1"/>
        <v>#DIV/0!</v>
      </c>
      <c r="BH28" s="571" t="e">
        <f t="shared" si="2"/>
        <v>#DIV/0!</v>
      </c>
      <c r="BK28" s="571">
        <v>550</v>
      </c>
      <c r="BZ28" s="39">
        <v>800</v>
      </c>
      <c r="CA28" s="39">
        <v>880</v>
      </c>
      <c r="CB28" s="39">
        <v>959</v>
      </c>
      <c r="CC28" s="39">
        <v>1037</v>
      </c>
      <c r="CD28" s="39">
        <v>1117</v>
      </c>
      <c r="CE28" s="39">
        <v>1277</v>
      </c>
      <c r="CF28" s="39">
        <v>1358</v>
      </c>
      <c r="CG28" s="39">
        <v>1438</v>
      </c>
      <c r="CH28" s="39">
        <v>1596</v>
      </c>
      <c r="CI28" s="39">
        <v>1756</v>
      </c>
      <c r="CJ28" s="39">
        <v>1920</v>
      </c>
      <c r="CK28" s="39">
        <v>2080</v>
      </c>
    </row>
    <row r="29" spans="6:89" ht="12.75" customHeight="1">
      <c r="F29" s="268" t="s">
        <v>1487</v>
      </c>
      <c r="G29" s="268"/>
      <c r="H29" s="670" t="s">
        <v>1476</v>
      </c>
      <c r="O29" s="1986"/>
      <c r="P29" s="1982"/>
      <c r="Q29" s="1984" t="str">
        <f>BK132</f>
        <v>-</v>
      </c>
      <c r="R29" s="445"/>
      <c r="W29" s="628"/>
      <c r="X29" s="645"/>
      <c r="Y29" s="541"/>
      <c r="Z29" s="45"/>
      <c r="AA29" s="445"/>
      <c r="AC29" s="1546" t="s">
        <v>1303</v>
      </c>
      <c r="AD29" s="1541">
        <v>5</v>
      </c>
      <c r="AW29" s="571">
        <f t="shared" si="6"/>
        <v>0</v>
      </c>
      <c r="AX29" s="571">
        <v>900</v>
      </c>
      <c r="AY29" s="571">
        <f t="shared" si="7"/>
        <v>0</v>
      </c>
      <c r="AZ29" s="571">
        <f t="shared" si="8"/>
        <v>1.8</v>
      </c>
      <c r="BA29" s="572">
        <f t="shared" si="3"/>
        <v>0</v>
      </c>
      <c r="BC29" s="573">
        <v>0.18</v>
      </c>
      <c r="BD29" s="571">
        <f t="shared" si="4"/>
        <v>0</v>
      </c>
      <c r="BE29" s="571">
        <f t="shared" si="5"/>
        <v>0</v>
      </c>
      <c r="BF29" s="586">
        <f t="shared" si="0"/>
        <v>0</v>
      </c>
      <c r="BG29" s="586" t="e">
        <f t="shared" si="1"/>
        <v>#DIV/0!</v>
      </c>
      <c r="BH29" s="571" t="e">
        <f t="shared" si="2"/>
        <v>#DIV/0!</v>
      </c>
      <c r="BK29" s="571">
        <v>610</v>
      </c>
      <c r="CB29" s="39">
        <v>940</v>
      </c>
      <c r="CC29" s="39">
        <v>1008</v>
      </c>
      <c r="CD29" s="39">
        <v>1092</v>
      </c>
      <c r="CE29" s="39">
        <v>1230</v>
      </c>
      <c r="CF29" s="39">
        <v>1315</v>
      </c>
      <c r="CG29" s="39">
        <v>1395</v>
      </c>
      <c r="CH29" s="39">
        <v>1560</v>
      </c>
      <c r="CI29" s="39">
        <v>1729</v>
      </c>
      <c r="CJ29" s="39">
        <v>1906</v>
      </c>
      <c r="CK29" s="39">
        <v>2060</v>
      </c>
    </row>
    <row r="30" spans="6:89" ht="12.75" customHeight="1">
      <c r="F30" s="268" t="s">
        <v>1488</v>
      </c>
      <c r="G30" s="268"/>
      <c r="H30" s="670">
        <v>6</v>
      </c>
      <c r="O30" s="1986"/>
      <c r="P30" s="1983"/>
      <c r="Q30" s="1984"/>
      <c r="R30" s="445"/>
      <c r="T30" s="1571"/>
      <c r="W30" s="444"/>
      <c r="X30" s="811" t="s">
        <v>291</v>
      </c>
      <c r="Y30" s="534" t="s">
        <v>447</v>
      </c>
      <c r="Z30" s="253"/>
      <c r="AA30" s="604"/>
      <c r="AW30" s="571">
        <f t="shared" si="6"/>
        <v>0</v>
      </c>
      <c r="AX30" s="571">
        <v>950</v>
      </c>
      <c r="AY30" s="571">
        <f t="shared" si="7"/>
        <v>0</v>
      </c>
      <c r="AZ30" s="571">
        <f t="shared" si="8"/>
        <v>1.9</v>
      </c>
      <c r="BA30" s="572">
        <f t="shared" si="3"/>
        <v>0</v>
      </c>
      <c r="BC30" s="573">
        <v>0.19</v>
      </c>
      <c r="BD30" s="571">
        <f t="shared" si="4"/>
        <v>0</v>
      </c>
      <c r="BE30" s="571">
        <f t="shared" si="5"/>
        <v>0</v>
      </c>
      <c r="BF30" s="586">
        <f t="shared" si="0"/>
        <v>0</v>
      </c>
      <c r="BG30" s="586" t="e">
        <f t="shared" si="1"/>
        <v>#DIV/0!</v>
      </c>
      <c r="BH30" s="571" t="e">
        <f t="shared" si="2"/>
        <v>#DIV/0!</v>
      </c>
      <c r="BK30" s="571">
        <v>700</v>
      </c>
      <c r="CB30" s="39">
        <v>878</v>
      </c>
      <c r="CC30" s="39">
        <v>958</v>
      </c>
      <c r="CD30" s="39">
        <v>1038</v>
      </c>
      <c r="CE30" s="39">
        <v>1197</v>
      </c>
      <c r="CF30" s="39">
        <v>1277</v>
      </c>
      <c r="CG30" s="39">
        <v>1357</v>
      </c>
      <c r="CH30" s="39">
        <v>1540</v>
      </c>
      <c r="CI30" s="39">
        <v>1676</v>
      </c>
      <c r="CJ30" s="39">
        <v>1836</v>
      </c>
      <c r="CK30" s="39">
        <v>1993</v>
      </c>
    </row>
    <row r="31" spans="6:89" ht="12.75" customHeight="1">
      <c r="O31" s="1987"/>
      <c r="P31" s="1572" t="str">
        <f>IF(AU20=0,"",IF(MIN(CM69:CM85)=0,"n/a","*Min oval duct height = "&amp;MIN(CM69:CM85)))</f>
        <v/>
      </c>
      <c r="Q31" s="446"/>
      <c r="R31" s="52"/>
      <c r="W31" s="752" t="s">
        <v>1320</v>
      </c>
      <c r="X31" s="552" t="str">
        <f>IF(X8="-","-",IF(X26&gt;0,Y31/X12,"-"))</f>
        <v>-</v>
      </c>
      <c r="Y31" s="551" t="str">
        <f>IF(X8="-","-",IF(X26&gt;0,X8/X26/X21,"-"))</f>
        <v>-</v>
      </c>
      <c r="Z31" s="253" t="s">
        <v>1</v>
      </c>
      <c r="AA31" s="604"/>
      <c r="AW31" s="571">
        <f t="shared" si="6"/>
        <v>0</v>
      </c>
      <c r="AX31" s="571">
        <v>1000</v>
      </c>
      <c r="AY31" s="571">
        <f t="shared" si="7"/>
        <v>0</v>
      </c>
      <c r="AZ31" s="571">
        <f t="shared" si="8"/>
        <v>2</v>
      </c>
      <c r="BA31" s="572">
        <f t="shared" si="3"/>
        <v>0</v>
      </c>
      <c r="BC31" s="573">
        <v>0.2</v>
      </c>
      <c r="BD31" s="571">
        <f t="shared" si="4"/>
        <v>0</v>
      </c>
      <c r="BE31" s="571">
        <f t="shared" si="5"/>
        <v>0</v>
      </c>
      <c r="BF31" s="586">
        <f t="shared" si="0"/>
        <v>0</v>
      </c>
      <c r="BG31" s="586" t="e">
        <f t="shared" si="1"/>
        <v>#DIV/0!</v>
      </c>
      <c r="BH31" s="571" t="e">
        <f t="shared" si="2"/>
        <v>#DIV/0!</v>
      </c>
      <c r="BK31" s="571">
        <v>800</v>
      </c>
      <c r="CD31" s="39">
        <v>972</v>
      </c>
      <c r="CE31" s="39">
        <v>1110</v>
      </c>
      <c r="CF31" s="39">
        <v>1195</v>
      </c>
      <c r="CG31" s="39">
        <v>1275</v>
      </c>
      <c r="CH31" s="39">
        <v>1440</v>
      </c>
      <c r="CI31" s="39">
        <v>1069</v>
      </c>
      <c r="CJ31" s="39">
        <v>1780</v>
      </c>
      <c r="CK31" s="39">
        <v>1940</v>
      </c>
    </row>
    <row r="32" spans="6:89">
      <c r="W32" s="51"/>
      <c r="X32" s="446"/>
      <c r="Y32" s="446"/>
      <c r="Z32" s="446"/>
      <c r="AA32" s="52"/>
      <c r="AW32" s="571">
        <f t="shared" si="6"/>
        <v>0</v>
      </c>
      <c r="AX32" s="571">
        <v>1050</v>
      </c>
      <c r="AY32" s="571">
        <f t="shared" si="7"/>
        <v>0</v>
      </c>
      <c r="AZ32" s="571">
        <f t="shared" si="8"/>
        <v>2.1</v>
      </c>
      <c r="BA32" s="572">
        <f t="shared" si="3"/>
        <v>0</v>
      </c>
      <c r="BC32" s="573">
        <v>0.21</v>
      </c>
      <c r="BD32" s="571">
        <f t="shared" si="4"/>
        <v>0</v>
      </c>
      <c r="BE32" s="571">
        <f t="shared" si="5"/>
        <v>0</v>
      </c>
      <c r="BF32" s="586">
        <f t="shared" si="0"/>
        <v>0</v>
      </c>
      <c r="BG32" s="586" t="e">
        <f t="shared" si="1"/>
        <v>#DIV/0!</v>
      </c>
      <c r="BH32" s="571" t="e">
        <f t="shared" si="2"/>
        <v>#DIV/0!</v>
      </c>
    </row>
    <row r="33" spans="6:89" ht="13">
      <c r="O33" s="1997" t="s">
        <v>1337</v>
      </c>
      <c r="P33" s="1998"/>
      <c r="Q33" s="1998"/>
      <c r="R33" s="1999"/>
      <c r="S33" s="39"/>
      <c r="W33" s="45"/>
      <c r="X33" s="45"/>
      <c r="Y33" s="45"/>
      <c r="Z33" s="45"/>
      <c r="AA33" s="45"/>
      <c r="AW33" s="571">
        <f t="shared" si="6"/>
        <v>0</v>
      </c>
      <c r="AX33" s="571">
        <v>1100</v>
      </c>
      <c r="AY33" s="571">
        <f t="shared" si="7"/>
        <v>0</v>
      </c>
      <c r="AZ33" s="571">
        <f t="shared" si="8"/>
        <v>2.2000000000000002</v>
      </c>
      <c r="BA33" s="572">
        <f t="shared" si="3"/>
        <v>0</v>
      </c>
      <c r="BC33" s="573">
        <v>0.22</v>
      </c>
      <c r="BD33" s="571">
        <f t="shared" si="4"/>
        <v>0</v>
      </c>
      <c r="BE33" s="571">
        <f t="shared" si="5"/>
        <v>0</v>
      </c>
      <c r="BF33" s="586">
        <f t="shared" si="0"/>
        <v>0</v>
      </c>
      <c r="BG33" s="586" t="e">
        <f t="shared" si="1"/>
        <v>#DIV/0!</v>
      </c>
      <c r="BH33" s="571" t="e">
        <f t="shared" si="2"/>
        <v>#DIV/0!</v>
      </c>
      <c r="BJ33" s="571" t="s">
        <v>1246</v>
      </c>
      <c r="BK33" s="1535">
        <f>BK15</f>
        <v>150</v>
      </c>
      <c r="BL33" s="818">
        <f>IF(BL15&gt;0,(($BK15/1000)/2)^2*PI()+((BL15/1000)-($BK15/1000))*($BK15/1000),0)</f>
        <v>3.4771458676442588E-2</v>
      </c>
      <c r="BM33" s="818">
        <f t="shared" ref="BM33:CK33" si="9">IF(BM15&gt;0,(($BK15/1000)/2)^2*PI()+((BM15/1000)-($BK15/1000))*($BK15/1000),0)</f>
        <v>4.092145867644259E-2</v>
      </c>
      <c r="BN33" s="818">
        <f t="shared" si="9"/>
        <v>4.6621458676442587E-2</v>
      </c>
      <c r="BO33" s="818">
        <f t="shared" si="9"/>
        <v>5.2321458676442584E-2</v>
      </c>
      <c r="BP33" s="818">
        <f t="shared" si="9"/>
        <v>5.8021458676442594E-2</v>
      </c>
      <c r="BQ33" s="818">
        <f t="shared" si="9"/>
        <v>6.5671458676442585E-2</v>
      </c>
      <c r="BR33" s="818">
        <f t="shared" si="9"/>
        <v>7.1371458676442581E-2</v>
      </c>
      <c r="BS33" s="818">
        <f t="shared" si="9"/>
        <v>7.6921458676442581E-2</v>
      </c>
      <c r="BT33" s="818">
        <f t="shared" si="9"/>
        <v>0</v>
      </c>
      <c r="BU33" s="818">
        <f t="shared" si="9"/>
        <v>0</v>
      </c>
      <c r="BV33" s="818">
        <f t="shared" si="9"/>
        <v>0</v>
      </c>
      <c r="BW33" s="818">
        <f t="shared" si="9"/>
        <v>0</v>
      </c>
      <c r="BX33" s="818">
        <f t="shared" si="9"/>
        <v>0</v>
      </c>
      <c r="BY33" s="818">
        <f t="shared" si="9"/>
        <v>0</v>
      </c>
      <c r="BZ33" s="818">
        <f t="shared" si="9"/>
        <v>0</v>
      </c>
      <c r="CA33" s="818">
        <f t="shared" si="9"/>
        <v>0</v>
      </c>
      <c r="CB33" s="818">
        <f t="shared" si="9"/>
        <v>0</v>
      </c>
      <c r="CC33" s="818">
        <f t="shared" si="9"/>
        <v>0</v>
      </c>
      <c r="CD33" s="818">
        <f t="shared" si="9"/>
        <v>0</v>
      </c>
      <c r="CE33" s="818">
        <f t="shared" si="9"/>
        <v>0</v>
      </c>
      <c r="CF33" s="818">
        <f t="shared" si="9"/>
        <v>0</v>
      </c>
      <c r="CG33" s="818">
        <f t="shared" si="9"/>
        <v>0</v>
      </c>
      <c r="CH33" s="818">
        <f t="shared" si="9"/>
        <v>0</v>
      </c>
      <c r="CI33" s="818">
        <f t="shared" si="9"/>
        <v>0</v>
      </c>
      <c r="CJ33" s="818">
        <f t="shared" si="9"/>
        <v>0</v>
      </c>
      <c r="CK33" s="818">
        <f t="shared" si="9"/>
        <v>0</v>
      </c>
    </row>
    <row r="34" spans="6:89" ht="13">
      <c r="O34" s="1963" t="s">
        <v>1342</v>
      </c>
      <c r="P34" s="1965" t="str">
        <f>IF(P20="x","-",IF(OR(AND(P15&gt;0,AU15&gt;0),AND(P13&gt;0,AU15&gt;0)),0.5*$P$6*P21^2,"-"))</f>
        <v>-</v>
      </c>
      <c r="Q34" s="1967" t="s">
        <v>9</v>
      </c>
      <c r="R34" s="809"/>
      <c r="S34" s="39"/>
      <c r="W34" s="1969" t="s">
        <v>164</v>
      </c>
      <c r="X34" s="1970"/>
      <c r="Y34" s="1970"/>
      <c r="Z34" s="1970"/>
      <c r="AA34" s="1971"/>
      <c r="AW34" s="571">
        <f t="shared" si="6"/>
        <v>0</v>
      </c>
      <c r="AX34" s="571">
        <v>1150</v>
      </c>
      <c r="AY34" s="571">
        <f t="shared" si="7"/>
        <v>0</v>
      </c>
      <c r="AZ34" s="571">
        <f t="shared" si="8"/>
        <v>2.2999999999999998</v>
      </c>
      <c r="BA34" s="572">
        <f t="shared" si="3"/>
        <v>0</v>
      </c>
      <c r="BC34" s="573">
        <v>0.23</v>
      </c>
      <c r="BD34" s="571">
        <f t="shared" si="4"/>
        <v>0</v>
      </c>
      <c r="BE34" s="571">
        <f t="shared" si="5"/>
        <v>0</v>
      </c>
      <c r="BF34" s="586">
        <f t="shared" si="0"/>
        <v>0</v>
      </c>
      <c r="BG34" s="586" t="e">
        <f t="shared" si="1"/>
        <v>#DIV/0!</v>
      </c>
      <c r="BH34" s="571" t="e">
        <f t="shared" si="2"/>
        <v>#DIV/0!</v>
      </c>
      <c r="BK34" s="571">
        <f>BK16</f>
        <v>127</v>
      </c>
      <c r="BL34" s="818">
        <f t="shared" ref="BL34:CK34" si="10">IF(BL16&gt;0,(($BK16/1000)/2)^2*PI()+((BL16/1000)-($BK16/1000))*($BK16/1000),0)</f>
        <v>2.7780686977437442E-2</v>
      </c>
      <c r="BM34" s="818">
        <f t="shared" si="10"/>
        <v>3.2987686977437439E-2</v>
      </c>
      <c r="BN34" s="818">
        <f t="shared" si="10"/>
        <v>3.8448686977437446E-2</v>
      </c>
      <c r="BO34" s="818">
        <f t="shared" si="10"/>
        <v>4.3274686977437443E-2</v>
      </c>
      <c r="BP34" s="818">
        <f t="shared" si="10"/>
        <v>4.8100686977437454E-2</v>
      </c>
      <c r="BQ34" s="818">
        <f t="shared" si="10"/>
        <v>5.3053686977437439E-2</v>
      </c>
      <c r="BR34" s="818">
        <f t="shared" si="10"/>
        <v>5.9403686977437448E-2</v>
      </c>
      <c r="BS34" s="818">
        <f t="shared" si="10"/>
        <v>6.4229686977437445E-2</v>
      </c>
      <c r="BT34" s="818">
        <f t="shared" si="10"/>
        <v>0</v>
      </c>
      <c r="BU34" s="818">
        <f t="shared" si="10"/>
        <v>0</v>
      </c>
      <c r="BV34" s="818">
        <f t="shared" si="10"/>
        <v>0</v>
      </c>
      <c r="BW34" s="818">
        <f t="shared" si="10"/>
        <v>0</v>
      </c>
      <c r="BX34" s="818">
        <f t="shared" si="10"/>
        <v>0</v>
      </c>
      <c r="BY34" s="818">
        <f t="shared" si="10"/>
        <v>0</v>
      </c>
      <c r="BZ34" s="818">
        <f t="shared" si="10"/>
        <v>0</v>
      </c>
      <c r="CA34" s="818">
        <f t="shared" si="10"/>
        <v>0</v>
      </c>
      <c r="CB34" s="818">
        <f t="shared" si="10"/>
        <v>0</v>
      </c>
      <c r="CC34" s="818">
        <f t="shared" si="10"/>
        <v>0</v>
      </c>
      <c r="CD34" s="818">
        <f t="shared" si="10"/>
        <v>0</v>
      </c>
      <c r="CE34" s="818">
        <f t="shared" si="10"/>
        <v>0</v>
      </c>
      <c r="CF34" s="818">
        <f t="shared" si="10"/>
        <v>0</v>
      </c>
      <c r="CG34" s="818">
        <f t="shared" si="10"/>
        <v>0</v>
      </c>
      <c r="CH34" s="818">
        <f t="shared" si="10"/>
        <v>0</v>
      </c>
      <c r="CI34" s="818">
        <f t="shared" si="10"/>
        <v>0</v>
      </c>
      <c r="CJ34" s="818">
        <f t="shared" si="10"/>
        <v>0</v>
      </c>
      <c r="CK34" s="818">
        <f t="shared" si="10"/>
        <v>0</v>
      </c>
    </row>
    <row r="35" spans="6:89" ht="12.75" customHeight="1">
      <c r="J35" s="253"/>
      <c r="L35" s="531"/>
      <c r="M35" s="531"/>
      <c r="O35" s="1964"/>
      <c r="P35" s="1966"/>
      <c r="Q35" s="1968"/>
      <c r="R35" s="810"/>
      <c r="S35" s="39"/>
      <c r="W35" s="2006" t="s">
        <v>1310</v>
      </c>
      <c r="X35" s="2007"/>
      <c r="Y35" s="2007"/>
      <c r="Z35" s="2007"/>
      <c r="AA35" s="816"/>
      <c r="AW35" s="571">
        <f t="shared" si="6"/>
        <v>0</v>
      </c>
      <c r="AX35" s="571">
        <v>1200</v>
      </c>
      <c r="AY35" s="571">
        <f t="shared" si="7"/>
        <v>0</v>
      </c>
      <c r="AZ35" s="571">
        <f t="shared" si="8"/>
        <v>2.4</v>
      </c>
      <c r="BA35" s="572">
        <f t="shared" si="3"/>
        <v>0</v>
      </c>
      <c r="BC35" s="573">
        <v>0.24</v>
      </c>
      <c r="BD35" s="571">
        <f t="shared" si="4"/>
        <v>0</v>
      </c>
      <c r="BE35" s="571">
        <f t="shared" si="5"/>
        <v>0</v>
      </c>
      <c r="BF35" s="586">
        <f t="shared" si="0"/>
        <v>0</v>
      </c>
      <c r="BG35" s="586" t="e">
        <f t="shared" si="1"/>
        <v>#DIV/0!</v>
      </c>
      <c r="BH35" s="571" t="e">
        <f t="shared" si="2"/>
        <v>#DIV/0!</v>
      </c>
      <c r="BK35" s="1535">
        <f t="shared" ref="BK35:BK49" si="11">BK17</f>
        <v>152</v>
      </c>
      <c r="BL35" s="818">
        <f t="shared" ref="BL35:CK35" si="12">IF(BL17&gt;0,(($BK17/1000)/2)^2*PI()+((BL17/1000)-($BK17/1000))*($BK17/1000),0)</f>
        <v>3.1217839167134644E-2</v>
      </c>
      <c r="BM35" s="818">
        <f t="shared" si="12"/>
        <v>3.7601839167134651E-2</v>
      </c>
      <c r="BN35" s="818">
        <f t="shared" si="12"/>
        <v>4.3377839167134641E-2</v>
      </c>
      <c r="BO35" s="818">
        <f t="shared" si="12"/>
        <v>4.9153839167134644E-2</v>
      </c>
      <c r="BP35" s="818">
        <f t="shared" si="12"/>
        <v>5.4929839167134648E-2</v>
      </c>
      <c r="BQ35" s="818">
        <f t="shared" si="12"/>
        <v>6.0705839167134644E-2</v>
      </c>
      <c r="BR35" s="818">
        <f t="shared" si="12"/>
        <v>6.8457839167134632E-2</v>
      </c>
      <c r="BS35" s="818">
        <f t="shared" si="12"/>
        <v>7.4233839167134635E-2</v>
      </c>
      <c r="BT35" s="818">
        <f t="shared" si="12"/>
        <v>8.0161839167134652E-2</v>
      </c>
      <c r="BU35" s="818">
        <f t="shared" si="12"/>
        <v>9.1561839167134645E-2</v>
      </c>
      <c r="BV35" s="818">
        <f t="shared" si="12"/>
        <v>0.10311383916713462</v>
      </c>
      <c r="BW35" s="818">
        <f t="shared" si="12"/>
        <v>0.11512183916713464</v>
      </c>
      <c r="BX35" s="818">
        <f t="shared" si="12"/>
        <v>0.12728183916713465</v>
      </c>
      <c r="BY35" s="818">
        <f t="shared" si="12"/>
        <v>0.13944183916713462</v>
      </c>
      <c r="BZ35" s="818">
        <f t="shared" si="12"/>
        <v>0.15160183916713463</v>
      </c>
      <c r="CA35" s="818">
        <f t="shared" si="12"/>
        <v>0.16376183916713463</v>
      </c>
      <c r="CB35" s="818">
        <f t="shared" si="12"/>
        <v>0.17652983916713463</v>
      </c>
      <c r="CC35" s="818">
        <f t="shared" si="12"/>
        <v>0</v>
      </c>
      <c r="CD35" s="818">
        <f t="shared" si="12"/>
        <v>0</v>
      </c>
      <c r="CE35" s="818">
        <f t="shared" si="12"/>
        <v>0</v>
      </c>
      <c r="CF35" s="818">
        <f t="shared" si="12"/>
        <v>0</v>
      </c>
      <c r="CG35" s="818">
        <f t="shared" si="12"/>
        <v>0</v>
      </c>
      <c r="CH35" s="818">
        <f t="shared" si="12"/>
        <v>0</v>
      </c>
      <c r="CI35" s="818">
        <f t="shared" si="12"/>
        <v>0</v>
      </c>
      <c r="CJ35" s="818">
        <f t="shared" si="12"/>
        <v>0</v>
      </c>
      <c r="CK35" s="818">
        <f t="shared" si="12"/>
        <v>0</v>
      </c>
    </row>
    <row r="36" spans="6:89" ht="13">
      <c r="J36" s="253"/>
      <c r="L36" s="531"/>
      <c r="M36" s="531"/>
      <c r="O36" s="734" t="s">
        <v>312</v>
      </c>
      <c r="P36" s="1390"/>
      <c r="Q36" s="819"/>
      <c r="R36" s="739"/>
      <c r="S36" s="39"/>
      <c r="T36" s="1969" t="s">
        <v>112</v>
      </c>
      <c r="U36" s="1971"/>
      <c r="W36" s="1953"/>
      <c r="X36" s="1954"/>
      <c r="Y36" s="1954"/>
      <c r="Z36" s="1954"/>
      <c r="AA36" s="806"/>
      <c r="AW36" s="571">
        <f t="shared" si="6"/>
        <v>0</v>
      </c>
      <c r="AX36" s="571">
        <v>1250</v>
      </c>
      <c r="AY36" s="571">
        <f t="shared" si="7"/>
        <v>0</v>
      </c>
      <c r="AZ36" s="571">
        <f t="shared" si="8"/>
        <v>2.5</v>
      </c>
      <c r="BA36" s="572">
        <f t="shared" si="3"/>
        <v>0</v>
      </c>
      <c r="BC36" s="573">
        <v>0.25</v>
      </c>
      <c r="BD36" s="571">
        <f t="shared" si="4"/>
        <v>0</v>
      </c>
      <c r="BE36" s="571">
        <f t="shared" si="5"/>
        <v>0</v>
      </c>
      <c r="BF36" s="586">
        <f t="shared" si="0"/>
        <v>0</v>
      </c>
      <c r="BG36" s="586" t="e">
        <f t="shared" si="1"/>
        <v>#DIV/0!</v>
      </c>
      <c r="BH36" s="571" t="e">
        <f t="shared" si="2"/>
        <v>#DIV/0!</v>
      </c>
      <c r="BK36" s="571">
        <f t="shared" si="11"/>
        <v>178</v>
      </c>
      <c r="BL36" s="818">
        <f t="shared" ref="BL36:CK36" si="13">IF(BL18&gt;0,(($BK18/1000)/2)^2*PI()+((BL18/1000)-($BK18/1000))*($BK18/1000),0)</f>
        <v>0</v>
      </c>
      <c r="BM36" s="818">
        <f t="shared" si="13"/>
        <v>0</v>
      </c>
      <c r="BN36" s="818">
        <f t="shared" si="13"/>
        <v>4.6600555409084747E-2</v>
      </c>
      <c r="BO36" s="818">
        <f t="shared" si="13"/>
        <v>5.3364555409084753E-2</v>
      </c>
      <c r="BP36" s="818">
        <f t="shared" si="13"/>
        <v>6.030655540908475E-2</v>
      </c>
      <c r="BQ36" s="818">
        <f t="shared" si="13"/>
        <v>6.7426555409084737E-2</v>
      </c>
      <c r="BR36" s="818">
        <f t="shared" si="13"/>
        <v>7.4546555409084753E-2</v>
      </c>
      <c r="BS36" s="818">
        <f t="shared" si="13"/>
        <v>8.1488555409084756E-2</v>
      </c>
      <c r="BT36" s="818">
        <f t="shared" si="13"/>
        <v>8.8786555409084755E-2</v>
      </c>
      <c r="BU36" s="818">
        <f t="shared" si="13"/>
        <v>0.10302655540908476</v>
      </c>
      <c r="BV36" s="818">
        <f t="shared" si="13"/>
        <v>0.11708855540908475</v>
      </c>
      <c r="BW36" s="818">
        <f t="shared" si="13"/>
        <v>0.13132855540908475</v>
      </c>
      <c r="BX36" s="818">
        <f t="shared" si="13"/>
        <v>0.14556855540908473</v>
      </c>
      <c r="BY36" s="818">
        <f t="shared" si="13"/>
        <v>0.15980855540908473</v>
      </c>
      <c r="BZ36" s="818">
        <f t="shared" si="13"/>
        <v>0.17387055540908472</v>
      </c>
      <c r="CA36" s="818">
        <f t="shared" si="13"/>
        <v>0.18828855540908476</v>
      </c>
      <c r="CB36" s="818">
        <f t="shared" si="13"/>
        <v>0.20252855540908474</v>
      </c>
      <c r="CC36" s="818">
        <f t="shared" si="13"/>
        <v>0.21659055540908473</v>
      </c>
      <c r="CD36" s="818">
        <f t="shared" si="13"/>
        <v>0</v>
      </c>
      <c r="CE36" s="818">
        <f t="shared" si="13"/>
        <v>0</v>
      </c>
      <c r="CF36" s="818">
        <f t="shared" si="13"/>
        <v>0</v>
      </c>
      <c r="CG36" s="818">
        <f t="shared" si="13"/>
        <v>0</v>
      </c>
      <c r="CH36" s="818">
        <f t="shared" si="13"/>
        <v>0</v>
      </c>
      <c r="CI36" s="818">
        <f t="shared" si="13"/>
        <v>0</v>
      </c>
      <c r="CJ36" s="818">
        <f t="shared" si="13"/>
        <v>0</v>
      </c>
      <c r="CK36" s="818">
        <f t="shared" si="13"/>
        <v>0</v>
      </c>
    </row>
    <row r="37" spans="6:89" ht="13">
      <c r="J37" s="253"/>
      <c r="L37" s="531"/>
      <c r="M37" s="531"/>
      <c r="O37" s="832" t="s">
        <v>1539</v>
      </c>
      <c r="P37" s="1805" t="str">
        <f>IF(AND(P36&gt;0,OR(AND(P15&gt;0,AU15&gt;0),AND(P13&gt;0, AU15&gt;0))),P34*P36,"-")</f>
        <v>-</v>
      </c>
      <c r="Q37" s="834" t="s">
        <v>9</v>
      </c>
      <c r="R37" s="740"/>
      <c r="S37" s="39"/>
      <c r="T37" s="743" t="s">
        <v>113</v>
      </c>
      <c r="U37" s="1559" t="s">
        <v>1328</v>
      </c>
      <c r="W37" s="741" t="s">
        <v>446</v>
      </c>
      <c r="X37" s="1405"/>
      <c r="Y37" s="525" t="s">
        <v>0</v>
      </c>
      <c r="Z37" s="45"/>
      <c r="AA37" s="445"/>
      <c r="AW37" s="571">
        <f t="shared" si="6"/>
        <v>0</v>
      </c>
      <c r="AX37" s="571">
        <v>1300</v>
      </c>
      <c r="AY37" s="571">
        <f t="shared" si="7"/>
        <v>0</v>
      </c>
      <c r="AZ37" s="571">
        <f t="shared" si="8"/>
        <v>2.6</v>
      </c>
      <c r="BA37" s="572">
        <f t="shared" si="3"/>
        <v>0</v>
      </c>
      <c r="BC37" s="573">
        <v>0.26</v>
      </c>
      <c r="BD37" s="571">
        <f t="shared" si="4"/>
        <v>0</v>
      </c>
      <c r="BE37" s="571">
        <f t="shared" si="5"/>
        <v>0</v>
      </c>
      <c r="BF37" s="586">
        <f t="shared" si="0"/>
        <v>0</v>
      </c>
      <c r="BG37" s="586" t="e">
        <f t="shared" si="1"/>
        <v>#DIV/0!</v>
      </c>
      <c r="BH37" s="571" t="e">
        <f t="shared" si="2"/>
        <v>#DIV/0!</v>
      </c>
      <c r="BK37" s="1535">
        <f t="shared" si="11"/>
        <v>203</v>
      </c>
      <c r="BL37" s="818">
        <f t="shared" ref="BL37:CK37" si="14">IF(BL19&gt;0,(($BK19/1000)/2)^2*PI()+((BL19/1000)-($BK19/1000))*($BK19/1000),0)</f>
        <v>0</v>
      </c>
      <c r="BM37" s="818">
        <f t="shared" si="14"/>
        <v>0</v>
      </c>
      <c r="BN37" s="818">
        <f t="shared" si="14"/>
        <v>4.7996472915445454E-2</v>
      </c>
      <c r="BO37" s="818">
        <f t="shared" si="14"/>
        <v>5.6522472915445446E-2</v>
      </c>
      <c r="BP37" s="818">
        <f t="shared" si="14"/>
        <v>6.4845472915445443E-2</v>
      </c>
      <c r="BQ37" s="818">
        <f t="shared" si="14"/>
        <v>7.276247291544545E-2</v>
      </c>
      <c r="BR37" s="818">
        <f t="shared" si="14"/>
        <v>8.1288472915445442E-2</v>
      </c>
      <c r="BS37" s="818">
        <f t="shared" si="14"/>
        <v>8.920547291544545E-2</v>
      </c>
      <c r="BT37" s="818">
        <f t="shared" si="14"/>
        <v>9.7122472915445457E-2</v>
      </c>
      <c r="BU37" s="818">
        <f t="shared" si="14"/>
        <v>0.11336247291544545</v>
      </c>
      <c r="BV37" s="818">
        <f t="shared" si="14"/>
        <v>0.12939947291544546</v>
      </c>
      <c r="BW37" s="818">
        <f t="shared" si="14"/>
        <v>0.14563947291544546</v>
      </c>
      <c r="BX37" s="818">
        <f t="shared" si="14"/>
        <v>0.16187947291544544</v>
      </c>
      <c r="BY37" s="818">
        <f t="shared" si="14"/>
        <v>0.17811947291544544</v>
      </c>
      <c r="BZ37" s="818">
        <f t="shared" si="14"/>
        <v>0.19415647291544544</v>
      </c>
      <c r="CA37" s="818">
        <f t="shared" si="14"/>
        <v>0.21039647291544547</v>
      </c>
      <c r="CB37" s="818">
        <f t="shared" si="14"/>
        <v>0.22663647291544542</v>
      </c>
      <c r="CC37" s="818">
        <f t="shared" si="14"/>
        <v>0.24287647291544545</v>
      </c>
      <c r="CD37" s="818">
        <f t="shared" si="14"/>
        <v>0.25911647291544548</v>
      </c>
      <c r="CE37" s="818">
        <f t="shared" si="14"/>
        <v>0.29179947291544545</v>
      </c>
      <c r="CF37" s="818">
        <f t="shared" si="14"/>
        <v>0</v>
      </c>
      <c r="CG37" s="818">
        <f t="shared" si="14"/>
        <v>0</v>
      </c>
      <c r="CH37" s="818">
        <f t="shared" si="14"/>
        <v>0</v>
      </c>
      <c r="CI37" s="818">
        <f t="shared" si="14"/>
        <v>0</v>
      </c>
      <c r="CJ37" s="818">
        <f t="shared" si="14"/>
        <v>0</v>
      </c>
      <c r="CK37" s="818">
        <f t="shared" si="14"/>
        <v>0</v>
      </c>
    </row>
    <row r="38" spans="6:89" ht="13">
      <c r="F38" s="253"/>
      <c r="G38" s="253"/>
      <c r="H38" s="253"/>
      <c r="I38" s="253"/>
      <c r="J38" s="253"/>
      <c r="L38" s="531"/>
      <c r="M38" s="531"/>
      <c r="S38" s="39"/>
      <c r="T38" s="744" t="s">
        <v>114</v>
      </c>
      <c r="U38" s="1560" t="s">
        <v>3</v>
      </c>
      <c r="W38" s="741" t="s">
        <v>445</v>
      </c>
      <c r="X38" s="1387"/>
      <c r="Y38" s="525" t="s">
        <v>0</v>
      </c>
      <c r="Z38" s="45"/>
      <c r="AA38" s="445"/>
      <c r="AW38" s="571">
        <f t="shared" si="6"/>
        <v>0</v>
      </c>
      <c r="AX38" s="571">
        <v>1350</v>
      </c>
      <c r="AY38" s="571">
        <f t="shared" si="7"/>
        <v>0</v>
      </c>
      <c r="AZ38" s="571">
        <f t="shared" si="8"/>
        <v>2.7</v>
      </c>
      <c r="BA38" s="572">
        <f t="shared" si="3"/>
        <v>0</v>
      </c>
      <c r="BC38" s="573">
        <v>0.27</v>
      </c>
      <c r="BD38" s="571">
        <f t="shared" si="4"/>
        <v>0</v>
      </c>
      <c r="BE38" s="571">
        <f t="shared" si="5"/>
        <v>0</v>
      </c>
      <c r="BF38" s="586">
        <f t="shared" si="0"/>
        <v>0</v>
      </c>
      <c r="BG38" s="586" t="e">
        <f t="shared" si="1"/>
        <v>#DIV/0!</v>
      </c>
      <c r="BH38" s="571" t="e">
        <f t="shared" si="2"/>
        <v>#DIV/0!</v>
      </c>
      <c r="BK38" s="571">
        <f t="shared" si="11"/>
        <v>225</v>
      </c>
      <c r="BL38" s="818">
        <f t="shared" ref="BL38:CK38" si="15">IF(BL20&gt;0,(($BK20/1000)/2)^2*PI()+((BL20/1000)-($BK20/1000))*($BK20/1000),0)</f>
        <v>0</v>
      </c>
      <c r="BM38" s="818">
        <f t="shared" si="15"/>
        <v>0</v>
      </c>
      <c r="BN38" s="818">
        <f t="shared" si="15"/>
        <v>0</v>
      </c>
      <c r="BO38" s="818">
        <f t="shared" si="15"/>
        <v>5.8660782021995823E-2</v>
      </c>
      <c r="BP38" s="818">
        <f t="shared" si="15"/>
        <v>6.7435782021995822E-2</v>
      </c>
      <c r="BQ38" s="818">
        <f t="shared" si="15"/>
        <v>7.6435782021995829E-2</v>
      </c>
      <c r="BR38" s="818">
        <f t="shared" si="15"/>
        <v>8.5660782021995813E-2</v>
      </c>
      <c r="BS38" s="818">
        <f t="shared" si="15"/>
        <v>9.4435782021995832E-2</v>
      </c>
      <c r="BT38" s="818">
        <f t="shared" si="15"/>
        <v>0.10366078202199583</v>
      </c>
      <c r="BU38" s="818">
        <f t="shared" si="15"/>
        <v>0.12143578202199581</v>
      </c>
      <c r="BV38" s="818">
        <f t="shared" si="15"/>
        <v>0.13943578202199583</v>
      </c>
      <c r="BW38" s="818">
        <f t="shared" si="15"/>
        <v>0.15721078202199584</v>
      </c>
      <c r="BX38" s="818">
        <f t="shared" si="15"/>
        <v>0.1752107820219958</v>
      </c>
      <c r="BY38" s="818">
        <f t="shared" si="15"/>
        <v>0.19321078202199582</v>
      </c>
      <c r="BZ38" s="818">
        <f t="shared" si="15"/>
        <v>0.21121078202199584</v>
      </c>
      <c r="CA38" s="818">
        <f t="shared" si="15"/>
        <v>0.22921078202199582</v>
      </c>
      <c r="CB38" s="818">
        <f t="shared" si="15"/>
        <v>0.24698578202199581</v>
      </c>
      <c r="CC38" s="818">
        <f t="shared" si="15"/>
        <v>0.2649857820219958</v>
      </c>
      <c r="CD38" s="818">
        <f t="shared" si="15"/>
        <v>0.28298578202199581</v>
      </c>
      <c r="CE38" s="818">
        <f t="shared" si="15"/>
        <v>0.31898578202199585</v>
      </c>
      <c r="CF38" s="818">
        <f t="shared" si="15"/>
        <v>0.33676078202199583</v>
      </c>
      <c r="CG38" s="818">
        <f t="shared" si="15"/>
        <v>0.35476078202199585</v>
      </c>
      <c r="CH38" s="818">
        <f t="shared" si="15"/>
        <v>0.39076078202199582</v>
      </c>
      <c r="CI38" s="818">
        <f t="shared" si="15"/>
        <v>0.42653578202199582</v>
      </c>
      <c r="CJ38" s="818">
        <f t="shared" si="15"/>
        <v>0</v>
      </c>
      <c r="CK38" s="818">
        <f t="shared" si="15"/>
        <v>0</v>
      </c>
    </row>
    <row r="39" spans="6:89" ht="13">
      <c r="O39" s="1969" t="s">
        <v>163</v>
      </c>
      <c r="P39" s="1970"/>
      <c r="Q39" s="1970"/>
      <c r="R39" s="1971"/>
      <c r="S39" s="39"/>
      <c r="T39" s="745">
        <v>150</v>
      </c>
      <c r="U39" s="1561" t="s">
        <v>115</v>
      </c>
      <c r="W39" s="741" t="s">
        <v>1311</v>
      </c>
      <c r="X39" s="1387"/>
      <c r="Y39" s="525" t="s">
        <v>0</v>
      </c>
      <c r="Z39" s="45"/>
      <c r="AA39" s="445"/>
      <c r="AW39" s="571">
        <f t="shared" si="6"/>
        <v>0</v>
      </c>
      <c r="AX39" s="571">
        <v>1400</v>
      </c>
      <c r="AY39" s="571">
        <f t="shared" si="7"/>
        <v>0</v>
      </c>
      <c r="AZ39" s="571">
        <f t="shared" si="8"/>
        <v>2.8</v>
      </c>
      <c r="BA39" s="572">
        <f t="shared" si="3"/>
        <v>0</v>
      </c>
      <c r="BC39" s="573">
        <v>0.28000000000000003</v>
      </c>
      <c r="BD39" s="571">
        <f t="shared" si="4"/>
        <v>0</v>
      </c>
      <c r="BE39" s="571">
        <f t="shared" si="5"/>
        <v>0</v>
      </c>
      <c r="BF39" s="586">
        <f t="shared" si="0"/>
        <v>0</v>
      </c>
      <c r="BG39" s="586" t="e">
        <f t="shared" si="1"/>
        <v>#DIV/0!</v>
      </c>
      <c r="BH39" s="571" t="e">
        <f t="shared" si="2"/>
        <v>#DIV/0!</v>
      </c>
      <c r="BK39" s="1535">
        <f t="shared" si="11"/>
        <v>254</v>
      </c>
      <c r="BL39" s="818">
        <f t="shared" ref="BL39:CK39" si="16">IF(BL21&gt;0,(($BK21/1000)/2)^2*PI()+((BL21/1000)-($BK21/1000))*($BK21/1000),0)</f>
        <v>0</v>
      </c>
      <c r="BM39" s="818">
        <f t="shared" si="16"/>
        <v>0</v>
      </c>
      <c r="BN39" s="818">
        <f t="shared" si="16"/>
        <v>0</v>
      </c>
      <c r="BO39" s="818">
        <f t="shared" si="16"/>
        <v>0</v>
      </c>
      <c r="BP39" s="818">
        <f t="shared" si="16"/>
        <v>7.0736747909749778E-2</v>
      </c>
      <c r="BQ39" s="818">
        <f t="shared" si="16"/>
        <v>8.089674790974978E-2</v>
      </c>
      <c r="BR39" s="818">
        <f t="shared" si="16"/>
        <v>9.1310747909749773E-2</v>
      </c>
      <c r="BS39" s="818">
        <f t="shared" si="16"/>
        <v>0.10147074790974978</v>
      </c>
      <c r="BT39" s="818">
        <f t="shared" si="16"/>
        <v>0.11137674790974977</v>
      </c>
      <c r="BU39" s="818">
        <f t="shared" si="16"/>
        <v>0.13169674790974978</v>
      </c>
      <c r="BV39" s="818">
        <f t="shared" si="16"/>
        <v>0.15201674790974978</v>
      </c>
      <c r="BW39" s="818">
        <f t="shared" si="16"/>
        <v>0.17208274790974976</v>
      </c>
      <c r="BX39" s="818">
        <f t="shared" si="16"/>
        <v>0.19240274790974982</v>
      </c>
      <c r="BY39" s="818">
        <f t="shared" si="16"/>
        <v>0.21272274790974977</v>
      </c>
      <c r="BZ39" s="818">
        <f t="shared" si="16"/>
        <v>0.23304274790974977</v>
      </c>
      <c r="CA39" s="818">
        <f t="shared" si="16"/>
        <v>0.25336274790974977</v>
      </c>
      <c r="CB39" s="818">
        <f t="shared" si="16"/>
        <v>0.27368274790974978</v>
      </c>
      <c r="CC39" s="818">
        <f t="shared" si="16"/>
        <v>0.29400274790974978</v>
      </c>
      <c r="CD39" s="818">
        <f t="shared" si="16"/>
        <v>0.31406874790974976</v>
      </c>
      <c r="CE39" s="818">
        <f t="shared" si="16"/>
        <v>0.35470874790974982</v>
      </c>
      <c r="CF39" s="818">
        <f t="shared" si="16"/>
        <v>0.37502874790974977</v>
      </c>
      <c r="CG39" s="818">
        <f t="shared" si="16"/>
        <v>0.3950947479097498</v>
      </c>
      <c r="CH39" s="818">
        <f t="shared" si="16"/>
        <v>0.43573474790974981</v>
      </c>
      <c r="CI39" s="818">
        <f t="shared" si="16"/>
        <v>0.47637474790974976</v>
      </c>
      <c r="CJ39" s="818">
        <f t="shared" si="16"/>
        <v>0</v>
      </c>
      <c r="CK39" s="818">
        <f t="shared" si="16"/>
        <v>0</v>
      </c>
    </row>
    <row r="40" spans="6:89" ht="13">
      <c r="O40" s="1953" t="s">
        <v>1309</v>
      </c>
      <c r="P40" s="1954"/>
      <c r="Q40" s="1954"/>
      <c r="R40" s="806"/>
      <c r="T40" s="745">
        <v>200</v>
      </c>
      <c r="U40" s="1561" t="s">
        <v>116</v>
      </c>
      <c r="W40" s="444" t="s">
        <v>595</v>
      </c>
      <c r="X40" s="1387"/>
      <c r="Y40" s="253" t="s">
        <v>599</v>
      </c>
      <c r="Z40" s="45"/>
      <c r="AA40" s="445"/>
      <c r="AW40" s="571">
        <f t="shared" si="6"/>
        <v>0</v>
      </c>
      <c r="AX40" s="571">
        <v>1450</v>
      </c>
      <c r="AY40" s="571">
        <f t="shared" si="7"/>
        <v>0</v>
      </c>
      <c r="AZ40" s="571">
        <f t="shared" si="8"/>
        <v>2.9</v>
      </c>
      <c r="BA40" s="572">
        <f t="shared" si="3"/>
        <v>0</v>
      </c>
      <c r="BC40" s="573">
        <v>0.28999999999999998</v>
      </c>
      <c r="BD40" s="571">
        <f t="shared" si="4"/>
        <v>0</v>
      </c>
      <c r="BE40" s="571">
        <f t="shared" si="5"/>
        <v>0</v>
      </c>
      <c r="BF40" s="586">
        <f t="shared" si="0"/>
        <v>0</v>
      </c>
      <c r="BG40" s="586" t="e">
        <f t="shared" si="1"/>
        <v>#DIV/0!</v>
      </c>
      <c r="BH40" s="571" t="e">
        <f t="shared" si="2"/>
        <v>#DIV/0!</v>
      </c>
      <c r="BK40" s="571">
        <f t="shared" si="11"/>
        <v>279</v>
      </c>
      <c r="BL40" s="818">
        <f t="shared" ref="BL40:CK40" si="17">IF(BL22&gt;0,(($BK22/1000)/2)^2*PI()+((BL22/1000)-($BK22/1000))*($BK22/1000),0)</f>
        <v>0</v>
      </c>
      <c r="BM40" s="818">
        <f t="shared" si="17"/>
        <v>0</v>
      </c>
      <c r="BN40" s="818">
        <f t="shared" si="17"/>
        <v>0</v>
      </c>
      <c r="BO40" s="818">
        <f t="shared" si="17"/>
        <v>0</v>
      </c>
      <c r="BP40" s="818">
        <f t="shared" si="17"/>
        <v>0</v>
      </c>
      <c r="BQ40" s="818">
        <f t="shared" si="17"/>
        <v>8.2619178437020782E-2</v>
      </c>
      <c r="BR40" s="818">
        <f t="shared" si="17"/>
        <v>9.4895178437020791E-2</v>
      </c>
      <c r="BS40" s="818">
        <f t="shared" si="17"/>
        <v>0.10605517843702078</v>
      </c>
      <c r="BT40" s="818">
        <f t="shared" si="17"/>
        <v>0.11861017843702079</v>
      </c>
      <c r="BU40" s="818">
        <f t="shared" si="17"/>
        <v>0.13953517843702079</v>
      </c>
      <c r="BV40" s="818">
        <f t="shared" si="17"/>
        <v>0.1615761784370208</v>
      </c>
      <c r="BW40" s="818">
        <f t="shared" si="17"/>
        <v>0.18361717843702077</v>
      </c>
      <c r="BX40" s="818">
        <f t="shared" si="17"/>
        <v>0.20593717843702081</v>
      </c>
      <c r="BY40" s="818">
        <f t="shared" si="17"/>
        <v>0.22825717843702081</v>
      </c>
      <c r="BZ40" s="818">
        <f t="shared" si="17"/>
        <v>0.25029817843702079</v>
      </c>
      <c r="CA40" s="818">
        <f t="shared" si="17"/>
        <v>0.2726181784370208</v>
      </c>
      <c r="CB40" s="818">
        <f t="shared" si="17"/>
        <v>0.2949381784370208</v>
      </c>
      <c r="CC40" s="818">
        <f t="shared" si="17"/>
        <v>0.31725817843702081</v>
      </c>
      <c r="CD40" s="818">
        <f t="shared" si="17"/>
        <v>0.33957817843702076</v>
      </c>
      <c r="CE40" s="818">
        <f t="shared" si="17"/>
        <v>0.38393917843702086</v>
      </c>
      <c r="CF40" s="818">
        <f t="shared" si="17"/>
        <v>0.40625917843702086</v>
      </c>
      <c r="CG40" s="818">
        <f t="shared" si="17"/>
        <v>0.42857917843702087</v>
      </c>
      <c r="CH40" s="818">
        <f t="shared" si="17"/>
        <v>0.47294017843702085</v>
      </c>
      <c r="CI40" s="818">
        <f t="shared" si="17"/>
        <v>0.51758017843702087</v>
      </c>
      <c r="CJ40" s="818">
        <f t="shared" si="17"/>
        <v>0</v>
      </c>
      <c r="CK40" s="818">
        <f t="shared" si="17"/>
        <v>0</v>
      </c>
    </row>
    <row r="41" spans="6:89" ht="14.5">
      <c r="O41" s="1953"/>
      <c r="P41" s="1954"/>
      <c r="Q41" s="1954"/>
      <c r="R41" s="806"/>
      <c r="T41" s="745">
        <v>250</v>
      </c>
      <c r="U41" s="1561" t="s">
        <v>117</v>
      </c>
      <c r="W41" s="817" t="s">
        <v>164</v>
      </c>
      <c r="X41" s="568" t="str">
        <f>IF(X37*X38*X39*X40&gt;0,((X37/1000*X38/1000)+(X38/1000*X39/1000)*2+(X37/1000*X39/1000)*2)*X40,"-")</f>
        <v>-</v>
      </c>
      <c r="Y41" s="766" t="s">
        <v>1321</v>
      </c>
      <c r="Z41" s="45"/>
      <c r="AA41" s="445"/>
      <c r="AW41" s="571">
        <f t="shared" si="6"/>
        <v>0</v>
      </c>
      <c r="AX41" s="571">
        <v>1500</v>
      </c>
      <c r="AY41" s="571">
        <f t="shared" si="7"/>
        <v>0</v>
      </c>
      <c r="AZ41" s="571">
        <f t="shared" si="8"/>
        <v>3</v>
      </c>
      <c r="BA41" s="572">
        <f t="shared" si="3"/>
        <v>0</v>
      </c>
      <c r="BC41" s="573">
        <v>0.3</v>
      </c>
      <c r="BD41" s="571">
        <f t="shared" si="4"/>
        <v>0</v>
      </c>
      <c r="BE41" s="571">
        <f t="shared" si="5"/>
        <v>0</v>
      </c>
      <c r="BF41" s="586">
        <f t="shared" si="0"/>
        <v>0</v>
      </c>
      <c r="BG41" s="586" t="e">
        <f t="shared" si="1"/>
        <v>#DIV/0!</v>
      </c>
      <c r="BH41" s="571" t="e">
        <f t="shared" si="2"/>
        <v>#DIV/0!</v>
      </c>
      <c r="BK41" s="1535">
        <f t="shared" si="11"/>
        <v>305</v>
      </c>
      <c r="BL41" s="818">
        <f t="shared" ref="BL41:CK41" si="18">IF(BL23&gt;0,(($BK23/1000)/2)^2*PI()+((BL23/1000)-($BK23/1000))*($BK23/1000),0)</f>
        <v>0</v>
      </c>
      <c r="BM41" s="818">
        <f t="shared" si="18"/>
        <v>0</v>
      </c>
      <c r="BN41" s="818">
        <f t="shared" si="18"/>
        <v>0</v>
      </c>
      <c r="BO41" s="818">
        <f t="shared" si="18"/>
        <v>0</v>
      </c>
      <c r="BP41" s="818">
        <f t="shared" si="18"/>
        <v>0</v>
      </c>
      <c r="BQ41" s="818">
        <f t="shared" si="18"/>
        <v>8.5261664150047614E-2</v>
      </c>
      <c r="BR41" s="818">
        <f t="shared" si="18"/>
        <v>9.7461664150047631E-2</v>
      </c>
      <c r="BS41" s="818">
        <f t="shared" si="18"/>
        <v>0.10935666415004763</v>
      </c>
      <c r="BT41" s="818">
        <f t="shared" si="18"/>
        <v>0.12186166415004764</v>
      </c>
      <c r="BU41" s="818">
        <f t="shared" si="18"/>
        <v>0.14595666415004765</v>
      </c>
      <c r="BV41" s="818">
        <f t="shared" si="18"/>
        <v>0.17066166415004763</v>
      </c>
      <c r="BW41" s="818">
        <f t="shared" si="18"/>
        <v>0.19475666415004761</v>
      </c>
      <c r="BX41" s="818">
        <f t="shared" si="18"/>
        <v>0.21915666415004764</v>
      </c>
      <c r="BY41" s="818">
        <f t="shared" si="18"/>
        <v>0.24355666415004762</v>
      </c>
      <c r="BZ41" s="818">
        <f t="shared" si="18"/>
        <v>0.2676516641500476</v>
      </c>
      <c r="CA41" s="818">
        <f t="shared" si="18"/>
        <v>0.29205166415004763</v>
      </c>
      <c r="CB41" s="818">
        <f t="shared" si="18"/>
        <v>0.31645166415004761</v>
      </c>
      <c r="CC41" s="818">
        <f t="shared" si="18"/>
        <v>0.34054666415004758</v>
      </c>
      <c r="CD41" s="818">
        <f t="shared" si="18"/>
        <v>0.36525166415004762</v>
      </c>
      <c r="CE41" s="818">
        <f t="shared" si="18"/>
        <v>0.41374666415004763</v>
      </c>
      <c r="CF41" s="818">
        <f t="shared" si="18"/>
        <v>0.4381466641500476</v>
      </c>
      <c r="CG41" s="818">
        <f t="shared" si="18"/>
        <v>0.46254666415004764</v>
      </c>
      <c r="CH41" s="818">
        <f t="shared" si="18"/>
        <v>0.5110416641500477</v>
      </c>
      <c r="CI41" s="818">
        <f t="shared" si="18"/>
        <v>0.55953666415004766</v>
      </c>
      <c r="CJ41" s="818">
        <f t="shared" si="18"/>
        <v>0.61138666415004761</v>
      </c>
      <c r="CK41" s="818">
        <f t="shared" si="18"/>
        <v>0</v>
      </c>
    </row>
    <row r="42" spans="6:89">
      <c r="O42" s="741" t="s">
        <v>1307</v>
      </c>
      <c r="P42" s="1391"/>
      <c r="Q42" s="525" t="s">
        <v>0</v>
      </c>
      <c r="R42" s="742"/>
      <c r="T42" s="745">
        <v>300</v>
      </c>
      <c r="U42" s="1561" t="s">
        <v>118</v>
      </c>
      <c r="W42" s="51"/>
      <c r="X42" s="446"/>
      <c r="Y42" s="446"/>
      <c r="Z42" s="446"/>
      <c r="AA42" s="52"/>
      <c r="AW42" s="571">
        <f t="shared" si="6"/>
        <v>0</v>
      </c>
      <c r="AX42" s="571">
        <v>1550</v>
      </c>
      <c r="AY42" s="571">
        <f t="shared" si="7"/>
        <v>0</v>
      </c>
      <c r="AZ42" s="571">
        <f t="shared" si="8"/>
        <v>3.1</v>
      </c>
      <c r="BA42" s="572">
        <f t="shared" si="3"/>
        <v>0</v>
      </c>
      <c r="BC42" s="573">
        <v>0.31</v>
      </c>
      <c r="BD42" s="571">
        <f t="shared" si="4"/>
        <v>0</v>
      </c>
      <c r="BE42" s="571">
        <f t="shared" si="5"/>
        <v>0</v>
      </c>
      <c r="BF42" s="586">
        <f t="shared" si="0"/>
        <v>0</v>
      </c>
      <c r="BG42" s="586" t="e">
        <f t="shared" si="1"/>
        <v>#DIV/0!</v>
      </c>
      <c r="BH42" s="571" t="e">
        <f t="shared" si="2"/>
        <v>#DIV/0!</v>
      </c>
      <c r="BK42" s="571">
        <f t="shared" si="11"/>
        <v>356</v>
      </c>
      <c r="BL42" s="818">
        <f t="shared" ref="BL42:CK42" si="19">IF(BL24&gt;0,(($BK24/1000)/2)^2*PI()+((BL24/1000)-($BK24/1000))*($BK24/1000),0)</f>
        <v>0</v>
      </c>
      <c r="BM42" s="818">
        <f t="shared" si="19"/>
        <v>0</v>
      </c>
      <c r="BN42" s="818">
        <f t="shared" si="19"/>
        <v>0</v>
      </c>
      <c r="BO42" s="818">
        <f t="shared" si="19"/>
        <v>0</v>
      </c>
      <c r="BP42" s="818">
        <f t="shared" si="19"/>
        <v>0</v>
      </c>
      <c r="BQ42" s="818">
        <f t="shared" si="19"/>
        <v>0</v>
      </c>
      <c r="BR42" s="818">
        <f t="shared" si="19"/>
        <v>0</v>
      </c>
      <c r="BS42" s="818">
        <f t="shared" si="19"/>
        <v>0</v>
      </c>
      <c r="BT42" s="818">
        <f t="shared" si="19"/>
        <v>0</v>
      </c>
      <c r="BU42" s="818">
        <f t="shared" si="19"/>
        <v>0</v>
      </c>
      <c r="BV42" s="818">
        <f t="shared" si="19"/>
        <v>0</v>
      </c>
      <c r="BW42" s="818">
        <f t="shared" si="19"/>
        <v>0.21310222163633902</v>
      </c>
      <c r="BX42" s="818">
        <f t="shared" si="19"/>
        <v>0.241582221636339</v>
      </c>
      <c r="BY42" s="818">
        <f t="shared" si="19"/>
        <v>0.27006222163633897</v>
      </c>
      <c r="BZ42" s="818">
        <f t="shared" si="19"/>
        <v>0.29854222163633903</v>
      </c>
      <c r="CA42" s="818">
        <f t="shared" si="19"/>
        <v>0.32702222163633898</v>
      </c>
      <c r="CB42" s="818">
        <f t="shared" si="19"/>
        <v>0.35514622163633902</v>
      </c>
      <c r="CC42" s="818">
        <f t="shared" si="19"/>
        <v>0.38362622163633897</v>
      </c>
      <c r="CD42" s="818">
        <f t="shared" si="19"/>
        <v>0.41210622163633903</v>
      </c>
      <c r="CE42" s="818">
        <f t="shared" si="19"/>
        <v>0.46871022163633891</v>
      </c>
      <c r="CF42" s="818">
        <f t="shared" si="19"/>
        <v>0.49719022163633897</v>
      </c>
      <c r="CG42" s="818">
        <f t="shared" si="19"/>
        <v>0.52567022163633903</v>
      </c>
      <c r="CH42" s="818">
        <f t="shared" si="19"/>
        <v>0.58263022163633904</v>
      </c>
      <c r="CI42" s="818">
        <f t="shared" si="19"/>
        <v>0.63923422163633892</v>
      </c>
      <c r="CJ42" s="818">
        <f t="shared" si="19"/>
        <v>0.699042221636339</v>
      </c>
      <c r="CK42" s="818">
        <f t="shared" si="19"/>
        <v>0.75315422163633905</v>
      </c>
    </row>
    <row r="43" spans="6:89">
      <c r="O43" s="741" t="s">
        <v>1308</v>
      </c>
      <c r="P43" s="1392"/>
      <c r="Q43" s="525" t="s">
        <v>0</v>
      </c>
      <c r="R43" s="742"/>
      <c r="T43" s="745">
        <v>350</v>
      </c>
      <c r="U43" s="1561" t="s">
        <v>119</v>
      </c>
      <c r="AW43" s="571">
        <f t="shared" si="6"/>
        <v>0</v>
      </c>
      <c r="AX43" s="571">
        <v>1600</v>
      </c>
      <c r="AY43" s="571">
        <f t="shared" si="7"/>
        <v>0</v>
      </c>
      <c r="AZ43" s="571">
        <f t="shared" si="8"/>
        <v>3.2</v>
      </c>
      <c r="BA43" s="572">
        <f t="shared" si="3"/>
        <v>0</v>
      </c>
      <c r="BC43" s="573">
        <v>0.32</v>
      </c>
      <c r="BD43" s="571">
        <f t="shared" si="4"/>
        <v>0</v>
      </c>
      <c r="BE43" s="571">
        <f t="shared" si="5"/>
        <v>0</v>
      </c>
      <c r="BF43" s="586">
        <f t="shared" si="0"/>
        <v>0</v>
      </c>
      <c r="BG43" s="586" t="e">
        <f t="shared" si="1"/>
        <v>#DIV/0!</v>
      </c>
      <c r="BH43" s="571" t="e">
        <f t="shared" si="2"/>
        <v>#DIV/0!</v>
      </c>
      <c r="BK43" s="1535">
        <f t="shared" si="11"/>
        <v>406</v>
      </c>
      <c r="BL43" s="818">
        <f t="shared" ref="BL43:CK43" si="20">IF(BL25&gt;0,(($BK25/1000)/2)^2*PI()+((BL25/1000)-($BK25/1000))*($BK25/1000),0)</f>
        <v>0</v>
      </c>
      <c r="BM43" s="818">
        <f t="shared" si="20"/>
        <v>0</v>
      </c>
      <c r="BN43" s="818">
        <f t="shared" si="20"/>
        <v>0</v>
      </c>
      <c r="BO43" s="818">
        <f t="shared" si="20"/>
        <v>0</v>
      </c>
      <c r="BP43" s="818">
        <f t="shared" si="20"/>
        <v>0</v>
      </c>
      <c r="BQ43" s="818">
        <f t="shared" si="20"/>
        <v>0</v>
      </c>
      <c r="BR43" s="818">
        <f t="shared" si="20"/>
        <v>0</v>
      </c>
      <c r="BS43" s="818">
        <f t="shared" si="20"/>
        <v>0</v>
      </c>
      <c r="BT43" s="818">
        <f t="shared" si="20"/>
        <v>0</v>
      </c>
      <c r="BU43" s="818">
        <f t="shared" si="20"/>
        <v>0</v>
      </c>
      <c r="BV43" s="818">
        <f t="shared" si="20"/>
        <v>0</v>
      </c>
      <c r="BW43" s="818">
        <f t="shared" si="20"/>
        <v>0.22690189166178179</v>
      </c>
      <c r="BX43" s="818">
        <f t="shared" si="20"/>
        <v>0.25897589166178181</v>
      </c>
      <c r="BY43" s="818">
        <f t="shared" si="20"/>
        <v>0.29145589166178182</v>
      </c>
      <c r="BZ43" s="818">
        <f t="shared" si="20"/>
        <v>0.32393589166178183</v>
      </c>
      <c r="CA43" s="818">
        <f t="shared" si="20"/>
        <v>0.3568218916617818</v>
      </c>
      <c r="CB43" s="818">
        <f t="shared" si="20"/>
        <v>0.38848989166178183</v>
      </c>
      <c r="CC43" s="818">
        <f t="shared" si="20"/>
        <v>0.42096989166178184</v>
      </c>
      <c r="CD43" s="818">
        <f t="shared" si="20"/>
        <v>0.45344989166178179</v>
      </c>
      <c r="CE43" s="818">
        <f t="shared" si="20"/>
        <v>0.51840989166178186</v>
      </c>
      <c r="CF43" s="818">
        <f t="shared" si="20"/>
        <v>0.5504838916617818</v>
      </c>
      <c r="CG43" s="818">
        <f t="shared" si="20"/>
        <v>0.58296389166178186</v>
      </c>
      <c r="CH43" s="818">
        <f t="shared" si="20"/>
        <v>0.64792389166178188</v>
      </c>
      <c r="CI43" s="818">
        <f t="shared" si="20"/>
        <v>0.71247789166178177</v>
      </c>
      <c r="CJ43" s="818">
        <f t="shared" si="20"/>
        <v>0.78068589166178171</v>
      </c>
      <c r="CK43" s="818">
        <f t="shared" si="20"/>
        <v>0.84361589166178175</v>
      </c>
    </row>
    <row r="44" spans="6:89">
      <c r="O44" s="741" t="s">
        <v>1326</v>
      </c>
      <c r="P44" s="1392"/>
      <c r="Q44" s="525" t="s">
        <v>216</v>
      </c>
      <c r="R44" s="742"/>
      <c r="T44" s="745">
        <v>400</v>
      </c>
      <c r="U44" s="1561" t="s">
        <v>120</v>
      </c>
      <c r="AW44" s="571">
        <f t="shared" si="6"/>
        <v>0</v>
      </c>
      <c r="AX44" s="571">
        <v>1650</v>
      </c>
      <c r="AY44" s="571">
        <f t="shared" si="7"/>
        <v>0</v>
      </c>
      <c r="AZ44" s="571">
        <f t="shared" si="8"/>
        <v>3.3</v>
      </c>
      <c r="BA44" s="572">
        <f t="shared" si="3"/>
        <v>0</v>
      </c>
      <c r="BC44" s="573">
        <v>0.33</v>
      </c>
      <c r="BD44" s="571">
        <f t="shared" si="4"/>
        <v>0</v>
      </c>
      <c r="BE44" s="571">
        <f t="shared" si="5"/>
        <v>0</v>
      </c>
      <c r="BF44" s="586">
        <f t="shared" si="0"/>
        <v>0</v>
      </c>
      <c r="BG44" s="586" t="e">
        <f t="shared" si="1"/>
        <v>#DIV/0!</v>
      </c>
      <c r="BH44" s="571" t="e">
        <f t="shared" si="2"/>
        <v>#DIV/0!</v>
      </c>
      <c r="BK44" s="571">
        <f t="shared" si="11"/>
        <v>457</v>
      </c>
      <c r="BL44" s="818">
        <f t="shared" ref="BL44:CK44" si="21">IF(BL26&gt;0,(($BK26/1000)/2)^2*PI()+((BL26/1000)-($BK26/1000))*($BK26/1000),0)</f>
        <v>0</v>
      </c>
      <c r="BM44" s="818">
        <f t="shared" si="21"/>
        <v>0</v>
      </c>
      <c r="BN44" s="818">
        <f t="shared" si="21"/>
        <v>0</v>
      </c>
      <c r="BO44" s="818">
        <f t="shared" si="21"/>
        <v>0</v>
      </c>
      <c r="BP44" s="818">
        <f t="shared" si="21"/>
        <v>0</v>
      </c>
      <c r="BQ44" s="818">
        <f t="shared" si="21"/>
        <v>0</v>
      </c>
      <c r="BR44" s="818">
        <f t="shared" si="21"/>
        <v>0</v>
      </c>
      <c r="BS44" s="818">
        <f t="shared" si="21"/>
        <v>0</v>
      </c>
      <c r="BT44" s="818">
        <f t="shared" si="21"/>
        <v>0</v>
      </c>
      <c r="BU44" s="818">
        <f t="shared" si="21"/>
        <v>0</v>
      </c>
      <c r="BV44" s="818">
        <f t="shared" si="21"/>
        <v>0</v>
      </c>
      <c r="BW44" s="818">
        <f t="shared" si="21"/>
        <v>0</v>
      </c>
      <c r="BX44" s="818">
        <f t="shared" si="21"/>
        <v>0.27370962102739366</v>
      </c>
      <c r="BY44" s="818">
        <f t="shared" si="21"/>
        <v>0.30981262102739371</v>
      </c>
      <c r="BZ44" s="818">
        <f t="shared" si="21"/>
        <v>0.3459156210273937</v>
      </c>
      <c r="CA44" s="818">
        <f t="shared" si="21"/>
        <v>0.38293262102739367</v>
      </c>
      <c r="CB44" s="818">
        <f t="shared" si="21"/>
        <v>0.41949262102739371</v>
      </c>
      <c r="CC44" s="818">
        <f t="shared" si="21"/>
        <v>0.4555956210273937</v>
      </c>
      <c r="CD44" s="818">
        <f t="shared" si="21"/>
        <v>0.49215562102739363</v>
      </c>
      <c r="CE44" s="818">
        <f t="shared" si="21"/>
        <v>0.5652756210273937</v>
      </c>
      <c r="CF44" s="818">
        <f t="shared" si="21"/>
        <v>0.60183562102739363</v>
      </c>
      <c r="CG44" s="818">
        <f t="shared" si="21"/>
        <v>0.63839562102739367</v>
      </c>
      <c r="CH44" s="818">
        <f t="shared" si="21"/>
        <v>0.7110586210273937</v>
      </c>
      <c r="CI44" s="818">
        <f t="shared" si="21"/>
        <v>0.78417862102739377</v>
      </c>
      <c r="CJ44" s="818">
        <f t="shared" si="21"/>
        <v>0.86004062102739365</v>
      </c>
      <c r="CK44" s="818">
        <f t="shared" si="21"/>
        <v>0.93087562102739363</v>
      </c>
    </row>
    <row r="45" spans="6:89">
      <c r="O45" s="1957" t="s">
        <v>1341</v>
      </c>
      <c r="P45" s="1959" t="str">
        <f>IF(P42*P43*P44=0,"-",((P42+P43)/1000*P44)*2)</f>
        <v>-</v>
      </c>
      <c r="Q45" s="1961" t="s">
        <v>448</v>
      </c>
      <c r="R45" s="807"/>
      <c r="T45" s="745">
        <v>450</v>
      </c>
      <c r="U45" s="1561" t="s">
        <v>121</v>
      </c>
      <c r="AW45" s="571">
        <f t="shared" si="6"/>
        <v>0</v>
      </c>
      <c r="AX45" s="571">
        <v>1700</v>
      </c>
      <c r="AY45" s="571">
        <f t="shared" si="7"/>
        <v>0</v>
      </c>
      <c r="AZ45" s="571">
        <f t="shared" si="8"/>
        <v>3.4</v>
      </c>
      <c r="BA45" s="572">
        <f t="shared" ref="BA45:BA76" si="22">1.453*(AY45^0.6)/(AZ45^0.2)</f>
        <v>0</v>
      </c>
      <c r="BC45" s="573">
        <v>0.34</v>
      </c>
      <c r="BD45" s="571">
        <f t="shared" si="4"/>
        <v>0</v>
      </c>
      <c r="BE45" s="571">
        <f t="shared" si="5"/>
        <v>0</v>
      </c>
      <c r="BF45" s="586">
        <f t="shared" si="0"/>
        <v>0</v>
      </c>
      <c r="BG45" s="586" t="e">
        <f t="shared" si="1"/>
        <v>#DIV/0!</v>
      </c>
      <c r="BH45" s="571" t="e">
        <f t="shared" si="2"/>
        <v>#DIV/0!</v>
      </c>
      <c r="BK45" s="1535">
        <f t="shared" si="11"/>
        <v>508</v>
      </c>
      <c r="BL45" s="818">
        <f t="shared" ref="BL45:CK45" si="23">IF(BL27&gt;0,(($BK27/1000)/2)^2*PI()+((BL27/1000)-($BK27/1000))*($BK27/1000),0)</f>
        <v>0</v>
      </c>
      <c r="BM45" s="818">
        <f t="shared" si="23"/>
        <v>0</v>
      </c>
      <c r="BN45" s="818">
        <f t="shared" si="23"/>
        <v>0</v>
      </c>
      <c r="BO45" s="818">
        <f t="shared" si="23"/>
        <v>0</v>
      </c>
      <c r="BP45" s="818">
        <f t="shared" si="23"/>
        <v>0</v>
      </c>
      <c r="BQ45" s="818">
        <f t="shared" si="23"/>
        <v>0</v>
      </c>
      <c r="BR45" s="818">
        <f t="shared" si="23"/>
        <v>0</v>
      </c>
      <c r="BS45" s="818">
        <f t="shared" si="23"/>
        <v>0</v>
      </c>
      <c r="BT45" s="818">
        <f t="shared" si="23"/>
        <v>0</v>
      </c>
      <c r="BU45" s="818">
        <f t="shared" si="23"/>
        <v>0</v>
      </c>
      <c r="BV45" s="818">
        <f t="shared" si="23"/>
        <v>0</v>
      </c>
      <c r="BW45" s="818">
        <f t="shared" si="23"/>
        <v>0</v>
      </c>
      <c r="BX45" s="818">
        <f t="shared" si="23"/>
        <v>0</v>
      </c>
      <c r="BY45" s="818">
        <f t="shared" si="23"/>
        <v>0.32460299163899908</v>
      </c>
      <c r="BZ45" s="818">
        <f t="shared" si="23"/>
        <v>0.36473499163899908</v>
      </c>
      <c r="CA45" s="818">
        <f t="shared" si="23"/>
        <v>0.40537499163899915</v>
      </c>
      <c r="CB45" s="818">
        <f t="shared" si="23"/>
        <v>0.4460149916389991</v>
      </c>
      <c r="CC45" s="818">
        <f t="shared" si="23"/>
        <v>0.48614699163899916</v>
      </c>
      <c r="CD45" s="818">
        <f t="shared" si="23"/>
        <v>0.52678699163899911</v>
      </c>
      <c r="CE45" s="818">
        <f t="shared" si="23"/>
        <v>0.60806699163899913</v>
      </c>
      <c r="CF45" s="818">
        <f t="shared" si="23"/>
        <v>0.64870699163899914</v>
      </c>
      <c r="CG45" s="818">
        <f t="shared" si="23"/>
        <v>0.68934699163899915</v>
      </c>
      <c r="CH45" s="818">
        <f t="shared" si="23"/>
        <v>0.77011899163899922</v>
      </c>
      <c r="CI45" s="818">
        <f t="shared" si="23"/>
        <v>0.85139899163899901</v>
      </c>
      <c r="CJ45" s="818">
        <f t="shared" si="23"/>
        <v>0.93521899163899902</v>
      </c>
      <c r="CK45" s="818">
        <f t="shared" si="23"/>
        <v>1.016498991638999</v>
      </c>
    </row>
    <row r="46" spans="6:89">
      <c r="O46" s="1958"/>
      <c r="P46" s="1960"/>
      <c r="Q46" s="1962"/>
      <c r="R46" s="808"/>
      <c r="T46" s="745">
        <v>500</v>
      </c>
      <c r="U46" s="1561" t="s">
        <v>122</v>
      </c>
      <c r="AW46" s="571">
        <f t="shared" si="6"/>
        <v>0</v>
      </c>
      <c r="AX46" s="571">
        <v>1750</v>
      </c>
      <c r="AY46" s="571">
        <f t="shared" si="7"/>
        <v>0</v>
      </c>
      <c r="AZ46" s="571">
        <f t="shared" si="8"/>
        <v>3.5</v>
      </c>
      <c r="BA46" s="572">
        <f t="shared" si="22"/>
        <v>0</v>
      </c>
      <c r="BC46" s="573">
        <v>0.35</v>
      </c>
      <c r="BD46" s="571">
        <f t="shared" si="4"/>
        <v>0</v>
      </c>
      <c r="BE46" s="571">
        <f t="shared" si="5"/>
        <v>0</v>
      </c>
      <c r="BF46" s="586">
        <f t="shared" si="0"/>
        <v>0</v>
      </c>
      <c r="BG46" s="586" t="e">
        <f t="shared" si="1"/>
        <v>#DIV/0!</v>
      </c>
      <c r="BH46" s="571" t="e">
        <f t="shared" si="2"/>
        <v>#DIV/0!</v>
      </c>
      <c r="BK46" s="571">
        <f t="shared" si="11"/>
        <v>550</v>
      </c>
      <c r="BL46" s="818">
        <f t="shared" ref="BL46:CK46" si="24">IF(BL28&gt;0,(($BK28/1000)/2)^2*PI()+((BL28/1000)-($BK28/1000))*($BK28/1000),0)</f>
        <v>0</v>
      </c>
      <c r="BM46" s="818">
        <f t="shared" si="24"/>
        <v>0</v>
      </c>
      <c r="BN46" s="818">
        <f t="shared" si="24"/>
        <v>0</v>
      </c>
      <c r="BO46" s="818">
        <f t="shared" si="24"/>
        <v>0</v>
      </c>
      <c r="BP46" s="818">
        <f t="shared" si="24"/>
        <v>0</v>
      </c>
      <c r="BQ46" s="818">
        <f t="shared" si="24"/>
        <v>0</v>
      </c>
      <c r="BR46" s="818">
        <f t="shared" si="24"/>
        <v>0</v>
      </c>
      <c r="BS46" s="818">
        <f t="shared" si="24"/>
        <v>0</v>
      </c>
      <c r="BT46" s="818">
        <f t="shared" si="24"/>
        <v>0</v>
      </c>
      <c r="BU46" s="818">
        <f t="shared" si="24"/>
        <v>0</v>
      </c>
      <c r="BV46" s="818">
        <f t="shared" si="24"/>
        <v>0</v>
      </c>
      <c r="BW46" s="818">
        <f t="shared" si="24"/>
        <v>0</v>
      </c>
      <c r="BX46" s="818">
        <f t="shared" si="24"/>
        <v>0</v>
      </c>
      <c r="BY46" s="818">
        <f t="shared" si="24"/>
        <v>0</v>
      </c>
      <c r="BZ46" s="818">
        <f t="shared" si="24"/>
        <v>0.37508294442772816</v>
      </c>
      <c r="CA46" s="818">
        <f t="shared" si="24"/>
        <v>0.41908294442772814</v>
      </c>
      <c r="CB46" s="818">
        <f t="shared" si="24"/>
        <v>0.46253294442772813</v>
      </c>
      <c r="CC46" s="818">
        <f t="shared" si="24"/>
        <v>0.50543294442772813</v>
      </c>
      <c r="CD46" s="818">
        <f t="shared" si="24"/>
        <v>0.54943294442772816</v>
      </c>
      <c r="CE46" s="818">
        <f t="shared" si="24"/>
        <v>0.63743294442772813</v>
      </c>
      <c r="CF46" s="818">
        <f t="shared" si="24"/>
        <v>0.68198294442772822</v>
      </c>
      <c r="CG46" s="818">
        <f t="shared" si="24"/>
        <v>0.72598294442772815</v>
      </c>
      <c r="CH46" s="818">
        <f t="shared" si="24"/>
        <v>0.81288294442772813</v>
      </c>
      <c r="CI46" s="818">
        <f t="shared" si="24"/>
        <v>0.90088294442772821</v>
      </c>
      <c r="CJ46" s="818">
        <f t="shared" si="24"/>
        <v>0.99108294442772804</v>
      </c>
      <c r="CK46" s="818">
        <f t="shared" si="24"/>
        <v>1.0790829444277283</v>
      </c>
    </row>
    <row r="47" spans="6:89">
      <c r="AW47" s="571">
        <f t="shared" si="6"/>
        <v>0</v>
      </c>
      <c r="AX47" s="571">
        <v>1800</v>
      </c>
      <c r="AY47" s="571">
        <f t="shared" si="7"/>
        <v>0</v>
      </c>
      <c r="AZ47" s="571">
        <f t="shared" si="8"/>
        <v>3.6</v>
      </c>
      <c r="BA47" s="572">
        <f t="shared" si="22"/>
        <v>0</v>
      </c>
      <c r="BC47" s="573">
        <v>0.36</v>
      </c>
      <c r="BD47" s="571">
        <f t="shared" si="4"/>
        <v>0</v>
      </c>
      <c r="BE47" s="571">
        <f t="shared" si="5"/>
        <v>0</v>
      </c>
      <c r="BF47" s="586">
        <f t="shared" si="0"/>
        <v>0</v>
      </c>
      <c r="BG47" s="586" t="e">
        <f t="shared" si="1"/>
        <v>#DIV/0!</v>
      </c>
      <c r="BH47" s="571" t="e">
        <f t="shared" si="2"/>
        <v>#DIV/0!</v>
      </c>
      <c r="BK47" s="1535">
        <f t="shared" si="11"/>
        <v>610</v>
      </c>
      <c r="BL47" s="818">
        <f t="shared" ref="BL47:CK47" si="25">IF(BL29&gt;0,(($BK29/1000)/2)^2*PI()+((BL29/1000)-($BK29/1000))*($BK29/1000),0)</f>
        <v>0</v>
      </c>
      <c r="BM47" s="818">
        <f t="shared" si="25"/>
        <v>0</v>
      </c>
      <c r="BN47" s="818">
        <f t="shared" si="25"/>
        <v>0</v>
      </c>
      <c r="BO47" s="818">
        <f t="shared" si="25"/>
        <v>0</v>
      </c>
      <c r="BP47" s="818">
        <f t="shared" si="25"/>
        <v>0</v>
      </c>
      <c r="BQ47" s="818">
        <f t="shared" si="25"/>
        <v>0</v>
      </c>
      <c r="BR47" s="818">
        <f t="shared" si="25"/>
        <v>0</v>
      </c>
      <c r="BS47" s="818">
        <f t="shared" si="25"/>
        <v>0</v>
      </c>
      <c r="BT47" s="818">
        <f t="shared" si="25"/>
        <v>0</v>
      </c>
      <c r="BU47" s="818">
        <f t="shared" si="25"/>
        <v>0</v>
      </c>
      <c r="BV47" s="818">
        <f t="shared" si="25"/>
        <v>0</v>
      </c>
      <c r="BW47" s="818">
        <f t="shared" si="25"/>
        <v>0</v>
      </c>
      <c r="BX47" s="818">
        <f t="shared" si="25"/>
        <v>0</v>
      </c>
      <c r="BY47" s="818">
        <f t="shared" si="25"/>
        <v>0</v>
      </c>
      <c r="BZ47" s="818">
        <f t="shared" si="25"/>
        <v>0</v>
      </c>
      <c r="CA47" s="818">
        <f t="shared" si="25"/>
        <v>0</v>
      </c>
      <c r="CB47" s="818">
        <f t="shared" si="25"/>
        <v>0.49354665660019048</v>
      </c>
      <c r="CC47" s="818">
        <f t="shared" si="25"/>
        <v>0.53502665660019044</v>
      </c>
      <c r="CD47" s="818">
        <f t="shared" si="25"/>
        <v>0.58626665660019062</v>
      </c>
      <c r="CE47" s="818">
        <f t="shared" si="25"/>
        <v>0.67044665660019054</v>
      </c>
      <c r="CF47" s="818">
        <f t="shared" si="25"/>
        <v>0.72229665660019049</v>
      </c>
      <c r="CG47" s="818">
        <f t="shared" si="25"/>
        <v>0.77109665660019044</v>
      </c>
      <c r="CH47" s="818">
        <f t="shared" si="25"/>
        <v>0.87174665660019057</v>
      </c>
      <c r="CI47" s="818">
        <f t="shared" si="25"/>
        <v>0.9748366566001907</v>
      </c>
      <c r="CJ47" s="818">
        <f t="shared" si="25"/>
        <v>1.0828066566001904</v>
      </c>
      <c r="CK47" s="818">
        <f t="shared" si="25"/>
        <v>1.1767466566001905</v>
      </c>
    </row>
    <row r="48" spans="6:89">
      <c r="AW48" s="571">
        <f t="shared" si="6"/>
        <v>0</v>
      </c>
      <c r="AX48" s="571">
        <v>1850</v>
      </c>
      <c r="AY48" s="571">
        <f t="shared" si="7"/>
        <v>0</v>
      </c>
      <c r="AZ48" s="571">
        <f t="shared" si="8"/>
        <v>3.7</v>
      </c>
      <c r="BA48" s="572">
        <f t="shared" si="22"/>
        <v>0</v>
      </c>
      <c r="BC48" s="573">
        <v>0.37</v>
      </c>
      <c r="BD48" s="571">
        <f t="shared" si="4"/>
        <v>0</v>
      </c>
      <c r="BE48" s="571">
        <f t="shared" si="5"/>
        <v>0</v>
      </c>
      <c r="BF48" s="586">
        <f t="shared" si="0"/>
        <v>0</v>
      </c>
      <c r="BG48" s="586" t="e">
        <f t="shared" si="1"/>
        <v>#DIV/0!</v>
      </c>
      <c r="BH48" s="571" t="e">
        <f t="shared" si="2"/>
        <v>#DIV/0!</v>
      </c>
      <c r="BK48" s="571">
        <f t="shared" si="11"/>
        <v>700</v>
      </c>
      <c r="BL48" s="818">
        <f t="shared" ref="BL48:CK48" si="26">IF(BL30&gt;0,(($BK30/1000)/2)^2*PI()+((BL30/1000)-($BK30/1000))*($BK30/1000),0)</f>
        <v>0</v>
      </c>
      <c r="BM48" s="818">
        <f t="shared" si="26"/>
        <v>0</v>
      </c>
      <c r="BN48" s="818">
        <f t="shared" si="26"/>
        <v>0</v>
      </c>
      <c r="BO48" s="818">
        <f t="shared" si="26"/>
        <v>0</v>
      </c>
      <c r="BP48" s="818">
        <f t="shared" si="26"/>
        <v>0</v>
      </c>
      <c r="BQ48" s="818">
        <f t="shared" si="26"/>
        <v>0</v>
      </c>
      <c r="BR48" s="818">
        <f t="shared" si="26"/>
        <v>0</v>
      </c>
      <c r="BS48" s="818">
        <f t="shared" si="26"/>
        <v>0</v>
      </c>
      <c r="BT48" s="818">
        <f t="shared" si="26"/>
        <v>0</v>
      </c>
      <c r="BU48" s="818">
        <f t="shared" si="26"/>
        <v>0</v>
      </c>
      <c r="BV48" s="818">
        <f t="shared" si="26"/>
        <v>0</v>
      </c>
      <c r="BW48" s="818">
        <f t="shared" si="26"/>
        <v>0</v>
      </c>
      <c r="BX48" s="818">
        <f t="shared" si="26"/>
        <v>0</v>
      </c>
      <c r="BY48" s="818">
        <f t="shared" si="26"/>
        <v>0</v>
      </c>
      <c r="BZ48" s="818">
        <f t="shared" si="26"/>
        <v>0</v>
      </c>
      <c r="CA48" s="818">
        <f t="shared" si="26"/>
        <v>0</v>
      </c>
      <c r="CB48" s="818">
        <f t="shared" si="26"/>
        <v>0.50944510006474963</v>
      </c>
      <c r="CC48" s="818">
        <f t="shared" si="26"/>
        <v>0.56544510006474957</v>
      </c>
      <c r="CD48" s="818">
        <f t="shared" si="26"/>
        <v>0.62144510006474962</v>
      </c>
      <c r="CE48" s="818">
        <f t="shared" si="26"/>
        <v>0.73274510006474958</v>
      </c>
      <c r="CF48" s="818">
        <f t="shared" si="26"/>
        <v>0.78874510006474952</v>
      </c>
      <c r="CG48" s="818">
        <f t="shared" si="26"/>
        <v>0.84474510006474957</v>
      </c>
      <c r="CH48" s="818">
        <f t="shared" si="26"/>
        <v>0.97284510006474956</v>
      </c>
      <c r="CI48" s="818">
        <f t="shared" si="26"/>
        <v>1.0680451000647495</v>
      </c>
      <c r="CJ48" s="818">
        <f t="shared" si="26"/>
        <v>1.1800451000647496</v>
      </c>
      <c r="CK48" s="818">
        <f t="shared" si="26"/>
        <v>1.2899451000647497</v>
      </c>
    </row>
    <row r="49" spans="49:89" s="39" customFormat="1">
      <c r="AW49" s="571">
        <f t="shared" si="6"/>
        <v>0</v>
      </c>
      <c r="AX49" s="571">
        <v>1900</v>
      </c>
      <c r="AY49" s="571">
        <f t="shared" si="7"/>
        <v>0</v>
      </c>
      <c r="AZ49" s="571">
        <f t="shared" si="8"/>
        <v>3.8</v>
      </c>
      <c r="BA49" s="572">
        <f t="shared" si="22"/>
        <v>0</v>
      </c>
      <c r="BB49" s="571"/>
      <c r="BC49" s="573">
        <v>0.38</v>
      </c>
      <c r="BD49" s="571">
        <f t="shared" si="4"/>
        <v>0</v>
      </c>
      <c r="BE49" s="571">
        <f t="shared" si="5"/>
        <v>0</v>
      </c>
      <c r="BF49" s="586">
        <f t="shared" si="0"/>
        <v>0</v>
      </c>
      <c r="BG49" s="586" t="e">
        <f t="shared" si="1"/>
        <v>#DIV/0!</v>
      </c>
      <c r="BH49" s="571" t="e">
        <f t="shared" si="2"/>
        <v>#DIV/0!</v>
      </c>
      <c r="BI49" s="571"/>
      <c r="BJ49" s="571"/>
      <c r="BK49" s="1535">
        <f t="shared" si="11"/>
        <v>800</v>
      </c>
      <c r="BL49" s="818">
        <f t="shared" ref="BL49:CK49" si="27">IF(BL31&gt;0,(($BK31/1000)/2)^2*PI()+((BL31/1000)-($BK31/1000))*($BK31/1000),0)</f>
        <v>0</v>
      </c>
      <c r="BM49" s="818">
        <f t="shared" si="27"/>
        <v>0</v>
      </c>
      <c r="BN49" s="818">
        <f t="shared" si="27"/>
        <v>0</v>
      </c>
      <c r="BO49" s="818">
        <f t="shared" si="27"/>
        <v>0</v>
      </c>
      <c r="BP49" s="818">
        <f t="shared" si="27"/>
        <v>0</v>
      </c>
      <c r="BQ49" s="818">
        <f t="shared" si="27"/>
        <v>0</v>
      </c>
      <c r="BR49" s="818">
        <f t="shared" si="27"/>
        <v>0</v>
      </c>
      <c r="BS49" s="818">
        <f t="shared" si="27"/>
        <v>0</v>
      </c>
      <c r="BT49" s="818">
        <f t="shared" si="27"/>
        <v>0</v>
      </c>
      <c r="BU49" s="818">
        <f t="shared" si="27"/>
        <v>0</v>
      </c>
      <c r="BV49" s="818">
        <f t="shared" si="27"/>
        <v>0</v>
      </c>
      <c r="BW49" s="818">
        <f t="shared" si="27"/>
        <v>0</v>
      </c>
      <c r="BX49" s="818">
        <f t="shared" si="27"/>
        <v>0</v>
      </c>
      <c r="BY49" s="818">
        <f t="shared" si="27"/>
        <v>0</v>
      </c>
      <c r="BZ49" s="818">
        <f t="shared" si="27"/>
        <v>0</v>
      </c>
      <c r="CA49" s="818">
        <f t="shared" si="27"/>
        <v>0</v>
      </c>
      <c r="CB49" s="818">
        <f t="shared" si="27"/>
        <v>0</v>
      </c>
      <c r="CC49" s="818">
        <f t="shared" si="27"/>
        <v>0</v>
      </c>
      <c r="CD49" s="818">
        <f t="shared" si="27"/>
        <v>0.64025482457436689</v>
      </c>
      <c r="CE49" s="818">
        <f t="shared" si="27"/>
        <v>0.75065482457436694</v>
      </c>
      <c r="CF49" s="818">
        <f t="shared" si="27"/>
        <v>0.818654824574367</v>
      </c>
      <c r="CG49" s="818">
        <f t="shared" si="27"/>
        <v>0.88265482457436684</v>
      </c>
      <c r="CH49" s="818">
        <f t="shared" si="27"/>
        <v>1.0146548245743667</v>
      </c>
      <c r="CI49" s="818">
        <f t="shared" si="27"/>
        <v>0.71785482457436689</v>
      </c>
      <c r="CJ49" s="818">
        <f t="shared" si="27"/>
        <v>1.286654824574367</v>
      </c>
      <c r="CK49" s="818">
        <f t="shared" si="27"/>
        <v>1.4146548245743669</v>
      </c>
    </row>
    <row r="50" spans="49:89" s="39" customFormat="1">
      <c r="AW50" s="571">
        <f t="shared" si="6"/>
        <v>0</v>
      </c>
      <c r="AX50" s="571">
        <v>1950</v>
      </c>
      <c r="AY50" s="571">
        <f t="shared" si="7"/>
        <v>0</v>
      </c>
      <c r="AZ50" s="571">
        <f t="shared" si="8"/>
        <v>3.9</v>
      </c>
      <c r="BA50" s="572">
        <f t="shared" si="22"/>
        <v>0</v>
      </c>
      <c r="BB50" s="571"/>
      <c r="BC50" s="573">
        <v>0.39</v>
      </c>
      <c r="BD50" s="571">
        <f t="shared" si="4"/>
        <v>0</v>
      </c>
      <c r="BE50" s="571">
        <f t="shared" si="5"/>
        <v>0</v>
      </c>
      <c r="BF50" s="586">
        <f t="shared" si="0"/>
        <v>0</v>
      </c>
      <c r="BG50" s="586" t="e">
        <f t="shared" si="1"/>
        <v>#DIV/0!</v>
      </c>
      <c r="BH50" s="571" t="e">
        <f t="shared" si="2"/>
        <v>#DIV/0!</v>
      </c>
      <c r="BI50" s="571"/>
      <c r="BJ50" s="571"/>
      <c r="BK50" s="571"/>
    </row>
    <row r="51" spans="49:89" s="39" customFormat="1">
      <c r="AW51" s="571">
        <f t="shared" si="6"/>
        <v>0</v>
      </c>
      <c r="AX51" s="571">
        <v>2000</v>
      </c>
      <c r="AY51" s="571">
        <f t="shared" si="7"/>
        <v>0</v>
      </c>
      <c r="AZ51" s="571">
        <f t="shared" si="8"/>
        <v>4</v>
      </c>
      <c r="BA51" s="572">
        <f t="shared" si="22"/>
        <v>0</v>
      </c>
      <c r="BB51" s="571"/>
      <c r="BC51" s="573">
        <v>0.4</v>
      </c>
      <c r="BD51" s="571">
        <f t="shared" si="4"/>
        <v>0</v>
      </c>
      <c r="BE51" s="571">
        <f t="shared" si="5"/>
        <v>0</v>
      </c>
      <c r="BF51" s="586">
        <f t="shared" si="0"/>
        <v>0</v>
      </c>
      <c r="BG51" s="586" t="e">
        <f t="shared" si="1"/>
        <v>#DIV/0!</v>
      </c>
      <c r="BH51" s="571" t="e">
        <f t="shared" si="2"/>
        <v>#DIV/0!</v>
      </c>
      <c r="BI51" s="571"/>
      <c r="BJ51" s="571" t="s">
        <v>2009</v>
      </c>
      <c r="BK51" s="1535">
        <f>BK33</f>
        <v>150</v>
      </c>
      <c r="BL51" s="818">
        <f>($BK15/1000)*PI()+((BL15/1000)-($BK15/1000))*2</f>
        <v>0.69923889803846895</v>
      </c>
      <c r="BM51" s="818">
        <f t="shared" ref="BM51:CK51" si="28">($BK15/1000)*PI()+((BM15/1000)-($BK15/1000))*2</f>
        <v>0.78123889803846902</v>
      </c>
      <c r="BN51" s="818">
        <f t="shared" si="28"/>
        <v>0.85723889803846909</v>
      </c>
      <c r="BO51" s="818">
        <f t="shared" si="28"/>
        <v>0.93323889803846893</v>
      </c>
      <c r="BP51" s="818">
        <f t="shared" si="28"/>
        <v>1.009238898038469</v>
      </c>
      <c r="BQ51" s="818">
        <f t="shared" si="28"/>
        <v>1.1112388980384689</v>
      </c>
      <c r="BR51" s="818">
        <f t="shared" si="28"/>
        <v>1.1872388980384689</v>
      </c>
      <c r="BS51" s="818">
        <f t="shared" si="28"/>
        <v>1.261238898038469</v>
      </c>
      <c r="BT51" s="818">
        <f t="shared" si="28"/>
        <v>0.17123889803846898</v>
      </c>
      <c r="BU51" s="818">
        <f t="shared" si="28"/>
        <v>0.17123889803846898</v>
      </c>
      <c r="BV51" s="818">
        <f t="shared" si="28"/>
        <v>0.17123889803846898</v>
      </c>
      <c r="BW51" s="818">
        <f t="shared" si="28"/>
        <v>0.17123889803846898</v>
      </c>
      <c r="BX51" s="818">
        <f t="shared" si="28"/>
        <v>0.17123889803846898</v>
      </c>
      <c r="BY51" s="818">
        <f t="shared" si="28"/>
        <v>0.17123889803846898</v>
      </c>
      <c r="BZ51" s="818">
        <f t="shared" si="28"/>
        <v>0.17123889803846898</v>
      </c>
      <c r="CA51" s="818">
        <f t="shared" si="28"/>
        <v>0.17123889803846898</v>
      </c>
      <c r="CB51" s="818">
        <f t="shared" si="28"/>
        <v>0.17123889803846898</v>
      </c>
      <c r="CC51" s="818">
        <f t="shared" si="28"/>
        <v>0.17123889803846898</v>
      </c>
      <c r="CD51" s="818">
        <f t="shared" si="28"/>
        <v>0.17123889803846898</v>
      </c>
      <c r="CE51" s="818">
        <f t="shared" si="28"/>
        <v>0.17123889803846898</v>
      </c>
      <c r="CF51" s="818">
        <f t="shared" si="28"/>
        <v>0.17123889803846898</v>
      </c>
      <c r="CG51" s="818">
        <f t="shared" si="28"/>
        <v>0.17123889803846898</v>
      </c>
      <c r="CH51" s="818">
        <f t="shared" si="28"/>
        <v>0.17123889803846898</v>
      </c>
      <c r="CI51" s="818">
        <f t="shared" si="28"/>
        <v>0.17123889803846898</v>
      </c>
      <c r="CJ51" s="818">
        <f t="shared" si="28"/>
        <v>0.17123889803846898</v>
      </c>
      <c r="CK51" s="818">
        <f t="shared" si="28"/>
        <v>0.17123889803846898</v>
      </c>
    </row>
    <row r="52" spans="49:89" s="39" customFormat="1">
      <c r="AW52" s="571">
        <f t="shared" si="6"/>
        <v>0</v>
      </c>
      <c r="AX52" s="571">
        <v>2050</v>
      </c>
      <c r="AY52" s="571">
        <f t="shared" si="7"/>
        <v>0</v>
      </c>
      <c r="AZ52" s="571">
        <f t="shared" si="8"/>
        <v>4.0999999999999996</v>
      </c>
      <c r="BA52" s="572">
        <f t="shared" si="22"/>
        <v>0</v>
      </c>
      <c r="BB52" s="571"/>
      <c r="BC52" s="573">
        <v>0.41</v>
      </c>
      <c r="BD52" s="571">
        <f t="shared" si="4"/>
        <v>0</v>
      </c>
      <c r="BE52" s="571">
        <f t="shared" si="5"/>
        <v>0</v>
      </c>
      <c r="BF52" s="586">
        <f t="shared" si="0"/>
        <v>0</v>
      </c>
      <c r="BG52" s="586" t="e">
        <f t="shared" si="1"/>
        <v>#DIV/0!</v>
      </c>
      <c r="BH52" s="571" t="e">
        <f t="shared" si="2"/>
        <v>#DIV/0!</v>
      </c>
      <c r="BI52" s="571"/>
      <c r="BJ52" s="571"/>
      <c r="BK52" s="571">
        <f>BK34</f>
        <v>127</v>
      </c>
      <c r="BL52" s="818">
        <f t="shared" ref="BL52:CK52" si="29">($BK16/1000)*PI()+((BL16/1000)-($BK16/1000))*2</f>
        <v>0.63698226700590377</v>
      </c>
      <c r="BM52" s="818">
        <f t="shared" si="29"/>
        <v>0.71898226700590362</v>
      </c>
      <c r="BN52" s="818">
        <f t="shared" si="29"/>
        <v>0.8049822670059037</v>
      </c>
      <c r="BO52" s="818">
        <f t="shared" si="29"/>
        <v>0.88098226700590376</v>
      </c>
      <c r="BP52" s="818">
        <f t="shared" si="29"/>
        <v>0.95698226700590383</v>
      </c>
      <c r="BQ52" s="818">
        <f t="shared" si="29"/>
        <v>1.0349822670059037</v>
      </c>
      <c r="BR52" s="818">
        <f t="shared" si="29"/>
        <v>1.1349822670059038</v>
      </c>
      <c r="BS52" s="818">
        <f t="shared" si="29"/>
        <v>1.2109822670059038</v>
      </c>
      <c r="BT52" s="818">
        <f t="shared" si="29"/>
        <v>0.14498226700590372</v>
      </c>
      <c r="BU52" s="818">
        <f t="shared" si="29"/>
        <v>0.14498226700590372</v>
      </c>
      <c r="BV52" s="818">
        <f t="shared" si="29"/>
        <v>0.14498226700590372</v>
      </c>
      <c r="BW52" s="818">
        <f t="shared" si="29"/>
        <v>0.14498226700590372</v>
      </c>
      <c r="BX52" s="818">
        <f t="shared" si="29"/>
        <v>0.14498226700590372</v>
      </c>
      <c r="BY52" s="818">
        <f t="shared" si="29"/>
        <v>0.14498226700590372</v>
      </c>
      <c r="BZ52" s="818">
        <f t="shared" si="29"/>
        <v>0.14498226700590372</v>
      </c>
      <c r="CA52" s="818">
        <f t="shared" si="29"/>
        <v>0.14498226700590372</v>
      </c>
      <c r="CB52" s="818">
        <f t="shared" si="29"/>
        <v>0.14498226700590372</v>
      </c>
      <c r="CC52" s="818">
        <f t="shared" si="29"/>
        <v>0.14498226700590372</v>
      </c>
      <c r="CD52" s="818">
        <f t="shared" si="29"/>
        <v>0.14498226700590372</v>
      </c>
      <c r="CE52" s="818">
        <f t="shared" si="29"/>
        <v>0.14498226700590372</v>
      </c>
      <c r="CF52" s="818">
        <f t="shared" si="29"/>
        <v>0.14498226700590372</v>
      </c>
      <c r="CG52" s="818">
        <f t="shared" si="29"/>
        <v>0.14498226700590372</v>
      </c>
      <c r="CH52" s="818">
        <f t="shared" si="29"/>
        <v>0.14498226700590372</v>
      </c>
      <c r="CI52" s="818">
        <f t="shared" si="29"/>
        <v>0.14498226700590372</v>
      </c>
      <c r="CJ52" s="818">
        <f t="shared" si="29"/>
        <v>0.14498226700590372</v>
      </c>
      <c r="CK52" s="818">
        <f t="shared" si="29"/>
        <v>0.14498226700590372</v>
      </c>
    </row>
    <row r="53" spans="49:89" s="39" customFormat="1">
      <c r="AW53" s="571">
        <f t="shared" si="6"/>
        <v>0</v>
      </c>
      <c r="AX53" s="571">
        <v>2100</v>
      </c>
      <c r="AY53" s="571">
        <f t="shared" si="7"/>
        <v>0</v>
      </c>
      <c r="AZ53" s="571">
        <f t="shared" si="8"/>
        <v>4.2</v>
      </c>
      <c r="BA53" s="572">
        <f t="shared" si="22"/>
        <v>0</v>
      </c>
      <c r="BB53" s="571"/>
      <c r="BC53" s="573">
        <v>0.42</v>
      </c>
      <c r="BD53" s="571">
        <f t="shared" si="4"/>
        <v>0</v>
      </c>
      <c r="BE53" s="571">
        <f t="shared" si="5"/>
        <v>0</v>
      </c>
      <c r="BF53" s="586">
        <f t="shared" si="0"/>
        <v>0</v>
      </c>
      <c r="BG53" s="586" t="e">
        <f t="shared" si="1"/>
        <v>#DIV/0!</v>
      </c>
      <c r="BH53" s="571" t="e">
        <f t="shared" si="2"/>
        <v>#DIV/0!</v>
      </c>
      <c r="BI53" s="571"/>
      <c r="BJ53" s="571"/>
      <c r="BK53" s="1535">
        <f t="shared" ref="BK53:BK67" si="30">BK35</f>
        <v>152</v>
      </c>
      <c r="BL53" s="818">
        <f t="shared" ref="BL53:CK53" si="31">($BK17/1000)*PI()+((BL17/1000)-($BK17/1000))*2</f>
        <v>0.64952208334564854</v>
      </c>
      <c r="BM53" s="818">
        <f t="shared" si="31"/>
        <v>0.73352208334564861</v>
      </c>
      <c r="BN53" s="818">
        <f t="shared" si="31"/>
        <v>0.80952208334564857</v>
      </c>
      <c r="BO53" s="818">
        <f t="shared" si="31"/>
        <v>0.88552208334564853</v>
      </c>
      <c r="BP53" s="818">
        <f t="shared" si="31"/>
        <v>0.96152208334564859</v>
      </c>
      <c r="BQ53" s="818">
        <f t="shared" si="31"/>
        <v>1.0375220833456487</v>
      </c>
      <c r="BR53" s="818">
        <f t="shared" si="31"/>
        <v>1.1395220833456485</v>
      </c>
      <c r="BS53" s="818">
        <f t="shared" si="31"/>
        <v>1.2155220833456486</v>
      </c>
      <c r="BT53" s="818">
        <f t="shared" si="31"/>
        <v>1.2935220833456487</v>
      </c>
      <c r="BU53" s="818">
        <f t="shared" si="31"/>
        <v>1.4435220833456486</v>
      </c>
      <c r="BV53" s="818">
        <f t="shared" si="31"/>
        <v>1.5955220833456485</v>
      </c>
      <c r="BW53" s="818">
        <f t="shared" si="31"/>
        <v>1.7535220833456486</v>
      </c>
      <c r="BX53" s="818">
        <f t="shared" si="31"/>
        <v>1.9135220833456486</v>
      </c>
      <c r="BY53" s="818">
        <f t="shared" si="31"/>
        <v>2.0735220833456482</v>
      </c>
      <c r="BZ53" s="818">
        <f t="shared" si="31"/>
        <v>2.2335220833456484</v>
      </c>
      <c r="CA53" s="818">
        <f t="shared" si="31"/>
        <v>2.3935220833456485</v>
      </c>
      <c r="CB53" s="818">
        <f t="shared" si="31"/>
        <v>2.5615220833456487</v>
      </c>
      <c r="CC53" s="818">
        <f t="shared" si="31"/>
        <v>0.17352208334564856</v>
      </c>
      <c r="CD53" s="818">
        <f t="shared" si="31"/>
        <v>0.17352208334564856</v>
      </c>
      <c r="CE53" s="818">
        <f t="shared" si="31"/>
        <v>0.17352208334564856</v>
      </c>
      <c r="CF53" s="818">
        <f t="shared" si="31"/>
        <v>0.17352208334564856</v>
      </c>
      <c r="CG53" s="818">
        <f t="shared" si="31"/>
        <v>0.17352208334564856</v>
      </c>
      <c r="CH53" s="818">
        <f t="shared" si="31"/>
        <v>0.17352208334564856</v>
      </c>
      <c r="CI53" s="818">
        <f t="shared" si="31"/>
        <v>0.17352208334564856</v>
      </c>
      <c r="CJ53" s="818">
        <f t="shared" si="31"/>
        <v>0.17352208334564856</v>
      </c>
      <c r="CK53" s="818">
        <f t="shared" si="31"/>
        <v>0.17352208334564856</v>
      </c>
    </row>
    <row r="54" spans="49:89" s="39" customFormat="1">
      <c r="AW54" s="571">
        <f t="shared" si="6"/>
        <v>0</v>
      </c>
      <c r="AX54" s="571">
        <v>2150</v>
      </c>
      <c r="AY54" s="571">
        <f t="shared" si="7"/>
        <v>0</v>
      </c>
      <c r="AZ54" s="571">
        <f t="shared" si="8"/>
        <v>4.3</v>
      </c>
      <c r="BA54" s="572">
        <f t="shared" si="22"/>
        <v>0</v>
      </c>
      <c r="BB54" s="571"/>
      <c r="BC54" s="573">
        <v>0.43</v>
      </c>
      <c r="BD54" s="571">
        <f t="shared" si="4"/>
        <v>0</v>
      </c>
      <c r="BE54" s="571">
        <f t="shared" si="5"/>
        <v>0</v>
      </c>
      <c r="BF54" s="586">
        <f t="shared" si="0"/>
        <v>0</v>
      </c>
      <c r="BG54" s="586" t="e">
        <f t="shared" si="1"/>
        <v>#DIV/0!</v>
      </c>
      <c r="BH54" s="571" t="e">
        <f t="shared" si="2"/>
        <v>#DIV/0!</v>
      </c>
      <c r="BI54" s="571"/>
      <c r="BJ54" s="571"/>
      <c r="BK54" s="571">
        <f t="shared" si="30"/>
        <v>178</v>
      </c>
      <c r="BL54" s="818">
        <f t="shared" ref="BL54:CK54" si="32">($BK18/1000)*PI()+((BL18/1000)-($BK18/1000))*2</f>
        <v>0.20320349233898316</v>
      </c>
      <c r="BM54" s="818">
        <f t="shared" si="32"/>
        <v>0.20320349233898316</v>
      </c>
      <c r="BN54" s="818">
        <f t="shared" si="32"/>
        <v>0.80320349233898314</v>
      </c>
      <c r="BO54" s="818">
        <f t="shared" si="32"/>
        <v>0.87920349233898321</v>
      </c>
      <c r="BP54" s="818">
        <f t="shared" si="32"/>
        <v>0.95720349233898316</v>
      </c>
      <c r="BQ54" s="818">
        <f t="shared" si="32"/>
        <v>1.0372034923389832</v>
      </c>
      <c r="BR54" s="818">
        <f t="shared" si="32"/>
        <v>1.1172034923389833</v>
      </c>
      <c r="BS54" s="818">
        <f t="shared" si="32"/>
        <v>1.1952034923389832</v>
      </c>
      <c r="BT54" s="818">
        <f t="shared" si="32"/>
        <v>1.2772034923389832</v>
      </c>
      <c r="BU54" s="818">
        <f t="shared" si="32"/>
        <v>1.4372034923389831</v>
      </c>
      <c r="BV54" s="818">
        <f t="shared" si="32"/>
        <v>1.5952034923389831</v>
      </c>
      <c r="BW54" s="818">
        <f t="shared" si="32"/>
        <v>1.7552034923389832</v>
      </c>
      <c r="BX54" s="818">
        <f t="shared" si="32"/>
        <v>1.9152034923389829</v>
      </c>
      <c r="BY54" s="818">
        <f t="shared" si="32"/>
        <v>2.075203492338983</v>
      </c>
      <c r="BZ54" s="818">
        <f t="shared" si="32"/>
        <v>2.233203492338983</v>
      </c>
      <c r="CA54" s="818">
        <f t="shared" si="32"/>
        <v>2.3952034923389833</v>
      </c>
      <c r="CB54" s="818">
        <f t="shared" si="32"/>
        <v>2.555203492338983</v>
      </c>
      <c r="CC54" s="818">
        <f t="shared" si="32"/>
        <v>2.7132034923389829</v>
      </c>
      <c r="CD54" s="818">
        <f t="shared" si="32"/>
        <v>0.20320349233898316</v>
      </c>
      <c r="CE54" s="818">
        <f t="shared" si="32"/>
        <v>0.20320349233898316</v>
      </c>
      <c r="CF54" s="818">
        <f t="shared" si="32"/>
        <v>0.20320349233898316</v>
      </c>
      <c r="CG54" s="818">
        <f t="shared" si="32"/>
        <v>0.20320349233898316</v>
      </c>
      <c r="CH54" s="818">
        <f t="shared" si="32"/>
        <v>0.20320349233898316</v>
      </c>
      <c r="CI54" s="818">
        <f t="shared" si="32"/>
        <v>0.20320349233898316</v>
      </c>
      <c r="CJ54" s="818">
        <f t="shared" si="32"/>
        <v>0.20320349233898316</v>
      </c>
      <c r="CK54" s="818">
        <f t="shared" si="32"/>
        <v>0.20320349233898316</v>
      </c>
    </row>
    <row r="55" spans="49:89" s="39" customFormat="1">
      <c r="AW55" s="571">
        <f t="shared" si="6"/>
        <v>0</v>
      </c>
      <c r="AX55" s="571">
        <v>2200</v>
      </c>
      <c r="AY55" s="571">
        <f t="shared" si="7"/>
        <v>0</v>
      </c>
      <c r="AZ55" s="571">
        <f t="shared" si="8"/>
        <v>4.4000000000000004</v>
      </c>
      <c r="BA55" s="572">
        <f t="shared" si="22"/>
        <v>0</v>
      </c>
      <c r="BB55" s="571"/>
      <c r="BC55" s="573">
        <v>0.44</v>
      </c>
      <c r="BD55" s="571">
        <f t="shared" si="4"/>
        <v>0</v>
      </c>
      <c r="BE55" s="571">
        <f t="shared" si="5"/>
        <v>0</v>
      </c>
      <c r="BF55" s="586">
        <f t="shared" si="0"/>
        <v>0</v>
      </c>
      <c r="BG55" s="586" t="e">
        <f t="shared" si="1"/>
        <v>#DIV/0!</v>
      </c>
      <c r="BH55" s="571" t="e">
        <f t="shared" si="2"/>
        <v>#DIV/0!</v>
      </c>
      <c r="BI55" s="571"/>
      <c r="BJ55" s="571"/>
      <c r="BK55" s="1535">
        <f t="shared" si="30"/>
        <v>203</v>
      </c>
      <c r="BL55" s="818">
        <f t="shared" ref="BL55:CK55" si="33">($BK19/1000)*PI()+((BL19/1000)-($BK19/1000))*2</f>
        <v>0.23174330867872805</v>
      </c>
      <c r="BM55" s="818">
        <f t="shared" si="33"/>
        <v>0.23174330867872805</v>
      </c>
      <c r="BN55" s="818">
        <f t="shared" si="33"/>
        <v>0.79174330867872811</v>
      </c>
      <c r="BO55" s="818">
        <f t="shared" si="33"/>
        <v>0.87574330867872807</v>
      </c>
      <c r="BP55" s="818">
        <f t="shared" si="33"/>
        <v>0.95774330867872803</v>
      </c>
      <c r="BQ55" s="818">
        <f t="shared" si="33"/>
        <v>1.035743308678728</v>
      </c>
      <c r="BR55" s="818">
        <f t="shared" si="33"/>
        <v>1.1197433086787281</v>
      </c>
      <c r="BS55" s="818">
        <f t="shared" si="33"/>
        <v>1.1977433086787279</v>
      </c>
      <c r="BT55" s="818">
        <f t="shared" si="33"/>
        <v>1.2757433086787282</v>
      </c>
      <c r="BU55" s="818">
        <f t="shared" si="33"/>
        <v>1.4357433086787279</v>
      </c>
      <c r="BV55" s="818">
        <f t="shared" si="33"/>
        <v>1.5937433086787283</v>
      </c>
      <c r="BW55" s="818">
        <f t="shared" si="33"/>
        <v>1.7537433086787282</v>
      </c>
      <c r="BX55" s="818">
        <f t="shared" si="33"/>
        <v>1.9137433086787279</v>
      </c>
      <c r="BY55" s="818">
        <f t="shared" si="33"/>
        <v>2.0737433086787282</v>
      </c>
      <c r="BZ55" s="818">
        <f t="shared" si="33"/>
        <v>2.2317433086787277</v>
      </c>
      <c r="CA55" s="818">
        <f t="shared" si="33"/>
        <v>2.3917433086787279</v>
      </c>
      <c r="CB55" s="818">
        <f t="shared" si="33"/>
        <v>2.551743308678728</v>
      </c>
      <c r="CC55" s="818">
        <f t="shared" si="33"/>
        <v>2.7117433086787281</v>
      </c>
      <c r="CD55" s="818">
        <f t="shared" si="33"/>
        <v>2.8717433086787283</v>
      </c>
      <c r="CE55" s="818">
        <f t="shared" si="33"/>
        <v>3.1937433086787284</v>
      </c>
      <c r="CF55" s="818">
        <f t="shared" si="33"/>
        <v>0.23174330867872805</v>
      </c>
      <c r="CG55" s="818">
        <f t="shared" si="33"/>
        <v>0.23174330867872805</v>
      </c>
      <c r="CH55" s="818">
        <f t="shared" si="33"/>
        <v>0.23174330867872805</v>
      </c>
      <c r="CI55" s="818">
        <f t="shared" si="33"/>
        <v>0.23174330867872805</v>
      </c>
      <c r="CJ55" s="818">
        <f t="shared" si="33"/>
        <v>0.23174330867872805</v>
      </c>
      <c r="CK55" s="818">
        <f t="shared" si="33"/>
        <v>0.23174330867872805</v>
      </c>
    </row>
    <row r="56" spans="49:89" s="39" customFormat="1">
      <c r="AW56" s="571">
        <f t="shared" si="6"/>
        <v>0</v>
      </c>
      <c r="AX56" s="571">
        <v>2250</v>
      </c>
      <c r="AY56" s="571">
        <f t="shared" si="7"/>
        <v>0</v>
      </c>
      <c r="AZ56" s="571">
        <f t="shared" si="8"/>
        <v>4.5</v>
      </c>
      <c r="BA56" s="572">
        <f t="shared" si="22"/>
        <v>0</v>
      </c>
      <c r="BB56" s="571"/>
      <c r="BC56" s="573">
        <v>0.45</v>
      </c>
      <c r="BD56" s="571">
        <f t="shared" si="4"/>
        <v>0</v>
      </c>
      <c r="BE56" s="571">
        <f t="shared" si="5"/>
        <v>0</v>
      </c>
      <c r="BF56" s="586">
        <f t="shared" si="0"/>
        <v>0</v>
      </c>
      <c r="BG56" s="586" t="e">
        <f t="shared" si="1"/>
        <v>#DIV/0!</v>
      </c>
      <c r="BH56" s="571" t="e">
        <f t="shared" si="2"/>
        <v>#DIV/0!</v>
      </c>
      <c r="BI56" s="571"/>
      <c r="BJ56" s="571"/>
      <c r="BK56" s="571">
        <f t="shared" si="30"/>
        <v>225</v>
      </c>
      <c r="BL56" s="818">
        <f t="shared" ref="BL56:CK56" si="34">($BK20/1000)*PI()+((BL20/1000)-($BK20/1000))*2</f>
        <v>0.25685834705770344</v>
      </c>
      <c r="BM56" s="818">
        <f t="shared" si="34"/>
        <v>0.25685834705770344</v>
      </c>
      <c r="BN56" s="818">
        <f t="shared" si="34"/>
        <v>0.25685834705770344</v>
      </c>
      <c r="BO56" s="818">
        <f t="shared" si="34"/>
        <v>0.87485834705770338</v>
      </c>
      <c r="BP56" s="818">
        <f t="shared" si="34"/>
        <v>0.95285834705770345</v>
      </c>
      <c r="BQ56" s="818">
        <f t="shared" si="34"/>
        <v>1.0328583470577035</v>
      </c>
      <c r="BR56" s="818">
        <f t="shared" si="34"/>
        <v>1.1148583470577034</v>
      </c>
      <c r="BS56" s="818">
        <f t="shared" si="34"/>
        <v>1.1928583470577034</v>
      </c>
      <c r="BT56" s="818">
        <f t="shared" si="34"/>
        <v>1.2748583470577035</v>
      </c>
      <c r="BU56" s="818">
        <f t="shared" si="34"/>
        <v>1.4328583470577034</v>
      </c>
      <c r="BV56" s="818">
        <f t="shared" si="34"/>
        <v>1.5928583470577036</v>
      </c>
      <c r="BW56" s="818">
        <f t="shared" si="34"/>
        <v>1.7508583470577035</v>
      </c>
      <c r="BX56" s="818">
        <f t="shared" si="34"/>
        <v>1.9108583470577034</v>
      </c>
      <c r="BY56" s="818">
        <f t="shared" si="34"/>
        <v>2.0708583470577038</v>
      </c>
      <c r="BZ56" s="818">
        <f t="shared" si="34"/>
        <v>2.2308583470577035</v>
      </c>
      <c r="CA56" s="818">
        <f t="shared" si="34"/>
        <v>2.3908583470577032</v>
      </c>
      <c r="CB56" s="818">
        <f t="shared" si="34"/>
        <v>2.5488583470577035</v>
      </c>
      <c r="CC56" s="818">
        <f t="shared" si="34"/>
        <v>2.7088583470577032</v>
      </c>
      <c r="CD56" s="818">
        <f t="shared" si="34"/>
        <v>2.8688583470577034</v>
      </c>
      <c r="CE56" s="818">
        <f t="shared" si="34"/>
        <v>3.1888583470577032</v>
      </c>
      <c r="CF56" s="818">
        <f t="shared" si="34"/>
        <v>3.3468583470577031</v>
      </c>
      <c r="CG56" s="818">
        <f t="shared" si="34"/>
        <v>3.5068583470577033</v>
      </c>
      <c r="CH56" s="818">
        <f t="shared" si="34"/>
        <v>3.8268583470577031</v>
      </c>
      <c r="CI56" s="818">
        <f t="shared" si="34"/>
        <v>4.1448583470577027</v>
      </c>
      <c r="CJ56" s="818">
        <f t="shared" si="34"/>
        <v>0.25685834705770344</v>
      </c>
      <c r="CK56" s="818">
        <f t="shared" si="34"/>
        <v>0.25685834705770344</v>
      </c>
    </row>
    <row r="57" spans="49:89" s="39" customFormat="1">
      <c r="AW57" s="571">
        <f t="shared" si="6"/>
        <v>0</v>
      </c>
      <c r="AX57" s="571">
        <v>2300</v>
      </c>
      <c r="AY57" s="571">
        <f t="shared" si="7"/>
        <v>0</v>
      </c>
      <c r="AZ57" s="571">
        <f t="shared" si="8"/>
        <v>4.5999999999999996</v>
      </c>
      <c r="BA57" s="572">
        <f t="shared" si="22"/>
        <v>0</v>
      </c>
      <c r="BB57" s="571"/>
      <c r="BC57" s="573">
        <v>0.46</v>
      </c>
      <c r="BD57" s="571">
        <f t="shared" si="4"/>
        <v>0</v>
      </c>
      <c r="BE57" s="571">
        <f t="shared" si="5"/>
        <v>0</v>
      </c>
      <c r="BF57" s="586">
        <f t="shared" si="0"/>
        <v>0</v>
      </c>
      <c r="BG57" s="586" t="e">
        <f t="shared" si="1"/>
        <v>#DIV/0!</v>
      </c>
      <c r="BH57" s="571" t="e">
        <f t="shared" si="2"/>
        <v>#DIV/0!</v>
      </c>
      <c r="BI57" s="571"/>
      <c r="BJ57" s="571"/>
      <c r="BK57" s="1535">
        <f t="shared" si="30"/>
        <v>254</v>
      </c>
      <c r="BL57" s="818">
        <f t="shared" ref="BL57:CK57" si="35">($BK21/1000)*PI()+((BL21/1000)-($BK21/1000))*2</f>
        <v>0.28996453401180744</v>
      </c>
      <c r="BM57" s="818">
        <f t="shared" si="35"/>
        <v>0.28996453401180744</v>
      </c>
      <c r="BN57" s="818">
        <f t="shared" si="35"/>
        <v>0.28996453401180744</v>
      </c>
      <c r="BO57" s="818">
        <f t="shared" si="35"/>
        <v>0.28996453401180744</v>
      </c>
      <c r="BP57" s="818">
        <f t="shared" si="35"/>
        <v>0.95596453401180748</v>
      </c>
      <c r="BQ57" s="818">
        <f t="shared" si="35"/>
        <v>1.0359645340118075</v>
      </c>
      <c r="BR57" s="818">
        <f t="shared" si="35"/>
        <v>1.1179645340118074</v>
      </c>
      <c r="BS57" s="818">
        <f t="shared" si="35"/>
        <v>1.1979645340118075</v>
      </c>
      <c r="BT57" s="818">
        <f t="shared" si="35"/>
        <v>1.2759645340118073</v>
      </c>
      <c r="BU57" s="818">
        <f t="shared" si="35"/>
        <v>1.4359645340118075</v>
      </c>
      <c r="BV57" s="818">
        <f t="shared" si="35"/>
        <v>1.5959645340118076</v>
      </c>
      <c r="BW57" s="818">
        <f t="shared" si="35"/>
        <v>1.7539645340118075</v>
      </c>
      <c r="BX57" s="818">
        <f t="shared" si="35"/>
        <v>1.9139645340118077</v>
      </c>
      <c r="BY57" s="818">
        <f t="shared" si="35"/>
        <v>2.0739645340118074</v>
      </c>
      <c r="BZ57" s="818">
        <f t="shared" si="35"/>
        <v>2.2339645340118075</v>
      </c>
      <c r="CA57" s="818">
        <f t="shared" si="35"/>
        <v>2.3939645340118076</v>
      </c>
      <c r="CB57" s="818">
        <f t="shared" si="35"/>
        <v>2.5539645340118073</v>
      </c>
      <c r="CC57" s="818">
        <f t="shared" si="35"/>
        <v>2.7139645340118075</v>
      </c>
      <c r="CD57" s="818">
        <f t="shared" si="35"/>
        <v>2.8719645340118074</v>
      </c>
      <c r="CE57" s="818">
        <f t="shared" si="35"/>
        <v>3.1919645340118077</v>
      </c>
      <c r="CF57" s="818">
        <f t="shared" si="35"/>
        <v>3.3519645340118074</v>
      </c>
      <c r="CG57" s="818">
        <f t="shared" si="35"/>
        <v>3.5099645340118077</v>
      </c>
      <c r="CH57" s="818">
        <f t="shared" si="35"/>
        <v>3.8299645340118076</v>
      </c>
      <c r="CI57" s="818">
        <f t="shared" si="35"/>
        <v>4.149964534011807</v>
      </c>
      <c r="CJ57" s="818">
        <f t="shared" si="35"/>
        <v>0.28996453401180744</v>
      </c>
      <c r="CK57" s="818">
        <f t="shared" si="35"/>
        <v>0.28996453401180744</v>
      </c>
    </row>
    <row r="58" spans="49:89" s="39" customFormat="1">
      <c r="AW58" s="571">
        <f t="shared" si="6"/>
        <v>0</v>
      </c>
      <c r="AX58" s="571">
        <v>2350</v>
      </c>
      <c r="AY58" s="571">
        <f t="shared" si="7"/>
        <v>0</v>
      </c>
      <c r="AZ58" s="571">
        <f t="shared" si="8"/>
        <v>4.7</v>
      </c>
      <c r="BA58" s="572">
        <f t="shared" si="22"/>
        <v>0</v>
      </c>
      <c r="BB58" s="571"/>
      <c r="BC58" s="573">
        <v>0.47</v>
      </c>
      <c r="BD58" s="571">
        <f t="shared" si="4"/>
        <v>0</v>
      </c>
      <c r="BE58" s="571">
        <f t="shared" si="5"/>
        <v>0</v>
      </c>
      <c r="BF58" s="586">
        <f t="shared" si="0"/>
        <v>0</v>
      </c>
      <c r="BG58" s="586" t="e">
        <f t="shared" si="1"/>
        <v>#DIV/0!</v>
      </c>
      <c r="BH58" s="571" t="e">
        <f t="shared" si="2"/>
        <v>#DIV/0!</v>
      </c>
      <c r="BI58" s="571"/>
      <c r="BJ58" s="571"/>
      <c r="BK58" s="571">
        <f t="shared" si="30"/>
        <v>279</v>
      </c>
      <c r="BL58" s="818">
        <f t="shared" ref="BL58:CK58" si="36">($BK22/1000)*PI()+((BL22/1000)-($BK22/1000))*2</f>
        <v>0.31850435035155233</v>
      </c>
      <c r="BM58" s="818">
        <f t="shared" si="36"/>
        <v>0.31850435035155233</v>
      </c>
      <c r="BN58" s="818">
        <f t="shared" si="36"/>
        <v>0.31850435035155233</v>
      </c>
      <c r="BO58" s="818">
        <f t="shared" si="36"/>
        <v>0.31850435035155233</v>
      </c>
      <c r="BP58" s="818">
        <f t="shared" si="36"/>
        <v>0.31850435035155233</v>
      </c>
      <c r="BQ58" s="818">
        <f t="shared" si="36"/>
        <v>1.0305043503515523</v>
      </c>
      <c r="BR58" s="818">
        <f t="shared" si="36"/>
        <v>1.1185043503515524</v>
      </c>
      <c r="BS58" s="818">
        <f t="shared" si="36"/>
        <v>1.1985043503515524</v>
      </c>
      <c r="BT58" s="818">
        <f t="shared" si="36"/>
        <v>1.2885043503515523</v>
      </c>
      <c r="BU58" s="818">
        <f t="shared" si="36"/>
        <v>1.4385043503515524</v>
      </c>
      <c r="BV58" s="818">
        <f t="shared" si="36"/>
        <v>1.5965043503515524</v>
      </c>
      <c r="BW58" s="818">
        <f t="shared" si="36"/>
        <v>1.7545043503515523</v>
      </c>
      <c r="BX58" s="818">
        <f t="shared" si="36"/>
        <v>1.9145043503515524</v>
      </c>
      <c r="BY58" s="818">
        <f t="shared" si="36"/>
        <v>2.0745043503515523</v>
      </c>
      <c r="BZ58" s="818">
        <f t="shared" si="36"/>
        <v>2.2325043503515523</v>
      </c>
      <c r="CA58" s="818">
        <f t="shared" si="36"/>
        <v>2.392504350351552</v>
      </c>
      <c r="CB58" s="818">
        <f t="shared" si="36"/>
        <v>2.5525043503515521</v>
      </c>
      <c r="CC58" s="818">
        <f t="shared" si="36"/>
        <v>2.7125043503515522</v>
      </c>
      <c r="CD58" s="818">
        <f t="shared" si="36"/>
        <v>2.8725043503515524</v>
      </c>
      <c r="CE58" s="818">
        <f t="shared" si="36"/>
        <v>3.1905043503515524</v>
      </c>
      <c r="CF58" s="818">
        <f t="shared" si="36"/>
        <v>3.3505043503515526</v>
      </c>
      <c r="CG58" s="818">
        <f t="shared" si="36"/>
        <v>3.5105043503515527</v>
      </c>
      <c r="CH58" s="818">
        <f t="shared" si="36"/>
        <v>3.8285043503515523</v>
      </c>
      <c r="CI58" s="818">
        <f t="shared" si="36"/>
        <v>4.1485043503515531</v>
      </c>
      <c r="CJ58" s="818">
        <f t="shared" si="36"/>
        <v>0.31850435035155233</v>
      </c>
      <c r="CK58" s="818">
        <f t="shared" si="36"/>
        <v>0.31850435035155233</v>
      </c>
    </row>
    <row r="59" spans="49:89" s="39" customFormat="1">
      <c r="AW59" s="571">
        <f t="shared" si="6"/>
        <v>0</v>
      </c>
      <c r="AX59" s="571">
        <v>2400</v>
      </c>
      <c r="AY59" s="571">
        <f t="shared" si="7"/>
        <v>0</v>
      </c>
      <c r="AZ59" s="571">
        <f t="shared" si="8"/>
        <v>4.8</v>
      </c>
      <c r="BA59" s="572">
        <f t="shared" si="22"/>
        <v>0</v>
      </c>
      <c r="BB59" s="571"/>
      <c r="BC59" s="573">
        <v>0.48</v>
      </c>
      <c r="BD59" s="571">
        <f t="shared" si="4"/>
        <v>0</v>
      </c>
      <c r="BE59" s="571">
        <f t="shared" si="5"/>
        <v>0</v>
      </c>
      <c r="BF59" s="586">
        <f t="shared" si="0"/>
        <v>0</v>
      </c>
      <c r="BG59" s="586" t="e">
        <f t="shared" si="1"/>
        <v>#DIV/0!</v>
      </c>
      <c r="BH59" s="571" t="e">
        <f t="shared" si="2"/>
        <v>#DIV/0!</v>
      </c>
      <c r="BI59" s="571"/>
      <c r="BJ59" s="571"/>
      <c r="BK59" s="1535">
        <f t="shared" si="30"/>
        <v>305</v>
      </c>
      <c r="BL59" s="818">
        <f t="shared" ref="BL59:CK59" si="37">($BK23/1000)*PI()+((BL23/1000)-($BK23/1000))*2</f>
        <v>0.34818575934488694</v>
      </c>
      <c r="BM59" s="818">
        <f t="shared" si="37"/>
        <v>0.34818575934488694</v>
      </c>
      <c r="BN59" s="818">
        <f t="shared" si="37"/>
        <v>0.34818575934488694</v>
      </c>
      <c r="BO59" s="818">
        <f t="shared" si="37"/>
        <v>0.34818575934488694</v>
      </c>
      <c r="BP59" s="818">
        <f t="shared" si="37"/>
        <v>0.34818575934488694</v>
      </c>
      <c r="BQ59" s="818">
        <f t="shared" si="37"/>
        <v>1.0381857593448869</v>
      </c>
      <c r="BR59" s="818">
        <f t="shared" si="37"/>
        <v>1.118185759344887</v>
      </c>
      <c r="BS59" s="818">
        <f t="shared" si="37"/>
        <v>1.1961857593448868</v>
      </c>
      <c r="BT59" s="818">
        <f t="shared" si="37"/>
        <v>1.2781857593448871</v>
      </c>
      <c r="BU59" s="818">
        <f t="shared" si="37"/>
        <v>1.436185759344887</v>
      </c>
      <c r="BV59" s="818">
        <f t="shared" si="37"/>
        <v>1.5981857593448869</v>
      </c>
      <c r="BW59" s="818">
        <f t="shared" si="37"/>
        <v>1.7561857593448869</v>
      </c>
      <c r="BX59" s="818">
        <f t="shared" si="37"/>
        <v>1.916185759344887</v>
      </c>
      <c r="BY59" s="818">
        <f t="shared" si="37"/>
        <v>2.0761857593448867</v>
      </c>
      <c r="BZ59" s="818">
        <f t="shared" si="37"/>
        <v>2.2341857593448866</v>
      </c>
      <c r="CA59" s="818">
        <f t="shared" si="37"/>
        <v>2.3941857593448868</v>
      </c>
      <c r="CB59" s="818">
        <f t="shared" si="37"/>
        <v>2.5541857593448869</v>
      </c>
      <c r="CC59" s="818">
        <f t="shared" si="37"/>
        <v>2.7121857593448868</v>
      </c>
      <c r="CD59" s="818">
        <f t="shared" si="37"/>
        <v>2.8741857593448867</v>
      </c>
      <c r="CE59" s="818">
        <f t="shared" si="37"/>
        <v>3.1921857593448868</v>
      </c>
      <c r="CF59" s="818">
        <f t="shared" si="37"/>
        <v>3.3521857593448869</v>
      </c>
      <c r="CG59" s="818">
        <f t="shared" si="37"/>
        <v>3.5121857593448871</v>
      </c>
      <c r="CH59" s="818">
        <f t="shared" si="37"/>
        <v>3.8301857593448871</v>
      </c>
      <c r="CI59" s="818">
        <f t="shared" si="37"/>
        <v>4.1481857593448872</v>
      </c>
      <c r="CJ59" s="818">
        <f t="shared" si="37"/>
        <v>4.4881857593448871</v>
      </c>
      <c r="CK59" s="818">
        <f t="shared" si="37"/>
        <v>0.34818575934488694</v>
      </c>
    </row>
    <row r="60" spans="49:89" s="39" customFormat="1">
      <c r="AW60" s="571">
        <f t="shared" si="6"/>
        <v>0</v>
      </c>
      <c r="AX60" s="571">
        <v>2450</v>
      </c>
      <c r="AY60" s="571">
        <f t="shared" si="7"/>
        <v>0</v>
      </c>
      <c r="AZ60" s="571">
        <f t="shared" si="8"/>
        <v>4.9000000000000004</v>
      </c>
      <c r="BA60" s="572">
        <f t="shared" si="22"/>
        <v>0</v>
      </c>
      <c r="BB60" s="571"/>
      <c r="BC60" s="573">
        <v>0.49</v>
      </c>
      <c r="BD60" s="571">
        <f t="shared" si="4"/>
        <v>0</v>
      </c>
      <c r="BE60" s="571">
        <f t="shared" si="5"/>
        <v>0</v>
      </c>
      <c r="BF60" s="586">
        <f t="shared" si="0"/>
        <v>0</v>
      </c>
      <c r="BG60" s="586" t="e">
        <f t="shared" si="1"/>
        <v>#DIV/0!</v>
      </c>
      <c r="BH60" s="571" t="e">
        <f t="shared" si="2"/>
        <v>#DIV/0!</v>
      </c>
      <c r="BI60" s="571"/>
      <c r="BJ60" s="571"/>
      <c r="BK60" s="571">
        <f t="shared" si="30"/>
        <v>356</v>
      </c>
      <c r="BL60" s="818">
        <f t="shared" ref="BL60:CK60" si="38">($BK24/1000)*PI()+((BL24/1000)-($BK24/1000))*2</f>
        <v>0.40640698467796632</v>
      </c>
      <c r="BM60" s="818">
        <f t="shared" si="38"/>
        <v>0.40640698467796632</v>
      </c>
      <c r="BN60" s="818">
        <f t="shared" si="38"/>
        <v>0.40640698467796632</v>
      </c>
      <c r="BO60" s="818">
        <f t="shared" si="38"/>
        <v>0.40640698467796632</v>
      </c>
      <c r="BP60" s="818">
        <f t="shared" si="38"/>
        <v>0.40640698467796632</v>
      </c>
      <c r="BQ60" s="818">
        <f t="shared" si="38"/>
        <v>0.40640698467796632</v>
      </c>
      <c r="BR60" s="818">
        <f t="shared" si="38"/>
        <v>0.40640698467796632</v>
      </c>
      <c r="BS60" s="818">
        <f t="shared" si="38"/>
        <v>0.40640698467796632</v>
      </c>
      <c r="BT60" s="818">
        <f t="shared" si="38"/>
        <v>0.40640698467796632</v>
      </c>
      <c r="BU60" s="818">
        <f t="shared" si="38"/>
        <v>0.40640698467796632</v>
      </c>
      <c r="BV60" s="818">
        <f t="shared" si="38"/>
        <v>0.40640698467796632</v>
      </c>
      <c r="BW60" s="818">
        <f t="shared" si="38"/>
        <v>1.7564069846779664</v>
      </c>
      <c r="BX60" s="818">
        <f t="shared" si="38"/>
        <v>1.9164069846779663</v>
      </c>
      <c r="BY60" s="818">
        <f t="shared" si="38"/>
        <v>2.0764069846779662</v>
      </c>
      <c r="BZ60" s="818">
        <f t="shared" si="38"/>
        <v>2.2364069846779664</v>
      </c>
      <c r="CA60" s="818">
        <f t="shared" si="38"/>
        <v>2.3964069846779665</v>
      </c>
      <c r="CB60" s="818">
        <f t="shared" si="38"/>
        <v>2.5544069846779665</v>
      </c>
      <c r="CC60" s="818">
        <f t="shared" si="38"/>
        <v>2.7144069846779662</v>
      </c>
      <c r="CD60" s="818">
        <f t="shared" si="38"/>
        <v>2.8744069846779663</v>
      </c>
      <c r="CE60" s="818">
        <f t="shared" si="38"/>
        <v>3.1924069846779659</v>
      </c>
      <c r="CF60" s="818">
        <f t="shared" si="38"/>
        <v>3.3524069846779661</v>
      </c>
      <c r="CG60" s="818">
        <f t="shared" si="38"/>
        <v>3.5124069846779662</v>
      </c>
      <c r="CH60" s="818">
        <f t="shared" si="38"/>
        <v>3.8324069846779665</v>
      </c>
      <c r="CI60" s="818">
        <f t="shared" si="38"/>
        <v>4.1504069846779661</v>
      </c>
      <c r="CJ60" s="818">
        <f t="shared" si="38"/>
        <v>4.4864069846779664</v>
      </c>
      <c r="CK60" s="818">
        <f t="shared" si="38"/>
        <v>4.7904069846779667</v>
      </c>
    </row>
    <row r="61" spans="49:89" s="39" customFormat="1">
      <c r="AW61" s="571">
        <f t="shared" si="6"/>
        <v>0</v>
      </c>
      <c r="AX61" s="571">
        <v>2500</v>
      </c>
      <c r="AY61" s="571">
        <f t="shared" si="7"/>
        <v>0</v>
      </c>
      <c r="AZ61" s="571">
        <f t="shared" si="8"/>
        <v>5</v>
      </c>
      <c r="BA61" s="572">
        <f t="shared" si="22"/>
        <v>0</v>
      </c>
      <c r="BB61" s="571"/>
      <c r="BC61" s="573">
        <v>0.5</v>
      </c>
      <c r="BD61" s="571">
        <f t="shared" si="4"/>
        <v>0</v>
      </c>
      <c r="BE61" s="571">
        <f t="shared" si="5"/>
        <v>0</v>
      </c>
      <c r="BF61" s="586">
        <f t="shared" si="0"/>
        <v>0</v>
      </c>
      <c r="BG61" s="586" t="e">
        <f t="shared" si="1"/>
        <v>#DIV/0!</v>
      </c>
      <c r="BH61" s="571" t="e">
        <f t="shared" si="2"/>
        <v>#DIV/0!</v>
      </c>
      <c r="BI61" s="571"/>
      <c r="BJ61" s="571"/>
      <c r="BK61" s="1535">
        <f t="shared" si="30"/>
        <v>406</v>
      </c>
      <c r="BL61" s="818">
        <f t="shared" ref="BL61:CK61" si="39">($BK25/1000)*PI()+((BL25/1000)-($BK25/1000))*2</f>
        <v>0.46348661735745611</v>
      </c>
      <c r="BM61" s="818">
        <f t="shared" si="39"/>
        <v>0.46348661735745611</v>
      </c>
      <c r="BN61" s="818">
        <f t="shared" si="39"/>
        <v>0.46348661735745611</v>
      </c>
      <c r="BO61" s="818">
        <f t="shared" si="39"/>
        <v>0.46348661735745611</v>
      </c>
      <c r="BP61" s="818">
        <f t="shared" si="39"/>
        <v>0.46348661735745611</v>
      </c>
      <c r="BQ61" s="818">
        <f t="shared" si="39"/>
        <v>0.46348661735745611</v>
      </c>
      <c r="BR61" s="818">
        <f t="shared" si="39"/>
        <v>0.46348661735745611</v>
      </c>
      <c r="BS61" s="818">
        <f t="shared" si="39"/>
        <v>0.46348661735745611</v>
      </c>
      <c r="BT61" s="818">
        <f t="shared" si="39"/>
        <v>0.46348661735745611</v>
      </c>
      <c r="BU61" s="818">
        <f t="shared" si="39"/>
        <v>0.46348661735745611</v>
      </c>
      <c r="BV61" s="818">
        <f t="shared" si="39"/>
        <v>0.46348661735745611</v>
      </c>
      <c r="BW61" s="818">
        <f t="shared" si="39"/>
        <v>1.7554866173574561</v>
      </c>
      <c r="BX61" s="818">
        <f t="shared" si="39"/>
        <v>1.9134866173574561</v>
      </c>
      <c r="BY61" s="818">
        <f t="shared" si="39"/>
        <v>2.0734866173574562</v>
      </c>
      <c r="BZ61" s="818">
        <f t="shared" si="39"/>
        <v>2.2334866173574559</v>
      </c>
      <c r="CA61" s="818">
        <f t="shared" si="39"/>
        <v>2.3954866173574558</v>
      </c>
      <c r="CB61" s="818">
        <f t="shared" si="39"/>
        <v>2.5514866173574564</v>
      </c>
      <c r="CC61" s="818">
        <f t="shared" si="39"/>
        <v>2.7114866173574566</v>
      </c>
      <c r="CD61" s="818">
        <f t="shared" si="39"/>
        <v>2.8714866173574558</v>
      </c>
      <c r="CE61" s="818">
        <f t="shared" si="39"/>
        <v>3.1914866173574561</v>
      </c>
      <c r="CF61" s="818">
        <f t="shared" si="39"/>
        <v>3.349486617357456</v>
      </c>
      <c r="CG61" s="818">
        <f t="shared" si="39"/>
        <v>3.5094866173574562</v>
      </c>
      <c r="CH61" s="818">
        <f t="shared" si="39"/>
        <v>3.8294866173574564</v>
      </c>
      <c r="CI61" s="818">
        <f t="shared" si="39"/>
        <v>4.1474866173574565</v>
      </c>
      <c r="CJ61" s="818">
        <f t="shared" si="39"/>
        <v>4.483486617357455</v>
      </c>
      <c r="CK61" s="818">
        <f t="shared" si="39"/>
        <v>4.7934866173574555</v>
      </c>
    </row>
    <row r="62" spans="49:89" s="39" customFormat="1">
      <c r="AW62" s="571">
        <f t="shared" si="6"/>
        <v>0</v>
      </c>
      <c r="AX62" s="571">
        <v>2550</v>
      </c>
      <c r="AY62" s="571">
        <f t="shared" si="7"/>
        <v>0</v>
      </c>
      <c r="AZ62" s="571">
        <f t="shared" si="8"/>
        <v>5.0999999999999996</v>
      </c>
      <c r="BA62" s="572">
        <f t="shared" si="22"/>
        <v>0</v>
      </c>
      <c r="BB62" s="571"/>
      <c r="BC62" s="573">
        <v>0.51</v>
      </c>
      <c r="BD62" s="571">
        <f t="shared" si="4"/>
        <v>0</v>
      </c>
      <c r="BE62" s="571">
        <f t="shared" si="5"/>
        <v>0</v>
      </c>
      <c r="BF62" s="586">
        <f t="shared" si="0"/>
        <v>0</v>
      </c>
      <c r="BG62" s="586" t="e">
        <f t="shared" si="1"/>
        <v>#DIV/0!</v>
      </c>
      <c r="BH62" s="571" t="e">
        <f t="shared" si="2"/>
        <v>#DIV/0!</v>
      </c>
      <c r="BI62" s="571"/>
      <c r="BJ62" s="571"/>
      <c r="BK62" s="571">
        <f t="shared" si="30"/>
        <v>457</v>
      </c>
      <c r="BL62" s="818">
        <f t="shared" ref="BL62:CK62" si="40">($BK26/1000)*PI()+((BL26/1000)-($BK26/1000))*2</f>
        <v>0.52170784269053538</v>
      </c>
      <c r="BM62" s="818">
        <f t="shared" si="40"/>
        <v>0.52170784269053538</v>
      </c>
      <c r="BN62" s="818">
        <f t="shared" si="40"/>
        <v>0.52170784269053538</v>
      </c>
      <c r="BO62" s="818">
        <f t="shared" si="40"/>
        <v>0.52170784269053538</v>
      </c>
      <c r="BP62" s="818">
        <f t="shared" si="40"/>
        <v>0.52170784269053538</v>
      </c>
      <c r="BQ62" s="818">
        <f t="shared" si="40"/>
        <v>0.52170784269053538</v>
      </c>
      <c r="BR62" s="818">
        <f t="shared" si="40"/>
        <v>0.52170784269053538</v>
      </c>
      <c r="BS62" s="818">
        <f t="shared" si="40"/>
        <v>0.52170784269053538</v>
      </c>
      <c r="BT62" s="818">
        <f t="shared" si="40"/>
        <v>0.52170784269053538</v>
      </c>
      <c r="BU62" s="818">
        <f t="shared" si="40"/>
        <v>0.52170784269053538</v>
      </c>
      <c r="BV62" s="818">
        <f t="shared" si="40"/>
        <v>0.52170784269053538</v>
      </c>
      <c r="BW62" s="818">
        <f t="shared" si="40"/>
        <v>0.52170784269053538</v>
      </c>
      <c r="BX62" s="818">
        <f t="shared" si="40"/>
        <v>1.9157078426905354</v>
      </c>
      <c r="BY62" s="818">
        <f t="shared" si="40"/>
        <v>2.0737078426905353</v>
      </c>
      <c r="BZ62" s="818">
        <f t="shared" si="40"/>
        <v>2.2317078426905352</v>
      </c>
      <c r="CA62" s="818">
        <f t="shared" si="40"/>
        <v>2.3937078426905356</v>
      </c>
      <c r="CB62" s="818">
        <f t="shared" si="40"/>
        <v>2.5537078426905353</v>
      </c>
      <c r="CC62" s="818">
        <f t="shared" si="40"/>
        <v>2.7117078426905352</v>
      </c>
      <c r="CD62" s="818">
        <f t="shared" si="40"/>
        <v>2.8717078426905354</v>
      </c>
      <c r="CE62" s="818">
        <f t="shared" si="40"/>
        <v>3.1917078426905352</v>
      </c>
      <c r="CF62" s="818">
        <f t="shared" si="40"/>
        <v>3.3517078426905353</v>
      </c>
      <c r="CG62" s="818">
        <f t="shared" si="40"/>
        <v>3.5117078426905355</v>
      </c>
      <c r="CH62" s="818">
        <f t="shared" si="40"/>
        <v>3.8297078426905351</v>
      </c>
      <c r="CI62" s="818">
        <f t="shared" si="40"/>
        <v>4.1497078426905354</v>
      </c>
      <c r="CJ62" s="818">
        <f t="shared" si="40"/>
        <v>4.4817078426905352</v>
      </c>
      <c r="CK62" s="818">
        <f t="shared" si="40"/>
        <v>4.7917078426905348</v>
      </c>
    </row>
    <row r="63" spans="49:89" s="39" customFormat="1">
      <c r="AW63" s="571">
        <f t="shared" si="6"/>
        <v>0</v>
      </c>
      <c r="AX63" s="571">
        <v>2600</v>
      </c>
      <c r="AY63" s="571">
        <f t="shared" si="7"/>
        <v>0</v>
      </c>
      <c r="AZ63" s="571">
        <f t="shared" si="8"/>
        <v>5.2</v>
      </c>
      <c r="BA63" s="572">
        <f t="shared" si="22"/>
        <v>0</v>
      </c>
      <c r="BB63" s="571"/>
      <c r="BC63" s="573">
        <v>0.52</v>
      </c>
      <c r="BD63" s="571">
        <f t="shared" si="4"/>
        <v>0</v>
      </c>
      <c r="BE63" s="571">
        <f t="shared" si="5"/>
        <v>0</v>
      </c>
      <c r="BF63" s="586">
        <f t="shared" si="0"/>
        <v>0</v>
      </c>
      <c r="BG63" s="586" t="e">
        <f t="shared" si="1"/>
        <v>#DIV/0!</v>
      </c>
      <c r="BH63" s="571" t="e">
        <f t="shared" si="2"/>
        <v>#DIV/0!</v>
      </c>
      <c r="BI63" s="571"/>
      <c r="BJ63" s="571"/>
      <c r="BK63" s="1535">
        <f t="shared" si="30"/>
        <v>508</v>
      </c>
      <c r="BL63" s="818">
        <f t="shared" ref="BL63:CK63" si="41">($BK27/1000)*PI()+((BL27/1000)-($BK27/1000))*2</f>
        <v>0.57992906802361488</v>
      </c>
      <c r="BM63" s="818">
        <f t="shared" si="41"/>
        <v>0.57992906802361488</v>
      </c>
      <c r="BN63" s="818">
        <f t="shared" si="41"/>
        <v>0.57992906802361488</v>
      </c>
      <c r="BO63" s="818">
        <f t="shared" si="41"/>
        <v>0.57992906802361488</v>
      </c>
      <c r="BP63" s="818">
        <f t="shared" si="41"/>
        <v>0.57992906802361488</v>
      </c>
      <c r="BQ63" s="818">
        <f t="shared" si="41"/>
        <v>0.57992906802361488</v>
      </c>
      <c r="BR63" s="818">
        <f t="shared" si="41"/>
        <v>0.57992906802361488</v>
      </c>
      <c r="BS63" s="818">
        <f t="shared" si="41"/>
        <v>0.57992906802361488</v>
      </c>
      <c r="BT63" s="818">
        <f t="shared" si="41"/>
        <v>0.57992906802361488</v>
      </c>
      <c r="BU63" s="818">
        <f t="shared" si="41"/>
        <v>0.57992906802361488</v>
      </c>
      <c r="BV63" s="818">
        <f t="shared" si="41"/>
        <v>0.57992906802361488</v>
      </c>
      <c r="BW63" s="818">
        <f t="shared" si="41"/>
        <v>0.57992906802361488</v>
      </c>
      <c r="BX63" s="818">
        <f t="shared" si="41"/>
        <v>0.57992906802361488</v>
      </c>
      <c r="BY63" s="818">
        <f t="shared" si="41"/>
        <v>2.0759290680236147</v>
      </c>
      <c r="BZ63" s="818">
        <f t="shared" si="41"/>
        <v>2.233929068023615</v>
      </c>
      <c r="CA63" s="818">
        <f t="shared" si="41"/>
        <v>2.3939290680236152</v>
      </c>
      <c r="CB63" s="818">
        <f t="shared" si="41"/>
        <v>2.5539290680236149</v>
      </c>
      <c r="CC63" s="818">
        <f t="shared" si="41"/>
        <v>2.7119290680236148</v>
      </c>
      <c r="CD63" s="818">
        <f t="shared" si="41"/>
        <v>2.8719290680236149</v>
      </c>
      <c r="CE63" s="818">
        <f t="shared" si="41"/>
        <v>3.1919290680236152</v>
      </c>
      <c r="CF63" s="818">
        <f t="shared" si="41"/>
        <v>3.3519290680236145</v>
      </c>
      <c r="CG63" s="818">
        <f t="shared" si="41"/>
        <v>3.5119290680236146</v>
      </c>
      <c r="CH63" s="818">
        <f t="shared" si="41"/>
        <v>3.8299290680236151</v>
      </c>
      <c r="CI63" s="818">
        <f t="shared" si="41"/>
        <v>4.1499290680236145</v>
      </c>
      <c r="CJ63" s="818">
        <f t="shared" si="41"/>
        <v>4.4799290680236146</v>
      </c>
      <c r="CK63" s="818">
        <f t="shared" si="41"/>
        <v>4.7999290680236149</v>
      </c>
    </row>
    <row r="64" spans="49:89" s="39" customFormat="1">
      <c r="AW64" s="571">
        <f t="shared" si="6"/>
        <v>0</v>
      </c>
      <c r="AX64" s="571">
        <v>2650</v>
      </c>
      <c r="AY64" s="571">
        <f t="shared" si="7"/>
        <v>0</v>
      </c>
      <c r="AZ64" s="571">
        <f t="shared" si="8"/>
        <v>5.3</v>
      </c>
      <c r="BA64" s="572">
        <f t="shared" si="22"/>
        <v>0</v>
      </c>
      <c r="BB64" s="571"/>
      <c r="BC64" s="573">
        <v>0.53</v>
      </c>
      <c r="BD64" s="571">
        <f t="shared" si="4"/>
        <v>0</v>
      </c>
      <c r="BE64" s="571">
        <f t="shared" si="5"/>
        <v>0</v>
      </c>
      <c r="BF64" s="586">
        <f t="shared" si="0"/>
        <v>0</v>
      </c>
      <c r="BG64" s="586" t="e">
        <f t="shared" si="1"/>
        <v>#DIV/0!</v>
      </c>
      <c r="BH64" s="571" t="e">
        <f t="shared" si="2"/>
        <v>#DIV/0!</v>
      </c>
      <c r="BI64" s="571"/>
      <c r="BJ64" s="571"/>
      <c r="BK64" s="571">
        <f t="shared" si="30"/>
        <v>550</v>
      </c>
      <c r="BL64" s="818">
        <f t="shared" ref="BL64:CK64" si="42">($BK28/1000)*PI()+((BL28/1000)-($BK28/1000))*2</f>
        <v>0.62787595947438635</v>
      </c>
      <c r="BM64" s="818">
        <f t="shared" si="42"/>
        <v>0.62787595947438635</v>
      </c>
      <c r="BN64" s="818">
        <f t="shared" si="42"/>
        <v>0.62787595947438635</v>
      </c>
      <c r="BO64" s="818">
        <f t="shared" si="42"/>
        <v>0.62787595947438635</v>
      </c>
      <c r="BP64" s="818">
        <f t="shared" si="42"/>
        <v>0.62787595947438635</v>
      </c>
      <c r="BQ64" s="818">
        <f t="shared" si="42"/>
        <v>0.62787595947438635</v>
      </c>
      <c r="BR64" s="818">
        <f t="shared" si="42"/>
        <v>0.62787595947438635</v>
      </c>
      <c r="BS64" s="818">
        <f t="shared" si="42"/>
        <v>0.62787595947438635</v>
      </c>
      <c r="BT64" s="818">
        <f t="shared" si="42"/>
        <v>0.62787595947438635</v>
      </c>
      <c r="BU64" s="818">
        <f t="shared" si="42"/>
        <v>0.62787595947438635</v>
      </c>
      <c r="BV64" s="818">
        <f t="shared" si="42"/>
        <v>0.62787595947438635</v>
      </c>
      <c r="BW64" s="818">
        <f t="shared" si="42"/>
        <v>0.62787595947438635</v>
      </c>
      <c r="BX64" s="818">
        <f t="shared" si="42"/>
        <v>0.62787595947438635</v>
      </c>
      <c r="BY64" s="818">
        <f t="shared" si="42"/>
        <v>0.62787595947438635</v>
      </c>
      <c r="BZ64" s="818">
        <f t="shared" si="42"/>
        <v>2.2278759594743862</v>
      </c>
      <c r="CA64" s="818">
        <f t="shared" si="42"/>
        <v>2.3878759594743864</v>
      </c>
      <c r="CB64" s="818">
        <f t="shared" si="42"/>
        <v>2.5458759594743863</v>
      </c>
      <c r="CC64" s="818">
        <f t="shared" si="42"/>
        <v>2.7018759594743864</v>
      </c>
      <c r="CD64" s="818">
        <f t="shared" si="42"/>
        <v>2.8618759594743866</v>
      </c>
      <c r="CE64" s="818">
        <f t="shared" si="42"/>
        <v>3.181875959474386</v>
      </c>
      <c r="CF64" s="818">
        <f t="shared" si="42"/>
        <v>3.3438759594743868</v>
      </c>
      <c r="CG64" s="818">
        <f t="shared" si="42"/>
        <v>3.503875959474386</v>
      </c>
      <c r="CH64" s="818">
        <f t="shared" si="42"/>
        <v>3.8198759594743867</v>
      </c>
      <c r="CI64" s="818">
        <f t="shared" si="42"/>
        <v>4.1398759594743861</v>
      </c>
      <c r="CJ64" s="818">
        <f t="shared" si="42"/>
        <v>4.4678759594743864</v>
      </c>
      <c r="CK64" s="818">
        <f t="shared" si="42"/>
        <v>4.7878759594743867</v>
      </c>
    </row>
    <row r="65" spans="49:91" s="39" customFormat="1">
      <c r="AW65" s="571">
        <f t="shared" si="6"/>
        <v>0</v>
      </c>
      <c r="AX65" s="571">
        <v>2700</v>
      </c>
      <c r="AY65" s="571">
        <f t="shared" si="7"/>
        <v>0</v>
      </c>
      <c r="AZ65" s="571">
        <f t="shared" si="8"/>
        <v>5.4</v>
      </c>
      <c r="BA65" s="572">
        <f t="shared" si="22"/>
        <v>0</v>
      </c>
      <c r="BB65" s="571"/>
      <c r="BC65" s="573">
        <v>0.54</v>
      </c>
      <c r="BD65" s="571">
        <f t="shared" si="4"/>
        <v>0</v>
      </c>
      <c r="BE65" s="571">
        <f t="shared" si="5"/>
        <v>0</v>
      </c>
      <c r="BF65" s="586">
        <f t="shared" si="0"/>
        <v>0</v>
      </c>
      <c r="BG65" s="586" t="e">
        <f t="shared" si="1"/>
        <v>#DIV/0!</v>
      </c>
      <c r="BH65" s="571" t="e">
        <f t="shared" si="2"/>
        <v>#DIV/0!</v>
      </c>
      <c r="BI65" s="571"/>
      <c r="BJ65" s="571"/>
      <c r="BK65" s="1535">
        <f t="shared" si="30"/>
        <v>610</v>
      </c>
      <c r="BL65" s="818">
        <f t="shared" ref="BL65:CK65" si="43">($BK29/1000)*PI()+((BL29/1000)-($BK29/1000))*2</f>
        <v>0.69637151868977387</v>
      </c>
      <c r="BM65" s="818">
        <f t="shared" si="43"/>
        <v>0.69637151868977387</v>
      </c>
      <c r="BN65" s="818">
        <f t="shared" si="43"/>
        <v>0.69637151868977387</v>
      </c>
      <c r="BO65" s="818">
        <f t="shared" si="43"/>
        <v>0.69637151868977387</v>
      </c>
      <c r="BP65" s="818">
        <f t="shared" si="43"/>
        <v>0.69637151868977387</v>
      </c>
      <c r="BQ65" s="818">
        <f t="shared" si="43"/>
        <v>0.69637151868977387</v>
      </c>
      <c r="BR65" s="818">
        <f t="shared" si="43"/>
        <v>0.69637151868977387</v>
      </c>
      <c r="BS65" s="818">
        <f t="shared" si="43"/>
        <v>0.69637151868977387</v>
      </c>
      <c r="BT65" s="818">
        <f t="shared" si="43"/>
        <v>0.69637151868977387</v>
      </c>
      <c r="BU65" s="818">
        <f t="shared" si="43"/>
        <v>0.69637151868977387</v>
      </c>
      <c r="BV65" s="818">
        <f t="shared" si="43"/>
        <v>0.69637151868977387</v>
      </c>
      <c r="BW65" s="818">
        <f t="shared" si="43"/>
        <v>0.69637151868977387</v>
      </c>
      <c r="BX65" s="818">
        <f t="shared" si="43"/>
        <v>0.69637151868977387</v>
      </c>
      <c r="BY65" s="818">
        <f t="shared" si="43"/>
        <v>0.69637151868977387</v>
      </c>
      <c r="BZ65" s="818">
        <f t="shared" si="43"/>
        <v>0.69637151868977387</v>
      </c>
      <c r="CA65" s="818">
        <f t="shared" si="43"/>
        <v>0.69637151868977387</v>
      </c>
      <c r="CB65" s="818">
        <f t="shared" si="43"/>
        <v>2.5763715186897738</v>
      </c>
      <c r="CC65" s="818">
        <f t="shared" si="43"/>
        <v>2.7123715186897739</v>
      </c>
      <c r="CD65" s="818">
        <f t="shared" si="43"/>
        <v>2.880371518689774</v>
      </c>
      <c r="CE65" s="818">
        <f t="shared" si="43"/>
        <v>3.1563715186897738</v>
      </c>
      <c r="CF65" s="818">
        <f t="shared" si="43"/>
        <v>3.3263715186897738</v>
      </c>
      <c r="CG65" s="818">
        <f t="shared" si="43"/>
        <v>3.4863715186897739</v>
      </c>
      <c r="CH65" s="818">
        <f t="shared" si="43"/>
        <v>3.816371518689774</v>
      </c>
      <c r="CI65" s="818">
        <f t="shared" si="43"/>
        <v>4.1543715186897741</v>
      </c>
      <c r="CJ65" s="818">
        <f t="shared" si="43"/>
        <v>4.5083715186897733</v>
      </c>
      <c r="CK65" s="818">
        <f t="shared" si="43"/>
        <v>4.816371518689774</v>
      </c>
    </row>
    <row r="66" spans="49:91" s="39" customFormat="1">
      <c r="AW66" s="571">
        <f t="shared" si="6"/>
        <v>0</v>
      </c>
      <c r="AX66" s="571">
        <v>2750</v>
      </c>
      <c r="AY66" s="571">
        <f t="shared" si="7"/>
        <v>0</v>
      </c>
      <c r="AZ66" s="571">
        <f t="shared" si="8"/>
        <v>5.5</v>
      </c>
      <c r="BA66" s="572">
        <f t="shared" si="22"/>
        <v>0</v>
      </c>
      <c r="BB66" s="571"/>
      <c r="BC66" s="573">
        <v>0.55000000000000004</v>
      </c>
      <c r="BD66" s="571">
        <f t="shared" si="4"/>
        <v>0</v>
      </c>
      <c r="BE66" s="571">
        <f t="shared" si="5"/>
        <v>0</v>
      </c>
      <c r="BF66" s="586">
        <f t="shared" si="0"/>
        <v>0</v>
      </c>
      <c r="BG66" s="586" t="e">
        <f t="shared" si="1"/>
        <v>#DIV/0!</v>
      </c>
      <c r="BH66" s="571" t="e">
        <f t="shared" si="2"/>
        <v>#DIV/0!</v>
      </c>
      <c r="BI66" s="571"/>
      <c r="BJ66" s="571"/>
      <c r="BK66" s="571">
        <f t="shared" si="30"/>
        <v>700</v>
      </c>
      <c r="BL66" s="818">
        <f t="shared" ref="BL66:CK66" si="44">($BK30/1000)*PI()+((BL30/1000)-($BK30/1000))*2</f>
        <v>0.79911485751285527</v>
      </c>
      <c r="BM66" s="818">
        <f t="shared" si="44"/>
        <v>0.79911485751285527</v>
      </c>
      <c r="BN66" s="818">
        <f t="shared" si="44"/>
        <v>0.79911485751285527</v>
      </c>
      <c r="BO66" s="818">
        <f t="shared" si="44"/>
        <v>0.79911485751285527</v>
      </c>
      <c r="BP66" s="818">
        <f t="shared" si="44"/>
        <v>0.79911485751285527</v>
      </c>
      <c r="BQ66" s="818">
        <f t="shared" si="44"/>
        <v>0.79911485751285527</v>
      </c>
      <c r="BR66" s="818">
        <f t="shared" si="44"/>
        <v>0.79911485751285527</v>
      </c>
      <c r="BS66" s="818">
        <f t="shared" si="44"/>
        <v>0.79911485751285527</v>
      </c>
      <c r="BT66" s="818">
        <f t="shared" si="44"/>
        <v>0.79911485751285527</v>
      </c>
      <c r="BU66" s="818">
        <f t="shared" si="44"/>
        <v>0.79911485751285527</v>
      </c>
      <c r="BV66" s="818">
        <f t="shared" si="44"/>
        <v>0.79911485751285527</v>
      </c>
      <c r="BW66" s="818">
        <f t="shared" si="44"/>
        <v>0.79911485751285527</v>
      </c>
      <c r="BX66" s="818">
        <f t="shared" si="44"/>
        <v>0.79911485751285527</v>
      </c>
      <c r="BY66" s="818">
        <f t="shared" si="44"/>
        <v>0.79911485751285527</v>
      </c>
      <c r="BZ66" s="818">
        <f t="shared" si="44"/>
        <v>0.79911485751285527</v>
      </c>
      <c r="CA66" s="818">
        <f t="shared" si="44"/>
        <v>0.79911485751285527</v>
      </c>
      <c r="CB66" s="818">
        <f t="shared" si="44"/>
        <v>2.5551148575128551</v>
      </c>
      <c r="CC66" s="818">
        <f t="shared" si="44"/>
        <v>2.7151148575128552</v>
      </c>
      <c r="CD66" s="818">
        <f t="shared" si="44"/>
        <v>2.8751148575128553</v>
      </c>
      <c r="CE66" s="818">
        <f t="shared" si="44"/>
        <v>3.1931148575128554</v>
      </c>
      <c r="CF66" s="818">
        <f t="shared" si="44"/>
        <v>3.3531148575128551</v>
      </c>
      <c r="CG66" s="818">
        <f t="shared" si="44"/>
        <v>3.5131148575128552</v>
      </c>
      <c r="CH66" s="818">
        <f t="shared" si="44"/>
        <v>3.8791148575128553</v>
      </c>
      <c r="CI66" s="818">
        <f t="shared" si="44"/>
        <v>4.1511148575128551</v>
      </c>
      <c r="CJ66" s="818">
        <f t="shared" si="44"/>
        <v>4.4711148575128554</v>
      </c>
      <c r="CK66" s="818">
        <f t="shared" si="44"/>
        <v>4.7851148575128555</v>
      </c>
    </row>
    <row r="67" spans="49:91" s="39" customFormat="1">
      <c r="AW67" s="571">
        <f t="shared" si="6"/>
        <v>0</v>
      </c>
      <c r="AX67" s="571">
        <v>2800</v>
      </c>
      <c r="AY67" s="571">
        <f t="shared" si="7"/>
        <v>0</v>
      </c>
      <c r="AZ67" s="571">
        <f t="shared" si="8"/>
        <v>5.6</v>
      </c>
      <c r="BA67" s="572">
        <f t="shared" si="22"/>
        <v>0</v>
      </c>
      <c r="BB67" s="571"/>
      <c r="BC67" s="573">
        <v>0.56000000000000005</v>
      </c>
      <c r="BD67" s="571">
        <f t="shared" si="4"/>
        <v>0</v>
      </c>
      <c r="BE67" s="571">
        <f t="shared" si="5"/>
        <v>0</v>
      </c>
      <c r="BF67" s="586">
        <f t="shared" si="0"/>
        <v>0</v>
      </c>
      <c r="BG67" s="586" t="e">
        <f t="shared" si="1"/>
        <v>#DIV/0!</v>
      </c>
      <c r="BH67" s="571" t="e">
        <f t="shared" si="2"/>
        <v>#DIV/0!</v>
      </c>
      <c r="BI67" s="571"/>
      <c r="BJ67" s="571"/>
      <c r="BK67" s="1535">
        <f t="shared" si="30"/>
        <v>800</v>
      </c>
      <c r="BL67" s="818">
        <f t="shared" ref="BL67:CK67" si="45">($BK31/1000)*PI()+((BL31/1000)-($BK31/1000))*2</f>
        <v>0.9132741228718344</v>
      </c>
      <c r="BM67" s="818">
        <f t="shared" si="45"/>
        <v>0.9132741228718344</v>
      </c>
      <c r="BN67" s="818">
        <f t="shared" si="45"/>
        <v>0.9132741228718344</v>
      </c>
      <c r="BO67" s="818">
        <f t="shared" si="45"/>
        <v>0.9132741228718344</v>
      </c>
      <c r="BP67" s="818">
        <f t="shared" si="45"/>
        <v>0.9132741228718344</v>
      </c>
      <c r="BQ67" s="818">
        <f t="shared" si="45"/>
        <v>0.9132741228718344</v>
      </c>
      <c r="BR67" s="818">
        <f t="shared" si="45"/>
        <v>0.9132741228718344</v>
      </c>
      <c r="BS67" s="818">
        <f t="shared" si="45"/>
        <v>0.9132741228718344</v>
      </c>
      <c r="BT67" s="818">
        <f t="shared" si="45"/>
        <v>0.9132741228718344</v>
      </c>
      <c r="BU67" s="818">
        <f t="shared" si="45"/>
        <v>0.9132741228718344</v>
      </c>
      <c r="BV67" s="818">
        <f t="shared" si="45"/>
        <v>0.9132741228718344</v>
      </c>
      <c r="BW67" s="818">
        <f t="shared" si="45"/>
        <v>0.9132741228718344</v>
      </c>
      <c r="BX67" s="818">
        <f t="shared" si="45"/>
        <v>0.9132741228718344</v>
      </c>
      <c r="BY67" s="818">
        <f t="shared" si="45"/>
        <v>0.9132741228718344</v>
      </c>
      <c r="BZ67" s="818">
        <f t="shared" si="45"/>
        <v>0.9132741228718344</v>
      </c>
      <c r="CA67" s="818">
        <f t="shared" si="45"/>
        <v>0.9132741228718344</v>
      </c>
      <c r="CB67" s="818">
        <f t="shared" si="45"/>
        <v>0.9132741228718344</v>
      </c>
      <c r="CC67" s="818">
        <f t="shared" si="45"/>
        <v>0.9132741228718344</v>
      </c>
      <c r="CD67" s="818">
        <f t="shared" si="45"/>
        <v>2.8572741228718344</v>
      </c>
      <c r="CE67" s="818">
        <f t="shared" si="45"/>
        <v>3.1332741228718346</v>
      </c>
      <c r="CF67" s="818">
        <f t="shared" si="45"/>
        <v>3.3032741228718345</v>
      </c>
      <c r="CG67" s="818">
        <f t="shared" si="45"/>
        <v>3.4632741228718342</v>
      </c>
      <c r="CH67" s="818">
        <f t="shared" si="45"/>
        <v>3.7932741228718343</v>
      </c>
      <c r="CI67" s="818">
        <f t="shared" si="45"/>
        <v>3.0512741228718343</v>
      </c>
      <c r="CJ67" s="818">
        <f t="shared" si="45"/>
        <v>4.4732741228718345</v>
      </c>
      <c r="CK67" s="818">
        <f t="shared" si="45"/>
        <v>4.7932741228718339</v>
      </c>
    </row>
    <row r="68" spans="49:91" s="39" customFormat="1">
      <c r="AW68" s="571">
        <f t="shared" si="6"/>
        <v>0</v>
      </c>
      <c r="AX68" s="571">
        <v>2850</v>
      </c>
      <c r="AY68" s="571">
        <f t="shared" si="7"/>
        <v>0</v>
      </c>
      <c r="AZ68" s="571">
        <f t="shared" si="8"/>
        <v>5.7</v>
      </c>
      <c r="BA68" s="572">
        <f t="shared" si="22"/>
        <v>0</v>
      </c>
      <c r="BB68" s="571"/>
      <c r="BC68" s="573">
        <v>0.56999999999999995</v>
      </c>
      <c r="BD68" s="571">
        <f t="shared" si="4"/>
        <v>0</v>
      </c>
      <c r="BE68" s="571">
        <f t="shared" si="5"/>
        <v>0</v>
      </c>
      <c r="BF68" s="586">
        <f t="shared" si="0"/>
        <v>0</v>
      </c>
      <c r="BG68" s="586" t="e">
        <f t="shared" si="1"/>
        <v>#DIV/0!</v>
      </c>
      <c r="BH68" s="571" t="e">
        <f t="shared" si="2"/>
        <v>#DIV/0!</v>
      </c>
      <c r="BI68" s="571"/>
      <c r="BJ68" s="571"/>
      <c r="BK68" s="571"/>
      <c r="BL68" s="818"/>
      <c r="BM68" s="818"/>
      <c r="BN68" s="818"/>
      <c r="BO68" s="818"/>
      <c r="BP68" s="818"/>
      <c r="BQ68" s="818"/>
      <c r="BR68" s="818"/>
      <c r="BS68" s="818"/>
      <c r="BT68" s="818"/>
      <c r="BU68" s="818"/>
      <c r="BV68" s="818"/>
      <c r="BW68" s="818"/>
      <c r="BX68" s="818"/>
      <c r="BY68" s="818"/>
      <c r="BZ68" s="818"/>
      <c r="CA68" s="818"/>
      <c r="CB68" s="818"/>
      <c r="CC68" s="818"/>
      <c r="CD68" s="818"/>
      <c r="CE68" s="818"/>
      <c r="CF68" s="818"/>
      <c r="CG68" s="818"/>
      <c r="CH68" s="818"/>
      <c r="CI68" s="818"/>
      <c r="CJ68" s="818"/>
      <c r="CK68" s="818"/>
      <c r="CL68" s="1536" t="s">
        <v>2025</v>
      </c>
    </row>
    <row r="69" spans="49:91" s="39" customFormat="1">
      <c r="AW69" s="571">
        <f t="shared" si="6"/>
        <v>0</v>
      </c>
      <c r="AX69" s="571">
        <v>2900</v>
      </c>
      <c r="AY69" s="571">
        <f t="shared" si="7"/>
        <v>0</v>
      </c>
      <c r="AZ69" s="571">
        <f t="shared" si="8"/>
        <v>5.8</v>
      </c>
      <c r="BA69" s="572">
        <f t="shared" si="22"/>
        <v>0</v>
      </c>
      <c r="BB69" s="571"/>
      <c r="BC69" s="573">
        <v>0.57999999999999996</v>
      </c>
      <c r="BD69" s="571">
        <f t="shared" si="4"/>
        <v>0</v>
      </c>
      <c r="BE69" s="571">
        <f t="shared" si="5"/>
        <v>0</v>
      </c>
      <c r="BF69" s="586">
        <f t="shared" si="0"/>
        <v>0</v>
      </c>
      <c r="BG69" s="586" t="e">
        <f t="shared" si="1"/>
        <v>#DIV/0!</v>
      </c>
      <c r="BH69" s="571" t="e">
        <f t="shared" si="2"/>
        <v>#DIV/0!</v>
      </c>
      <c r="BI69" s="571"/>
      <c r="BJ69" s="571" t="s">
        <v>315</v>
      </c>
      <c r="BK69" s="1535">
        <f>BK51</f>
        <v>150</v>
      </c>
      <c r="BL69" s="39">
        <f>(1.453*(BL33^0.6))/((BL51^0.2))*1000</f>
        <v>208.00522495349574</v>
      </c>
      <c r="BM69" s="39">
        <f t="shared" ref="BM69:CK79" si="46">(1.453*(BM33^0.6))/((BM51^0.2))*1000</f>
        <v>224.32594512628978</v>
      </c>
      <c r="BN69" s="39">
        <f t="shared" si="46"/>
        <v>238.12048305781724</v>
      </c>
      <c r="BO69" s="39">
        <f t="shared" si="46"/>
        <v>250.88514873056306</v>
      </c>
      <c r="BP69" s="39">
        <f t="shared" si="46"/>
        <v>262.79675839656528</v>
      </c>
      <c r="BQ69" s="39">
        <f t="shared" si="46"/>
        <v>277.67074465690683</v>
      </c>
      <c r="BR69" s="39">
        <f t="shared" si="46"/>
        <v>288.05322016406393</v>
      </c>
      <c r="BS69" s="39">
        <f t="shared" si="46"/>
        <v>297.66971370800661</v>
      </c>
      <c r="BT69" s="39">
        <f t="shared" si="46"/>
        <v>0</v>
      </c>
      <c r="BU69" s="39">
        <f t="shared" si="46"/>
        <v>0</v>
      </c>
      <c r="BV69" s="39">
        <f t="shared" si="46"/>
        <v>0</v>
      </c>
      <c r="BW69" s="39">
        <f t="shared" si="46"/>
        <v>0</v>
      </c>
      <c r="BX69" s="39">
        <f t="shared" si="46"/>
        <v>0</v>
      </c>
      <c r="BY69" s="39">
        <f t="shared" si="46"/>
        <v>0</v>
      </c>
      <c r="BZ69" s="39">
        <f t="shared" si="46"/>
        <v>0</v>
      </c>
      <c r="CA69" s="39">
        <f t="shared" si="46"/>
        <v>0</v>
      </c>
      <c r="CB69" s="39">
        <f t="shared" si="46"/>
        <v>0</v>
      </c>
      <c r="CC69" s="39">
        <f t="shared" si="46"/>
        <v>0</v>
      </c>
      <c r="CD69" s="39">
        <f t="shared" si="46"/>
        <v>0</v>
      </c>
      <c r="CE69" s="39">
        <f t="shared" si="46"/>
        <v>0</v>
      </c>
      <c r="CF69" s="39">
        <f t="shared" si="46"/>
        <v>0</v>
      </c>
      <c r="CG69" s="39">
        <f t="shared" si="46"/>
        <v>0</v>
      </c>
      <c r="CH69" s="39">
        <f t="shared" si="46"/>
        <v>0</v>
      </c>
      <c r="CI69" s="39">
        <f t="shared" si="46"/>
        <v>0</v>
      </c>
      <c r="CJ69" s="39">
        <f t="shared" si="46"/>
        <v>0</v>
      </c>
      <c r="CK69" s="39">
        <f t="shared" si="46"/>
        <v>0</v>
      </c>
      <c r="CL69" s="39">
        <f>MAX(BL69:CK69)</f>
        <v>297.66971370800661</v>
      </c>
      <c r="CM69" s="39" t="str">
        <f>IF($BK$106&lt;=CL69,BK69,"")</f>
        <v/>
      </c>
    </row>
    <row r="70" spans="49:91" s="39" customFormat="1">
      <c r="AW70" s="571">
        <f t="shared" si="6"/>
        <v>0</v>
      </c>
      <c r="AX70" s="571">
        <v>2950</v>
      </c>
      <c r="AY70" s="571">
        <f t="shared" si="7"/>
        <v>0</v>
      </c>
      <c r="AZ70" s="571">
        <f t="shared" si="8"/>
        <v>5.9</v>
      </c>
      <c r="BA70" s="572">
        <f t="shared" si="22"/>
        <v>0</v>
      </c>
      <c r="BB70" s="571"/>
      <c r="BC70" s="573">
        <v>0.59</v>
      </c>
      <c r="BD70" s="571">
        <f t="shared" si="4"/>
        <v>0</v>
      </c>
      <c r="BE70" s="571">
        <f t="shared" si="5"/>
        <v>0</v>
      </c>
      <c r="BF70" s="586">
        <f t="shared" si="0"/>
        <v>0</v>
      </c>
      <c r="BG70" s="586" t="e">
        <f t="shared" si="1"/>
        <v>#DIV/0!</v>
      </c>
      <c r="BH70" s="571" t="e">
        <f t="shared" si="2"/>
        <v>#DIV/0!</v>
      </c>
      <c r="BI70" s="571"/>
      <c r="BJ70" s="571"/>
      <c r="BK70" s="571">
        <f>BK52</f>
        <v>127</v>
      </c>
      <c r="BL70" s="39">
        <f t="shared" ref="BL70:CA85" si="47">(1.453*(BL34^0.6))/((BL52^0.2))*1000</f>
        <v>185.21917032652644</v>
      </c>
      <c r="BM70" s="39">
        <f t="shared" si="47"/>
        <v>200.41632643778615</v>
      </c>
      <c r="BN70" s="39">
        <f t="shared" si="47"/>
        <v>214.80147515324308</v>
      </c>
      <c r="BO70" s="39">
        <f t="shared" si="47"/>
        <v>226.47097094310575</v>
      </c>
      <c r="BP70" s="39">
        <f t="shared" si="47"/>
        <v>237.34254975969367</v>
      </c>
      <c r="BQ70" s="39">
        <f t="shared" si="47"/>
        <v>247.80403569174985</v>
      </c>
      <c r="BR70" s="39">
        <f t="shared" si="47"/>
        <v>260.34895548524406</v>
      </c>
      <c r="BS70" s="39">
        <f t="shared" si="47"/>
        <v>269.32678127770305</v>
      </c>
      <c r="BT70" s="39">
        <f t="shared" si="47"/>
        <v>0</v>
      </c>
      <c r="BU70" s="39">
        <f t="shared" si="47"/>
        <v>0</v>
      </c>
      <c r="BV70" s="39">
        <f t="shared" si="47"/>
        <v>0</v>
      </c>
      <c r="BW70" s="39">
        <f t="shared" si="47"/>
        <v>0</v>
      </c>
      <c r="BX70" s="39">
        <f t="shared" si="47"/>
        <v>0</v>
      </c>
      <c r="BY70" s="39">
        <f t="shared" si="47"/>
        <v>0</v>
      </c>
      <c r="BZ70" s="39">
        <f t="shared" si="47"/>
        <v>0</v>
      </c>
      <c r="CA70" s="39">
        <f t="shared" si="47"/>
        <v>0</v>
      </c>
      <c r="CB70" s="39">
        <f t="shared" si="46"/>
        <v>0</v>
      </c>
      <c r="CC70" s="39">
        <f t="shared" si="46"/>
        <v>0</v>
      </c>
      <c r="CD70" s="39">
        <f t="shared" si="46"/>
        <v>0</v>
      </c>
      <c r="CE70" s="39">
        <f t="shared" si="46"/>
        <v>0</v>
      </c>
      <c r="CF70" s="39">
        <f t="shared" si="46"/>
        <v>0</v>
      </c>
      <c r="CG70" s="39">
        <f t="shared" si="46"/>
        <v>0</v>
      </c>
      <c r="CH70" s="39">
        <f t="shared" si="46"/>
        <v>0</v>
      </c>
      <c r="CI70" s="39">
        <f t="shared" si="46"/>
        <v>0</v>
      </c>
      <c r="CJ70" s="39">
        <f t="shared" si="46"/>
        <v>0</v>
      </c>
      <c r="CK70" s="39">
        <f t="shared" si="46"/>
        <v>0</v>
      </c>
      <c r="CL70" s="39">
        <f t="shared" ref="CL70:CL85" si="48">MAX(BL70:CK70)</f>
        <v>269.32678127770305</v>
      </c>
      <c r="CM70" s="39" t="str">
        <f t="shared" ref="CM70:CM85" si="49">IF($BK$106&lt;=CL70,BK70,"")</f>
        <v/>
      </c>
    </row>
    <row r="71" spans="49:91" s="39" customFormat="1" ht="12.75" customHeight="1">
      <c r="AW71" s="571">
        <f t="shared" si="6"/>
        <v>0</v>
      </c>
      <c r="AX71" s="571">
        <v>3000</v>
      </c>
      <c r="AY71" s="571">
        <f t="shared" si="7"/>
        <v>0</v>
      </c>
      <c r="AZ71" s="571">
        <f t="shared" si="8"/>
        <v>6</v>
      </c>
      <c r="BA71" s="572">
        <f t="shared" si="22"/>
        <v>0</v>
      </c>
      <c r="BB71" s="571"/>
      <c r="BC71" s="573">
        <v>0.6</v>
      </c>
      <c r="BD71" s="571">
        <f t="shared" si="4"/>
        <v>0</v>
      </c>
      <c r="BE71" s="571">
        <f t="shared" si="5"/>
        <v>0</v>
      </c>
      <c r="BF71" s="586">
        <f t="shared" si="0"/>
        <v>0</v>
      </c>
      <c r="BG71" s="586" t="e">
        <f t="shared" si="1"/>
        <v>#DIV/0!</v>
      </c>
      <c r="BH71" s="571" t="e">
        <f t="shared" si="2"/>
        <v>#DIV/0!</v>
      </c>
      <c r="BI71" s="571"/>
      <c r="BJ71" s="571"/>
      <c r="BK71" s="1535">
        <f t="shared" ref="BK71:BK85" si="50">BK53</f>
        <v>152</v>
      </c>
      <c r="BL71" s="39">
        <f t="shared" si="47"/>
        <v>197.87390898371586</v>
      </c>
      <c r="BM71" s="39">
        <f t="shared" si="46"/>
        <v>215.92773448167995</v>
      </c>
      <c r="BN71" s="39">
        <f t="shared" si="46"/>
        <v>230.66442687871529</v>
      </c>
      <c r="BO71" s="39">
        <f t="shared" si="46"/>
        <v>244.20817693350489</v>
      </c>
      <c r="BP71" s="39">
        <f t="shared" si="46"/>
        <v>256.77855946201055</v>
      </c>
      <c r="BQ71" s="39">
        <f t="shared" si="46"/>
        <v>268.53718042033671</v>
      </c>
      <c r="BR71" s="39">
        <f t="shared" si="46"/>
        <v>283.25329928660307</v>
      </c>
      <c r="BS71" s="39">
        <f t="shared" si="46"/>
        <v>293.54466827995282</v>
      </c>
      <c r="BT71" s="39">
        <f t="shared" si="46"/>
        <v>303.59278658449347</v>
      </c>
      <c r="BU71" s="39">
        <f t="shared" si="46"/>
        <v>321.66931365763895</v>
      </c>
      <c r="BV71" s="39">
        <f t="shared" si="46"/>
        <v>338.59085537519576</v>
      </c>
      <c r="BW71" s="39">
        <f t="shared" si="46"/>
        <v>354.9588411839627</v>
      </c>
      <c r="BX71" s="39">
        <f t="shared" si="46"/>
        <v>370.47489515476201</v>
      </c>
      <c r="BY71" s="39">
        <f t="shared" si="46"/>
        <v>385.08778468714979</v>
      </c>
      <c r="BZ71" s="39">
        <f t="shared" si="46"/>
        <v>398.92407448438871</v>
      </c>
      <c r="CA71" s="39">
        <f t="shared" si="46"/>
        <v>412.08399842387092</v>
      </c>
      <c r="CB71" s="39">
        <f t="shared" si="46"/>
        <v>425.26228535003827</v>
      </c>
      <c r="CC71" s="39">
        <f t="shared" si="46"/>
        <v>0</v>
      </c>
      <c r="CD71" s="39">
        <f t="shared" si="46"/>
        <v>0</v>
      </c>
      <c r="CE71" s="39">
        <f t="shared" si="46"/>
        <v>0</v>
      </c>
      <c r="CF71" s="39">
        <f t="shared" si="46"/>
        <v>0</v>
      </c>
      <c r="CG71" s="39">
        <f t="shared" si="46"/>
        <v>0</v>
      </c>
      <c r="CH71" s="39">
        <f t="shared" si="46"/>
        <v>0</v>
      </c>
      <c r="CI71" s="39">
        <f t="shared" si="46"/>
        <v>0</v>
      </c>
      <c r="CJ71" s="39">
        <f t="shared" si="46"/>
        <v>0</v>
      </c>
      <c r="CK71" s="39">
        <f t="shared" si="46"/>
        <v>0</v>
      </c>
      <c r="CL71" s="39">
        <f t="shared" si="48"/>
        <v>425.26228535003827</v>
      </c>
      <c r="CM71" s="39" t="str">
        <f t="shared" si="49"/>
        <v/>
      </c>
    </row>
    <row r="72" spans="49:91" s="39" customFormat="1" ht="12.75" customHeight="1">
      <c r="AW72" s="571">
        <f t="shared" si="6"/>
        <v>0</v>
      </c>
      <c r="AX72" s="571">
        <v>3050</v>
      </c>
      <c r="AY72" s="571">
        <f t="shared" si="7"/>
        <v>0</v>
      </c>
      <c r="AZ72" s="571">
        <f t="shared" si="8"/>
        <v>6.1</v>
      </c>
      <c r="BA72" s="572">
        <f t="shared" si="22"/>
        <v>0</v>
      </c>
      <c r="BB72" s="571"/>
      <c r="BC72" s="573">
        <v>0.61</v>
      </c>
      <c r="BD72" s="571">
        <f t="shared" si="4"/>
        <v>0</v>
      </c>
      <c r="BE72" s="571">
        <f t="shared" si="5"/>
        <v>0</v>
      </c>
      <c r="BF72" s="586">
        <f t="shared" si="0"/>
        <v>0</v>
      </c>
      <c r="BG72" s="586" t="e">
        <f t="shared" si="1"/>
        <v>#DIV/0!</v>
      </c>
      <c r="BH72" s="571" t="e">
        <f t="shared" si="2"/>
        <v>#DIV/0!</v>
      </c>
      <c r="BI72" s="571"/>
      <c r="BJ72" s="571"/>
      <c r="BK72" s="571">
        <f t="shared" si="50"/>
        <v>178</v>
      </c>
      <c r="BL72" s="39">
        <f t="shared" si="47"/>
        <v>0</v>
      </c>
      <c r="BM72" s="39">
        <f t="shared" si="46"/>
        <v>0</v>
      </c>
      <c r="BN72" s="39">
        <f t="shared" si="46"/>
        <v>241.17659112238042</v>
      </c>
      <c r="BO72" s="39">
        <f t="shared" si="46"/>
        <v>256.92092133085549</v>
      </c>
      <c r="BP72" s="39">
        <f t="shared" si="46"/>
        <v>271.82129255921745</v>
      </c>
      <c r="BQ72" s="39">
        <f t="shared" si="46"/>
        <v>286.01670846579606</v>
      </c>
      <c r="BR72" s="39">
        <f t="shared" si="46"/>
        <v>299.29241168315673</v>
      </c>
      <c r="BS72" s="39">
        <f t="shared" si="46"/>
        <v>311.48362115499361</v>
      </c>
      <c r="BT72" s="39">
        <f t="shared" si="46"/>
        <v>323.60998937625811</v>
      </c>
      <c r="BU72" s="39">
        <f t="shared" si="46"/>
        <v>345.56636878157917</v>
      </c>
      <c r="BV72" s="39">
        <f t="shared" si="46"/>
        <v>365.43577797154234</v>
      </c>
      <c r="BW72" s="39">
        <f t="shared" si="46"/>
        <v>384.07462898964991</v>
      </c>
      <c r="BX72" s="39">
        <f t="shared" si="46"/>
        <v>401.47931326077429</v>
      </c>
      <c r="BY72" s="39">
        <f t="shared" si="46"/>
        <v>417.84334717749414</v>
      </c>
      <c r="BZ72" s="39">
        <f t="shared" si="46"/>
        <v>433.12732126918144</v>
      </c>
      <c r="CA72" s="39">
        <f t="shared" si="46"/>
        <v>448.01389646308792</v>
      </c>
      <c r="CB72" s="39">
        <f t="shared" si="46"/>
        <v>462.032233309633</v>
      </c>
      <c r="CC72" s="39">
        <f t="shared" si="46"/>
        <v>475.28362285962532</v>
      </c>
      <c r="CD72" s="39">
        <f t="shared" si="46"/>
        <v>0</v>
      </c>
      <c r="CE72" s="39">
        <f t="shared" si="46"/>
        <v>0</v>
      </c>
      <c r="CF72" s="39">
        <f t="shared" si="46"/>
        <v>0</v>
      </c>
      <c r="CG72" s="39">
        <f t="shared" si="46"/>
        <v>0</v>
      </c>
      <c r="CH72" s="39">
        <f t="shared" si="46"/>
        <v>0</v>
      </c>
      <c r="CI72" s="39">
        <f t="shared" si="46"/>
        <v>0</v>
      </c>
      <c r="CJ72" s="39">
        <f t="shared" si="46"/>
        <v>0</v>
      </c>
      <c r="CK72" s="39">
        <f t="shared" si="46"/>
        <v>0</v>
      </c>
      <c r="CL72" s="39">
        <f t="shared" si="48"/>
        <v>475.28362285962532</v>
      </c>
      <c r="CM72" s="39" t="str">
        <f t="shared" si="49"/>
        <v/>
      </c>
    </row>
    <row r="73" spans="49:91" s="39" customFormat="1">
      <c r="AW73" s="571">
        <f t="shared" si="6"/>
        <v>0</v>
      </c>
      <c r="AX73" s="571">
        <v>3100</v>
      </c>
      <c r="AY73" s="571">
        <f t="shared" si="7"/>
        <v>0</v>
      </c>
      <c r="AZ73" s="571">
        <f t="shared" si="8"/>
        <v>6.2</v>
      </c>
      <c r="BA73" s="572">
        <f t="shared" si="22"/>
        <v>0</v>
      </c>
      <c r="BB73" s="571"/>
      <c r="BC73" s="573">
        <v>0.62</v>
      </c>
      <c r="BD73" s="571">
        <f t="shared" si="4"/>
        <v>0</v>
      </c>
      <c r="BE73" s="571">
        <f t="shared" si="5"/>
        <v>0</v>
      </c>
      <c r="BF73" s="586">
        <f t="shared" si="0"/>
        <v>0</v>
      </c>
      <c r="BG73" s="586" t="e">
        <f t="shared" si="1"/>
        <v>#DIV/0!</v>
      </c>
      <c r="BH73" s="571" t="e">
        <f t="shared" si="2"/>
        <v>#DIV/0!</v>
      </c>
      <c r="BI73" s="571"/>
      <c r="BJ73" s="571"/>
      <c r="BK73" s="1535">
        <f t="shared" si="50"/>
        <v>203</v>
      </c>
      <c r="BL73" s="39">
        <f t="shared" si="47"/>
        <v>0</v>
      </c>
      <c r="BM73" s="39">
        <f t="shared" si="46"/>
        <v>0</v>
      </c>
      <c r="BN73" s="39">
        <f t="shared" si="46"/>
        <v>246.19222211817214</v>
      </c>
      <c r="BO73" s="39">
        <f t="shared" si="46"/>
        <v>266.14783726213693</v>
      </c>
      <c r="BP73" s="39">
        <f t="shared" si="46"/>
        <v>283.88574544135736</v>
      </c>
      <c r="BQ73" s="39">
        <f t="shared" si="46"/>
        <v>299.47436824756363</v>
      </c>
      <c r="BR73" s="39">
        <f t="shared" si="46"/>
        <v>315.10790485907444</v>
      </c>
      <c r="BS73" s="39">
        <f t="shared" si="46"/>
        <v>328.72123780498282</v>
      </c>
      <c r="BT73" s="39">
        <f t="shared" si="46"/>
        <v>341.58972098548065</v>
      </c>
      <c r="BU73" s="39">
        <f t="shared" si="46"/>
        <v>366.04277642282403</v>
      </c>
      <c r="BV73" s="39">
        <f t="shared" si="46"/>
        <v>388.09803496753159</v>
      </c>
      <c r="BW73" s="39">
        <f t="shared" si="46"/>
        <v>408.73315539031165</v>
      </c>
      <c r="BX73" s="39">
        <f t="shared" si="46"/>
        <v>427.96075620261217</v>
      </c>
      <c r="BY73" s="39">
        <f t="shared" si="46"/>
        <v>446.00677468877689</v>
      </c>
      <c r="BZ73" s="39">
        <f t="shared" si="46"/>
        <v>462.83680865449526</v>
      </c>
      <c r="CA73" s="39">
        <f t="shared" si="46"/>
        <v>479.01131669886826</v>
      </c>
      <c r="CB73" s="39">
        <f t="shared" si="46"/>
        <v>494.42007827319674</v>
      </c>
      <c r="CC73" s="39">
        <f t="shared" si="46"/>
        <v>509.15166379779816</v>
      </c>
      <c r="CD73" s="39">
        <f t="shared" si="46"/>
        <v>523.27923932092517</v>
      </c>
      <c r="CE73" s="39">
        <f t="shared" si="46"/>
        <v>550.11858169696791</v>
      </c>
      <c r="CF73" s="39">
        <f t="shared" si="46"/>
        <v>0</v>
      </c>
      <c r="CG73" s="39">
        <f t="shared" si="46"/>
        <v>0</v>
      </c>
      <c r="CH73" s="39">
        <f t="shared" si="46"/>
        <v>0</v>
      </c>
      <c r="CI73" s="39">
        <f t="shared" si="46"/>
        <v>0</v>
      </c>
      <c r="CJ73" s="39">
        <f t="shared" si="46"/>
        <v>0</v>
      </c>
      <c r="CK73" s="39">
        <f t="shared" si="46"/>
        <v>0</v>
      </c>
      <c r="CL73" s="39">
        <f t="shared" si="48"/>
        <v>550.11858169696791</v>
      </c>
      <c r="CM73" s="39" t="str">
        <f t="shared" si="49"/>
        <v/>
      </c>
    </row>
    <row r="74" spans="49:91" s="39" customFormat="1">
      <c r="AW74" s="571">
        <f t="shared" si="6"/>
        <v>0</v>
      </c>
      <c r="AX74" s="571">
        <v>3150</v>
      </c>
      <c r="AY74" s="571">
        <f t="shared" si="7"/>
        <v>0</v>
      </c>
      <c r="AZ74" s="571">
        <f t="shared" si="8"/>
        <v>6.3</v>
      </c>
      <c r="BA74" s="572">
        <f t="shared" si="22"/>
        <v>0</v>
      </c>
      <c r="BB74" s="571"/>
      <c r="BC74" s="573">
        <v>0.63</v>
      </c>
      <c r="BD74" s="571">
        <f t="shared" si="4"/>
        <v>0</v>
      </c>
      <c r="BE74" s="571">
        <f t="shared" si="5"/>
        <v>0</v>
      </c>
      <c r="BF74" s="586">
        <f t="shared" si="0"/>
        <v>0</v>
      </c>
      <c r="BG74" s="586" t="e">
        <f t="shared" si="1"/>
        <v>#DIV/0!</v>
      </c>
      <c r="BH74" s="571" t="e">
        <f t="shared" si="2"/>
        <v>#DIV/0!</v>
      </c>
      <c r="BI74" s="571"/>
      <c r="BJ74" s="571"/>
      <c r="BK74" s="571">
        <f t="shared" si="50"/>
        <v>225</v>
      </c>
      <c r="BL74" s="39">
        <f t="shared" si="47"/>
        <v>0</v>
      </c>
      <c r="BM74" s="39">
        <f t="shared" si="46"/>
        <v>0</v>
      </c>
      <c r="BN74" s="39">
        <f t="shared" si="46"/>
        <v>0</v>
      </c>
      <c r="BO74" s="39">
        <f t="shared" si="46"/>
        <v>272.19915668827031</v>
      </c>
      <c r="BP74" s="39">
        <f t="shared" si="46"/>
        <v>290.93380346688218</v>
      </c>
      <c r="BQ74" s="39">
        <f t="shared" si="46"/>
        <v>308.62811727525394</v>
      </c>
      <c r="BR74" s="39">
        <f t="shared" si="46"/>
        <v>325.45496194755856</v>
      </c>
      <c r="BS74" s="39">
        <f t="shared" si="46"/>
        <v>340.43153901830254</v>
      </c>
      <c r="BT74" s="39">
        <f t="shared" si="46"/>
        <v>355.256404820478</v>
      </c>
      <c r="BU74" s="39">
        <f t="shared" si="46"/>
        <v>381.62161670813816</v>
      </c>
      <c r="BV74" s="39">
        <f t="shared" si="46"/>
        <v>405.9333428767564</v>
      </c>
      <c r="BW74" s="39">
        <f t="shared" si="46"/>
        <v>428.06015945496767</v>
      </c>
      <c r="BX74" s="39">
        <f t="shared" si="46"/>
        <v>448.90703593242677</v>
      </c>
      <c r="BY74" s="39">
        <f t="shared" si="46"/>
        <v>468.44040816666472</v>
      </c>
      <c r="BZ74" s="39">
        <f t="shared" si="46"/>
        <v>486.8563805695548</v>
      </c>
      <c r="CA74" s="39">
        <f t="shared" si="46"/>
        <v>504.30801542205415</v>
      </c>
      <c r="CB74" s="39">
        <f t="shared" si="46"/>
        <v>520.7144699436526</v>
      </c>
      <c r="CC74" s="39">
        <f t="shared" si="46"/>
        <v>536.58916447736101</v>
      </c>
      <c r="CD74" s="39">
        <f t="shared" si="46"/>
        <v>551.80110121363577</v>
      </c>
      <c r="CE74" s="39">
        <f t="shared" si="46"/>
        <v>580.49885077278043</v>
      </c>
      <c r="CF74" s="39">
        <f t="shared" si="46"/>
        <v>593.92424406358805</v>
      </c>
      <c r="CG74" s="39">
        <f t="shared" si="46"/>
        <v>607.076374312295</v>
      </c>
      <c r="CH74" s="39">
        <f t="shared" si="46"/>
        <v>632.18431866773528</v>
      </c>
      <c r="CI74" s="39">
        <f t="shared" si="46"/>
        <v>655.74797432271794</v>
      </c>
      <c r="CJ74" s="39">
        <f t="shared" si="46"/>
        <v>0</v>
      </c>
      <c r="CK74" s="39">
        <f t="shared" si="46"/>
        <v>0</v>
      </c>
      <c r="CL74" s="39">
        <f t="shared" si="48"/>
        <v>655.74797432271794</v>
      </c>
      <c r="CM74" s="39" t="str">
        <f t="shared" si="49"/>
        <v/>
      </c>
    </row>
    <row r="75" spans="49:91" s="39" customFormat="1">
      <c r="AW75" s="571">
        <f t="shared" si="6"/>
        <v>0</v>
      </c>
      <c r="AX75" s="571">
        <v>3200</v>
      </c>
      <c r="AY75" s="571">
        <f t="shared" si="7"/>
        <v>0</v>
      </c>
      <c r="AZ75" s="571">
        <f t="shared" si="8"/>
        <v>6.4</v>
      </c>
      <c r="BA75" s="572">
        <f t="shared" si="22"/>
        <v>0</v>
      </c>
      <c r="BB75" s="571"/>
      <c r="BC75" s="573">
        <v>0.64</v>
      </c>
      <c r="BD75" s="571">
        <f t="shared" si="4"/>
        <v>0</v>
      </c>
      <c r="BE75" s="571">
        <f t="shared" si="5"/>
        <v>0</v>
      </c>
      <c r="BF75" s="586">
        <f t="shared" si="0"/>
        <v>0</v>
      </c>
      <c r="BG75" s="586" t="e">
        <f t="shared" si="1"/>
        <v>#DIV/0!</v>
      </c>
      <c r="BH75" s="571" t="e">
        <f t="shared" si="2"/>
        <v>#DIV/0!</v>
      </c>
      <c r="BI75" s="571"/>
      <c r="BJ75" s="571"/>
      <c r="BK75" s="1535">
        <f t="shared" si="50"/>
        <v>254</v>
      </c>
      <c r="BL75" s="39">
        <f t="shared" si="47"/>
        <v>0</v>
      </c>
      <c r="BM75" s="39">
        <f t="shared" si="46"/>
        <v>0</v>
      </c>
      <c r="BN75" s="39">
        <f t="shared" si="46"/>
        <v>0</v>
      </c>
      <c r="BO75" s="39">
        <f t="shared" si="46"/>
        <v>0</v>
      </c>
      <c r="BP75" s="39">
        <f t="shared" si="46"/>
        <v>299.20187576156593</v>
      </c>
      <c r="BQ75" s="39">
        <f t="shared" si="46"/>
        <v>319.12091947187491</v>
      </c>
      <c r="BR75" s="39">
        <f t="shared" si="46"/>
        <v>337.98167119024021</v>
      </c>
      <c r="BS75" s="39">
        <f t="shared" si="46"/>
        <v>355.1250754387093</v>
      </c>
      <c r="BT75" s="39">
        <f t="shared" si="46"/>
        <v>370.8297883999121</v>
      </c>
      <c r="BU75" s="39">
        <f t="shared" si="46"/>
        <v>400.48098644420867</v>
      </c>
      <c r="BV75" s="39">
        <f t="shared" si="46"/>
        <v>427.36192759393458</v>
      </c>
      <c r="BW75" s="39">
        <f t="shared" si="46"/>
        <v>451.75591983690066</v>
      </c>
      <c r="BX75" s="39">
        <f t="shared" si="46"/>
        <v>474.68509951938745</v>
      </c>
      <c r="BY75" s="39">
        <f t="shared" si="46"/>
        <v>496.12796787463122</v>
      </c>
      <c r="BZ75" s="39">
        <f t="shared" si="46"/>
        <v>516.31140095865192</v>
      </c>
      <c r="CA75" s="39">
        <f t="shared" si="46"/>
        <v>535.41154089682061</v>
      </c>
      <c r="CB75" s="39">
        <f t="shared" si="46"/>
        <v>553.56815031088092</v>
      </c>
      <c r="CC75" s="39">
        <f t="shared" si="46"/>
        <v>570.89417848237713</v>
      </c>
      <c r="CD75" s="39">
        <f t="shared" si="46"/>
        <v>587.27921923045108</v>
      </c>
      <c r="CE75" s="39">
        <f t="shared" si="46"/>
        <v>618.55332022241964</v>
      </c>
      <c r="CF75" s="39">
        <f t="shared" si="46"/>
        <v>633.35100976497733</v>
      </c>
      <c r="CG75" s="39">
        <f t="shared" si="46"/>
        <v>647.47920168478856</v>
      </c>
      <c r="CH75" s="39">
        <f t="shared" si="46"/>
        <v>674.77654841144954</v>
      </c>
      <c r="CI75" s="39">
        <f t="shared" si="46"/>
        <v>700.52877066703456</v>
      </c>
      <c r="CJ75" s="39">
        <f t="shared" si="46"/>
        <v>0</v>
      </c>
      <c r="CK75" s="39">
        <f t="shared" si="46"/>
        <v>0</v>
      </c>
      <c r="CL75" s="39">
        <f t="shared" si="48"/>
        <v>700.52877066703456</v>
      </c>
      <c r="CM75" s="39" t="str">
        <f t="shared" si="49"/>
        <v/>
      </c>
    </row>
    <row r="76" spans="49:91" s="39" customFormat="1">
      <c r="AW76" s="571">
        <f t="shared" si="6"/>
        <v>0</v>
      </c>
      <c r="AX76" s="571">
        <v>3250</v>
      </c>
      <c r="AY76" s="571">
        <f t="shared" si="7"/>
        <v>0</v>
      </c>
      <c r="AZ76" s="571">
        <f t="shared" si="8"/>
        <v>6.5</v>
      </c>
      <c r="BA76" s="572">
        <f t="shared" si="22"/>
        <v>0</v>
      </c>
      <c r="BB76" s="571"/>
      <c r="BC76" s="573">
        <v>0.65</v>
      </c>
      <c r="BD76" s="571">
        <f t="shared" ref="BD76:BD139" si="51">$AU$15/BC76</f>
        <v>0</v>
      </c>
      <c r="BE76" s="571">
        <f t="shared" si="5"/>
        <v>0</v>
      </c>
      <c r="BF76" s="586">
        <f t="shared" ref="BF76:BF139" si="52">BC76*(BE76/1000)/$AO$12</f>
        <v>0</v>
      </c>
      <c r="BG76" s="586" t="e">
        <f t="shared" ref="BG76:BG139" si="53">POWER((1/(-1.8*LOG((6.9/BF76+POWER((($P$7/BE76)/3.71),1.11)),10))),2)</f>
        <v>#DIV/0!</v>
      </c>
      <c r="BH76" s="571" t="e">
        <f t="shared" ref="BH76:BH139" si="54">BG76*0.5*$P$6*16*$AU$15*$AU$15/(POWER(PI(),2)*POWER((BE76/1000),5))</f>
        <v>#DIV/0!</v>
      </c>
      <c r="BI76" s="571"/>
      <c r="BJ76" s="571"/>
      <c r="BK76" s="571">
        <f t="shared" si="50"/>
        <v>279</v>
      </c>
      <c r="BL76" s="39">
        <f t="shared" si="47"/>
        <v>0</v>
      </c>
      <c r="BM76" s="39">
        <f t="shared" si="46"/>
        <v>0</v>
      </c>
      <c r="BN76" s="39">
        <f t="shared" si="46"/>
        <v>0</v>
      </c>
      <c r="BO76" s="39">
        <f t="shared" si="46"/>
        <v>0</v>
      </c>
      <c r="BP76" s="39">
        <f t="shared" si="46"/>
        <v>0</v>
      </c>
      <c r="BQ76" s="39">
        <f t="shared" si="46"/>
        <v>323.52226289725684</v>
      </c>
      <c r="BR76" s="39">
        <f t="shared" si="46"/>
        <v>345.84744119878121</v>
      </c>
      <c r="BS76" s="39">
        <f t="shared" si="46"/>
        <v>364.6337120997261</v>
      </c>
      <c r="BT76" s="39">
        <f t="shared" si="46"/>
        <v>384.34533308589153</v>
      </c>
      <c r="BU76" s="39">
        <f t="shared" si="46"/>
        <v>414.47048149974086</v>
      </c>
      <c r="BV76" s="39">
        <f t="shared" si="46"/>
        <v>443.25943881766335</v>
      </c>
      <c r="BW76" s="39">
        <f t="shared" si="46"/>
        <v>469.65906602033164</v>
      </c>
      <c r="BX76" s="39">
        <f t="shared" si="46"/>
        <v>494.41905213508193</v>
      </c>
      <c r="BY76" s="39">
        <f t="shared" si="46"/>
        <v>517.53224166473365</v>
      </c>
      <c r="BZ76" s="39">
        <f t="shared" si="46"/>
        <v>538.99131210416658</v>
      </c>
      <c r="CA76" s="39">
        <f t="shared" si="46"/>
        <v>559.53589718962837</v>
      </c>
      <c r="CB76" s="39">
        <f t="shared" si="46"/>
        <v>579.04312864226483</v>
      </c>
      <c r="CC76" s="39">
        <f t="shared" si="46"/>
        <v>597.63940051498321</v>
      </c>
      <c r="CD76" s="39">
        <f t="shared" si="46"/>
        <v>615.42812545285506</v>
      </c>
      <c r="CE76" s="39">
        <f t="shared" si="46"/>
        <v>648.7109142901902</v>
      </c>
      <c r="CF76" s="39">
        <f t="shared" si="46"/>
        <v>664.5466738176633</v>
      </c>
      <c r="CG76" s="39">
        <f t="shared" si="46"/>
        <v>679.84569527627059</v>
      </c>
      <c r="CH76" s="39">
        <f t="shared" si="46"/>
        <v>708.83232061443573</v>
      </c>
      <c r="CI76" s="39">
        <f t="shared" si="46"/>
        <v>736.33235803332968</v>
      </c>
      <c r="CJ76" s="39">
        <f t="shared" si="46"/>
        <v>0</v>
      </c>
      <c r="CK76" s="39">
        <f t="shared" si="46"/>
        <v>0</v>
      </c>
      <c r="CL76" s="39">
        <f t="shared" si="48"/>
        <v>736.33235803332968</v>
      </c>
      <c r="CM76" s="39" t="str">
        <f t="shared" si="49"/>
        <v/>
      </c>
    </row>
    <row r="77" spans="49:91" s="39" customFormat="1">
      <c r="AW77" s="571">
        <f t="shared" si="6"/>
        <v>0</v>
      </c>
      <c r="AX77" s="571">
        <v>3300</v>
      </c>
      <c r="AY77" s="571">
        <f t="shared" si="7"/>
        <v>0</v>
      </c>
      <c r="AZ77" s="571">
        <f t="shared" si="8"/>
        <v>6.6</v>
      </c>
      <c r="BA77" s="572">
        <f t="shared" ref="BA77:BA108" si="55">1.453*(AY77^0.6)/(AZ77^0.2)</f>
        <v>0</v>
      </c>
      <c r="BB77" s="571"/>
      <c r="BC77" s="573">
        <v>0.66</v>
      </c>
      <c r="BD77" s="571">
        <f t="shared" si="51"/>
        <v>0</v>
      </c>
      <c r="BE77" s="571">
        <f t="shared" ref="BE77:BE140" si="56">((BD77/PI())^0.5)*2*1000</f>
        <v>0</v>
      </c>
      <c r="BF77" s="586">
        <f t="shared" si="52"/>
        <v>0</v>
      </c>
      <c r="BG77" s="586" t="e">
        <f t="shared" si="53"/>
        <v>#DIV/0!</v>
      </c>
      <c r="BH77" s="571" t="e">
        <f t="shared" si="54"/>
        <v>#DIV/0!</v>
      </c>
      <c r="BI77" s="571"/>
      <c r="BJ77" s="571"/>
      <c r="BK77" s="1535">
        <f t="shared" si="50"/>
        <v>305</v>
      </c>
      <c r="BL77" s="39">
        <f t="shared" si="47"/>
        <v>0</v>
      </c>
      <c r="BM77" s="39">
        <f t="shared" si="46"/>
        <v>0</v>
      </c>
      <c r="BN77" s="39">
        <f t="shared" si="46"/>
        <v>0</v>
      </c>
      <c r="BO77" s="39">
        <f t="shared" si="46"/>
        <v>0</v>
      </c>
      <c r="BP77" s="39">
        <f t="shared" si="46"/>
        <v>0</v>
      </c>
      <c r="BQ77" s="39">
        <f t="shared" si="46"/>
        <v>329.20231746341216</v>
      </c>
      <c r="BR77" s="39">
        <f t="shared" si="46"/>
        <v>351.44965108381137</v>
      </c>
      <c r="BS77" s="39">
        <f t="shared" si="46"/>
        <v>371.54638579797313</v>
      </c>
      <c r="BT77" s="39">
        <f t="shared" si="46"/>
        <v>391.26146986198756</v>
      </c>
      <c r="BU77" s="39">
        <f t="shared" si="46"/>
        <v>425.94924075334035</v>
      </c>
      <c r="BV77" s="39">
        <f t="shared" si="46"/>
        <v>457.95388610125116</v>
      </c>
      <c r="BW77" s="39">
        <f t="shared" si="46"/>
        <v>486.45975907964851</v>
      </c>
      <c r="BX77" s="39">
        <f t="shared" si="46"/>
        <v>513.13412958383969</v>
      </c>
      <c r="BY77" s="39">
        <f t="shared" si="46"/>
        <v>537.98774521394535</v>
      </c>
      <c r="BZ77" s="39">
        <f t="shared" si="46"/>
        <v>561.02695428096354</v>
      </c>
      <c r="CA77" s="39">
        <f t="shared" si="46"/>
        <v>583.05544677960268</v>
      </c>
      <c r="CB77" s="39">
        <f t="shared" si="46"/>
        <v>603.94800189761509</v>
      </c>
      <c r="CC77" s="39">
        <f t="shared" si="46"/>
        <v>623.60229714777108</v>
      </c>
      <c r="CD77" s="39">
        <f t="shared" si="46"/>
        <v>642.86231760008218</v>
      </c>
      <c r="CE77" s="39">
        <f t="shared" si="46"/>
        <v>678.40444731779723</v>
      </c>
      <c r="CF77" s="39">
        <f t="shared" si="46"/>
        <v>695.29915990894131</v>
      </c>
      <c r="CG77" s="39">
        <f t="shared" si="46"/>
        <v>711.61230748287869</v>
      </c>
      <c r="CH77" s="39">
        <f t="shared" si="46"/>
        <v>742.49824601367845</v>
      </c>
      <c r="CI77" s="39">
        <f t="shared" si="46"/>
        <v>771.59802022266911</v>
      </c>
      <c r="CJ77" s="39">
        <f t="shared" si="46"/>
        <v>801.01569649550936</v>
      </c>
      <c r="CK77" s="39">
        <f t="shared" si="46"/>
        <v>0</v>
      </c>
      <c r="CL77" s="39">
        <f t="shared" si="48"/>
        <v>801.01569649550936</v>
      </c>
      <c r="CM77" s="39" t="str">
        <f t="shared" si="49"/>
        <v/>
      </c>
    </row>
    <row r="78" spans="49:91" s="39" customFormat="1">
      <c r="AW78" s="571">
        <f t="shared" ref="AW78:AW141" si="57">$P$25</f>
        <v>0</v>
      </c>
      <c r="AX78" s="571">
        <v>3350</v>
      </c>
      <c r="AY78" s="571">
        <f t="shared" ref="AY78:AY141" si="58">AW78/1000*AX78/1000</f>
        <v>0</v>
      </c>
      <c r="AZ78" s="571">
        <f t="shared" ref="AZ78:AZ141" si="59">((AW78/1000+AX78/1000)*2)</f>
        <v>6.7</v>
      </c>
      <c r="BA78" s="572">
        <f t="shared" si="55"/>
        <v>0</v>
      </c>
      <c r="BB78" s="571"/>
      <c r="BC78" s="573">
        <v>0.67</v>
      </c>
      <c r="BD78" s="571">
        <f t="shared" si="51"/>
        <v>0</v>
      </c>
      <c r="BE78" s="571">
        <f t="shared" si="56"/>
        <v>0</v>
      </c>
      <c r="BF78" s="586">
        <f t="shared" si="52"/>
        <v>0</v>
      </c>
      <c r="BG78" s="586" t="e">
        <f t="shared" si="53"/>
        <v>#DIV/0!</v>
      </c>
      <c r="BH78" s="571" t="e">
        <f t="shared" si="54"/>
        <v>#DIV/0!</v>
      </c>
      <c r="BI78" s="571"/>
      <c r="BJ78" s="571"/>
      <c r="BK78" s="571">
        <f t="shared" si="50"/>
        <v>356</v>
      </c>
      <c r="BL78" s="39">
        <f t="shared" si="47"/>
        <v>0</v>
      </c>
      <c r="BM78" s="39">
        <f t="shared" si="46"/>
        <v>0</v>
      </c>
      <c r="BN78" s="39">
        <f t="shared" si="46"/>
        <v>0</v>
      </c>
      <c r="BO78" s="39">
        <f t="shared" si="46"/>
        <v>0</v>
      </c>
      <c r="BP78" s="39">
        <f t="shared" si="46"/>
        <v>0</v>
      </c>
      <c r="BQ78" s="39">
        <f t="shared" si="46"/>
        <v>0</v>
      </c>
      <c r="BR78" s="39">
        <f t="shared" si="46"/>
        <v>0</v>
      </c>
      <c r="BS78" s="39">
        <f t="shared" si="46"/>
        <v>0</v>
      </c>
      <c r="BT78" s="39">
        <f t="shared" si="46"/>
        <v>0</v>
      </c>
      <c r="BU78" s="39">
        <f t="shared" si="46"/>
        <v>0</v>
      </c>
      <c r="BV78" s="39">
        <f t="shared" si="46"/>
        <v>0</v>
      </c>
      <c r="BW78" s="39">
        <f t="shared" si="46"/>
        <v>513.44433867036662</v>
      </c>
      <c r="BX78" s="39">
        <f t="shared" si="46"/>
        <v>544.01020642252251</v>
      </c>
      <c r="BY78" s="39">
        <f t="shared" si="46"/>
        <v>572.37600578673107</v>
      </c>
      <c r="BZ78" s="39">
        <f t="shared" si="46"/>
        <v>598.90632893940358</v>
      </c>
      <c r="CA78" s="39">
        <f t="shared" si="46"/>
        <v>623.87826787411984</v>
      </c>
      <c r="CB78" s="39">
        <f t="shared" si="46"/>
        <v>647.21997875251611</v>
      </c>
      <c r="CC78" s="39">
        <f t="shared" si="46"/>
        <v>669.69274193978356</v>
      </c>
      <c r="CD78" s="39">
        <f t="shared" si="46"/>
        <v>691.13273756315823</v>
      </c>
      <c r="CE78" s="39">
        <f t="shared" si="46"/>
        <v>731.11318931021844</v>
      </c>
      <c r="CF78" s="39">
        <f t="shared" si="46"/>
        <v>750.08039459922838</v>
      </c>
      <c r="CG78" s="39">
        <f t="shared" si="46"/>
        <v>768.3740218371172</v>
      </c>
      <c r="CH78" s="39">
        <f t="shared" si="46"/>
        <v>803.16929033586575</v>
      </c>
      <c r="CI78" s="39">
        <f t="shared" si="46"/>
        <v>835.68669435498805</v>
      </c>
      <c r="CJ78" s="39">
        <f t="shared" si="46"/>
        <v>868.13631835031867</v>
      </c>
      <c r="CK78" s="39">
        <f t="shared" si="46"/>
        <v>896.02779292617572</v>
      </c>
      <c r="CL78" s="39">
        <f t="shared" si="48"/>
        <v>896.02779292617572</v>
      </c>
      <c r="CM78" s="39" t="str">
        <f t="shared" si="49"/>
        <v/>
      </c>
    </row>
    <row r="79" spans="49:91" s="39" customFormat="1">
      <c r="AW79" s="571">
        <f t="shared" si="57"/>
        <v>0</v>
      </c>
      <c r="AX79" s="571">
        <v>3400</v>
      </c>
      <c r="AY79" s="571">
        <f t="shared" si="58"/>
        <v>0</v>
      </c>
      <c r="AZ79" s="571">
        <f t="shared" si="59"/>
        <v>6.8</v>
      </c>
      <c r="BA79" s="572">
        <f t="shared" si="55"/>
        <v>0</v>
      </c>
      <c r="BB79" s="571"/>
      <c r="BC79" s="573">
        <v>0.68</v>
      </c>
      <c r="BD79" s="571">
        <f t="shared" si="51"/>
        <v>0</v>
      </c>
      <c r="BE79" s="571">
        <f t="shared" si="56"/>
        <v>0</v>
      </c>
      <c r="BF79" s="586">
        <f t="shared" si="52"/>
        <v>0</v>
      </c>
      <c r="BG79" s="586" t="e">
        <f t="shared" si="53"/>
        <v>#DIV/0!</v>
      </c>
      <c r="BH79" s="571" t="e">
        <f t="shared" si="54"/>
        <v>#DIV/0!</v>
      </c>
      <c r="BI79" s="571"/>
      <c r="BJ79" s="571"/>
      <c r="BK79" s="1535">
        <f t="shared" si="50"/>
        <v>406</v>
      </c>
      <c r="BL79" s="39">
        <f t="shared" si="47"/>
        <v>0</v>
      </c>
      <c r="BM79" s="39">
        <f t="shared" si="46"/>
        <v>0</v>
      </c>
      <c r="BN79" s="39">
        <f t="shared" si="46"/>
        <v>0</v>
      </c>
      <c r="BO79" s="39">
        <f t="shared" si="46"/>
        <v>0</v>
      </c>
      <c r="BP79" s="39">
        <f t="shared" si="46"/>
        <v>0</v>
      </c>
      <c r="BQ79" s="39">
        <f t="shared" si="46"/>
        <v>0</v>
      </c>
      <c r="BR79" s="39">
        <f t="shared" si="46"/>
        <v>0</v>
      </c>
      <c r="BS79" s="39">
        <f t="shared" si="46"/>
        <v>0</v>
      </c>
      <c r="BT79" s="39">
        <f t="shared" si="46"/>
        <v>0</v>
      </c>
      <c r="BU79" s="39">
        <f t="shared" si="46"/>
        <v>0</v>
      </c>
      <c r="BV79" s="39">
        <f t="shared" si="46"/>
        <v>0</v>
      </c>
      <c r="BW79" s="39">
        <f t="shared" si="46"/>
        <v>533.19857446579567</v>
      </c>
      <c r="BX79" s="39">
        <f t="shared" si="46"/>
        <v>567.35662528017656</v>
      </c>
      <c r="BY79" s="39">
        <f t="shared" si="46"/>
        <v>599.33421320304592</v>
      </c>
      <c r="BZ79" s="39">
        <f t="shared" si="46"/>
        <v>629.13578056825975</v>
      </c>
      <c r="CA79" s="39">
        <f t="shared" si="46"/>
        <v>657.44247560996575</v>
      </c>
      <c r="CB79" s="39">
        <f t="shared" si="46"/>
        <v>683.17944197096131</v>
      </c>
      <c r="CC79" s="39">
        <f t="shared" si="46"/>
        <v>708.23069056699137</v>
      </c>
      <c r="CD79" s="39">
        <f t="shared" si="46"/>
        <v>732.08555284564795</v>
      </c>
      <c r="CE79" s="39">
        <f t="shared" si="46"/>
        <v>776.73160445211988</v>
      </c>
      <c r="CF79" s="39">
        <f t="shared" si="46"/>
        <v>797.47436962494646</v>
      </c>
      <c r="CG79" s="39">
        <f t="shared" ref="BM79:CK85" si="60">(1.453*(CG43^0.6))/((CG61^0.2))*1000</f>
        <v>817.71485909211674</v>
      </c>
      <c r="CH79" s="39">
        <f t="shared" si="60"/>
        <v>856.15401910849243</v>
      </c>
      <c r="CI79" s="39">
        <f t="shared" si="60"/>
        <v>892.01354937755377</v>
      </c>
      <c r="CJ79" s="39">
        <f t="shared" si="60"/>
        <v>927.74417734132714</v>
      </c>
      <c r="CK79" s="39">
        <f t="shared" si="60"/>
        <v>959.007849217483</v>
      </c>
      <c r="CL79" s="39">
        <f t="shared" si="48"/>
        <v>959.007849217483</v>
      </c>
      <c r="CM79" s="39" t="str">
        <f t="shared" si="49"/>
        <v/>
      </c>
    </row>
    <row r="80" spans="49:91" s="39" customFormat="1">
      <c r="AW80" s="571">
        <f t="shared" si="57"/>
        <v>0</v>
      </c>
      <c r="AX80" s="571">
        <v>3450</v>
      </c>
      <c r="AY80" s="571">
        <f t="shared" si="58"/>
        <v>0</v>
      </c>
      <c r="AZ80" s="571">
        <f t="shared" si="59"/>
        <v>6.9</v>
      </c>
      <c r="BA80" s="572">
        <f t="shared" si="55"/>
        <v>0</v>
      </c>
      <c r="BB80" s="571"/>
      <c r="BC80" s="573">
        <v>0.69</v>
      </c>
      <c r="BD80" s="571">
        <f t="shared" si="51"/>
        <v>0</v>
      </c>
      <c r="BE80" s="571">
        <f t="shared" si="56"/>
        <v>0</v>
      </c>
      <c r="BF80" s="586">
        <f t="shared" si="52"/>
        <v>0</v>
      </c>
      <c r="BG80" s="586" t="e">
        <f t="shared" si="53"/>
        <v>#DIV/0!</v>
      </c>
      <c r="BH80" s="571" t="e">
        <f t="shared" si="54"/>
        <v>#DIV/0!</v>
      </c>
      <c r="BI80" s="571"/>
      <c r="BJ80" s="571"/>
      <c r="BK80" s="571">
        <f t="shared" si="50"/>
        <v>457</v>
      </c>
      <c r="BL80" s="39">
        <f t="shared" si="47"/>
        <v>0</v>
      </c>
      <c r="BM80" s="39">
        <f t="shared" si="60"/>
        <v>0</v>
      </c>
      <c r="BN80" s="39">
        <f t="shared" si="60"/>
        <v>0</v>
      </c>
      <c r="BO80" s="39">
        <f t="shared" si="60"/>
        <v>0</v>
      </c>
      <c r="BP80" s="39">
        <f t="shared" si="60"/>
        <v>0</v>
      </c>
      <c r="BQ80" s="39">
        <f t="shared" si="60"/>
        <v>0</v>
      </c>
      <c r="BR80" s="39">
        <f t="shared" si="60"/>
        <v>0</v>
      </c>
      <c r="BS80" s="39">
        <f t="shared" si="60"/>
        <v>0</v>
      </c>
      <c r="BT80" s="39">
        <f t="shared" si="60"/>
        <v>0</v>
      </c>
      <c r="BU80" s="39">
        <f t="shared" si="60"/>
        <v>0</v>
      </c>
      <c r="BV80" s="39">
        <f t="shared" si="60"/>
        <v>0</v>
      </c>
      <c r="BW80" s="39">
        <f t="shared" si="60"/>
        <v>0</v>
      </c>
      <c r="BX80" s="39">
        <f t="shared" si="60"/>
        <v>586.37277343777771</v>
      </c>
      <c r="BY80" s="39">
        <f t="shared" si="60"/>
        <v>621.69240791043183</v>
      </c>
      <c r="BZ80" s="39">
        <f t="shared" si="60"/>
        <v>654.51597515456376</v>
      </c>
      <c r="CA80" s="39">
        <f t="shared" si="60"/>
        <v>686.00108777372236</v>
      </c>
      <c r="CB80" s="39">
        <f t="shared" si="60"/>
        <v>715.26334235954107</v>
      </c>
      <c r="CC80" s="39">
        <f t="shared" si="60"/>
        <v>742.61678232487088</v>
      </c>
      <c r="CD80" s="39">
        <f t="shared" si="60"/>
        <v>768.95165012039411</v>
      </c>
      <c r="CE80" s="39">
        <f t="shared" si="60"/>
        <v>818.12024854705737</v>
      </c>
      <c r="CF80" s="39">
        <f t="shared" si="60"/>
        <v>841.19971429409179</v>
      </c>
      <c r="CG80" s="39">
        <f t="shared" si="60"/>
        <v>863.40762242982464</v>
      </c>
      <c r="CH80" s="39">
        <f t="shared" si="60"/>
        <v>905.26499902970659</v>
      </c>
      <c r="CI80" s="39">
        <f t="shared" si="60"/>
        <v>944.73740077988464</v>
      </c>
      <c r="CJ80" s="39">
        <f t="shared" si="60"/>
        <v>983.30508346957163</v>
      </c>
      <c r="CK80" s="39">
        <f t="shared" si="60"/>
        <v>1017.4253216204526</v>
      </c>
      <c r="CL80" s="39">
        <f t="shared" si="48"/>
        <v>1017.4253216204526</v>
      </c>
      <c r="CM80" s="39" t="str">
        <f t="shared" si="49"/>
        <v/>
      </c>
    </row>
    <row r="81" spans="49:91" s="39" customFormat="1">
      <c r="AW81" s="571">
        <f t="shared" si="57"/>
        <v>0</v>
      </c>
      <c r="AX81" s="571">
        <v>3500</v>
      </c>
      <c r="AY81" s="571">
        <f t="shared" si="58"/>
        <v>0</v>
      </c>
      <c r="AZ81" s="571">
        <f t="shared" si="59"/>
        <v>7</v>
      </c>
      <c r="BA81" s="572">
        <f t="shared" si="55"/>
        <v>0</v>
      </c>
      <c r="BB81" s="571"/>
      <c r="BC81" s="573">
        <v>0.7</v>
      </c>
      <c r="BD81" s="571">
        <f t="shared" si="51"/>
        <v>0</v>
      </c>
      <c r="BE81" s="571">
        <f t="shared" si="56"/>
        <v>0</v>
      </c>
      <c r="BF81" s="586">
        <f t="shared" si="52"/>
        <v>0</v>
      </c>
      <c r="BG81" s="586" t="e">
        <f t="shared" si="53"/>
        <v>#DIV/0!</v>
      </c>
      <c r="BH81" s="571" t="e">
        <f t="shared" si="54"/>
        <v>#DIV/0!</v>
      </c>
      <c r="BI81" s="571"/>
      <c r="BJ81" s="571"/>
      <c r="BK81" s="1535">
        <f t="shared" si="50"/>
        <v>508</v>
      </c>
      <c r="BL81" s="39">
        <f t="shared" si="47"/>
        <v>0</v>
      </c>
      <c r="BM81" s="39">
        <f t="shared" si="60"/>
        <v>0</v>
      </c>
      <c r="BN81" s="39">
        <f t="shared" si="60"/>
        <v>0</v>
      </c>
      <c r="BO81" s="39">
        <f t="shared" si="60"/>
        <v>0</v>
      </c>
      <c r="BP81" s="39">
        <f t="shared" si="60"/>
        <v>0</v>
      </c>
      <c r="BQ81" s="39">
        <f t="shared" si="60"/>
        <v>0</v>
      </c>
      <c r="BR81" s="39">
        <f t="shared" si="60"/>
        <v>0</v>
      </c>
      <c r="BS81" s="39">
        <f t="shared" si="60"/>
        <v>0</v>
      </c>
      <c r="BT81" s="39">
        <f t="shared" si="60"/>
        <v>0</v>
      </c>
      <c r="BU81" s="39">
        <f t="shared" si="60"/>
        <v>0</v>
      </c>
      <c r="BV81" s="39">
        <f t="shared" si="60"/>
        <v>0</v>
      </c>
      <c r="BW81" s="39">
        <f t="shared" si="60"/>
        <v>0</v>
      </c>
      <c r="BX81" s="39">
        <f t="shared" si="60"/>
        <v>0</v>
      </c>
      <c r="BY81" s="39">
        <f t="shared" si="60"/>
        <v>639.19684566015962</v>
      </c>
      <c r="BZ81" s="39">
        <f t="shared" si="60"/>
        <v>675.51997666746104</v>
      </c>
      <c r="CA81" s="39">
        <f t="shared" si="60"/>
        <v>709.83519761388129</v>
      </c>
      <c r="CB81" s="39">
        <f t="shared" si="60"/>
        <v>742.05060252313058</v>
      </c>
      <c r="CC81" s="39">
        <f t="shared" si="60"/>
        <v>772.09459219398309</v>
      </c>
      <c r="CD81" s="39">
        <f t="shared" si="60"/>
        <v>800.96197288841734</v>
      </c>
      <c r="CE81" s="39">
        <f t="shared" si="60"/>
        <v>854.72385518786905</v>
      </c>
      <c r="CF81" s="39">
        <f t="shared" si="60"/>
        <v>879.90502434817552</v>
      </c>
      <c r="CG81" s="39">
        <f t="shared" si="60"/>
        <v>904.10568053459815</v>
      </c>
      <c r="CH81" s="39">
        <f t="shared" si="60"/>
        <v>949.64692925561667</v>
      </c>
      <c r="CI81" s="39">
        <f t="shared" si="60"/>
        <v>992.51563857951794</v>
      </c>
      <c r="CJ81" s="39">
        <f t="shared" si="60"/>
        <v>1034.0924736909737</v>
      </c>
      <c r="CK81" s="39">
        <f t="shared" si="60"/>
        <v>1072.2173283615014</v>
      </c>
      <c r="CL81" s="39">
        <f t="shared" si="48"/>
        <v>1072.2173283615014</v>
      </c>
      <c r="CM81" s="39" t="str">
        <f t="shared" si="49"/>
        <v/>
      </c>
    </row>
    <row r="82" spans="49:91" s="39" customFormat="1">
      <c r="AW82" s="571">
        <f t="shared" si="57"/>
        <v>0</v>
      </c>
      <c r="AX82" s="571">
        <v>3550</v>
      </c>
      <c r="AY82" s="571">
        <f t="shared" si="58"/>
        <v>0</v>
      </c>
      <c r="AZ82" s="571">
        <f t="shared" si="59"/>
        <v>7.1</v>
      </c>
      <c r="BA82" s="572">
        <f t="shared" si="55"/>
        <v>0</v>
      </c>
      <c r="BB82" s="571"/>
      <c r="BC82" s="573">
        <v>0.71</v>
      </c>
      <c r="BD82" s="571">
        <f t="shared" si="51"/>
        <v>0</v>
      </c>
      <c r="BE82" s="571">
        <f t="shared" si="56"/>
        <v>0</v>
      </c>
      <c r="BF82" s="586">
        <f t="shared" si="52"/>
        <v>0</v>
      </c>
      <c r="BG82" s="586" t="e">
        <f t="shared" si="53"/>
        <v>#DIV/0!</v>
      </c>
      <c r="BH82" s="571" t="e">
        <f t="shared" si="54"/>
        <v>#DIV/0!</v>
      </c>
      <c r="BI82" s="571"/>
      <c r="BJ82" s="571"/>
      <c r="BK82" s="571">
        <f t="shared" si="50"/>
        <v>550</v>
      </c>
      <c r="BL82" s="39">
        <f t="shared" si="47"/>
        <v>0</v>
      </c>
      <c r="BM82" s="39">
        <f t="shared" si="60"/>
        <v>0</v>
      </c>
      <c r="BN82" s="39">
        <f t="shared" si="60"/>
        <v>0</v>
      </c>
      <c r="BO82" s="39">
        <f t="shared" si="60"/>
        <v>0</v>
      </c>
      <c r="BP82" s="39">
        <f t="shared" si="60"/>
        <v>0</v>
      </c>
      <c r="BQ82" s="39">
        <f t="shared" si="60"/>
        <v>0</v>
      </c>
      <c r="BR82" s="39">
        <f t="shared" si="60"/>
        <v>0</v>
      </c>
      <c r="BS82" s="39">
        <f t="shared" si="60"/>
        <v>0</v>
      </c>
      <c r="BT82" s="39">
        <f t="shared" si="60"/>
        <v>0</v>
      </c>
      <c r="BU82" s="39">
        <f t="shared" si="60"/>
        <v>0</v>
      </c>
      <c r="BV82" s="39">
        <f t="shared" si="60"/>
        <v>0</v>
      </c>
      <c r="BW82" s="39">
        <f t="shared" si="60"/>
        <v>0</v>
      </c>
      <c r="BX82" s="39">
        <f t="shared" si="60"/>
        <v>0</v>
      </c>
      <c r="BY82" s="39">
        <f t="shared" si="60"/>
        <v>0</v>
      </c>
      <c r="BZ82" s="39">
        <f t="shared" si="60"/>
        <v>687.32763045484194</v>
      </c>
      <c r="CA82" s="39">
        <f t="shared" si="60"/>
        <v>724.50811391887305</v>
      </c>
      <c r="CB82" s="39">
        <f t="shared" si="60"/>
        <v>758.89863041532874</v>
      </c>
      <c r="CC82" s="39">
        <f t="shared" si="60"/>
        <v>790.91654497694458</v>
      </c>
      <c r="CD82" s="39">
        <f t="shared" si="60"/>
        <v>822.02357113039011</v>
      </c>
      <c r="CE82" s="39">
        <f t="shared" si="60"/>
        <v>879.81156909066863</v>
      </c>
      <c r="CF82" s="39">
        <f t="shared" si="60"/>
        <v>907.15122353373556</v>
      </c>
      <c r="CG82" s="39">
        <f t="shared" si="60"/>
        <v>933.06461621743631</v>
      </c>
      <c r="CH82" s="39">
        <f t="shared" si="60"/>
        <v>981.45992023273402</v>
      </c>
      <c r="CI82" s="39">
        <f t="shared" si="60"/>
        <v>1027.2334843155982</v>
      </c>
      <c r="CJ82" s="39">
        <f t="shared" si="60"/>
        <v>1071.3007137698241</v>
      </c>
      <c r="CK82" s="39">
        <f t="shared" si="60"/>
        <v>1111.9107606139019</v>
      </c>
      <c r="CL82" s="39">
        <f t="shared" si="48"/>
        <v>1111.9107606139019</v>
      </c>
      <c r="CM82" s="39" t="str">
        <f t="shared" si="49"/>
        <v/>
      </c>
    </row>
    <row r="83" spans="49:91" s="39" customFormat="1">
      <c r="AW83" s="571">
        <f t="shared" si="57"/>
        <v>0</v>
      </c>
      <c r="AX83" s="571">
        <v>3600</v>
      </c>
      <c r="AY83" s="571">
        <f t="shared" si="58"/>
        <v>0</v>
      </c>
      <c r="AZ83" s="571">
        <f t="shared" si="59"/>
        <v>7.2</v>
      </c>
      <c r="BA83" s="572">
        <f t="shared" si="55"/>
        <v>0</v>
      </c>
      <c r="BB83" s="571"/>
      <c r="BC83" s="573">
        <v>0.72</v>
      </c>
      <c r="BD83" s="571">
        <f t="shared" si="51"/>
        <v>0</v>
      </c>
      <c r="BE83" s="571">
        <f t="shared" si="56"/>
        <v>0</v>
      </c>
      <c r="BF83" s="586">
        <f t="shared" si="52"/>
        <v>0</v>
      </c>
      <c r="BG83" s="586" t="e">
        <f t="shared" si="53"/>
        <v>#DIV/0!</v>
      </c>
      <c r="BH83" s="571" t="e">
        <f t="shared" si="54"/>
        <v>#DIV/0!</v>
      </c>
      <c r="BI83" s="571"/>
      <c r="BJ83" s="571"/>
      <c r="BK83" s="1535">
        <f t="shared" si="50"/>
        <v>610</v>
      </c>
      <c r="BL83" s="39">
        <f t="shared" si="47"/>
        <v>0</v>
      </c>
      <c r="BM83" s="39">
        <f t="shared" si="60"/>
        <v>0</v>
      </c>
      <c r="BN83" s="39">
        <f t="shared" si="60"/>
        <v>0</v>
      </c>
      <c r="BO83" s="39">
        <f t="shared" si="60"/>
        <v>0</v>
      </c>
      <c r="BP83" s="39">
        <f t="shared" si="60"/>
        <v>0</v>
      </c>
      <c r="BQ83" s="39">
        <f t="shared" si="60"/>
        <v>0</v>
      </c>
      <c r="BR83" s="39">
        <f t="shared" si="60"/>
        <v>0</v>
      </c>
      <c r="BS83" s="39">
        <f t="shared" si="60"/>
        <v>0</v>
      </c>
      <c r="BT83" s="39">
        <f t="shared" si="60"/>
        <v>0</v>
      </c>
      <c r="BU83" s="39">
        <f t="shared" si="60"/>
        <v>0</v>
      </c>
      <c r="BV83" s="39">
        <f t="shared" si="60"/>
        <v>0</v>
      </c>
      <c r="BW83" s="39">
        <f t="shared" si="60"/>
        <v>0</v>
      </c>
      <c r="BX83" s="39">
        <f t="shared" si="60"/>
        <v>0</v>
      </c>
      <c r="BY83" s="39">
        <f t="shared" si="60"/>
        <v>0</v>
      </c>
      <c r="BZ83" s="39">
        <f t="shared" si="60"/>
        <v>0</v>
      </c>
      <c r="CA83" s="39">
        <f t="shared" si="60"/>
        <v>0</v>
      </c>
      <c r="CB83" s="39">
        <f t="shared" si="60"/>
        <v>787.15606306637301</v>
      </c>
      <c r="CC83" s="39">
        <f t="shared" si="60"/>
        <v>817.75090127163276</v>
      </c>
      <c r="CD83" s="39">
        <f t="shared" si="60"/>
        <v>853.55798513454829</v>
      </c>
      <c r="CE83" s="39">
        <f t="shared" si="60"/>
        <v>908.33600387871422</v>
      </c>
      <c r="CF83" s="39">
        <f t="shared" si="60"/>
        <v>939.94150324531677</v>
      </c>
      <c r="CG83" s="39">
        <f t="shared" si="60"/>
        <v>968.40310518134754</v>
      </c>
      <c r="CH83" s="39">
        <f t="shared" si="60"/>
        <v>1023.6928249336232</v>
      </c>
      <c r="CI83" s="39">
        <f t="shared" si="60"/>
        <v>1076.2760068581008</v>
      </c>
      <c r="CJ83" s="39">
        <f t="shared" si="60"/>
        <v>1127.6964803727951</v>
      </c>
      <c r="CK83" s="39">
        <f t="shared" si="60"/>
        <v>1169.8532938932922</v>
      </c>
      <c r="CL83" s="39">
        <f t="shared" si="48"/>
        <v>1169.8532938932922</v>
      </c>
      <c r="CM83" s="39" t="str">
        <f t="shared" si="49"/>
        <v/>
      </c>
    </row>
    <row r="84" spans="49:91" s="39" customFormat="1">
      <c r="AW84" s="571">
        <f t="shared" si="57"/>
        <v>0</v>
      </c>
      <c r="AX84" s="571">
        <v>3650</v>
      </c>
      <c r="AY84" s="571">
        <f t="shared" si="58"/>
        <v>0</v>
      </c>
      <c r="AZ84" s="571">
        <f t="shared" si="59"/>
        <v>7.3</v>
      </c>
      <c r="BA84" s="572">
        <f t="shared" si="55"/>
        <v>0</v>
      </c>
      <c r="BB84" s="571"/>
      <c r="BC84" s="573">
        <v>0.73</v>
      </c>
      <c r="BD84" s="571">
        <f t="shared" si="51"/>
        <v>0</v>
      </c>
      <c r="BE84" s="571">
        <f t="shared" si="56"/>
        <v>0</v>
      </c>
      <c r="BF84" s="586">
        <f t="shared" si="52"/>
        <v>0</v>
      </c>
      <c r="BG84" s="586" t="e">
        <f t="shared" si="53"/>
        <v>#DIV/0!</v>
      </c>
      <c r="BH84" s="571" t="e">
        <f t="shared" si="54"/>
        <v>#DIV/0!</v>
      </c>
      <c r="BI84" s="571"/>
      <c r="BJ84" s="571"/>
      <c r="BK84" s="571">
        <f t="shared" si="50"/>
        <v>700</v>
      </c>
      <c r="BL84" s="39">
        <f t="shared" si="47"/>
        <v>0</v>
      </c>
      <c r="BM84" s="39">
        <f t="shared" si="60"/>
        <v>0</v>
      </c>
      <c r="BN84" s="39">
        <f t="shared" si="60"/>
        <v>0</v>
      </c>
      <c r="BO84" s="39">
        <f t="shared" si="60"/>
        <v>0</v>
      </c>
      <c r="BP84" s="39">
        <f t="shared" si="60"/>
        <v>0</v>
      </c>
      <c r="BQ84" s="39">
        <f t="shared" si="60"/>
        <v>0</v>
      </c>
      <c r="BR84" s="39">
        <f t="shared" si="60"/>
        <v>0</v>
      </c>
      <c r="BS84" s="39">
        <f t="shared" si="60"/>
        <v>0</v>
      </c>
      <c r="BT84" s="39">
        <f t="shared" si="60"/>
        <v>0</v>
      </c>
      <c r="BU84" s="39">
        <f t="shared" si="60"/>
        <v>0</v>
      </c>
      <c r="BV84" s="39">
        <f t="shared" si="60"/>
        <v>0</v>
      </c>
      <c r="BW84" s="39">
        <f t="shared" si="60"/>
        <v>0</v>
      </c>
      <c r="BX84" s="39">
        <f t="shared" si="60"/>
        <v>0</v>
      </c>
      <c r="BY84" s="39">
        <f t="shared" si="60"/>
        <v>0</v>
      </c>
      <c r="BZ84" s="39">
        <f t="shared" si="60"/>
        <v>0</v>
      </c>
      <c r="CA84" s="39">
        <f t="shared" si="60"/>
        <v>0</v>
      </c>
      <c r="CB84" s="39">
        <f t="shared" si="60"/>
        <v>803.6037644561917</v>
      </c>
      <c r="CC84" s="39">
        <f t="shared" si="60"/>
        <v>845.16643288945977</v>
      </c>
      <c r="CD84" s="39">
        <f t="shared" si="60"/>
        <v>884.25237581026875</v>
      </c>
      <c r="CE84" s="39">
        <f t="shared" si="60"/>
        <v>955.86037845425881</v>
      </c>
      <c r="CF84" s="39">
        <f t="shared" si="60"/>
        <v>989.32260613602716</v>
      </c>
      <c r="CG84" s="39">
        <f t="shared" si="60"/>
        <v>1021.3216856169876</v>
      </c>
      <c r="CH84" s="39">
        <f t="shared" si="60"/>
        <v>1089.7962370857701</v>
      </c>
      <c r="CI84" s="39">
        <f t="shared" si="60"/>
        <v>1137.0679525804471</v>
      </c>
      <c r="CJ84" s="39">
        <f t="shared" si="60"/>
        <v>1189.3826871111942</v>
      </c>
      <c r="CK84" s="39">
        <f t="shared" si="60"/>
        <v>1237.7412854049524</v>
      </c>
      <c r="CL84" s="39">
        <f t="shared" si="48"/>
        <v>1237.7412854049524</v>
      </c>
      <c r="CM84" s="39" t="str">
        <f t="shared" si="49"/>
        <v/>
      </c>
    </row>
    <row r="85" spans="49:91" s="39" customFormat="1">
      <c r="AW85" s="571">
        <f t="shared" si="57"/>
        <v>0</v>
      </c>
      <c r="AX85" s="571">
        <v>3700</v>
      </c>
      <c r="AY85" s="571">
        <f t="shared" si="58"/>
        <v>0</v>
      </c>
      <c r="AZ85" s="571">
        <f t="shared" si="59"/>
        <v>7.4</v>
      </c>
      <c r="BA85" s="572">
        <f t="shared" si="55"/>
        <v>0</v>
      </c>
      <c r="BB85" s="571"/>
      <c r="BC85" s="573">
        <v>0.74</v>
      </c>
      <c r="BD85" s="571">
        <f t="shared" si="51"/>
        <v>0</v>
      </c>
      <c r="BE85" s="571">
        <f t="shared" si="56"/>
        <v>0</v>
      </c>
      <c r="BF85" s="586">
        <f t="shared" si="52"/>
        <v>0</v>
      </c>
      <c r="BG85" s="586" t="e">
        <f t="shared" si="53"/>
        <v>#DIV/0!</v>
      </c>
      <c r="BH85" s="571" t="e">
        <f t="shared" si="54"/>
        <v>#DIV/0!</v>
      </c>
      <c r="BI85" s="571"/>
      <c r="BJ85" s="571"/>
      <c r="BK85" s="1535">
        <f t="shared" si="50"/>
        <v>800</v>
      </c>
      <c r="BL85" s="39">
        <f t="shared" si="47"/>
        <v>0</v>
      </c>
      <c r="BM85" s="39">
        <f t="shared" si="60"/>
        <v>0</v>
      </c>
      <c r="BN85" s="39">
        <f t="shared" si="60"/>
        <v>0</v>
      </c>
      <c r="BO85" s="39">
        <f t="shared" si="60"/>
        <v>0</v>
      </c>
      <c r="BP85" s="39">
        <f t="shared" si="60"/>
        <v>0</v>
      </c>
      <c r="BQ85" s="39">
        <f t="shared" si="60"/>
        <v>0</v>
      </c>
      <c r="BR85" s="39">
        <f t="shared" si="60"/>
        <v>0</v>
      </c>
      <c r="BS85" s="39">
        <f t="shared" si="60"/>
        <v>0</v>
      </c>
      <c r="BT85" s="39">
        <f t="shared" si="60"/>
        <v>0</v>
      </c>
      <c r="BU85" s="39">
        <f t="shared" si="60"/>
        <v>0</v>
      </c>
      <c r="BV85" s="39">
        <f t="shared" si="60"/>
        <v>0</v>
      </c>
      <c r="BW85" s="39">
        <f t="shared" si="60"/>
        <v>0</v>
      </c>
      <c r="BX85" s="39">
        <f t="shared" si="60"/>
        <v>0</v>
      </c>
      <c r="BY85" s="39">
        <f t="shared" si="60"/>
        <v>0</v>
      </c>
      <c r="BZ85" s="39">
        <f t="shared" si="60"/>
        <v>0</v>
      </c>
      <c r="CA85" s="39">
        <f t="shared" si="60"/>
        <v>0</v>
      </c>
      <c r="CB85" s="39">
        <f t="shared" si="60"/>
        <v>0</v>
      </c>
      <c r="CC85" s="39">
        <f t="shared" si="60"/>
        <v>0</v>
      </c>
      <c r="CD85" s="39">
        <f t="shared" si="60"/>
        <v>901.33647962277973</v>
      </c>
      <c r="CE85" s="39">
        <f t="shared" si="60"/>
        <v>973.48688285147557</v>
      </c>
      <c r="CF85" s="39">
        <f t="shared" si="60"/>
        <v>1014.6988930884809</v>
      </c>
      <c r="CG85" s="39">
        <f t="shared" si="60"/>
        <v>1051.5811203324727</v>
      </c>
      <c r="CH85" s="39">
        <f t="shared" si="60"/>
        <v>1122.6742547043814</v>
      </c>
      <c r="CI85" s="39">
        <f t="shared" si="60"/>
        <v>952.77717220722991</v>
      </c>
      <c r="CJ85" s="39">
        <f t="shared" si="60"/>
        <v>1252.6153905721942</v>
      </c>
      <c r="CK85" s="39">
        <f t="shared" si="60"/>
        <v>1307.7642229150076</v>
      </c>
      <c r="CL85" s="39">
        <f t="shared" si="48"/>
        <v>1307.7642229150076</v>
      </c>
      <c r="CM85" s="39" t="str">
        <f t="shared" si="49"/>
        <v/>
      </c>
    </row>
    <row r="86" spans="49:91" s="39" customFormat="1">
      <c r="AW86" s="571">
        <f t="shared" si="57"/>
        <v>0</v>
      </c>
      <c r="AX86" s="571">
        <v>3750</v>
      </c>
      <c r="AY86" s="571">
        <f t="shared" si="58"/>
        <v>0</v>
      </c>
      <c r="AZ86" s="571">
        <f t="shared" si="59"/>
        <v>7.5</v>
      </c>
      <c r="BA86" s="572">
        <f t="shared" si="55"/>
        <v>0</v>
      </c>
      <c r="BB86" s="571"/>
      <c r="BC86" s="573">
        <v>0.75</v>
      </c>
      <c r="BD86" s="571">
        <f t="shared" si="51"/>
        <v>0</v>
      </c>
      <c r="BE86" s="571">
        <f t="shared" si="56"/>
        <v>0</v>
      </c>
      <c r="BF86" s="586">
        <f t="shared" si="52"/>
        <v>0</v>
      </c>
      <c r="BG86" s="586" t="e">
        <f t="shared" si="53"/>
        <v>#DIV/0!</v>
      </c>
      <c r="BH86" s="571" t="e">
        <f t="shared" si="54"/>
        <v>#DIV/0!</v>
      </c>
      <c r="BI86" s="571"/>
      <c r="BJ86" s="571"/>
      <c r="BK86" s="1537" t="s">
        <v>2015</v>
      </c>
    </row>
    <row r="87" spans="49:91" s="39" customFormat="1">
      <c r="AW87" s="571">
        <f t="shared" si="57"/>
        <v>0</v>
      </c>
      <c r="AX87" s="571">
        <v>3800</v>
      </c>
      <c r="AY87" s="571">
        <f t="shared" si="58"/>
        <v>0</v>
      </c>
      <c r="AZ87" s="571">
        <f t="shared" si="59"/>
        <v>7.6</v>
      </c>
      <c r="BA87" s="572">
        <f t="shared" si="55"/>
        <v>0</v>
      </c>
      <c r="BB87" s="571"/>
      <c r="BC87" s="573">
        <v>0.76</v>
      </c>
      <c r="BD87" s="571">
        <f t="shared" si="51"/>
        <v>0</v>
      </c>
      <c r="BE87" s="571">
        <f t="shared" si="56"/>
        <v>0</v>
      </c>
      <c r="BF87" s="586">
        <f t="shared" si="52"/>
        <v>0</v>
      </c>
      <c r="BG87" s="586" t="e">
        <f t="shared" si="53"/>
        <v>#DIV/0!</v>
      </c>
      <c r="BH87" s="571" t="e">
        <f t="shared" si="54"/>
        <v>#DIV/0!</v>
      </c>
      <c r="BI87" s="571"/>
      <c r="BJ87" s="571"/>
      <c r="BK87" s="1535">
        <f t="shared" ref="BK87:BK103" si="61">IF($P$29=BK15,BK15,0)</f>
        <v>0</v>
      </c>
      <c r="BL87" s="39">
        <f t="shared" ref="BL87:CK87" si="62">IF($BK87&gt;0,BL69,0)</f>
        <v>0</v>
      </c>
      <c r="BM87" s="39">
        <f t="shared" si="62"/>
        <v>0</v>
      </c>
      <c r="BN87" s="39">
        <f t="shared" si="62"/>
        <v>0</v>
      </c>
      <c r="BO87" s="39">
        <f t="shared" si="62"/>
        <v>0</v>
      </c>
      <c r="BP87" s="39">
        <f t="shared" si="62"/>
        <v>0</v>
      </c>
      <c r="BQ87" s="39">
        <f t="shared" si="62"/>
        <v>0</v>
      </c>
      <c r="BR87" s="39">
        <f t="shared" si="62"/>
        <v>0</v>
      </c>
      <c r="BS87" s="39">
        <f t="shared" si="62"/>
        <v>0</v>
      </c>
      <c r="BT87" s="39">
        <f t="shared" si="62"/>
        <v>0</v>
      </c>
      <c r="BU87" s="39">
        <f t="shared" si="62"/>
        <v>0</v>
      </c>
      <c r="BV87" s="39">
        <f t="shared" si="62"/>
        <v>0</v>
      </c>
      <c r="BW87" s="39">
        <f t="shared" si="62"/>
        <v>0</v>
      </c>
      <c r="BX87" s="39">
        <f t="shared" si="62"/>
        <v>0</v>
      </c>
      <c r="BY87" s="39">
        <f t="shared" si="62"/>
        <v>0</v>
      </c>
      <c r="BZ87" s="39">
        <f t="shared" si="62"/>
        <v>0</v>
      </c>
      <c r="CA87" s="39">
        <f t="shared" si="62"/>
        <v>0</v>
      </c>
      <c r="CB87" s="39">
        <f t="shared" si="62"/>
        <v>0</v>
      </c>
      <c r="CC87" s="39">
        <f t="shared" si="62"/>
        <v>0</v>
      </c>
      <c r="CD87" s="39">
        <f t="shared" si="62"/>
        <v>0</v>
      </c>
      <c r="CE87" s="39">
        <f t="shared" si="62"/>
        <v>0</v>
      </c>
      <c r="CF87" s="39">
        <f t="shared" si="62"/>
        <v>0</v>
      </c>
      <c r="CG87" s="39">
        <f t="shared" si="62"/>
        <v>0</v>
      </c>
      <c r="CH87" s="39">
        <f t="shared" si="62"/>
        <v>0</v>
      </c>
      <c r="CI87" s="39">
        <f t="shared" si="62"/>
        <v>0</v>
      </c>
      <c r="CJ87" s="39">
        <f t="shared" si="62"/>
        <v>0</v>
      </c>
      <c r="CK87" s="39">
        <f t="shared" si="62"/>
        <v>0</v>
      </c>
    </row>
    <row r="88" spans="49:91" s="39" customFormat="1">
      <c r="AW88" s="571">
        <f t="shared" si="57"/>
        <v>0</v>
      </c>
      <c r="AX88" s="571">
        <v>3850</v>
      </c>
      <c r="AY88" s="571">
        <f t="shared" si="58"/>
        <v>0</v>
      </c>
      <c r="AZ88" s="571">
        <f t="shared" si="59"/>
        <v>7.7</v>
      </c>
      <c r="BA88" s="572">
        <f t="shared" si="55"/>
        <v>0</v>
      </c>
      <c r="BB88" s="571"/>
      <c r="BC88" s="573">
        <v>0.77</v>
      </c>
      <c r="BD88" s="571">
        <f t="shared" si="51"/>
        <v>0</v>
      </c>
      <c r="BE88" s="571">
        <f t="shared" si="56"/>
        <v>0</v>
      </c>
      <c r="BF88" s="586">
        <f t="shared" si="52"/>
        <v>0</v>
      </c>
      <c r="BG88" s="586" t="e">
        <f t="shared" si="53"/>
        <v>#DIV/0!</v>
      </c>
      <c r="BH88" s="571" t="e">
        <f t="shared" si="54"/>
        <v>#DIV/0!</v>
      </c>
      <c r="BI88" s="571"/>
      <c r="BJ88" s="571"/>
      <c r="BK88" s="1535">
        <f t="shared" si="61"/>
        <v>0</v>
      </c>
      <c r="BL88" s="39">
        <f t="shared" ref="BL88:CK88" si="63">IF($BK88&gt;0,BL70,0)</f>
        <v>0</v>
      </c>
      <c r="BM88" s="39">
        <f t="shared" si="63"/>
        <v>0</v>
      </c>
      <c r="BN88" s="39">
        <f t="shared" si="63"/>
        <v>0</v>
      </c>
      <c r="BO88" s="39">
        <f t="shared" si="63"/>
        <v>0</v>
      </c>
      <c r="BP88" s="39">
        <f t="shared" si="63"/>
        <v>0</v>
      </c>
      <c r="BQ88" s="39">
        <f t="shared" si="63"/>
        <v>0</v>
      </c>
      <c r="BR88" s="39">
        <f t="shared" si="63"/>
        <v>0</v>
      </c>
      <c r="BS88" s="39">
        <f t="shared" si="63"/>
        <v>0</v>
      </c>
      <c r="BT88" s="39">
        <f t="shared" si="63"/>
        <v>0</v>
      </c>
      <c r="BU88" s="39">
        <f t="shared" si="63"/>
        <v>0</v>
      </c>
      <c r="BV88" s="39">
        <f t="shared" si="63"/>
        <v>0</v>
      </c>
      <c r="BW88" s="39">
        <f t="shared" si="63"/>
        <v>0</v>
      </c>
      <c r="BX88" s="39">
        <f t="shared" si="63"/>
        <v>0</v>
      </c>
      <c r="BY88" s="39">
        <f t="shared" si="63"/>
        <v>0</v>
      </c>
      <c r="BZ88" s="39">
        <f t="shared" si="63"/>
        <v>0</v>
      </c>
      <c r="CA88" s="39">
        <f t="shared" si="63"/>
        <v>0</v>
      </c>
      <c r="CB88" s="39">
        <f t="shared" si="63"/>
        <v>0</v>
      </c>
      <c r="CC88" s="39">
        <f t="shared" si="63"/>
        <v>0</v>
      </c>
      <c r="CD88" s="39">
        <f t="shared" si="63"/>
        <v>0</v>
      </c>
      <c r="CE88" s="39">
        <f t="shared" si="63"/>
        <v>0</v>
      </c>
      <c r="CF88" s="39">
        <f t="shared" si="63"/>
        <v>0</v>
      </c>
      <c r="CG88" s="39">
        <f t="shared" si="63"/>
        <v>0</v>
      </c>
      <c r="CH88" s="39">
        <f t="shared" si="63"/>
        <v>0</v>
      </c>
      <c r="CI88" s="39">
        <f t="shared" si="63"/>
        <v>0</v>
      </c>
      <c r="CJ88" s="39">
        <f t="shared" si="63"/>
        <v>0</v>
      </c>
      <c r="CK88" s="39">
        <f t="shared" si="63"/>
        <v>0</v>
      </c>
    </row>
    <row r="89" spans="49:91" s="39" customFormat="1">
      <c r="AW89" s="571">
        <f t="shared" si="57"/>
        <v>0</v>
      </c>
      <c r="AX89" s="571">
        <v>3900</v>
      </c>
      <c r="AY89" s="571">
        <f t="shared" si="58"/>
        <v>0</v>
      </c>
      <c r="AZ89" s="571">
        <f t="shared" si="59"/>
        <v>7.8</v>
      </c>
      <c r="BA89" s="572">
        <f t="shared" si="55"/>
        <v>0</v>
      </c>
      <c r="BB89" s="571"/>
      <c r="BC89" s="573">
        <v>0.78</v>
      </c>
      <c r="BD89" s="571">
        <f t="shared" si="51"/>
        <v>0</v>
      </c>
      <c r="BE89" s="571">
        <f t="shared" si="56"/>
        <v>0</v>
      </c>
      <c r="BF89" s="586">
        <f t="shared" si="52"/>
        <v>0</v>
      </c>
      <c r="BG89" s="586" t="e">
        <f t="shared" si="53"/>
        <v>#DIV/0!</v>
      </c>
      <c r="BH89" s="571" t="e">
        <f t="shared" si="54"/>
        <v>#DIV/0!</v>
      </c>
      <c r="BI89" s="571"/>
      <c r="BJ89" s="573"/>
      <c r="BK89" s="1535">
        <f t="shared" si="61"/>
        <v>0</v>
      </c>
      <c r="BL89" s="39">
        <f t="shared" ref="BL89:CK89" si="64">IF($BK89&gt;0,BL71,0)</f>
        <v>0</v>
      </c>
      <c r="BM89" s="39">
        <f t="shared" si="64"/>
        <v>0</v>
      </c>
      <c r="BN89" s="39">
        <f t="shared" si="64"/>
        <v>0</v>
      </c>
      <c r="BO89" s="39">
        <f t="shared" si="64"/>
        <v>0</v>
      </c>
      <c r="BP89" s="39">
        <f t="shared" si="64"/>
        <v>0</v>
      </c>
      <c r="BQ89" s="39">
        <f t="shared" si="64"/>
        <v>0</v>
      </c>
      <c r="BR89" s="39">
        <f t="shared" si="64"/>
        <v>0</v>
      </c>
      <c r="BS89" s="39">
        <f t="shared" si="64"/>
        <v>0</v>
      </c>
      <c r="BT89" s="39">
        <f t="shared" si="64"/>
        <v>0</v>
      </c>
      <c r="BU89" s="39">
        <f t="shared" si="64"/>
        <v>0</v>
      </c>
      <c r="BV89" s="39">
        <f t="shared" si="64"/>
        <v>0</v>
      </c>
      <c r="BW89" s="39">
        <f t="shared" si="64"/>
        <v>0</v>
      </c>
      <c r="BX89" s="39">
        <f t="shared" si="64"/>
        <v>0</v>
      </c>
      <c r="BY89" s="39">
        <f t="shared" si="64"/>
        <v>0</v>
      </c>
      <c r="BZ89" s="39">
        <f t="shared" si="64"/>
        <v>0</v>
      </c>
      <c r="CA89" s="39">
        <f t="shared" si="64"/>
        <v>0</v>
      </c>
      <c r="CB89" s="39">
        <f t="shared" si="64"/>
        <v>0</v>
      </c>
      <c r="CC89" s="39">
        <f t="shared" si="64"/>
        <v>0</v>
      </c>
      <c r="CD89" s="39">
        <f t="shared" si="64"/>
        <v>0</v>
      </c>
      <c r="CE89" s="39">
        <f t="shared" si="64"/>
        <v>0</v>
      </c>
      <c r="CF89" s="39">
        <f t="shared" si="64"/>
        <v>0</v>
      </c>
      <c r="CG89" s="39">
        <f t="shared" si="64"/>
        <v>0</v>
      </c>
      <c r="CH89" s="39">
        <f t="shared" si="64"/>
        <v>0</v>
      </c>
      <c r="CI89" s="39">
        <f t="shared" si="64"/>
        <v>0</v>
      </c>
      <c r="CJ89" s="39">
        <f t="shared" si="64"/>
        <v>0</v>
      </c>
      <c r="CK89" s="39">
        <f t="shared" si="64"/>
        <v>0</v>
      </c>
    </row>
    <row r="90" spans="49:91" s="39" customFormat="1">
      <c r="AW90" s="571">
        <f t="shared" si="57"/>
        <v>0</v>
      </c>
      <c r="AX90" s="571">
        <v>3950</v>
      </c>
      <c r="AY90" s="571">
        <f t="shared" si="58"/>
        <v>0</v>
      </c>
      <c r="AZ90" s="571">
        <f t="shared" si="59"/>
        <v>7.9</v>
      </c>
      <c r="BA90" s="572">
        <f t="shared" si="55"/>
        <v>0</v>
      </c>
      <c r="BB90" s="571"/>
      <c r="BC90" s="573">
        <v>0.79</v>
      </c>
      <c r="BD90" s="571">
        <f t="shared" si="51"/>
        <v>0</v>
      </c>
      <c r="BE90" s="571">
        <f t="shared" si="56"/>
        <v>0</v>
      </c>
      <c r="BF90" s="586">
        <f t="shared" si="52"/>
        <v>0</v>
      </c>
      <c r="BG90" s="586" t="e">
        <f t="shared" si="53"/>
        <v>#DIV/0!</v>
      </c>
      <c r="BH90" s="571" t="e">
        <f t="shared" si="54"/>
        <v>#DIV/0!</v>
      </c>
      <c r="BI90" s="571"/>
      <c r="BJ90" s="571"/>
      <c r="BK90" s="1535">
        <f t="shared" si="61"/>
        <v>0</v>
      </c>
      <c r="BL90" s="39">
        <f t="shared" ref="BL90:CK90" si="65">IF($BK90&gt;0,BL72,0)</f>
        <v>0</v>
      </c>
      <c r="BM90" s="39">
        <f t="shared" si="65"/>
        <v>0</v>
      </c>
      <c r="BN90" s="39">
        <f t="shared" si="65"/>
        <v>0</v>
      </c>
      <c r="BO90" s="39">
        <f t="shared" si="65"/>
        <v>0</v>
      </c>
      <c r="BP90" s="39">
        <f t="shared" si="65"/>
        <v>0</v>
      </c>
      <c r="BQ90" s="39">
        <f t="shared" si="65"/>
        <v>0</v>
      </c>
      <c r="BR90" s="39">
        <f t="shared" si="65"/>
        <v>0</v>
      </c>
      <c r="BS90" s="39">
        <f t="shared" si="65"/>
        <v>0</v>
      </c>
      <c r="BT90" s="39">
        <f t="shared" si="65"/>
        <v>0</v>
      </c>
      <c r="BU90" s="39">
        <f t="shared" si="65"/>
        <v>0</v>
      </c>
      <c r="BV90" s="39">
        <f t="shared" si="65"/>
        <v>0</v>
      </c>
      <c r="BW90" s="39">
        <f t="shared" si="65"/>
        <v>0</v>
      </c>
      <c r="BX90" s="39">
        <f t="shared" si="65"/>
        <v>0</v>
      </c>
      <c r="BY90" s="39">
        <f t="shared" si="65"/>
        <v>0</v>
      </c>
      <c r="BZ90" s="39">
        <f t="shared" si="65"/>
        <v>0</v>
      </c>
      <c r="CA90" s="39">
        <f t="shared" si="65"/>
        <v>0</v>
      </c>
      <c r="CB90" s="39">
        <f t="shared" si="65"/>
        <v>0</v>
      </c>
      <c r="CC90" s="39">
        <f t="shared" si="65"/>
        <v>0</v>
      </c>
      <c r="CD90" s="39">
        <f t="shared" si="65"/>
        <v>0</v>
      </c>
      <c r="CE90" s="39">
        <f t="shared" si="65"/>
        <v>0</v>
      </c>
      <c r="CF90" s="39">
        <f t="shared" si="65"/>
        <v>0</v>
      </c>
      <c r="CG90" s="39">
        <f t="shared" si="65"/>
        <v>0</v>
      </c>
      <c r="CH90" s="39">
        <f t="shared" si="65"/>
        <v>0</v>
      </c>
      <c r="CI90" s="39">
        <f t="shared" si="65"/>
        <v>0</v>
      </c>
      <c r="CJ90" s="39">
        <f t="shared" si="65"/>
        <v>0</v>
      </c>
      <c r="CK90" s="39">
        <f t="shared" si="65"/>
        <v>0</v>
      </c>
    </row>
    <row r="91" spans="49:91" s="39" customFormat="1">
      <c r="AW91" s="571">
        <f t="shared" si="57"/>
        <v>0</v>
      </c>
      <c r="AX91" s="571">
        <v>4000</v>
      </c>
      <c r="AY91" s="571">
        <f t="shared" si="58"/>
        <v>0</v>
      </c>
      <c r="AZ91" s="571">
        <f t="shared" si="59"/>
        <v>8</v>
      </c>
      <c r="BA91" s="572">
        <f t="shared" si="55"/>
        <v>0</v>
      </c>
      <c r="BB91" s="571"/>
      <c r="BC91" s="573">
        <v>0.8</v>
      </c>
      <c r="BD91" s="571">
        <f t="shared" si="51"/>
        <v>0</v>
      </c>
      <c r="BE91" s="571">
        <f t="shared" si="56"/>
        <v>0</v>
      </c>
      <c r="BF91" s="586">
        <f t="shared" si="52"/>
        <v>0</v>
      </c>
      <c r="BG91" s="586" t="e">
        <f t="shared" si="53"/>
        <v>#DIV/0!</v>
      </c>
      <c r="BH91" s="571" t="e">
        <f t="shared" si="54"/>
        <v>#DIV/0!</v>
      </c>
      <c r="BI91" s="571"/>
      <c r="BJ91" s="571"/>
      <c r="BK91" s="1535">
        <f t="shared" si="61"/>
        <v>0</v>
      </c>
      <c r="BL91" s="39">
        <f t="shared" ref="BL91:CK91" si="66">IF($BK91&gt;0,BL73,0)</f>
        <v>0</v>
      </c>
      <c r="BM91" s="39">
        <f t="shared" si="66"/>
        <v>0</v>
      </c>
      <c r="BN91" s="39">
        <f t="shared" si="66"/>
        <v>0</v>
      </c>
      <c r="BO91" s="39">
        <f t="shared" si="66"/>
        <v>0</v>
      </c>
      <c r="BP91" s="39">
        <f t="shared" si="66"/>
        <v>0</v>
      </c>
      <c r="BQ91" s="39">
        <f t="shared" si="66"/>
        <v>0</v>
      </c>
      <c r="BR91" s="39">
        <f t="shared" si="66"/>
        <v>0</v>
      </c>
      <c r="BS91" s="39">
        <f t="shared" si="66"/>
        <v>0</v>
      </c>
      <c r="BT91" s="39">
        <f t="shared" si="66"/>
        <v>0</v>
      </c>
      <c r="BU91" s="39">
        <f t="shared" si="66"/>
        <v>0</v>
      </c>
      <c r="BV91" s="39">
        <f t="shared" si="66"/>
        <v>0</v>
      </c>
      <c r="BW91" s="39">
        <f t="shared" si="66"/>
        <v>0</v>
      </c>
      <c r="BX91" s="39">
        <f t="shared" si="66"/>
        <v>0</v>
      </c>
      <c r="BY91" s="39">
        <f t="shared" si="66"/>
        <v>0</v>
      </c>
      <c r="BZ91" s="39">
        <f t="shared" si="66"/>
        <v>0</v>
      </c>
      <c r="CA91" s="39">
        <f t="shared" si="66"/>
        <v>0</v>
      </c>
      <c r="CB91" s="39">
        <f t="shared" si="66"/>
        <v>0</v>
      </c>
      <c r="CC91" s="39">
        <f t="shared" si="66"/>
        <v>0</v>
      </c>
      <c r="CD91" s="39">
        <f t="shared" si="66"/>
        <v>0</v>
      </c>
      <c r="CE91" s="39">
        <f t="shared" si="66"/>
        <v>0</v>
      </c>
      <c r="CF91" s="39">
        <f t="shared" si="66"/>
        <v>0</v>
      </c>
      <c r="CG91" s="39">
        <f t="shared" si="66"/>
        <v>0</v>
      </c>
      <c r="CH91" s="39">
        <f t="shared" si="66"/>
        <v>0</v>
      </c>
      <c r="CI91" s="39">
        <f t="shared" si="66"/>
        <v>0</v>
      </c>
      <c r="CJ91" s="39">
        <f t="shared" si="66"/>
        <v>0</v>
      </c>
      <c r="CK91" s="39">
        <f t="shared" si="66"/>
        <v>0</v>
      </c>
    </row>
    <row r="92" spans="49:91" s="39" customFormat="1">
      <c r="AW92" s="571">
        <f t="shared" si="57"/>
        <v>0</v>
      </c>
      <c r="AX92" s="571">
        <v>4050</v>
      </c>
      <c r="AY92" s="571">
        <f t="shared" si="58"/>
        <v>0</v>
      </c>
      <c r="AZ92" s="571">
        <f t="shared" si="59"/>
        <v>8.1</v>
      </c>
      <c r="BA92" s="572">
        <f t="shared" si="55"/>
        <v>0</v>
      </c>
      <c r="BB92" s="571"/>
      <c r="BC92" s="573">
        <v>0.81</v>
      </c>
      <c r="BD92" s="571">
        <f t="shared" si="51"/>
        <v>0</v>
      </c>
      <c r="BE92" s="571">
        <f t="shared" si="56"/>
        <v>0</v>
      </c>
      <c r="BF92" s="586">
        <f t="shared" si="52"/>
        <v>0</v>
      </c>
      <c r="BG92" s="586" t="e">
        <f t="shared" si="53"/>
        <v>#DIV/0!</v>
      </c>
      <c r="BH92" s="571" t="e">
        <f t="shared" si="54"/>
        <v>#DIV/0!</v>
      </c>
      <c r="BI92" s="571"/>
      <c r="BJ92" s="571"/>
      <c r="BK92" s="1535">
        <f t="shared" si="61"/>
        <v>0</v>
      </c>
      <c r="BL92" s="39">
        <f t="shared" ref="BL92:CK92" si="67">IF($BK92&gt;0,BL74,0)</f>
        <v>0</v>
      </c>
      <c r="BM92" s="39">
        <f t="shared" si="67"/>
        <v>0</v>
      </c>
      <c r="BN92" s="39">
        <f t="shared" si="67"/>
        <v>0</v>
      </c>
      <c r="BO92" s="39">
        <f t="shared" si="67"/>
        <v>0</v>
      </c>
      <c r="BP92" s="39">
        <f t="shared" si="67"/>
        <v>0</v>
      </c>
      <c r="BQ92" s="39">
        <f t="shared" si="67"/>
        <v>0</v>
      </c>
      <c r="BR92" s="39">
        <f t="shared" si="67"/>
        <v>0</v>
      </c>
      <c r="BS92" s="39">
        <f t="shared" si="67"/>
        <v>0</v>
      </c>
      <c r="BT92" s="39">
        <f t="shared" si="67"/>
        <v>0</v>
      </c>
      <c r="BU92" s="39">
        <f t="shared" si="67"/>
        <v>0</v>
      </c>
      <c r="BV92" s="39">
        <f t="shared" si="67"/>
        <v>0</v>
      </c>
      <c r="BW92" s="39">
        <f t="shared" si="67"/>
        <v>0</v>
      </c>
      <c r="BX92" s="39">
        <f t="shared" si="67"/>
        <v>0</v>
      </c>
      <c r="BY92" s="39">
        <f t="shared" si="67"/>
        <v>0</v>
      </c>
      <c r="BZ92" s="39">
        <f t="shared" si="67"/>
        <v>0</v>
      </c>
      <c r="CA92" s="39">
        <f t="shared" si="67"/>
        <v>0</v>
      </c>
      <c r="CB92" s="39">
        <f t="shared" si="67"/>
        <v>0</v>
      </c>
      <c r="CC92" s="39">
        <f t="shared" si="67"/>
        <v>0</v>
      </c>
      <c r="CD92" s="39">
        <f t="shared" si="67"/>
        <v>0</v>
      </c>
      <c r="CE92" s="39">
        <f t="shared" si="67"/>
        <v>0</v>
      </c>
      <c r="CF92" s="39">
        <f t="shared" si="67"/>
        <v>0</v>
      </c>
      <c r="CG92" s="39">
        <f t="shared" si="67"/>
        <v>0</v>
      </c>
      <c r="CH92" s="39">
        <f t="shared" si="67"/>
        <v>0</v>
      </c>
      <c r="CI92" s="39">
        <f t="shared" si="67"/>
        <v>0</v>
      </c>
      <c r="CJ92" s="39">
        <f t="shared" si="67"/>
        <v>0</v>
      </c>
      <c r="CK92" s="39">
        <f t="shared" si="67"/>
        <v>0</v>
      </c>
    </row>
    <row r="93" spans="49:91" s="39" customFormat="1">
      <c r="AW93" s="571">
        <f t="shared" si="57"/>
        <v>0</v>
      </c>
      <c r="AX93" s="571">
        <v>4100</v>
      </c>
      <c r="AY93" s="571">
        <f t="shared" si="58"/>
        <v>0</v>
      </c>
      <c r="AZ93" s="571">
        <f t="shared" si="59"/>
        <v>8.1999999999999993</v>
      </c>
      <c r="BA93" s="572">
        <f t="shared" si="55"/>
        <v>0</v>
      </c>
      <c r="BB93" s="571"/>
      <c r="BC93" s="573">
        <v>0.82</v>
      </c>
      <c r="BD93" s="571">
        <f t="shared" si="51"/>
        <v>0</v>
      </c>
      <c r="BE93" s="571">
        <f t="shared" si="56"/>
        <v>0</v>
      </c>
      <c r="BF93" s="586">
        <f t="shared" si="52"/>
        <v>0</v>
      </c>
      <c r="BG93" s="586" t="e">
        <f t="shared" si="53"/>
        <v>#DIV/0!</v>
      </c>
      <c r="BH93" s="571" t="e">
        <f t="shared" si="54"/>
        <v>#DIV/0!</v>
      </c>
      <c r="BI93" s="571"/>
      <c r="BJ93" s="571"/>
      <c r="BK93" s="1535">
        <f t="shared" si="61"/>
        <v>0</v>
      </c>
      <c r="BL93" s="39">
        <f t="shared" ref="BL93:CK93" si="68">IF($BK93&gt;0,BL75,0)</f>
        <v>0</v>
      </c>
      <c r="BM93" s="39">
        <f t="shared" si="68"/>
        <v>0</v>
      </c>
      <c r="BN93" s="39">
        <f t="shared" si="68"/>
        <v>0</v>
      </c>
      <c r="BO93" s="39">
        <f t="shared" si="68"/>
        <v>0</v>
      </c>
      <c r="BP93" s="39">
        <f t="shared" si="68"/>
        <v>0</v>
      </c>
      <c r="BQ93" s="39">
        <f t="shared" si="68"/>
        <v>0</v>
      </c>
      <c r="BR93" s="39">
        <f t="shared" si="68"/>
        <v>0</v>
      </c>
      <c r="BS93" s="39">
        <f t="shared" si="68"/>
        <v>0</v>
      </c>
      <c r="BT93" s="39">
        <f t="shared" si="68"/>
        <v>0</v>
      </c>
      <c r="BU93" s="39">
        <f t="shared" si="68"/>
        <v>0</v>
      </c>
      <c r="BV93" s="39">
        <f t="shared" si="68"/>
        <v>0</v>
      </c>
      <c r="BW93" s="39">
        <f t="shared" si="68"/>
        <v>0</v>
      </c>
      <c r="BX93" s="39">
        <f t="shared" si="68"/>
        <v>0</v>
      </c>
      <c r="BY93" s="39">
        <f t="shared" si="68"/>
        <v>0</v>
      </c>
      <c r="BZ93" s="39">
        <f t="shared" si="68"/>
        <v>0</v>
      </c>
      <c r="CA93" s="39">
        <f t="shared" si="68"/>
        <v>0</v>
      </c>
      <c r="CB93" s="39">
        <f t="shared" si="68"/>
        <v>0</v>
      </c>
      <c r="CC93" s="39">
        <f t="shared" si="68"/>
        <v>0</v>
      </c>
      <c r="CD93" s="39">
        <f t="shared" si="68"/>
        <v>0</v>
      </c>
      <c r="CE93" s="39">
        <f t="shared" si="68"/>
        <v>0</v>
      </c>
      <c r="CF93" s="39">
        <f t="shared" si="68"/>
        <v>0</v>
      </c>
      <c r="CG93" s="39">
        <f t="shared" si="68"/>
        <v>0</v>
      </c>
      <c r="CH93" s="39">
        <f t="shared" si="68"/>
        <v>0</v>
      </c>
      <c r="CI93" s="39">
        <f t="shared" si="68"/>
        <v>0</v>
      </c>
      <c r="CJ93" s="39">
        <f t="shared" si="68"/>
        <v>0</v>
      </c>
      <c r="CK93" s="39">
        <f t="shared" si="68"/>
        <v>0</v>
      </c>
    </row>
    <row r="94" spans="49:91" s="39" customFormat="1">
      <c r="AW94" s="571">
        <f t="shared" si="57"/>
        <v>0</v>
      </c>
      <c r="AX94" s="571">
        <v>4150</v>
      </c>
      <c r="AY94" s="571">
        <f t="shared" si="58"/>
        <v>0</v>
      </c>
      <c r="AZ94" s="571">
        <f t="shared" si="59"/>
        <v>8.3000000000000007</v>
      </c>
      <c r="BA94" s="572">
        <f t="shared" si="55"/>
        <v>0</v>
      </c>
      <c r="BB94" s="571"/>
      <c r="BC94" s="573">
        <v>0.83</v>
      </c>
      <c r="BD94" s="571">
        <f t="shared" si="51"/>
        <v>0</v>
      </c>
      <c r="BE94" s="571">
        <f t="shared" si="56"/>
        <v>0</v>
      </c>
      <c r="BF94" s="586">
        <f t="shared" si="52"/>
        <v>0</v>
      </c>
      <c r="BG94" s="586" t="e">
        <f t="shared" si="53"/>
        <v>#DIV/0!</v>
      </c>
      <c r="BH94" s="571" t="e">
        <f t="shared" si="54"/>
        <v>#DIV/0!</v>
      </c>
      <c r="BI94" s="571"/>
      <c r="BJ94" s="571"/>
      <c r="BK94" s="1535">
        <f t="shared" si="61"/>
        <v>0</v>
      </c>
      <c r="BL94" s="39">
        <f t="shared" ref="BL94:CK94" si="69">IF($BK94&gt;0,BL76,0)</f>
        <v>0</v>
      </c>
      <c r="BM94" s="39">
        <f t="shared" si="69"/>
        <v>0</v>
      </c>
      <c r="BN94" s="39">
        <f t="shared" si="69"/>
        <v>0</v>
      </c>
      <c r="BO94" s="39">
        <f t="shared" si="69"/>
        <v>0</v>
      </c>
      <c r="BP94" s="39">
        <f t="shared" si="69"/>
        <v>0</v>
      </c>
      <c r="BQ94" s="39">
        <f t="shared" si="69"/>
        <v>0</v>
      </c>
      <c r="BR94" s="39">
        <f t="shared" si="69"/>
        <v>0</v>
      </c>
      <c r="BS94" s="39">
        <f t="shared" si="69"/>
        <v>0</v>
      </c>
      <c r="BT94" s="39">
        <f t="shared" si="69"/>
        <v>0</v>
      </c>
      <c r="BU94" s="39">
        <f t="shared" si="69"/>
        <v>0</v>
      </c>
      <c r="BV94" s="39">
        <f t="shared" si="69"/>
        <v>0</v>
      </c>
      <c r="BW94" s="39">
        <f t="shared" si="69"/>
        <v>0</v>
      </c>
      <c r="BX94" s="39">
        <f t="shared" si="69"/>
        <v>0</v>
      </c>
      <c r="BY94" s="39">
        <f t="shared" si="69"/>
        <v>0</v>
      </c>
      <c r="BZ94" s="39">
        <f t="shared" si="69"/>
        <v>0</v>
      </c>
      <c r="CA94" s="39">
        <f t="shared" si="69"/>
        <v>0</v>
      </c>
      <c r="CB94" s="39">
        <f t="shared" si="69"/>
        <v>0</v>
      </c>
      <c r="CC94" s="39">
        <f t="shared" si="69"/>
        <v>0</v>
      </c>
      <c r="CD94" s="39">
        <f t="shared" si="69"/>
        <v>0</v>
      </c>
      <c r="CE94" s="39">
        <f t="shared" si="69"/>
        <v>0</v>
      </c>
      <c r="CF94" s="39">
        <f t="shared" si="69"/>
        <v>0</v>
      </c>
      <c r="CG94" s="39">
        <f t="shared" si="69"/>
        <v>0</v>
      </c>
      <c r="CH94" s="39">
        <f t="shared" si="69"/>
        <v>0</v>
      </c>
      <c r="CI94" s="39">
        <f t="shared" si="69"/>
        <v>0</v>
      </c>
      <c r="CJ94" s="39">
        <f t="shared" si="69"/>
        <v>0</v>
      </c>
      <c r="CK94" s="39">
        <f t="shared" si="69"/>
        <v>0</v>
      </c>
    </row>
    <row r="95" spans="49:91" s="39" customFormat="1">
      <c r="AW95" s="571">
        <f t="shared" si="57"/>
        <v>0</v>
      </c>
      <c r="AX95" s="571">
        <v>4200</v>
      </c>
      <c r="AY95" s="571">
        <f t="shared" si="58"/>
        <v>0</v>
      </c>
      <c r="AZ95" s="571">
        <f t="shared" si="59"/>
        <v>8.4</v>
      </c>
      <c r="BA95" s="572">
        <f t="shared" si="55"/>
        <v>0</v>
      </c>
      <c r="BB95" s="571"/>
      <c r="BC95" s="573">
        <v>0.84</v>
      </c>
      <c r="BD95" s="571">
        <f t="shared" si="51"/>
        <v>0</v>
      </c>
      <c r="BE95" s="571">
        <f t="shared" si="56"/>
        <v>0</v>
      </c>
      <c r="BF95" s="586">
        <f t="shared" si="52"/>
        <v>0</v>
      </c>
      <c r="BG95" s="586" t="e">
        <f t="shared" si="53"/>
        <v>#DIV/0!</v>
      </c>
      <c r="BH95" s="571" t="e">
        <f t="shared" si="54"/>
        <v>#DIV/0!</v>
      </c>
      <c r="BI95" s="571"/>
      <c r="BJ95" s="571"/>
      <c r="BK95" s="1535">
        <f t="shared" si="61"/>
        <v>0</v>
      </c>
      <c r="BL95" s="39">
        <f t="shared" ref="BL95:CK95" si="70">IF($BK95&gt;0,BL77,0)</f>
        <v>0</v>
      </c>
      <c r="BM95" s="39">
        <f t="shared" si="70"/>
        <v>0</v>
      </c>
      <c r="BN95" s="39">
        <f t="shared" si="70"/>
        <v>0</v>
      </c>
      <c r="BO95" s="39">
        <f t="shared" si="70"/>
        <v>0</v>
      </c>
      <c r="BP95" s="39">
        <f t="shared" si="70"/>
        <v>0</v>
      </c>
      <c r="BQ95" s="39">
        <f t="shared" si="70"/>
        <v>0</v>
      </c>
      <c r="BR95" s="39">
        <f t="shared" si="70"/>
        <v>0</v>
      </c>
      <c r="BS95" s="39">
        <f t="shared" si="70"/>
        <v>0</v>
      </c>
      <c r="BT95" s="39">
        <f t="shared" si="70"/>
        <v>0</v>
      </c>
      <c r="BU95" s="39">
        <f t="shared" si="70"/>
        <v>0</v>
      </c>
      <c r="BV95" s="39">
        <f t="shared" si="70"/>
        <v>0</v>
      </c>
      <c r="BW95" s="39">
        <f t="shared" si="70"/>
        <v>0</v>
      </c>
      <c r="BX95" s="39">
        <f t="shared" si="70"/>
        <v>0</v>
      </c>
      <c r="BY95" s="39">
        <f t="shared" si="70"/>
        <v>0</v>
      </c>
      <c r="BZ95" s="39">
        <f t="shared" si="70"/>
        <v>0</v>
      </c>
      <c r="CA95" s="39">
        <f t="shared" si="70"/>
        <v>0</v>
      </c>
      <c r="CB95" s="39">
        <f t="shared" si="70"/>
        <v>0</v>
      </c>
      <c r="CC95" s="39">
        <f t="shared" si="70"/>
        <v>0</v>
      </c>
      <c r="CD95" s="39">
        <f t="shared" si="70"/>
        <v>0</v>
      </c>
      <c r="CE95" s="39">
        <f t="shared" si="70"/>
        <v>0</v>
      </c>
      <c r="CF95" s="39">
        <f t="shared" si="70"/>
        <v>0</v>
      </c>
      <c r="CG95" s="39">
        <f t="shared" si="70"/>
        <v>0</v>
      </c>
      <c r="CH95" s="39">
        <f t="shared" si="70"/>
        <v>0</v>
      </c>
      <c r="CI95" s="39">
        <f t="shared" si="70"/>
        <v>0</v>
      </c>
      <c r="CJ95" s="39">
        <f t="shared" si="70"/>
        <v>0</v>
      </c>
      <c r="CK95" s="39">
        <f t="shared" si="70"/>
        <v>0</v>
      </c>
    </row>
    <row r="96" spans="49:91" s="39" customFormat="1">
      <c r="AW96" s="571">
        <f t="shared" si="57"/>
        <v>0</v>
      </c>
      <c r="AX96" s="571">
        <v>4250</v>
      </c>
      <c r="AY96" s="571">
        <f t="shared" si="58"/>
        <v>0</v>
      </c>
      <c r="AZ96" s="571">
        <f t="shared" si="59"/>
        <v>8.5</v>
      </c>
      <c r="BA96" s="572">
        <f t="shared" si="55"/>
        <v>0</v>
      </c>
      <c r="BB96" s="571"/>
      <c r="BC96" s="573">
        <v>0.85</v>
      </c>
      <c r="BD96" s="571">
        <f t="shared" si="51"/>
        <v>0</v>
      </c>
      <c r="BE96" s="571">
        <f t="shared" si="56"/>
        <v>0</v>
      </c>
      <c r="BF96" s="586">
        <f t="shared" si="52"/>
        <v>0</v>
      </c>
      <c r="BG96" s="586" t="e">
        <f t="shared" si="53"/>
        <v>#DIV/0!</v>
      </c>
      <c r="BH96" s="571" t="e">
        <f t="shared" si="54"/>
        <v>#DIV/0!</v>
      </c>
      <c r="BI96" s="571"/>
      <c r="BJ96" s="571"/>
      <c r="BK96" s="1535">
        <f t="shared" si="61"/>
        <v>0</v>
      </c>
      <c r="BL96" s="39">
        <f t="shared" ref="BL96:CK96" si="71">IF($BK96&gt;0,BL78,0)</f>
        <v>0</v>
      </c>
      <c r="BM96" s="39">
        <f t="shared" si="71"/>
        <v>0</v>
      </c>
      <c r="BN96" s="39">
        <f t="shared" si="71"/>
        <v>0</v>
      </c>
      <c r="BO96" s="39">
        <f t="shared" si="71"/>
        <v>0</v>
      </c>
      <c r="BP96" s="39">
        <f t="shared" si="71"/>
        <v>0</v>
      </c>
      <c r="BQ96" s="39">
        <f t="shared" si="71"/>
        <v>0</v>
      </c>
      <c r="BR96" s="39">
        <f t="shared" si="71"/>
        <v>0</v>
      </c>
      <c r="BS96" s="39">
        <f t="shared" si="71"/>
        <v>0</v>
      </c>
      <c r="BT96" s="39">
        <f t="shared" si="71"/>
        <v>0</v>
      </c>
      <c r="BU96" s="39">
        <f t="shared" si="71"/>
        <v>0</v>
      </c>
      <c r="BV96" s="39">
        <f t="shared" si="71"/>
        <v>0</v>
      </c>
      <c r="BW96" s="39">
        <f t="shared" si="71"/>
        <v>0</v>
      </c>
      <c r="BX96" s="39">
        <f t="shared" si="71"/>
        <v>0</v>
      </c>
      <c r="BY96" s="39">
        <f t="shared" si="71"/>
        <v>0</v>
      </c>
      <c r="BZ96" s="39">
        <f t="shared" si="71"/>
        <v>0</v>
      </c>
      <c r="CA96" s="39">
        <f t="shared" si="71"/>
        <v>0</v>
      </c>
      <c r="CB96" s="39">
        <f t="shared" si="71"/>
        <v>0</v>
      </c>
      <c r="CC96" s="39">
        <f t="shared" si="71"/>
        <v>0</v>
      </c>
      <c r="CD96" s="39">
        <f t="shared" si="71"/>
        <v>0</v>
      </c>
      <c r="CE96" s="39">
        <f t="shared" si="71"/>
        <v>0</v>
      </c>
      <c r="CF96" s="39">
        <f t="shared" si="71"/>
        <v>0</v>
      </c>
      <c r="CG96" s="39">
        <f t="shared" si="71"/>
        <v>0</v>
      </c>
      <c r="CH96" s="39">
        <f t="shared" si="71"/>
        <v>0</v>
      </c>
      <c r="CI96" s="39">
        <f t="shared" si="71"/>
        <v>0</v>
      </c>
      <c r="CJ96" s="39">
        <f t="shared" si="71"/>
        <v>0</v>
      </c>
      <c r="CK96" s="39">
        <f t="shared" si="71"/>
        <v>0</v>
      </c>
    </row>
    <row r="97" spans="49:89" s="39" customFormat="1">
      <c r="AW97" s="571">
        <f t="shared" si="57"/>
        <v>0</v>
      </c>
      <c r="AX97" s="571">
        <v>4300</v>
      </c>
      <c r="AY97" s="571">
        <f t="shared" si="58"/>
        <v>0</v>
      </c>
      <c r="AZ97" s="571">
        <f t="shared" si="59"/>
        <v>8.6</v>
      </c>
      <c r="BA97" s="572">
        <f t="shared" si="55"/>
        <v>0</v>
      </c>
      <c r="BB97" s="571"/>
      <c r="BC97" s="573">
        <v>0.86</v>
      </c>
      <c r="BD97" s="571">
        <f t="shared" si="51"/>
        <v>0</v>
      </c>
      <c r="BE97" s="571">
        <f t="shared" si="56"/>
        <v>0</v>
      </c>
      <c r="BF97" s="586">
        <f t="shared" si="52"/>
        <v>0</v>
      </c>
      <c r="BG97" s="586" t="e">
        <f t="shared" si="53"/>
        <v>#DIV/0!</v>
      </c>
      <c r="BH97" s="571" t="e">
        <f t="shared" si="54"/>
        <v>#DIV/0!</v>
      </c>
      <c r="BI97" s="571"/>
      <c r="BJ97" s="571"/>
      <c r="BK97" s="1535">
        <f t="shared" si="61"/>
        <v>0</v>
      </c>
      <c r="BL97" s="39">
        <f t="shared" ref="BL97:CK97" si="72">IF($BK97&gt;0,BL79,0)</f>
        <v>0</v>
      </c>
      <c r="BM97" s="39">
        <f t="shared" si="72"/>
        <v>0</v>
      </c>
      <c r="BN97" s="39">
        <f t="shared" si="72"/>
        <v>0</v>
      </c>
      <c r="BO97" s="39">
        <f t="shared" si="72"/>
        <v>0</v>
      </c>
      <c r="BP97" s="39">
        <f t="shared" si="72"/>
        <v>0</v>
      </c>
      <c r="BQ97" s="39">
        <f t="shared" si="72"/>
        <v>0</v>
      </c>
      <c r="BR97" s="39">
        <f t="shared" si="72"/>
        <v>0</v>
      </c>
      <c r="BS97" s="39">
        <f t="shared" si="72"/>
        <v>0</v>
      </c>
      <c r="BT97" s="39">
        <f t="shared" si="72"/>
        <v>0</v>
      </c>
      <c r="BU97" s="39">
        <f t="shared" si="72"/>
        <v>0</v>
      </c>
      <c r="BV97" s="39">
        <f t="shared" si="72"/>
        <v>0</v>
      </c>
      <c r="BW97" s="39">
        <f t="shared" si="72"/>
        <v>0</v>
      </c>
      <c r="BX97" s="39">
        <f t="shared" si="72"/>
        <v>0</v>
      </c>
      <c r="BY97" s="39">
        <f t="shared" si="72"/>
        <v>0</v>
      </c>
      <c r="BZ97" s="39">
        <f t="shared" si="72"/>
        <v>0</v>
      </c>
      <c r="CA97" s="39">
        <f t="shared" si="72"/>
        <v>0</v>
      </c>
      <c r="CB97" s="39">
        <f t="shared" si="72"/>
        <v>0</v>
      </c>
      <c r="CC97" s="39">
        <f t="shared" si="72"/>
        <v>0</v>
      </c>
      <c r="CD97" s="39">
        <f t="shared" si="72"/>
        <v>0</v>
      </c>
      <c r="CE97" s="39">
        <f t="shared" si="72"/>
        <v>0</v>
      </c>
      <c r="CF97" s="39">
        <f t="shared" si="72"/>
        <v>0</v>
      </c>
      <c r="CG97" s="39">
        <f t="shared" si="72"/>
        <v>0</v>
      </c>
      <c r="CH97" s="39">
        <f t="shared" si="72"/>
        <v>0</v>
      </c>
      <c r="CI97" s="39">
        <f t="shared" si="72"/>
        <v>0</v>
      </c>
      <c r="CJ97" s="39">
        <f t="shared" si="72"/>
        <v>0</v>
      </c>
      <c r="CK97" s="39">
        <f t="shared" si="72"/>
        <v>0</v>
      </c>
    </row>
    <row r="98" spans="49:89" s="39" customFormat="1">
      <c r="AW98" s="571">
        <f t="shared" si="57"/>
        <v>0</v>
      </c>
      <c r="AX98" s="571">
        <v>4350</v>
      </c>
      <c r="AY98" s="571">
        <f t="shared" si="58"/>
        <v>0</v>
      </c>
      <c r="AZ98" s="571">
        <f t="shared" si="59"/>
        <v>8.6999999999999993</v>
      </c>
      <c r="BA98" s="572">
        <f t="shared" si="55"/>
        <v>0</v>
      </c>
      <c r="BB98" s="571"/>
      <c r="BC98" s="573">
        <v>0.87</v>
      </c>
      <c r="BD98" s="571">
        <f t="shared" si="51"/>
        <v>0</v>
      </c>
      <c r="BE98" s="571">
        <f t="shared" si="56"/>
        <v>0</v>
      </c>
      <c r="BF98" s="586">
        <f t="shared" si="52"/>
        <v>0</v>
      </c>
      <c r="BG98" s="586" t="e">
        <f t="shared" si="53"/>
        <v>#DIV/0!</v>
      </c>
      <c r="BH98" s="571" t="e">
        <f t="shared" si="54"/>
        <v>#DIV/0!</v>
      </c>
      <c r="BI98" s="571"/>
      <c r="BJ98" s="571"/>
      <c r="BK98" s="1535">
        <f t="shared" si="61"/>
        <v>0</v>
      </c>
      <c r="BL98" s="39">
        <f t="shared" ref="BL98:CK98" si="73">IF($BK98&gt;0,BL80,0)</f>
        <v>0</v>
      </c>
      <c r="BM98" s="39">
        <f t="shared" si="73"/>
        <v>0</v>
      </c>
      <c r="BN98" s="39">
        <f t="shared" si="73"/>
        <v>0</v>
      </c>
      <c r="BO98" s="39">
        <f t="shared" si="73"/>
        <v>0</v>
      </c>
      <c r="BP98" s="39">
        <f t="shared" si="73"/>
        <v>0</v>
      </c>
      <c r="BQ98" s="39">
        <f t="shared" si="73"/>
        <v>0</v>
      </c>
      <c r="BR98" s="39">
        <f t="shared" si="73"/>
        <v>0</v>
      </c>
      <c r="BS98" s="39">
        <f t="shared" si="73"/>
        <v>0</v>
      </c>
      <c r="BT98" s="39">
        <f t="shared" si="73"/>
        <v>0</v>
      </c>
      <c r="BU98" s="39">
        <f t="shared" si="73"/>
        <v>0</v>
      </c>
      <c r="BV98" s="39">
        <f t="shared" si="73"/>
        <v>0</v>
      </c>
      <c r="BW98" s="39">
        <f t="shared" si="73"/>
        <v>0</v>
      </c>
      <c r="BX98" s="39">
        <f t="shared" si="73"/>
        <v>0</v>
      </c>
      <c r="BY98" s="39">
        <f t="shared" si="73"/>
        <v>0</v>
      </c>
      <c r="BZ98" s="39">
        <f t="shared" si="73"/>
        <v>0</v>
      </c>
      <c r="CA98" s="39">
        <f t="shared" si="73"/>
        <v>0</v>
      </c>
      <c r="CB98" s="39">
        <f t="shared" si="73"/>
        <v>0</v>
      </c>
      <c r="CC98" s="39">
        <f t="shared" si="73"/>
        <v>0</v>
      </c>
      <c r="CD98" s="39">
        <f t="shared" si="73"/>
        <v>0</v>
      </c>
      <c r="CE98" s="39">
        <f t="shared" si="73"/>
        <v>0</v>
      </c>
      <c r="CF98" s="39">
        <f t="shared" si="73"/>
        <v>0</v>
      </c>
      <c r="CG98" s="39">
        <f t="shared" si="73"/>
        <v>0</v>
      </c>
      <c r="CH98" s="39">
        <f t="shared" si="73"/>
        <v>0</v>
      </c>
      <c r="CI98" s="39">
        <f t="shared" si="73"/>
        <v>0</v>
      </c>
      <c r="CJ98" s="39">
        <f t="shared" si="73"/>
        <v>0</v>
      </c>
      <c r="CK98" s="39">
        <f t="shared" si="73"/>
        <v>0</v>
      </c>
    </row>
    <row r="99" spans="49:89" s="39" customFormat="1">
      <c r="AW99" s="571">
        <f t="shared" si="57"/>
        <v>0</v>
      </c>
      <c r="AX99" s="571">
        <v>4400</v>
      </c>
      <c r="AY99" s="571">
        <f t="shared" si="58"/>
        <v>0</v>
      </c>
      <c r="AZ99" s="571">
        <f t="shared" si="59"/>
        <v>8.8000000000000007</v>
      </c>
      <c r="BA99" s="572">
        <f t="shared" si="55"/>
        <v>0</v>
      </c>
      <c r="BB99" s="571"/>
      <c r="BC99" s="573">
        <v>0.88</v>
      </c>
      <c r="BD99" s="571">
        <f t="shared" si="51"/>
        <v>0</v>
      </c>
      <c r="BE99" s="571">
        <f t="shared" si="56"/>
        <v>0</v>
      </c>
      <c r="BF99" s="586">
        <f t="shared" si="52"/>
        <v>0</v>
      </c>
      <c r="BG99" s="586" t="e">
        <f t="shared" si="53"/>
        <v>#DIV/0!</v>
      </c>
      <c r="BH99" s="571" t="e">
        <f t="shared" si="54"/>
        <v>#DIV/0!</v>
      </c>
      <c r="BI99" s="571"/>
      <c r="BJ99" s="571"/>
      <c r="BK99" s="1535">
        <f t="shared" si="61"/>
        <v>0</v>
      </c>
      <c r="BL99" s="39">
        <f t="shared" ref="BL99:CK99" si="74">IF($BK99&gt;0,BL81,0)</f>
        <v>0</v>
      </c>
      <c r="BM99" s="39">
        <f t="shared" si="74"/>
        <v>0</v>
      </c>
      <c r="BN99" s="39">
        <f t="shared" si="74"/>
        <v>0</v>
      </c>
      <c r="BO99" s="39">
        <f t="shared" si="74"/>
        <v>0</v>
      </c>
      <c r="BP99" s="39">
        <f t="shared" si="74"/>
        <v>0</v>
      </c>
      <c r="BQ99" s="39">
        <f t="shared" si="74"/>
        <v>0</v>
      </c>
      <c r="BR99" s="39">
        <f t="shared" si="74"/>
        <v>0</v>
      </c>
      <c r="BS99" s="39">
        <f t="shared" si="74"/>
        <v>0</v>
      </c>
      <c r="BT99" s="39">
        <f t="shared" si="74"/>
        <v>0</v>
      </c>
      <c r="BU99" s="39">
        <f t="shared" si="74"/>
        <v>0</v>
      </c>
      <c r="BV99" s="39">
        <f t="shared" si="74"/>
        <v>0</v>
      </c>
      <c r="BW99" s="39">
        <f t="shared" si="74"/>
        <v>0</v>
      </c>
      <c r="BX99" s="39">
        <f t="shared" si="74"/>
        <v>0</v>
      </c>
      <c r="BY99" s="39">
        <f t="shared" si="74"/>
        <v>0</v>
      </c>
      <c r="BZ99" s="39">
        <f t="shared" si="74"/>
        <v>0</v>
      </c>
      <c r="CA99" s="39">
        <f t="shared" si="74"/>
        <v>0</v>
      </c>
      <c r="CB99" s="39">
        <f t="shared" si="74"/>
        <v>0</v>
      </c>
      <c r="CC99" s="39">
        <f t="shared" si="74"/>
        <v>0</v>
      </c>
      <c r="CD99" s="39">
        <f t="shared" si="74"/>
        <v>0</v>
      </c>
      <c r="CE99" s="39">
        <f t="shared" si="74"/>
        <v>0</v>
      </c>
      <c r="CF99" s="39">
        <f t="shared" si="74"/>
        <v>0</v>
      </c>
      <c r="CG99" s="39">
        <f t="shared" si="74"/>
        <v>0</v>
      </c>
      <c r="CH99" s="39">
        <f t="shared" si="74"/>
        <v>0</v>
      </c>
      <c r="CI99" s="39">
        <f t="shared" si="74"/>
        <v>0</v>
      </c>
      <c r="CJ99" s="39">
        <f t="shared" si="74"/>
        <v>0</v>
      </c>
      <c r="CK99" s="39">
        <f t="shared" si="74"/>
        <v>0</v>
      </c>
    </row>
    <row r="100" spans="49:89" s="39" customFormat="1">
      <c r="AW100" s="571">
        <f t="shared" si="57"/>
        <v>0</v>
      </c>
      <c r="AX100" s="571">
        <v>4450</v>
      </c>
      <c r="AY100" s="571">
        <f t="shared" si="58"/>
        <v>0</v>
      </c>
      <c r="AZ100" s="571">
        <f t="shared" si="59"/>
        <v>8.9</v>
      </c>
      <c r="BA100" s="572">
        <f t="shared" si="55"/>
        <v>0</v>
      </c>
      <c r="BB100" s="571"/>
      <c r="BC100" s="573">
        <v>0.89</v>
      </c>
      <c r="BD100" s="571">
        <f t="shared" si="51"/>
        <v>0</v>
      </c>
      <c r="BE100" s="571">
        <f t="shared" si="56"/>
        <v>0</v>
      </c>
      <c r="BF100" s="586">
        <f t="shared" si="52"/>
        <v>0</v>
      </c>
      <c r="BG100" s="586" t="e">
        <f t="shared" si="53"/>
        <v>#DIV/0!</v>
      </c>
      <c r="BH100" s="571" t="e">
        <f t="shared" si="54"/>
        <v>#DIV/0!</v>
      </c>
      <c r="BI100" s="571"/>
      <c r="BJ100" s="571"/>
      <c r="BK100" s="1535">
        <f t="shared" si="61"/>
        <v>0</v>
      </c>
      <c r="BL100" s="39">
        <f t="shared" ref="BL100:CK100" si="75">IF($BK100&gt;0,BL82,0)</f>
        <v>0</v>
      </c>
      <c r="BM100" s="39">
        <f t="shared" si="75"/>
        <v>0</v>
      </c>
      <c r="BN100" s="39">
        <f t="shared" si="75"/>
        <v>0</v>
      </c>
      <c r="BO100" s="39">
        <f t="shared" si="75"/>
        <v>0</v>
      </c>
      <c r="BP100" s="39">
        <f t="shared" si="75"/>
        <v>0</v>
      </c>
      <c r="BQ100" s="39">
        <f t="shared" si="75"/>
        <v>0</v>
      </c>
      <c r="BR100" s="39">
        <f t="shared" si="75"/>
        <v>0</v>
      </c>
      <c r="BS100" s="39">
        <f t="shared" si="75"/>
        <v>0</v>
      </c>
      <c r="BT100" s="39">
        <f t="shared" si="75"/>
        <v>0</v>
      </c>
      <c r="BU100" s="39">
        <f t="shared" si="75"/>
        <v>0</v>
      </c>
      <c r="BV100" s="39">
        <f t="shared" si="75"/>
        <v>0</v>
      </c>
      <c r="BW100" s="39">
        <f t="shared" si="75"/>
        <v>0</v>
      </c>
      <c r="BX100" s="39">
        <f t="shared" si="75"/>
        <v>0</v>
      </c>
      <c r="BY100" s="39">
        <f t="shared" si="75"/>
        <v>0</v>
      </c>
      <c r="BZ100" s="39">
        <f t="shared" si="75"/>
        <v>0</v>
      </c>
      <c r="CA100" s="39">
        <f t="shared" si="75"/>
        <v>0</v>
      </c>
      <c r="CB100" s="39">
        <f t="shared" si="75"/>
        <v>0</v>
      </c>
      <c r="CC100" s="39">
        <f t="shared" si="75"/>
        <v>0</v>
      </c>
      <c r="CD100" s="39">
        <f t="shared" si="75"/>
        <v>0</v>
      </c>
      <c r="CE100" s="39">
        <f t="shared" si="75"/>
        <v>0</v>
      </c>
      <c r="CF100" s="39">
        <f t="shared" si="75"/>
        <v>0</v>
      </c>
      <c r="CG100" s="39">
        <f t="shared" si="75"/>
        <v>0</v>
      </c>
      <c r="CH100" s="39">
        <f t="shared" si="75"/>
        <v>0</v>
      </c>
      <c r="CI100" s="39">
        <f t="shared" si="75"/>
        <v>0</v>
      </c>
      <c r="CJ100" s="39">
        <f t="shared" si="75"/>
        <v>0</v>
      </c>
      <c r="CK100" s="39">
        <f t="shared" si="75"/>
        <v>0</v>
      </c>
    </row>
    <row r="101" spans="49:89" s="39" customFormat="1">
      <c r="AW101" s="571">
        <f t="shared" si="57"/>
        <v>0</v>
      </c>
      <c r="AX101" s="571">
        <v>4500</v>
      </c>
      <c r="AY101" s="571">
        <f t="shared" si="58"/>
        <v>0</v>
      </c>
      <c r="AZ101" s="571">
        <f t="shared" si="59"/>
        <v>9</v>
      </c>
      <c r="BA101" s="572">
        <f t="shared" si="55"/>
        <v>0</v>
      </c>
      <c r="BB101" s="571"/>
      <c r="BC101" s="573">
        <v>0.9</v>
      </c>
      <c r="BD101" s="571">
        <f t="shared" si="51"/>
        <v>0</v>
      </c>
      <c r="BE101" s="571">
        <f t="shared" si="56"/>
        <v>0</v>
      </c>
      <c r="BF101" s="586">
        <f t="shared" si="52"/>
        <v>0</v>
      </c>
      <c r="BG101" s="586" t="e">
        <f t="shared" si="53"/>
        <v>#DIV/0!</v>
      </c>
      <c r="BH101" s="571" t="e">
        <f t="shared" si="54"/>
        <v>#DIV/0!</v>
      </c>
      <c r="BI101" s="571"/>
      <c r="BJ101" s="571"/>
      <c r="BK101" s="1535">
        <f t="shared" si="61"/>
        <v>0</v>
      </c>
      <c r="BL101" s="39">
        <f t="shared" ref="BL101:CK101" si="76">IF($BK101&gt;0,BL83,0)</f>
        <v>0</v>
      </c>
      <c r="BM101" s="39">
        <f t="shared" si="76"/>
        <v>0</v>
      </c>
      <c r="BN101" s="39">
        <f t="shared" si="76"/>
        <v>0</v>
      </c>
      <c r="BO101" s="39">
        <f t="shared" si="76"/>
        <v>0</v>
      </c>
      <c r="BP101" s="39">
        <f t="shared" si="76"/>
        <v>0</v>
      </c>
      <c r="BQ101" s="39">
        <f t="shared" si="76"/>
        <v>0</v>
      </c>
      <c r="BR101" s="39">
        <f t="shared" si="76"/>
        <v>0</v>
      </c>
      <c r="BS101" s="39">
        <f t="shared" si="76"/>
        <v>0</v>
      </c>
      <c r="BT101" s="39">
        <f t="shared" si="76"/>
        <v>0</v>
      </c>
      <c r="BU101" s="39">
        <f t="shared" si="76"/>
        <v>0</v>
      </c>
      <c r="BV101" s="39">
        <f t="shared" si="76"/>
        <v>0</v>
      </c>
      <c r="BW101" s="39">
        <f t="shared" si="76"/>
        <v>0</v>
      </c>
      <c r="BX101" s="39">
        <f t="shared" si="76"/>
        <v>0</v>
      </c>
      <c r="BY101" s="39">
        <f t="shared" si="76"/>
        <v>0</v>
      </c>
      <c r="BZ101" s="39">
        <f t="shared" si="76"/>
        <v>0</v>
      </c>
      <c r="CA101" s="39">
        <f t="shared" si="76"/>
        <v>0</v>
      </c>
      <c r="CB101" s="39">
        <f t="shared" si="76"/>
        <v>0</v>
      </c>
      <c r="CC101" s="39">
        <f t="shared" si="76"/>
        <v>0</v>
      </c>
      <c r="CD101" s="39">
        <f t="shared" si="76"/>
        <v>0</v>
      </c>
      <c r="CE101" s="39">
        <f t="shared" si="76"/>
        <v>0</v>
      </c>
      <c r="CF101" s="39">
        <f t="shared" si="76"/>
        <v>0</v>
      </c>
      <c r="CG101" s="39">
        <f t="shared" si="76"/>
        <v>0</v>
      </c>
      <c r="CH101" s="39">
        <f t="shared" si="76"/>
        <v>0</v>
      </c>
      <c r="CI101" s="39">
        <f t="shared" si="76"/>
        <v>0</v>
      </c>
      <c r="CJ101" s="39">
        <f t="shared" si="76"/>
        <v>0</v>
      </c>
      <c r="CK101" s="39">
        <f t="shared" si="76"/>
        <v>0</v>
      </c>
    </row>
    <row r="102" spans="49:89" s="39" customFormat="1">
      <c r="AW102" s="571">
        <f t="shared" si="57"/>
        <v>0</v>
      </c>
      <c r="AX102" s="571">
        <v>4550</v>
      </c>
      <c r="AY102" s="571">
        <f t="shared" si="58"/>
        <v>0</v>
      </c>
      <c r="AZ102" s="571">
        <f t="shared" si="59"/>
        <v>9.1</v>
      </c>
      <c r="BA102" s="572">
        <f t="shared" si="55"/>
        <v>0</v>
      </c>
      <c r="BB102" s="571"/>
      <c r="BC102" s="573">
        <v>0.91</v>
      </c>
      <c r="BD102" s="571">
        <f t="shared" si="51"/>
        <v>0</v>
      </c>
      <c r="BE102" s="571">
        <f t="shared" si="56"/>
        <v>0</v>
      </c>
      <c r="BF102" s="586">
        <f t="shared" si="52"/>
        <v>0</v>
      </c>
      <c r="BG102" s="586" t="e">
        <f t="shared" si="53"/>
        <v>#DIV/0!</v>
      </c>
      <c r="BH102" s="571" t="e">
        <f t="shared" si="54"/>
        <v>#DIV/0!</v>
      </c>
      <c r="BI102" s="571"/>
      <c r="BJ102" s="571"/>
      <c r="BK102" s="1535">
        <f t="shared" si="61"/>
        <v>0</v>
      </c>
      <c r="BL102" s="39">
        <f t="shared" ref="BL102:CK102" si="77">IF($BK102&gt;0,BL84,0)</f>
        <v>0</v>
      </c>
      <c r="BM102" s="39">
        <f t="shared" si="77"/>
        <v>0</v>
      </c>
      <c r="BN102" s="39">
        <f t="shared" si="77"/>
        <v>0</v>
      </c>
      <c r="BO102" s="39">
        <f t="shared" si="77"/>
        <v>0</v>
      </c>
      <c r="BP102" s="39">
        <f t="shared" si="77"/>
        <v>0</v>
      </c>
      <c r="BQ102" s="39">
        <f t="shared" si="77"/>
        <v>0</v>
      </c>
      <c r="BR102" s="39">
        <f t="shared" si="77"/>
        <v>0</v>
      </c>
      <c r="BS102" s="39">
        <f t="shared" si="77"/>
        <v>0</v>
      </c>
      <c r="BT102" s="39">
        <f t="shared" si="77"/>
        <v>0</v>
      </c>
      <c r="BU102" s="39">
        <f t="shared" si="77"/>
        <v>0</v>
      </c>
      <c r="BV102" s="39">
        <f t="shared" si="77"/>
        <v>0</v>
      </c>
      <c r="BW102" s="39">
        <f t="shared" si="77"/>
        <v>0</v>
      </c>
      <c r="BX102" s="39">
        <f t="shared" si="77"/>
        <v>0</v>
      </c>
      <c r="BY102" s="39">
        <f t="shared" si="77"/>
        <v>0</v>
      </c>
      <c r="BZ102" s="39">
        <f t="shared" si="77"/>
        <v>0</v>
      </c>
      <c r="CA102" s="39">
        <f t="shared" si="77"/>
        <v>0</v>
      </c>
      <c r="CB102" s="39">
        <f t="shared" si="77"/>
        <v>0</v>
      </c>
      <c r="CC102" s="39">
        <f t="shared" si="77"/>
        <v>0</v>
      </c>
      <c r="CD102" s="39">
        <f t="shared" si="77"/>
        <v>0</v>
      </c>
      <c r="CE102" s="39">
        <f t="shared" si="77"/>
        <v>0</v>
      </c>
      <c r="CF102" s="39">
        <f t="shared" si="77"/>
        <v>0</v>
      </c>
      <c r="CG102" s="39">
        <f t="shared" si="77"/>
        <v>0</v>
      </c>
      <c r="CH102" s="39">
        <f t="shared" si="77"/>
        <v>0</v>
      </c>
      <c r="CI102" s="39">
        <f t="shared" si="77"/>
        <v>0</v>
      </c>
      <c r="CJ102" s="39">
        <f t="shared" si="77"/>
        <v>0</v>
      </c>
      <c r="CK102" s="39">
        <f t="shared" si="77"/>
        <v>0</v>
      </c>
    </row>
    <row r="103" spans="49:89" s="39" customFormat="1">
      <c r="AW103" s="571">
        <f t="shared" si="57"/>
        <v>0</v>
      </c>
      <c r="AX103" s="571">
        <v>4600</v>
      </c>
      <c r="AY103" s="571">
        <f t="shared" si="58"/>
        <v>0</v>
      </c>
      <c r="AZ103" s="571">
        <f t="shared" si="59"/>
        <v>9.1999999999999993</v>
      </c>
      <c r="BA103" s="572">
        <f t="shared" si="55"/>
        <v>0</v>
      </c>
      <c r="BB103" s="571"/>
      <c r="BC103" s="573">
        <v>0.92</v>
      </c>
      <c r="BD103" s="571">
        <f t="shared" si="51"/>
        <v>0</v>
      </c>
      <c r="BE103" s="571">
        <f t="shared" si="56"/>
        <v>0</v>
      </c>
      <c r="BF103" s="586">
        <f t="shared" si="52"/>
        <v>0</v>
      </c>
      <c r="BG103" s="586" t="e">
        <f t="shared" si="53"/>
        <v>#DIV/0!</v>
      </c>
      <c r="BH103" s="571" t="e">
        <f t="shared" si="54"/>
        <v>#DIV/0!</v>
      </c>
      <c r="BI103" s="571"/>
      <c r="BJ103" s="571"/>
      <c r="BK103" s="1535">
        <f t="shared" si="61"/>
        <v>0</v>
      </c>
      <c r="BL103" s="39">
        <f t="shared" ref="BL103:CK103" si="78">IF($BK103&gt;0,BL85,0)</f>
        <v>0</v>
      </c>
      <c r="BM103" s="39">
        <f t="shared" si="78"/>
        <v>0</v>
      </c>
      <c r="BN103" s="39">
        <f t="shared" si="78"/>
        <v>0</v>
      </c>
      <c r="BO103" s="39">
        <f t="shared" si="78"/>
        <v>0</v>
      </c>
      <c r="BP103" s="39">
        <f t="shared" si="78"/>
        <v>0</v>
      </c>
      <c r="BQ103" s="39">
        <f t="shared" si="78"/>
        <v>0</v>
      </c>
      <c r="BR103" s="39">
        <f t="shared" si="78"/>
        <v>0</v>
      </c>
      <c r="BS103" s="39">
        <f t="shared" si="78"/>
        <v>0</v>
      </c>
      <c r="BT103" s="39">
        <f t="shared" si="78"/>
        <v>0</v>
      </c>
      <c r="BU103" s="39">
        <f t="shared" si="78"/>
        <v>0</v>
      </c>
      <c r="BV103" s="39">
        <f t="shared" si="78"/>
        <v>0</v>
      </c>
      <c r="BW103" s="39">
        <f t="shared" si="78"/>
        <v>0</v>
      </c>
      <c r="BX103" s="39">
        <f t="shared" si="78"/>
        <v>0</v>
      </c>
      <c r="BY103" s="39">
        <f t="shared" si="78"/>
        <v>0</v>
      </c>
      <c r="BZ103" s="39">
        <f t="shared" si="78"/>
        <v>0</v>
      </c>
      <c r="CA103" s="39">
        <f t="shared" si="78"/>
        <v>0</v>
      </c>
      <c r="CB103" s="39">
        <f t="shared" si="78"/>
        <v>0</v>
      </c>
      <c r="CC103" s="39">
        <f t="shared" si="78"/>
        <v>0</v>
      </c>
      <c r="CD103" s="39">
        <f t="shared" si="78"/>
        <v>0</v>
      </c>
      <c r="CE103" s="39">
        <f t="shared" si="78"/>
        <v>0</v>
      </c>
      <c r="CF103" s="39">
        <f t="shared" si="78"/>
        <v>0</v>
      </c>
      <c r="CG103" s="39">
        <f t="shared" si="78"/>
        <v>0</v>
      </c>
      <c r="CH103" s="39">
        <f t="shared" si="78"/>
        <v>0</v>
      </c>
      <c r="CI103" s="39">
        <f t="shared" si="78"/>
        <v>0</v>
      </c>
      <c r="CJ103" s="39">
        <f t="shared" si="78"/>
        <v>0</v>
      </c>
      <c r="CK103" s="39">
        <f t="shared" si="78"/>
        <v>0</v>
      </c>
    </row>
    <row r="104" spans="49:89" s="39" customFormat="1">
      <c r="AW104" s="571">
        <f t="shared" si="57"/>
        <v>0</v>
      </c>
      <c r="AX104" s="571">
        <v>4650</v>
      </c>
      <c r="AY104" s="571">
        <f t="shared" si="58"/>
        <v>0</v>
      </c>
      <c r="AZ104" s="571">
        <f t="shared" si="59"/>
        <v>9.3000000000000007</v>
      </c>
      <c r="BA104" s="572">
        <f t="shared" si="55"/>
        <v>0</v>
      </c>
      <c r="BB104" s="571"/>
      <c r="BC104" s="573">
        <v>0.93</v>
      </c>
      <c r="BD104" s="571">
        <f t="shared" si="51"/>
        <v>0</v>
      </c>
      <c r="BE104" s="571">
        <f t="shared" si="56"/>
        <v>0</v>
      </c>
      <c r="BF104" s="586">
        <f t="shared" si="52"/>
        <v>0</v>
      </c>
      <c r="BG104" s="586" t="e">
        <f t="shared" si="53"/>
        <v>#DIV/0!</v>
      </c>
      <c r="BH104" s="571" t="e">
        <f t="shared" si="54"/>
        <v>#DIV/0!</v>
      </c>
      <c r="BI104" s="571"/>
      <c r="BJ104" s="571"/>
      <c r="BK104" s="571"/>
    </row>
    <row r="105" spans="49:89" s="39" customFormat="1">
      <c r="AW105" s="571">
        <f t="shared" si="57"/>
        <v>0</v>
      </c>
      <c r="AX105" s="571">
        <v>4700</v>
      </c>
      <c r="AY105" s="571">
        <f t="shared" si="58"/>
        <v>0</v>
      </c>
      <c r="AZ105" s="571">
        <f t="shared" si="59"/>
        <v>9.4</v>
      </c>
      <c r="BA105" s="572">
        <f t="shared" si="55"/>
        <v>0</v>
      </c>
      <c r="BB105" s="571"/>
      <c r="BC105" s="573">
        <v>0.94</v>
      </c>
      <c r="BD105" s="571">
        <f t="shared" si="51"/>
        <v>0</v>
      </c>
      <c r="BE105" s="571">
        <f t="shared" si="56"/>
        <v>0</v>
      </c>
      <c r="BF105" s="586">
        <f t="shared" si="52"/>
        <v>0</v>
      </c>
      <c r="BG105" s="586" t="e">
        <f t="shared" si="53"/>
        <v>#DIV/0!</v>
      </c>
      <c r="BH105" s="571" t="e">
        <f t="shared" si="54"/>
        <v>#DIV/0!</v>
      </c>
      <c r="BI105" s="571"/>
      <c r="BJ105" s="571"/>
      <c r="BK105" s="571" t="s">
        <v>2014</v>
      </c>
      <c r="BL105" s="39">
        <f>SUM(BL87:BL103)</f>
        <v>0</v>
      </c>
      <c r="BM105" s="39">
        <f t="shared" ref="BM105:CK105" si="79">SUM(BM87:BM103)</f>
        <v>0</v>
      </c>
      <c r="BN105" s="39">
        <f t="shared" si="79"/>
        <v>0</v>
      </c>
      <c r="BO105" s="39">
        <f t="shared" si="79"/>
        <v>0</v>
      </c>
      <c r="BP105" s="39">
        <f t="shared" si="79"/>
        <v>0</v>
      </c>
      <c r="BQ105" s="39">
        <f t="shared" si="79"/>
        <v>0</v>
      </c>
      <c r="BR105" s="39">
        <f t="shared" si="79"/>
        <v>0</v>
      </c>
      <c r="BS105" s="39">
        <f t="shared" si="79"/>
        <v>0</v>
      </c>
      <c r="BT105" s="39">
        <f t="shared" si="79"/>
        <v>0</v>
      </c>
      <c r="BU105" s="39">
        <f t="shared" si="79"/>
        <v>0</v>
      </c>
      <c r="BV105" s="39">
        <f t="shared" si="79"/>
        <v>0</v>
      </c>
      <c r="BW105" s="39">
        <f t="shared" si="79"/>
        <v>0</v>
      </c>
      <c r="BX105" s="39">
        <f t="shared" si="79"/>
        <v>0</v>
      </c>
      <c r="BY105" s="39">
        <f t="shared" si="79"/>
        <v>0</v>
      </c>
      <c r="BZ105" s="39">
        <f t="shared" si="79"/>
        <v>0</v>
      </c>
      <c r="CA105" s="39">
        <f t="shared" si="79"/>
        <v>0</v>
      </c>
      <c r="CB105" s="39">
        <f t="shared" si="79"/>
        <v>0</v>
      </c>
      <c r="CC105" s="39">
        <f t="shared" si="79"/>
        <v>0</v>
      </c>
      <c r="CD105" s="39">
        <f t="shared" si="79"/>
        <v>0</v>
      </c>
      <c r="CE105" s="39">
        <f t="shared" si="79"/>
        <v>0</v>
      </c>
      <c r="CF105" s="39">
        <f t="shared" si="79"/>
        <v>0</v>
      </c>
      <c r="CG105" s="39">
        <f t="shared" si="79"/>
        <v>0</v>
      </c>
      <c r="CH105" s="39">
        <f t="shared" si="79"/>
        <v>0</v>
      </c>
      <c r="CI105" s="39">
        <f t="shared" si="79"/>
        <v>0</v>
      </c>
      <c r="CJ105" s="39">
        <f t="shared" si="79"/>
        <v>0</v>
      </c>
      <c r="CK105" s="39">
        <f t="shared" si="79"/>
        <v>0</v>
      </c>
    </row>
    <row r="106" spans="49:89" s="39" customFormat="1">
      <c r="AW106" s="571">
        <f t="shared" si="57"/>
        <v>0</v>
      </c>
      <c r="AX106" s="571">
        <v>4750</v>
      </c>
      <c r="AY106" s="571">
        <f t="shared" si="58"/>
        <v>0</v>
      </c>
      <c r="AZ106" s="571">
        <f t="shared" si="59"/>
        <v>9.5</v>
      </c>
      <c r="BA106" s="572">
        <f t="shared" si="55"/>
        <v>0</v>
      </c>
      <c r="BB106" s="571"/>
      <c r="BC106" s="573">
        <v>0.95</v>
      </c>
      <c r="BD106" s="571">
        <f t="shared" si="51"/>
        <v>0</v>
      </c>
      <c r="BE106" s="571">
        <f t="shared" si="56"/>
        <v>0</v>
      </c>
      <c r="BF106" s="586">
        <f t="shared" si="52"/>
        <v>0</v>
      </c>
      <c r="BG106" s="586" t="e">
        <f t="shared" si="53"/>
        <v>#DIV/0!</v>
      </c>
      <c r="BH106" s="571" t="e">
        <f t="shared" si="54"/>
        <v>#DIV/0!</v>
      </c>
      <c r="BI106" s="571"/>
      <c r="BJ106" s="578" t="s">
        <v>332</v>
      </c>
      <c r="BK106" s="585" t="str">
        <f>P22</f>
        <v>-</v>
      </c>
      <c r="BL106" s="39" t="str">
        <f>IF($BK$106&lt;=BL105,BL105,"")</f>
        <v/>
      </c>
      <c r="BM106" s="39" t="str">
        <f t="shared" ref="BM106:CK106" si="80">IF($BK$106&lt;=BM105,BM105,"")</f>
        <v/>
      </c>
      <c r="BN106" s="39" t="str">
        <f t="shared" si="80"/>
        <v/>
      </c>
      <c r="BO106" s="39" t="str">
        <f t="shared" si="80"/>
        <v/>
      </c>
      <c r="BP106" s="39" t="str">
        <f t="shared" si="80"/>
        <v/>
      </c>
      <c r="BQ106" s="39" t="str">
        <f t="shared" si="80"/>
        <v/>
      </c>
      <c r="BR106" s="39" t="str">
        <f t="shared" si="80"/>
        <v/>
      </c>
      <c r="BS106" s="39" t="str">
        <f t="shared" si="80"/>
        <v/>
      </c>
      <c r="BT106" s="39" t="str">
        <f t="shared" si="80"/>
        <v/>
      </c>
      <c r="BU106" s="39" t="str">
        <f t="shared" si="80"/>
        <v/>
      </c>
      <c r="BV106" s="39" t="str">
        <f t="shared" si="80"/>
        <v/>
      </c>
      <c r="BW106" s="39" t="str">
        <f t="shared" si="80"/>
        <v/>
      </c>
      <c r="BX106" s="39" t="str">
        <f t="shared" si="80"/>
        <v/>
      </c>
      <c r="BY106" s="39" t="str">
        <f t="shared" si="80"/>
        <v/>
      </c>
      <c r="BZ106" s="39" t="str">
        <f t="shared" si="80"/>
        <v/>
      </c>
      <c r="CA106" s="39" t="str">
        <f t="shared" si="80"/>
        <v/>
      </c>
      <c r="CB106" s="39" t="str">
        <f t="shared" si="80"/>
        <v/>
      </c>
      <c r="CC106" s="39" t="str">
        <f t="shared" si="80"/>
        <v/>
      </c>
      <c r="CD106" s="39" t="str">
        <f t="shared" si="80"/>
        <v/>
      </c>
      <c r="CE106" s="39" t="str">
        <f t="shared" si="80"/>
        <v/>
      </c>
      <c r="CF106" s="39" t="str">
        <f t="shared" si="80"/>
        <v/>
      </c>
      <c r="CG106" s="39" t="str">
        <f t="shared" si="80"/>
        <v/>
      </c>
      <c r="CH106" s="39" t="str">
        <f t="shared" si="80"/>
        <v/>
      </c>
      <c r="CI106" s="39" t="str">
        <f t="shared" si="80"/>
        <v/>
      </c>
      <c r="CJ106" s="39" t="str">
        <f t="shared" si="80"/>
        <v/>
      </c>
      <c r="CK106" s="39" t="str">
        <f t="shared" si="80"/>
        <v/>
      </c>
    </row>
    <row r="107" spans="49:89" s="39" customFormat="1">
      <c r="AW107" s="571">
        <f t="shared" si="57"/>
        <v>0</v>
      </c>
      <c r="AX107" s="571">
        <v>4800</v>
      </c>
      <c r="AY107" s="571">
        <f t="shared" si="58"/>
        <v>0</v>
      </c>
      <c r="AZ107" s="571">
        <f t="shared" si="59"/>
        <v>9.6</v>
      </c>
      <c r="BA107" s="572">
        <f t="shared" si="55"/>
        <v>0</v>
      </c>
      <c r="BB107" s="571"/>
      <c r="BC107" s="573">
        <v>0.96</v>
      </c>
      <c r="BD107" s="571">
        <f t="shared" si="51"/>
        <v>0</v>
      </c>
      <c r="BE107" s="571">
        <f t="shared" si="56"/>
        <v>0</v>
      </c>
      <c r="BF107" s="586">
        <f t="shared" si="52"/>
        <v>0</v>
      </c>
      <c r="BG107" s="586" t="e">
        <f t="shared" si="53"/>
        <v>#DIV/0!</v>
      </c>
      <c r="BH107" s="571" t="e">
        <f t="shared" si="54"/>
        <v>#DIV/0!</v>
      </c>
      <c r="BI107" s="571"/>
      <c r="BJ107" s="571"/>
      <c r="BK107" s="1537">
        <f>MIN(BL106:CK106)</f>
        <v>0</v>
      </c>
      <c r="BL107" s="39">
        <v>8</v>
      </c>
      <c r="BM107" s="39">
        <v>9</v>
      </c>
      <c r="BN107" s="39">
        <v>10</v>
      </c>
      <c r="BO107" s="39">
        <v>11</v>
      </c>
      <c r="BP107" s="39">
        <v>12</v>
      </c>
      <c r="BQ107" s="39">
        <v>13</v>
      </c>
      <c r="BR107" s="39">
        <v>14</v>
      </c>
      <c r="BS107" s="39">
        <v>15</v>
      </c>
      <c r="BT107" s="39">
        <v>16</v>
      </c>
      <c r="BU107" s="39">
        <v>18</v>
      </c>
      <c r="BV107" s="39">
        <v>20</v>
      </c>
      <c r="BW107" s="39">
        <v>22</v>
      </c>
      <c r="BX107" s="39">
        <v>24</v>
      </c>
      <c r="BY107" s="39">
        <v>26</v>
      </c>
      <c r="BZ107" s="39">
        <v>28</v>
      </c>
      <c r="CA107" s="39">
        <v>30</v>
      </c>
      <c r="CB107" s="39">
        <v>32</v>
      </c>
      <c r="CC107" s="39">
        <v>34</v>
      </c>
      <c r="CD107" s="39">
        <v>36</v>
      </c>
      <c r="CE107" s="39">
        <v>40</v>
      </c>
      <c r="CF107" s="39">
        <v>42</v>
      </c>
      <c r="CG107" s="39">
        <v>4</v>
      </c>
      <c r="CH107" s="39">
        <v>48</v>
      </c>
      <c r="CI107" s="39">
        <v>52</v>
      </c>
      <c r="CJ107" s="39">
        <v>56</v>
      </c>
      <c r="CK107" s="39">
        <v>60</v>
      </c>
    </row>
    <row r="108" spans="49:89" s="39" customFormat="1" ht="13">
      <c r="AW108" s="571">
        <f t="shared" si="57"/>
        <v>0</v>
      </c>
      <c r="AX108" s="571">
        <v>4850</v>
      </c>
      <c r="AY108" s="571">
        <f t="shared" si="58"/>
        <v>0</v>
      </c>
      <c r="AZ108" s="571">
        <f t="shared" si="59"/>
        <v>9.6999999999999993</v>
      </c>
      <c r="BA108" s="572">
        <f t="shared" si="55"/>
        <v>0</v>
      </c>
      <c r="BB108" s="571"/>
      <c r="BC108" s="573">
        <v>0.97</v>
      </c>
      <c r="BD108" s="571">
        <f t="shared" si="51"/>
        <v>0</v>
      </c>
      <c r="BE108" s="571">
        <f t="shared" si="56"/>
        <v>0</v>
      </c>
      <c r="BF108" s="586">
        <f t="shared" si="52"/>
        <v>0</v>
      </c>
      <c r="BG108" s="586" t="e">
        <f t="shared" si="53"/>
        <v>#DIV/0!</v>
      </c>
      <c r="BH108" s="571" t="e">
        <f t="shared" si="54"/>
        <v>#DIV/0!</v>
      </c>
      <c r="BI108" s="571"/>
      <c r="BJ108" s="1538" t="e">
        <f>HLOOKUP(BK107,BL106:CK107,2,FALSE)</f>
        <v>#N/A</v>
      </c>
      <c r="BK108" s="571"/>
    </row>
    <row r="109" spans="49:89" s="39" customFormat="1">
      <c r="AW109" s="571">
        <f t="shared" si="57"/>
        <v>0</v>
      </c>
      <c r="AX109" s="571">
        <v>4900</v>
      </c>
      <c r="AY109" s="571">
        <f t="shared" si="58"/>
        <v>0</v>
      </c>
      <c r="AZ109" s="571">
        <f t="shared" si="59"/>
        <v>9.8000000000000007</v>
      </c>
      <c r="BA109" s="572">
        <f t="shared" ref="BA109:BA140" si="81">1.453*(AY109^0.6)/(AZ109^0.2)</f>
        <v>0</v>
      </c>
      <c r="BB109" s="571"/>
      <c r="BC109" s="573">
        <v>0.98</v>
      </c>
      <c r="BD109" s="571">
        <f t="shared" si="51"/>
        <v>0</v>
      </c>
      <c r="BE109" s="571">
        <f t="shared" si="56"/>
        <v>0</v>
      </c>
      <c r="BF109" s="586">
        <f t="shared" si="52"/>
        <v>0</v>
      </c>
      <c r="BG109" s="586" t="e">
        <f t="shared" si="53"/>
        <v>#DIV/0!</v>
      </c>
      <c r="BH109" s="571" t="e">
        <f t="shared" si="54"/>
        <v>#DIV/0!</v>
      </c>
      <c r="BI109" s="571"/>
      <c r="BJ109" s="571"/>
      <c r="BK109" s="1537" t="s">
        <v>2016</v>
      </c>
    </row>
    <row r="110" spans="49:89" s="39" customFormat="1">
      <c r="AW110" s="571">
        <f t="shared" si="57"/>
        <v>0</v>
      </c>
      <c r="AX110" s="571">
        <v>4950</v>
      </c>
      <c r="AY110" s="571">
        <f t="shared" si="58"/>
        <v>0</v>
      </c>
      <c r="AZ110" s="571">
        <f t="shared" si="59"/>
        <v>9.9</v>
      </c>
      <c r="BA110" s="572">
        <f t="shared" si="81"/>
        <v>0</v>
      </c>
      <c r="BB110" s="571"/>
      <c r="BC110" s="573">
        <v>0.99</v>
      </c>
      <c r="BD110" s="571">
        <f t="shared" si="51"/>
        <v>0</v>
      </c>
      <c r="BE110" s="571">
        <f t="shared" si="56"/>
        <v>0</v>
      </c>
      <c r="BF110" s="586">
        <f t="shared" si="52"/>
        <v>0</v>
      </c>
      <c r="BG110" s="586" t="e">
        <f t="shared" si="53"/>
        <v>#DIV/0!</v>
      </c>
      <c r="BH110" s="571" t="e">
        <f t="shared" si="54"/>
        <v>#DIV/0!</v>
      </c>
      <c r="BI110" s="571"/>
      <c r="BJ110" s="571"/>
      <c r="BK110" s="1535">
        <f t="shared" ref="BK110:BK126" si="82">IF($P$29=BK15,BK15,0)</f>
        <v>0</v>
      </c>
      <c r="BL110" s="39">
        <f t="shared" ref="BL110:CK110" si="83">IF($BK110&gt;0,BL15,0)</f>
        <v>0</v>
      </c>
      <c r="BM110" s="39">
        <f t="shared" si="83"/>
        <v>0</v>
      </c>
      <c r="BN110" s="39">
        <f t="shared" si="83"/>
        <v>0</v>
      </c>
      <c r="BO110" s="39">
        <f t="shared" si="83"/>
        <v>0</v>
      </c>
      <c r="BP110" s="39">
        <f t="shared" si="83"/>
        <v>0</v>
      </c>
      <c r="BQ110" s="39">
        <f t="shared" si="83"/>
        <v>0</v>
      </c>
      <c r="BR110" s="39">
        <f t="shared" si="83"/>
        <v>0</v>
      </c>
      <c r="BS110" s="39">
        <f t="shared" si="83"/>
        <v>0</v>
      </c>
      <c r="BT110" s="39">
        <f t="shared" si="83"/>
        <v>0</v>
      </c>
      <c r="BU110" s="39">
        <f t="shared" si="83"/>
        <v>0</v>
      </c>
      <c r="BV110" s="39">
        <f t="shared" si="83"/>
        <v>0</v>
      </c>
      <c r="BW110" s="39">
        <f t="shared" si="83"/>
        <v>0</v>
      </c>
      <c r="BX110" s="39">
        <f t="shared" si="83"/>
        <v>0</v>
      </c>
      <c r="BY110" s="39">
        <f t="shared" si="83"/>
        <v>0</v>
      </c>
      <c r="BZ110" s="39">
        <f t="shared" si="83"/>
        <v>0</v>
      </c>
      <c r="CA110" s="39">
        <f t="shared" si="83"/>
        <v>0</v>
      </c>
      <c r="CB110" s="39">
        <f t="shared" si="83"/>
        <v>0</v>
      </c>
      <c r="CC110" s="39">
        <f t="shared" si="83"/>
        <v>0</v>
      </c>
      <c r="CD110" s="39">
        <f t="shared" si="83"/>
        <v>0</v>
      </c>
      <c r="CE110" s="39">
        <f t="shared" si="83"/>
        <v>0</v>
      </c>
      <c r="CF110" s="39">
        <f t="shared" si="83"/>
        <v>0</v>
      </c>
      <c r="CG110" s="39">
        <f t="shared" si="83"/>
        <v>0</v>
      </c>
      <c r="CH110" s="39">
        <f t="shared" si="83"/>
        <v>0</v>
      </c>
      <c r="CI110" s="39">
        <f t="shared" si="83"/>
        <v>0</v>
      </c>
      <c r="CJ110" s="39">
        <f t="shared" si="83"/>
        <v>0</v>
      </c>
      <c r="CK110" s="39">
        <f t="shared" si="83"/>
        <v>0</v>
      </c>
    </row>
    <row r="111" spans="49:89" s="39" customFormat="1">
      <c r="AW111" s="571">
        <f t="shared" si="57"/>
        <v>0</v>
      </c>
      <c r="AX111" s="571">
        <v>5000</v>
      </c>
      <c r="AY111" s="571">
        <f t="shared" si="58"/>
        <v>0</v>
      </c>
      <c r="AZ111" s="571">
        <f t="shared" si="59"/>
        <v>10</v>
      </c>
      <c r="BA111" s="572">
        <f t="shared" si="81"/>
        <v>0</v>
      </c>
      <c r="BB111" s="571"/>
      <c r="BC111" s="573">
        <v>1</v>
      </c>
      <c r="BD111" s="571">
        <f t="shared" si="51"/>
        <v>0</v>
      </c>
      <c r="BE111" s="571">
        <f t="shared" si="56"/>
        <v>0</v>
      </c>
      <c r="BF111" s="586">
        <f t="shared" si="52"/>
        <v>0</v>
      </c>
      <c r="BG111" s="586" t="e">
        <f t="shared" si="53"/>
        <v>#DIV/0!</v>
      </c>
      <c r="BH111" s="571" t="e">
        <f t="shared" si="54"/>
        <v>#DIV/0!</v>
      </c>
      <c r="BI111" s="571"/>
      <c r="BJ111" s="571"/>
      <c r="BK111" s="1535">
        <f t="shared" si="82"/>
        <v>0</v>
      </c>
      <c r="BL111" s="39">
        <f t="shared" ref="BL111:CK111" si="84">IF($BK111&gt;0,BL16,0)</f>
        <v>0</v>
      </c>
      <c r="BM111" s="39">
        <f t="shared" si="84"/>
        <v>0</v>
      </c>
      <c r="BN111" s="39">
        <f t="shared" si="84"/>
        <v>0</v>
      </c>
      <c r="BO111" s="39">
        <f t="shared" si="84"/>
        <v>0</v>
      </c>
      <c r="BP111" s="39">
        <f t="shared" si="84"/>
        <v>0</v>
      </c>
      <c r="BQ111" s="39">
        <f t="shared" si="84"/>
        <v>0</v>
      </c>
      <c r="BR111" s="39">
        <f t="shared" si="84"/>
        <v>0</v>
      </c>
      <c r="BS111" s="39">
        <f t="shared" si="84"/>
        <v>0</v>
      </c>
      <c r="BT111" s="39">
        <f t="shared" si="84"/>
        <v>0</v>
      </c>
      <c r="BU111" s="39">
        <f t="shared" si="84"/>
        <v>0</v>
      </c>
      <c r="BV111" s="39">
        <f t="shared" si="84"/>
        <v>0</v>
      </c>
      <c r="BW111" s="39">
        <f t="shared" si="84"/>
        <v>0</v>
      </c>
      <c r="BX111" s="39">
        <f t="shared" si="84"/>
        <v>0</v>
      </c>
      <c r="BY111" s="39">
        <f t="shared" si="84"/>
        <v>0</v>
      </c>
      <c r="BZ111" s="39">
        <f t="shared" si="84"/>
        <v>0</v>
      </c>
      <c r="CA111" s="39">
        <f t="shared" si="84"/>
        <v>0</v>
      </c>
      <c r="CB111" s="39">
        <f t="shared" si="84"/>
        <v>0</v>
      </c>
      <c r="CC111" s="39">
        <f t="shared" si="84"/>
        <v>0</v>
      </c>
      <c r="CD111" s="39">
        <f t="shared" si="84"/>
        <v>0</v>
      </c>
      <c r="CE111" s="39">
        <f t="shared" si="84"/>
        <v>0</v>
      </c>
      <c r="CF111" s="39">
        <f t="shared" si="84"/>
        <v>0</v>
      </c>
      <c r="CG111" s="39">
        <f t="shared" si="84"/>
        <v>0</v>
      </c>
      <c r="CH111" s="39">
        <f t="shared" si="84"/>
        <v>0</v>
      </c>
      <c r="CI111" s="39">
        <f t="shared" si="84"/>
        <v>0</v>
      </c>
      <c r="CJ111" s="39">
        <f t="shared" si="84"/>
        <v>0</v>
      </c>
      <c r="CK111" s="39">
        <f t="shared" si="84"/>
        <v>0</v>
      </c>
    </row>
    <row r="112" spans="49:89" s="39" customFormat="1">
      <c r="AW112" s="571">
        <f t="shared" si="57"/>
        <v>0</v>
      </c>
      <c r="AX112" s="571">
        <v>5050</v>
      </c>
      <c r="AY112" s="571">
        <f t="shared" si="58"/>
        <v>0</v>
      </c>
      <c r="AZ112" s="571">
        <f t="shared" si="59"/>
        <v>10.1</v>
      </c>
      <c r="BA112" s="572">
        <f t="shared" si="81"/>
        <v>0</v>
      </c>
      <c r="BB112" s="571"/>
      <c r="BC112" s="573">
        <v>1.01</v>
      </c>
      <c r="BD112" s="571">
        <f t="shared" si="51"/>
        <v>0</v>
      </c>
      <c r="BE112" s="571">
        <f t="shared" si="56"/>
        <v>0</v>
      </c>
      <c r="BF112" s="586">
        <f t="shared" si="52"/>
        <v>0</v>
      </c>
      <c r="BG112" s="586" t="e">
        <f t="shared" si="53"/>
        <v>#DIV/0!</v>
      </c>
      <c r="BH112" s="571" t="e">
        <f t="shared" si="54"/>
        <v>#DIV/0!</v>
      </c>
      <c r="BI112" s="571"/>
      <c r="BJ112" s="571"/>
      <c r="BK112" s="1535">
        <f t="shared" si="82"/>
        <v>0</v>
      </c>
      <c r="BL112" s="39">
        <f t="shared" ref="BL112:CK112" si="85">IF($BK112&gt;0,BL17,0)</f>
        <v>0</v>
      </c>
      <c r="BM112" s="39">
        <f t="shared" si="85"/>
        <v>0</v>
      </c>
      <c r="BN112" s="39">
        <f t="shared" si="85"/>
        <v>0</v>
      </c>
      <c r="BO112" s="39">
        <f t="shared" si="85"/>
        <v>0</v>
      </c>
      <c r="BP112" s="39">
        <f t="shared" si="85"/>
        <v>0</v>
      </c>
      <c r="BQ112" s="39">
        <f t="shared" si="85"/>
        <v>0</v>
      </c>
      <c r="BR112" s="39">
        <f t="shared" si="85"/>
        <v>0</v>
      </c>
      <c r="BS112" s="39">
        <f t="shared" si="85"/>
        <v>0</v>
      </c>
      <c r="BT112" s="39">
        <f t="shared" si="85"/>
        <v>0</v>
      </c>
      <c r="BU112" s="39">
        <f t="shared" si="85"/>
        <v>0</v>
      </c>
      <c r="BV112" s="39">
        <f t="shared" si="85"/>
        <v>0</v>
      </c>
      <c r="BW112" s="39">
        <f t="shared" si="85"/>
        <v>0</v>
      </c>
      <c r="BX112" s="39">
        <f t="shared" si="85"/>
        <v>0</v>
      </c>
      <c r="BY112" s="39">
        <f t="shared" si="85"/>
        <v>0</v>
      </c>
      <c r="BZ112" s="39">
        <f t="shared" si="85"/>
        <v>0</v>
      </c>
      <c r="CA112" s="39">
        <f t="shared" si="85"/>
        <v>0</v>
      </c>
      <c r="CB112" s="39">
        <f t="shared" si="85"/>
        <v>0</v>
      </c>
      <c r="CC112" s="39">
        <f t="shared" si="85"/>
        <v>0</v>
      </c>
      <c r="CD112" s="39">
        <f t="shared" si="85"/>
        <v>0</v>
      </c>
      <c r="CE112" s="39">
        <f t="shared" si="85"/>
        <v>0</v>
      </c>
      <c r="CF112" s="39">
        <f t="shared" si="85"/>
        <v>0</v>
      </c>
      <c r="CG112" s="39">
        <f t="shared" si="85"/>
        <v>0</v>
      </c>
      <c r="CH112" s="39">
        <f t="shared" si="85"/>
        <v>0</v>
      </c>
      <c r="CI112" s="39">
        <f t="shared" si="85"/>
        <v>0</v>
      </c>
      <c r="CJ112" s="39">
        <f t="shared" si="85"/>
        <v>0</v>
      </c>
      <c r="CK112" s="39">
        <f t="shared" si="85"/>
        <v>0</v>
      </c>
    </row>
    <row r="113" spans="49:89" s="39" customFormat="1">
      <c r="AW113" s="571">
        <f t="shared" si="57"/>
        <v>0</v>
      </c>
      <c r="AX113" s="571">
        <v>5100</v>
      </c>
      <c r="AY113" s="571">
        <f t="shared" si="58"/>
        <v>0</v>
      </c>
      <c r="AZ113" s="571">
        <f t="shared" si="59"/>
        <v>10.199999999999999</v>
      </c>
      <c r="BA113" s="572">
        <f t="shared" si="81"/>
        <v>0</v>
      </c>
      <c r="BB113" s="571"/>
      <c r="BC113" s="573">
        <v>1.02</v>
      </c>
      <c r="BD113" s="571">
        <f t="shared" si="51"/>
        <v>0</v>
      </c>
      <c r="BE113" s="571">
        <f t="shared" si="56"/>
        <v>0</v>
      </c>
      <c r="BF113" s="586">
        <f t="shared" si="52"/>
        <v>0</v>
      </c>
      <c r="BG113" s="586" t="e">
        <f t="shared" si="53"/>
        <v>#DIV/0!</v>
      </c>
      <c r="BH113" s="571" t="e">
        <f t="shared" si="54"/>
        <v>#DIV/0!</v>
      </c>
      <c r="BI113" s="571"/>
      <c r="BJ113" s="571"/>
      <c r="BK113" s="1535">
        <f t="shared" si="82"/>
        <v>0</v>
      </c>
      <c r="BL113" s="39">
        <f t="shared" ref="BL113:CK113" si="86">IF($BK113&gt;0,BL18,0)</f>
        <v>0</v>
      </c>
      <c r="BM113" s="39">
        <f t="shared" si="86"/>
        <v>0</v>
      </c>
      <c r="BN113" s="39">
        <f t="shared" si="86"/>
        <v>0</v>
      </c>
      <c r="BO113" s="39">
        <f t="shared" si="86"/>
        <v>0</v>
      </c>
      <c r="BP113" s="39">
        <f t="shared" si="86"/>
        <v>0</v>
      </c>
      <c r="BQ113" s="39">
        <f t="shared" si="86"/>
        <v>0</v>
      </c>
      <c r="BR113" s="39">
        <f t="shared" si="86"/>
        <v>0</v>
      </c>
      <c r="BS113" s="39">
        <f t="shared" si="86"/>
        <v>0</v>
      </c>
      <c r="BT113" s="39">
        <f t="shared" si="86"/>
        <v>0</v>
      </c>
      <c r="BU113" s="39">
        <f t="shared" si="86"/>
        <v>0</v>
      </c>
      <c r="BV113" s="39">
        <f t="shared" si="86"/>
        <v>0</v>
      </c>
      <c r="BW113" s="39">
        <f t="shared" si="86"/>
        <v>0</v>
      </c>
      <c r="BX113" s="39">
        <f t="shared" si="86"/>
        <v>0</v>
      </c>
      <c r="BY113" s="39">
        <f t="shared" si="86"/>
        <v>0</v>
      </c>
      <c r="BZ113" s="39">
        <f t="shared" si="86"/>
        <v>0</v>
      </c>
      <c r="CA113" s="39">
        <f t="shared" si="86"/>
        <v>0</v>
      </c>
      <c r="CB113" s="39">
        <f t="shared" si="86"/>
        <v>0</v>
      </c>
      <c r="CC113" s="39">
        <f t="shared" si="86"/>
        <v>0</v>
      </c>
      <c r="CD113" s="39">
        <f t="shared" si="86"/>
        <v>0</v>
      </c>
      <c r="CE113" s="39">
        <f t="shared" si="86"/>
        <v>0</v>
      </c>
      <c r="CF113" s="39">
        <f t="shared" si="86"/>
        <v>0</v>
      </c>
      <c r="CG113" s="39">
        <f t="shared" si="86"/>
        <v>0</v>
      </c>
      <c r="CH113" s="39">
        <f t="shared" si="86"/>
        <v>0</v>
      </c>
      <c r="CI113" s="39">
        <f t="shared" si="86"/>
        <v>0</v>
      </c>
      <c r="CJ113" s="39">
        <f t="shared" si="86"/>
        <v>0</v>
      </c>
      <c r="CK113" s="39">
        <f t="shared" si="86"/>
        <v>0</v>
      </c>
    </row>
    <row r="114" spans="49:89" s="39" customFormat="1">
      <c r="AW114" s="571">
        <f t="shared" si="57"/>
        <v>0</v>
      </c>
      <c r="AX114" s="571">
        <v>5150</v>
      </c>
      <c r="AY114" s="571">
        <f t="shared" si="58"/>
        <v>0</v>
      </c>
      <c r="AZ114" s="571">
        <f t="shared" si="59"/>
        <v>10.3</v>
      </c>
      <c r="BA114" s="572">
        <f t="shared" si="81"/>
        <v>0</v>
      </c>
      <c r="BB114" s="571"/>
      <c r="BC114" s="573">
        <v>1.03</v>
      </c>
      <c r="BD114" s="571">
        <f t="shared" si="51"/>
        <v>0</v>
      </c>
      <c r="BE114" s="571">
        <f t="shared" si="56"/>
        <v>0</v>
      </c>
      <c r="BF114" s="586">
        <f t="shared" si="52"/>
        <v>0</v>
      </c>
      <c r="BG114" s="586" t="e">
        <f t="shared" si="53"/>
        <v>#DIV/0!</v>
      </c>
      <c r="BH114" s="571" t="e">
        <f t="shared" si="54"/>
        <v>#DIV/0!</v>
      </c>
      <c r="BI114" s="571"/>
      <c r="BJ114" s="571"/>
      <c r="BK114" s="1535">
        <f t="shared" si="82"/>
        <v>0</v>
      </c>
      <c r="BL114" s="39">
        <f t="shared" ref="BL114:CK114" si="87">IF($BK114&gt;0,BL19,0)</f>
        <v>0</v>
      </c>
      <c r="BM114" s="39">
        <f t="shared" si="87"/>
        <v>0</v>
      </c>
      <c r="BN114" s="39">
        <f t="shared" si="87"/>
        <v>0</v>
      </c>
      <c r="BO114" s="39">
        <f t="shared" si="87"/>
        <v>0</v>
      </c>
      <c r="BP114" s="39">
        <f t="shared" si="87"/>
        <v>0</v>
      </c>
      <c r="BQ114" s="39">
        <f t="shared" si="87"/>
        <v>0</v>
      </c>
      <c r="BR114" s="39">
        <f t="shared" si="87"/>
        <v>0</v>
      </c>
      <c r="BS114" s="39">
        <f t="shared" si="87"/>
        <v>0</v>
      </c>
      <c r="BT114" s="39">
        <f t="shared" si="87"/>
        <v>0</v>
      </c>
      <c r="BU114" s="39">
        <f t="shared" si="87"/>
        <v>0</v>
      </c>
      <c r="BV114" s="39">
        <f t="shared" si="87"/>
        <v>0</v>
      </c>
      <c r="BW114" s="39">
        <f t="shared" si="87"/>
        <v>0</v>
      </c>
      <c r="BX114" s="39">
        <f t="shared" si="87"/>
        <v>0</v>
      </c>
      <c r="BY114" s="39">
        <f t="shared" si="87"/>
        <v>0</v>
      </c>
      <c r="BZ114" s="39">
        <f t="shared" si="87"/>
        <v>0</v>
      </c>
      <c r="CA114" s="39">
        <f t="shared" si="87"/>
        <v>0</v>
      </c>
      <c r="CB114" s="39">
        <f t="shared" si="87"/>
        <v>0</v>
      </c>
      <c r="CC114" s="39">
        <f t="shared" si="87"/>
        <v>0</v>
      </c>
      <c r="CD114" s="39">
        <f t="shared" si="87"/>
        <v>0</v>
      </c>
      <c r="CE114" s="39">
        <f t="shared" si="87"/>
        <v>0</v>
      </c>
      <c r="CF114" s="39">
        <f t="shared" si="87"/>
        <v>0</v>
      </c>
      <c r="CG114" s="39">
        <f t="shared" si="87"/>
        <v>0</v>
      </c>
      <c r="CH114" s="39">
        <f t="shared" si="87"/>
        <v>0</v>
      </c>
      <c r="CI114" s="39">
        <f t="shared" si="87"/>
        <v>0</v>
      </c>
      <c r="CJ114" s="39">
        <f t="shared" si="87"/>
        <v>0</v>
      </c>
      <c r="CK114" s="39">
        <f t="shared" si="87"/>
        <v>0</v>
      </c>
    </row>
    <row r="115" spans="49:89" s="39" customFormat="1">
      <c r="AW115" s="571">
        <f t="shared" si="57"/>
        <v>0</v>
      </c>
      <c r="AX115" s="571">
        <v>5200</v>
      </c>
      <c r="AY115" s="571">
        <f t="shared" si="58"/>
        <v>0</v>
      </c>
      <c r="AZ115" s="571">
        <f t="shared" si="59"/>
        <v>10.4</v>
      </c>
      <c r="BA115" s="572">
        <f t="shared" si="81"/>
        <v>0</v>
      </c>
      <c r="BB115" s="571"/>
      <c r="BC115" s="573">
        <v>1.04</v>
      </c>
      <c r="BD115" s="571">
        <f t="shared" si="51"/>
        <v>0</v>
      </c>
      <c r="BE115" s="571">
        <f t="shared" si="56"/>
        <v>0</v>
      </c>
      <c r="BF115" s="586">
        <f t="shared" si="52"/>
        <v>0</v>
      </c>
      <c r="BG115" s="586" t="e">
        <f t="shared" si="53"/>
        <v>#DIV/0!</v>
      </c>
      <c r="BH115" s="571" t="e">
        <f t="shared" si="54"/>
        <v>#DIV/0!</v>
      </c>
      <c r="BI115" s="571"/>
      <c r="BJ115" s="571"/>
      <c r="BK115" s="1535">
        <f t="shared" si="82"/>
        <v>0</v>
      </c>
      <c r="BL115" s="39">
        <f t="shared" ref="BL115:CK115" si="88">IF($BK115&gt;0,BL20,0)</f>
        <v>0</v>
      </c>
      <c r="BM115" s="39">
        <f t="shared" si="88"/>
        <v>0</v>
      </c>
      <c r="BN115" s="39">
        <f t="shared" si="88"/>
        <v>0</v>
      </c>
      <c r="BO115" s="39">
        <f t="shared" si="88"/>
        <v>0</v>
      </c>
      <c r="BP115" s="39">
        <f t="shared" si="88"/>
        <v>0</v>
      </c>
      <c r="BQ115" s="39">
        <f t="shared" si="88"/>
        <v>0</v>
      </c>
      <c r="BR115" s="39">
        <f t="shared" si="88"/>
        <v>0</v>
      </c>
      <c r="BS115" s="39">
        <f t="shared" si="88"/>
        <v>0</v>
      </c>
      <c r="BT115" s="39">
        <f t="shared" si="88"/>
        <v>0</v>
      </c>
      <c r="BU115" s="39">
        <f t="shared" si="88"/>
        <v>0</v>
      </c>
      <c r="BV115" s="39">
        <f t="shared" si="88"/>
        <v>0</v>
      </c>
      <c r="BW115" s="39">
        <f t="shared" si="88"/>
        <v>0</v>
      </c>
      <c r="BX115" s="39">
        <f t="shared" si="88"/>
        <v>0</v>
      </c>
      <c r="BY115" s="39">
        <f t="shared" si="88"/>
        <v>0</v>
      </c>
      <c r="BZ115" s="39">
        <f t="shared" si="88"/>
        <v>0</v>
      </c>
      <c r="CA115" s="39">
        <f t="shared" si="88"/>
        <v>0</v>
      </c>
      <c r="CB115" s="39">
        <f t="shared" si="88"/>
        <v>0</v>
      </c>
      <c r="CC115" s="39">
        <f t="shared" si="88"/>
        <v>0</v>
      </c>
      <c r="CD115" s="39">
        <f t="shared" si="88"/>
        <v>0</v>
      </c>
      <c r="CE115" s="39">
        <f t="shared" si="88"/>
        <v>0</v>
      </c>
      <c r="CF115" s="39">
        <f t="shared" si="88"/>
        <v>0</v>
      </c>
      <c r="CG115" s="39">
        <f t="shared" si="88"/>
        <v>0</v>
      </c>
      <c r="CH115" s="39">
        <f t="shared" si="88"/>
        <v>0</v>
      </c>
      <c r="CI115" s="39">
        <f t="shared" si="88"/>
        <v>0</v>
      </c>
      <c r="CJ115" s="39">
        <f t="shared" si="88"/>
        <v>0</v>
      </c>
      <c r="CK115" s="39">
        <f t="shared" si="88"/>
        <v>0</v>
      </c>
    </row>
    <row r="116" spans="49:89" s="39" customFormat="1">
      <c r="AW116" s="571">
        <f t="shared" si="57"/>
        <v>0</v>
      </c>
      <c r="AX116" s="571">
        <v>5250</v>
      </c>
      <c r="AY116" s="571">
        <f t="shared" si="58"/>
        <v>0</v>
      </c>
      <c r="AZ116" s="571">
        <f t="shared" si="59"/>
        <v>10.5</v>
      </c>
      <c r="BA116" s="572">
        <f t="shared" si="81"/>
        <v>0</v>
      </c>
      <c r="BB116" s="571"/>
      <c r="BC116" s="573">
        <v>1.05</v>
      </c>
      <c r="BD116" s="571">
        <f t="shared" si="51"/>
        <v>0</v>
      </c>
      <c r="BE116" s="571">
        <f t="shared" si="56"/>
        <v>0</v>
      </c>
      <c r="BF116" s="586">
        <f t="shared" si="52"/>
        <v>0</v>
      </c>
      <c r="BG116" s="586" t="e">
        <f t="shared" si="53"/>
        <v>#DIV/0!</v>
      </c>
      <c r="BH116" s="571" t="e">
        <f t="shared" si="54"/>
        <v>#DIV/0!</v>
      </c>
      <c r="BI116" s="571"/>
      <c r="BJ116" s="571"/>
      <c r="BK116" s="1535">
        <f t="shared" si="82"/>
        <v>0</v>
      </c>
      <c r="BL116" s="39">
        <f t="shared" ref="BL116:CK116" si="89">IF($BK116&gt;0,BL21,0)</f>
        <v>0</v>
      </c>
      <c r="BM116" s="39">
        <f t="shared" si="89"/>
        <v>0</v>
      </c>
      <c r="BN116" s="39">
        <f t="shared" si="89"/>
        <v>0</v>
      </c>
      <c r="BO116" s="39">
        <f t="shared" si="89"/>
        <v>0</v>
      </c>
      <c r="BP116" s="39">
        <f t="shared" si="89"/>
        <v>0</v>
      </c>
      <c r="BQ116" s="39">
        <f t="shared" si="89"/>
        <v>0</v>
      </c>
      <c r="BR116" s="39">
        <f t="shared" si="89"/>
        <v>0</v>
      </c>
      <c r="BS116" s="39">
        <f t="shared" si="89"/>
        <v>0</v>
      </c>
      <c r="BT116" s="39">
        <f t="shared" si="89"/>
        <v>0</v>
      </c>
      <c r="BU116" s="39">
        <f t="shared" si="89"/>
        <v>0</v>
      </c>
      <c r="BV116" s="39">
        <f t="shared" si="89"/>
        <v>0</v>
      </c>
      <c r="BW116" s="39">
        <f t="shared" si="89"/>
        <v>0</v>
      </c>
      <c r="BX116" s="39">
        <f t="shared" si="89"/>
        <v>0</v>
      </c>
      <c r="BY116" s="39">
        <f t="shared" si="89"/>
        <v>0</v>
      </c>
      <c r="BZ116" s="39">
        <f t="shared" si="89"/>
        <v>0</v>
      </c>
      <c r="CA116" s="39">
        <f t="shared" si="89"/>
        <v>0</v>
      </c>
      <c r="CB116" s="39">
        <f t="shared" si="89"/>
        <v>0</v>
      </c>
      <c r="CC116" s="39">
        <f t="shared" si="89"/>
        <v>0</v>
      </c>
      <c r="CD116" s="39">
        <f t="shared" si="89"/>
        <v>0</v>
      </c>
      <c r="CE116" s="39">
        <f t="shared" si="89"/>
        <v>0</v>
      </c>
      <c r="CF116" s="39">
        <f t="shared" si="89"/>
        <v>0</v>
      </c>
      <c r="CG116" s="39">
        <f t="shared" si="89"/>
        <v>0</v>
      </c>
      <c r="CH116" s="39">
        <f t="shared" si="89"/>
        <v>0</v>
      </c>
      <c r="CI116" s="39">
        <f t="shared" si="89"/>
        <v>0</v>
      </c>
      <c r="CJ116" s="39">
        <f t="shared" si="89"/>
        <v>0</v>
      </c>
      <c r="CK116" s="39">
        <f t="shared" si="89"/>
        <v>0</v>
      </c>
    </row>
    <row r="117" spans="49:89" s="39" customFormat="1">
      <c r="AW117" s="571">
        <f t="shared" si="57"/>
        <v>0</v>
      </c>
      <c r="AX117" s="571">
        <v>5300</v>
      </c>
      <c r="AY117" s="571">
        <f t="shared" si="58"/>
        <v>0</v>
      </c>
      <c r="AZ117" s="571">
        <f t="shared" si="59"/>
        <v>10.6</v>
      </c>
      <c r="BA117" s="572">
        <f t="shared" si="81"/>
        <v>0</v>
      </c>
      <c r="BB117" s="571"/>
      <c r="BC117" s="573">
        <v>1.06</v>
      </c>
      <c r="BD117" s="571">
        <f t="shared" si="51"/>
        <v>0</v>
      </c>
      <c r="BE117" s="571">
        <f t="shared" si="56"/>
        <v>0</v>
      </c>
      <c r="BF117" s="586">
        <f t="shared" si="52"/>
        <v>0</v>
      </c>
      <c r="BG117" s="586" t="e">
        <f t="shared" si="53"/>
        <v>#DIV/0!</v>
      </c>
      <c r="BH117" s="571" t="e">
        <f t="shared" si="54"/>
        <v>#DIV/0!</v>
      </c>
      <c r="BI117" s="571"/>
      <c r="BJ117" s="571"/>
      <c r="BK117" s="1535">
        <f t="shared" si="82"/>
        <v>0</v>
      </c>
      <c r="BL117" s="39">
        <f t="shared" ref="BL117:CK117" si="90">IF($BK117&gt;0,BL22,0)</f>
        <v>0</v>
      </c>
      <c r="BM117" s="39">
        <f t="shared" si="90"/>
        <v>0</v>
      </c>
      <c r="BN117" s="39">
        <f t="shared" si="90"/>
        <v>0</v>
      </c>
      <c r="BO117" s="39">
        <f t="shared" si="90"/>
        <v>0</v>
      </c>
      <c r="BP117" s="39">
        <f t="shared" si="90"/>
        <v>0</v>
      </c>
      <c r="BQ117" s="39">
        <f t="shared" si="90"/>
        <v>0</v>
      </c>
      <c r="BR117" s="39">
        <f t="shared" si="90"/>
        <v>0</v>
      </c>
      <c r="BS117" s="39">
        <f t="shared" si="90"/>
        <v>0</v>
      </c>
      <c r="BT117" s="39">
        <f t="shared" si="90"/>
        <v>0</v>
      </c>
      <c r="BU117" s="39">
        <f t="shared" si="90"/>
        <v>0</v>
      </c>
      <c r="BV117" s="39">
        <f t="shared" si="90"/>
        <v>0</v>
      </c>
      <c r="BW117" s="39">
        <f t="shared" si="90"/>
        <v>0</v>
      </c>
      <c r="BX117" s="39">
        <f t="shared" si="90"/>
        <v>0</v>
      </c>
      <c r="BY117" s="39">
        <f t="shared" si="90"/>
        <v>0</v>
      </c>
      <c r="BZ117" s="39">
        <f t="shared" si="90"/>
        <v>0</v>
      </c>
      <c r="CA117" s="39">
        <f t="shared" si="90"/>
        <v>0</v>
      </c>
      <c r="CB117" s="39">
        <f t="shared" si="90"/>
        <v>0</v>
      </c>
      <c r="CC117" s="39">
        <f t="shared" si="90"/>
        <v>0</v>
      </c>
      <c r="CD117" s="39">
        <f t="shared" si="90"/>
        <v>0</v>
      </c>
      <c r="CE117" s="39">
        <f t="shared" si="90"/>
        <v>0</v>
      </c>
      <c r="CF117" s="39">
        <f t="shared" si="90"/>
        <v>0</v>
      </c>
      <c r="CG117" s="39">
        <f t="shared" si="90"/>
        <v>0</v>
      </c>
      <c r="CH117" s="39">
        <f t="shared" si="90"/>
        <v>0</v>
      </c>
      <c r="CI117" s="39">
        <f t="shared" si="90"/>
        <v>0</v>
      </c>
      <c r="CJ117" s="39">
        <f t="shared" si="90"/>
        <v>0</v>
      </c>
      <c r="CK117" s="39">
        <f t="shared" si="90"/>
        <v>0</v>
      </c>
    </row>
    <row r="118" spans="49:89" s="39" customFormat="1">
      <c r="AW118" s="571">
        <f t="shared" si="57"/>
        <v>0</v>
      </c>
      <c r="AX118" s="571">
        <v>5350</v>
      </c>
      <c r="AY118" s="571">
        <f t="shared" si="58"/>
        <v>0</v>
      </c>
      <c r="AZ118" s="571">
        <f t="shared" si="59"/>
        <v>10.7</v>
      </c>
      <c r="BA118" s="572">
        <f t="shared" si="81"/>
        <v>0</v>
      </c>
      <c r="BB118" s="571"/>
      <c r="BC118" s="573">
        <v>1.07</v>
      </c>
      <c r="BD118" s="571">
        <f t="shared" si="51"/>
        <v>0</v>
      </c>
      <c r="BE118" s="571">
        <f t="shared" si="56"/>
        <v>0</v>
      </c>
      <c r="BF118" s="586">
        <f t="shared" si="52"/>
        <v>0</v>
      </c>
      <c r="BG118" s="586" t="e">
        <f t="shared" si="53"/>
        <v>#DIV/0!</v>
      </c>
      <c r="BH118" s="571" t="e">
        <f t="shared" si="54"/>
        <v>#DIV/0!</v>
      </c>
      <c r="BI118" s="571"/>
      <c r="BJ118" s="571"/>
      <c r="BK118" s="1535">
        <f t="shared" si="82"/>
        <v>0</v>
      </c>
      <c r="BL118" s="39">
        <f t="shared" ref="BL118:CK118" si="91">IF($BK118&gt;0,BL23,0)</f>
        <v>0</v>
      </c>
      <c r="BM118" s="39">
        <f t="shared" si="91"/>
        <v>0</v>
      </c>
      <c r="BN118" s="39">
        <f t="shared" si="91"/>
        <v>0</v>
      </c>
      <c r="BO118" s="39">
        <f t="shared" si="91"/>
        <v>0</v>
      </c>
      <c r="BP118" s="39">
        <f t="shared" si="91"/>
        <v>0</v>
      </c>
      <c r="BQ118" s="39">
        <f t="shared" si="91"/>
        <v>0</v>
      </c>
      <c r="BR118" s="39">
        <f t="shared" si="91"/>
        <v>0</v>
      </c>
      <c r="BS118" s="39">
        <f t="shared" si="91"/>
        <v>0</v>
      </c>
      <c r="BT118" s="39">
        <f t="shared" si="91"/>
        <v>0</v>
      </c>
      <c r="BU118" s="39">
        <f t="shared" si="91"/>
        <v>0</v>
      </c>
      <c r="BV118" s="39">
        <f t="shared" si="91"/>
        <v>0</v>
      </c>
      <c r="BW118" s="39">
        <f t="shared" si="91"/>
        <v>0</v>
      </c>
      <c r="BX118" s="39">
        <f t="shared" si="91"/>
        <v>0</v>
      </c>
      <c r="BY118" s="39">
        <f t="shared" si="91"/>
        <v>0</v>
      </c>
      <c r="BZ118" s="39">
        <f t="shared" si="91"/>
        <v>0</v>
      </c>
      <c r="CA118" s="39">
        <f t="shared" si="91"/>
        <v>0</v>
      </c>
      <c r="CB118" s="39">
        <f t="shared" si="91"/>
        <v>0</v>
      </c>
      <c r="CC118" s="39">
        <f t="shared" si="91"/>
        <v>0</v>
      </c>
      <c r="CD118" s="39">
        <f t="shared" si="91"/>
        <v>0</v>
      </c>
      <c r="CE118" s="39">
        <f t="shared" si="91"/>
        <v>0</v>
      </c>
      <c r="CF118" s="39">
        <f t="shared" si="91"/>
        <v>0</v>
      </c>
      <c r="CG118" s="39">
        <f t="shared" si="91"/>
        <v>0</v>
      </c>
      <c r="CH118" s="39">
        <f t="shared" si="91"/>
        <v>0</v>
      </c>
      <c r="CI118" s="39">
        <f t="shared" si="91"/>
        <v>0</v>
      </c>
      <c r="CJ118" s="39">
        <f t="shared" si="91"/>
        <v>0</v>
      </c>
      <c r="CK118" s="39">
        <f t="shared" si="91"/>
        <v>0</v>
      </c>
    </row>
    <row r="119" spans="49:89" s="39" customFormat="1">
      <c r="AW119" s="571">
        <f t="shared" si="57"/>
        <v>0</v>
      </c>
      <c r="AX119" s="571">
        <v>5400</v>
      </c>
      <c r="AY119" s="571">
        <f t="shared" si="58"/>
        <v>0</v>
      </c>
      <c r="AZ119" s="571">
        <f t="shared" si="59"/>
        <v>10.8</v>
      </c>
      <c r="BA119" s="572">
        <f t="shared" si="81"/>
        <v>0</v>
      </c>
      <c r="BB119" s="571"/>
      <c r="BC119" s="573">
        <v>1.08</v>
      </c>
      <c r="BD119" s="571">
        <f t="shared" si="51"/>
        <v>0</v>
      </c>
      <c r="BE119" s="571">
        <f t="shared" si="56"/>
        <v>0</v>
      </c>
      <c r="BF119" s="586">
        <f t="shared" si="52"/>
        <v>0</v>
      </c>
      <c r="BG119" s="586" t="e">
        <f t="shared" si="53"/>
        <v>#DIV/0!</v>
      </c>
      <c r="BH119" s="571" t="e">
        <f t="shared" si="54"/>
        <v>#DIV/0!</v>
      </c>
      <c r="BI119" s="571"/>
      <c r="BJ119" s="571"/>
      <c r="BK119" s="1535">
        <f t="shared" si="82"/>
        <v>0</v>
      </c>
      <c r="BL119" s="39">
        <f t="shared" ref="BL119:CK119" si="92">IF($BK119&gt;0,BL24,0)</f>
        <v>0</v>
      </c>
      <c r="BM119" s="39">
        <f t="shared" si="92"/>
        <v>0</v>
      </c>
      <c r="BN119" s="39">
        <f t="shared" si="92"/>
        <v>0</v>
      </c>
      <c r="BO119" s="39">
        <f t="shared" si="92"/>
        <v>0</v>
      </c>
      <c r="BP119" s="39">
        <f t="shared" si="92"/>
        <v>0</v>
      </c>
      <c r="BQ119" s="39">
        <f t="shared" si="92"/>
        <v>0</v>
      </c>
      <c r="BR119" s="39">
        <f t="shared" si="92"/>
        <v>0</v>
      </c>
      <c r="BS119" s="39">
        <f t="shared" si="92"/>
        <v>0</v>
      </c>
      <c r="BT119" s="39">
        <f t="shared" si="92"/>
        <v>0</v>
      </c>
      <c r="BU119" s="39">
        <f t="shared" si="92"/>
        <v>0</v>
      </c>
      <c r="BV119" s="39">
        <f t="shared" si="92"/>
        <v>0</v>
      </c>
      <c r="BW119" s="39">
        <f t="shared" si="92"/>
        <v>0</v>
      </c>
      <c r="BX119" s="39">
        <f t="shared" si="92"/>
        <v>0</v>
      </c>
      <c r="BY119" s="39">
        <f t="shared" si="92"/>
        <v>0</v>
      </c>
      <c r="BZ119" s="39">
        <f t="shared" si="92"/>
        <v>0</v>
      </c>
      <c r="CA119" s="39">
        <f t="shared" si="92"/>
        <v>0</v>
      </c>
      <c r="CB119" s="39">
        <f t="shared" si="92"/>
        <v>0</v>
      </c>
      <c r="CC119" s="39">
        <f t="shared" si="92"/>
        <v>0</v>
      </c>
      <c r="CD119" s="39">
        <f t="shared" si="92"/>
        <v>0</v>
      </c>
      <c r="CE119" s="39">
        <f t="shared" si="92"/>
        <v>0</v>
      </c>
      <c r="CF119" s="39">
        <f t="shared" si="92"/>
        <v>0</v>
      </c>
      <c r="CG119" s="39">
        <f t="shared" si="92"/>
        <v>0</v>
      </c>
      <c r="CH119" s="39">
        <f t="shared" si="92"/>
        <v>0</v>
      </c>
      <c r="CI119" s="39">
        <f t="shared" si="92"/>
        <v>0</v>
      </c>
      <c r="CJ119" s="39">
        <f t="shared" si="92"/>
        <v>0</v>
      </c>
      <c r="CK119" s="39">
        <f t="shared" si="92"/>
        <v>0</v>
      </c>
    </row>
    <row r="120" spans="49:89" s="39" customFormat="1">
      <c r="AW120" s="571">
        <f t="shared" si="57"/>
        <v>0</v>
      </c>
      <c r="AX120" s="571">
        <v>5450</v>
      </c>
      <c r="AY120" s="571">
        <f t="shared" si="58"/>
        <v>0</v>
      </c>
      <c r="AZ120" s="571">
        <f t="shared" si="59"/>
        <v>10.9</v>
      </c>
      <c r="BA120" s="572">
        <f t="shared" si="81"/>
        <v>0</v>
      </c>
      <c r="BB120" s="571"/>
      <c r="BC120" s="573">
        <v>1.0900000000000001</v>
      </c>
      <c r="BD120" s="571">
        <f t="shared" si="51"/>
        <v>0</v>
      </c>
      <c r="BE120" s="571">
        <f t="shared" si="56"/>
        <v>0</v>
      </c>
      <c r="BF120" s="586">
        <f t="shared" si="52"/>
        <v>0</v>
      </c>
      <c r="BG120" s="586" t="e">
        <f t="shared" si="53"/>
        <v>#DIV/0!</v>
      </c>
      <c r="BH120" s="571" t="e">
        <f t="shared" si="54"/>
        <v>#DIV/0!</v>
      </c>
      <c r="BI120" s="571"/>
      <c r="BJ120" s="571"/>
      <c r="BK120" s="1535">
        <f t="shared" si="82"/>
        <v>0</v>
      </c>
      <c r="BL120" s="39">
        <f t="shared" ref="BL120:CK120" si="93">IF($BK120&gt;0,BL25,0)</f>
        <v>0</v>
      </c>
      <c r="BM120" s="39">
        <f t="shared" si="93"/>
        <v>0</v>
      </c>
      <c r="BN120" s="39">
        <f t="shared" si="93"/>
        <v>0</v>
      </c>
      <c r="BO120" s="39">
        <f t="shared" si="93"/>
        <v>0</v>
      </c>
      <c r="BP120" s="39">
        <f t="shared" si="93"/>
        <v>0</v>
      </c>
      <c r="BQ120" s="39">
        <f t="shared" si="93"/>
        <v>0</v>
      </c>
      <c r="BR120" s="39">
        <f t="shared" si="93"/>
        <v>0</v>
      </c>
      <c r="BS120" s="39">
        <f t="shared" si="93"/>
        <v>0</v>
      </c>
      <c r="BT120" s="39">
        <f t="shared" si="93"/>
        <v>0</v>
      </c>
      <c r="BU120" s="39">
        <f t="shared" si="93"/>
        <v>0</v>
      </c>
      <c r="BV120" s="39">
        <f t="shared" si="93"/>
        <v>0</v>
      </c>
      <c r="BW120" s="39">
        <f t="shared" si="93"/>
        <v>0</v>
      </c>
      <c r="BX120" s="39">
        <f t="shared" si="93"/>
        <v>0</v>
      </c>
      <c r="BY120" s="39">
        <f t="shared" si="93"/>
        <v>0</v>
      </c>
      <c r="BZ120" s="39">
        <f t="shared" si="93"/>
        <v>0</v>
      </c>
      <c r="CA120" s="39">
        <f t="shared" si="93"/>
        <v>0</v>
      </c>
      <c r="CB120" s="39">
        <f t="shared" si="93"/>
        <v>0</v>
      </c>
      <c r="CC120" s="39">
        <f t="shared" si="93"/>
        <v>0</v>
      </c>
      <c r="CD120" s="39">
        <f t="shared" si="93"/>
        <v>0</v>
      </c>
      <c r="CE120" s="39">
        <f t="shared" si="93"/>
        <v>0</v>
      </c>
      <c r="CF120" s="39">
        <f t="shared" si="93"/>
        <v>0</v>
      </c>
      <c r="CG120" s="39">
        <f t="shared" si="93"/>
        <v>0</v>
      </c>
      <c r="CH120" s="39">
        <f t="shared" si="93"/>
        <v>0</v>
      </c>
      <c r="CI120" s="39">
        <f t="shared" si="93"/>
        <v>0</v>
      </c>
      <c r="CJ120" s="39">
        <f t="shared" si="93"/>
        <v>0</v>
      </c>
      <c r="CK120" s="39">
        <f t="shared" si="93"/>
        <v>0</v>
      </c>
    </row>
    <row r="121" spans="49:89" s="39" customFormat="1">
      <c r="AW121" s="571">
        <f t="shared" si="57"/>
        <v>0</v>
      </c>
      <c r="AX121" s="571">
        <v>5500</v>
      </c>
      <c r="AY121" s="571">
        <f t="shared" si="58"/>
        <v>0</v>
      </c>
      <c r="AZ121" s="571">
        <f t="shared" si="59"/>
        <v>11</v>
      </c>
      <c r="BA121" s="572">
        <f t="shared" si="81"/>
        <v>0</v>
      </c>
      <c r="BB121" s="571"/>
      <c r="BC121" s="573">
        <v>1.1000000000000001</v>
      </c>
      <c r="BD121" s="571">
        <f t="shared" si="51"/>
        <v>0</v>
      </c>
      <c r="BE121" s="571">
        <f t="shared" si="56"/>
        <v>0</v>
      </c>
      <c r="BF121" s="586">
        <f t="shared" si="52"/>
        <v>0</v>
      </c>
      <c r="BG121" s="586" t="e">
        <f t="shared" si="53"/>
        <v>#DIV/0!</v>
      </c>
      <c r="BH121" s="571" t="e">
        <f t="shared" si="54"/>
        <v>#DIV/0!</v>
      </c>
      <c r="BI121" s="571"/>
      <c r="BJ121" s="571"/>
      <c r="BK121" s="1535">
        <f t="shared" si="82"/>
        <v>0</v>
      </c>
      <c r="BL121" s="39">
        <f t="shared" ref="BL121:CK121" si="94">IF($BK121&gt;0,BL26,0)</f>
        <v>0</v>
      </c>
      <c r="BM121" s="39">
        <f t="shared" si="94"/>
        <v>0</v>
      </c>
      <c r="BN121" s="39">
        <f t="shared" si="94"/>
        <v>0</v>
      </c>
      <c r="BO121" s="39">
        <f t="shared" si="94"/>
        <v>0</v>
      </c>
      <c r="BP121" s="39">
        <f t="shared" si="94"/>
        <v>0</v>
      </c>
      <c r="BQ121" s="39">
        <f t="shared" si="94"/>
        <v>0</v>
      </c>
      <c r="BR121" s="39">
        <f t="shared" si="94"/>
        <v>0</v>
      </c>
      <c r="BS121" s="39">
        <f t="shared" si="94"/>
        <v>0</v>
      </c>
      <c r="BT121" s="39">
        <f t="shared" si="94"/>
        <v>0</v>
      </c>
      <c r="BU121" s="39">
        <f t="shared" si="94"/>
        <v>0</v>
      </c>
      <c r="BV121" s="39">
        <f t="shared" si="94"/>
        <v>0</v>
      </c>
      <c r="BW121" s="39">
        <f t="shared" si="94"/>
        <v>0</v>
      </c>
      <c r="BX121" s="39">
        <f t="shared" si="94"/>
        <v>0</v>
      </c>
      <c r="BY121" s="39">
        <f t="shared" si="94"/>
        <v>0</v>
      </c>
      <c r="BZ121" s="39">
        <f t="shared" si="94"/>
        <v>0</v>
      </c>
      <c r="CA121" s="39">
        <f t="shared" si="94"/>
        <v>0</v>
      </c>
      <c r="CB121" s="39">
        <f t="shared" si="94"/>
        <v>0</v>
      </c>
      <c r="CC121" s="39">
        <f t="shared" si="94"/>
        <v>0</v>
      </c>
      <c r="CD121" s="39">
        <f t="shared" si="94"/>
        <v>0</v>
      </c>
      <c r="CE121" s="39">
        <f t="shared" si="94"/>
        <v>0</v>
      </c>
      <c r="CF121" s="39">
        <f t="shared" si="94"/>
        <v>0</v>
      </c>
      <c r="CG121" s="39">
        <f t="shared" si="94"/>
        <v>0</v>
      </c>
      <c r="CH121" s="39">
        <f t="shared" si="94"/>
        <v>0</v>
      </c>
      <c r="CI121" s="39">
        <f t="shared" si="94"/>
        <v>0</v>
      </c>
      <c r="CJ121" s="39">
        <f t="shared" si="94"/>
        <v>0</v>
      </c>
      <c r="CK121" s="39">
        <f t="shared" si="94"/>
        <v>0</v>
      </c>
    </row>
    <row r="122" spans="49:89" s="39" customFormat="1">
      <c r="AW122" s="571">
        <f t="shared" si="57"/>
        <v>0</v>
      </c>
      <c r="AX122" s="571">
        <v>5550</v>
      </c>
      <c r="AY122" s="571">
        <f t="shared" si="58"/>
        <v>0</v>
      </c>
      <c r="AZ122" s="571">
        <f t="shared" si="59"/>
        <v>11.1</v>
      </c>
      <c r="BA122" s="572">
        <f t="shared" si="81"/>
        <v>0</v>
      </c>
      <c r="BB122" s="571"/>
      <c r="BC122" s="573">
        <v>1.1100000000000001</v>
      </c>
      <c r="BD122" s="571">
        <f t="shared" si="51"/>
        <v>0</v>
      </c>
      <c r="BE122" s="571">
        <f t="shared" si="56"/>
        <v>0</v>
      </c>
      <c r="BF122" s="586">
        <f t="shared" si="52"/>
        <v>0</v>
      </c>
      <c r="BG122" s="586" t="e">
        <f t="shared" si="53"/>
        <v>#DIV/0!</v>
      </c>
      <c r="BH122" s="571" t="e">
        <f t="shared" si="54"/>
        <v>#DIV/0!</v>
      </c>
      <c r="BI122" s="571"/>
      <c r="BJ122" s="571"/>
      <c r="BK122" s="1535">
        <f t="shared" si="82"/>
        <v>0</v>
      </c>
      <c r="BL122" s="39">
        <f t="shared" ref="BL122:CK122" si="95">IF($BK122&gt;0,BL27,0)</f>
        <v>0</v>
      </c>
      <c r="BM122" s="39">
        <f t="shared" si="95"/>
        <v>0</v>
      </c>
      <c r="BN122" s="39">
        <f t="shared" si="95"/>
        <v>0</v>
      </c>
      <c r="BO122" s="39">
        <f t="shared" si="95"/>
        <v>0</v>
      </c>
      <c r="BP122" s="39">
        <f t="shared" si="95"/>
        <v>0</v>
      </c>
      <c r="BQ122" s="39">
        <f t="shared" si="95"/>
        <v>0</v>
      </c>
      <c r="BR122" s="39">
        <f t="shared" si="95"/>
        <v>0</v>
      </c>
      <c r="BS122" s="39">
        <f t="shared" si="95"/>
        <v>0</v>
      </c>
      <c r="BT122" s="39">
        <f t="shared" si="95"/>
        <v>0</v>
      </c>
      <c r="BU122" s="39">
        <f t="shared" si="95"/>
        <v>0</v>
      </c>
      <c r="BV122" s="39">
        <f t="shared" si="95"/>
        <v>0</v>
      </c>
      <c r="BW122" s="39">
        <f t="shared" si="95"/>
        <v>0</v>
      </c>
      <c r="BX122" s="39">
        <f t="shared" si="95"/>
        <v>0</v>
      </c>
      <c r="BY122" s="39">
        <f t="shared" si="95"/>
        <v>0</v>
      </c>
      <c r="BZ122" s="39">
        <f t="shared" si="95"/>
        <v>0</v>
      </c>
      <c r="CA122" s="39">
        <f t="shared" si="95"/>
        <v>0</v>
      </c>
      <c r="CB122" s="39">
        <f t="shared" si="95"/>
        <v>0</v>
      </c>
      <c r="CC122" s="39">
        <f t="shared" si="95"/>
        <v>0</v>
      </c>
      <c r="CD122" s="39">
        <f t="shared" si="95"/>
        <v>0</v>
      </c>
      <c r="CE122" s="39">
        <f t="shared" si="95"/>
        <v>0</v>
      </c>
      <c r="CF122" s="39">
        <f t="shared" si="95"/>
        <v>0</v>
      </c>
      <c r="CG122" s="39">
        <f t="shared" si="95"/>
        <v>0</v>
      </c>
      <c r="CH122" s="39">
        <f t="shared" si="95"/>
        <v>0</v>
      </c>
      <c r="CI122" s="39">
        <f t="shared" si="95"/>
        <v>0</v>
      </c>
      <c r="CJ122" s="39">
        <f t="shared" si="95"/>
        <v>0</v>
      </c>
      <c r="CK122" s="39">
        <f t="shared" si="95"/>
        <v>0</v>
      </c>
    </row>
    <row r="123" spans="49:89" s="39" customFormat="1">
      <c r="AW123" s="571">
        <f t="shared" si="57"/>
        <v>0</v>
      </c>
      <c r="AX123" s="571">
        <v>5600</v>
      </c>
      <c r="AY123" s="571">
        <f t="shared" si="58"/>
        <v>0</v>
      </c>
      <c r="AZ123" s="571">
        <f t="shared" si="59"/>
        <v>11.2</v>
      </c>
      <c r="BA123" s="572">
        <f t="shared" si="81"/>
        <v>0</v>
      </c>
      <c r="BB123" s="571"/>
      <c r="BC123" s="573">
        <v>1.1200000000000001</v>
      </c>
      <c r="BD123" s="571">
        <f t="shared" si="51"/>
        <v>0</v>
      </c>
      <c r="BE123" s="571">
        <f t="shared" si="56"/>
        <v>0</v>
      </c>
      <c r="BF123" s="586">
        <f t="shared" si="52"/>
        <v>0</v>
      </c>
      <c r="BG123" s="586" t="e">
        <f t="shared" si="53"/>
        <v>#DIV/0!</v>
      </c>
      <c r="BH123" s="571" t="e">
        <f t="shared" si="54"/>
        <v>#DIV/0!</v>
      </c>
      <c r="BI123" s="571"/>
      <c r="BJ123" s="571"/>
      <c r="BK123" s="1535">
        <f t="shared" si="82"/>
        <v>0</v>
      </c>
      <c r="BL123" s="39">
        <f t="shared" ref="BL123:CK123" si="96">IF($BK123&gt;0,BL28,0)</f>
        <v>0</v>
      </c>
      <c r="BM123" s="39">
        <f t="shared" si="96"/>
        <v>0</v>
      </c>
      <c r="BN123" s="39">
        <f t="shared" si="96"/>
        <v>0</v>
      </c>
      <c r="BO123" s="39">
        <f t="shared" si="96"/>
        <v>0</v>
      </c>
      <c r="BP123" s="39">
        <f t="shared" si="96"/>
        <v>0</v>
      </c>
      <c r="BQ123" s="39">
        <f t="shared" si="96"/>
        <v>0</v>
      </c>
      <c r="BR123" s="39">
        <f t="shared" si="96"/>
        <v>0</v>
      </c>
      <c r="BS123" s="39">
        <f t="shared" si="96"/>
        <v>0</v>
      </c>
      <c r="BT123" s="39">
        <f t="shared" si="96"/>
        <v>0</v>
      </c>
      <c r="BU123" s="39">
        <f t="shared" si="96"/>
        <v>0</v>
      </c>
      <c r="BV123" s="39">
        <f t="shared" si="96"/>
        <v>0</v>
      </c>
      <c r="BW123" s="39">
        <f t="shared" si="96"/>
        <v>0</v>
      </c>
      <c r="BX123" s="39">
        <f t="shared" si="96"/>
        <v>0</v>
      </c>
      <c r="BY123" s="39">
        <f t="shared" si="96"/>
        <v>0</v>
      </c>
      <c r="BZ123" s="39">
        <f t="shared" si="96"/>
        <v>0</v>
      </c>
      <c r="CA123" s="39">
        <f t="shared" si="96"/>
        <v>0</v>
      </c>
      <c r="CB123" s="39">
        <f t="shared" si="96"/>
        <v>0</v>
      </c>
      <c r="CC123" s="39">
        <f t="shared" si="96"/>
        <v>0</v>
      </c>
      <c r="CD123" s="39">
        <f t="shared" si="96"/>
        <v>0</v>
      </c>
      <c r="CE123" s="39">
        <f t="shared" si="96"/>
        <v>0</v>
      </c>
      <c r="CF123" s="39">
        <f t="shared" si="96"/>
        <v>0</v>
      </c>
      <c r="CG123" s="39">
        <f t="shared" si="96"/>
        <v>0</v>
      </c>
      <c r="CH123" s="39">
        <f t="shared" si="96"/>
        <v>0</v>
      </c>
      <c r="CI123" s="39">
        <f t="shared" si="96"/>
        <v>0</v>
      </c>
      <c r="CJ123" s="39">
        <f t="shared" si="96"/>
        <v>0</v>
      </c>
      <c r="CK123" s="39">
        <f t="shared" si="96"/>
        <v>0</v>
      </c>
    </row>
    <row r="124" spans="49:89" s="39" customFormat="1">
      <c r="AW124" s="571">
        <f t="shared" si="57"/>
        <v>0</v>
      </c>
      <c r="AX124" s="571">
        <v>5650</v>
      </c>
      <c r="AY124" s="571">
        <f t="shared" si="58"/>
        <v>0</v>
      </c>
      <c r="AZ124" s="571">
        <f t="shared" si="59"/>
        <v>11.3</v>
      </c>
      <c r="BA124" s="572">
        <f t="shared" si="81"/>
        <v>0</v>
      </c>
      <c r="BB124" s="571"/>
      <c r="BC124" s="573">
        <v>1.1299999999999999</v>
      </c>
      <c r="BD124" s="571">
        <f t="shared" si="51"/>
        <v>0</v>
      </c>
      <c r="BE124" s="571">
        <f t="shared" si="56"/>
        <v>0</v>
      </c>
      <c r="BF124" s="586">
        <f t="shared" si="52"/>
        <v>0</v>
      </c>
      <c r="BG124" s="586" t="e">
        <f t="shared" si="53"/>
        <v>#DIV/0!</v>
      </c>
      <c r="BH124" s="571" t="e">
        <f t="shared" si="54"/>
        <v>#DIV/0!</v>
      </c>
      <c r="BI124" s="571"/>
      <c r="BJ124" s="571"/>
      <c r="BK124" s="1535">
        <f t="shared" si="82"/>
        <v>0</v>
      </c>
      <c r="BL124" s="39">
        <f t="shared" ref="BL124:CK124" si="97">IF($BK124&gt;0,BL29,0)</f>
        <v>0</v>
      </c>
      <c r="BM124" s="39">
        <f t="shared" si="97"/>
        <v>0</v>
      </c>
      <c r="BN124" s="39">
        <f t="shared" si="97"/>
        <v>0</v>
      </c>
      <c r="BO124" s="39">
        <f t="shared" si="97"/>
        <v>0</v>
      </c>
      <c r="BP124" s="39">
        <f t="shared" si="97"/>
        <v>0</v>
      </c>
      <c r="BQ124" s="39">
        <f t="shared" si="97"/>
        <v>0</v>
      </c>
      <c r="BR124" s="39">
        <f t="shared" si="97"/>
        <v>0</v>
      </c>
      <c r="BS124" s="39">
        <f t="shared" si="97"/>
        <v>0</v>
      </c>
      <c r="BT124" s="39">
        <f t="shared" si="97"/>
        <v>0</v>
      </c>
      <c r="BU124" s="39">
        <f t="shared" si="97"/>
        <v>0</v>
      </c>
      <c r="BV124" s="39">
        <f t="shared" si="97"/>
        <v>0</v>
      </c>
      <c r="BW124" s="39">
        <f t="shared" si="97"/>
        <v>0</v>
      </c>
      <c r="BX124" s="39">
        <f t="shared" si="97"/>
        <v>0</v>
      </c>
      <c r="BY124" s="39">
        <f t="shared" si="97"/>
        <v>0</v>
      </c>
      <c r="BZ124" s="39">
        <f t="shared" si="97"/>
        <v>0</v>
      </c>
      <c r="CA124" s="39">
        <f t="shared" si="97"/>
        <v>0</v>
      </c>
      <c r="CB124" s="39">
        <f t="shared" si="97"/>
        <v>0</v>
      </c>
      <c r="CC124" s="39">
        <f t="shared" si="97"/>
        <v>0</v>
      </c>
      <c r="CD124" s="39">
        <f t="shared" si="97"/>
        <v>0</v>
      </c>
      <c r="CE124" s="39">
        <f t="shared" si="97"/>
        <v>0</v>
      </c>
      <c r="CF124" s="39">
        <f t="shared" si="97"/>
        <v>0</v>
      </c>
      <c r="CG124" s="39">
        <f t="shared" si="97"/>
        <v>0</v>
      </c>
      <c r="CH124" s="39">
        <f t="shared" si="97"/>
        <v>0</v>
      </c>
      <c r="CI124" s="39">
        <f t="shared" si="97"/>
        <v>0</v>
      </c>
      <c r="CJ124" s="39">
        <f t="shared" si="97"/>
        <v>0</v>
      </c>
      <c r="CK124" s="39">
        <f t="shared" si="97"/>
        <v>0</v>
      </c>
    </row>
    <row r="125" spans="49:89" s="39" customFormat="1">
      <c r="AW125" s="571">
        <f t="shared" si="57"/>
        <v>0</v>
      </c>
      <c r="AX125" s="571">
        <v>5700</v>
      </c>
      <c r="AY125" s="571">
        <f t="shared" si="58"/>
        <v>0</v>
      </c>
      <c r="AZ125" s="571">
        <f t="shared" si="59"/>
        <v>11.4</v>
      </c>
      <c r="BA125" s="572">
        <f t="shared" si="81"/>
        <v>0</v>
      </c>
      <c r="BB125" s="571"/>
      <c r="BC125" s="573">
        <v>1.1399999999999999</v>
      </c>
      <c r="BD125" s="571">
        <f t="shared" si="51"/>
        <v>0</v>
      </c>
      <c r="BE125" s="571">
        <f t="shared" si="56"/>
        <v>0</v>
      </c>
      <c r="BF125" s="586">
        <f t="shared" si="52"/>
        <v>0</v>
      </c>
      <c r="BG125" s="586" t="e">
        <f t="shared" si="53"/>
        <v>#DIV/0!</v>
      </c>
      <c r="BH125" s="571" t="e">
        <f t="shared" si="54"/>
        <v>#DIV/0!</v>
      </c>
      <c r="BI125" s="571"/>
      <c r="BJ125" s="571"/>
      <c r="BK125" s="1535">
        <f t="shared" si="82"/>
        <v>0</v>
      </c>
      <c r="BL125" s="39">
        <f t="shared" ref="BL125:CK125" si="98">IF($BK125&gt;0,BL30,0)</f>
        <v>0</v>
      </c>
      <c r="BM125" s="39">
        <f t="shared" si="98"/>
        <v>0</v>
      </c>
      <c r="BN125" s="39">
        <f t="shared" si="98"/>
        <v>0</v>
      </c>
      <c r="BO125" s="39">
        <f t="shared" si="98"/>
        <v>0</v>
      </c>
      <c r="BP125" s="39">
        <f t="shared" si="98"/>
        <v>0</v>
      </c>
      <c r="BQ125" s="39">
        <f t="shared" si="98"/>
        <v>0</v>
      </c>
      <c r="BR125" s="39">
        <f t="shared" si="98"/>
        <v>0</v>
      </c>
      <c r="BS125" s="39">
        <f t="shared" si="98"/>
        <v>0</v>
      </c>
      <c r="BT125" s="39">
        <f t="shared" si="98"/>
        <v>0</v>
      </c>
      <c r="BU125" s="39">
        <f t="shared" si="98"/>
        <v>0</v>
      </c>
      <c r="BV125" s="39">
        <f t="shared" si="98"/>
        <v>0</v>
      </c>
      <c r="BW125" s="39">
        <f t="shared" si="98"/>
        <v>0</v>
      </c>
      <c r="BX125" s="39">
        <f t="shared" si="98"/>
        <v>0</v>
      </c>
      <c r="BY125" s="39">
        <f t="shared" si="98"/>
        <v>0</v>
      </c>
      <c r="BZ125" s="39">
        <f t="shared" si="98"/>
        <v>0</v>
      </c>
      <c r="CA125" s="39">
        <f t="shared" si="98"/>
        <v>0</v>
      </c>
      <c r="CB125" s="39">
        <f t="shared" si="98"/>
        <v>0</v>
      </c>
      <c r="CC125" s="39">
        <f t="shared" si="98"/>
        <v>0</v>
      </c>
      <c r="CD125" s="39">
        <f t="shared" si="98"/>
        <v>0</v>
      </c>
      <c r="CE125" s="39">
        <f t="shared" si="98"/>
        <v>0</v>
      </c>
      <c r="CF125" s="39">
        <f t="shared" si="98"/>
        <v>0</v>
      </c>
      <c r="CG125" s="39">
        <f t="shared" si="98"/>
        <v>0</v>
      </c>
      <c r="CH125" s="39">
        <f t="shared" si="98"/>
        <v>0</v>
      </c>
      <c r="CI125" s="39">
        <f t="shared" si="98"/>
        <v>0</v>
      </c>
      <c r="CJ125" s="39">
        <f t="shared" si="98"/>
        <v>0</v>
      </c>
      <c r="CK125" s="39">
        <f t="shared" si="98"/>
        <v>0</v>
      </c>
    </row>
    <row r="126" spans="49:89" s="39" customFormat="1">
      <c r="AW126" s="571">
        <f t="shared" si="57"/>
        <v>0</v>
      </c>
      <c r="AX126" s="571">
        <v>5750</v>
      </c>
      <c r="AY126" s="571">
        <f t="shared" si="58"/>
        <v>0</v>
      </c>
      <c r="AZ126" s="571">
        <f t="shared" si="59"/>
        <v>11.5</v>
      </c>
      <c r="BA126" s="572">
        <f t="shared" si="81"/>
        <v>0</v>
      </c>
      <c r="BB126" s="571"/>
      <c r="BC126" s="573">
        <v>1.1499999999999999</v>
      </c>
      <c r="BD126" s="571">
        <f t="shared" si="51"/>
        <v>0</v>
      </c>
      <c r="BE126" s="571">
        <f t="shared" si="56"/>
        <v>0</v>
      </c>
      <c r="BF126" s="586">
        <f t="shared" si="52"/>
        <v>0</v>
      </c>
      <c r="BG126" s="586" t="e">
        <f t="shared" si="53"/>
        <v>#DIV/0!</v>
      </c>
      <c r="BH126" s="571" t="e">
        <f t="shared" si="54"/>
        <v>#DIV/0!</v>
      </c>
      <c r="BI126" s="571"/>
      <c r="BJ126" s="571"/>
      <c r="BK126" s="1535">
        <f t="shared" si="82"/>
        <v>0</v>
      </c>
      <c r="BL126" s="39">
        <f t="shared" ref="BL126:CK126" si="99">IF($BK126&gt;0,BL31,0)</f>
        <v>0</v>
      </c>
      <c r="BM126" s="39">
        <f t="shared" si="99"/>
        <v>0</v>
      </c>
      <c r="BN126" s="39">
        <f t="shared" si="99"/>
        <v>0</v>
      </c>
      <c r="BO126" s="39">
        <f t="shared" si="99"/>
        <v>0</v>
      </c>
      <c r="BP126" s="39">
        <f t="shared" si="99"/>
        <v>0</v>
      </c>
      <c r="BQ126" s="39">
        <f t="shared" si="99"/>
        <v>0</v>
      </c>
      <c r="BR126" s="39">
        <f t="shared" si="99"/>
        <v>0</v>
      </c>
      <c r="BS126" s="39">
        <f t="shared" si="99"/>
        <v>0</v>
      </c>
      <c r="BT126" s="39">
        <f t="shared" si="99"/>
        <v>0</v>
      </c>
      <c r="BU126" s="39">
        <f t="shared" si="99"/>
        <v>0</v>
      </c>
      <c r="BV126" s="39">
        <f t="shared" si="99"/>
        <v>0</v>
      </c>
      <c r="BW126" s="39">
        <f t="shared" si="99"/>
        <v>0</v>
      </c>
      <c r="BX126" s="39">
        <f t="shared" si="99"/>
        <v>0</v>
      </c>
      <c r="BY126" s="39">
        <f t="shared" si="99"/>
        <v>0</v>
      </c>
      <c r="BZ126" s="39">
        <f t="shared" si="99"/>
        <v>0</v>
      </c>
      <c r="CA126" s="39">
        <f t="shared" si="99"/>
        <v>0</v>
      </c>
      <c r="CB126" s="39">
        <f t="shared" si="99"/>
        <v>0</v>
      </c>
      <c r="CC126" s="39">
        <f t="shared" si="99"/>
        <v>0</v>
      </c>
      <c r="CD126" s="39">
        <f t="shared" si="99"/>
        <v>0</v>
      </c>
      <c r="CE126" s="39">
        <f t="shared" si="99"/>
        <v>0</v>
      </c>
      <c r="CF126" s="39">
        <f t="shared" si="99"/>
        <v>0</v>
      </c>
      <c r="CG126" s="39">
        <f t="shared" si="99"/>
        <v>0</v>
      </c>
      <c r="CH126" s="39">
        <f t="shared" si="99"/>
        <v>0</v>
      </c>
      <c r="CI126" s="39">
        <f t="shared" si="99"/>
        <v>0</v>
      </c>
      <c r="CJ126" s="39">
        <f t="shared" si="99"/>
        <v>0</v>
      </c>
      <c r="CK126" s="39">
        <f t="shared" si="99"/>
        <v>0</v>
      </c>
    </row>
    <row r="127" spans="49:89" s="39" customFormat="1">
      <c r="AW127" s="571">
        <f t="shared" si="57"/>
        <v>0</v>
      </c>
      <c r="AX127" s="571">
        <v>5800</v>
      </c>
      <c r="AY127" s="571">
        <f t="shared" si="58"/>
        <v>0</v>
      </c>
      <c r="AZ127" s="571">
        <f t="shared" si="59"/>
        <v>11.6</v>
      </c>
      <c r="BA127" s="572">
        <f t="shared" si="81"/>
        <v>0</v>
      </c>
      <c r="BB127" s="571"/>
      <c r="BC127" s="573">
        <v>1.1599999999999999</v>
      </c>
      <c r="BD127" s="571">
        <f t="shared" si="51"/>
        <v>0</v>
      </c>
      <c r="BE127" s="571">
        <f t="shared" si="56"/>
        <v>0</v>
      </c>
      <c r="BF127" s="586">
        <f t="shared" si="52"/>
        <v>0</v>
      </c>
      <c r="BG127" s="586" t="e">
        <f t="shared" si="53"/>
        <v>#DIV/0!</v>
      </c>
      <c r="BH127" s="571" t="e">
        <f t="shared" si="54"/>
        <v>#DIV/0!</v>
      </c>
      <c r="BI127" s="571"/>
      <c r="BJ127" s="571"/>
      <c r="BK127" s="1535"/>
    </row>
    <row r="128" spans="49:89" s="39" customFormat="1">
      <c r="AW128" s="571">
        <f t="shared" si="57"/>
        <v>0</v>
      </c>
      <c r="AX128" s="571">
        <v>5850</v>
      </c>
      <c r="AY128" s="571">
        <f t="shared" si="58"/>
        <v>0</v>
      </c>
      <c r="AZ128" s="571">
        <f t="shared" si="59"/>
        <v>11.7</v>
      </c>
      <c r="BA128" s="572">
        <f t="shared" si="81"/>
        <v>0</v>
      </c>
      <c r="BB128" s="571"/>
      <c r="BC128" s="573">
        <v>1.17</v>
      </c>
      <c r="BD128" s="571">
        <f t="shared" si="51"/>
        <v>0</v>
      </c>
      <c r="BE128" s="571">
        <f t="shared" si="56"/>
        <v>0</v>
      </c>
      <c r="BF128" s="586">
        <f t="shared" si="52"/>
        <v>0</v>
      </c>
      <c r="BG128" s="586" t="e">
        <f t="shared" si="53"/>
        <v>#DIV/0!</v>
      </c>
      <c r="BH128" s="571" t="e">
        <f t="shared" si="54"/>
        <v>#DIV/0!</v>
      </c>
      <c r="BI128" s="571"/>
      <c r="BJ128" s="571"/>
      <c r="BK128" s="571"/>
    </row>
    <row r="129" spans="49:89" s="39" customFormat="1">
      <c r="AW129" s="571">
        <f t="shared" si="57"/>
        <v>0</v>
      </c>
      <c r="AX129" s="571">
        <v>5900</v>
      </c>
      <c r="AY129" s="571">
        <f t="shared" si="58"/>
        <v>0</v>
      </c>
      <c r="AZ129" s="571">
        <f t="shared" si="59"/>
        <v>11.8</v>
      </c>
      <c r="BA129" s="572">
        <f t="shared" si="81"/>
        <v>0</v>
      </c>
      <c r="BB129" s="571"/>
      <c r="BC129" s="573">
        <v>1.18</v>
      </c>
      <c r="BD129" s="571">
        <f t="shared" si="51"/>
        <v>0</v>
      </c>
      <c r="BE129" s="571">
        <f t="shared" si="56"/>
        <v>0</v>
      </c>
      <c r="BF129" s="586">
        <f t="shared" si="52"/>
        <v>0</v>
      </c>
      <c r="BG129" s="586" t="e">
        <f t="shared" si="53"/>
        <v>#DIV/0!</v>
      </c>
      <c r="BH129" s="571" t="e">
        <f t="shared" si="54"/>
        <v>#DIV/0!</v>
      </c>
      <c r="BI129" s="571"/>
      <c r="BJ129" s="571"/>
      <c r="BK129" s="585"/>
      <c r="BL129" s="39">
        <v>8</v>
      </c>
      <c r="BM129" s="39">
        <v>9</v>
      </c>
      <c r="BN129" s="39">
        <v>10</v>
      </c>
      <c r="BO129" s="39">
        <v>11</v>
      </c>
      <c r="BP129" s="39">
        <v>12</v>
      </c>
      <c r="BQ129" s="39">
        <v>13</v>
      </c>
      <c r="BR129" s="39">
        <v>14</v>
      </c>
      <c r="BS129" s="39">
        <v>15</v>
      </c>
      <c r="BT129" s="39">
        <v>16</v>
      </c>
      <c r="BU129" s="39">
        <v>18</v>
      </c>
      <c r="BV129" s="39">
        <v>20</v>
      </c>
      <c r="BW129" s="39">
        <v>22</v>
      </c>
      <c r="BX129" s="39">
        <v>24</v>
      </c>
      <c r="BY129" s="39">
        <v>26</v>
      </c>
      <c r="BZ129" s="39">
        <v>28</v>
      </c>
      <c r="CA129" s="39">
        <v>30</v>
      </c>
      <c r="CB129" s="39">
        <v>32</v>
      </c>
      <c r="CC129" s="39">
        <v>34</v>
      </c>
      <c r="CD129" s="39">
        <v>36</v>
      </c>
      <c r="CE129" s="39">
        <v>40</v>
      </c>
      <c r="CF129" s="39">
        <v>42</v>
      </c>
      <c r="CG129" s="39">
        <v>4</v>
      </c>
      <c r="CH129" s="39">
        <v>48</v>
      </c>
      <c r="CI129" s="39">
        <v>52</v>
      </c>
      <c r="CJ129" s="39">
        <v>56</v>
      </c>
      <c r="CK129" s="39">
        <v>60</v>
      </c>
    </row>
    <row r="130" spans="49:89" s="39" customFormat="1">
      <c r="AW130" s="571">
        <f t="shared" si="57"/>
        <v>0</v>
      </c>
      <c r="AX130" s="571">
        <v>5950</v>
      </c>
      <c r="AY130" s="571">
        <f t="shared" si="58"/>
        <v>0</v>
      </c>
      <c r="AZ130" s="571">
        <f t="shared" si="59"/>
        <v>11.9</v>
      </c>
      <c r="BA130" s="572">
        <f t="shared" si="81"/>
        <v>0</v>
      </c>
      <c r="BB130" s="571"/>
      <c r="BC130" s="573">
        <v>1.19</v>
      </c>
      <c r="BD130" s="571">
        <f t="shared" si="51"/>
        <v>0</v>
      </c>
      <c r="BE130" s="571">
        <f t="shared" si="56"/>
        <v>0</v>
      </c>
      <c r="BF130" s="586">
        <f t="shared" si="52"/>
        <v>0</v>
      </c>
      <c r="BG130" s="586" t="e">
        <f t="shared" si="53"/>
        <v>#DIV/0!</v>
      </c>
      <c r="BH130" s="571" t="e">
        <f t="shared" si="54"/>
        <v>#DIV/0!</v>
      </c>
      <c r="BI130" s="571"/>
      <c r="BJ130" s="571"/>
      <c r="BK130" s="571" t="s">
        <v>2017</v>
      </c>
      <c r="BL130" s="39">
        <f>SUM(BL110:BL126)</f>
        <v>0</v>
      </c>
      <c r="BM130" s="39">
        <f t="shared" ref="BM130:CK130" si="100">SUM(BM110:BM126)</f>
        <v>0</v>
      </c>
      <c r="BN130" s="39">
        <f t="shared" si="100"/>
        <v>0</v>
      </c>
      <c r="BO130" s="39">
        <f t="shared" si="100"/>
        <v>0</v>
      </c>
      <c r="BP130" s="39">
        <f t="shared" si="100"/>
        <v>0</v>
      </c>
      <c r="BQ130" s="39">
        <f t="shared" si="100"/>
        <v>0</v>
      </c>
      <c r="BR130" s="39">
        <f t="shared" si="100"/>
        <v>0</v>
      </c>
      <c r="BS130" s="39">
        <f t="shared" si="100"/>
        <v>0</v>
      </c>
      <c r="BT130" s="39">
        <f t="shared" si="100"/>
        <v>0</v>
      </c>
      <c r="BU130" s="39">
        <f t="shared" si="100"/>
        <v>0</v>
      </c>
      <c r="BV130" s="39">
        <f t="shared" si="100"/>
        <v>0</v>
      </c>
      <c r="BW130" s="39">
        <f t="shared" si="100"/>
        <v>0</v>
      </c>
      <c r="BX130" s="39">
        <f t="shared" si="100"/>
        <v>0</v>
      </c>
      <c r="BY130" s="39">
        <f t="shared" si="100"/>
        <v>0</v>
      </c>
      <c r="BZ130" s="39">
        <f t="shared" si="100"/>
        <v>0</v>
      </c>
      <c r="CA130" s="39">
        <f t="shared" si="100"/>
        <v>0</v>
      </c>
      <c r="CB130" s="39">
        <f t="shared" si="100"/>
        <v>0</v>
      </c>
      <c r="CC130" s="39">
        <f t="shared" si="100"/>
        <v>0</v>
      </c>
      <c r="CD130" s="39">
        <f t="shared" si="100"/>
        <v>0</v>
      </c>
      <c r="CE130" s="39">
        <f t="shared" si="100"/>
        <v>0</v>
      </c>
      <c r="CF130" s="39">
        <f t="shared" si="100"/>
        <v>0</v>
      </c>
      <c r="CG130" s="39">
        <f t="shared" si="100"/>
        <v>0</v>
      </c>
      <c r="CH130" s="39">
        <f t="shared" si="100"/>
        <v>0</v>
      </c>
      <c r="CI130" s="39">
        <f t="shared" si="100"/>
        <v>0</v>
      </c>
      <c r="CJ130" s="39">
        <f t="shared" si="100"/>
        <v>0</v>
      </c>
      <c r="CK130" s="39">
        <f t="shared" si="100"/>
        <v>0</v>
      </c>
    </row>
    <row r="131" spans="49:89" s="39" customFormat="1">
      <c r="AW131" s="571">
        <f t="shared" si="57"/>
        <v>0</v>
      </c>
      <c r="AX131" s="571">
        <v>6000</v>
      </c>
      <c r="AY131" s="571">
        <f t="shared" si="58"/>
        <v>0</v>
      </c>
      <c r="AZ131" s="571">
        <f t="shared" si="59"/>
        <v>12</v>
      </c>
      <c r="BA131" s="572">
        <f t="shared" si="81"/>
        <v>0</v>
      </c>
      <c r="BB131" s="571"/>
      <c r="BC131" s="573">
        <v>1.2</v>
      </c>
      <c r="BD131" s="571">
        <f t="shared" si="51"/>
        <v>0</v>
      </c>
      <c r="BE131" s="571">
        <f t="shared" si="56"/>
        <v>0</v>
      </c>
      <c r="BF131" s="586">
        <f t="shared" si="52"/>
        <v>0</v>
      </c>
      <c r="BG131" s="586" t="e">
        <f t="shared" si="53"/>
        <v>#DIV/0!</v>
      </c>
      <c r="BH131" s="571" t="e">
        <f t="shared" si="54"/>
        <v>#DIV/0!</v>
      </c>
      <c r="BI131" s="571"/>
      <c r="BJ131" s="571"/>
      <c r="BK131" s="571"/>
    </row>
    <row r="132" spans="49:89" s="39" customFormat="1">
      <c r="AW132" s="571">
        <f t="shared" si="57"/>
        <v>0</v>
      </c>
      <c r="AX132" s="571">
        <v>6050</v>
      </c>
      <c r="AY132" s="571">
        <f t="shared" si="58"/>
        <v>0</v>
      </c>
      <c r="AZ132" s="571">
        <f t="shared" si="59"/>
        <v>12.1</v>
      </c>
      <c r="BA132" s="572">
        <f t="shared" si="81"/>
        <v>0</v>
      </c>
      <c r="BB132" s="571"/>
      <c r="BC132" s="573">
        <v>1.21</v>
      </c>
      <c r="BD132" s="571">
        <f t="shared" si="51"/>
        <v>0</v>
      </c>
      <c r="BE132" s="571">
        <f t="shared" si="56"/>
        <v>0</v>
      </c>
      <c r="BF132" s="586">
        <f t="shared" si="52"/>
        <v>0</v>
      </c>
      <c r="BG132" s="586" t="e">
        <f t="shared" si="53"/>
        <v>#DIV/0!</v>
      </c>
      <c r="BH132" s="571" t="e">
        <f t="shared" si="54"/>
        <v>#DIV/0!</v>
      </c>
      <c r="BI132" s="571"/>
      <c r="BJ132" s="571"/>
      <c r="BK132" s="571" t="str">
        <f>IF(SUM(BL130:CK130)=0,"-",HLOOKUP(BJ108,BL129:CK130,2,FALSE))</f>
        <v>-</v>
      </c>
    </row>
    <row r="133" spans="49:89" s="39" customFormat="1">
      <c r="AW133" s="571">
        <f t="shared" si="57"/>
        <v>0</v>
      </c>
      <c r="AX133" s="571">
        <v>6100</v>
      </c>
      <c r="AY133" s="571">
        <f t="shared" si="58"/>
        <v>0</v>
      </c>
      <c r="AZ133" s="571">
        <f t="shared" si="59"/>
        <v>12.2</v>
      </c>
      <c r="BA133" s="572">
        <f t="shared" si="81"/>
        <v>0</v>
      </c>
      <c r="BB133" s="571"/>
      <c r="BC133" s="573">
        <v>1.22</v>
      </c>
      <c r="BD133" s="571">
        <f t="shared" si="51"/>
        <v>0</v>
      </c>
      <c r="BE133" s="571">
        <f t="shared" si="56"/>
        <v>0</v>
      </c>
      <c r="BF133" s="586">
        <f t="shared" si="52"/>
        <v>0</v>
      </c>
      <c r="BG133" s="586" t="e">
        <f t="shared" si="53"/>
        <v>#DIV/0!</v>
      </c>
      <c r="BH133" s="571" t="e">
        <f t="shared" si="54"/>
        <v>#DIV/0!</v>
      </c>
      <c r="BI133" s="571"/>
      <c r="BJ133" s="571"/>
      <c r="BK133" s="571"/>
    </row>
    <row r="134" spans="49:89" s="39" customFormat="1">
      <c r="AW134" s="571">
        <f t="shared" si="57"/>
        <v>0</v>
      </c>
      <c r="AX134" s="571">
        <v>6150</v>
      </c>
      <c r="AY134" s="571">
        <f t="shared" si="58"/>
        <v>0</v>
      </c>
      <c r="AZ134" s="571">
        <f t="shared" si="59"/>
        <v>12.3</v>
      </c>
      <c r="BA134" s="572">
        <f t="shared" si="81"/>
        <v>0</v>
      </c>
      <c r="BB134" s="571"/>
      <c r="BC134" s="573">
        <v>1.23</v>
      </c>
      <c r="BD134" s="571">
        <f t="shared" si="51"/>
        <v>0</v>
      </c>
      <c r="BE134" s="571">
        <f t="shared" si="56"/>
        <v>0</v>
      </c>
      <c r="BF134" s="586">
        <f t="shared" si="52"/>
        <v>0</v>
      </c>
      <c r="BG134" s="586" t="e">
        <f t="shared" si="53"/>
        <v>#DIV/0!</v>
      </c>
      <c r="BH134" s="571" t="e">
        <f t="shared" si="54"/>
        <v>#DIV/0!</v>
      </c>
      <c r="BI134" s="571"/>
      <c r="BJ134" s="571"/>
      <c r="BK134" s="571"/>
    </row>
    <row r="135" spans="49:89" s="39" customFormat="1">
      <c r="AW135" s="571">
        <f t="shared" si="57"/>
        <v>0</v>
      </c>
      <c r="AX135" s="571">
        <v>6200</v>
      </c>
      <c r="AY135" s="571">
        <f t="shared" si="58"/>
        <v>0</v>
      </c>
      <c r="AZ135" s="571">
        <f t="shared" si="59"/>
        <v>12.4</v>
      </c>
      <c r="BA135" s="572">
        <f t="shared" si="81"/>
        <v>0</v>
      </c>
      <c r="BB135" s="571"/>
      <c r="BC135" s="573">
        <v>1.24</v>
      </c>
      <c r="BD135" s="571">
        <f t="shared" si="51"/>
        <v>0</v>
      </c>
      <c r="BE135" s="571">
        <f t="shared" si="56"/>
        <v>0</v>
      </c>
      <c r="BF135" s="586">
        <f t="shared" si="52"/>
        <v>0</v>
      </c>
      <c r="BG135" s="586" t="e">
        <f t="shared" si="53"/>
        <v>#DIV/0!</v>
      </c>
      <c r="BH135" s="571" t="e">
        <f t="shared" si="54"/>
        <v>#DIV/0!</v>
      </c>
      <c r="BI135" s="571"/>
      <c r="BJ135" s="571"/>
      <c r="BK135" s="571"/>
    </row>
    <row r="136" spans="49:89" s="39" customFormat="1">
      <c r="AW136" s="571">
        <f t="shared" si="57"/>
        <v>0</v>
      </c>
      <c r="AX136" s="571">
        <v>6250</v>
      </c>
      <c r="AY136" s="571">
        <f t="shared" si="58"/>
        <v>0</v>
      </c>
      <c r="AZ136" s="571">
        <f t="shared" si="59"/>
        <v>12.5</v>
      </c>
      <c r="BA136" s="572">
        <f t="shared" si="81"/>
        <v>0</v>
      </c>
      <c r="BB136" s="571"/>
      <c r="BC136" s="573">
        <v>1.25</v>
      </c>
      <c r="BD136" s="571">
        <f t="shared" si="51"/>
        <v>0</v>
      </c>
      <c r="BE136" s="571">
        <f t="shared" si="56"/>
        <v>0</v>
      </c>
      <c r="BF136" s="586">
        <f t="shared" si="52"/>
        <v>0</v>
      </c>
      <c r="BG136" s="586" t="e">
        <f t="shared" si="53"/>
        <v>#DIV/0!</v>
      </c>
      <c r="BH136" s="571" t="e">
        <f t="shared" si="54"/>
        <v>#DIV/0!</v>
      </c>
      <c r="BI136" s="571"/>
      <c r="BJ136" s="571"/>
      <c r="BK136" s="571"/>
    </row>
    <row r="137" spans="49:89" s="39" customFormat="1">
      <c r="AW137" s="571">
        <f t="shared" si="57"/>
        <v>0</v>
      </c>
      <c r="AX137" s="571">
        <v>6300</v>
      </c>
      <c r="AY137" s="571">
        <f t="shared" si="58"/>
        <v>0</v>
      </c>
      <c r="AZ137" s="571">
        <f t="shared" si="59"/>
        <v>12.6</v>
      </c>
      <c r="BA137" s="572">
        <f t="shared" si="81"/>
        <v>0</v>
      </c>
      <c r="BB137" s="571"/>
      <c r="BC137" s="573">
        <v>1.26</v>
      </c>
      <c r="BD137" s="571">
        <f t="shared" si="51"/>
        <v>0</v>
      </c>
      <c r="BE137" s="571">
        <f t="shared" si="56"/>
        <v>0</v>
      </c>
      <c r="BF137" s="586">
        <f t="shared" si="52"/>
        <v>0</v>
      </c>
      <c r="BG137" s="586" t="e">
        <f t="shared" si="53"/>
        <v>#DIV/0!</v>
      </c>
      <c r="BH137" s="571" t="e">
        <f t="shared" si="54"/>
        <v>#DIV/0!</v>
      </c>
      <c r="BI137" s="571"/>
      <c r="BJ137" s="571"/>
      <c r="BK137" s="571"/>
    </row>
    <row r="138" spans="49:89" s="39" customFormat="1">
      <c r="AW138" s="571">
        <f t="shared" si="57"/>
        <v>0</v>
      </c>
      <c r="AX138" s="571">
        <v>6350</v>
      </c>
      <c r="AY138" s="571">
        <f t="shared" si="58"/>
        <v>0</v>
      </c>
      <c r="AZ138" s="571">
        <f t="shared" si="59"/>
        <v>12.7</v>
      </c>
      <c r="BA138" s="572">
        <f t="shared" si="81"/>
        <v>0</v>
      </c>
      <c r="BB138" s="571"/>
      <c r="BC138" s="573">
        <v>1.27</v>
      </c>
      <c r="BD138" s="571">
        <f t="shared" si="51"/>
        <v>0</v>
      </c>
      <c r="BE138" s="571">
        <f t="shared" si="56"/>
        <v>0</v>
      </c>
      <c r="BF138" s="586">
        <f t="shared" si="52"/>
        <v>0</v>
      </c>
      <c r="BG138" s="586" t="e">
        <f t="shared" si="53"/>
        <v>#DIV/0!</v>
      </c>
      <c r="BH138" s="571" t="e">
        <f t="shared" si="54"/>
        <v>#DIV/0!</v>
      </c>
      <c r="BI138" s="571"/>
      <c r="BJ138" s="571"/>
      <c r="BK138" s="571"/>
    </row>
    <row r="139" spans="49:89" s="39" customFormat="1">
      <c r="AW139" s="571">
        <f t="shared" si="57"/>
        <v>0</v>
      </c>
      <c r="AX139" s="571">
        <v>6400</v>
      </c>
      <c r="AY139" s="571">
        <f t="shared" si="58"/>
        <v>0</v>
      </c>
      <c r="AZ139" s="571">
        <f t="shared" si="59"/>
        <v>12.8</v>
      </c>
      <c r="BA139" s="572">
        <f t="shared" si="81"/>
        <v>0</v>
      </c>
      <c r="BB139" s="571"/>
      <c r="BC139" s="573">
        <v>1.28</v>
      </c>
      <c r="BD139" s="571">
        <f t="shared" si="51"/>
        <v>0</v>
      </c>
      <c r="BE139" s="571">
        <f t="shared" si="56"/>
        <v>0</v>
      </c>
      <c r="BF139" s="586">
        <f t="shared" si="52"/>
        <v>0</v>
      </c>
      <c r="BG139" s="586" t="e">
        <f t="shared" si="53"/>
        <v>#DIV/0!</v>
      </c>
      <c r="BH139" s="571" t="e">
        <f t="shared" si="54"/>
        <v>#DIV/0!</v>
      </c>
      <c r="BI139" s="571"/>
      <c r="BJ139" s="571"/>
      <c r="BK139" s="571"/>
    </row>
    <row r="140" spans="49:89" s="39" customFormat="1">
      <c r="AW140" s="571">
        <f t="shared" si="57"/>
        <v>0</v>
      </c>
      <c r="AX140" s="571">
        <v>6450</v>
      </c>
      <c r="AY140" s="571">
        <f t="shared" si="58"/>
        <v>0</v>
      </c>
      <c r="AZ140" s="571">
        <f t="shared" si="59"/>
        <v>12.9</v>
      </c>
      <c r="BA140" s="572">
        <f t="shared" si="81"/>
        <v>0</v>
      </c>
      <c r="BB140" s="571"/>
      <c r="BC140" s="573">
        <v>1.29</v>
      </c>
      <c r="BD140" s="571">
        <f t="shared" ref="BD140:BD203" si="101">$AU$15/BC140</f>
        <v>0</v>
      </c>
      <c r="BE140" s="571">
        <f t="shared" si="56"/>
        <v>0</v>
      </c>
      <c r="BF140" s="586">
        <f t="shared" ref="BF140:BF203" si="102">BC140*(BE140/1000)/$AO$12</f>
        <v>0</v>
      </c>
      <c r="BG140" s="586" t="e">
        <f t="shared" ref="BG140:BG203" si="103">POWER((1/(-1.8*LOG((6.9/BF140+POWER((($P$7/BE140)/3.71),1.11)),10))),2)</f>
        <v>#DIV/0!</v>
      </c>
      <c r="BH140" s="571" t="e">
        <f t="shared" ref="BH140:BH203" si="104">BG140*0.5*$P$6*16*$AU$15*$AU$15/(POWER(PI(),2)*POWER((BE140/1000),5))</f>
        <v>#DIV/0!</v>
      </c>
      <c r="BI140" s="571"/>
      <c r="BJ140" s="571"/>
      <c r="BK140" s="571"/>
    </row>
    <row r="141" spans="49:89" s="39" customFormat="1">
      <c r="AW141" s="571">
        <f t="shared" si="57"/>
        <v>0</v>
      </c>
      <c r="AX141" s="571">
        <v>6500</v>
      </c>
      <c r="AY141" s="571">
        <f t="shared" si="58"/>
        <v>0</v>
      </c>
      <c r="AZ141" s="571">
        <f t="shared" si="59"/>
        <v>13</v>
      </c>
      <c r="BA141" s="572">
        <f t="shared" ref="BA141:BA160" si="105">1.453*(AY141^0.6)/(AZ141^0.2)</f>
        <v>0</v>
      </c>
      <c r="BB141" s="571"/>
      <c r="BC141" s="573">
        <v>1.3</v>
      </c>
      <c r="BD141" s="571">
        <f t="shared" si="101"/>
        <v>0</v>
      </c>
      <c r="BE141" s="571">
        <f t="shared" ref="BE141:BE204" si="106">((BD141/PI())^0.5)*2*1000</f>
        <v>0</v>
      </c>
      <c r="BF141" s="586">
        <f t="shared" si="102"/>
        <v>0</v>
      </c>
      <c r="BG141" s="586" t="e">
        <f t="shared" si="103"/>
        <v>#DIV/0!</v>
      </c>
      <c r="BH141" s="571" t="e">
        <f t="shared" si="104"/>
        <v>#DIV/0!</v>
      </c>
      <c r="BI141" s="571"/>
      <c r="BJ141" s="571"/>
      <c r="BK141" s="571"/>
    </row>
    <row r="142" spans="49:89" s="39" customFormat="1">
      <c r="AW142" s="571">
        <f t="shared" ref="AW142:AW205" si="107">$P$25</f>
        <v>0</v>
      </c>
      <c r="AX142" s="571">
        <v>6550</v>
      </c>
      <c r="AY142" s="571">
        <f t="shared" ref="AY142:AY160" si="108">AW142/1000*AX142/1000</f>
        <v>0</v>
      </c>
      <c r="AZ142" s="571">
        <f t="shared" ref="AZ142:AZ160" si="109">((AW142/1000+AX142/1000)*2)</f>
        <v>13.1</v>
      </c>
      <c r="BA142" s="572">
        <f t="shared" si="105"/>
        <v>0</v>
      </c>
      <c r="BB142" s="571"/>
      <c r="BC142" s="573">
        <v>1.31</v>
      </c>
      <c r="BD142" s="571">
        <f t="shared" si="101"/>
        <v>0</v>
      </c>
      <c r="BE142" s="571">
        <f t="shared" si="106"/>
        <v>0</v>
      </c>
      <c r="BF142" s="586">
        <f t="shared" si="102"/>
        <v>0</v>
      </c>
      <c r="BG142" s="586" t="e">
        <f t="shared" si="103"/>
        <v>#DIV/0!</v>
      </c>
      <c r="BH142" s="571" t="e">
        <f t="shared" si="104"/>
        <v>#DIV/0!</v>
      </c>
      <c r="BI142" s="571"/>
      <c r="BJ142" s="571"/>
      <c r="BK142" s="571"/>
    </row>
    <row r="143" spans="49:89" s="39" customFormat="1">
      <c r="AW143" s="571">
        <f t="shared" si="107"/>
        <v>0</v>
      </c>
      <c r="AX143" s="571">
        <v>6600</v>
      </c>
      <c r="AY143" s="571">
        <f t="shared" si="108"/>
        <v>0</v>
      </c>
      <c r="AZ143" s="571">
        <f t="shared" si="109"/>
        <v>13.2</v>
      </c>
      <c r="BA143" s="572">
        <f t="shared" si="105"/>
        <v>0</v>
      </c>
      <c r="BB143" s="571"/>
      <c r="BC143" s="573">
        <v>1.32</v>
      </c>
      <c r="BD143" s="571">
        <f t="shared" si="101"/>
        <v>0</v>
      </c>
      <c r="BE143" s="571">
        <f t="shared" si="106"/>
        <v>0</v>
      </c>
      <c r="BF143" s="586">
        <f t="shared" si="102"/>
        <v>0</v>
      </c>
      <c r="BG143" s="586" t="e">
        <f t="shared" si="103"/>
        <v>#DIV/0!</v>
      </c>
      <c r="BH143" s="571" t="e">
        <f t="shared" si="104"/>
        <v>#DIV/0!</v>
      </c>
      <c r="BI143" s="571"/>
      <c r="BJ143" s="571"/>
      <c r="BK143" s="571"/>
    </row>
    <row r="144" spans="49:89" s="39" customFormat="1">
      <c r="AW144" s="571">
        <f t="shared" si="107"/>
        <v>0</v>
      </c>
      <c r="AX144" s="571">
        <v>6650</v>
      </c>
      <c r="AY144" s="571">
        <f t="shared" si="108"/>
        <v>0</v>
      </c>
      <c r="AZ144" s="571">
        <f t="shared" si="109"/>
        <v>13.3</v>
      </c>
      <c r="BA144" s="572">
        <f t="shared" si="105"/>
        <v>0</v>
      </c>
      <c r="BB144" s="571"/>
      <c r="BC144" s="573">
        <v>1.33</v>
      </c>
      <c r="BD144" s="571">
        <f t="shared" si="101"/>
        <v>0</v>
      </c>
      <c r="BE144" s="571">
        <f t="shared" si="106"/>
        <v>0</v>
      </c>
      <c r="BF144" s="586">
        <f t="shared" si="102"/>
        <v>0</v>
      </c>
      <c r="BG144" s="586" t="e">
        <f t="shared" si="103"/>
        <v>#DIV/0!</v>
      </c>
      <c r="BH144" s="571" t="e">
        <f t="shared" si="104"/>
        <v>#DIV/0!</v>
      </c>
      <c r="BI144" s="571"/>
      <c r="BJ144" s="571"/>
      <c r="BK144" s="571"/>
    </row>
    <row r="145" spans="49:60" s="39" customFormat="1">
      <c r="AW145" s="571">
        <f t="shared" si="107"/>
        <v>0</v>
      </c>
      <c r="AX145" s="571">
        <v>6700</v>
      </c>
      <c r="AY145" s="571">
        <f t="shared" si="108"/>
        <v>0</v>
      </c>
      <c r="AZ145" s="571">
        <f t="shared" si="109"/>
        <v>13.4</v>
      </c>
      <c r="BA145" s="572">
        <f t="shared" si="105"/>
        <v>0</v>
      </c>
      <c r="BB145" s="571"/>
      <c r="BC145" s="573">
        <v>1.34</v>
      </c>
      <c r="BD145" s="571">
        <f t="shared" si="101"/>
        <v>0</v>
      </c>
      <c r="BE145" s="571">
        <f t="shared" si="106"/>
        <v>0</v>
      </c>
      <c r="BF145" s="586">
        <f t="shared" si="102"/>
        <v>0</v>
      </c>
      <c r="BG145" s="586" t="e">
        <f t="shared" si="103"/>
        <v>#DIV/0!</v>
      </c>
      <c r="BH145" s="571" t="e">
        <f t="shared" si="104"/>
        <v>#DIV/0!</v>
      </c>
    </row>
    <row r="146" spans="49:60" s="39" customFormat="1">
      <c r="AW146" s="571">
        <f t="shared" si="107"/>
        <v>0</v>
      </c>
      <c r="AX146" s="571">
        <v>6750</v>
      </c>
      <c r="AY146" s="571">
        <f t="shared" si="108"/>
        <v>0</v>
      </c>
      <c r="AZ146" s="571">
        <f t="shared" si="109"/>
        <v>13.5</v>
      </c>
      <c r="BA146" s="572">
        <f t="shared" si="105"/>
        <v>0</v>
      </c>
      <c r="BB146" s="571"/>
      <c r="BC146" s="573">
        <v>1.35</v>
      </c>
      <c r="BD146" s="571">
        <f t="shared" si="101"/>
        <v>0</v>
      </c>
      <c r="BE146" s="571">
        <f t="shared" si="106"/>
        <v>0</v>
      </c>
      <c r="BF146" s="586">
        <f t="shared" si="102"/>
        <v>0</v>
      </c>
      <c r="BG146" s="586" t="e">
        <f t="shared" si="103"/>
        <v>#DIV/0!</v>
      </c>
      <c r="BH146" s="571" t="e">
        <f t="shared" si="104"/>
        <v>#DIV/0!</v>
      </c>
    </row>
    <row r="147" spans="49:60" s="39" customFormat="1">
      <c r="AW147" s="571">
        <f t="shared" si="107"/>
        <v>0</v>
      </c>
      <c r="AX147" s="571">
        <v>6800</v>
      </c>
      <c r="AY147" s="571">
        <f t="shared" si="108"/>
        <v>0</v>
      </c>
      <c r="AZ147" s="571">
        <f t="shared" si="109"/>
        <v>13.6</v>
      </c>
      <c r="BA147" s="572">
        <f t="shared" si="105"/>
        <v>0</v>
      </c>
      <c r="BB147" s="571"/>
      <c r="BC147" s="573">
        <v>1.36</v>
      </c>
      <c r="BD147" s="571">
        <f t="shared" si="101"/>
        <v>0</v>
      </c>
      <c r="BE147" s="571">
        <f t="shared" si="106"/>
        <v>0</v>
      </c>
      <c r="BF147" s="586">
        <f t="shared" si="102"/>
        <v>0</v>
      </c>
      <c r="BG147" s="586" t="e">
        <f t="shared" si="103"/>
        <v>#DIV/0!</v>
      </c>
      <c r="BH147" s="571" t="e">
        <f t="shared" si="104"/>
        <v>#DIV/0!</v>
      </c>
    </row>
    <row r="148" spans="49:60" s="39" customFormat="1">
      <c r="AW148" s="571">
        <f t="shared" si="107"/>
        <v>0</v>
      </c>
      <c r="AX148" s="571">
        <v>6850</v>
      </c>
      <c r="AY148" s="571">
        <f t="shared" si="108"/>
        <v>0</v>
      </c>
      <c r="AZ148" s="571">
        <f t="shared" si="109"/>
        <v>13.7</v>
      </c>
      <c r="BA148" s="572">
        <f t="shared" si="105"/>
        <v>0</v>
      </c>
      <c r="BB148" s="571"/>
      <c r="BC148" s="573">
        <v>1.37</v>
      </c>
      <c r="BD148" s="571">
        <f t="shared" si="101"/>
        <v>0</v>
      </c>
      <c r="BE148" s="571">
        <f t="shared" si="106"/>
        <v>0</v>
      </c>
      <c r="BF148" s="586">
        <f t="shared" si="102"/>
        <v>0</v>
      </c>
      <c r="BG148" s="586" t="e">
        <f t="shared" si="103"/>
        <v>#DIV/0!</v>
      </c>
      <c r="BH148" s="571" t="e">
        <f t="shared" si="104"/>
        <v>#DIV/0!</v>
      </c>
    </row>
    <row r="149" spans="49:60" s="39" customFormat="1">
      <c r="AW149" s="571">
        <f t="shared" si="107"/>
        <v>0</v>
      </c>
      <c r="AX149" s="571">
        <v>6900</v>
      </c>
      <c r="AY149" s="571">
        <f t="shared" si="108"/>
        <v>0</v>
      </c>
      <c r="AZ149" s="571">
        <f t="shared" si="109"/>
        <v>13.8</v>
      </c>
      <c r="BA149" s="572">
        <f t="shared" si="105"/>
        <v>0</v>
      </c>
      <c r="BB149" s="571"/>
      <c r="BC149" s="573">
        <v>1.38</v>
      </c>
      <c r="BD149" s="571">
        <f t="shared" si="101"/>
        <v>0</v>
      </c>
      <c r="BE149" s="571">
        <f t="shared" si="106"/>
        <v>0</v>
      </c>
      <c r="BF149" s="586">
        <f t="shared" si="102"/>
        <v>0</v>
      </c>
      <c r="BG149" s="586" t="e">
        <f t="shared" si="103"/>
        <v>#DIV/0!</v>
      </c>
      <c r="BH149" s="571" t="e">
        <f t="shared" si="104"/>
        <v>#DIV/0!</v>
      </c>
    </row>
    <row r="150" spans="49:60" s="39" customFormat="1">
      <c r="AW150" s="571">
        <f t="shared" si="107"/>
        <v>0</v>
      </c>
      <c r="AX150" s="571">
        <v>6950</v>
      </c>
      <c r="AY150" s="571">
        <f t="shared" si="108"/>
        <v>0</v>
      </c>
      <c r="AZ150" s="571">
        <f t="shared" si="109"/>
        <v>13.9</v>
      </c>
      <c r="BA150" s="572">
        <f t="shared" si="105"/>
        <v>0</v>
      </c>
      <c r="BB150" s="571"/>
      <c r="BC150" s="573">
        <v>1.39</v>
      </c>
      <c r="BD150" s="571">
        <f t="shared" si="101"/>
        <v>0</v>
      </c>
      <c r="BE150" s="571">
        <f t="shared" si="106"/>
        <v>0</v>
      </c>
      <c r="BF150" s="586">
        <f t="shared" si="102"/>
        <v>0</v>
      </c>
      <c r="BG150" s="586" t="e">
        <f t="shared" si="103"/>
        <v>#DIV/0!</v>
      </c>
      <c r="BH150" s="571" t="e">
        <f t="shared" si="104"/>
        <v>#DIV/0!</v>
      </c>
    </row>
    <row r="151" spans="49:60" s="39" customFormat="1">
      <c r="AW151" s="571">
        <f t="shared" si="107"/>
        <v>0</v>
      </c>
      <c r="AX151" s="571">
        <v>7000</v>
      </c>
      <c r="AY151" s="571">
        <f t="shared" si="108"/>
        <v>0</v>
      </c>
      <c r="AZ151" s="571">
        <f t="shared" si="109"/>
        <v>14</v>
      </c>
      <c r="BA151" s="572">
        <f t="shared" si="105"/>
        <v>0</v>
      </c>
      <c r="BB151" s="571"/>
      <c r="BC151" s="573">
        <v>1.4</v>
      </c>
      <c r="BD151" s="571">
        <f t="shared" si="101"/>
        <v>0</v>
      </c>
      <c r="BE151" s="571">
        <f t="shared" si="106"/>
        <v>0</v>
      </c>
      <c r="BF151" s="586">
        <f t="shared" si="102"/>
        <v>0</v>
      </c>
      <c r="BG151" s="586" t="e">
        <f t="shared" si="103"/>
        <v>#DIV/0!</v>
      </c>
      <c r="BH151" s="571" t="e">
        <f t="shared" si="104"/>
        <v>#DIV/0!</v>
      </c>
    </row>
    <row r="152" spans="49:60" s="39" customFormat="1">
      <c r="AW152" s="571">
        <f t="shared" si="107"/>
        <v>0</v>
      </c>
      <c r="AX152" s="571">
        <v>7050</v>
      </c>
      <c r="AY152" s="571">
        <f t="shared" si="108"/>
        <v>0</v>
      </c>
      <c r="AZ152" s="571">
        <f t="shared" si="109"/>
        <v>14.1</v>
      </c>
      <c r="BA152" s="572">
        <f t="shared" si="105"/>
        <v>0</v>
      </c>
      <c r="BB152" s="571"/>
      <c r="BC152" s="573">
        <v>1.41</v>
      </c>
      <c r="BD152" s="571">
        <f t="shared" si="101"/>
        <v>0</v>
      </c>
      <c r="BE152" s="571">
        <f t="shared" si="106"/>
        <v>0</v>
      </c>
      <c r="BF152" s="586">
        <f t="shared" si="102"/>
        <v>0</v>
      </c>
      <c r="BG152" s="586" t="e">
        <f t="shared" si="103"/>
        <v>#DIV/0!</v>
      </c>
      <c r="BH152" s="571" t="e">
        <f t="shared" si="104"/>
        <v>#DIV/0!</v>
      </c>
    </row>
    <row r="153" spans="49:60" s="39" customFormat="1">
      <c r="AW153" s="571">
        <f t="shared" si="107"/>
        <v>0</v>
      </c>
      <c r="AX153" s="571">
        <v>7100</v>
      </c>
      <c r="AY153" s="571">
        <f t="shared" si="108"/>
        <v>0</v>
      </c>
      <c r="AZ153" s="571">
        <f t="shared" si="109"/>
        <v>14.2</v>
      </c>
      <c r="BA153" s="572">
        <f t="shared" si="105"/>
        <v>0</v>
      </c>
      <c r="BB153" s="571"/>
      <c r="BC153" s="573">
        <v>1.42</v>
      </c>
      <c r="BD153" s="571">
        <f t="shared" si="101"/>
        <v>0</v>
      </c>
      <c r="BE153" s="571">
        <f t="shared" si="106"/>
        <v>0</v>
      </c>
      <c r="BF153" s="586">
        <f t="shared" si="102"/>
        <v>0</v>
      </c>
      <c r="BG153" s="586" t="e">
        <f t="shared" si="103"/>
        <v>#DIV/0!</v>
      </c>
      <c r="BH153" s="571" t="e">
        <f t="shared" si="104"/>
        <v>#DIV/0!</v>
      </c>
    </row>
    <row r="154" spans="49:60" s="39" customFormat="1">
      <c r="AW154" s="571">
        <f t="shared" si="107"/>
        <v>0</v>
      </c>
      <c r="AX154" s="571">
        <v>7150</v>
      </c>
      <c r="AY154" s="571">
        <f t="shared" si="108"/>
        <v>0</v>
      </c>
      <c r="AZ154" s="571">
        <f t="shared" si="109"/>
        <v>14.3</v>
      </c>
      <c r="BA154" s="572">
        <f t="shared" si="105"/>
        <v>0</v>
      </c>
      <c r="BB154" s="571"/>
      <c r="BC154" s="573">
        <v>1.43</v>
      </c>
      <c r="BD154" s="571">
        <f t="shared" si="101"/>
        <v>0</v>
      </c>
      <c r="BE154" s="571">
        <f t="shared" si="106"/>
        <v>0</v>
      </c>
      <c r="BF154" s="586">
        <f t="shared" si="102"/>
        <v>0</v>
      </c>
      <c r="BG154" s="586" t="e">
        <f t="shared" si="103"/>
        <v>#DIV/0!</v>
      </c>
      <c r="BH154" s="571" t="e">
        <f t="shared" si="104"/>
        <v>#DIV/0!</v>
      </c>
    </row>
    <row r="155" spans="49:60" s="39" customFormat="1">
      <c r="AW155" s="571">
        <f t="shared" si="107"/>
        <v>0</v>
      </c>
      <c r="AX155" s="571">
        <v>7200</v>
      </c>
      <c r="AY155" s="571">
        <f t="shared" si="108"/>
        <v>0</v>
      </c>
      <c r="AZ155" s="571">
        <f t="shared" si="109"/>
        <v>14.4</v>
      </c>
      <c r="BA155" s="572">
        <f t="shared" si="105"/>
        <v>0</v>
      </c>
      <c r="BB155" s="571"/>
      <c r="BC155" s="573">
        <v>1.44</v>
      </c>
      <c r="BD155" s="571">
        <f t="shared" si="101"/>
        <v>0</v>
      </c>
      <c r="BE155" s="571">
        <f t="shared" si="106"/>
        <v>0</v>
      </c>
      <c r="BF155" s="586">
        <f t="shared" si="102"/>
        <v>0</v>
      </c>
      <c r="BG155" s="586" t="e">
        <f t="shared" si="103"/>
        <v>#DIV/0!</v>
      </c>
      <c r="BH155" s="571" t="e">
        <f t="shared" si="104"/>
        <v>#DIV/0!</v>
      </c>
    </row>
    <row r="156" spans="49:60" s="39" customFormat="1">
      <c r="AW156" s="571">
        <f t="shared" si="107"/>
        <v>0</v>
      </c>
      <c r="AX156" s="571">
        <v>7250</v>
      </c>
      <c r="AY156" s="571">
        <f t="shared" si="108"/>
        <v>0</v>
      </c>
      <c r="AZ156" s="571">
        <f t="shared" si="109"/>
        <v>14.5</v>
      </c>
      <c r="BA156" s="572">
        <f t="shared" si="105"/>
        <v>0</v>
      </c>
      <c r="BB156" s="571"/>
      <c r="BC156" s="573">
        <v>1.45</v>
      </c>
      <c r="BD156" s="571">
        <f t="shared" si="101"/>
        <v>0</v>
      </c>
      <c r="BE156" s="571">
        <f t="shared" si="106"/>
        <v>0</v>
      </c>
      <c r="BF156" s="586">
        <f t="shared" si="102"/>
        <v>0</v>
      </c>
      <c r="BG156" s="586" t="e">
        <f t="shared" si="103"/>
        <v>#DIV/0!</v>
      </c>
      <c r="BH156" s="571" t="e">
        <f t="shared" si="104"/>
        <v>#DIV/0!</v>
      </c>
    </row>
    <row r="157" spans="49:60" s="39" customFormat="1">
      <c r="AW157" s="571">
        <f t="shared" si="107"/>
        <v>0</v>
      </c>
      <c r="AX157" s="571">
        <v>7300</v>
      </c>
      <c r="AY157" s="571">
        <f t="shared" si="108"/>
        <v>0</v>
      </c>
      <c r="AZ157" s="571">
        <f t="shared" si="109"/>
        <v>14.6</v>
      </c>
      <c r="BA157" s="572">
        <f t="shared" si="105"/>
        <v>0</v>
      </c>
      <c r="BB157" s="571"/>
      <c r="BC157" s="573">
        <v>1.46</v>
      </c>
      <c r="BD157" s="571">
        <f t="shared" si="101"/>
        <v>0</v>
      </c>
      <c r="BE157" s="571">
        <f t="shared" si="106"/>
        <v>0</v>
      </c>
      <c r="BF157" s="586">
        <f t="shared" si="102"/>
        <v>0</v>
      </c>
      <c r="BG157" s="586" t="e">
        <f t="shared" si="103"/>
        <v>#DIV/0!</v>
      </c>
      <c r="BH157" s="571" t="e">
        <f t="shared" si="104"/>
        <v>#DIV/0!</v>
      </c>
    </row>
    <row r="158" spans="49:60" s="39" customFormat="1">
      <c r="AW158" s="571">
        <f t="shared" si="107"/>
        <v>0</v>
      </c>
      <c r="AX158" s="571">
        <v>7350</v>
      </c>
      <c r="AY158" s="571">
        <f t="shared" si="108"/>
        <v>0</v>
      </c>
      <c r="AZ158" s="571">
        <f t="shared" si="109"/>
        <v>14.7</v>
      </c>
      <c r="BA158" s="572">
        <f t="shared" si="105"/>
        <v>0</v>
      </c>
      <c r="BB158" s="571"/>
      <c r="BC158" s="573">
        <v>1.47</v>
      </c>
      <c r="BD158" s="571">
        <f t="shared" si="101"/>
        <v>0</v>
      </c>
      <c r="BE158" s="571">
        <f t="shared" si="106"/>
        <v>0</v>
      </c>
      <c r="BF158" s="586">
        <f t="shared" si="102"/>
        <v>0</v>
      </c>
      <c r="BG158" s="586" t="e">
        <f t="shared" si="103"/>
        <v>#DIV/0!</v>
      </c>
      <c r="BH158" s="571" t="e">
        <f t="shared" si="104"/>
        <v>#DIV/0!</v>
      </c>
    </row>
    <row r="159" spans="49:60" s="39" customFormat="1">
      <c r="AW159" s="571">
        <f t="shared" si="107"/>
        <v>0</v>
      </c>
      <c r="AX159" s="571">
        <v>7400</v>
      </c>
      <c r="AY159" s="571">
        <f t="shared" si="108"/>
        <v>0</v>
      </c>
      <c r="AZ159" s="571">
        <f t="shared" si="109"/>
        <v>14.8</v>
      </c>
      <c r="BA159" s="572">
        <f t="shared" si="105"/>
        <v>0</v>
      </c>
      <c r="BB159" s="571"/>
      <c r="BC159" s="573">
        <v>1.48</v>
      </c>
      <c r="BD159" s="571">
        <f t="shared" si="101"/>
        <v>0</v>
      </c>
      <c r="BE159" s="571">
        <f t="shared" si="106"/>
        <v>0</v>
      </c>
      <c r="BF159" s="586">
        <f t="shared" si="102"/>
        <v>0</v>
      </c>
      <c r="BG159" s="586" t="e">
        <f t="shared" si="103"/>
        <v>#DIV/0!</v>
      </c>
      <c r="BH159" s="571" t="e">
        <f t="shared" si="104"/>
        <v>#DIV/0!</v>
      </c>
    </row>
    <row r="160" spans="49:60" s="39" customFormat="1">
      <c r="AW160" s="571">
        <f t="shared" si="107"/>
        <v>0</v>
      </c>
      <c r="AX160" s="571">
        <v>7450</v>
      </c>
      <c r="AY160" s="571">
        <f t="shared" si="108"/>
        <v>0</v>
      </c>
      <c r="AZ160" s="571">
        <f t="shared" si="109"/>
        <v>14.9</v>
      </c>
      <c r="BA160" s="572">
        <f t="shared" si="105"/>
        <v>0</v>
      </c>
      <c r="BB160" s="571"/>
      <c r="BC160" s="573">
        <v>1.49</v>
      </c>
      <c r="BD160" s="571">
        <f t="shared" si="101"/>
        <v>0</v>
      </c>
      <c r="BE160" s="571">
        <f t="shared" si="106"/>
        <v>0</v>
      </c>
      <c r="BF160" s="586">
        <f t="shared" si="102"/>
        <v>0</v>
      </c>
      <c r="BG160" s="586" t="e">
        <f t="shared" si="103"/>
        <v>#DIV/0!</v>
      </c>
      <c r="BH160" s="571" t="e">
        <f t="shared" si="104"/>
        <v>#DIV/0!</v>
      </c>
    </row>
    <row r="161" spans="49:60" s="39" customFormat="1">
      <c r="AW161" s="571">
        <f t="shared" si="107"/>
        <v>0</v>
      </c>
      <c r="AX161" s="571">
        <v>7500</v>
      </c>
      <c r="AY161" s="571">
        <f t="shared" ref="AY161:AY211" si="110">AW161/1000*AX161/1000</f>
        <v>0</v>
      </c>
      <c r="AZ161" s="571">
        <f t="shared" ref="AZ161:AZ211" si="111">((AW161/1000+AX161/1000)*2)</f>
        <v>15</v>
      </c>
      <c r="BA161" s="572">
        <f t="shared" ref="BA161:BA211" si="112">1.453*(AY161^0.6)/(AZ161^0.2)</f>
        <v>0</v>
      </c>
      <c r="BB161" s="571"/>
      <c r="BC161" s="573">
        <v>1.5</v>
      </c>
      <c r="BD161" s="571">
        <f t="shared" si="101"/>
        <v>0</v>
      </c>
      <c r="BE161" s="571">
        <f t="shared" si="106"/>
        <v>0</v>
      </c>
      <c r="BF161" s="586">
        <f t="shared" si="102"/>
        <v>0</v>
      </c>
      <c r="BG161" s="586" t="e">
        <f t="shared" si="103"/>
        <v>#DIV/0!</v>
      </c>
      <c r="BH161" s="571" t="e">
        <f t="shared" si="104"/>
        <v>#DIV/0!</v>
      </c>
    </row>
    <row r="162" spans="49:60" s="39" customFormat="1">
      <c r="AW162" s="571">
        <f t="shared" si="107"/>
        <v>0</v>
      </c>
      <c r="AX162" s="571">
        <v>7550</v>
      </c>
      <c r="AY162" s="571">
        <f t="shared" si="110"/>
        <v>0</v>
      </c>
      <c r="AZ162" s="571">
        <f t="shared" si="111"/>
        <v>15.1</v>
      </c>
      <c r="BA162" s="572">
        <f t="shared" si="112"/>
        <v>0</v>
      </c>
      <c r="BB162" s="571"/>
      <c r="BC162" s="573">
        <v>1.51</v>
      </c>
      <c r="BD162" s="571">
        <f t="shared" si="101"/>
        <v>0</v>
      </c>
      <c r="BE162" s="571">
        <f t="shared" si="106"/>
        <v>0</v>
      </c>
      <c r="BF162" s="586">
        <f t="shared" si="102"/>
        <v>0</v>
      </c>
      <c r="BG162" s="586" t="e">
        <f t="shared" si="103"/>
        <v>#DIV/0!</v>
      </c>
      <c r="BH162" s="571" t="e">
        <f t="shared" si="104"/>
        <v>#DIV/0!</v>
      </c>
    </row>
    <row r="163" spans="49:60" s="39" customFormat="1">
      <c r="AW163" s="571">
        <f t="shared" si="107"/>
        <v>0</v>
      </c>
      <c r="AX163" s="571">
        <v>7600</v>
      </c>
      <c r="AY163" s="571">
        <f t="shared" si="110"/>
        <v>0</v>
      </c>
      <c r="AZ163" s="571">
        <f t="shared" si="111"/>
        <v>15.2</v>
      </c>
      <c r="BA163" s="572">
        <f t="shared" si="112"/>
        <v>0</v>
      </c>
      <c r="BB163" s="571"/>
      <c r="BC163" s="573">
        <v>1.52</v>
      </c>
      <c r="BD163" s="571">
        <f t="shared" si="101"/>
        <v>0</v>
      </c>
      <c r="BE163" s="571">
        <f t="shared" si="106"/>
        <v>0</v>
      </c>
      <c r="BF163" s="586">
        <f t="shared" si="102"/>
        <v>0</v>
      </c>
      <c r="BG163" s="586" t="e">
        <f t="shared" si="103"/>
        <v>#DIV/0!</v>
      </c>
      <c r="BH163" s="571" t="e">
        <f t="shared" si="104"/>
        <v>#DIV/0!</v>
      </c>
    </row>
    <row r="164" spans="49:60" s="39" customFormat="1">
      <c r="AW164" s="571">
        <f t="shared" si="107"/>
        <v>0</v>
      </c>
      <c r="AX164" s="571">
        <v>7650</v>
      </c>
      <c r="AY164" s="571">
        <f t="shared" si="110"/>
        <v>0</v>
      </c>
      <c r="AZ164" s="571">
        <f t="shared" si="111"/>
        <v>15.3</v>
      </c>
      <c r="BA164" s="572">
        <f t="shared" si="112"/>
        <v>0</v>
      </c>
      <c r="BB164" s="571"/>
      <c r="BC164" s="573">
        <v>1.53</v>
      </c>
      <c r="BD164" s="571">
        <f t="shared" si="101"/>
        <v>0</v>
      </c>
      <c r="BE164" s="571">
        <f t="shared" si="106"/>
        <v>0</v>
      </c>
      <c r="BF164" s="586">
        <f t="shared" si="102"/>
        <v>0</v>
      </c>
      <c r="BG164" s="586" t="e">
        <f t="shared" si="103"/>
        <v>#DIV/0!</v>
      </c>
      <c r="BH164" s="571" t="e">
        <f t="shared" si="104"/>
        <v>#DIV/0!</v>
      </c>
    </row>
    <row r="165" spans="49:60" s="39" customFormat="1">
      <c r="AW165" s="571">
        <f t="shared" si="107"/>
        <v>0</v>
      </c>
      <c r="AX165" s="571">
        <v>7700</v>
      </c>
      <c r="AY165" s="571">
        <f t="shared" si="110"/>
        <v>0</v>
      </c>
      <c r="AZ165" s="571">
        <f t="shared" si="111"/>
        <v>15.4</v>
      </c>
      <c r="BA165" s="572">
        <f t="shared" si="112"/>
        <v>0</v>
      </c>
      <c r="BB165" s="571"/>
      <c r="BC165" s="573">
        <v>1.54</v>
      </c>
      <c r="BD165" s="571">
        <f t="shared" si="101"/>
        <v>0</v>
      </c>
      <c r="BE165" s="571">
        <f t="shared" si="106"/>
        <v>0</v>
      </c>
      <c r="BF165" s="586">
        <f t="shared" si="102"/>
        <v>0</v>
      </c>
      <c r="BG165" s="586" t="e">
        <f t="shared" si="103"/>
        <v>#DIV/0!</v>
      </c>
      <c r="BH165" s="571" t="e">
        <f t="shared" si="104"/>
        <v>#DIV/0!</v>
      </c>
    </row>
    <row r="166" spans="49:60" s="39" customFormat="1">
      <c r="AW166" s="571">
        <f t="shared" si="107"/>
        <v>0</v>
      </c>
      <c r="AX166" s="571">
        <v>7750</v>
      </c>
      <c r="AY166" s="571">
        <f t="shared" si="110"/>
        <v>0</v>
      </c>
      <c r="AZ166" s="571">
        <f t="shared" si="111"/>
        <v>15.5</v>
      </c>
      <c r="BA166" s="572">
        <f t="shared" si="112"/>
        <v>0</v>
      </c>
      <c r="BB166" s="571"/>
      <c r="BC166" s="573">
        <v>1.55</v>
      </c>
      <c r="BD166" s="571">
        <f t="shared" si="101"/>
        <v>0</v>
      </c>
      <c r="BE166" s="571">
        <f t="shared" si="106"/>
        <v>0</v>
      </c>
      <c r="BF166" s="586">
        <f t="shared" si="102"/>
        <v>0</v>
      </c>
      <c r="BG166" s="586" t="e">
        <f t="shared" si="103"/>
        <v>#DIV/0!</v>
      </c>
      <c r="BH166" s="571" t="e">
        <f t="shared" si="104"/>
        <v>#DIV/0!</v>
      </c>
    </row>
    <row r="167" spans="49:60" s="39" customFormat="1">
      <c r="AW167" s="571">
        <f t="shared" si="107"/>
        <v>0</v>
      </c>
      <c r="AX167" s="571">
        <v>7800</v>
      </c>
      <c r="AY167" s="571">
        <f t="shared" si="110"/>
        <v>0</v>
      </c>
      <c r="AZ167" s="571">
        <f t="shared" si="111"/>
        <v>15.6</v>
      </c>
      <c r="BA167" s="572">
        <f t="shared" si="112"/>
        <v>0</v>
      </c>
      <c r="BB167" s="571"/>
      <c r="BC167" s="573">
        <v>1.56</v>
      </c>
      <c r="BD167" s="571">
        <f t="shared" si="101"/>
        <v>0</v>
      </c>
      <c r="BE167" s="571">
        <f t="shared" si="106"/>
        <v>0</v>
      </c>
      <c r="BF167" s="586">
        <f t="shared" si="102"/>
        <v>0</v>
      </c>
      <c r="BG167" s="586" t="e">
        <f t="shared" si="103"/>
        <v>#DIV/0!</v>
      </c>
      <c r="BH167" s="571" t="e">
        <f t="shared" si="104"/>
        <v>#DIV/0!</v>
      </c>
    </row>
    <row r="168" spans="49:60" s="39" customFormat="1">
      <c r="AW168" s="571">
        <f t="shared" si="107"/>
        <v>0</v>
      </c>
      <c r="AX168" s="571">
        <v>7850</v>
      </c>
      <c r="AY168" s="571">
        <f t="shared" si="110"/>
        <v>0</v>
      </c>
      <c r="AZ168" s="571">
        <f t="shared" si="111"/>
        <v>15.7</v>
      </c>
      <c r="BA168" s="572">
        <f t="shared" si="112"/>
        <v>0</v>
      </c>
      <c r="BB168" s="571"/>
      <c r="BC168" s="573">
        <v>1.57</v>
      </c>
      <c r="BD168" s="571">
        <f t="shared" si="101"/>
        <v>0</v>
      </c>
      <c r="BE168" s="571">
        <f t="shared" si="106"/>
        <v>0</v>
      </c>
      <c r="BF168" s="586">
        <f t="shared" si="102"/>
        <v>0</v>
      </c>
      <c r="BG168" s="586" t="e">
        <f t="shared" si="103"/>
        <v>#DIV/0!</v>
      </c>
      <c r="BH168" s="571" t="e">
        <f t="shared" si="104"/>
        <v>#DIV/0!</v>
      </c>
    </row>
    <row r="169" spans="49:60" s="39" customFormat="1">
      <c r="AW169" s="571">
        <f t="shared" si="107"/>
        <v>0</v>
      </c>
      <c r="AX169" s="571">
        <v>7900</v>
      </c>
      <c r="AY169" s="571">
        <f t="shared" si="110"/>
        <v>0</v>
      </c>
      <c r="AZ169" s="571">
        <f t="shared" si="111"/>
        <v>15.8</v>
      </c>
      <c r="BA169" s="572">
        <f t="shared" si="112"/>
        <v>0</v>
      </c>
      <c r="BB169" s="571"/>
      <c r="BC169" s="573">
        <v>1.58</v>
      </c>
      <c r="BD169" s="571">
        <f t="shared" si="101"/>
        <v>0</v>
      </c>
      <c r="BE169" s="571">
        <f t="shared" si="106"/>
        <v>0</v>
      </c>
      <c r="BF169" s="586">
        <f t="shared" si="102"/>
        <v>0</v>
      </c>
      <c r="BG169" s="586" t="e">
        <f t="shared" si="103"/>
        <v>#DIV/0!</v>
      </c>
      <c r="BH169" s="571" t="e">
        <f t="shared" si="104"/>
        <v>#DIV/0!</v>
      </c>
    </row>
    <row r="170" spans="49:60" s="39" customFormat="1">
      <c r="AW170" s="571">
        <f t="shared" si="107"/>
        <v>0</v>
      </c>
      <c r="AX170" s="571">
        <v>7950</v>
      </c>
      <c r="AY170" s="571">
        <f t="shared" si="110"/>
        <v>0</v>
      </c>
      <c r="AZ170" s="571">
        <f t="shared" si="111"/>
        <v>15.9</v>
      </c>
      <c r="BA170" s="572">
        <f t="shared" si="112"/>
        <v>0</v>
      </c>
      <c r="BB170" s="571"/>
      <c r="BC170" s="573">
        <v>1.59</v>
      </c>
      <c r="BD170" s="571">
        <f t="shared" si="101"/>
        <v>0</v>
      </c>
      <c r="BE170" s="571">
        <f t="shared" si="106"/>
        <v>0</v>
      </c>
      <c r="BF170" s="586">
        <f t="shared" si="102"/>
        <v>0</v>
      </c>
      <c r="BG170" s="586" t="e">
        <f t="shared" si="103"/>
        <v>#DIV/0!</v>
      </c>
      <c r="BH170" s="571" t="e">
        <f t="shared" si="104"/>
        <v>#DIV/0!</v>
      </c>
    </row>
    <row r="171" spans="49:60" s="39" customFormat="1">
      <c r="AW171" s="571">
        <f t="shared" si="107"/>
        <v>0</v>
      </c>
      <c r="AX171" s="571">
        <v>8000</v>
      </c>
      <c r="AY171" s="571">
        <f t="shared" si="110"/>
        <v>0</v>
      </c>
      <c r="AZ171" s="571">
        <f t="shared" si="111"/>
        <v>16</v>
      </c>
      <c r="BA171" s="572">
        <f t="shared" si="112"/>
        <v>0</v>
      </c>
      <c r="BB171" s="571"/>
      <c r="BC171" s="573">
        <v>1.6</v>
      </c>
      <c r="BD171" s="571">
        <f t="shared" si="101"/>
        <v>0</v>
      </c>
      <c r="BE171" s="571">
        <f t="shared" si="106"/>
        <v>0</v>
      </c>
      <c r="BF171" s="586">
        <f t="shared" si="102"/>
        <v>0</v>
      </c>
      <c r="BG171" s="586" t="e">
        <f t="shared" si="103"/>
        <v>#DIV/0!</v>
      </c>
      <c r="BH171" s="571" t="e">
        <f t="shared" si="104"/>
        <v>#DIV/0!</v>
      </c>
    </row>
    <row r="172" spans="49:60" s="39" customFormat="1">
      <c r="AW172" s="571">
        <f t="shared" si="107"/>
        <v>0</v>
      </c>
      <c r="AX172" s="571">
        <v>8050</v>
      </c>
      <c r="AY172" s="571">
        <f t="shared" si="110"/>
        <v>0</v>
      </c>
      <c r="AZ172" s="571">
        <f t="shared" si="111"/>
        <v>16.100000000000001</v>
      </c>
      <c r="BA172" s="572">
        <f t="shared" si="112"/>
        <v>0</v>
      </c>
      <c r="BB172" s="571"/>
      <c r="BC172" s="573">
        <v>1.61</v>
      </c>
      <c r="BD172" s="571">
        <f t="shared" si="101"/>
        <v>0</v>
      </c>
      <c r="BE172" s="571">
        <f t="shared" si="106"/>
        <v>0</v>
      </c>
      <c r="BF172" s="586">
        <f t="shared" si="102"/>
        <v>0</v>
      </c>
      <c r="BG172" s="586" t="e">
        <f t="shared" si="103"/>
        <v>#DIV/0!</v>
      </c>
      <c r="BH172" s="571" t="e">
        <f t="shared" si="104"/>
        <v>#DIV/0!</v>
      </c>
    </row>
    <row r="173" spans="49:60" s="39" customFormat="1">
      <c r="AW173" s="571">
        <f t="shared" si="107"/>
        <v>0</v>
      </c>
      <c r="AX173" s="571">
        <v>8100</v>
      </c>
      <c r="AY173" s="571">
        <f t="shared" si="110"/>
        <v>0</v>
      </c>
      <c r="AZ173" s="571">
        <f t="shared" si="111"/>
        <v>16.2</v>
      </c>
      <c r="BA173" s="572">
        <f t="shared" si="112"/>
        <v>0</v>
      </c>
      <c r="BB173" s="571"/>
      <c r="BC173" s="573">
        <v>1.62</v>
      </c>
      <c r="BD173" s="571">
        <f t="shared" si="101"/>
        <v>0</v>
      </c>
      <c r="BE173" s="571">
        <f t="shared" si="106"/>
        <v>0</v>
      </c>
      <c r="BF173" s="586">
        <f t="shared" si="102"/>
        <v>0</v>
      </c>
      <c r="BG173" s="586" t="e">
        <f t="shared" si="103"/>
        <v>#DIV/0!</v>
      </c>
      <c r="BH173" s="571" t="e">
        <f t="shared" si="104"/>
        <v>#DIV/0!</v>
      </c>
    </row>
    <row r="174" spans="49:60" s="39" customFormat="1">
      <c r="AW174" s="571">
        <f t="shared" si="107"/>
        <v>0</v>
      </c>
      <c r="AX174" s="571">
        <v>8150</v>
      </c>
      <c r="AY174" s="571">
        <f t="shared" si="110"/>
        <v>0</v>
      </c>
      <c r="AZ174" s="571">
        <f t="shared" si="111"/>
        <v>16.3</v>
      </c>
      <c r="BA174" s="572">
        <f t="shared" si="112"/>
        <v>0</v>
      </c>
      <c r="BB174" s="571"/>
      <c r="BC174" s="573">
        <v>1.63</v>
      </c>
      <c r="BD174" s="571">
        <f t="shared" si="101"/>
        <v>0</v>
      </c>
      <c r="BE174" s="571">
        <f t="shared" si="106"/>
        <v>0</v>
      </c>
      <c r="BF174" s="586">
        <f t="shared" si="102"/>
        <v>0</v>
      </c>
      <c r="BG174" s="586" t="e">
        <f t="shared" si="103"/>
        <v>#DIV/0!</v>
      </c>
      <c r="BH174" s="571" t="e">
        <f t="shared" si="104"/>
        <v>#DIV/0!</v>
      </c>
    </row>
    <row r="175" spans="49:60" s="39" customFormat="1">
      <c r="AW175" s="571">
        <f t="shared" si="107"/>
        <v>0</v>
      </c>
      <c r="AX175" s="571">
        <v>8200</v>
      </c>
      <c r="AY175" s="571">
        <f t="shared" si="110"/>
        <v>0</v>
      </c>
      <c r="AZ175" s="571">
        <f t="shared" si="111"/>
        <v>16.399999999999999</v>
      </c>
      <c r="BA175" s="572">
        <f t="shared" si="112"/>
        <v>0</v>
      </c>
      <c r="BB175" s="571"/>
      <c r="BC175" s="573">
        <v>1.64</v>
      </c>
      <c r="BD175" s="571">
        <f t="shared" si="101"/>
        <v>0</v>
      </c>
      <c r="BE175" s="571">
        <f t="shared" si="106"/>
        <v>0</v>
      </c>
      <c r="BF175" s="586">
        <f t="shared" si="102"/>
        <v>0</v>
      </c>
      <c r="BG175" s="586" t="e">
        <f t="shared" si="103"/>
        <v>#DIV/0!</v>
      </c>
      <c r="BH175" s="571" t="e">
        <f t="shared" si="104"/>
        <v>#DIV/0!</v>
      </c>
    </row>
    <row r="176" spans="49:60" s="39" customFormat="1">
      <c r="AW176" s="571">
        <f t="shared" si="107"/>
        <v>0</v>
      </c>
      <c r="AX176" s="571">
        <v>8250</v>
      </c>
      <c r="AY176" s="571">
        <f t="shared" si="110"/>
        <v>0</v>
      </c>
      <c r="AZ176" s="571">
        <f t="shared" si="111"/>
        <v>16.5</v>
      </c>
      <c r="BA176" s="572">
        <f t="shared" si="112"/>
        <v>0</v>
      </c>
      <c r="BB176" s="571"/>
      <c r="BC176" s="573">
        <v>1.65</v>
      </c>
      <c r="BD176" s="571">
        <f t="shared" si="101"/>
        <v>0</v>
      </c>
      <c r="BE176" s="571">
        <f t="shared" si="106"/>
        <v>0</v>
      </c>
      <c r="BF176" s="586">
        <f t="shared" si="102"/>
        <v>0</v>
      </c>
      <c r="BG176" s="586" t="e">
        <f t="shared" si="103"/>
        <v>#DIV/0!</v>
      </c>
      <c r="BH176" s="571" t="e">
        <f t="shared" si="104"/>
        <v>#DIV/0!</v>
      </c>
    </row>
    <row r="177" spans="49:60" s="39" customFormat="1">
      <c r="AW177" s="571">
        <f t="shared" si="107"/>
        <v>0</v>
      </c>
      <c r="AX177" s="571">
        <v>8300</v>
      </c>
      <c r="AY177" s="571">
        <f t="shared" si="110"/>
        <v>0</v>
      </c>
      <c r="AZ177" s="571">
        <f t="shared" si="111"/>
        <v>16.600000000000001</v>
      </c>
      <c r="BA177" s="572">
        <f t="shared" si="112"/>
        <v>0</v>
      </c>
      <c r="BB177" s="571"/>
      <c r="BC177" s="573">
        <v>1.66</v>
      </c>
      <c r="BD177" s="571">
        <f t="shared" si="101"/>
        <v>0</v>
      </c>
      <c r="BE177" s="571">
        <f t="shared" si="106"/>
        <v>0</v>
      </c>
      <c r="BF177" s="586">
        <f t="shared" si="102"/>
        <v>0</v>
      </c>
      <c r="BG177" s="586" t="e">
        <f t="shared" si="103"/>
        <v>#DIV/0!</v>
      </c>
      <c r="BH177" s="571" t="e">
        <f t="shared" si="104"/>
        <v>#DIV/0!</v>
      </c>
    </row>
    <row r="178" spans="49:60" s="39" customFormat="1">
      <c r="AW178" s="571">
        <f t="shared" si="107"/>
        <v>0</v>
      </c>
      <c r="AX178" s="571">
        <v>8350</v>
      </c>
      <c r="AY178" s="571">
        <f t="shared" si="110"/>
        <v>0</v>
      </c>
      <c r="AZ178" s="571">
        <f t="shared" si="111"/>
        <v>16.7</v>
      </c>
      <c r="BA178" s="572">
        <f t="shared" si="112"/>
        <v>0</v>
      </c>
      <c r="BB178" s="571"/>
      <c r="BC178" s="573">
        <v>1.67</v>
      </c>
      <c r="BD178" s="571">
        <f t="shared" si="101"/>
        <v>0</v>
      </c>
      <c r="BE178" s="571">
        <f t="shared" si="106"/>
        <v>0</v>
      </c>
      <c r="BF178" s="586">
        <f t="shared" si="102"/>
        <v>0</v>
      </c>
      <c r="BG178" s="586" t="e">
        <f t="shared" si="103"/>
        <v>#DIV/0!</v>
      </c>
      <c r="BH178" s="571" t="e">
        <f t="shared" si="104"/>
        <v>#DIV/0!</v>
      </c>
    </row>
    <row r="179" spans="49:60" s="39" customFormat="1">
      <c r="AW179" s="571">
        <f t="shared" si="107"/>
        <v>0</v>
      </c>
      <c r="AX179" s="571">
        <v>8400</v>
      </c>
      <c r="AY179" s="571">
        <f t="shared" si="110"/>
        <v>0</v>
      </c>
      <c r="AZ179" s="571">
        <f t="shared" si="111"/>
        <v>16.8</v>
      </c>
      <c r="BA179" s="572">
        <f t="shared" si="112"/>
        <v>0</v>
      </c>
      <c r="BB179" s="571"/>
      <c r="BC179" s="573">
        <v>1.68</v>
      </c>
      <c r="BD179" s="571">
        <f t="shared" si="101"/>
        <v>0</v>
      </c>
      <c r="BE179" s="571">
        <f t="shared" si="106"/>
        <v>0</v>
      </c>
      <c r="BF179" s="586">
        <f t="shared" si="102"/>
        <v>0</v>
      </c>
      <c r="BG179" s="586" t="e">
        <f t="shared" si="103"/>
        <v>#DIV/0!</v>
      </c>
      <c r="BH179" s="571" t="e">
        <f t="shared" si="104"/>
        <v>#DIV/0!</v>
      </c>
    </row>
    <row r="180" spans="49:60" s="39" customFormat="1">
      <c r="AW180" s="571">
        <f t="shared" si="107"/>
        <v>0</v>
      </c>
      <c r="AX180" s="571">
        <v>8450</v>
      </c>
      <c r="AY180" s="571">
        <f t="shared" si="110"/>
        <v>0</v>
      </c>
      <c r="AZ180" s="571">
        <f t="shared" si="111"/>
        <v>16.899999999999999</v>
      </c>
      <c r="BA180" s="572">
        <f t="shared" si="112"/>
        <v>0</v>
      </c>
      <c r="BB180" s="571"/>
      <c r="BC180" s="573">
        <v>1.69</v>
      </c>
      <c r="BD180" s="571">
        <f t="shared" si="101"/>
        <v>0</v>
      </c>
      <c r="BE180" s="571">
        <f t="shared" si="106"/>
        <v>0</v>
      </c>
      <c r="BF180" s="586">
        <f t="shared" si="102"/>
        <v>0</v>
      </c>
      <c r="BG180" s="586" t="e">
        <f t="shared" si="103"/>
        <v>#DIV/0!</v>
      </c>
      <c r="BH180" s="571" t="e">
        <f t="shared" si="104"/>
        <v>#DIV/0!</v>
      </c>
    </row>
    <row r="181" spans="49:60" s="39" customFormat="1">
      <c r="AW181" s="571">
        <f t="shared" si="107"/>
        <v>0</v>
      </c>
      <c r="AX181" s="571">
        <v>8500</v>
      </c>
      <c r="AY181" s="571">
        <f t="shared" si="110"/>
        <v>0</v>
      </c>
      <c r="AZ181" s="571">
        <f t="shared" si="111"/>
        <v>17</v>
      </c>
      <c r="BA181" s="572">
        <f t="shared" si="112"/>
        <v>0</v>
      </c>
      <c r="BB181" s="571"/>
      <c r="BC181" s="573">
        <v>1.7</v>
      </c>
      <c r="BD181" s="571">
        <f t="shared" si="101"/>
        <v>0</v>
      </c>
      <c r="BE181" s="571">
        <f t="shared" si="106"/>
        <v>0</v>
      </c>
      <c r="BF181" s="586">
        <f t="shared" si="102"/>
        <v>0</v>
      </c>
      <c r="BG181" s="586" t="e">
        <f t="shared" si="103"/>
        <v>#DIV/0!</v>
      </c>
      <c r="BH181" s="571" t="e">
        <f t="shared" si="104"/>
        <v>#DIV/0!</v>
      </c>
    </row>
    <row r="182" spans="49:60" s="39" customFormat="1">
      <c r="AW182" s="571">
        <f t="shared" si="107"/>
        <v>0</v>
      </c>
      <c r="AX182" s="571">
        <v>8550</v>
      </c>
      <c r="AY182" s="571">
        <f t="shared" si="110"/>
        <v>0</v>
      </c>
      <c r="AZ182" s="571">
        <f t="shared" si="111"/>
        <v>17.100000000000001</v>
      </c>
      <c r="BA182" s="572">
        <f t="shared" si="112"/>
        <v>0</v>
      </c>
      <c r="BB182" s="571"/>
      <c r="BC182" s="573">
        <v>1.71</v>
      </c>
      <c r="BD182" s="571">
        <f t="shared" si="101"/>
        <v>0</v>
      </c>
      <c r="BE182" s="571">
        <f t="shared" si="106"/>
        <v>0</v>
      </c>
      <c r="BF182" s="586">
        <f t="shared" si="102"/>
        <v>0</v>
      </c>
      <c r="BG182" s="586" t="e">
        <f t="shared" si="103"/>
        <v>#DIV/0!</v>
      </c>
      <c r="BH182" s="571" t="e">
        <f t="shared" si="104"/>
        <v>#DIV/0!</v>
      </c>
    </row>
    <row r="183" spans="49:60" s="39" customFormat="1">
      <c r="AW183" s="571">
        <f t="shared" si="107"/>
        <v>0</v>
      </c>
      <c r="AX183" s="571">
        <v>8600</v>
      </c>
      <c r="AY183" s="571">
        <f t="shared" si="110"/>
        <v>0</v>
      </c>
      <c r="AZ183" s="571">
        <f t="shared" si="111"/>
        <v>17.2</v>
      </c>
      <c r="BA183" s="572">
        <f t="shared" si="112"/>
        <v>0</v>
      </c>
      <c r="BB183" s="571"/>
      <c r="BC183" s="573">
        <v>1.72</v>
      </c>
      <c r="BD183" s="571">
        <f t="shared" si="101"/>
        <v>0</v>
      </c>
      <c r="BE183" s="571">
        <f t="shared" si="106"/>
        <v>0</v>
      </c>
      <c r="BF183" s="586">
        <f t="shared" si="102"/>
        <v>0</v>
      </c>
      <c r="BG183" s="586" t="e">
        <f t="shared" si="103"/>
        <v>#DIV/0!</v>
      </c>
      <c r="BH183" s="571" t="e">
        <f t="shared" si="104"/>
        <v>#DIV/0!</v>
      </c>
    </row>
    <row r="184" spans="49:60" s="39" customFormat="1">
      <c r="AW184" s="571">
        <f t="shared" si="107"/>
        <v>0</v>
      </c>
      <c r="AX184" s="571">
        <v>8650</v>
      </c>
      <c r="AY184" s="571">
        <f t="shared" si="110"/>
        <v>0</v>
      </c>
      <c r="AZ184" s="571">
        <f t="shared" si="111"/>
        <v>17.3</v>
      </c>
      <c r="BA184" s="572">
        <f t="shared" si="112"/>
        <v>0</v>
      </c>
      <c r="BB184" s="571"/>
      <c r="BC184" s="573">
        <v>1.73</v>
      </c>
      <c r="BD184" s="571">
        <f t="shared" si="101"/>
        <v>0</v>
      </c>
      <c r="BE184" s="571">
        <f t="shared" si="106"/>
        <v>0</v>
      </c>
      <c r="BF184" s="586">
        <f t="shared" si="102"/>
        <v>0</v>
      </c>
      <c r="BG184" s="586" t="e">
        <f t="shared" si="103"/>
        <v>#DIV/0!</v>
      </c>
      <c r="BH184" s="571" t="e">
        <f t="shared" si="104"/>
        <v>#DIV/0!</v>
      </c>
    </row>
    <row r="185" spans="49:60" s="39" customFormat="1">
      <c r="AW185" s="571">
        <f t="shared" si="107"/>
        <v>0</v>
      </c>
      <c r="AX185" s="571">
        <v>8700</v>
      </c>
      <c r="AY185" s="571">
        <f t="shared" si="110"/>
        <v>0</v>
      </c>
      <c r="AZ185" s="571">
        <f t="shared" si="111"/>
        <v>17.399999999999999</v>
      </c>
      <c r="BA185" s="572">
        <f t="shared" si="112"/>
        <v>0</v>
      </c>
      <c r="BB185" s="571"/>
      <c r="BC185" s="573">
        <v>1.74</v>
      </c>
      <c r="BD185" s="571">
        <f t="shared" si="101"/>
        <v>0</v>
      </c>
      <c r="BE185" s="571">
        <f t="shared" si="106"/>
        <v>0</v>
      </c>
      <c r="BF185" s="586">
        <f t="shared" si="102"/>
        <v>0</v>
      </c>
      <c r="BG185" s="586" t="e">
        <f t="shared" si="103"/>
        <v>#DIV/0!</v>
      </c>
      <c r="BH185" s="571" t="e">
        <f t="shared" si="104"/>
        <v>#DIV/0!</v>
      </c>
    </row>
    <row r="186" spans="49:60" s="39" customFormat="1">
      <c r="AW186" s="571">
        <f t="shared" si="107"/>
        <v>0</v>
      </c>
      <c r="AX186" s="571">
        <v>8750</v>
      </c>
      <c r="AY186" s="571">
        <f t="shared" si="110"/>
        <v>0</v>
      </c>
      <c r="AZ186" s="571">
        <f t="shared" si="111"/>
        <v>17.5</v>
      </c>
      <c r="BA186" s="572">
        <f t="shared" si="112"/>
        <v>0</v>
      </c>
      <c r="BB186" s="571"/>
      <c r="BC186" s="573">
        <v>1.75</v>
      </c>
      <c r="BD186" s="571">
        <f t="shared" si="101"/>
        <v>0</v>
      </c>
      <c r="BE186" s="571">
        <f t="shared" si="106"/>
        <v>0</v>
      </c>
      <c r="BF186" s="586">
        <f t="shared" si="102"/>
        <v>0</v>
      </c>
      <c r="BG186" s="586" t="e">
        <f t="shared" si="103"/>
        <v>#DIV/0!</v>
      </c>
      <c r="BH186" s="571" t="e">
        <f t="shared" si="104"/>
        <v>#DIV/0!</v>
      </c>
    </row>
    <row r="187" spans="49:60" s="39" customFormat="1">
      <c r="AW187" s="571">
        <f t="shared" si="107"/>
        <v>0</v>
      </c>
      <c r="AX187" s="571">
        <v>8800</v>
      </c>
      <c r="AY187" s="571">
        <f t="shared" si="110"/>
        <v>0</v>
      </c>
      <c r="AZ187" s="571">
        <f t="shared" si="111"/>
        <v>17.600000000000001</v>
      </c>
      <c r="BA187" s="572">
        <f t="shared" si="112"/>
        <v>0</v>
      </c>
      <c r="BB187" s="571"/>
      <c r="BC187" s="573">
        <v>1.76</v>
      </c>
      <c r="BD187" s="571">
        <f t="shared" si="101"/>
        <v>0</v>
      </c>
      <c r="BE187" s="571">
        <f t="shared" si="106"/>
        <v>0</v>
      </c>
      <c r="BF187" s="586">
        <f t="shared" si="102"/>
        <v>0</v>
      </c>
      <c r="BG187" s="586" t="e">
        <f t="shared" si="103"/>
        <v>#DIV/0!</v>
      </c>
      <c r="BH187" s="571" t="e">
        <f t="shared" si="104"/>
        <v>#DIV/0!</v>
      </c>
    </row>
    <row r="188" spans="49:60" s="39" customFormat="1">
      <c r="AW188" s="571">
        <f t="shared" si="107"/>
        <v>0</v>
      </c>
      <c r="AX188" s="571">
        <v>8850</v>
      </c>
      <c r="AY188" s="571">
        <f t="shared" si="110"/>
        <v>0</v>
      </c>
      <c r="AZ188" s="571">
        <f t="shared" si="111"/>
        <v>17.7</v>
      </c>
      <c r="BA188" s="572">
        <f t="shared" si="112"/>
        <v>0</v>
      </c>
      <c r="BB188" s="571"/>
      <c r="BC188" s="573">
        <v>1.77</v>
      </c>
      <c r="BD188" s="571">
        <f t="shared" si="101"/>
        <v>0</v>
      </c>
      <c r="BE188" s="571">
        <f t="shared" si="106"/>
        <v>0</v>
      </c>
      <c r="BF188" s="586">
        <f t="shared" si="102"/>
        <v>0</v>
      </c>
      <c r="BG188" s="586" t="e">
        <f t="shared" si="103"/>
        <v>#DIV/0!</v>
      </c>
      <c r="BH188" s="571" t="e">
        <f t="shared" si="104"/>
        <v>#DIV/0!</v>
      </c>
    </row>
    <row r="189" spans="49:60" s="39" customFormat="1">
      <c r="AW189" s="571">
        <f t="shared" si="107"/>
        <v>0</v>
      </c>
      <c r="AX189" s="571">
        <v>8900</v>
      </c>
      <c r="AY189" s="571">
        <f t="shared" si="110"/>
        <v>0</v>
      </c>
      <c r="AZ189" s="571">
        <f t="shared" si="111"/>
        <v>17.8</v>
      </c>
      <c r="BA189" s="572">
        <f t="shared" si="112"/>
        <v>0</v>
      </c>
      <c r="BB189" s="571"/>
      <c r="BC189" s="573">
        <v>1.78</v>
      </c>
      <c r="BD189" s="571">
        <f t="shared" si="101"/>
        <v>0</v>
      </c>
      <c r="BE189" s="571">
        <f t="shared" si="106"/>
        <v>0</v>
      </c>
      <c r="BF189" s="586">
        <f t="shared" si="102"/>
        <v>0</v>
      </c>
      <c r="BG189" s="586" t="e">
        <f t="shared" si="103"/>
        <v>#DIV/0!</v>
      </c>
      <c r="BH189" s="571" t="e">
        <f t="shared" si="104"/>
        <v>#DIV/0!</v>
      </c>
    </row>
    <row r="190" spans="49:60" s="39" customFormat="1">
      <c r="AW190" s="571">
        <f t="shared" si="107"/>
        <v>0</v>
      </c>
      <c r="AX190" s="571">
        <v>8950</v>
      </c>
      <c r="AY190" s="571">
        <f t="shared" si="110"/>
        <v>0</v>
      </c>
      <c r="AZ190" s="571">
        <f t="shared" si="111"/>
        <v>17.899999999999999</v>
      </c>
      <c r="BA190" s="572">
        <f t="shared" si="112"/>
        <v>0</v>
      </c>
      <c r="BB190" s="571"/>
      <c r="BC190" s="573">
        <v>1.79</v>
      </c>
      <c r="BD190" s="571">
        <f t="shared" si="101"/>
        <v>0</v>
      </c>
      <c r="BE190" s="571">
        <f t="shared" si="106"/>
        <v>0</v>
      </c>
      <c r="BF190" s="586">
        <f t="shared" si="102"/>
        <v>0</v>
      </c>
      <c r="BG190" s="586" t="e">
        <f t="shared" si="103"/>
        <v>#DIV/0!</v>
      </c>
      <c r="BH190" s="571" t="e">
        <f t="shared" si="104"/>
        <v>#DIV/0!</v>
      </c>
    </row>
    <row r="191" spans="49:60" s="39" customFormat="1">
      <c r="AW191" s="571">
        <f t="shared" si="107"/>
        <v>0</v>
      </c>
      <c r="AX191" s="571">
        <v>9000</v>
      </c>
      <c r="AY191" s="571">
        <f t="shared" si="110"/>
        <v>0</v>
      </c>
      <c r="AZ191" s="571">
        <f t="shared" si="111"/>
        <v>18</v>
      </c>
      <c r="BA191" s="572">
        <f t="shared" si="112"/>
        <v>0</v>
      </c>
      <c r="BB191" s="571"/>
      <c r="BC191" s="573">
        <v>1.8</v>
      </c>
      <c r="BD191" s="571">
        <f t="shared" si="101"/>
        <v>0</v>
      </c>
      <c r="BE191" s="571">
        <f t="shared" si="106"/>
        <v>0</v>
      </c>
      <c r="BF191" s="586">
        <f t="shared" si="102"/>
        <v>0</v>
      </c>
      <c r="BG191" s="586" t="e">
        <f t="shared" si="103"/>
        <v>#DIV/0!</v>
      </c>
      <c r="BH191" s="571" t="e">
        <f t="shared" si="104"/>
        <v>#DIV/0!</v>
      </c>
    </row>
    <row r="192" spans="49:60" s="39" customFormat="1">
      <c r="AW192" s="571">
        <f t="shared" si="107"/>
        <v>0</v>
      </c>
      <c r="AX192" s="571">
        <v>9050</v>
      </c>
      <c r="AY192" s="571">
        <f t="shared" si="110"/>
        <v>0</v>
      </c>
      <c r="AZ192" s="571">
        <f t="shared" si="111"/>
        <v>18.100000000000001</v>
      </c>
      <c r="BA192" s="572">
        <f t="shared" si="112"/>
        <v>0</v>
      </c>
      <c r="BB192" s="571"/>
      <c r="BC192" s="573">
        <v>1.81</v>
      </c>
      <c r="BD192" s="571">
        <f t="shared" si="101"/>
        <v>0</v>
      </c>
      <c r="BE192" s="571">
        <f t="shared" si="106"/>
        <v>0</v>
      </c>
      <c r="BF192" s="586">
        <f t="shared" si="102"/>
        <v>0</v>
      </c>
      <c r="BG192" s="586" t="e">
        <f t="shared" si="103"/>
        <v>#DIV/0!</v>
      </c>
      <c r="BH192" s="571" t="e">
        <f t="shared" si="104"/>
        <v>#DIV/0!</v>
      </c>
    </row>
    <row r="193" spans="49:60" s="39" customFormat="1">
      <c r="AW193" s="571">
        <f t="shared" si="107"/>
        <v>0</v>
      </c>
      <c r="AX193" s="571">
        <v>9100</v>
      </c>
      <c r="AY193" s="571">
        <f t="shared" si="110"/>
        <v>0</v>
      </c>
      <c r="AZ193" s="571">
        <f t="shared" si="111"/>
        <v>18.2</v>
      </c>
      <c r="BA193" s="572">
        <f t="shared" si="112"/>
        <v>0</v>
      </c>
      <c r="BB193" s="571"/>
      <c r="BC193" s="573">
        <v>1.82</v>
      </c>
      <c r="BD193" s="571">
        <f t="shared" si="101"/>
        <v>0</v>
      </c>
      <c r="BE193" s="571">
        <f t="shared" si="106"/>
        <v>0</v>
      </c>
      <c r="BF193" s="586">
        <f t="shared" si="102"/>
        <v>0</v>
      </c>
      <c r="BG193" s="586" t="e">
        <f t="shared" si="103"/>
        <v>#DIV/0!</v>
      </c>
      <c r="BH193" s="571" t="e">
        <f t="shared" si="104"/>
        <v>#DIV/0!</v>
      </c>
    </row>
    <row r="194" spans="49:60" s="39" customFormat="1">
      <c r="AW194" s="571">
        <f t="shared" si="107"/>
        <v>0</v>
      </c>
      <c r="AX194" s="571">
        <v>9150</v>
      </c>
      <c r="AY194" s="571">
        <f t="shared" si="110"/>
        <v>0</v>
      </c>
      <c r="AZ194" s="571">
        <f t="shared" si="111"/>
        <v>18.3</v>
      </c>
      <c r="BA194" s="572">
        <f t="shared" si="112"/>
        <v>0</v>
      </c>
      <c r="BB194" s="571"/>
      <c r="BC194" s="573">
        <v>1.83</v>
      </c>
      <c r="BD194" s="571">
        <f t="shared" si="101"/>
        <v>0</v>
      </c>
      <c r="BE194" s="571">
        <f t="shared" si="106"/>
        <v>0</v>
      </c>
      <c r="BF194" s="586">
        <f t="shared" si="102"/>
        <v>0</v>
      </c>
      <c r="BG194" s="586" t="e">
        <f t="shared" si="103"/>
        <v>#DIV/0!</v>
      </c>
      <c r="BH194" s="571" t="e">
        <f t="shared" si="104"/>
        <v>#DIV/0!</v>
      </c>
    </row>
    <row r="195" spans="49:60" s="39" customFormat="1">
      <c r="AW195" s="571">
        <f t="shared" si="107"/>
        <v>0</v>
      </c>
      <c r="AX195" s="571">
        <v>9200</v>
      </c>
      <c r="AY195" s="571">
        <f t="shared" si="110"/>
        <v>0</v>
      </c>
      <c r="AZ195" s="571">
        <f t="shared" si="111"/>
        <v>18.399999999999999</v>
      </c>
      <c r="BA195" s="572">
        <f t="shared" si="112"/>
        <v>0</v>
      </c>
      <c r="BB195" s="571"/>
      <c r="BC195" s="573">
        <v>1.84</v>
      </c>
      <c r="BD195" s="571">
        <f t="shared" si="101"/>
        <v>0</v>
      </c>
      <c r="BE195" s="571">
        <f t="shared" si="106"/>
        <v>0</v>
      </c>
      <c r="BF195" s="586">
        <f t="shared" si="102"/>
        <v>0</v>
      </c>
      <c r="BG195" s="586" t="e">
        <f t="shared" si="103"/>
        <v>#DIV/0!</v>
      </c>
      <c r="BH195" s="571" t="e">
        <f t="shared" si="104"/>
        <v>#DIV/0!</v>
      </c>
    </row>
    <row r="196" spans="49:60" s="39" customFormat="1">
      <c r="AW196" s="571">
        <f t="shared" si="107"/>
        <v>0</v>
      </c>
      <c r="AX196" s="571">
        <v>9250</v>
      </c>
      <c r="AY196" s="571">
        <f t="shared" si="110"/>
        <v>0</v>
      </c>
      <c r="AZ196" s="571">
        <f t="shared" si="111"/>
        <v>18.5</v>
      </c>
      <c r="BA196" s="572">
        <f t="shared" si="112"/>
        <v>0</v>
      </c>
      <c r="BB196" s="571"/>
      <c r="BC196" s="573">
        <v>1.85</v>
      </c>
      <c r="BD196" s="571">
        <f t="shared" si="101"/>
        <v>0</v>
      </c>
      <c r="BE196" s="571">
        <f t="shared" si="106"/>
        <v>0</v>
      </c>
      <c r="BF196" s="586">
        <f t="shared" si="102"/>
        <v>0</v>
      </c>
      <c r="BG196" s="586" t="e">
        <f t="shared" si="103"/>
        <v>#DIV/0!</v>
      </c>
      <c r="BH196" s="571" t="e">
        <f t="shared" si="104"/>
        <v>#DIV/0!</v>
      </c>
    </row>
    <row r="197" spans="49:60" s="39" customFormat="1">
      <c r="AW197" s="571">
        <f t="shared" si="107"/>
        <v>0</v>
      </c>
      <c r="AX197" s="571">
        <v>9300</v>
      </c>
      <c r="AY197" s="571">
        <f t="shared" si="110"/>
        <v>0</v>
      </c>
      <c r="AZ197" s="571">
        <f t="shared" si="111"/>
        <v>18.600000000000001</v>
      </c>
      <c r="BA197" s="572">
        <f t="shared" si="112"/>
        <v>0</v>
      </c>
      <c r="BB197" s="571"/>
      <c r="BC197" s="573">
        <v>1.86</v>
      </c>
      <c r="BD197" s="571">
        <f t="shared" si="101"/>
        <v>0</v>
      </c>
      <c r="BE197" s="571">
        <f t="shared" si="106"/>
        <v>0</v>
      </c>
      <c r="BF197" s="586">
        <f t="shared" si="102"/>
        <v>0</v>
      </c>
      <c r="BG197" s="586" t="e">
        <f t="shared" si="103"/>
        <v>#DIV/0!</v>
      </c>
      <c r="BH197" s="571" t="e">
        <f t="shared" si="104"/>
        <v>#DIV/0!</v>
      </c>
    </row>
    <row r="198" spans="49:60" s="39" customFormat="1">
      <c r="AW198" s="571">
        <f t="shared" si="107"/>
        <v>0</v>
      </c>
      <c r="AX198" s="571">
        <v>9350</v>
      </c>
      <c r="AY198" s="571">
        <f t="shared" si="110"/>
        <v>0</v>
      </c>
      <c r="AZ198" s="571">
        <f t="shared" si="111"/>
        <v>18.7</v>
      </c>
      <c r="BA198" s="572">
        <f t="shared" si="112"/>
        <v>0</v>
      </c>
      <c r="BB198" s="571"/>
      <c r="BC198" s="573">
        <v>1.87</v>
      </c>
      <c r="BD198" s="571">
        <f t="shared" si="101"/>
        <v>0</v>
      </c>
      <c r="BE198" s="571">
        <f t="shared" si="106"/>
        <v>0</v>
      </c>
      <c r="BF198" s="586">
        <f t="shared" si="102"/>
        <v>0</v>
      </c>
      <c r="BG198" s="586" t="e">
        <f t="shared" si="103"/>
        <v>#DIV/0!</v>
      </c>
      <c r="BH198" s="571" t="e">
        <f t="shared" si="104"/>
        <v>#DIV/0!</v>
      </c>
    </row>
    <row r="199" spans="49:60" s="39" customFormat="1">
      <c r="AW199" s="571">
        <f t="shared" si="107"/>
        <v>0</v>
      </c>
      <c r="AX199" s="571">
        <v>9400</v>
      </c>
      <c r="AY199" s="571">
        <f t="shared" si="110"/>
        <v>0</v>
      </c>
      <c r="AZ199" s="571">
        <f t="shared" si="111"/>
        <v>18.8</v>
      </c>
      <c r="BA199" s="572">
        <f t="shared" si="112"/>
        <v>0</v>
      </c>
      <c r="BB199" s="571"/>
      <c r="BC199" s="573">
        <v>1.88</v>
      </c>
      <c r="BD199" s="571">
        <f t="shared" si="101"/>
        <v>0</v>
      </c>
      <c r="BE199" s="571">
        <f t="shared" si="106"/>
        <v>0</v>
      </c>
      <c r="BF199" s="586">
        <f t="shared" si="102"/>
        <v>0</v>
      </c>
      <c r="BG199" s="586" t="e">
        <f t="shared" si="103"/>
        <v>#DIV/0!</v>
      </c>
      <c r="BH199" s="571" t="e">
        <f t="shared" si="104"/>
        <v>#DIV/0!</v>
      </c>
    </row>
    <row r="200" spans="49:60" s="39" customFormat="1">
      <c r="AW200" s="571">
        <f t="shared" si="107"/>
        <v>0</v>
      </c>
      <c r="AX200" s="571">
        <v>9450</v>
      </c>
      <c r="AY200" s="571">
        <f t="shared" si="110"/>
        <v>0</v>
      </c>
      <c r="AZ200" s="571">
        <f t="shared" si="111"/>
        <v>18.899999999999999</v>
      </c>
      <c r="BA200" s="572">
        <f t="shared" si="112"/>
        <v>0</v>
      </c>
      <c r="BB200" s="571"/>
      <c r="BC200" s="573">
        <v>1.89</v>
      </c>
      <c r="BD200" s="571">
        <f t="shared" si="101"/>
        <v>0</v>
      </c>
      <c r="BE200" s="571">
        <f t="shared" si="106"/>
        <v>0</v>
      </c>
      <c r="BF200" s="586">
        <f t="shared" si="102"/>
        <v>0</v>
      </c>
      <c r="BG200" s="586" t="e">
        <f t="shared" si="103"/>
        <v>#DIV/0!</v>
      </c>
      <c r="BH200" s="571" t="e">
        <f t="shared" si="104"/>
        <v>#DIV/0!</v>
      </c>
    </row>
    <row r="201" spans="49:60" s="39" customFormat="1">
      <c r="AW201" s="571">
        <f t="shared" si="107"/>
        <v>0</v>
      </c>
      <c r="AX201" s="571">
        <v>9500</v>
      </c>
      <c r="AY201" s="571">
        <f t="shared" si="110"/>
        <v>0</v>
      </c>
      <c r="AZ201" s="571">
        <f t="shared" si="111"/>
        <v>19</v>
      </c>
      <c r="BA201" s="572">
        <f t="shared" si="112"/>
        <v>0</v>
      </c>
      <c r="BB201" s="571"/>
      <c r="BC201" s="573">
        <v>1.9</v>
      </c>
      <c r="BD201" s="571">
        <f t="shared" si="101"/>
        <v>0</v>
      </c>
      <c r="BE201" s="571">
        <f t="shared" si="106"/>
        <v>0</v>
      </c>
      <c r="BF201" s="586">
        <f t="shared" si="102"/>
        <v>0</v>
      </c>
      <c r="BG201" s="586" t="e">
        <f t="shared" si="103"/>
        <v>#DIV/0!</v>
      </c>
      <c r="BH201" s="571" t="e">
        <f t="shared" si="104"/>
        <v>#DIV/0!</v>
      </c>
    </row>
    <row r="202" spans="49:60" s="39" customFormat="1">
      <c r="AW202" s="571">
        <f t="shared" si="107"/>
        <v>0</v>
      </c>
      <c r="AX202" s="571">
        <v>9550</v>
      </c>
      <c r="AY202" s="571">
        <f t="shared" si="110"/>
        <v>0</v>
      </c>
      <c r="AZ202" s="571">
        <f t="shared" si="111"/>
        <v>19.100000000000001</v>
      </c>
      <c r="BA202" s="572">
        <f t="shared" si="112"/>
        <v>0</v>
      </c>
      <c r="BB202" s="571"/>
      <c r="BC202" s="573">
        <v>1.91</v>
      </c>
      <c r="BD202" s="571">
        <f t="shared" si="101"/>
        <v>0</v>
      </c>
      <c r="BE202" s="571">
        <f t="shared" si="106"/>
        <v>0</v>
      </c>
      <c r="BF202" s="586">
        <f t="shared" si="102"/>
        <v>0</v>
      </c>
      <c r="BG202" s="586" t="e">
        <f t="shared" si="103"/>
        <v>#DIV/0!</v>
      </c>
      <c r="BH202" s="571" t="e">
        <f t="shared" si="104"/>
        <v>#DIV/0!</v>
      </c>
    </row>
    <row r="203" spans="49:60" s="39" customFormat="1">
      <c r="AW203" s="571">
        <f t="shared" si="107"/>
        <v>0</v>
      </c>
      <c r="AX203" s="571">
        <v>9600</v>
      </c>
      <c r="AY203" s="571">
        <f t="shared" si="110"/>
        <v>0</v>
      </c>
      <c r="AZ203" s="571">
        <f t="shared" si="111"/>
        <v>19.2</v>
      </c>
      <c r="BA203" s="572">
        <f t="shared" si="112"/>
        <v>0</v>
      </c>
      <c r="BB203" s="571"/>
      <c r="BC203" s="573">
        <v>1.92</v>
      </c>
      <c r="BD203" s="571">
        <f t="shared" si="101"/>
        <v>0</v>
      </c>
      <c r="BE203" s="571">
        <f t="shared" si="106"/>
        <v>0</v>
      </c>
      <c r="BF203" s="586">
        <f t="shared" si="102"/>
        <v>0</v>
      </c>
      <c r="BG203" s="586" t="e">
        <f t="shared" si="103"/>
        <v>#DIV/0!</v>
      </c>
      <c r="BH203" s="571" t="e">
        <f t="shared" si="104"/>
        <v>#DIV/0!</v>
      </c>
    </row>
    <row r="204" spans="49:60" s="39" customFormat="1">
      <c r="AW204" s="571">
        <f t="shared" si="107"/>
        <v>0</v>
      </c>
      <c r="AX204" s="571">
        <v>9650</v>
      </c>
      <c r="AY204" s="571">
        <f t="shared" si="110"/>
        <v>0</v>
      </c>
      <c r="AZ204" s="571">
        <f t="shared" si="111"/>
        <v>19.3</v>
      </c>
      <c r="BA204" s="572">
        <f t="shared" si="112"/>
        <v>0</v>
      </c>
      <c r="BB204" s="571"/>
      <c r="BC204" s="573">
        <v>1.93</v>
      </c>
      <c r="BD204" s="571">
        <f t="shared" ref="BD204:BD267" si="113">$AU$15/BC204</f>
        <v>0</v>
      </c>
      <c r="BE204" s="571">
        <f t="shared" si="106"/>
        <v>0</v>
      </c>
      <c r="BF204" s="586">
        <f t="shared" ref="BF204:BF267" si="114">BC204*(BE204/1000)/$AO$12</f>
        <v>0</v>
      </c>
      <c r="BG204" s="586" t="e">
        <f t="shared" ref="BG204:BG267" si="115">POWER((1/(-1.8*LOG((6.9/BF204+POWER((($P$7/BE204)/3.71),1.11)),10))),2)</f>
        <v>#DIV/0!</v>
      </c>
      <c r="BH204" s="571" t="e">
        <f t="shared" ref="BH204:BH267" si="116">BG204*0.5*$P$6*16*$AU$15*$AU$15/(POWER(PI(),2)*POWER((BE204/1000),5))</f>
        <v>#DIV/0!</v>
      </c>
    </row>
    <row r="205" spans="49:60" s="39" customFormat="1">
      <c r="AW205" s="571">
        <f t="shared" si="107"/>
        <v>0</v>
      </c>
      <c r="AX205" s="571">
        <v>9700</v>
      </c>
      <c r="AY205" s="571">
        <f t="shared" si="110"/>
        <v>0</v>
      </c>
      <c r="AZ205" s="571">
        <f t="shared" si="111"/>
        <v>19.399999999999999</v>
      </c>
      <c r="BA205" s="572">
        <f t="shared" si="112"/>
        <v>0</v>
      </c>
      <c r="BB205" s="571"/>
      <c r="BC205" s="573">
        <v>1.94</v>
      </c>
      <c r="BD205" s="571">
        <f t="shared" si="113"/>
        <v>0</v>
      </c>
      <c r="BE205" s="571">
        <f t="shared" ref="BE205:BE268" si="117">((BD205/PI())^0.5)*2*1000</f>
        <v>0</v>
      </c>
      <c r="BF205" s="586">
        <f t="shared" si="114"/>
        <v>0</v>
      </c>
      <c r="BG205" s="586" t="e">
        <f t="shared" si="115"/>
        <v>#DIV/0!</v>
      </c>
      <c r="BH205" s="571" t="e">
        <f t="shared" si="116"/>
        <v>#DIV/0!</v>
      </c>
    </row>
    <row r="206" spans="49:60" s="39" customFormat="1">
      <c r="AW206" s="571">
        <f t="shared" ref="AW206:AW211" si="118">$P$25</f>
        <v>0</v>
      </c>
      <c r="AX206" s="571">
        <v>9750</v>
      </c>
      <c r="AY206" s="571">
        <f t="shared" si="110"/>
        <v>0</v>
      </c>
      <c r="AZ206" s="571">
        <f t="shared" si="111"/>
        <v>19.5</v>
      </c>
      <c r="BA206" s="572">
        <f t="shared" si="112"/>
        <v>0</v>
      </c>
      <c r="BB206" s="571"/>
      <c r="BC206" s="573">
        <v>1.95</v>
      </c>
      <c r="BD206" s="571">
        <f t="shared" si="113"/>
        <v>0</v>
      </c>
      <c r="BE206" s="571">
        <f t="shared" si="117"/>
        <v>0</v>
      </c>
      <c r="BF206" s="586">
        <f t="shared" si="114"/>
        <v>0</v>
      </c>
      <c r="BG206" s="586" t="e">
        <f t="shared" si="115"/>
        <v>#DIV/0!</v>
      </c>
      <c r="BH206" s="571" t="e">
        <f t="shared" si="116"/>
        <v>#DIV/0!</v>
      </c>
    </row>
    <row r="207" spans="49:60" s="39" customFormat="1">
      <c r="AW207" s="571">
        <f t="shared" si="118"/>
        <v>0</v>
      </c>
      <c r="AX207" s="571">
        <v>9800</v>
      </c>
      <c r="AY207" s="571">
        <f t="shared" si="110"/>
        <v>0</v>
      </c>
      <c r="AZ207" s="571">
        <f t="shared" si="111"/>
        <v>19.600000000000001</v>
      </c>
      <c r="BA207" s="572">
        <f t="shared" si="112"/>
        <v>0</v>
      </c>
      <c r="BB207" s="571"/>
      <c r="BC207" s="573">
        <v>1.96</v>
      </c>
      <c r="BD207" s="571">
        <f t="shared" si="113"/>
        <v>0</v>
      </c>
      <c r="BE207" s="571">
        <f t="shared" si="117"/>
        <v>0</v>
      </c>
      <c r="BF207" s="586">
        <f t="shared" si="114"/>
        <v>0</v>
      </c>
      <c r="BG207" s="586" t="e">
        <f t="shared" si="115"/>
        <v>#DIV/0!</v>
      </c>
      <c r="BH207" s="571" t="e">
        <f t="shared" si="116"/>
        <v>#DIV/0!</v>
      </c>
    </row>
    <row r="208" spans="49:60" s="39" customFormat="1">
      <c r="AW208" s="571">
        <f t="shared" si="118"/>
        <v>0</v>
      </c>
      <c r="AX208" s="571">
        <v>9850</v>
      </c>
      <c r="AY208" s="571">
        <f t="shared" si="110"/>
        <v>0</v>
      </c>
      <c r="AZ208" s="571">
        <f t="shared" si="111"/>
        <v>19.7</v>
      </c>
      <c r="BA208" s="572">
        <f t="shared" si="112"/>
        <v>0</v>
      </c>
      <c r="BB208" s="571"/>
      <c r="BC208" s="573">
        <v>1.97</v>
      </c>
      <c r="BD208" s="571">
        <f t="shared" si="113"/>
        <v>0</v>
      </c>
      <c r="BE208" s="571">
        <f t="shared" si="117"/>
        <v>0</v>
      </c>
      <c r="BF208" s="586">
        <f t="shared" si="114"/>
        <v>0</v>
      </c>
      <c r="BG208" s="586" t="e">
        <f t="shared" si="115"/>
        <v>#DIV/0!</v>
      </c>
      <c r="BH208" s="571" t="e">
        <f t="shared" si="116"/>
        <v>#DIV/0!</v>
      </c>
    </row>
    <row r="209" spans="49:60" s="39" customFormat="1">
      <c r="AW209" s="571">
        <f t="shared" si="118"/>
        <v>0</v>
      </c>
      <c r="AX209" s="571">
        <v>9900</v>
      </c>
      <c r="AY209" s="571">
        <f t="shared" si="110"/>
        <v>0</v>
      </c>
      <c r="AZ209" s="571">
        <f t="shared" si="111"/>
        <v>19.8</v>
      </c>
      <c r="BA209" s="572">
        <f t="shared" si="112"/>
        <v>0</v>
      </c>
      <c r="BB209" s="571"/>
      <c r="BC209" s="573">
        <v>1.98</v>
      </c>
      <c r="BD209" s="571">
        <f t="shared" si="113"/>
        <v>0</v>
      </c>
      <c r="BE209" s="571">
        <f t="shared" si="117"/>
        <v>0</v>
      </c>
      <c r="BF209" s="586">
        <f t="shared" si="114"/>
        <v>0</v>
      </c>
      <c r="BG209" s="586" t="e">
        <f t="shared" si="115"/>
        <v>#DIV/0!</v>
      </c>
      <c r="BH209" s="571" t="e">
        <f t="shared" si="116"/>
        <v>#DIV/0!</v>
      </c>
    </row>
    <row r="210" spans="49:60" s="39" customFormat="1">
      <c r="AW210" s="571">
        <f t="shared" si="118"/>
        <v>0</v>
      </c>
      <c r="AX210" s="571">
        <v>9950</v>
      </c>
      <c r="AY210" s="571">
        <f t="shared" si="110"/>
        <v>0</v>
      </c>
      <c r="AZ210" s="571">
        <f t="shared" si="111"/>
        <v>19.899999999999999</v>
      </c>
      <c r="BA210" s="572">
        <f t="shared" si="112"/>
        <v>0</v>
      </c>
      <c r="BB210" s="571"/>
      <c r="BC210" s="573">
        <v>1.99</v>
      </c>
      <c r="BD210" s="571">
        <f t="shared" si="113"/>
        <v>0</v>
      </c>
      <c r="BE210" s="571">
        <f t="shared" si="117"/>
        <v>0</v>
      </c>
      <c r="BF210" s="586">
        <f t="shared" si="114"/>
        <v>0</v>
      </c>
      <c r="BG210" s="586" t="e">
        <f t="shared" si="115"/>
        <v>#DIV/0!</v>
      </c>
      <c r="BH210" s="571" t="e">
        <f t="shared" si="116"/>
        <v>#DIV/0!</v>
      </c>
    </row>
    <row r="211" spans="49:60" s="39" customFormat="1">
      <c r="AW211" s="571">
        <f t="shared" si="118"/>
        <v>0</v>
      </c>
      <c r="AX211" s="571">
        <v>10000</v>
      </c>
      <c r="AY211" s="571">
        <f t="shared" si="110"/>
        <v>0</v>
      </c>
      <c r="AZ211" s="571">
        <f t="shared" si="111"/>
        <v>20</v>
      </c>
      <c r="BA211" s="572">
        <f t="shared" si="112"/>
        <v>0</v>
      </c>
      <c r="BB211" s="571"/>
      <c r="BC211" s="573">
        <v>2</v>
      </c>
      <c r="BD211" s="571">
        <f t="shared" si="113"/>
        <v>0</v>
      </c>
      <c r="BE211" s="571">
        <f t="shared" si="117"/>
        <v>0</v>
      </c>
      <c r="BF211" s="586">
        <f t="shared" si="114"/>
        <v>0</v>
      </c>
      <c r="BG211" s="586" t="e">
        <f t="shared" si="115"/>
        <v>#DIV/0!</v>
      </c>
      <c r="BH211" s="571" t="e">
        <f t="shared" si="116"/>
        <v>#DIV/0!</v>
      </c>
    </row>
    <row r="212" spans="49:60" s="39" customFormat="1">
      <c r="AW212" s="571"/>
      <c r="AX212" s="571"/>
      <c r="AY212" s="571"/>
      <c r="AZ212" s="571"/>
      <c r="BA212" s="571"/>
      <c r="BB212" s="571"/>
      <c r="BC212" s="573">
        <v>2.0099999999999998</v>
      </c>
      <c r="BD212" s="571">
        <f t="shared" si="113"/>
        <v>0</v>
      </c>
      <c r="BE212" s="571">
        <f t="shared" si="117"/>
        <v>0</v>
      </c>
      <c r="BF212" s="586">
        <f t="shared" si="114"/>
        <v>0</v>
      </c>
      <c r="BG212" s="586" t="e">
        <f t="shared" si="115"/>
        <v>#DIV/0!</v>
      </c>
      <c r="BH212" s="571" t="e">
        <f t="shared" si="116"/>
        <v>#DIV/0!</v>
      </c>
    </row>
    <row r="213" spans="49:60" s="39" customFormat="1">
      <c r="AW213" s="571"/>
      <c r="AX213" s="571"/>
      <c r="AY213" s="571"/>
      <c r="AZ213" s="571"/>
      <c r="BA213" s="571"/>
      <c r="BB213" s="571"/>
      <c r="BC213" s="573">
        <v>2.02</v>
      </c>
      <c r="BD213" s="571">
        <f t="shared" si="113"/>
        <v>0</v>
      </c>
      <c r="BE213" s="571">
        <f t="shared" si="117"/>
        <v>0</v>
      </c>
      <c r="BF213" s="586">
        <f t="shared" si="114"/>
        <v>0</v>
      </c>
      <c r="BG213" s="586" t="e">
        <f t="shared" si="115"/>
        <v>#DIV/0!</v>
      </c>
      <c r="BH213" s="571" t="e">
        <f t="shared" si="116"/>
        <v>#DIV/0!</v>
      </c>
    </row>
    <row r="214" spans="49:60" s="39" customFormat="1">
      <c r="AW214" s="571"/>
      <c r="AX214" s="571"/>
      <c r="AY214" s="571"/>
      <c r="AZ214" s="571"/>
      <c r="BA214" s="571"/>
      <c r="BB214" s="571"/>
      <c r="BC214" s="573">
        <v>2.0299999999999998</v>
      </c>
      <c r="BD214" s="571">
        <f t="shared" si="113"/>
        <v>0</v>
      </c>
      <c r="BE214" s="571">
        <f t="shared" si="117"/>
        <v>0</v>
      </c>
      <c r="BF214" s="586">
        <f t="shared" si="114"/>
        <v>0</v>
      </c>
      <c r="BG214" s="586" t="e">
        <f t="shared" si="115"/>
        <v>#DIV/0!</v>
      </c>
      <c r="BH214" s="571" t="e">
        <f t="shared" si="116"/>
        <v>#DIV/0!</v>
      </c>
    </row>
    <row r="215" spans="49:60" s="39" customFormat="1">
      <c r="AW215" s="571"/>
      <c r="AX215" s="571"/>
      <c r="AY215" s="571"/>
      <c r="AZ215" s="571"/>
      <c r="BA215" s="571"/>
      <c r="BB215" s="571"/>
      <c r="BC215" s="573">
        <v>2.04</v>
      </c>
      <c r="BD215" s="571">
        <f t="shared" si="113"/>
        <v>0</v>
      </c>
      <c r="BE215" s="571">
        <f t="shared" si="117"/>
        <v>0</v>
      </c>
      <c r="BF215" s="586">
        <f t="shared" si="114"/>
        <v>0</v>
      </c>
      <c r="BG215" s="586" t="e">
        <f t="shared" si="115"/>
        <v>#DIV/0!</v>
      </c>
      <c r="BH215" s="571" t="e">
        <f t="shared" si="116"/>
        <v>#DIV/0!</v>
      </c>
    </row>
    <row r="216" spans="49:60" s="39" customFormat="1">
      <c r="AW216" s="571"/>
      <c r="AX216" s="571"/>
      <c r="AY216" s="571"/>
      <c r="AZ216" s="571"/>
      <c r="BA216" s="571"/>
      <c r="BB216" s="571"/>
      <c r="BC216" s="573">
        <v>2.0499999999999998</v>
      </c>
      <c r="BD216" s="571">
        <f t="shared" si="113"/>
        <v>0</v>
      </c>
      <c r="BE216" s="571">
        <f t="shared" si="117"/>
        <v>0</v>
      </c>
      <c r="BF216" s="586">
        <f t="shared" si="114"/>
        <v>0</v>
      </c>
      <c r="BG216" s="586" t="e">
        <f t="shared" si="115"/>
        <v>#DIV/0!</v>
      </c>
      <c r="BH216" s="571" t="e">
        <f t="shared" si="116"/>
        <v>#DIV/0!</v>
      </c>
    </row>
    <row r="217" spans="49:60" s="39" customFormat="1">
      <c r="AW217" s="571"/>
      <c r="AX217" s="571"/>
      <c r="AY217" s="571"/>
      <c r="AZ217" s="571"/>
      <c r="BA217" s="571"/>
      <c r="BB217" s="571"/>
      <c r="BC217" s="573">
        <v>2.06</v>
      </c>
      <c r="BD217" s="571">
        <f t="shared" si="113"/>
        <v>0</v>
      </c>
      <c r="BE217" s="571">
        <f t="shared" si="117"/>
        <v>0</v>
      </c>
      <c r="BF217" s="586">
        <f t="shared" si="114"/>
        <v>0</v>
      </c>
      <c r="BG217" s="586" t="e">
        <f t="shared" si="115"/>
        <v>#DIV/0!</v>
      </c>
      <c r="BH217" s="571" t="e">
        <f t="shared" si="116"/>
        <v>#DIV/0!</v>
      </c>
    </row>
    <row r="218" spans="49:60" s="39" customFormat="1">
      <c r="AW218" s="571"/>
      <c r="AX218" s="571"/>
      <c r="AY218" s="571"/>
      <c r="AZ218" s="571"/>
      <c r="BA218" s="571"/>
      <c r="BB218" s="571"/>
      <c r="BC218" s="573">
        <v>2.0699999999999998</v>
      </c>
      <c r="BD218" s="571">
        <f t="shared" si="113"/>
        <v>0</v>
      </c>
      <c r="BE218" s="571">
        <f t="shared" si="117"/>
        <v>0</v>
      </c>
      <c r="BF218" s="586">
        <f t="shared" si="114"/>
        <v>0</v>
      </c>
      <c r="BG218" s="586" t="e">
        <f t="shared" si="115"/>
        <v>#DIV/0!</v>
      </c>
      <c r="BH218" s="571" t="e">
        <f t="shared" si="116"/>
        <v>#DIV/0!</v>
      </c>
    </row>
    <row r="219" spans="49:60" s="39" customFormat="1">
      <c r="AW219" s="571"/>
      <c r="AX219" s="571"/>
      <c r="AY219" s="571"/>
      <c r="AZ219" s="571"/>
      <c r="BA219" s="571"/>
      <c r="BB219" s="571"/>
      <c r="BC219" s="573">
        <v>2.08</v>
      </c>
      <c r="BD219" s="571">
        <f t="shared" si="113"/>
        <v>0</v>
      </c>
      <c r="BE219" s="571">
        <f t="shared" si="117"/>
        <v>0</v>
      </c>
      <c r="BF219" s="586">
        <f t="shared" si="114"/>
        <v>0</v>
      </c>
      <c r="BG219" s="586" t="e">
        <f t="shared" si="115"/>
        <v>#DIV/0!</v>
      </c>
      <c r="BH219" s="571" t="e">
        <f t="shared" si="116"/>
        <v>#DIV/0!</v>
      </c>
    </row>
    <row r="220" spans="49:60" s="39" customFormat="1">
      <c r="AW220" s="571"/>
      <c r="AX220" s="571"/>
      <c r="AY220" s="571"/>
      <c r="AZ220" s="571"/>
      <c r="BA220" s="571"/>
      <c r="BB220" s="571"/>
      <c r="BC220" s="573">
        <v>2.09</v>
      </c>
      <c r="BD220" s="571">
        <f t="shared" si="113"/>
        <v>0</v>
      </c>
      <c r="BE220" s="571">
        <f t="shared" si="117"/>
        <v>0</v>
      </c>
      <c r="BF220" s="586">
        <f t="shared" si="114"/>
        <v>0</v>
      </c>
      <c r="BG220" s="586" t="e">
        <f t="shared" si="115"/>
        <v>#DIV/0!</v>
      </c>
      <c r="BH220" s="571" t="e">
        <f t="shared" si="116"/>
        <v>#DIV/0!</v>
      </c>
    </row>
    <row r="221" spans="49:60" s="39" customFormat="1">
      <c r="AW221" s="571"/>
      <c r="AX221" s="571"/>
      <c r="AY221" s="571"/>
      <c r="AZ221" s="571"/>
      <c r="BA221" s="571"/>
      <c r="BB221" s="571"/>
      <c r="BC221" s="573">
        <v>2.1</v>
      </c>
      <c r="BD221" s="571">
        <f t="shared" si="113"/>
        <v>0</v>
      </c>
      <c r="BE221" s="571">
        <f t="shared" si="117"/>
        <v>0</v>
      </c>
      <c r="BF221" s="586">
        <f t="shared" si="114"/>
        <v>0</v>
      </c>
      <c r="BG221" s="586" t="e">
        <f t="shared" si="115"/>
        <v>#DIV/0!</v>
      </c>
      <c r="BH221" s="571" t="e">
        <f t="shared" si="116"/>
        <v>#DIV/0!</v>
      </c>
    </row>
    <row r="222" spans="49:60" s="39" customFormat="1">
      <c r="AW222" s="571"/>
      <c r="AX222" s="571"/>
      <c r="AY222" s="571"/>
      <c r="AZ222" s="571"/>
      <c r="BA222" s="571"/>
      <c r="BB222" s="571"/>
      <c r="BC222" s="573">
        <v>2.11</v>
      </c>
      <c r="BD222" s="571">
        <f t="shared" si="113"/>
        <v>0</v>
      </c>
      <c r="BE222" s="571">
        <f t="shared" si="117"/>
        <v>0</v>
      </c>
      <c r="BF222" s="586">
        <f t="shared" si="114"/>
        <v>0</v>
      </c>
      <c r="BG222" s="586" t="e">
        <f t="shared" si="115"/>
        <v>#DIV/0!</v>
      </c>
      <c r="BH222" s="571" t="e">
        <f t="shared" si="116"/>
        <v>#DIV/0!</v>
      </c>
    </row>
    <row r="223" spans="49:60" s="39" customFormat="1">
      <c r="AW223" s="571"/>
      <c r="AX223" s="571"/>
      <c r="AY223" s="571"/>
      <c r="AZ223" s="571"/>
      <c r="BA223" s="571"/>
      <c r="BB223" s="571"/>
      <c r="BC223" s="573">
        <v>2.12</v>
      </c>
      <c r="BD223" s="571">
        <f t="shared" si="113"/>
        <v>0</v>
      </c>
      <c r="BE223" s="571">
        <f t="shared" si="117"/>
        <v>0</v>
      </c>
      <c r="BF223" s="586">
        <f t="shared" si="114"/>
        <v>0</v>
      </c>
      <c r="BG223" s="586" t="e">
        <f t="shared" si="115"/>
        <v>#DIV/0!</v>
      </c>
      <c r="BH223" s="571" t="e">
        <f t="shared" si="116"/>
        <v>#DIV/0!</v>
      </c>
    </row>
    <row r="224" spans="49:60" s="39" customFormat="1">
      <c r="AW224" s="571"/>
      <c r="AX224" s="571"/>
      <c r="AY224" s="571"/>
      <c r="AZ224" s="571"/>
      <c r="BA224" s="571"/>
      <c r="BB224" s="571"/>
      <c r="BC224" s="573">
        <v>2.13</v>
      </c>
      <c r="BD224" s="571">
        <f t="shared" si="113"/>
        <v>0</v>
      </c>
      <c r="BE224" s="571">
        <f t="shared" si="117"/>
        <v>0</v>
      </c>
      <c r="BF224" s="586">
        <f t="shared" si="114"/>
        <v>0</v>
      </c>
      <c r="BG224" s="586" t="e">
        <f t="shared" si="115"/>
        <v>#DIV/0!</v>
      </c>
      <c r="BH224" s="571" t="e">
        <f t="shared" si="116"/>
        <v>#DIV/0!</v>
      </c>
    </row>
    <row r="225" spans="55:60" s="39" customFormat="1">
      <c r="BC225" s="573">
        <v>2.14</v>
      </c>
      <c r="BD225" s="571">
        <f t="shared" si="113"/>
        <v>0</v>
      </c>
      <c r="BE225" s="571">
        <f t="shared" si="117"/>
        <v>0</v>
      </c>
      <c r="BF225" s="586">
        <f t="shared" si="114"/>
        <v>0</v>
      </c>
      <c r="BG225" s="586" t="e">
        <f t="shared" si="115"/>
        <v>#DIV/0!</v>
      </c>
      <c r="BH225" s="571" t="e">
        <f t="shared" si="116"/>
        <v>#DIV/0!</v>
      </c>
    </row>
    <row r="226" spans="55:60" s="39" customFormat="1">
      <c r="BC226" s="573">
        <v>2.15</v>
      </c>
      <c r="BD226" s="571">
        <f t="shared" si="113"/>
        <v>0</v>
      </c>
      <c r="BE226" s="571">
        <f t="shared" si="117"/>
        <v>0</v>
      </c>
      <c r="BF226" s="586">
        <f t="shared" si="114"/>
        <v>0</v>
      </c>
      <c r="BG226" s="586" t="e">
        <f t="shared" si="115"/>
        <v>#DIV/0!</v>
      </c>
      <c r="BH226" s="571" t="e">
        <f t="shared" si="116"/>
        <v>#DIV/0!</v>
      </c>
    </row>
    <row r="227" spans="55:60" s="39" customFormat="1">
      <c r="BC227" s="573">
        <v>2.16</v>
      </c>
      <c r="BD227" s="571">
        <f t="shared" si="113"/>
        <v>0</v>
      </c>
      <c r="BE227" s="571">
        <f t="shared" si="117"/>
        <v>0</v>
      </c>
      <c r="BF227" s="586">
        <f t="shared" si="114"/>
        <v>0</v>
      </c>
      <c r="BG227" s="586" t="e">
        <f t="shared" si="115"/>
        <v>#DIV/0!</v>
      </c>
      <c r="BH227" s="571" t="e">
        <f t="shared" si="116"/>
        <v>#DIV/0!</v>
      </c>
    </row>
    <row r="228" spans="55:60" s="39" customFormat="1">
      <c r="BC228" s="573">
        <v>2.17</v>
      </c>
      <c r="BD228" s="571">
        <f t="shared" si="113"/>
        <v>0</v>
      </c>
      <c r="BE228" s="571">
        <f t="shared" si="117"/>
        <v>0</v>
      </c>
      <c r="BF228" s="586">
        <f t="shared" si="114"/>
        <v>0</v>
      </c>
      <c r="BG228" s="586" t="e">
        <f t="shared" si="115"/>
        <v>#DIV/0!</v>
      </c>
      <c r="BH228" s="571" t="e">
        <f t="shared" si="116"/>
        <v>#DIV/0!</v>
      </c>
    </row>
    <row r="229" spans="55:60" s="39" customFormat="1">
      <c r="BC229" s="573">
        <v>2.1800000000000002</v>
      </c>
      <c r="BD229" s="571">
        <f t="shared" si="113"/>
        <v>0</v>
      </c>
      <c r="BE229" s="571">
        <f t="shared" si="117"/>
        <v>0</v>
      </c>
      <c r="BF229" s="586">
        <f t="shared" si="114"/>
        <v>0</v>
      </c>
      <c r="BG229" s="586" t="e">
        <f t="shared" si="115"/>
        <v>#DIV/0!</v>
      </c>
      <c r="BH229" s="571" t="e">
        <f t="shared" si="116"/>
        <v>#DIV/0!</v>
      </c>
    </row>
    <row r="230" spans="55:60" s="39" customFormat="1">
      <c r="BC230" s="573">
        <v>2.19</v>
      </c>
      <c r="BD230" s="571">
        <f t="shared" si="113"/>
        <v>0</v>
      </c>
      <c r="BE230" s="571">
        <f t="shared" si="117"/>
        <v>0</v>
      </c>
      <c r="BF230" s="586">
        <f t="shared" si="114"/>
        <v>0</v>
      </c>
      <c r="BG230" s="586" t="e">
        <f t="shared" si="115"/>
        <v>#DIV/0!</v>
      </c>
      <c r="BH230" s="571" t="e">
        <f t="shared" si="116"/>
        <v>#DIV/0!</v>
      </c>
    </row>
    <row r="231" spans="55:60" s="39" customFormat="1">
      <c r="BC231" s="573">
        <v>2.2000000000000002</v>
      </c>
      <c r="BD231" s="571">
        <f t="shared" si="113"/>
        <v>0</v>
      </c>
      <c r="BE231" s="571">
        <f t="shared" si="117"/>
        <v>0</v>
      </c>
      <c r="BF231" s="586">
        <f t="shared" si="114"/>
        <v>0</v>
      </c>
      <c r="BG231" s="586" t="e">
        <f t="shared" si="115"/>
        <v>#DIV/0!</v>
      </c>
      <c r="BH231" s="571" t="e">
        <f t="shared" si="116"/>
        <v>#DIV/0!</v>
      </c>
    </row>
    <row r="232" spans="55:60" s="39" customFormat="1">
      <c r="BC232" s="573">
        <v>2.21</v>
      </c>
      <c r="BD232" s="571">
        <f t="shared" si="113"/>
        <v>0</v>
      </c>
      <c r="BE232" s="571">
        <f t="shared" si="117"/>
        <v>0</v>
      </c>
      <c r="BF232" s="586">
        <f t="shared" si="114"/>
        <v>0</v>
      </c>
      <c r="BG232" s="586" t="e">
        <f t="shared" si="115"/>
        <v>#DIV/0!</v>
      </c>
      <c r="BH232" s="571" t="e">
        <f t="shared" si="116"/>
        <v>#DIV/0!</v>
      </c>
    </row>
    <row r="233" spans="55:60" s="39" customFormat="1">
      <c r="BC233" s="573">
        <v>2.2200000000000002</v>
      </c>
      <c r="BD233" s="571">
        <f t="shared" si="113"/>
        <v>0</v>
      </c>
      <c r="BE233" s="571">
        <f t="shared" si="117"/>
        <v>0</v>
      </c>
      <c r="BF233" s="586">
        <f t="shared" si="114"/>
        <v>0</v>
      </c>
      <c r="BG233" s="586" t="e">
        <f t="shared" si="115"/>
        <v>#DIV/0!</v>
      </c>
      <c r="BH233" s="571" t="e">
        <f t="shared" si="116"/>
        <v>#DIV/0!</v>
      </c>
    </row>
    <row r="234" spans="55:60" s="39" customFormat="1">
      <c r="BC234" s="573">
        <v>2.23</v>
      </c>
      <c r="BD234" s="571">
        <f t="shared" si="113"/>
        <v>0</v>
      </c>
      <c r="BE234" s="571">
        <f t="shared" si="117"/>
        <v>0</v>
      </c>
      <c r="BF234" s="586">
        <f t="shared" si="114"/>
        <v>0</v>
      </c>
      <c r="BG234" s="586" t="e">
        <f t="shared" si="115"/>
        <v>#DIV/0!</v>
      </c>
      <c r="BH234" s="571" t="e">
        <f t="shared" si="116"/>
        <v>#DIV/0!</v>
      </c>
    </row>
    <row r="235" spans="55:60" s="39" customFormat="1">
      <c r="BC235" s="573">
        <v>2.2400000000000002</v>
      </c>
      <c r="BD235" s="571">
        <f t="shared" si="113"/>
        <v>0</v>
      </c>
      <c r="BE235" s="571">
        <f t="shared" si="117"/>
        <v>0</v>
      </c>
      <c r="BF235" s="586">
        <f t="shared" si="114"/>
        <v>0</v>
      </c>
      <c r="BG235" s="586" t="e">
        <f t="shared" si="115"/>
        <v>#DIV/0!</v>
      </c>
      <c r="BH235" s="571" t="e">
        <f t="shared" si="116"/>
        <v>#DIV/0!</v>
      </c>
    </row>
    <row r="236" spans="55:60" s="39" customFormat="1">
      <c r="BC236" s="573">
        <v>2.25</v>
      </c>
      <c r="BD236" s="571">
        <f t="shared" si="113"/>
        <v>0</v>
      </c>
      <c r="BE236" s="571">
        <f t="shared" si="117"/>
        <v>0</v>
      </c>
      <c r="BF236" s="586">
        <f t="shared" si="114"/>
        <v>0</v>
      </c>
      <c r="BG236" s="586" t="e">
        <f t="shared" si="115"/>
        <v>#DIV/0!</v>
      </c>
      <c r="BH236" s="571" t="e">
        <f t="shared" si="116"/>
        <v>#DIV/0!</v>
      </c>
    </row>
    <row r="237" spans="55:60" s="39" customFormat="1">
      <c r="BC237" s="573">
        <v>2.2599999999999998</v>
      </c>
      <c r="BD237" s="571">
        <f t="shared" si="113"/>
        <v>0</v>
      </c>
      <c r="BE237" s="571">
        <f t="shared" si="117"/>
        <v>0</v>
      </c>
      <c r="BF237" s="586">
        <f t="shared" si="114"/>
        <v>0</v>
      </c>
      <c r="BG237" s="586" t="e">
        <f t="shared" si="115"/>
        <v>#DIV/0!</v>
      </c>
      <c r="BH237" s="571" t="e">
        <f t="shared" si="116"/>
        <v>#DIV/0!</v>
      </c>
    </row>
    <row r="238" spans="55:60" s="39" customFormat="1">
      <c r="BC238" s="573">
        <v>2.27</v>
      </c>
      <c r="BD238" s="571">
        <f t="shared" si="113"/>
        <v>0</v>
      </c>
      <c r="BE238" s="571">
        <f t="shared" si="117"/>
        <v>0</v>
      </c>
      <c r="BF238" s="586">
        <f t="shared" si="114"/>
        <v>0</v>
      </c>
      <c r="BG238" s="586" t="e">
        <f t="shared" si="115"/>
        <v>#DIV/0!</v>
      </c>
      <c r="BH238" s="571" t="e">
        <f t="shared" si="116"/>
        <v>#DIV/0!</v>
      </c>
    </row>
    <row r="239" spans="55:60" s="39" customFormat="1">
      <c r="BC239" s="573">
        <v>2.2799999999999998</v>
      </c>
      <c r="BD239" s="571">
        <f t="shared" si="113"/>
        <v>0</v>
      </c>
      <c r="BE239" s="571">
        <f t="shared" si="117"/>
        <v>0</v>
      </c>
      <c r="BF239" s="586">
        <f t="shared" si="114"/>
        <v>0</v>
      </c>
      <c r="BG239" s="586" t="e">
        <f t="shared" si="115"/>
        <v>#DIV/0!</v>
      </c>
      <c r="BH239" s="571" t="e">
        <f t="shared" si="116"/>
        <v>#DIV/0!</v>
      </c>
    </row>
    <row r="240" spans="55:60" s="39" customFormat="1">
      <c r="BC240" s="573">
        <v>2.29</v>
      </c>
      <c r="BD240" s="571">
        <f t="shared" si="113"/>
        <v>0</v>
      </c>
      <c r="BE240" s="571">
        <f t="shared" si="117"/>
        <v>0</v>
      </c>
      <c r="BF240" s="586">
        <f t="shared" si="114"/>
        <v>0</v>
      </c>
      <c r="BG240" s="586" t="e">
        <f t="shared" si="115"/>
        <v>#DIV/0!</v>
      </c>
      <c r="BH240" s="571" t="e">
        <f t="shared" si="116"/>
        <v>#DIV/0!</v>
      </c>
    </row>
    <row r="241" spans="55:60" s="39" customFormat="1">
      <c r="BC241" s="573">
        <v>2.2999999999999998</v>
      </c>
      <c r="BD241" s="571">
        <f t="shared" si="113"/>
        <v>0</v>
      </c>
      <c r="BE241" s="571">
        <f t="shared" si="117"/>
        <v>0</v>
      </c>
      <c r="BF241" s="586">
        <f t="shared" si="114"/>
        <v>0</v>
      </c>
      <c r="BG241" s="586" t="e">
        <f t="shared" si="115"/>
        <v>#DIV/0!</v>
      </c>
      <c r="BH241" s="571" t="e">
        <f t="shared" si="116"/>
        <v>#DIV/0!</v>
      </c>
    </row>
    <row r="242" spans="55:60" s="39" customFormat="1">
      <c r="BC242" s="573">
        <v>2.31</v>
      </c>
      <c r="BD242" s="571">
        <f t="shared" si="113"/>
        <v>0</v>
      </c>
      <c r="BE242" s="571">
        <f t="shared" si="117"/>
        <v>0</v>
      </c>
      <c r="BF242" s="586">
        <f t="shared" si="114"/>
        <v>0</v>
      </c>
      <c r="BG242" s="586" t="e">
        <f t="shared" si="115"/>
        <v>#DIV/0!</v>
      </c>
      <c r="BH242" s="571" t="e">
        <f t="shared" si="116"/>
        <v>#DIV/0!</v>
      </c>
    </row>
    <row r="243" spans="55:60" s="39" customFormat="1">
      <c r="BC243" s="573">
        <v>2.3199999999999998</v>
      </c>
      <c r="BD243" s="571">
        <f t="shared" si="113"/>
        <v>0</v>
      </c>
      <c r="BE243" s="571">
        <f t="shared" si="117"/>
        <v>0</v>
      </c>
      <c r="BF243" s="586">
        <f t="shared" si="114"/>
        <v>0</v>
      </c>
      <c r="BG243" s="586" t="e">
        <f t="shared" si="115"/>
        <v>#DIV/0!</v>
      </c>
      <c r="BH243" s="571" t="e">
        <f t="shared" si="116"/>
        <v>#DIV/0!</v>
      </c>
    </row>
    <row r="244" spans="55:60" s="39" customFormat="1">
      <c r="BC244" s="573">
        <v>2.33</v>
      </c>
      <c r="BD244" s="571">
        <f t="shared" si="113"/>
        <v>0</v>
      </c>
      <c r="BE244" s="571">
        <f t="shared" si="117"/>
        <v>0</v>
      </c>
      <c r="BF244" s="586">
        <f t="shared" si="114"/>
        <v>0</v>
      </c>
      <c r="BG244" s="586" t="e">
        <f t="shared" si="115"/>
        <v>#DIV/0!</v>
      </c>
      <c r="BH244" s="571" t="e">
        <f t="shared" si="116"/>
        <v>#DIV/0!</v>
      </c>
    </row>
    <row r="245" spans="55:60" s="39" customFormat="1">
      <c r="BC245" s="573">
        <v>2.34</v>
      </c>
      <c r="BD245" s="571">
        <f t="shared" si="113"/>
        <v>0</v>
      </c>
      <c r="BE245" s="571">
        <f t="shared" si="117"/>
        <v>0</v>
      </c>
      <c r="BF245" s="586">
        <f t="shared" si="114"/>
        <v>0</v>
      </c>
      <c r="BG245" s="586" t="e">
        <f t="shared" si="115"/>
        <v>#DIV/0!</v>
      </c>
      <c r="BH245" s="571" t="e">
        <f t="shared" si="116"/>
        <v>#DIV/0!</v>
      </c>
    </row>
    <row r="246" spans="55:60" s="39" customFormat="1">
      <c r="BC246" s="573">
        <v>2.35</v>
      </c>
      <c r="BD246" s="571">
        <f t="shared" si="113"/>
        <v>0</v>
      </c>
      <c r="BE246" s="571">
        <f t="shared" si="117"/>
        <v>0</v>
      </c>
      <c r="BF246" s="586">
        <f t="shared" si="114"/>
        <v>0</v>
      </c>
      <c r="BG246" s="586" t="e">
        <f t="shared" si="115"/>
        <v>#DIV/0!</v>
      </c>
      <c r="BH246" s="571" t="e">
        <f t="shared" si="116"/>
        <v>#DIV/0!</v>
      </c>
    </row>
    <row r="247" spans="55:60" s="39" customFormat="1">
      <c r="BC247" s="573">
        <v>2.36</v>
      </c>
      <c r="BD247" s="571">
        <f t="shared" si="113"/>
        <v>0</v>
      </c>
      <c r="BE247" s="571">
        <f t="shared" si="117"/>
        <v>0</v>
      </c>
      <c r="BF247" s="586">
        <f t="shared" si="114"/>
        <v>0</v>
      </c>
      <c r="BG247" s="586" t="e">
        <f t="shared" si="115"/>
        <v>#DIV/0!</v>
      </c>
      <c r="BH247" s="571" t="e">
        <f t="shared" si="116"/>
        <v>#DIV/0!</v>
      </c>
    </row>
    <row r="248" spans="55:60" s="39" customFormat="1">
      <c r="BC248" s="573">
        <v>2.37</v>
      </c>
      <c r="BD248" s="571">
        <f t="shared" si="113"/>
        <v>0</v>
      </c>
      <c r="BE248" s="571">
        <f t="shared" si="117"/>
        <v>0</v>
      </c>
      <c r="BF248" s="586">
        <f t="shared" si="114"/>
        <v>0</v>
      </c>
      <c r="BG248" s="586" t="e">
        <f t="shared" si="115"/>
        <v>#DIV/0!</v>
      </c>
      <c r="BH248" s="571" t="e">
        <f t="shared" si="116"/>
        <v>#DIV/0!</v>
      </c>
    </row>
    <row r="249" spans="55:60" s="39" customFormat="1">
      <c r="BC249" s="573">
        <v>2.38</v>
      </c>
      <c r="BD249" s="571">
        <f t="shared" si="113"/>
        <v>0</v>
      </c>
      <c r="BE249" s="571">
        <f t="shared" si="117"/>
        <v>0</v>
      </c>
      <c r="BF249" s="586">
        <f t="shared" si="114"/>
        <v>0</v>
      </c>
      <c r="BG249" s="586" t="e">
        <f t="shared" si="115"/>
        <v>#DIV/0!</v>
      </c>
      <c r="BH249" s="571" t="e">
        <f t="shared" si="116"/>
        <v>#DIV/0!</v>
      </c>
    </row>
    <row r="250" spans="55:60" s="39" customFormat="1">
      <c r="BC250" s="573">
        <v>2.39</v>
      </c>
      <c r="BD250" s="571">
        <f t="shared" si="113"/>
        <v>0</v>
      </c>
      <c r="BE250" s="571">
        <f t="shared" si="117"/>
        <v>0</v>
      </c>
      <c r="BF250" s="586">
        <f t="shared" si="114"/>
        <v>0</v>
      </c>
      <c r="BG250" s="586" t="e">
        <f t="shared" si="115"/>
        <v>#DIV/0!</v>
      </c>
      <c r="BH250" s="571" t="e">
        <f t="shared" si="116"/>
        <v>#DIV/0!</v>
      </c>
    </row>
    <row r="251" spans="55:60" s="39" customFormat="1">
      <c r="BC251" s="573">
        <v>2.4</v>
      </c>
      <c r="BD251" s="571">
        <f t="shared" si="113"/>
        <v>0</v>
      </c>
      <c r="BE251" s="571">
        <f t="shared" si="117"/>
        <v>0</v>
      </c>
      <c r="BF251" s="586">
        <f t="shared" si="114"/>
        <v>0</v>
      </c>
      <c r="BG251" s="586" t="e">
        <f t="shared" si="115"/>
        <v>#DIV/0!</v>
      </c>
      <c r="BH251" s="571" t="e">
        <f t="shared" si="116"/>
        <v>#DIV/0!</v>
      </c>
    </row>
    <row r="252" spans="55:60" s="39" customFormat="1">
      <c r="BC252" s="573">
        <v>2.41</v>
      </c>
      <c r="BD252" s="571">
        <f t="shared" si="113"/>
        <v>0</v>
      </c>
      <c r="BE252" s="571">
        <f t="shared" si="117"/>
        <v>0</v>
      </c>
      <c r="BF252" s="586">
        <f t="shared" si="114"/>
        <v>0</v>
      </c>
      <c r="BG252" s="586" t="e">
        <f t="shared" si="115"/>
        <v>#DIV/0!</v>
      </c>
      <c r="BH252" s="571" t="e">
        <f t="shared" si="116"/>
        <v>#DIV/0!</v>
      </c>
    </row>
    <row r="253" spans="55:60" s="39" customFormat="1">
      <c r="BC253" s="573">
        <v>2.42</v>
      </c>
      <c r="BD253" s="571">
        <f t="shared" si="113"/>
        <v>0</v>
      </c>
      <c r="BE253" s="571">
        <f t="shared" si="117"/>
        <v>0</v>
      </c>
      <c r="BF253" s="586">
        <f t="shared" si="114"/>
        <v>0</v>
      </c>
      <c r="BG253" s="586" t="e">
        <f t="shared" si="115"/>
        <v>#DIV/0!</v>
      </c>
      <c r="BH253" s="571" t="e">
        <f t="shared" si="116"/>
        <v>#DIV/0!</v>
      </c>
    </row>
    <row r="254" spans="55:60" s="39" customFormat="1">
      <c r="BC254" s="573">
        <v>2.4300000000000002</v>
      </c>
      <c r="BD254" s="571">
        <f t="shared" si="113"/>
        <v>0</v>
      </c>
      <c r="BE254" s="571">
        <f t="shared" si="117"/>
        <v>0</v>
      </c>
      <c r="BF254" s="586">
        <f t="shared" si="114"/>
        <v>0</v>
      </c>
      <c r="BG254" s="586" t="e">
        <f t="shared" si="115"/>
        <v>#DIV/0!</v>
      </c>
      <c r="BH254" s="571" t="e">
        <f t="shared" si="116"/>
        <v>#DIV/0!</v>
      </c>
    </row>
    <row r="255" spans="55:60" s="39" customFormat="1">
      <c r="BC255" s="573">
        <v>2.44</v>
      </c>
      <c r="BD255" s="571">
        <f t="shared" si="113"/>
        <v>0</v>
      </c>
      <c r="BE255" s="571">
        <f t="shared" si="117"/>
        <v>0</v>
      </c>
      <c r="BF255" s="586">
        <f t="shared" si="114"/>
        <v>0</v>
      </c>
      <c r="BG255" s="586" t="e">
        <f t="shared" si="115"/>
        <v>#DIV/0!</v>
      </c>
      <c r="BH255" s="571" t="e">
        <f t="shared" si="116"/>
        <v>#DIV/0!</v>
      </c>
    </row>
    <row r="256" spans="55:60" s="39" customFormat="1">
      <c r="BC256" s="573">
        <v>2.4500000000000002</v>
      </c>
      <c r="BD256" s="571">
        <f t="shared" si="113"/>
        <v>0</v>
      </c>
      <c r="BE256" s="571">
        <f t="shared" si="117"/>
        <v>0</v>
      </c>
      <c r="BF256" s="586">
        <f t="shared" si="114"/>
        <v>0</v>
      </c>
      <c r="BG256" s="586" t="e">
        <f t="shared" si="115"/>
        <v>#DIV/0!</v>
      </c>
      <c r="BH256" s="571" t="e">
        <f t="shared" si="116"/>
        <v>#DIV/0!</v>
      </c>
    </row>
    <row r="257" spans="55:60" s="39" customFormat="1">
      <c r="BC257" s="573">
        <v>2.46</v>
      </c>
      <c r="BD257" s="571">
        <f t="shared" si="113"/>
        <v>0</v>
      </c>
      <c r="BE257" s="571">
        <f t="shared" si="117"/>
        <v>0</v>
      </c>
      <c r="BF257" s="586">
        <f t="shared" si="114"/>
        <v>0</v>
      </c>
      <c r="BG257" s="586" t="e">
        <f t="shared" si="115"/>
        <v>#DIV/0!</v>
      </c>
      <c r="BH257" s="571" t="e">
        <f t="shared" si="116"/>
        <v>#DIV/0!</v>
      </c>
    </row>
    <row r="258" spans="55:60" s="39" customFormat="1">
      <c r="BC258" s="573">
        <v>2.4700000000000002</v>
      </c>
      <c r="BD258" s="571">
        <f t="shared" si="113"/>
        <v>0</v>
      </c>
      <c r="BE258" s="571">
        <f t="shared" si="117"/>
        <v>0</v>
      </c>
      <c r="BF258" s="586">
        <f t="shared" si="114"/>
        <v>0</v>
      </c>
      <c r="BG258" s="586" t="e">
        <f t="shared" si="115"/>
        <v>#DIV/0!</v>
      </c>
      <c r="BH258" s="571" t="e">
        <f t="shared" si="116"/>
        <v>#DIV/0!</v>
      </c>
    </row>
    <row r="259" spans="55:60" s="39" customFormat="1">
      <c r="BC259" s="573">
        <v>2.48</v>
      </c>
      <c r="BD259" s="571">
        <f t="shared" si="113"/>
        <v>0</v>
      </c>
      <c r="BE259" s="571">
        <f t="shared" si="117"/>
        <v>0</v>
      </c>
      <c r="BF259" s="586">
        <f t="shared" si="114"/>
        <v>0</v>
      </c>
      <c r="BG259" s="586" t="e">
        <f t="shared" si="115"/>
        <v>#DIV/0!</v>
      </c>
      <c r="BH259" s="571" t="e">
        <f t="shared" si="116"/>
        <v>#DIV/0!</v>
      </c>
    </row>
    <row r="260" spans="55:60" s="39" customFormat="1">
      <c r="BC260" s="573">
        <v>2.4900000000000002</v>
      </c>
      <c r="BD260" s="571">
        <f t="shared" si="113"/>
        <v>0</v>
      </c>
      <c r="BE260" s="571">
        <f t="shared" si="117"/>
        <v>0</v>
      </c>
      <c r="BF260" s="586">
        <f t="shared" si="114"/>
        <v>0</v>
      </c>
      <c r="BG260" s="586" t="e">
        <f t="shared" si="115"/>
        <v>#DIV/0!</v>
      </c>
      <c r="BH260" s="571" t="e">
        <f t="shared" si="116"/>
        <v>#DIV/0!</v>
      </c>
    </row>
    <row r="261" spans="55:60" s="39" customFormat="1">
      <c r="BC261" s="573">
        <v>2.5</v>
      </c>
      <c r="BD261" s="571">
        <f t="shared" si="113"/>
        <v>0</v>
      </c>
      <c r="BE261" s="571">
        <f t="shared" si="117"/>
        <v>0</v>
      </c>
      <c r="BF261" s="586">
        <f t="shared" si="114"/>
        <v>0</v>
      </c>
      <c r="BG261" s="586" t="e">
        <f t="shared" si="115"/>
        <v>#DIV/0!</v>
      </c>
      <c r="BH261" s="571" t="e">
        <f t="shared" si="116"/>
        <v>#DIV/0!</v>
      </c>
    </row>
    <row r="262" spans="55:60" s="39" customFormat="1">
      <c r="BC262" s="573">
        <v>2.5099999999999998</v>
      </c>
      <c r="BD262" s="571">
        <f t="shared" si="113"/>
        <v>0</v>
      </c>
      <c r="BE262" s="571">
        <f t="shared" si="117"/>
        <v>0</v>
      </c>
      <c r="BF262" s="586">
        <f t="shared" si="114"/>
        <v>0</v>
      </c>
      <c r="BG262" s="586" t="e">
        <f t="shared" si="115"/>
        <v>#DIV/0!</v>
      </c>
      <c r="BH262" s="571" t="e">
        <f t="shared" si="116"/>
        <v>#DIV/0!</v>
      </c>
    </row>
    <row r="263" spans="55:60" s="39" customFormat="1">
      <c r="BC263" s="573">
        <v>2.52</v>
      </c>
      <c r="BD263" s="571">
        <f t="shared" si="113"/>
        <v>0</v>
      </c>
      <c r="BE263" s="571">
        <f t="shared" si="117"/>
        <v>0</v>
      </c>
      <c r="BF263" s="586">
        <f t="shared" si="114"/>
        <v>0</v>
      </c>
      <c r="BG263" s="586" t="e">
        <f t="shared" si="115"/>
        <v>#DIV/0!</v>
      </c>
      <c r="BH263" s="571" t="e">
        <f t="shared" si="116"/>
        <v>#DIV/0!</v>
      </c>
    </row>
    <row r="264" spans="55:60" s="39" customFormat="1">
      <c r="BC264" s="573">
        <v>2.5299999999999998</v>
      </c>
      <c r="BD264" s="571">
        <f t="shared" si="113"/>
        <v>0</v>
      </c>
      <c r="BE264" s="571">
        <f t="shared" si="117"/>
        <v>0</v>
      </c>
      <c r="BF264" s="586">
        <f t="shared" si="114"/>
        <v>0</v>
      </c>
      <c r="BG264" s="586" t="e">
        <f t="shared" si="115"/>
        <v>#DIV/0!</v>
      </c>
      <c r="BH264" s="571" t="e">
        <f t="shared" si="116"/>
        <v>#DIV/0!</v>
      </c>
    </row>
    <row r="265" spans="55:60" s="39" customFormat="1">
      <c r="BC265" s="573">
        <v>2.54</v>
      </c>
      <c r="BD265" s="571">
        <f t="shared" si="113"/>
        <v>0</v>
      </c>
      <c r="BE265" s="571">
        <f t="shared" si="117"/>
        <v>0</v>
      </c>
      <c r="BF265" s="586">
        <f t="shared" si="114"/>
        <v>0</v>
      </c>
      <c r="BG265" s="586" t="e">
        <f t="shared" si="115"/>
        <v>#DIV/0!</v>
      </c>
      <c r="BH265" s="571" t="e">
        <f t="shared" si="116"/>
        <v>#DIV/0!</v>
      </c>
    </row>
    <row r="266" spans="55:60" s="39" customFormat="1">
      <c r="BC266" s="573">
        <v>2.5499999999999998</v>
      </c>
      <c r="BD266" s="571">
        <f t="shared" si="113"/>
        <v>0</v>
      </c>
      <c r="BE266" s="571">
        <f t="shared" si="117"/>
        <v>0</v>
      </c>
      <c r="BF266" s="586">
        <f t="shared" si="114"/>
        <v>0</v>
      </c>
      <c r="BG266" s="586" t="e">
        <f t="shared" si="115"/>
        <v>#DIV/0!</v>
      </c>
      <c r="BH266" s="571" t="e">
        <f t="shared" si="116"/>
        <v>#DIV/0!</v>
      </c>
    </row>
    <row r="267" spans="55:60" s="39" customFormat="1">
      <c r="BC267" s="573">
        <v>2.56</v>
      </c>
      <c r="BD267" s="571">
        <f t="shared" si="113"/>
        <v>0</v>
      </c>
      <c r="BE267" s="571">
        <f t="shared" si="117"/>
        <v>0</v>
      </c>
      <c r="BF267" s="586">
        <f t="shared" si="114"/>
        <v>0</v>
      </c>
      <c r="BG267" s="586" t="e">
        <f t="shared" si="115"/>
        <v>#DIV/0!</v>
      </c>
      <c r="BH267" s="571" t="e">
        <f t="shared" si="116"/>
        <v>#DIV/0!</v>
      </c>
    </row>
    <row r="268" spans="55:60" s="39" customFormat="1">
      <c r="BC268" s="573">
        <v>2.57</v>
      </c>
      <c r="BD268" s="571">
        <f t="shared" ref="BD268:BD331" si="119">$AU$15/BC268</f>
        <v>0</v>
      </c>
      <c r="BE268" s="571">
        <f t="shared" si="117"/>
        <v>0</v>
      </c>
      <c r="BF268" s="586">
        <f t="shared" ref="BF268:BF331" si="120">BC268*(BE268/1000)/$AO$12</f>
        <v>0</v>
      </c>
      <c r="BG268" s="586" t="e">
        <f t="shared" ref="BG268:BG331" si="121">POWER((1/(-1.8*LOG((6.9/BF268+POWER((($P$7/BE268)/3.71),1.11)),10))),2)</f>
        <v>#DIV/0!</v>
      </c>
      <c r="BH268" s="571" t="e">
        <f t="shared" ref="BH268:BH331" si="122">BG268*0.5*$P$6*16*$AU$15*$AU$15/(POWER(PI(),2)*POWER((BE268/1000),5))</f>
        <v>#DIV/0!</v>
      </c>
    </row>
    <row r="269" spans="55:60" s="39" customFormat="1">
      <c r="BC269" s="573">
        <v>2.58</v>
      </c>
      <c r="BD269" s="571">
        <f t="shared" si="119"/>
        <v>0</v>
      </c>
      <c r="BE269" s="571">
        <f t="shared" ref="BE269:BE332" si="123">((BD269/PI())^0.5)*2*1000</f>
        <v>0</v>
      </c>
      <c r="BF269" s="586">
        <f t="shared" si="120"/>
        <v>0</v>
      </c>
      <c r="BG269" s="586" t="e">
        <f t="shared" si="121"/>
        <v>#DIV/0!</v>
      </c>
      <c r="BH269" s="571" t="e">
        <f t="shared" si="122"/>
        <v>#DIV/0!</v>
      </c>
    </row>
    <row r="270" spans="55:60" s="39" customFormat="1">
      <c r="BC270" s="573">
        <v>2.59</v>
      </c>
      <c r="BD270" s="571">
        <f t="shared" si="119"/>
        <v>0</v>
      </c>
      <c r="BE270" s="571">
        <f t="shared" si="123"/>
        <v>0</v>
      </c>
      <c r="BF270" s="586">
        <f t="shared" si="120"/>
        <v>0</v>
      </c>
      <c r="BG270" s="586" t="e">
        <f t="shared" si="121"/>
        <v>#DIV/0!</v>
      </c>
      <c r="BH270" s="571" t="e">
        <f t="shared" si="122"/>
        <v>#DIV/0!</v>
      </c>
    </row>
    <row r="271" spans="55:60" s="39" customFormat="1">
      <c r="BC271" s="573">
        <v>2.6</v>
      </c>
      <c r="BD271" s="571">
        <f t="shared" si="119"/>
        <v>0</v>
      </c>
      <c r="BE271" s="571">
        <f t="shared" si="123"/>
        <v>0</v>
      </c>
      <c r="BF271" s="586">
        <f t="shared" si="120"/>
        <v>0</v>
      </c>
      <c r="BG271" s="586" t="e">
        <f t="shared" si="121"/>
        <v>#DIV/0!</v>
      </c>
      <c r="BH271" s="571" t="e">
        <f t="shared" si="122"/>
        <v>#DIV/0!</v>
      </c>
    </row>
    <row r="272" spans="55:60" s="39" customFormat="1">
      <c r="BC272" s="573">
        <v>2.61</v>
      </c>
      <c r="BD272" s="571">
        <f t="shared" si="119"/>
        <v>0</v>
      </c>
      <c r="BE272" s="571">
        <f t="shared" si="123"/>
        <v>0</v>
      </c>
      <c r="BF272" s="586">
        <f t="shared" si="120"/>
        <v>0</v>
      </c>
      <c r="BG272" s="586" t="e">
        <f t="shared" si="121"/>
        <v>#DIV/0!</v>
      </c>
      <c r="BH272" s="571" t="e">
        <f t="shared" si="122"/>
        <v>#DIV/0!</v>
      </c>
    </row>
    <row r="273" spans="55:60" s="39" customFormat="1">
      <c r="BC273" s="573">
        <v>2.62</v>
      </c>
      <c r="BD273" s="571">
        <f t="shared" si="119"/>
        <v>0</v>
      </c>
      <c r="BE273" s="571">
        <f t="shared" si="123"/>
        <v>0</v>
      </c>
      <c r="BF273" s="586">
        <f t="shared" si="120"/>
        <v>0</v>
      </c>
      <c r="BG273" s="586" t="e">
        <f t="shared" si="121"/>
        <v>#DIV/0!</v>
      </c>
      <c r="BH273" s="571" t="e">
        <f t="shared" si="122"/>
        <v>#DIV/0!</v>
      </c>
    </row>
    <row r="274" spans="55:60" s="39" customFormat="1">
      <c r="BC274" s="573">
        <v>2.63</v>
      </c>
      <c r="BD274" s="571">
        <f t="shared" si="119"/>
        <v>0</v>
      </c>
      <c r="BE274" s="571">
        <f t="shared" si="123"/>
        <v>0</v>
      </c>
      <c r="BF274" s="586">
        <f t="shared" si="120"/>
        <v>0</v>
      </c>
      <c r="BG274" s="586" t="e">
        <f t="shared" si="121"/>
        <v>#DIV/0!</v>
      </c>
      <c r="BH274" s="571" t="e">
        <f t="shared" si="122"/>
        <v>#DIV/0!</v>
      </c>
    </row>
    <row r="275" spans="55:60" s="39" customFormat="1">
      <c r="BC275" s="573">
        <v>2.64</v>
      </c>
      <c r="BD275" s="571">
        <f t="shared" si="119"/>
        <v>0</v>
      </c>
      <c r="BE275" s="571">
        <f t="shared" si="123"/>
        <v>0</v>
      </c>
      <c r="BF275" s="586">
        <f t="shared" si="120"/>
        <v>0</v>
      </c>
      <c r="BG275" s="586" t="e">
        <f t="shared" si="121"/>
        <v>#DIV/0!</v>
      </c>
      <c r="BH275" s="571" t="e">
        <f t="shared" si="122"/>
        <v>#DIV/0!</v>
      </c>
    </row>
    <row r="276" spans="55:60" s="39" customFormat="1">
      <c r="BC276" s="573">
        <v>2.65</v>
      </c>
      <c r="BD276" s="571">
        <f t="shared" si="119"/>
        <v>0</v>
      </c>
      <c r="BE276" s="571">
        <f t="shared" si="123"/>
        <v>0</v>
      </c>
      <c r="BF276" s="586">
        <f t="shared" si="120"/>
        <v>0</v>
      </c>
      <c r="BG276" s="586" t="e">
        <f t="shared" si="121"/>
        <v>#DIV/0!</v>
      </c>
      <c r="BH276" s="571" t="e">
        <f t="shared" si="122"/>
        <v>#DIV/0!</v>
      </c>
    </row>
    <row r="277" spans="55:60" s="39" customFormat="1">
      <c r="BC277" s="573">
        <v>2.66</v>
      </c>
      <c r="BD277" s="571">
        <f t="shared" si="119"/>
        <v>0</v>
      </c>
      <c r="BE277" s="571">
        <f t="shared" si="123"/>
        <v>0</v>
      </c>
      <c r="BF277" s="586">
        <f t="shared" si="120"/>
        <v>0</v>
      </c>
      <c r="BG277" s="586" t="e">
        <f t="shared" si="121"/>
        <v>#DIV/0!</v>
      </c>
      <c r="BH277" s="571" t="e">
        <f t="shared" si="122"/>
        <v>#DIV/0!</v>
      </c>
    </row>
    <row r="278" spans="55:60" s="39" customFormat="1">
      <c r="BC278" s="573">
        <v>2.67</v>
      </c>
      <c r="BD278" s="571">
        <f t="shared" si="119"/>
        <v>0</v>
      </c>
      <c r="BE278" s="571">
        <f t="shared" si="123"/>
        <v>0</v>
      </c>
      <c r="BF278" s="586">
        <f t="shared" si="120"/>
        <v>0</v>
      </c>
      <c r="BG278" s="586" t="e">
        <f t="shared" si="121"/>
        <v>#DIV/0!</v>
      </c>
      <c r="BH278" s="571" t="e">
        <f t="shared" si="122"/>
        <v>#DIV/0!</v>
      </c>
    </row>
    <row r="279" spans="55:60" s="39" customFormat="1">
      <c r="BC279" s="573">
        <v>2.68</v>
      </c>
      <c r="BD279" s="571">
        <f t="shared" si="119"/>
        <v>0</v>
      </c>
      <c r="BE279" s="571">
        <f t="shared" si="123"/>
        <v>0</v>
      </c>
      <c r="BF279" s="586">
        <f t="shared" si="120"/>
        <v>0</v>
      </c>
      <c r="BG279" s="586" t="e">
        <f t="shared" si="121"/>
        <v>#DIV/0!</v>
      </c>
      <c r="BH279" s="571" t="e">
        <f t="shared" si="122"/>
        <v>#DIV/0!</v>
      </c>
    </row>
    <row r="280" spans="55:60" s="39" customFormat="1">
      <c r="BC280" s="573">
        <v>2.69</v>
      </c>
      <c r="BD280" s="571">
        <f t="shared" si="119"/>
        <v>0</v>
      </c>
      <c r="BE280" s="571">
        <f t="shared" si="123"/>
        <v>0</v>
      </c>
      <c r="BF280" s="586">
        <f t="shared" si="120"/>
        <v>0</v>
      </c>
      <c r="BG280" s="586" t="e">
        <f t="shared" si="121"/>
        <v>#DIV/0!</v>
      </c>
      <c r="BH280" s="571" t="e">
        <f t="shared" si="122"/>
        <v>#DIV/0!</v>
      </c>
    </row>
    <row r="281" spans="55:60" s="39" customFormat="1">
      <c r="BC281" s="573">
        <v>2.7</v>
      </c>
      <c r="BD281" s="571">
        <f t="shared" si="119"/>
        <v>0</v>
      </c>
      <c r="BE281" s="571">
        <f t="shared" si="123"/>
        <v>0</v>
      </c>
      <c r="BF281" s="586">
        <f t="shared" si="120"/>
        <v>0</v>
      </c>
      <c r="BG281" s="586" t="e">
        <f t="shared" si="121"/>
        <v>#DIV/0!</v>
      </c>
      <c r="BH281" s="571" t="e">
        <f t="shared" si="122"/>
        <v>#DIV/0!</v>
      </c>
    </row>
    <row r="282" spans="55:60" s="39" customFormat="1">
      <c r="BC282" s="573">
        <v>2.71</v>
      </c>
      <c r="BD282" s="571">
        <f t="shared" si="119"/>
        <v>0</v>
      </c>
      <c r="BE282" s="571">
        <f t="shared" si="123"/>
        <v>0</v>
      </c>
      <c r="BF282" s="586">
        <f t="shared" si="120"/>
        <v>0</v>
      </c>
      <c r="BG282" s="586" t="e">
        <f t="shared" si="121"/>
        <v>#DIV/0!</v>
      </c>
      <c r="BH282" s="571" t="e">
        <f t="shared" si="122"/>
        <v>#DIV/0!</v>
      </c>
    </row>
    <row r="283" spans="55:60" s="39" customFormat="1">
      <c r="BC283" s="573">
        <v>2.72</v>
      </c>
      <c r="BD283" s="571">
        <f t="shared" si="119"/>
        <v>0</v>
      </c>
      <c r="BE283" s="571">
        <f t="shared" si="123"/>
        <v>0</v>
      </c>
      <c r="BF283" s="586">
        <f t="shared" si="120"/>
        <v>0</v>
      </c>
      <c r="BG283" s="586" t="e">
        <f t="shared" si="121"/>
        <v>#DIV/0!</v>
      </c>
      <c r="BH283" s="571" t="e">
        <f t="shared" si="122"/>
        <v>#DIV/0!</v>
      </c>
    </row>
    <row r="284" spans="55:60" s="39" customFormat="1">
      <c r="BC284" s="573">
        <v>2.73</v>
      </c>
      <c r="BD284" s="571">
        <f t="shared" si="119"/>
        <v>0</v>
      </c>
      <c r="BE284" s="571">
        <f t="shared" si="123"/>
        <v>0</v>
      </c>
      <c r="BF284" s="586">
        <f t="shared" si="120"/>
        <v>0</v>
      </c>
      <c r="BG284" s="586" t="e">
        <f t="shared" si="121"/>
        <v>#DIV/0!</v>
      </c>
      <c r="BH284" s="571" t="e">
        <f t="shared" si="122"/>
        <v>#DIV/0!</v>
      </c>
    </row>
    <row r="285" spans="55:60" s="39" customFormat="1">
      <c r="BC285" s="573">
        <v>2.74</v>
      </c>
      <c r="BD285" s="571">
        <f t="shared" si="119"/>
        <v>0</v>
      </c>
      <c r="BE285" s="571">
        <f t="shared" si="123"/>
        <v>0</v>
      </c>
      <c r="BF285" s="586">
        <f t="shared" si="120"/>
        <v>0</v>
      </c>
      <c r="BG285" s="586" t="e">
        <f t="shared" si="121"/>
        <v>#DIV/0!</v>
      </c>
      <c r="BH285" s="571" t="e">
        <f t="shared" si="122"/>
        <v>#DIV/0!</v>
      </c>
    </row>
    <row r="286" spans="55:60" s="39" customFormat="1">
      <c r="BC286" s="573">
        <v>2.75</v>
      </c>
      <c r="BD286" s="571">
        <f t="shared" si="119"/>
        <v>0</v>
      </c>
      <c r="BE286" s="571">
        <f t="shared" si="123"/>
        <v>0</v>
      </c>
      <c r="BF286" s="586">
        <f t="shared" si="120"/>
        <v>0</v>
      </c>
      <c r="BG286" s="586" t="e">
        <f t="shared" si="121"/>
        <v>#DIV/0!</v>
      </c>
      <c r="BH286" s="571" t="e">
        <f t="shared" si="122"/>
        <v>#DIV/0!</v>
      </c>
    </row>
    <row r="287" spans="55:60" s="39" customFormat="1">
      <c r="BC287" s="573">
        <v>2.76</v>
      </c>
      <c r="BD287" s="571">
        <f t="shared" si="119"/>
        <v>0</v>
      </c>
      <c r="BE287" s="571">
        <f t="shared" si="123"/>
        <v>0</v>
      </c>
      <c r="BF287" s="586">
        <f t="shared" si="120"/>
        <v>0</v>
      </c>
      <c r="BG287" s="586" t="e">
        <f t="shared" si="121"/>
        <v>#DIV/0!</v>
      </c>
      <c r="BH287" s="571" t="e">
        <f t="shared" si="122"/>
        <v>#DIV/0!</v>
      </c>
    </row>
    <row r="288" spans="55:60" s="39" customFormat="1">
      <c r="BC288" s="573">
        <v>2.77</v>
      </c>
      <c r="BD288" s="571">
        <f t="shared" si="119"/>
        <v>0</v>
      </c>
      <c r="BE288" s="571">
        <f t="shared" si="123"/>
        <v>0</v>
      </c>
      <c r="BF288" s="586">
        <f t="shared" si="120"/>
        <v>0</v>
      </c>
      <c r="BG288" s="586" t="e">
        <f t="shared" si="121"/>
        <v>#DIV/0!</v>
      </c>
      <c r="BH288" s="571" t="e">
        <f t="shared" si="122"/>
        <v>#DIV/0!</v>
      </c>
    </row>
    <row r="289" spans="55:60" s="39" customFormat="1">
      <c r="BC289" s="573">
        <v>2.78</v>
      </c>
      <c r="BD289" s="571">
        <f t="shared" si="119"/>
        <v>0</v>
      </c>
      <c r="BE289" s="571">
        <f t="shared" si="123"/>
        <v>0</v>
      </c>
      <c r="BF289" s="586">
        <f t="shared" si="120"/>
        <v>0</v>
      </c>
      <c r="BG289" s="586" t="e">
        <f t="shared" si="121"/>
        <v>#DIV/0!</v>
      </c>
      <c r="BH289" s="571" t="e">
        <f t="shared" si="122"/>
        <v>#DIV/0!</v>
      </c>
    </row>
    <row r="290" spans="55:60" s="39" customFormat="1">
      <c r="BC290" s="573">
        <v>2.79</v>
      </c>
      <c r="BD290" s="571">
        <f t="shared" si="119"/>
        <v>0</v>
      </c>
      <c r="BE290" s="571">
        <f t="shared" si="123"/>
        <v>0</v>
      </c>
      <c r="BF290" s="586">
        <f t="shared" si="120"/>
        <v>0</v>
      </c>
      <c r="BG290" s="586" t="e">
        <f t="shared" si="121"/>
        <v>#DIV/0!</v>
      </c>
      <c r="BH290" s="571" t="e">
        <f t="shared" si="122"/>
        <v>#DIV/0!</v>
      </c>
    </row>
    <row r="291" spans="55:60" s="39" customFormat="1">
      <c r="BC291" s="573">
        <v>2.8</v>
      </c>
      <c r="BD291" s="571">
        <f t="shared" si="119"/>
        <v>0</v>
      </c>
      <c r="BE291" s="571">
        <f t="shared" si="123"/>
        <v>0</v>
      </c>
      <c r="BF291" s="586">
        <f t="shared" si="120"/>
        <v>0</v>
      </c>
      <c r="BG291" s="586" t="e">
        <f t="shared" si="121"/>
        <v>#DIV/0!</v>
      </c>
      <c r="BH291" s="571" t="e">
        <f t="shared" si="122"/>
        <v>#DIV/0!</v>
      </c>
    </row>
    <row r="292" spans="55:60" s="39" customFormat="1">
      <c r="BC292" s="573">
        <v>2.81</v>
      </c>
      <c r="BD292" s="571">
        <f t="shared" si="119"/>
        <v>0</v>
      </c>
      <c r="BE292" s="571">
        <f t="shared" si="123"/>
        <v>0</v>
      </c>
      <c r="BF292" s="586">
        <f t="shared" si="120"/>
        <v>0</v>
      </c>
      <c r="BG292" s="586" t="e">
        <f t="shared" si="121"/>
        <v>#DIV/0!</v>
      </c>
      <c r="BH292" s="571" t="e">
        <f t="shared" si="122"/>
        <v>#DIV/0!</v>
      </c>
    </row>
    <row r="293" spans="55:60" s="39" customFormat="1">
      <c r="BC293" s="573">
        <v>2.82</v>
      </c>
      <c r="BD293" s="571">
        <f t="shared" si="119"/>
        <v>0</v>
      </c>
      <c r="BE293" s="571">
        <f t="shared" si="123"/>
        <v>0</v>
      </c>
      <c r="BF293" s="586">
        <f t="shared" si="120"/>
        <v>0</v>
      </c>
      <c r="BG293" s="586" t="e">
        <f t="shared" si="121"/>
        <v>#DIV/0!</v>
      </c>
      <c r="BH293" s="571" t="e">
        <f t="shared" si="122"/>
        <v>#DIV/0!</v>
      </c>
    </row>
    <row r="294" spans="55:60" s="39" customFormat="1">
      <c r="BC294" s="573">
        <v>2.83</v>
      </c>
      <c r="BD294" s="571">
        <f t="shared" si="119"/>
        <v>0</v>
      </c>
      <c r="BE294" s="571">
        <f t="shared" si="123"/>
        <v>0</v>
      </c>
      <c r="BF294" s="586">
        <f t="shared" si="120"/>
        <v>0</v>
      </c>
      <c r="BG294" s="586" t="e">
        <f t="shared" si="121"/>
        <v>#DIV/0!</v>
      </c>
      <c r="BH294" s="571" t="e">
        <f t="shared" si="122"/>
        <v>#DIV/0!</v>
      </c>
    </row>
    <row r="295" spans="55:60" s="39" customFormat="1">
      <c r="BC295" s="573">
        <v>2.84</v>
      </c>
      <c r="BD295" s="571">
        <f t="shared" si="119"/>
        <v>0</v>
      </c>
      <c r="BE295" s="571">
        <f t="shared" si="123"/>
        <v>0</v>
      </c>
      <c r="BF295" s="586">
        <f t="shared" si="120"/>
        <v>0</v>
      </c>
      <c r="BG295" s="586" t="e">
        <f t="shared" si="121"/>
        <v>#DIV/0!</v>
      </c>
      <c r="BH295" s="571" t="e">
        <f t="shared" si="122"/>
        <v>#DIV/0!</v>
      </c>
    </row>
    <row r="296" spans="55:60" s="39" customFormat="1">
      <c r="BC296" s="573">
        <v>2.85</v>
      </c>
      <c r="BD296" s="571">
        <f t="shared" si="119"/>
        <v>0</v>
      </c>
      <c r="BE296" s="571">
        <f t="shared" si="123"/>
        <v>0</v>
      </c>
      <c r="BF296" s="586">
        <f t="shared" si="120"/>
        <v>0</v>
      </c>
      <c r="BG296" s="586" t="e">
        <f t="shared" si="121"/>
        <v>#DIV/0!</v>
      </c>
      <c r="BH296" s="571" t="e">
        <f t="shared" si="122"/>
        <v>#DIV/0!</v>
      </c>
    </row>
    <row r="297" spans="55:60" s="39" customFormat="1">
      <c r="BC297" s="573">
        <v>2.86</v>
      </c>
      <c r="BD297" s="571">
        <f t="shared" si="119"/>
        <v>0</v>
      </c>
      <c r="BE297" s="571">
        <f t="shared" si="123"/>
        <v>0</v>
      </c>
      <c r="BF297" s="586">
        <f t="shared" si="120"/>
        <v>0</v>
      </c>
      <c r="BG297" s="586" t="e">
        <f t="shared" si="121"/>
        <v>#DIV/0!</v>
      </c>
      <c r="BH297" s="571" t="e">
        <f t="shared" si="122"/>
        <v>#DIV/0!</v>
      </c>
    </row>
    <row r="298" spans="55:60" s="39" customFormat="1">
      <c r="BC298" s="573">
        <v>2.87</v>
      </c>
      <c r="BD298" s="571">
        <f t="shared" si="119"/>
        <v>0</v>
      </c>
      <c r="BE298" s="571">
        <f t="shared" si="123"/>
        <v>0</v>
      </c>
      <c r="BF298" s="586">
        <f t="shared" si="120"/>
        <v>0</v>
      </c>
      <c r="BG298" s="586" t="e">
        <f t="shared" si="121"/>
        <v>#DIV/0!</v>
      </c>
      <c r="BH298" s="571" t="e">
        <f t="shared" si="122"/>
        <v>#DIV/0!</v>
      </c>
    </row>
    <row r="299" spans="55:60" s="39" customFormat="1">
      <c r="BC299" s="573">
        <v>2.88</v>
      </c>
      <c r="BD299" s="571">
        <f t="shared" si="119"/>
        <v>0</v>
      </c>
      <c r="BE299" s="571">
        <f t="shared" si="123"/>
        <v>0</v>
      </c>
      <c r="BF299" s="586">
        <f t="shared" si="120"/>
        <v>0</v>
      </c>
      <c r="BG299" s="586" t="e">
        <f t="shared" si="121"/>
        <v>#DIV/0!</v>
      </c>
      <c r="BH299" s="571" t="e">
        <f t="shared" si="122"/>
        <v>#DIV/0!</v>
      </c>
    </row>
    <row r="300" spans="55:60" s="39" customFormat="1">
      <c r="BC300" s="573">
        <v>2.89</v>
      </c>
      <c r="BD300" s="571">
        <f t="shared" si="119"/>
        <v>0</v>
      </c>
      <c r="BE300" s="571">
        <f t="shared" si="123"/>
        <v>0</v>
      </c>
      <c r="BF300" s="586">
        <f t="shared" si="120"/>
        <v>0</v>
      </c>
      <c r="BG300" s="586" t="e">
        <f t="shared" si="121"/>
        <v>#DIV/0!</v>
      </c>
      <c r="BH300" s="571" t="e">
        <f t="shared" si="122"/>
        <v>#DIV/0!</v>
      </c>
    </row>
    <row r="301" spans="55:60" s="39" customFormat="1">
      <c r="BC301" s="573">
        <v>2.9</v>
      </c>
      <c r="BD301" s="571">
        <f t="shared" si="119"/>
        <v>0</v>
      </c>
      <c r="BE301" s="571">
        <f t="shared" si="123"/>
        <v>0</v>
      </c>
      <c r="BF301" s="586">
        <f t="shared" si="120"/>
        <v>0</v>
      </c>
      <c r="BG301" s="586" t="e">
        <f t="shared" si="121"/>
        <v>#DIV/0!</v>
      </c>
      <c r="BH301" s="571" t="e">
        <f t="shared" si="122"/>
        <v>#DIV/0!</v>
      </c>
    </row>
    <row r="302" spans="55:60" s="39" customFormat="1">
      <c r="BC302" s="573">
        <v>2.91</v>
      </c>
      <c r="BD302" s="571">
        <f t="shared" si="119"/>
        <v>0</v>
      </c>
      <c r="BE302" s="571">
        <f t="shared" si="123"/>
        <v>0</v>
      </c>
      <c r="BF302" s="586">
        <f t="shared" si="120"/>
        <v>0</v>
      </c>
      <c r="BG302" s="586" t="e">
        <f t="shared" si="121"/>
        <v>#DIV/0!</v>
      </c>
      <c r="BH302" s="571" t="e">
        <f t="shared" si="122"/>
        <v>#DIV/0!</v>
      </c>
    </row>
    <row r="303" spans="55:60" s="39" customFormat="1">
      <c r="BC303" s="573">
        <v>2.92</v>
      </c>
      <c r="BD303" s="571">
        <f t="shared" si="119"/>
        <v>0</v>
      </c>
      <c r="BE303" s="571">
        <f t="shared" si="123"/>
        <v>0</v>
      </c>
      <c r="BF303" s="586">
        <f t="shared" si="120"/>
        <v>0</v>
      </c>
      <c r="BG303" s="586" t="e">
        <f t="shared" si="121"/>
        <v>#DIV/0!</v>
      </c>
      <c r="BH303" s="571" t="e">
        <f t="shared" si="122"/>
        <v>#DIV/0!</v>
      </c>
    </row>
    <row r="304" spans="55:60" s="39" customFormat="1">
      <c r="BC304" s="573">
        <v>2.93</v>
      </c>
      <c r="BD304" s="571">
        <f t="shared" si="119"/>
        <v>0</v>
      </c>
      <c r="BE304" s="571">
        <f t="shared" si="123"/>
        <v>0</v>
      </c>
      <c r="BF304" s="586">
        <f t="shared" si="120"/>
        <v>0</v>
      </c>
      <c r="BG304" s="586" t="e">
        <f t="shared" si="121"/>
        <v>#DIV/0!</v>
      </c>
      <c r="BH304" s="571" t="e">
        <f t="shared" si="122"/>
        <v>#DIV/0!</v>
      </c>
    </row>
    <row r="305" spans="55:60" s="39" customFormat="1">
      <c r="BC305" s="573">
        <v>2.94</v>
      </c>
      <c r="BD305" s="571">
        <f t="shared" si="119"/>
        <v>0</v>
      </c>
      <c r="BE305" s="571">
        <f t="shared" si="123"/>
        <v>0</v>
      </c>
      <c r="BF305" s="586">
        <f t="shared" si="120"/>
        <v>0</v>
      </c>
      <c r="BG305" s="586" t="e">
        <f t="shared" si="121"/>
        <v>#DIV/0!</v>
      </c>
      <c r="BH305" s="571" t="e">
        <f t="shared" si="122"/>
        <v>#DIV/0!</v>
      </c>
    </row>
    <row r="306" spans="55:60" s="39" customFormat="1">
      <c r="BC306" s="573">
        <v>2.95</v>
      </c>
      <c r="BD306" s="571">
        <f t="shared" si="119"/>
        <v>0</v>
      </c>
      <c r="BE306" s="571">
        <f t="shared" si="123"/>
        <v>0</v>
      </c>
      <c r="BF306" s="586">
        <f t="shared" si="120"/>
        <v>0</v>
      </c>
      <c r="BG306" s="586" t="e">
        <f t="shared" si="121"/>
        <v>#DIV/0!</v>
      </c>
      <c r="BH306" s="571" t="e">
        <f t="shared" si="122"/>
        <v>#DIV/0!</v>
      </c>
    </row>
    <row r="307" spans="55:60" s="39" customFormat="1">
      <c r="BC307" s="573">
        <v>2.96</v>
      </c>
      <c r="BD307" s="571">
        <f t="shared" si="119"/>
        <v>0</v>
      </c>
      <c r="BE307" s="571">
        <f t="shared" si="123"/>
        <v>0</v>
      </c>
      <c r="BF307" s="586">
        <f t="shared" si="120"/>
        <v>0</v>
      </c>
      <c r="BG307" s="586" t="e">
        <f t="shared" si="121"/>
        <v>#DIV/0!</v>
      </c>
      <c r="BH307" s="571" t="e">
        <f t="shared" si="122"/>
        <v>#DIV/0!</v>
      </c>
    </row>
    <row r="308" spans="55:60" s="39" customFormat="1">
      <c r="BC308" s="573">
        <v>2.97</v>
      </c>
      <c r="BD308" s="571">
        <f t="shared" si="119"/>
        <v>0</v>
      </c>
      <c r="BE308" s="571">
        <f t="shared" si="123"/>
        <v>0</v>
      </c>
      <c r="BF308" s="586">
        <f t="shared" si="120"/>
        <v>0</v>
      </c>
      <c r="BG308" s="586" t="e">
        <f t="shared" si="121"/>
        <v>#DIV/0!</v>
      </c>
      <c r="BH308" s="571" t="e">
        <f t="shared" si="122"/>
        <v>#DIV/0!</v>
      </c>
    </row>
    <row r="309" spans="55:60" s="39" customFormat="1">
      <c r="BC309" s="573">
        <v>2.98</v>
      </c>
      <c r="BD309" s="571">
        <f t="shared" si="119"/>
        <v>0</v>
      </c>
      <c r="BE309" s="571">
        <f t="shared" si="123"/>
        <v>0</v>
      </c>
      <c r="BF309" s="586">
        <f t="shared" si="120"/>
        <v>0</v>
      </c>
      <c r="BG309" s="586" t="e">
        <f t="shared" si="121"/>
        <v>#DIV/0!</v>
      </c>
      <c r="BH309" s="571" t="e">
        <f t="shared" si="122"/>
        <v>#DIV/0!</v>
      </c>
    </row>
    <row r="310" spans="55:60" s="39" customFormat="1">
      <c r="BC310" s="573">
        <v>2.99</v>
      </c>
      <c r="BD310" s="571">
        <f t="shared" si="119"/>
        <v>0</v>
      </c>
      <c r="BE310" s="571">
        <f t="shared" si="123"/>
        <v>0</v>
      </c>
      <c r="BF310" s="586">
        <f t="shared" si="120"/>
        <v>0</v>
      </c>
      <c r="BG310" s="586" t="e">
        <f t="shared" si="121"/>
        <v>#DIV/0!</v>
      </c>
      <c r="BH310" s="571" t="e">
        <f t="shared" si="122"/>
        <v>#DIV/0!</v>
      </c>
    </row>
    <row r="311" spans="55:60" s="39" customFormat="1">
      <c r="BC311" s="573">
        <v>3</v>
      </c>
      <c r="BD311" s="571">
        <f t="shared" si="119"/>
        <v>0</v>
      </c>
      <c r="BE311" s="571">
        <f t="shared" si="123"/>
        <v>0</v>
      </c>
      <c r="BF311" s="586">
        <f t="shared" si="120"/>
        <v>0</v>
      </c>
      <c r="BG311" s="586" t="e">
        <f t="shared" si="121"/>
        <v>#DIV/0!</v>
      </c>
      <c r="BH311" s="571" t="e">
        <f t="shared" si="122"/>
        <v>#DIV/0!</v>
      </c>
    </row>
    <row r="312" spans="55:60" s="39" customFormat="1">
      <c r="BC312" s="573">
        <v>3.01</v>
      </c>
      <c r="BD312" s="571">
        <f t="shared" si="119"/>
        <v>0</v>
      </c>
      <c r="BE312" s="571">
        <f t="shared" si="123"/>
        <v>0</v>
      </c>
      <c r="BF312" s="586">
        <f t="shared" si="120"/>
        <v>0</v>
      </c>
      <c r="BG312" s="586" t="e">
        <f t="shared" si="121"/>
        <v>#DIV/0!</v>
      </c>
      <c r="BH312" s="571" t="e">
        <f t="shared" si="122"/>
        <v>#DIV/0!</v>
      </c>
    </row>
    <row r="313" spans="55:60" s="39" customFormat="1">
      <c r="BC313" s="573">
        <v>3.02</v>
      </c>
      <c r="BD313" s="571">
        <f t="shared" si="119"/>
        <v>0</v>
      </c>
      <c r="BE313" s="571">
        <f t="shared" si="123"/>
        <v>0</v>
      </c>
      <c r="BF313" s="586">
        <f t="shared" si="120"/>
        <v>0</v>
      </c>
      <c r="BG313" s="586" t="e">
        <f t="shared" si="121"/>
        <v>#DIV/0!</v>
      </c>
      <c r="BH313" s="571" t="e">
        <f t="shared" si="122"/>
        <v>#DIV/0!</v>
      </c>
    </row>
    <row r="314" spans="55:60" s="39" customFormat="1">
      <c r="BC314" s="573">
        <v>3.03</v>
      </c>
      <c r="BD314" s="571">
        <f t="shared" si="119"/>
        <v>0</v>
      </c>
      <c r="BE314" s="571">
        <f t="shared" si="123"/>
        <v>0</v>
      </c>
      <c r="BF314" s="586">
        <f t="shared" si="120"/>
        <v>0</v>
      </c>
      <c r="BG314" s="586" t="e">
        <f t="shared" si="121"/>
        <v>#DIV/0!</v>
      </c>
      <c r="BH314" s="571" t="e">
        <f t="shared" si="122"/>
        <v>#DIV/0!</v>
      </c>
    </row>
    <row r="315" spans="55:60" s="39" customFormat="1">
      <c r="BC315" s="573">
        <v>3.04</v>
      </c>
      <c r="BD315" s="571">
        <f t="shared" si="119"/>
        <v>0</v>
      </c>
      <c r="BE315" s="571">
        <f t="shared" si="123"/>
        <v>0</v>
      </c>
      <c r="BF315" s="586">
        <f t="shared" si="120"/>
        <v>0</v>
      </c>
      <c r="BG315" s="586" t="e">
        <f t="shared" si="121"/>
        <v>#DIV/0!</v>
      </c>
      <c r="BH315" s="571" t="e">
        <f t="shared" si="122"/>
        <v>#DIV/0!</v>
      </c>
    </row>
    <row r="316" spans="55:60" s="39" customFormat="1">
      <c r="BC316" s="573">
        <v>3.05</v>
      </c>
      <c r="BD316" s="571">
        <f t="shared" si="119"/>
        <v>0</v>
      </c>
      <c r="BE316" s="571">
        <f t="shared" si="123"/>
        <v>0</v>
      </c>
      <c r="BF316" s="586">
        <f t="shared" si="120"/>
        <v>0</v>
      </c>
      <c r="BG316" s="586" t="e">
        <f t="shared" si="121"/>
        <v>#DIV/0!</v>
      </c>
      <c r="BH316" s="571" t="e">
        <f t="shared" si="122"/>
        <v>#DIV/0!</v>
      </c>
    </row>
    <row r="317" spans="55:60" s="39" customFormat="1">
      <c r="BC317" s="573">
        <v>3.06</v>
      </c>
      <c r="BD317" s="571">
        <f t="shared" si="119"/>
        <v>0</v>
      </c>
      <c r="BE317" s="571">
        <f t="shared" si="123"/>
        <v>0</v>
      </c>
      <c r="BF317" s="586">
        <f t="shared" si="120"/>
        <v>0</v>
      </c>
      <c r="BG317" s="586" t="e">
        <f t="shared" si="121"/>
        <v>#DIV/0!</v>
      </c>
      <c r="BH317" s="571" t="e">
        <f t="shared" si="122"/>
        <v>#DIV/0!</v>
      </c>
    </row>
    <row r="318" spans="55:60" s="39" customFormat="1">
      <c r="BC318" s="573">
        <v>3.07</v>
      </c>
      <c r="BD318" s="571">
        <f t="shared" si="119"/>
        <v>0</v>
      </c>
      <c r="BE318" s="571">
        <f t="shared" si="123"/>
        <v>0</v>
      </c>
      <c r="BF318" s="586">
        <f t="shared" si="120"/>
        <v>0</v>
      </c>
      <c r="BG318" s="586" t="e">
        <f t="shared" si="121"/>
        <v>#DIV/0!</v>
      </c>
      <c r="BH318" s="571" t="e">
        <f t="shared" si="122"/>
        <v>#DIV/0!</v>
      </c>
    </row>
    <row r="319" spans="55:60" s="39" customFormat="1">
      <c r="BC319" s="573">
        <v>3.08</v>
      </c>
      <c r="BD319" s="571">
        <f t="shared" si="119"/>
        <v>0</v>
      </c>
      <c r="BE319" s="571">
        <f t="shared" si="123"/>
        <v>0</v>
      </c>
      <c r="BF319" s="586">
        <f t="shared" si="120"/>
        <v>0</v>
      </c>
      <c r="BG319" s="586" t="e">
        <f t="shared" si="121"/>
        <v>#DIV/0!</v>
      </c>
      <c r="BH319" s="571" t="e">
        <f t="shared" si="122"/>
        <v>#DIV/0!</v>
      </c>
    </row>
    <row r="320" spans="55:60" s="39" customFormat="1">
      <c r="BC320" s="573">
        <v>3.09</v>
      </c>
      <c r="BD320" s="571">
        <f t="shared" si="119"/>
        <v>0</v>
      </c>
      <c r="BE320" s="571">
        <f t="shared" si="123"/>
        <v>0</v>
      </c>
      <c r="BF320" s="586">
        <f t="shared" si="120"/>
        <v>0</v>
      </c>
      <c r="BG320" s="586" t="e">
        <f t="shared" si="121"/>
        <v>#DIV/0!</v>
      </c>
      <c r="BH320" s="571" t="e">
        <f t="shared" si="122"/>
        <v>#DIV/0!</v>
      </c>
    </row>
    <row r="321" spans="55:60" s="39" customFormat="1">
      <c r="BC321" s="573">
        <v>3.1</v>
      </c>
      <c r="BD321" s="571">
        <f t="shared" si="119"/>
        <v>0</v>
      </c>
      <c r="BE321" s="571">
        <f t="shared" si="123"/>
        <v>0</v>
      </c>
      <c r="BF321" s="586">
        <f t="shared" si="120"/>
        <v>0</v>
      </c>
      <c r="BG321" s="586" t="e">
        <f t="shared" si="121"/>
        <v>#DIV/0!</v>
      </c>
      <c r="BH321" s="571" t="e">
        <f t="shared" si="122"/>
        <v>#DIV/0!</v>
      </c>
    </row>
    <row r="322" spans="55:60" s="39" customFormat="1">
      <c r="BC322" s="573">
        <v>3.11</v>
      </c>
      <c r="BD322" s="571">
        <f t="shared" si="119"/>
        <v>0</v>
      </c>
      <c r="BE322" s="571">
        <f t="shared" si="123"/>
        <v>0</v>
      </c>
      <c r="BF322" s="586">
        <f t="shared" si="120"/>
        <v>0</v>
      </c>
      <c r="BG322" s="586" t="e">
        <f t="shared" si="121"/>
        <v>#DIV/0!</v>
      </c>
      <c r="BH322" s="571" t="e">
        <f t="shared" si="122"/>
        <v>#DIV/0!</v>
      </c>
    </row>
    <row r="323" spans="55:60" s="39" customFormat="1">
      <c r="BC323" s="573">
        <v>3.12</v>
      </c>
      <c r="BD323" s="571">
        <f t="shared" si="119"/>
        <v>0</v>
      </c>
      <c r="BE323" s="571">
        <f t="shared" si="123"/>
        <v>0</v>
      </c>
      <c r="BF323" s="586">
        <f t="shared" si="120"/>
        <v>0</v>
      </c>
      <c r="BG323" s="586" t="e">
        <f t="shared" si="121"/>
        <v>#DIV/0!</v>
      </c>
      <c r="BH323" s="571" t="e">
        <f t="shared" si="122"/>
        <v>#DIV/0!</v>
      </c>
    </row>
    <row r="324" spans="55:60" s="39" customFormat="1">
      <c r="BC324" s="573">
        <v>3.13</v>
      </c>
      <c r="BD324" s="571">
        <f t="shared" si="119"/>
        <v>0</v>
      </c>
      <c r="BE324" s="571">
        <f t="shared" si="123"/>
        <v>0</v>
      </c>
      <c r="BF324" s="586">
        <f t="shared" si="120"/>
        <v>0</v>
      </c>
      <c r="BG324" s="586" t="e">
        <f t="shared" si="121"/>
        <v>#DIV/0!</v>
      </c>
      <c r="BH324" s="571" t="e">
        <f t="shared" si="122"/>
        <v>#DIV/0!</v>
      </c>
    </row>
    <row r="325" spans="55:60" s="39" customFormat="1">
      <c r="BC325" s="573">
        <v>3.14</v>
      </c>
      <c r="BD325" s="571">
        <f t="shared" si="119"/>
        <v>0</v>
      </c>
      <c r="BE325" s="571">
        <f t="shared" si="123"/>
        <v>0</v>
      </c>
      <c r="BF325" s="586">
        <f t="shared" si="120"/>
        <v>0</v>
      </c>
      <c r="BG325" s="586" t="e">
        <f t="shared" si="121"/>
        <v>#DIV/0!</v>
      </c>
      <c r="BH325" s="571" t="e">
        <f t="shared" si="122"/>
        <v>#DIV/0!</v>
      </c>
    </row>
    <row r="326" spans="55:60" s="39" customFormat="1">
      <c r="BC326" s="573">
        <v>3.15</v>
      </c>
      <c r="BD326" s="571">
        <f t="shared" si="119"/>
        <v>0</v>
      </c>
      <c r="BE326" s="571">
        <f t="shared" si="123"/>
        <v>0</v>
      </c>
      <c r="BF326" s="586">
        <f t="shared" si="120"/>
        <v>0</v>
      </c>
      <c r="BG326" s="586" t="e">
        <f t="shared" si="121"/>
        <v>#DIV/0!</v>
      </c>
      <c r="BH326" s="571" t="e">
        <f t="shared" si="122"/>
        <v>#DIV/0!</v>
      </c>
    </row>
    <row r="327" spans="55:60" s="39" customFormat="1">
      <c r="BC327" s="573">
        <v>3.16</v>
      </c>
      <c r="BD327" s="571">
        <f t="shared" si="119"/>
        <v>0</v>
      </c>
      <c r="BE327" s="571">
        <f t="shared" si="123"/>
        <v>0</v>
      </c>
      <c r="BF327" s="586">
        <f t="shared" si="120"/>
        <v>0</v>
      </c>
      <c r="BG327" s="586" t="e">
        <f t="shared" si="121"/>
        <v>#DIV/0!</v>
      </c>
      <c r="BH327" s="571" t="e">
        <f t="shared" si="122"/>
        <v>#DIV/0!</v>
      </c>
    </row>
    <row r="328" spans="55:60" s="39" customFormat="1">
      <c r="BC328" s="573">
        <v>3.17</v>
      </c>
      <c r="BD328" s="571">
        <f t="shared" si="119"/>
        <v>0</v>
      </c>
      <c r="BE328" s="571">
        <f t="shared" si="123"/>
        <v>0</v>
      </c>
      <c r="BF328" s="586">
        <f t="shared" si="120"/>
        <v>0</v>
      </c>
      <c r="BG328" s="586" t="e">
        <f t="shared" si="121"/>
        <v>#DIV/0!</v>
      </c>
      <c r="BH328" s="571" t="e">
        <f t="shared" si="122"/>
        <v>#DIV/0!</v>
      </c>
    </row>
    <row r="329" spans="55:60" s="39" customFormat="1">
      <c r="BC329" s="573">
        <v>3.18</v>
      </c>
      <c r="BD329" s="571">
        <f t="shared" si="119"/>
        <v>0</v>
      </c>
      <c r="BE329" s="571">
        <f t="shared" si="123"/>
        <v>0</v>
      </c>
      <c r="BF329" s="586">
        <f t="shared" si="120"/>
        <v>0</v>
      </c>
      <c r="BG329" s="586" t="e">
        <f t="shared" si="121"/>
        <v>#DIV/0!</v>
      </c>
      <c r="BH329" s="571" t="e">
        <f t="shared" si="122"/>
        <v>#DIV/0!</v>
      </c>
    </row>
    <row r="330" spans="55:60" s="39" customFormat="1">
      <c r="BC330" s="573">
        <v>3.19</v>
      </c>
      <c r="BD330" s="571">
        <f t="shared" si="119"/>
        <v>0</v>
      </c>
      <c r="BE330" s="571">
        <f t="shared" si="123"/>
        <v>0</v>
      </c>
      <c r="BF330" s="586">
        <f t="shared" si="120"/>
        <v>0</v>
      </c>
      <c r="BG330" s="586" t="e">
        <f t="shared" si="121"/>
        <v>#DIV/0!</v>
      </c>
      <c r="BH330" s="571" t="e">
        <f t="shared" si="122"/>
        <v>#DIV/0!</v>
      </c>
    </row>
    <row r="331" spans="55:60" s="39" customFormat="1">
      <c r="BC331" s="573">
        <v>3.2</v>
      </c>
      <c r="BD331" s="571">
        <f t="shared" si="119"/>
        <v>0</v>
      </c>
      <c r="BE331" s="571">
        <f t="shared" si="123"/>
        <v>0</v>
      </c>
      <c r="BF331" s="586">
        <f t="shared" si="120"/>
        <v>0</v>
      </c>
      <c r="BG331" s="586" t="e">
        <f t="shared" si="121"/>
        <v>#DIV/0!</v>
      </c>
      <c r="BH331" s="571" t="e">
        <f t="shared" si="122"/>
        <v>#DIV/0!</v>
      </c>
    </row>
    <row r="332" spans="55:60" s="39" customFormat="1">
      <c r="BC332" s="573">
        <v>3.21</v>
      </c>
      <c r="BD332" s="571">
        <f t="shared" ref="BD332:BD395" si="124">$AU$15/BC332</f>
        <v>0</v>
      </c>
      <c r="BE332" s="571">
        <f t="shared" si="123"/>
        <v>0</v>
      </c>
      <c r="BF332" s="586">
        <f t="shared" ref="BF332:BF395" si="125">BC332*(BE332/1000)/$AO$12</f>
        <v>0</v>
      </c>
      <c r="BG332" s="586" t="e">
        <f t="shared" ref="BG332:BG395" si="126">POWER((1/(-1.8*LOG((6.9/BF332+POWER((($P$7/BE332)/3.71),1.11)),10))),2)</f>
        <v>#DIV/0!</v>
      </c>
      <c r="BH332" s="571" t="e">
        <f t="shared" ref="BH332:BH395" si="127">BG332*0.5*$P$6*16*$AU$15*$AU$15/(POWER(PI(),2)*POWER((BE332/1000),5))</f>
        <v>#DIV/0!</v>
      </c>
    </row>
    <row r="333" spans="55:60" s="39" customFormat="1">
      <c r="BC333" s="573">
        <v>3.22</v>
      </c>
      <c r="BD333" s="571">
        <f t="shared" si="124"/>
        <v>0</v>
      </c>
      <c r="BE333" s="571">
        <f t="shared" ref="BE333:BE396" si="128">((BD333/PI())^0.5)*2*1000</f>
        <v>0</v>
      </c>
      <c r="BF333" s="586">
        <f t="shared" si="125"/>
        <v>0</v>
      </c>
      <c r="BG333" s="586" t="e">
        <f t="shared" si="126"/>
        <v>#DIV/0!</v>
      </c>
      <c r="BH333" s="571" t="e">
        <f t="shared" si="127"/>
        <v>#DIV/0!</v>
      </c>
    </row>
    <row r="334" spans="55:60" s="39" customFormat="1">
      <c r="BC334" s="573">
        <v>3.23</v>
      </c>
      <c r="BD334" s="571">
        <f t="shared" si="124"/>
        <v>0</v>
      </c>
      <c r="BE334" s="571">
        <f t="shared" si="128"/>
        <v>0</v>
      </c>
      <c r="BF334" s="586">
        <f t="shared" si="125"/>
        <v>0</v>
      </c>
      <c r="BG334" s="586" t="e">
        <f t="shared" si="126"/>
        <v>#DIV/0!</v>
      </c>
      <c r="BH334" s="571" t="e">
        <f t="shared" si="127"/>
        <v>#DIV/0!</v>
      </c>
    </row>
    <row r="335" spans="55:60" s="39" customFormat="1">
      <c r="BC335" s="573">
        <v>3.24</v>
      </c>
      <c r="BD335" s="571">
        <f t="shared" si="124"/>
        <v>0</v>
      </c>
      <c r="BE335" s="571">
        <f t="shared" si="128"/>
        <v>0</v>
      </c>
      <c r="BF335" s="586">
        <f t="shared" si="125"/>
        <v>0</v>
      </c>
      <c r="BG335" s="586" t="e">
        <f t="shared" si="126"/>
        <v>#DIV/0!</v>
      </c>
      <c r="BH335" s="571" t="e">
        <f t="shared" si="127"/>
        <v>#DIV/0!</v>
      </c>
    </row>
    <row r="336" spans="55:60" s="39" customFormat="1">
      <c r="BC336" s="573">
        <v>3.25</v>
      </c>
      <c r="BD336" s="571">
        <f t="shared" si="124"/>
        <v>0</v>
      </c>
      <c r="BE336" s="571">
        <f t="shared" si="128"/>
        <v>0</v>
      </c>
      <c r="BF336" s="586">
        <f t="shared" si="125"/>
        <v>0</v>
      </c>
      <c r="BG336" s="586" t="e">
        <f t="shared" si="126"/>
        <v>#DIV/0!</v>
      </c>
      <c r="BH336" s="571" t="e">
        <f t="shared" si="127"/>
        <v>#DIV/0!</v>
      </c>
    </row>
    <row r="337" spans="55:60" s="39" customFormat="1">
      <c r="BC337" s="573">
        <v>3.26</v>
      </c>
      <c r="BD337" s="571">
        <f t="shared" si="124"/>
        <v>0</v>
      </c>
      <c r="BE337" s="571">
        <f t="shared" si="128"/>
        <v>0</v>
      </c>
      <c r="BF337" s="586">
        <f t="shared" si="125"/>
        <v>0</v>
      </c>
      <c r="BG337" s="586" t="e">
        <f t="shared" si="126"/>
        <v>#DIV/0!</v>
      </c>
      <c r="BH337" s="571" t="e">
        <f t="shared" si="127"/>
        <v>#DIV/0!</v>
      </c>
    </row>
    <row r="338" spans="55:60" s="39" customFormat="1">
      <c r="BC338" s="573">
        <v>3.27</v>
      </c>
      <c r="BD338" s="571">
        <f t="shared" si="124"/>
        <v>0</v>
      </c>
      <c r="BE338" s="571">
        <f t="shared" si="128"/>
        <v>0</v>
      </c>
      <c r="BF338" s="586">
        <f t="shared" si="125"/>
        <v>0</v>
      </c>
      <c r="BG338" s="586" t="e">
        <f t="shared" si="126"/>
        <v>#DIV/0!</v>
      </c>
      <c r="BH338" s="571" t="e">
        <f t="shared" si="127"/>
        <v>#DIV/0!</v>
      </c>
    </row>
    <row r="339" spans="55:60" s="39" customFormat="1">
      <c r="BC339" s="573">
        <v>3.28</v>
      </c>
      <c r="BD339" s="571">
        <f t="shared" si="124"/>
        <v>0</v>
      </c>
      <c r="BE339" s="571">
        <f t="shared" si="128"/>
        <v>0</v>
      </c>
      <c r="BF339" s="586">
        <f t="shared" si="125"/>
        <v>0</v>
      </c>
      <c r="BG339" s="586" t="e">
        <f t="shared" si="126"/>
        <v>#DIV/0!</v>
      </c>
      <c r="BH339" s="571" t="e">
        <f t="shared" si="127"/>
        <v>#DIV/0!</v>
      </c>
    </row>
    <row r="340" spans="55:60" s="39" customFormat="1">
      <c r="BC340" s="573">
        <v>3.29</v>
      </c>
      <c r="BD340" s="571">
        <f t="shared" si="124"/>
        <v>0</v>
      </c>
      <c r="BE340" s="571">
        <f t="shared" si="128"/>
        <v>0</v>
      </c>
      <c r="BF340" s="586">
        <f t="shared" si="125"/>
        <v>0</v>
      </c>
      <c r="BG340" s="586" t="e">
        <f t="shared" si="126"/>
        <v>#DIV/0!</v>
      </c>
      <c r="BH340" s="571" t="e">
        <f t="shared" si="127"/>
        <v>#DIV/0!</v>
      </c>
    </row>
    <row r="341" spans="55:60" s="39" customFormat="1">
      <c r="BC341" s="573">
        <v>3.3</v>
      </c>
      <c r="BD341" s="571">
        <f t="shared" si="124"/>
        <v>0</v>
      </c>
      <c r="BE341" s="571">
        <f t="shared" si="128"/>
        <v>0</v>
      </c>
      <c r="BF341" s="586">
        <f t="shared" si="125"/>
        <v>0</v>
      </c>
      <c r="BG341" s="586" t="e">
        <f t="shared" si="126"/>
        <v>#DIV/0!</v>
      </c>
      <c r="BH341" s="571" t="e">
        <f t="shared" si="127"/>
        <v>#DIV/0!</v>
      </c>
    </row>
    <row r="342" spans="55:60" s="39" customFormat="1">
      <c r="BC342" s="573">
        <v>3.31</v>
      </c>
      <c r="BD342" s="571">
        <f t="shared" si="124"/>
        <v>0</v>
      </c>
      <c r="BE342" s="571">
        <f t="shared" si="128"/>
        <v>0</v>
      </c>
      <c r="BF342" s="586">
        <f t="shared" si="125"/>
        <v>0</v>
      </c>
      <c r="BG342" s="586" t="e">
        <f t="shared" si="126"/>
        <v>#DIV/0!</v>
      </c>
      <c r="BH342" s="571" t="e">
        <f t="shared" si="127"/>
        <v>#DIV/0!</v>
      </c>
    </row>
    <row r="343" spans="55:60" s="39" customFormat="1">
      <c r="BC343" s="573">
        <v>3.32</v>
      </c>
      <c r="BD343" s="571">
        <f t="shared" si="124"/>
        <v>0</v>
      </c>
      <c r="BE343" s="571">
        <f t="shared" si="128"/>
        <v>0</v>
      </c>
      <c r="BF343" s="586">
        <f t="shared" si="125"/>
        <v>0</v>
      </c>
      <c r="BG343" s="586" t="e">
        <f t="shared" si="126"/>
        <v>#DIV/0!</v>
      </c>
      <c r="BH343" s="571" t="e">
        <f t="shared" si="127"/>
        <v>#DIV/0!</v>
      </c>
    </row>
    <row r="344" spans="55:60" s="39" customFormat="1">
      <c r="BC344" s="573">
        <v>3.33</v>
      </c>
      <c r="BD344" s="571">
        <f t="shared" si="124"/>
        <v>0</v>
      </c>
      <c r="BE344" s="571">
        <f t="shared" si="128"/>
        <v>0</v>
      </c>
      <c r="BF344" s="586">
        <f t="shared" si="125"/>
        <v>0</v>
      </c>
      <c r="BG344" s="586" t="e">
        <f t="shared" si="126"/>
        <v>#DIV/0!</v>
      </c>
      <c r="BH344" s="571" t="e">
        <f t="shared" si="127"/>
        <v>#DIV/0!</v>
      </c>
    </row>
    <row r="345" spans="55:60" s="39" customFormat="1">
      <c r="BC345" s="573">
        <v>3.34</v>
      </c>
      <c r="BD345" s="571">
        <f t="shared" si="124"/>
        <v>0</v>
      </c>
      <c r="BE345" s="571">
        <f t="shared" si="128"/>
        <v>0</v>
      </c>
      <c r="BF345" s="586">
        <f t="shared" si="125"/>
        <v>0</v>
      </c>
      <c r="BG345" s="586" t="e">
        <f t="shared" si="126"/>
        <v>#DIV/0!</v>
      </c>
      <c r="BH345" s="571" t="e">
        <f t="shared" si="127"/>
        <v>#DIV/0!</v>
      </c>
    </row>
    <row r="346" spans="55:60" s="39" customFormat="1">
      <c r="BC346" s="573">
        <v>3.35</v>
      </c>
      <c r="BD346" s="571">
        <f t="shared" si="124"/>
        <v>0</v>
      </c>
      <c r="BE346" s="571">
        <f t="shared" si="128"/>
        <v>0</v>
      </c>
      <c r="BF346" s="586">
        <f t="shared" si="125"/>
        <v>0</v>
      </c>
      <c r="BG346" s="586" t="e">
        <f t="shared" si="126"/>
        <v>#DIV/0!</v>
      </c>
      <c r="BH346" s="571" t="e">
        <f t="shared" si="127"/>
        <v>#DIV/0!</v>
      </c>
    </row>
    <row r="347" spans="55:60" s="39" customFormat="1">
      <c r="BC347" s="573">
        <v>3.36</v>
      </c>
      <c r="BD347" s="571">
        <f t="shared" si="124"/>
        <v>0</v>
      </c>
      <c r="BE347" s="571">
        <f t="shared" si="128"/>
        <v>0</v>
      </c>
      <c r="BF347" s="586">
        <f t="shared" si="125"/>
        <v>0</v>
      </c>
      <c r="BG347" s="586" t="e">
        <f t="shared" si="126"/>
        <v>#DIV/0!</v>
      </c>
      <c r="BH347" s="571" t="e">
        <f t="shared" si="127"/>
        <v>#DIV/0!</v>
      </c>
    </row>
    <row r="348" spans="55:60" s="39" customFormat="1">
      <c r="BC348" s="573">
        <v>3.37</v>
      </c>
      <c r="BD348" s="571">
        <f t="shared" si="124"/>
        <v>0</v>
      </c>
      <c r="BE348" s="571">
        <f t="shared" si="128"/>
        <v>0</v>
      </c>
      <c r="BF348" s="586">
        <f t="shared" si="125"/>
        <v>0</v>
      </c>
      <c r="BG348" s="586" t="e">
        <f t="shared" si="126"/>
        <v>#DIV/0!</v>
      </c>
      <c r="BH348" s="571" t="e">
        <f t="shared" si="127"/>
        <v>#DIV/0!</v>
      </c>
    </row>
    <row r="349" spans="55:60" s="39" customFormat="1">
      <c r="BC349" s="573">
        <v>3.38</v>
      </c>
      <c r="BD349" s="571">
        <f t="shared" si="124"/>
        <v>0</v>
      </c>
      <c r="BE349" s="571">
        <f t="shared" si="128"/>
        <v>0</v>
      </c>
      <c r="BF349" s="586">
        <f t="shared" si="125"/>
        <v>0</v>
      </c>
      <c r="BG349" s="586" t="e">
        <f t="shared" si="126"/>
        <v>#DIV/0!</v>
      </c>
      <c r="BH349" s="571" t="e">
        <f t="shared" si="127"/>
        <v>#DIV/0!</v>
      </c>
    </row>
    <row r="350" spans="55:60" s="39" customFormat="1">
      <c r="BC350" s="573">
        <v>3.39</v>
      </c>
      <c r="BD350" s="571">
        <f t="shared" si="124"/>
        <v>0</v>
      </c>
      <c r="BE350" s="571">
        <f t="shared" si="128"/>
        <v>0</v>
      </c>
      <c r="BF350" s="586">
        <f t="shared" si="125"/>
        <v>0</v>
      </c>
      <c r="BG350" s="586" t="e">
        <f t="shared" si="126"/>
        <v>#DIV/0!</v>
      </c>
      <c r="BH350" s="571" t="e">
        <f t="shared" si="127"/>
        <v>#DIV/0!</v>
      </c>
    </row>
    <row r="351" spans="55:60" s="39" customFormat="1">
      <c r="BC351" s="573">
        <v>3.4</v>
      </c>
      <c r="BD351" s="571">
        <f t="shared" si="124"/>
        <v>0</v>
      </c>
      <c r="BE351" s="571">
        <f t="shared" si="128"/>
        <v>0</v>
      </c>
      <c r="BF351" s="586">
        <f t="shared" si="125"/>
        <v>0</v>
      </c>
      <c r="BG351" s="586" t="e">
        <f t="shared" si="126"/>
        <v>#DIV/0!</v>
      </c>
      <c r="BH351" s="571" t="e">
        <f t="shared" si="127"/>
        <v>#DIV/0!</v>
      </c>
    </row>
    <row r="352" spans="55:60" s="39" customFormat="1">
      <c r="BC352" s="573">
        <v>3.41</v>
      </c>
      <c r="BD352" s="571">
        <f t="shared" si="124"/>
        <v>0</v>
      </c>
      <c r="BE352" s="571">
        <f t="shared" si="128"/>
        <v>0</v>
      </c>
      <c r="BF352" s="586">
        <f t="shared" si="125"/>
        <v>0</v>
      </c>
      <c r="BG352" s="586" t="e">
        <f t="shared" si="126"/>
        <v>#DIV/0!</v>
      </c>
      <c r="BH352" s="571" t="e">
        <f t="shared" si="127"/>
        <v>#DIV/0!</v>
      </c>
    </row>
    <row r="353" spans="55:60" s="39" customFormat="1">
      <c r="BC353" s="573">
        <v>3.42</v>
      </c>
      <c r="BD353" s="571">
        <f t="shared" si="124"/>
        <v>0</v>
      </c>
      <c r="BE353" s="571">
        <f t="shared" si="128"/>
        <v>0</v>
      </c>
      <c r="BF353" s="586">
        <f t="shared" si="125"/>
        <v>0</v>
      </c>
      <c r="BG353" s="586" t="e">
        <f t="shared" si="126"/>
        <v>#DIV/0!</v>
      </c>
      <c r="BH353" s="571" t="e">
        <f t="shared" si="127"/>
        <v>#DIV/0!</v>
      </c>
    </row>
    <row r="354" spans="55:60" s="39" customFormat="1">
      <c r="BC354" s="573">
        <v>3.43</v>
      </c>
      <c r="BD354" s="571">
        <f t="shared" si="124"/>
        <v>0</v>
      </c>
      <c r="BE354" s="571">
        <f t="shared" si="128"/>
        <v>0</v>
      </c>
      <c r="BF354" s="586">
        <f t="shared" si="125"/>
        <v>0</v>
      </c>
      <c r="BG354" s="586" t="e">
        <f t="shared" si="126"/>
        <v>#DIV/0!</v>
      </c>
      <c r="BH354" s="571" t="e">
        <f t="shared" si="127"/>
        <v>#DIV/0!</v>
      </c>
    </row>
    <row r="355" spans="55:60" s="39" customFormat="1">
      <c r="BC355" s="573">
        <v>3.44</v>
      </c>
      <c r="BD355" s="571">
        <f t="shared" si="124"/>
        <v>0</v>
      </c>
      <c r="BE355" s="571">
        <f t="shared" si="128"/>
        <v>0</v>
      </c>
      <c r="BF355" s="586">
        <f t="shared" si="125"/>
        <v>0</v>
      </c>
      <c r="BG355" s="586" t="e">
        <f t="shared" si="126"/>
        <v>#DIV/0!</v>
      </c>
      <c r="BH355" s="571" t="e">
        <f t="shared" si="127"/>
        <v>#DIV/0!</v>
      </c>
    </row>
    <row r="356" spans="55:60" s="39" customFormat="1">
      <c r="BC356" s="573">
        <v>3.45</v>
      </c>
      <c r="BD356" s="571">
        <f t="shared" si="124"/>
        <v>0</v>
      </c>
      <c r="BE356" s="571">
        <f t="shared" si="128"/>
        <v>0</v>
      </c>
      <c r="BF356" s="586">
        <f t="shared" si="125"/>
        <v>0</v>
      </c>
      <c r="BG356" s="586" t="e">
        <f t="shared" si="126"/>
        <v>#DIV/0!</v>
      </c>
      <c r="BH356" s="571" t="e">
        <f t="shared" si="127"/>
        <v>#DIV/0!</v>
      </c>
    </row>
    <row r="357" spans="55:60" s="39" customFormat="1">
      <c r="BC357" s="573">
        <v>3.46</v>
      </c>
      <c r="BD357" s="571">
        <f t="shared" si="124"/>
        <v>0</v>
      </c>
      <c r="BE357" s="571">
        <f t="shared" si="128"/>
        <v>0</v>
      </c>
      <c r="BF357" s="586">
        <f t="shared" si="125"/>
        <v>0</v>
      </c>
      <c r="BG357" s="586" t="e">
        <f t="shared" si="126"/>
        <v>#DIV/0!</v>
      </c>
      <c r="BH357" s="571" t="e">
        <f t="shared" si="127"/>
        <v>#DIV/0!</v>
      </c>
    </row>
    <row r="358" spans="55:60" s="39" customFormat="1">
      <c r="BC358" s="573">
        <v>3.47</v>
      </c>
      <c r="BD358" s="571">
        <f t="shared" si="124"/>
        <v>0</v>
      </c>
      <c r="BE358" s="571">
        <f t="shared" si="128"/>
        <v>0</v>
      </c>
      <c r="BF358" s="586">
        <f t="shared" si="125"/>
        <v>0</v>
      </c>
      <c r="BG358" s="586" t="e">
        <f t="shared" si="126"/>
        <v>#DIV/0!</v>
      </c>
      <c r="BH358" s="571" t="e">
        <f t="shared" si="127"/>
        <v>#DIV/0!</v>
      </c>
    </row>
    <row r="359" spans="55:60" s="39" customFormat="1">
      <c r="BC359" s="573">
        <v>3.48</v>
      </c>
      <c r="BD359" s="571">
        <f t="shared" si="124"/>
        <v>0</v>
      </c>
      <c r="BE359" s="571">
        <f t="shared" si="128"/>
        <v>0</v>
      </c>
      <c r="BF359" s="586">
        <f t="shared" si="125"/>
        <v>0</v>
      </c>
      <c r="BG359" s="586" t="e">
        <f t="shared" si="126"/>
        <v>#DIV/0!</v>
      </c>
      <c r="BH359" s="571" t="e">
        <f t="shared" si="127"/>
        <v>#DIV/0!</v>
      </c>
    </row>
    <row r="360" spans="55:60" s="39" customFormat="1">
      <c r="BC360" s="573">
        <v>3.49</v>
      </c>
      <c r="BD360" s="571">
        <f t="shared" si="124"/>
        <v>0</v>
      </c>
      <c r="BE360" s="571">
        <f t="shared" si="128"/>
        <v>0</v>
      </c>
      <c r="BF360" s="586">
        <f t="shared" si="125"/>
        <v>0</v>
      </c>
      <c r="BG360" s="586" t="e">
        <f t="shared" si="126"/>
        <v>#DIV/0!</v>
      </c>
      <c r="BH360" s="571" t="e">
        <f t="shared" si="127"/>
        <v>#DIV/0!</v>
      </c>
    </row>
    <row r="361" spans="55:60" s="39" customFormat="1">
      <c r="BC361" s="573">
        <v>3.5</v>
      </c>
      <c r="BD361" s="571">
        <f t="shared" si="124"/>
        <v>0</v>
      </c>
      <c r="BE361" s="571">
        <f t="shared" si="128"/>
        <v>0</v>
      </c>
      <c r="BF361" s="586">
        <f t="shared" si="125"/>
        <v>0</v>
      </c>
      <c r="BG361" s="586" t="e">
        <f t="shared" si="126"/>
        <v>#DIV/0!</v>
      </c>
      <c r="BH361" s="571" t="e">
        <f t="shared" si="127"/>
        <v>#DIV/0!</v>
      </c>
    </row>
    <row r="362" spans="55:60" s="39" customFormat="1">
      <c r="BC362" s="573">
        <v>3.51</v>
      </c>
      <c r="BD362" s="571">
        <f t="shared" si="124"/>
        <v>0</v>
      </c>
      <c r="BE362" s="571">
        <f t="shared" si="128"/>
        <v>0</v>
      </c>
      <c r="BF362" s="586">
        <f t="shared" si="125"/>
        <v>0</v>
      </c>
      <c r="BG362" s="586" t="e">
        <f t="shared" si="126"/>
        <v>#DIV/0!</v>
      </c>
      <c r="BH362" s="571" t="e">
        <f t="shared" si="127"/>
        <v>#DIV/0!</v>
      </c>
    </row>
    <row r="363" spans="55:60" s="39" customFormat="1">
      <c r="BC363" s="573">
        <v>3.52</v>
      </c>
      <c r="BD363" s="571">
        <f t="shared" si="124"/>
        <v>0</v>
      </c>
      <c r="BE363" s="571">
        <f t="shared" si="128"/>
        <v>0</v>
      </c>
      <c r="BF363" s="586">
        <f t="shared" si="125"/>
        <v>0</v>
      </c>
      <c r="BG363" s="586" t="e">
        <f t="shared" si="126"/>
        <v>#DIV/0!</v>
      </c>
      <c r="BH363" s="571" t="e">
        <f t="shared" si="127"/>
        <v>#DIV/0!</v>
      </c>
    </row>
    <row r="364" spans="55:60" s="39" customFormat="1">
      <c r="BC364" s="573">
        <v>3.53</v>
      </c>
      <c r="BD364" s="571">
        <f t="shared" si="124"/>
        <v>0</v>
      </c>
      <c r="BE364" s="571">
        <f t="shared" si="128"/>
        <v>0</v>
      </c>
      <c r="BF364" s="586">
        <f t="shared" si="125"/>
        <v>0</v>
      </c>
      <c r="BG364" s="586" t="e">
        <f t="shared" si="126"/>
        <v>#DIV/0!</v>
      </c>
      <c r="BH364" s="571" t="e">
        <f t="shared" si="127"/>
        <v>#DIV/0!</v>
      </c>
    </row>
    <row r="365" spans="55:60" s="39" customFormat="1">
      <c r="BC365" s="573">
        <v>3.54</v>
      </c>
      <c r="BD365" s="571">
        <f t="shared" si="124"/>
        <v>0</v>
      </c>
      <c r="BE365" s="571">
        <f t="shared" si="128"/>
        <v>0</v>
      </c>
      <c r="BF365" s="586">
        <f t="shared" si="125"/>
        <v>0</v>
      </c>
      <c r="BG365" s="586" t="e">
        <f t="shared" si="126"/>
        <v>#DIV/0!</v>
      </c>
      <c r="BH365" s="571" t="e">
        <f t="shared" si="127"/>
        <v>#DIV/0!</v>
      </c>
    </row>
    <row r="366" spans="55:60" s="39" customFormat="1">
      <c r="BC366" s="573">
        <v>3.55</v>
      </c>
      <c r="BD366" s="571">
        <f t="shared" si="124"/>
        <v>0</v>
      </c>
      <c r="BE366" s="571">
        <f t="shared" si="128"/>
        <v>0</v>
      </c>
      <c r="BF366" s="586">
        <f t="shared" si="125"/>
        <v>0</v>
      </c>
      <c r="BG366" s="586" t="e">
        <f t="shared" si="126"/>
        <v>#DIV/0!</v>
      </c>
      <c r="BH366" s="571" t="e">
        <f t="shared" si="127"/>
        <v>#DIV/0!</v>
      </c>
    </row>
    <row r="367" spans="55:60" s="39" customFormat="1">
      <c r="BC367" s="573">
        <v>3.56</v>
      </c>
      <c r="BD367" s="571">
        <f t="shared" si="124"/>
        <v>0</v>
      </c>
      <c r="BE367" s="571">
        <f t="shared" si="128"/>
        <v>0</v>
      </c>
      <c r="BF367" s="586">
        <f t="shared" si="125"/>
        <v>0</v>
      </c>
      <c r="BG367" s="586" t="e">
        <f t="shared" si="126"/>
        <v>#DIV/0!</v>
      </c>
      <c r="BH367" s="571" t="e">
        <f t="shared" si="127"/>
        <v>#DIV/0!</v>
      </c>
    </row>
    <row r="368" spans="55:60" s="39" customFormat="1">
      <c r="BC368" s="573">
        <v>3.57</v>
      </c>
      <c r="BD368" s="571">
        <f t="shared" si="124"/>
        <v>0</v>
      </c>
      <c r="BE368" s="571">
        <f t="shared" si="128"/>
        <v>0</v>
      </c>
      <c r="BF368" s="586">
        <f t="shared" si="125"/>
        <v>0</v>
      </c>
      <c r="BG368" s="586" t="e">
        <f t="shared" si="126"/>
        <v>#DIV/0!</v>
      </c>
      <c r="BH368" s="571" t="e">
        <f t="shared" si="127"/>
        <v>#DIV/0!</v>
      </c>
    </row>
    <row r="369" spans="55:60" s="39" customFormat="1">
      <c r="BC369" s="573">
        <v>3.58</v>
      </c>
      <c r="BD369" s="571">
        <f t="shared" si="124"/>
        <v>0</v>
      </c>
      <c r="BE369" s="571">
        <f t="shared" si="128"/>
        <v>0</v>
      </c>
      <c r="BF369" s="586">
        <f t="shared" si="125"/>
        <v>0</v>
      </c>
      <c r="BG369" s="586" t="e">
        <f t="shared" si="126"/>
        <v>#DIV/0!</v>
      </c>
      <c r="BH369" s="571" t="e">
        <f t="shared" si="127"/>
        <v>#DIV/0!</v>
      </c>
    </row>
    <row r="370" spans="55:60" s="39" customFormat="1">
      <c r="BC370" s="573">
        <v>3.59</v>
      </c>
      <c r="BD370" s="571">
        <f t="shared" si="124"/>
        <v>0</v>
      </c>
      <c r="BE370" s="571">
        <f t="shared" si="128"/>
        <v>0</v>
      </c>
      <c r="BF370" s="586">
        <f t="shared" si="125"/>
        <v>0</v>
      </c>
      <c r="BG370" s="586" t="e">
        <f t="shared" si="126"/>
        <v>#DIV/0!</v>
      </c>
      <c r="BH370" s="571" t="e">
        <f t="shared" si="127"/>
        <v>#DIV/0!</v>
      </c>
    </row>
    <row r="371" spans="55:60" s="39" customFormat="1">
      <c r="BC371" s="573">
        <v>3.6</v>
      </c>
      <c r="BD371" s="571">
        <f t="shared" si="124"/>
        <v>0</v>
      </c>
      <c r="BE371" s="571">
        <f t="shared" si="128"/>
        <v>0</v>
      </c>
      <c r="BF371" s="586">
        <f t="shared" si="125"/>
        <v>0</v>
      </c>
      <c r="BG371" s="586" t="e">
        <f t="shared" si="126"/>
        <v>#DIV/0!</v>
      </c>
      <c r="BH371" s="571" t="e">
        <f t="shared" si="127"/>
        <v>#DIV/0!</v>
      </c>
    </row>
    <row r="372" spans="55:60" s="39" customFormat="1">
      <c r="BC372" s="573">
        <v>3.61</v>
      </c>
      <c r="BD372" s="571">
        <f t="shared" si="124"/>
        <v>0</v>
      </c>
      <c r="BE372" s="571">
        <f t="shared" si="128"/>
        <v>0</v>
      </c>
      <c r="BF372" s="586">
        <f t="shared" si="125"/>
        <v>0</v>
      </c>
      <c r="BG372" s="586" t="e">
        <f t="shared" si="126"/>
        <v>#DIV/0!</v>
      </c>
      <c r="BH372" s="571" t="e">
        <f t="shared" si="127"/>
        <v>#DIV/0!</v>
      </c>
    </row>
    <row r="373" spans="55:60" s="39" customFormat="1">
      <c r="BC373" s="573">
        <v>3.62</v>
      </c>
      <c r="BD373" s="571">
        <f t="shared" si="124"/>
        <v>0</v>
      </c>
      <c r="BE373" s="571">
        <f t="shared" si="128"/>
        <v>0</v>
      </c>
      <c r="BF373" s="586">
        <f t="shared" si="125"/>
        <v>0</v>
      </c>
      <c r="BG373" s="586" t="e">
        <f t="shared" si="126"/>
        <v>#DIV/0!</v>
      </c>
      <c r="BH373" s="571" t="e">
        <f t="shared" si="127"/>
        <v>#DIV/0!</v>
      </c>
    </row>
    <row r="374" spans="55:60" s="39" customFormat="1">
      <c r="BC374" s="573">
        <v>3.63</v>
      </c>
      <c r="BD374" s="571">
        <f t="shared" si="124"/>
        <v>0</v>
      </c>
      <c r="BE374" s="571">
        <f t="shared" si="128"/>
        <v>0</v>
      </c>
      <c r="BF374" s="586">
        <f t="shared" si="125"/>
        <v>0</v>
      </c>
      <c r="BG374" s="586" t="e">
        <f t="shared" si="126"/>
        <v>#DIV/0!</v>
      </c>
      <c r="BH374" s="571" t="e">
        <f t="shared" si="127"/>
        <v>#DIV/0!</v>
      </c>
    </row>
    <row r="375" spans="55:60" s="39" customFormat="1">
      <c r="BC375" s="573">
        <v>3.64</v>
      </c>
      <c r="BD375" s="571">
        <f t="shared" si="124"/>
        <v>0</v>
      </c>
      <c r="BE375" s="571">
        <f t="shared" si="128"/>
        <v>0</v>
      </c>
      <c r="BF375" s="586">
        <f t="shared" si="125"/>
        <v>0</v>
      </c>
      <c r="BG375" s="586" t="e">
        <f t="shared" si="126"/>
        <v>#DIV/0!</v>
      </c>
      <c r="BH375" s="571" t="e">
        <f t="shared" si="127"/>
        <v>#DIV/0!</v>
      </c>
    </row>
    <row r="376" spans="55:60" s="39" customFormat="1">
      <c r="BC376" s="573">
        <v>3.65</v>
      </c>
      <c r="BD376" s="571">
        <f t="shared" si="124"/>
        <v>0</v>
      </c>
      <c r="BE376" s="571">
        <f t="shared" si="128"/>
        <v>0</v>
      </c>
      <c r="BF376" s="586">
        <f t="shared" si="125"/>
        <v>0</v>
      </c>
      <c r="BG376" s="586" t="e">
        <f t="shared" si="126"/>
        <v>#DIV/0!</v>
      </c>
      <c r="BH376" s="571" t="e">
        <f t="shared" si="127"/>
        <v>#DIV/0!</v>
      </c>
    </row>
    <row r="377" spans="55:60" s="39" customFormat="1">
      <c r="BC377" s="573">
        <v>3.66</v>
      </c>
      <c r="BD377" s="571">
        <f t="shared" si="124"/>
        <v>0</v>
      </c>
      <c r="BE377" s="571">
        <f t="shared" si="128"/>
        <v>0</v>
      </c>
      <c r="BF377" s="586">
        <f t="shared" si="125"/>
        <v>0</v>
      </c>
      <c r="BG377" s="586" t="e">
        <f t="shared" si="126"/>
        <v>#DIV/0!</v>
      </c>
      <c r="BH377" s="571" t="e">
        <f t="shared" si="127"/>
        <v>#DIV/0!</v>
      </c>
    </row>
    <row r="378" spans="55:60" s="39" customFormat="1">
      <c r="BC378" s="573">
        <v>3.67</v>
      </c>
      <c r="BD378" s="571">
        <f t="shared" si="124"/>
        <v>0</v>
      </c>
      <c r="BE378" s="571">
        <f t="shared" si="128"/>
        <v>0</v>
      </c>
      <c r="BF378" s="586">
        <f t="shared" si="125"/>
        <v>0</v>
      </c>
      <c r="BG378" s="586" t="e">
        <f t="shared" si="126"/>
        <v>#DIV/0!</v>
      </c>
      <c r="BH378" s="571" t="e">
        <f t="shared" si="127"/>
        <v>#DIV/0!</v>
      </c>
    </row>
    <row r="379" spans="55:60" s="39" customFormat="1">
      <c r="BC379" s="573">
        <v>3.68</v>
      </c>
      <c r="BD379" s="571">
        <f t="shared" si="124"/>
        <v>0</v>
      </c>
      <c r="BE379" s="571">
        <f t="shared" si="128"/>
        <v>0</v>
      </c>
      <c r="BF379" s="586">
        <f t="shared" si="125"/>
        <v>0</v>
      </c>
      <c r="BG379" s="586" t="e">
        <f t="shared" si="126"/>
        <v>#DIV/0!</v>
      </c>
      <c r="BH379" s="571" t="e">
        <f t="shared" si="127"/>
        <v>#DIV/0!</v>
      </c>
    </row>
    <row r="380" spans="55:60" s="39" customFormat="1">
      <c r="BC380" s="573">
        <v>3.69</v>
      </c>
      <c r="BD380" s="571">
        <f t="shared" si="124"/>
        <v>0</v>
      </c>
      <c r="BE380" s="571">
        <f t="shared" si="128"/>
        <v>0</v>
      </c>
      <c r="BF380" s="586">
        <f t="shared" si="125"/>
        <v>0</v>
      </c>
      <c r="BG380" s="586" t="e">
        <f t="shared" si="126"/>
        <v>#DIV/0!</v>
      </c>
      <c r="BH380" s="571" t="e">
        <f t="shared" si="127"/>
        <v>#DIV/0!</v>
      </c>
    </row>
    <row r="381" spans="55:60" s="39" customFormat="1">
      <c r="BC381" s="573">
        <v>3.7</v>
      </c>
      <c r="BD381" s="571">
        <f t="shared" si="124"/>
        <v>0</v>
      </c>
      <c r="BE381" s="571">
        <f t="shared" si="128"/>
        <v>0</v>
      </c>
      <c r="BF381" s="586">
        <f t="shared" si="125"/>
        <v>0</v>
      </c>
      <c r="BG381" s="586" t="e">
        <f t="shared" si="126"/>
        <v>#DIV/0!</v>
      </c>
      <c r="BH381" s="571" t="e">
        <f t="shared" si="127"/>
        <v>#DIV/0!</v>
      </c>
    </row>
    <row r="382" spans="55:60" s="39" customFormat="1">
      <c r="BC382" s="573">
        <v>3.71</v>
      </c>
      <c r="BD382" s="571">
        <f t="shared" si="124"/>
        <v>0</v>
      </c>
      <c r="BE382" s="571">
        <f t="shared" si="128"/>
        <v>0</v>
      </c>
      <c r="BF382" s="586">
        <f t="shared" si="125"/>
        <v>0</v>
      </c>
      <c r="BG382" s="586" t="e">
        <f t="shared" si="126"/>
        <v>#DIV/0!</v>
      </c>
      <c r="BH382" s="571" t="e">
        <f t="shared" si="127"/>
        <v>#DIV/0!</v>
      </c>
    </row>
    <row r="383" spans="55:60" s="39" customFormat="1">
      <c r="BC383" s="573">
        <v>3.72</v>
      </c>
      <c r="BD383" s="571">
        <f t="shared" si="124"/>
        <v>0</v>
      </c>
      <c r="BE383" s="571">
        <f t="shared" si="128"/>
        <v>0</v>
      </c>
      <c r="BF383" s="586">
        <f t="shared" si="125"/>
        <v>0</v>
      </c>
      <c r="BG383" s="586" t="e">
        <f t="shared" si="126"/>
        <v>#DIV/0!</v>
      </c>
      <c r="BH383" s="571" t="e">
        <f t="shared" si="127"/>
        <v>#DIV/0!</v>
      </c>
    </row>
    <row r="384" spans="55:60" s="39" customFormat="1">
      <c r="BC384" s="573">
        <v>3.73</v>
      </c>
      <c r="BD384" s="571">
        <f t="shared" si="124"/>
        <v>0</v>
      </c>
      <c r="BE384" s="571">
        <f t="shared" si="128"/>
        <v>0</v>
      </c>
      <c r="BF384" s="586">
        <f t="shared" si="125"/>
        <v>0</v>
      </c>
      <c r="BG384" s="586" t="e">
        <f t="shared" si="126"/>
        <v>#DIV/0!</v>
      </c>
      <c r="BH384" s="571" t="e">
        <f t="shared" si="127"/>
        <v>#DIV/0!</v>
      </c>
    </row>
    <row r="385" spans="55:60" s="39" customFormat="1">
      <c r="BC385" s="573">
        <v>3.74</v>
      </c>
      <c r="BD385" s="571">
        <f t="shared" si="124"/>
        <v>0</v>
      </c>
      <c r="BE385" s="571">
        <f t="shared" si="128"/>
        <v>0</v>
      </c>
      <c r="BF385" s="586">
        <f t="shared" si="125"/>
        <v>0</v>
      </c>
      <c r="BG385" s="586" t="e">
        <f t="shared" si="126"/>
        <v>#DIV/0!</v>
      </c>
      <c r="BH385" s="571" t="e">
        <f t="shared" si="127"/>
        <v>#DIV/0!</v>
      </c>
    </row>
    <row r="386" spans="55:60" s="39" customFormat="1">
      <c r="BC386" s="573">
        <v>3.75</v>
      </c>
      <c r="BD386" s="571">
        <f t="shared" si="124"/>
        <v>0</v>
      </c>
      <c r="BE386" s="571">
        <f t="shared" si="128"/>
        <v>0</v>
      </c>
      <c r="BF386" s="586">
        <f t="shared" si="125"/>
        <v>0</v>
      </c>
      <c r="BG386" s="586" t="e">
        <f t="shared" si="126"/>
        <v>#DIV/0!</v>
      </c>
      <c r="BH386" s="571" t="e">
        <f t="shared" si="127"/>
        <v>#DIV/0!</v>
      </c>
    </row>
    <row r="387" spans="55:60" s="39" customFormat="1">
      <c r="BC387" s="573">
        <v>3.76</v>
      </c>
      <c r="BD387" s="571">
        <f t="shared" si="124"/>
        <v>0</v>
      </c>
      <c r="BE387" s="571">
        <f t="shared" si="128"/>
        <v>0</v>
      </c>
      <c r="BF387" s="586">
        <f t="shared" si="125"/>
        <v>0</v>
      </c>
      <c r="BG387" s="586" t="e">
        <f t="shared" si="126"/>
        <v>#DIV/0!</v>
      </c>
      <c r="BH387" s="571" t="e">
        <f t="shared" si="127"/>
        <v>#DIV/0!</v>
      </c>
    </row>
    <row r="388" spans="55:60" s="39" customFormat="1">
      <c r="BC388" s="573">
        <v>3.77</v>
      </c>
      <c r="BD388" s="571">
        <f t="shared" si="124"/>
        <v>0</v>
      </c>
      <c r="BE388" s="571">
        <f t="shared" si="128"/>
        <v>0</v>
      </c>
      <c r="BF388" s="586">
        <f t="shared" si="125"/>
        <v>0</v>
      </c>
      <c r="BG388" s="586" t="e">
        <f t="shared" si="126"/>
        <v>#DIV/0!</v>
      </c>
      <c r="BH388" s="571" t="e">
        <f t="shared" si="127"/>
        <v>#DIV/0!</v>
      </c>
    </row>
    <row r="389" spans="55:60" s="39" customFormat="1">
      <c r="BC389" s="573">
        <v>3.78</v>
      </c>
      <c r="BD389" s="571">
        <f t="shared" si="124"/>
        <v>0</v>
      </c>
      <c r="BE389" s="571">
        <f t="shared" si="128"/>
        <v>0</v>
      </c>
      <c r="BF389" s="586">
        <f t="shared" si="125"/>
        <v>0</v>
      </c>
      <c r="BG389" s="586" t="e">
        <f t="shared" si="126"/>
        <v>#DIV/0!</v>
      </c>
      <c r="BH389" s="571" t="e">
        <f t="shared" si="127"/>
        <v>#DIV/0!</v>
      </c>
    </row>
    <row r="390" spans="55:60" s="39" customFormat="1">
      <c r="BC390" s="573">
        <v>3.79</v>
      </c>
      <c r="BD390" s="571">
        <f t="shared" si="124"/>
        <v>0</v>
      </c>
      <c r="BE390" s="571">
        <f t="shared" si="128"/>
        <v>0</v>
      </c>
      <c r="BF390" s="586">
        <f t="shared" si="125"/>
        <v>0</v>
      </c>
      <c r="BG390" s="586" t="e">
        <f t="shared" si="126"/>
        <v>#DIV/0!</v>
      </c>
      <c r="BH390" s="571" t="e">
        <f t="shared" si="127"/>
        <v>#DIV/0!</v>
      </c>
    </row>
    <row r="391" spans="55:60" s="39" customFormat="1">
      <c r="BC391" s="573">
        <v>3.8</v>
      </c>
      <c r="BD391" s="571">
        <f t="shared" si="124"/>
        <v>0</v>
      </c>
      <c r="BE391" s="571">
        <f t="shared" si="128"/>
        <v>0</v>
      </c>
      <c r="BF391" s="586">
        <f t="shared" si="125"/>
        <v>0</v>
      </c>
      <c r="BG391" s="586" t="e">
        <f t="shared" si="126"/>
        <v>#DIV/0!</v>
      </c>
      <c r="BH391" s="571" t="e">
        <f t="shared" si="127"/>
        <v>#DIV/0!</v>
      </c>
    </row>
    <row r="392" spans="55:60" s="39" customFormat="1">
      <c r="BC392" s="573">
        <v>3.81</v>
      </c>
      <c r="BD392" s="571">
        <f t="shared" si="124"/>
        <v>0</v>
      </c>
      <c r="BE392" s="571">
        <f t="shared" si="128"/>
        <v>0</v>
      </c>
      <c r="BF392" s="586">
        <f t="shared" si="125"/>
        <v>0</v>
      </c>
      <c r="BG392" s="586" t="e">
        <f t="shared" si="126"/>
        <v>#DIV/0!</v>
      </c>
      <c r="BH392" s="571" t="e">
        <f t="shared" si="127"/>
        <v>#DIV/0!</v>
      </c>
    </row>
    <row r="393" spans="55:60" s="39" customFormat="1">
      <c r="BC393" s="573">
        <v>3.82</v>
      </c>
      <c r="BD393" s="571">
        <f t="shared" si="124"/>
        <v>0</v>
      </c>
      <c r="BE393" s="571">
        <f t="shared" si="128"/>
        <v>0</v>
      </c>
      <c r="BF393" s="586">
        <f t="shared" si="125"/>
        <v>0</v>
      </c>
      <c r="BG393" s="586" t="e">
        <f t="shared" si="126"/>
        <v>#DIV/0!</v>
      </c>
      <c r="BH393" s="571" t="e">
        <f t="shared" si="127"/>
        <v>#DIV/0!</v>
      </c>
    </row>
    <row r="394" spans="55:60" s="39" customFormat="1">
      <c r="BC394" s="573">
        <v>3.83</v>
      </c>
      <c r="BD394" s="571">
        <f t="shared" si="124"/>
        <v>0</v>
      </c>
      <c r="BE394" s="571">
        <f t="shared" si="128"/>
        <v>0</v>
      </c>
      <c r="BF394" s="586">
        <f t="shared" si="125"/>
        <v>0</v>
      </c>
      <c r="BG394" s="586" t="e">
        <f t="shared" si="126"/>
        <v>#DIV/0!</v>
      </c>
      <c r="BH394" s="571" t="e">
        <f t="shared" si="127"/>
        <v>#DIV/0!</v>
      </c>
    </row>
    <row r="395" spans="55:60" s="39" customFormat="1">
      <c r="BC395" s="573">
        <v>3.84</v>
      </c>
      <c r="BD395" s="571">
        <f t="shared" si="124"/>
        <v>0</v>
      </c>
      <c r="BE395" s="571">
        <f t="shared" si="128"/>
        <v>0</v>
      </c>
      <c r="BF395" s="586">
        <f t="shared" si="125"/>
        <v>0</v>
      </c>
      <c r="BG395" s="586" t="e">
        <f t="shared" si="126"/>
        <v>#DIV/0!</v>
      </c>
      <c r="BH395" s="571" t="e">
        <f t="shared" si="127"/>
        <v>#DIV/0!</v>
      </c>
    </row>
    <row r="396" spans="55:60" s="39" customFormat="1">
      <c r="BC396" s="573">
        <v>3.85</v>
      </c>
      <c r="BD396" s="571">
        <f t="shared" ref="BD396:BD459" si="129">$AU$15/BC396</f>
        <v>0</v>
      </c>
      <c r="BE396" s="571">
        <f t="shared" si="128"/>
        <v>0</v>
      </c>
      <c r="BF396" s="586">
        <f t="shared" ref="BF396:BF459" si="130">BC396*(BE396/1000)/$AO$12</f>
        <v>0</v>
      </c>
      <c r="BG396" s="586" t="e">
        <f t="shared" ref="BG396:BG459" si="131">POWER((1/(-1.8*LOG((6.9/BF396+POWER((($P$7/BE396)/3.71),1.11)),10))),2)</f>
        <v>#DIV/0!</v>
      </c>
      <c r="BH396" s="571" t="e">
        <f t="shared" ref="BH396:BH459" si="132">BG396*0.5*$P$6*16*$AU$15*$AU$15/(POWER(PI(),2)*POWER((BE396/1000),5))</f>
        <v>#DIV/0!</v>
      </c>
    </row>
    <row r="397" spans="55:60" s="39" customFormat="1">
      <c r="BC397" s="573">
        <v>3.86</v>
      </c>
      <c r="BD397" s="571">
        <f t="shared" si="129"/>
        <v>0</v>
      </c>
      <c r="BE397" s="571">
        <f t="shared" ref="BE397:BE460" si="133">((BD397/PI())^0.5)*2*1000</f>
        <v>0</v>
      </c>
      <c r="BF397" s="586">
        <f t="shared" si="130"/>
        <v>0</v>
      </c>
      <c r="BG397" s="586" t="e">
        <f t="shared" si="131"/>
        <v>#DIV/0!</v>
      </c>
      <c r="BH397" s="571" t="e">
        <f t="shared" si="132"/>
        <v>#DIV/0!</v>
      </c>
    </row>
    <row r="398" spans="55:60" s="39" customFormat="1">
      <c r="BC398" s="573">
        <v>3.87</v>
      </c>
      <c r="BD398" s="571">
        <f t="shared" si="129"/>
        <v>0</v>
      </c>
      <c r="BE398" s="571">
        <f t="shared" si="133"/>
        <v>0</v>
      </c>
      <c r="BF398" s="586">
        <f t="shared" si="130"/>
        <v>0</v>
      </c>
      <c r="BG398" s="586" t="e">
        <f t="shared" si="131"/>
        <v>#DIV/0!</v>
      </c>
      <c r="BH398" s="571" t="e">
        <f t="shared" si="132"/>
        <v>#DIV/0!</v>
      </c>
    </row>
    <row r="399" spans="55:60" s="39" customFormat="1">
      <c r="BC399" s="573">
        <v>3.88</v>
      </c>
      <c r="BD399" s="571">
        <f t="shared" si="129"/>
        <v>0</v>
      </c>
      <c r="BE399" s="571">
        <f t="shared" si="133"/>
        <v>0</v>
      </c>
      <c r="BF399" s="586">
        <f t="shared" si="130"/>
        <v>0</v>
      </c>
      <c r="BG399" s="586" t="e">
        <f t="shared" si="131"/>
        <v>#DIV/0!</v>
      </c>
      <c r="BH399" s="571" t="e">
        <f t="shared" si="132"/>
        <v>#DIV/0!</v>
      </c>
    </row>
    <row r="400" spans="55:60" s="39" customFormat="1">
      <c r="BC400" s="573">
        <v>3.89</v>
      </c>
      <c r="BD400" s="571">
        <f t="shared" si="129"/>
        <v>0</v>
      </c>
      <c r="BE400" s="571">
        <f t="shared" si="133"/>
        <v>0</v>
      </c>
      <c r="BF400" s="586">
        <f t="shared" si="130"/>
        <v>0</v>
      </c>
      <c r="BG400" s="586" t="e">
        <f t="shared" si="131"/>
        <v>#DIV/0!</v>
      </c>
      <c r="BH400" s="571" t="e">
        <f t="shared" si="132"/>
        <v>#DIV/0!</v>
      </c>
    </row>
    <row r="401" spans="55:60" s="39" customFormat="1">
      <c r="BC401" s="573">
        <v>3.9</v>
      </c>
      <c r="BD401" s="571">
        <f t="shared" si="129"/>
        <v>0</v>
      </c>
      <c r="BE401" s="571">
        <f t="shared" si="133"/>
        <v>0</v>
      </c>
      <c r="BF401" s="586">
        <f t="shared" si="130"/>
        <v>0</v>
      </c>
      <c r="BG401" s="586" t="e">
        <f t="shared" si="131"/>
        <v>#DIV/0!</v>
      </c>
      <c r="BH401" s="571" t="e">
        <f t="shared" si="132"/>
        <v>#DIV/0!</v>
      </c>
    </row>
    <row r="402" spans="55:60" s="39" customFormat="1">
      <c r="BC402" s="573">
        <v>3.91</v>
      </c>
      <c r="BD402" s="571">
        <f t="shared" si="129"/>
        <v>0</v>
      </c>
      <c r="BE402" s="571">
        <f t="shared" si="133"/>
        <v>0</v>
      </c>
      <c r="BF402" s="586">
        <f t="shared" si="130"/>
        <v>0</v>
      </c>
      <c r="BG402" s="586" t="e">
        <f t="shared" si="131"/>
        <v>#DIV/0!</v>
      </c>
      <c r="BH402" s="571" t="e">
        <f t="shared" si="132"/>
        <v>#DIV/0!</v>
      </c>
    </row>
    <row r="403" spans="55:60" s="39" customFormat="1">
      <c r="BC403" s="573">
        <v>3.92</v>
      </c>
      <c r="BD403" s="571">
        <f t="shared" si="129"/>
        <v>0</v>
      </c>
      <c r="BE403" s="571">
        <f t="shared" si="133"/>
        <v>0</v>
      </c>
      <c r="BF403" s="586">
        <f t="shared" si="130"/>
        <v>0</v>
      </c>
      <c r="BG403" s="586" t="e">
        <f t="shared" si="131"/>
        <v>#DIV/0!</v>
      </c>
      <c r="BH403" s="571" t="e">
        <f t="shared" si="132"/>
        <v>#DIV/0!</v>
      </c>
    </row>
    <row r="404" spans="55:60" s="39" customFormat="1">
      <c r="BC404" s="573">
        <v>3.93</v>
      </c>
      <c r="BD404" s="571">
        <f t="shared" si="129"/>
        <v>0</v>
      </c>
      <c r="BE404" s="571">
        <f t="shared" si="133"/>
        <v>0</v>
      </c>
      <c r="BF404" s="586">
        <f t="shared" si="130"/>
        <v>0</v>
      </c>
      <c r="BG404" s="586" t="e">
        <f t="shared" si="131"/>
        <v>#DIV/0!</v>
      </c>
      <c r="BH404" s="571" t="e">
        <f t="shared" si="132"/>
        <v>#DIV/0!</v>
      </c>
    </row>
    <row r="405" spans="55:60" s="39" customFormat="1">
      <c r="BC405" s="573">
        <v>3.94</v>
      </c>
      <c r="BD405" s="571">
        <f t="shared" si="129"/>
        <v>0</v>
      </c>
      <c r="BE405" s="571">
        <f t="shared" si="133"/>
        <v>0</v>
      </c>
      <c r="BF405" s="586">
        <f t="shared" si="130"/>
        <v>0</v>
      </c>
      <c r="BG405" s="586" t="e">
        <f t="shared" si="131"/>
        <v>#DIV/0!</v>
      </c>
      <c r="BH405" s="571" t="e">
        <f t="shared" si="132"/>
        <v>#DIV/0!</v>
      </c>
    </row>
    <row r="406" spans="55:60" s="39" customFormat="1">
      <c r="BC406" s="573">
        <v>3.95</v>
      </c>
      <c r="BD406" s="571">
        <f t="shared" si="129"/>
        <v>0</v>
      </c>
      <c r="BE406" s="571">
        <f t="shared" si="133"/>
        <v>0</v>
      </c>
      <c r="BF406" s="586">
        <f t="shared" si="130"/>
        <v>0</v>
      </c>
      <c r="BG406" s="586" t="e">
        <f t="shared" si="131"/>
        <v>#DIV/0!</v>
      </c>
      <c r="BH406" s="571" t="e">
        <f t="shared" si="132"/>
        <v>#DIV/0!</v>
      </c>
    </row>
    <row r="407" spans="55:60" s="39" customFormat="1">
      <c r="BC407" s="573">
        <v>3.96</v>
      </c>
      <c r="BD407" s="571">
        <f t="shared" si="129"/>
        <v>0</v>
      </c>
      <c r="BE407" s="571">
        <f t="shared" si="133"/>
        <v>0</v>
      </c>
      <c r="BF407" s="586">
        <f t="shared" si="130"/>
        <v>0</v>
      </c>
      <c r="BG407" s="586" t="e">
        <f t="shared" si="131"/>
        <v>#DIV/0!</v>
      </c>
      <c r="BH407" s="571" t="e">
        <f t="shared" si="132"/>
        <v>#DIV/0!</v>
      </c>
    </row>
    <row r="408" spans="55:60" s="39" customFormat="1">
      <c r="BC408" s="573">
        <v>3.97</v>
      </c>
      <c r="BD408" s="571">
        <f t="shared" si="129"/>
        <v>0</v>
      </c>
      <c r="BE408" s="571">
        <f t="shared" si="133"/>
        <v>0</v>
      </c>
      <c r="BF408" s="586">
        <f t="shared" si="130"/>
        <v>0</v>
      </c>
      <c r="BG408" s="586" t="e">
        <f t="shared" si="131"/>
        <v>#DIV/0!</v>
      </c>
      <c r="BH408" s="571" t="e">
        <f t="shared" si="132"/>
        <v>#DIV/0!</v>
      </c>
    </row>
    <row r="409" spans="55:60" s="39" customFormat="1">
      <c r="BC409" s="573">
        <v>3.98</v>
      </c>
      <c r="BD409" s="571">
        <f t="shared" si="129"/>
        <v>0</v>
      </c>
      <c r="BE409" s="571">
        <f t="shared" si="133"/>
        <v>0</v>
      </c>
      <c r="BF409" s="586">
        <f t="shared" si="130"/>
        <v>0</v>
      </c>
      <c r="BG409" s="586" t="e">
        <f t="shared" si="131"/>
        <v>#DIV/0!</v>
      </c>
      <c r="BH409" s="571" t="e">
        <f t="shared" si="132"/>
        <v>#DIV/0!</v>
      </c>
    </row>
    <row r="410" spans="55:60" s="39" customFormat="1">
      <c r="BC410" s="573">
        <v>3.99</v>
      </c>
      <c r="BD410" s="571">
        <f t="shared" si="129"/>
        <v>0</v>
      </c>
      <c r="BE410" s="571">
        <f t="shared" si="133"/>
        <v>0</v>
      </c>
      <c r="BF410" s="586">
        <f t="shared" si="130"/>
        <v>0</v>
      </c>
      <c r="BG410" s="586" t="e">
        <f t="shared" si="131"/>
        <v>#DIV/0!</v>
      </c>
      <c r="BH410" s="571" t="e">
        <f t="shared" si="132"/>
        <v>#DIV/0!</v>
      </c>
    </row>
    <row r="411" spans="55:60" s="39" customFormat="1">
      <c r="BC411" s="573">
        <v>4</v>
      </c>
      <c r="BD411" s="571">
        <f t="shared" si="129"/>
        <v>0</v>
      </c>
      <c r="BE411" s="571">
        <f t="shared" si="133"/>
        <v>0</v>
      </c>
      <c r="BF411" s="586">
        <f t="shared" si="130"/>
        <v>0</v>
      </c>
      <c r="BG411" s="586" t="e">
        <f t="shared" si="131"/>
        <v>#DIV/0!</v>
      </c>
      <c r="BH411" s="571" t="e">
        <f t="shared" si="132"/>
        <v>#DIV/0!</v>
      </c>
    </row>
    <row r="412" spans="55:60" s="39" customFormat="1">
      <c r="BC412" s="573">
        <v>4.01</v>
      </c>
      <c r="BD412" s="571">
        <f t="shared" si="129"/>
        <v>0</v>
      </c>
      <c r="BE412" s="571">
        <f t="shared" si="133"/>
        <v>0</v>
      </c>
      <c r="BF412" s="586">
        <f t="shared" si="130"/>
        <v>0</v>
      </c>
      <c r="BG412" s="586" t="e">
        <f t="shared" si="131"/>
        <v>#DIV/0!</v>
      </c>
      <c r="BH412" s="571" t="e">
        <f t="shared" si="132"/>
        <v>#DIV/0!</v>
      </c>
    </row>
    <row r="413" spans="55:60" s="39" customFormat="1">
      <c r="BC413" s="573">
        <v>4.0199999999999996</v>
      </c>
      <c r="BD413" s="571">
        <f t="shared" si="129"/>
        <v>0</v>
      </c>
      <c r="BE413" s="571">
        <f t="shared" si="133"/>
        <v>0</v>
      </c>
      <c r="BF413" s="586">
        <f t="shared" si="130"/>
        <v>0</v>
      </c>
      <c r="BG413" s="586" t="e">
        <f t="shared" si="131"/>
        <v>#DIV/0!</v>
      </c>
      <c r="BH413" s="571" t="e">
        <f t="shared" si="132"/>
        <v>#DIV/0!</v>
      </c>
    </row>
    <row r="414" spans="55:60" s="39" customFormat="1">
      <c r="BC414" s="573">
        <v>4.03</v>
      </c>
      <c r="BD414" s="571">
        <f t="shared" si="129"/>
        <v>0</v>
      </c>
      <c r="BE414" s="571">
        <f t="shared" si="133"/>
        <v>0</v>
      </c>
      <c r="BF414" s="586">
        <f t="shared" si="130"/>
        <v>0</v>
      </c>
      <c r="BG414" s="586" t="e">
        <f t="shared" si="131"/>
        <v>#DIV/0!</v>
      </c>
      <c r="BH414" s="571" t="e">
        <f t="shared" si="132"/>
        <v>#DIV/0!</v>
      </c>
    </row>
    <row r="415" spans="55:60" s="39" customFormat="1">
      <c r="BC415" s="573">
        <v>4.04</v>
      </c>
      <c r="BD415" s="571">
        <f t="shared" si="129"/>
        <v>0</v>
      </c>
      <c r="BE415" s="571">
        <f t="shared" si="133"/>
        <v>0</v>
      </c>
      <c r="BF415" s="586">
        <f t="shared" si="130"/>
        <v>0</v>
      </c>
      <c r="BG415" s="586" t="e">
        <f t="shared" si="131"/>
        <v>#DIV/0!</v>
      </c>
      <c r="BH415" s="571" t="e">
        <f t="shared" si="132"/>
        <v>#DIV/0!</v>
      </c>
    </row>
    <row r="416" spans="55:60" s="39" customFormat="1">
      <c r="BC416" s="573">
        <v>4.05</v>
      </c>
      <c r="BD416" s="571">
        <f t="shared" si="129"/>
        <v>0</v>
      </c>
      <c r="BE416" s="571">
        <f t="shared" si="133"/>
        <v>0</v>
      </c>
      <c r="BF416" s="586">
        <f t="shared" si="130"/>
        <v>0</v>
      </c>
      <c r="BG416" s="586" t="e">
        <f t="shared" si="131"/>
        <v>#DIV/0!</v>
      </c>
      <c r="BH416" s="571" t="e">
        <f t="shared" si="132"/>
        <v>#DIV/0!</v>
      </c>
    </row>
    <row r="417" spans="55:60" s="39" customFormat="1">
      <c r="BC417" s="573">
        <v>4.0599999999999996</v>
      </c>
      <c r="BD417" s="571">
        <f t="shared" si="129"/>
        <v>0</v>
      </c>
      <c r="BE417" s="571">
        <f t="shared" si="133"/>
        <v>0</v>
      </c>
      <c r="BF417" s="586">
        <f t="shared" si="130"/>
        <v>0</v>
      </c>
      <c r="BG417" s="586" t="e">
        <f t="shared" si="131"/>
        <v>#DIV/0!</v>
      </c>
      <c r="BH417" s="571" t="e">
        <f t="shared" si="132"/>
        <v>#DIV/0!</v>
      </c>
    </row>
    <row r="418" spans="55:60" s="39" customFormat="1">
      <c r="BC418" s="573">
        <v>4.07</v>
      </c>
      <c r="BD418" s="571">
        <f t="shared" si="129"/>
        <v>0</v>
      </c>
      <c r="BE418" s="571">
        <f t="shared" si="133"/>
        <v>0</v>
      </c>
      <c r="BF418" s="586">
        <f t="shared" si="130"/>
        <v>0</v>
      </c>
      <c r="BG418" s="586" t="e">
        <f t="shared" si="131"/>
        <v>#DIV/0!</v>
      </c>
      <c r="BH418" s="571" t="e">
        <f t="shared" si="132"/>
        <v>#DIV/0!</v>
      </c>
    </row>
    <row r="419" spans="55:60" s="39" customFormat="1">
      <c r="BC419" s="573">
        <v>4.08</v>
      </c>
      <c r="BD419" s="571">
        <f t="shared" si="129"/>
        <v>0</v>
      </c>
      <c r="BE419" s="571">
        <f t="shared" si="133"/>
        <v>0</v>
      </c>
      <c r="BF419" s="586">
        <f t="shared" si="130"/>
        <v>0</v>
      </c>
      <c r="BG419" s="586" t="e">
        <f t="shared" si="131"/>
        <v>#DIV/0!</v>
      </c>
      <c r="BH419" s="571" t="e">
        <f t="shared" si="132"/>
        <v>#DIV/0!</v>
      </c>
    </row>
    <row r="420" spans="55:60" s="39" customFormat="1">
      <c r="BC420" s="573">
        <v>4.09</v>
      </c>
      <c r="BD420" s="571">
        <f t="shared" si="129"/>
        <v>0</v>
      </c>
      <c r="BE420" s="571">
        <f t="shared" si="133"/>
        <v>0</v>
      </c>
      <c r="BF420" s="586">
        <f t="shared" si="130"/>
        <v>0</v>
      </c>
      <c r="BG420" s="586" t="e">
        <f t="shared" si="131"/>
        <v>#DIV/0!</v>
      </c>
      <c r="BH420" s="571" t="e">
        <f t="shared" si="132"/>
        <v>#DIV/0!</v>
      </c>
    </row>
    <row r="421" spans="55:60" s="39" customFormat="1">
      <c r="BC421" s="573">
        <v>4.0999999999999996</v>
      </c>
      <c r="BD421" s="571">
        <f t="shared" si="129"/>
        <v>0</v>
      </c>
      <c r="BE421" s="571">
        <f t="shared" si="133"/>
        <v>0</v>
      </c>
      <c r="BF421" s="586">
        <f t="shared" si="130"/>
        <v>0</v>
      </c>
      <c r="BG421" s="586" t="e">
        <f t="shared" si="131"/>
        <v>#DIV/0!</v>
      </c>
      <c r="BH421" s="571" t="e">
        <f t="shared" si="132"/>
        <v>#DIV/0!</v>
      </c>
    </row>
    <row r="422" spans="55:60" s="39" customFormat="1">
      <c r="BC422" s="573">
        <v>4.1100000000000003</v>
      </c>
      <c r="BD422" s="571">
        <f t="shared" si="129"/>
        <v>0</v>
      </c>
      <c r="BE422" s="571">
        <f t="shared" si="133"/>
        <v>0</v>
      </c>
      <c r="BF422" s="586">
        <f t="shared" si="130"/>
        <v>0</v>
      </c>
      <c r="BG422" s="586" t="e">
        <f t="shared" si="131"/>
        <v>#DIV/0!</v>
      </c>
      <c r="BH422" s="571" t="e">
        <f t="shared" si="132"/>
        <v>#DIV/0!</v>
      </c>
    </row>
    <row r="423" spans="55:60" s="39" customFormat="1">
      <c r="BC423" s="573">
        <v>4.12</v>
      </c>
      <c r="BD423" s="571">
        <f t="shared" si="129"/>
        <v>0</v>
      </c>
      <c r="BE423" s="571">
        <f t="shared" si="133"/>
        <v>0</v>
      </c>
      <c r="BF423" s="586">
        <f t="shared" si="130"/>
        <v>0</v>
      </c>
      <c r="BG423" s="586" t="e">
        <f t="shared" si="131"/>
        <v>#DIV/0!</v>
      </c>
      <c r="BH423" s="571" t="e">
        <f t="shared" si="132"/>
        <v>#DIV/0!</v>
      </c>
    </row>
    <row r="424" spans="55:60" s="39" customFormat="1">
      <c r="BC424" s="573">
        <v>4.13</v>
      </c>
      <c r="BD424" s="571">
        <f t="shared" si="129"/>
        <v>0</v>
      </c>
      <c r="BE424" s="571">
        <f t="shared" si="133"/>
        <v>0</v>
      </c>
      <c r="BF424" s="586">
        <f t="shared" si="130"/>
        <v>0</v>
      </c>
      <c r="BG424" s="586" t="e">
        <f t="shared" si="131"/>
        <v>#DIV/0!</v>
      </c>
      <c r="BH424" s="571" t="e">
        <f t="shared" si="132"/>
        <v>#DIV/0!</v>
      </c>
    </row>
    <row r="425" spans="55:60" s="39" customFormat="1">
      <c r="BC425" s="573">
        <v>4.1399999999999997</v>
      </c>
      <c r="BD425" s="571">
        <f t="shared" si="129"/>
        <v>0</v>
      </c>
      <c r="BE425" s="571">
        <f t="shared" si="133"/>
        <v>0</v>
      </c>
      <c r="BF425" s="586">
        <f t="shared" si="130"/>
        <v>0</v>
      </c>
      <c r="BG425" s="586" t="e">
        <f t="shared" si="131"/>
        <v>#DIV/0!</v>
      </c>
      <c r="BH425" s="571" t="e">
        <f t="shared" si="132"/>
        <v>#DIV/0!</v>
      </c>
    </row>
    <row r="426" spans="55:60" s="39" customFormat="1">
      <c r="BC426" s="573">
        <v>4.1500000000000004</v>
      </c>
      <c r="BD426" s="571">
        <f t="shared" si="129"/>
        <v>0</v>
      </c>
      <c r="BE426" s="571">
        <f t="shared" si="133"/>
        <v>0</v>
      </c>
      <c r="BF426" s="586">
        <f t="shared" si="130"/>
        <v>0</v>
      </c>
      <c r="BG426" s="586" t="e">
        <f t="shared" si="131"/>
        <v>#DIV/0!</v>
      </c>
      <c r="BH426" s="571" t="e">
        <f t="shared" si="132"/>
        <v>#DIV/0!</v>
      </c>
    </row>
    <row r="427" spans="55:60" s="39" customFormat="1">
      <c r="BC427" s="573">
        <v>4.16</v>
      </c>
      <c r="BD427" s="571">
        <f t="shared" si="129"/>
        <v>0</v>
      </c>
      <c r="BE427" s="571">
        <f t="shared" si="133"/>
        <v>0</v>
      </c>
      <c r="BF427" s="586">
        <f t="shared" si="130"/>
        <v>0</v>
      </c>
      <c r="BG427" s="586" t="e">
        <f t="shared" si="131"/>
        <v>#DIV/0!</v>
      </c>
      <c r="BH427" s="571" t="e">
        <f t="shared" si="132"/>
        <v>#DIV/0!</v>
      </c>
    </row>
    <row r="428" spans="55:60" s="39" customFormat="1">
      <c r="BC428" s="573">
        <v>4.17</v>
      </c>
      <c r="BD428" s="571">
        <f t="shared" si="129"/>
        <v>0</v>
      </c>
      <c r="BE428" s="571">
        <f t="shared" si="133"/>
        <v>0</v>
      </c>
      <c r="BF428" s="586">
        <f t="shared" si="130"/>
        <v>0</v>
      </c>
      <c r="BG428" s="586" t="e">
        <f t="shared" si="131"/>
        <v>#DIV/0!</v>
      </c>
      <c r="BH428" s="571" t="e">
        <f t="shared" si="132"/>
        <v>#DIV/0!</v>
      </c>
    </row>
    <row r="429" spans="55:60" s="39" customFormat="1">
      <c r="BC429" s="573">
        <v>4.18</v>
      </c>
      <c r="BD429" s="571">
        <f t="shared" si="129"/>
        <v>0</v>
      </c>
      <c r="BE429" s="571">
        <f t="shared" si="133"/>
        <v>0</v>
      </c>
      <c r="BF429" s="586">
        <f t="shared" si="130"/>
        <v>0</v>
      </c>
      <c r="BG429" s="586" t="e">
        <f t="shared" si="131"/>
        <v>#DIV/0!</v>
      </c>
      <c r="BH429" s="571" t="e">
        <f t="shared" si="132"/>
        <v>#DIV/0!</v>
      </c>
    </row>
    <row r="430" spans="55:60" s="39" customFormat="1">
      <c r="BC430" s="573">
        <v>4.1900000000000004</v>
      </c>
      <c r="BD430" s="571">
        <f t="shared" si="129"/>
        <v>0</v>
      </c>
      <c r="BE430" s="571">
        <f t="shared" si="133"/>
        <v>0</v>
      </c>
      <c r="BF430" s="586">
        <f t="shared" si="130"/>
        <v>0</v>
      </c>
      <c r="BG430" s="586" t="e">
        <f t="shared" si="131"/>
        <v>#DIV/0!</v>
      </c>
      <c r="BH430" s="571" t="e">
        <f t="shared" si="132"/>
        <v>#DIV/0!</v>
      </c>
    </row>
    <row r="431" spans="55:60" s="39" customFormat="1">
      <c r="BC431" s="573">
        <v>4.2</v>
      </c>
      <c r="BD431" s="571">
        <f t="shared" si="129"/>
        <v>0</v>
      </c>
      <c r="BE431" s="571">
        <f t="shared" si="133"/>
        <v>0</v>
      </c>
      <c r="BF431" s="586">
        <f t="shared" si="130"/>
        <v>0</v>
      </c>
      <c r="BG431" s="586" t="e">
        <f t="shared" si="131"/>
        <v>#DIV/0!</v>
      </c>
      <c r="BH431" s="571" t="e">
        <f t="shared" si="132"/>
        <v>#DIV/0!</v>
      </c>
    </row>
    <row r="432" spans="55:60" s="39" customFormat="1">
      <c r="BC432" s="573">
        <v>4.21</v>
      </c>
      <c r="BD432" s="571">
        <f t="shared" si="129"/>
        <v>0</v>
      </c>
      <c r="BE432" s="571">
        <f t="shared" si="133"/>
        <v>0</v>
      </c>
      <c r="BF432" s="586">
        <f t="shared" si="130"/>
        <v>0</v>
      </c>
      <c r="BG432" s="586" t="e">
        <f t="shared" si="131"/>
        <v>#DIV/0!</v>
      </c>
      <c r="BH432" s="571" t="e">
        <f t="shared" si="132"/>
        <v>#DIV/0!</v>
      </c>
    </row>
    <row r="433" spans="55:60" s="39" customFormat="1">
      <c r="BC433" s="573">
        <v>4.22</v>
      </c>
      <c r="BD433" s="571">
        <f t="shared" si="129"/>
        <v>0</v>
      </c>
      <c r="BE433" s="571">
        <f t="shared" si="133"/>
        <v>0</v>
      </c>
      <c r="BF433" s="586">
        <f t="shared" si="130"/>
        <v>0</v>
      </c>
      <c r="BG433" s="586" t="e">
        <f t="shared" si="131"/>
        <v>#DIV/0!</v>
      </c>
      <c r="BH433" s="571" t="e">
        <f t="shared" si="132"/>
        <v>#DIV/0!</v>
      </c>
    </row>
    <row r="434" spans="55:60" s="39" customFormat="1">
      <c r="BC434" s="573">
        <v>4.2300000000000004</v>
      </c>
      <c r="BD434" s="571">
        <f t="shared" si="129"/>
        <v>0</v>
      </c>
      <c r="BE434" s="571">
        <f t="shared" si="133"/>
        <v>0</v>
      </c>
      <c r="BF434" s="586">
        <f t="shared" si="130"/>
        <v>0</v>
      </c>
      <c r="BG434" s="586" t="e">
        <f t="shared" si="131"/>
        <v>#DIV/0!</v>
      </c>
      <c r="BH434" s="571" t="e">
        <f t="shared" si="132"/>
        <v>#DIV/0!</v>
      </c>
    </row>
    <row r="435" spans="55:60" s="39" customFormat="1">
      <c r="BC435" s="573">
        <v>4.24</v>
      </c>
      <c r="BD435" s="571">
        <f t="shared" si="129"/>
        <v>0</v>
      </c>
      <c r="BE435" s="571">
        <f t="shared" si="133"/>
        <v>0</v>
      </c>
      <c r="BF435" s="586">
        <f t="shared" si="130"/>
        <v>0</v>
      </c>
      <c r="BG435" s="586" t="e">
        <f t="shared" si="131"/>
        <v>#DIV/0!</v>
      </c>
      <c r="BH435" s="571" t="e">
        <f t="shared" si="132"/>
        <v>#DIV/0!</v>
      </c>
    </row>
    <row r="436" spans="55:60" s="39" customFormat="1">
      <c r="BC436" s="573">
        <v>4.25</v>
      </c>
      <c r="BD436" s="571">
        <f t="shared" si="129"/>
        <v>0</v>
      </c>
      <c r="BE436" s="571">
        <f t="shared" si="133"/>
        <v>0</v>
      </c>
      <c r="BF436" s="586">
        <f t="shared" si="130"/>
        <v>0</v>
      </c>
      <c r="BG436" s="586" t="e">
        <f t="shared" si="131"/>
        <v>#DIV/0!</v>
      </c>
      <c r="BH436" s="571" t="e">
        <f t="shared" si="132"/>
        <v>#DIV/0!</v>
      </c>
    </row>
    <row r="437" spans="55:60" s="39" customFormat="1">
      <c r="BC437" s="573">
        <v>4.26</v>
      </c>
      <c r="BD437" s="571">
        <f t="shared" si="129"/>
        <v>0</v>
      </c>
      <c r="BE437" s="571">
        <f t="shared" si="133"/>
        <v>0</v>
      </c>
      <c r="BF437" s="586">
        <f t="shared" si="130"/>
        <v>0</v>
      </c>
      <c r="BG437" s="586" t="e">
        <f t="shared" si="131"/>
        <v>#DIV/0!</v>
      </c>
      <c r="BH437" s="571" t="e">
        <f t="shared" si="132"/>
        <v>#DIV/0!</v>
      </c>
    </row>
    <row r="438" spans="55:60" s="39" customFormat="1">
      <c r="BC438" s="573">
        <v>4.2699999999999996</v>
      </c>
      <c r="BD438" s="571">
        <f t="shared" si="129"/>
        <v>0</v>
      </c>
      <c r="BE438" s="571">
        <f t="shared" si="133"/>
        <v>0</v>
      </c>
      <c r="BF438" s="586">
        <f t="shared" si="130"/>
        <v>0</v>
      </c>
      <c r="BG438" s="586" t="e">
        <f t="shared" si="131"/>
        <v>#DIV/0!</v>
      </c>
      <c r="BH438" s="571" t="e">
        <f t="shared" si="132"/>
        <v>#DIV/0!</v>
      </c>
    </row>
    <row r="439" spans="55:60" s="39" customFormat="1">
      <c r="BC439" s="573">
        <v>4.28</v>
      </c>
      <c r="BD439" s="571">
        <f t="shared" si="129"/>
        <v>0</v>
      </c>
      <c r="BE439" s="571">
        <f t="shared" si="133"/>
        <v>0</v>
      </c>
      <c r="BF439" s="586">
        <f t="shared" si="130"/>
        <v>0</v>
      </c>
      <c r="BG439" s="586" t="e">
        <f t="shared" si="131"/>
        <v>#DIV/0!</v>
      </c>
      <c r="BH439" s="571" t="e">
        <f t="shared" si="132"/>
        <v>#DIV/0!</v>
      </c>
    </row>
    <row r="440" spans="55:60" s="39" customFormat="1">
      <c r="BC440" s="573">
        <v>4.29</v>
      </c>
      <c r="BD440" s="571">
        <f t="shared" si="129"/>
        <v>0</v>
      </c>
      <c r="BE440" s="571">
        <f t="shared" si="133"/>
        <v>0</v>
      </c>
      <c r="BF440" s="586">
        <f t="shared" si="130"/>
        <v>0</v>
      </c>
      <c r="BG440" s="586" t="e">
        <f t="shared" si="131"/>
        <v>#DIV/0!</v>
      </c>
      <c r="BH440" s="571" t="e">
        <f t="shared" si="132"/>
        <v>#DIV/0!</v>
      </c>
    </row>
    <row r="441" spans="55:60" s="39" customFormat="1">
      <c r="BC441" s="573">
        <v>4.3</v>
      </c>
      <c r="BD441" s="571">
        <f t="shared" si="129"/>
        <v>0</v>
      </c>
      <c r="BE441" s="571">
        <f t="shared" si="133"/>
        <v>0</v>
      </c>
      <c r="BF441" s="586">
        <f t="shared" si="130"/>
        <v>0</v>
      </c>
      <c r="BG441" s="586" t="e">
        <f t="shared" si="131"/>
        <v>#DIV/0!</v>
      </c>
      <c r="BH441" s="571" t="e">
        <f t="shared" si="132"/>
        <v>#DIV/0!</v>
      </c>
    </row>
    <row r="442" spans="55:60" s="39" customFormat="1">
      <c r="BC442" s="573">
        <v>4.3099999999999996</v>
      </c>
      <c r="BD442" s="571">
        <f t="shared" si="129"/>
        <v>0</v>
      </c>
      <c r="BE442" s="571">
        <f t="shared" si="133"/>
        <v>0</v>
      </c>
      <c r="BF442" s="586">
        <f t="shared" si="130"/>
        <v>0</v>
      </c>
      <c r="BG442" s="586" t="e">
        <f t="shared" si="131"/>
        <v>#DIV/0!</v>
      </c>
      <c r="BH442" s="571" t="e">
        <f t="shared" si="132"/>
        <v>#DIV/0!</v>
      </c>
    </row>
    <row r="443" spans="55:60" s="39" customFormat="1">
      <c r="BC443" s="573">
        <v>4.32</v>
      </c>
      <c r="BD443" s="571">
        <f t="shared" si="129"/>
        <v>0</v>
      </c>
      <c r="BE443" s="571">
        <f t="shared" si="133"/>
        <v>0</v>
      </c>
      <c r="BF443" s="586">
        <f t="shared" si="130"/>
        <v>0</v>
      </c>
      <c r="BG443" s="586" t="e">
        <f t="shared" si="131"/>
        <v>#DIV/0!</v>
      </c>
      <c r="BH443" s="571" t="e">
        <f t="shared" si="132"/>
        <v>#DIV/0!</v>
      </c>
    </row>
    <row r="444" spans="55:60" s="39" customFormat="1">
      <c r="BC444" s="573">
        <v>4.33</v>
      </c>
      <c r="BD444" s="571">
        <f t="shared" si="129"/>
        <v>0</v>
      </c>
      <c r="BE444" s="571">
        <f t="shared" si="133"/>
        <v>0</v>
      </c>
      <c r="BF444" s="586">
        <f t="shared" si="130"/>
        <v>0</v>
      </c>
      <c r="BG444" s="586" t="e">
        <f t="shared" si="131"/>
        <v>#DIV/0!</v>
      </c>
      <c r="BH444" s="571" t="e">
        <f t="shared" si="132"/>
        <v>#DIV/0!</v>
      </c>
    </row>
    <row r="445" spans="55:60" s="39" customFormat="1">
      <c r="BC445" s="573">
        <v>4.34</v>
      </c>
      <c r="BD445" s="571">
        <f t="shared" si="129"/>
        <v>0</v>
      </c>
      <c r="BE445" s="571">
        <f t="shared" si="133"/>
        <v>0</v>
      </c>
      <c r="BF445" s="586">
        <f t="shared" si="130"/>
        <v>0</v>
      </c>
      <c r="BG445" s="586" t="e">
        <f t="shared" si="131"/>
        <v>#DIV/0!</v>
      </c>
      <c r="BH445" s="571" t="e">
        <f t="shared" si="132"/>
        <v>#DIV/0!</v>
      </c>
    </row>
    <row r="446" spans="55:60" s="39" customFormat="1">
      <c r="BC446" s="573">
        <v>4.3499999999999996</v>
      </c>
      <c r="BD446" s="571">
        <f t="shared" si="129"/>
        <v>0</v>
      </c>
      <c r="BE446" s="571">
        <f t="shared" si="133"/>
        <v>0</v>
      </c>
      <c r="BF446" s="586">
        <f t="shared" si="130"/>
        <v>0</v>
      </c>
      <c r="BG446" s="586" t="e">
        <f t="shared" si="131"/>
        <v>#DIV/0!</v>
      </c>
      <c r="BH446" s="571" t="e">
        <f t="shared" si="132"/>
        <v>#DIV/0!</v>
      </c>
    </row>
    <row r="447" spans="55:60" s="39" customFormat="1">
      <c r="BC447" s="573">
        <v>4.3600000000000003</v>
      </c>
      <c r="BD447" s="571">
        <f t="shared" si="129"/>
        <v>0</v>
      </c>
      <c r="BE447" s="571">
        <f t="shared" si="133"/>
        <v>0</v>
      </c>
      <c r="BF447" s="586">
        <f t="shared" si="130"/>
        <v>0</v>
      </c>
      <c r="BG447" s="586" t="e">
        <f t="shared" si="131"/>
        <v>#DIV/0!</v>
      </c>
      <c r="BH447" s="571" t="e">
        <f t="shared" si="132"/>
        <v>#DIV/0!</v>
      </c>
    </row>
    <row r="448" spans="55:60" s="39" customFormat="1">
      <c r="BC448" s="573">
        <v>4.37</v>
      </c>
      <c r="BD448" s="571">
        <f t="shared" si="129"/>
        <v>0</v>
      </c>
      <c r="BE448" s="571">
        <f t="shared" si="133"/>
        <v>0</v>
      </c>
      <c r="BF448" s="586">
        <f t="shared" si="130"/>
        <v>0</v>
      </c>
      <c r="BG448" s="586" t="e">
        <f t="shared" si="131"/>
        <v>#DIV/0!</v>
      </c>
      <c r="BH448" s="571" t="e">
        <f t="shared" si="132"/>
        <v>#DIV/0!</v>
      </c>
    </row>
    <row r="449" spans="55:60" s="39" customFormat="1">
      <c r="BC449" s="573">
        <v>4.38</v>
      </c>
      <c r="BD449" s="571">
        <f t="shared" si="129"/>
        <v>0</v>
      </c>
      <c r="BE449" s="571">
        <f t="shared" si="133"/>
        <v>0</v>
      </c>
      <c r="BF449" s="586">
        <f t="shared" si="130"/>
        <v>0</v>
      </c>
      <c r="BG449" s="586" t="e">
        <f t="shared" si="131"/>
        <v>#DIV/0!</v>
      </c>
      <c r="BH449" s="571" t="e">
        <f t="shared" si="132"/>
        <v>#DIV/0!</v>
      </c>
    </row>
    <row r="450" spans="55:60" s="39" customFormat="1">
      <c r="BC450" s="573">
        <v>4.3899999999999997</v>
      </c>
      <c r="BD450" s="571">
        <f t="shared" si="129"/>
        <v>0</v>
      </c>
      <c r="BE450" s="571">
        <f t="shared" si="133"/>
        <v>0</v>
      </c>
      <c r="BF450" s="586">
        <f t="shared" si="130"/>
        <v>0</v>
      </c>
      <c r="BG450" s="586" t="e">
        <f t="shared" si="131"/>
        <v>#DIV/0!</v>
      </c>
      <c r="BH450" s="571" t="e">
        <f t="shared" si="132"/>
        <v>#DIV/0!</v>
      </c>
    </row>
    <row r="451" spans="55:60" s="39" customFormat="1">
      <c r="BC451" s="573">
        <v>4.4000000000000004</v>
      </c>
      <c r="BD451" s="571">
        <f t="shared" si="129"/>
        <v>0</v>
      </c>
      <c r="BE451" s="571">
        <f t="shared" si="133"/>
        <v>0</v>
      </c>
      <c r="BF451" s="586">
        <f t="shared" si="130"/>
        <v>0</v>
      </c>
      <c r="BG451" s="586" t="e">
        <f t="shared" si="131"/>
        <v>#DIV/0!</v>
      </c>
      <c r="BH451" s="571" t="e">
        <f t="shared" si="132"/>
        <v>#DIV/0!</v>
      </c>
    </row>
    <row r="452" spans="55:60" s="39" customFormat="1">
      <c r="BC452" s="573">
        <v>4.41</v>
      </c>
      <c r="BD452" s="571">
        <f t="shared" si="129"/>
        <v>0</v>
      </c>
      <c r="BE452" s="571">
        <f t="shared" si="133"/>
        <v>0</v>
      </c>
      <c r="BF452" s="586">
        <f t="shared" si="130"/>
        <v>0</v>
      </c>
      <c r="BG452" s="586" t="e">
        <f t="shared" si="131"/>
        <v>#DIV/0!</v>
      </c>
      <c r="BH452" s="571" t="e">
        <f t="shared" si="132"/>
        <v>#DIV/0!</v>
      </c>
    </row>
    <row r="453" spans="55:60" s="39" customFormat="1">
      <c r="BC453" s="573">
        <v>4.42</v>
      </c>
      <c r="BD453" s="571">
        <f t="shared" si="129"/>
        <v>0</v>
      </c>
      <c r="BE453" s="571">
        <f t="shared" si="133"/>
        <v>0</v>
      </c>
      <c r="BF453" s="586">
        <f t="shared" si="130"/>
        <v>0</v>
      </c>
      <c r="BG453" s="586" t="e">
        <f t="shared" si="131"/>
        <v>#DIV/0!</v>
      </c>
      <c r="BH453" s="571" t="e">
        <f t="shared" si="132"/>
        <v>#DIV/0!</v>
      </c>
    </row>
    <row r="454" spans="55:60" s="39" customFormat="1">
      <c r="BC454" s="573">
        <v>4.43</v>
      </c>
      <c r="BD454" s="571">
        <f t="shared" si="129"/>
        <v>0</v>
      </c>
      <c r="BE454" s="571">
        <f t="shared" si="133"/>
        <v>0</v>
      </c>
      <c r="BF454" s="586">
        <f t="shared" si="130"/>
        <v>0</v>
      </c>
      <c r="BG454" s="586" t="e">
        <f t="shared" si="131"/>
        <v>#DIV/0!</v>
      </c>
      <c r="BH454" s="571" t="e">
        <f t="shared" si="132"/>
        <v>#DIV/0!</v>
      </c>
    </row>
    <row r="455" spans="55:60" s="39" customFormat="1">
      <c r="BC455" s="573">
        <v>4.4400000000000004</v>
      </c>
      <c r="BD455" s="571">
        <f t="shared" si="129"/>
        <v>0</v>
      </c>
      <c r="BE455" s="571">
        <f t="shared" si="133"/>
        <v>0</v>
      </c>
      <c r="BF455" s="586">
        <f t="shared" si="130"/>
        <v>0</v>
      </c>
      <c r="BG455" s="586" t="e">
        <f t="shared" si="131"/>
        <v>#DIV/0!</v>
      </c>
      <c r="BH455" s="571" t="e">
        <f t="shared" si="132"/>
        <v>#DIV/0!</v>
      </c>
    </row>
    <row r="456" spans="55:60" s="39" customFormat="1">
      <c r="BC456" s="573">
        <v>4.45</v>
      </c>
      <c r="BD456" s="571">
        <f t="shared" si="129"/>
        <v>0</v>
      </c>
      <c r="BE456" s="571">
        <f t="shared" si="133"/>
        <v>0</v>
      </c>
      <c r="BF456" s="586">
        <f t="shared" si="130"/>
        <v>0</v>
      </c>
      <c r="BG456" s="586" t="e">
        <f t="shared" si="131"/>
        <v>#DIV/0!</v>
      </c>
      <c r="BH456" s="571" t="e">
        <f t="shared" si="132"/>
        <v>#DIV/0!</v>
      </c>
    </row>
    <row r="457" spans="55:60" s="39" customFormat="1">
      <c r="BC457" s="573">
        <v>4.46</v>
      </c>
      <c r="BD457" s="571">
        <f t="shared" si="129"/>
        <v>0</v>
      </c>
      <c r="BE457" s="571">
        <f t="shared" si="133"/>
        <v>0</v>
      </c>
      <c r="BF457" s="586">
        <f t="shared" si="130"/>
        <v>0</v>
      </c>
      <c r="BG457" s="586" t="e">
        <f t="shared" si="131"/>
        <v>#DIV/0!</v>
      </c>
      <c r="BH457" s="571" t="e">
        <f t="shared" si="132"/>
        <v>#DIV/0!</v>
      </c>
    </row>
    <row r="458" spans="55:60" s="39" customFormat="1">
      <c r="BC458" s="573">
        <v>4.47</v>
      </c>
      <c r="BD458" s="571">
        <f t="shared" si="129"/>
        <v>0</v>
      </c>
      <c r="BE458" s="571">
        <f t="shared" si="133"/>
        <v>0</v>
      </c>
      <c r="BF458" s="586">
        <f t="shared" si="130"/>
        <v>0</v>
      </c>
      <c r="BG458" s="586" t="e">
        <f t="shared" si="131"/>
        <v>#DIV/0!</v>
      </c>
      <c r="BH458" s="571" t="e">
        <f t="shared" si="132"/>
        <v>#DIV/0!</v>
      </c>
    </row>
    <row r="459" spans="55:60" s="39" customFormat="1">
      <c r="BC459" s="573">
        <v>4.4800000000000004</v>
      </c>
      <c r="BD459" s="571">
        <f t="shared" si="129"/>
        <v>0</v>
      </c>
      <c r="BE459" s="571">
        <f t="shared" si="133"/>
        <v>0</v>
      </c>
      <c r="BF459" s="586">
        <f t="shared" si="130"/>
        <v>0</v>
      </c>
      <c r="BG459" s="586" t="e">
        <f t="shared" si="131"/>
        <v>#DIV/0!</v>
      </c>
      <c r="BH459" s="571" t="e">
        <f t="shared" si="132"/>
        <v>#DIV/0!</v>
      </c>
    </row>
    <row r="460" spans="55:60" s="39" customFormat="1">
      <c r="BC460" s="573">
        <v>4.49</v>
      </c>
      <c r="BD460" s="571">
        <f t="shared" ref="BD460:BD523" si="134">$AU$15/BC460</f>
        <v>0</v>
      </c>
      <c r="BE460" s="571">
        <f t="shared" si="133"/>
        <v>0</v>
      </c>
      <c r="BF460" s="586">
        <f t="shared" ref="BF460:BF523" si="135">BC460*(BE460/1000)/$AO$12</f>
        <v>0</v>
      </c>
      <c r="BG460" s="586" t="e">
        <f t="shared" ref="BG460:BG523" si="136">POWER((1/(-1.8*LOG((6.9/BF460+POWER((($P$7/BE460)/3.71),1.11)),10))),2)</f>
        <v>#DIV/0!</v>
      </c>
      <c r="BH460" s="571" t="e">
        <f t="shared" ref="BH460:BH523" si="137">BG460*0.5*$P$6*16*$AU$15*$AU$15/(POWER(PI(),2)*POWER((BE460/1000),5))</f>
        <v>#DIV/0!</v>
      </c>
    </row>
    <row r="461" spans="55:60" s="39" customFormat="1">
      <c r="BC461" s="573">
        <v>4.5</v>
      </c>
      <c r="BD461" s="571">
        <f t="shared" si="134"/>
        <v>0</v>
      </c>
      <c r="BE461" s="571">
        <f t="shared" ref="BE461:BE524" si="138">((BD461/PI())^0.5)*2*1000</f>
        <v>0</v>
      </c>
      <c r="BF461" s="586">
        <f t="shared" si="135"/>
        <v>0</v>
      </c>
      <c r="BG461" s="586" t="e">
        <f t="shared" si="136"/>
        <v>#DIV/0!</v>
      </c>
      <c r="BH461" s="571" t="e">
        <f t="shared" si="137"/>
        <v>#DIV/0!</v>
      </c>
    </row>
    <row r="462" spans="55:60" s="39" customFormat="1">
      <c r="BC462" s="573">
        <v>4.51</v>
      </c>
      <c r="BD462" s="571">
        <f t="shared" si="134"/>
        <v>0</v>
      </c>
      <c r="BE462" s="571">
        <f t="shared" si="138"/>
        <v>0</v>
      </c>
      <c r="BF462" s="586">
        <f t="shared" si="135"/>
        <v>0</v>
      </c>
      <c r="BG462" s="586" t="e">
        <f t="shared" si="136"/>
        <v>#DIV/0!</v>
      </c>
      <c r="BH462" s="571" t="e">
        <f t="shared" si="137"/>
        <v>#DIV/0!</v>
      </c>
    </row>
    <row r="463" spans="55:60" s="39" customFormat="1">
      <c r="BC463" s="573">
        <v>4.5199999999999996</v>
      </c>
      <c r="BD463" s="571">
        <f t="shared" si="134"/>
        <v>0</v>
      </c>
      <c r="BE463" s="571">
        <f t="shared" si="138"/>
        <v>0</v>
      </c>
      <c r="BF463" s="586">
        <f t="shared" si="135"/>
        <v>0</v>
      </c>
      <c r="BG463" s="586" t="e">
        <f t="shared" si="136"/>
        <v>#DIV/0!</v>
      </c>
      <c r="BH463" s="571" t="e">
        <f t="shared" si="137"/>
        <v>#DIV/0!</v>
      </c>
    </row>
    <row r="464" spans="55:60" s="39" customFormat="1">
      <c r="BC464" s="573">
        <v>4.53</v>
      </c>
      <c r="BD464" s="571">
        <f t="shared" si="134"/>
        <v>0</v>
      </c>
      <c r="BE464" s="571">
        <f t="shared" si="138"/>
        <v>0</v>
      </c>
      <c r="BF464" s="586">
        <f t="shared" si="135"/>
        <v>0</v>
      </c>
      <c r="BG464" s="586" t="e">
        <f t="shared" si="136"/>
        <v>#DIV/0!</v>
      </c>
      <c r="BH464" s="571" t="e">
        <f t="shared" si="137"/>
        <v>#DIV/0!</v>
      </c>
    </row>
    <row r="465" spans="55:60" s="39" customFormat="1">
      <c r="BC465" s="573">
        <v>4.54</v>
      </c>
      <c r="BD465" s="571">
        <f t="shared" si="134"/>
        <v>0</v>
      </c>
      <c r="BE465" s="571">
        <f t="shared" si="138"/>
        <v>0</v>
      </c>
      <c r="BF465" s="586">
        <f t="shared" si="135"/>
        <v>0</v>
      </c>
      <c r="BG465" s="586" t="e">
        <f t="shared" si="136"/>
        <v>#DIV/0!</v>
      </c>
      <c r="BH465" s="571" t="e">
        <f t="shared" si="137"/>
        <v>#DIV/0!</v>
      </c>
    </row>
    <row r="466" spans="55:60" s="39" customFormat="1">
      <c r="BC466" s="573">
        <v>4.55</v>
      </c>
      <c r="BD466" s="571">
        <f t="shared" si="134"/>
        <v>0</v>
      </c>
      <c r="BE466" s="571">
        <f t="shared" si="138"/>
        <v>0</v>
      </c>
      <c r="BF466" s="586">
        <f t="shared" si="135"/>
        <v>0</v>
      </c>
      <c r="BG466" s="586" t="e">
        <f t="shared" si="136"/>
        <v>#DIV/0!</v>
      </c>
      <c r="BH466" s="571" t="e">
        <f t="shared" si="137"/>
        <v>#DIV/0!</v>
      </c>
    </row>
    <row r="467" spans="55:60" s="39" customFormat="1">
      <c r="BC467" s="573">
        <v>4.5599999999999996</v>
      </c>
      <c r="BD467" s="571">
        <f t="shared" si="134"/>
        <v>0</v>
      </c>
      <c r="BE467" s="571">
        <f t="shared" si="138"/>
        <v>0</v>
      </c>
      <c r="BF467" s="586">
        <f t="shared" si="135"/>
        <v>0</v>
      </c>
      <c r="BG467" s="586" t="e">
        <f t="shared" si="136"/>
        <v>#DIV/0!</v>
      </c>
      <c r="BH467" s="571" t="e">
        <f t="shared" si="137"/>
        <v>#DIV/0!</v>
      </c>
    </row>
    <row r="468" spans="55:60" s="39" customFormat="1">
      <c r="BC468" s="573">
        <v>4.57</v>
      </c>
      <c r="BD468" s="571">
        <f t="shared" si="134"/>
        <v>0</v>
      </c>
      <c r="BE468" s="571">
        <f t="shared" si="138"/>
        <v>0</v>
      </c>
      <c r="BF468" s="586">
        <f t="shared" si="135"/>
        <v>0</v>
      </c>
      <c r="BG468" s="586" t="e">
        <f t="shared" si="136"/>
        <v>#DIV/0!</v>
      </c>
      <c r="BH468" s="571" t="e">
        <f t="shared" si="137"/>
        <v>#DIV/0!</v>
      </c>
    </row>
    <row r="469" spans="55:60" s="39" customFormat="1">
      <c r="BC469" s="573">
        <v>4.58</v>
      </c>
      <c r="BD469" s="571">
        <f t="shared" si="134"/>
        <v>0</v>
      </c>
      <c r="BE469" s="571">
        <f t="shared" si="138"/>
        <v>0</v>
      </c>
      <c r="BF469" s="586">
        <f t="shared" si="135"/>
        <v>0</v>
      </c>
      <c r="BG469" s="586" t="e">
        <f t="shared" si="136"/>
        <v>#DIV/0!</v>
      </c>
      <c r="BH469" s="571" t="e">
        <f t="shared" si="137"/>
        <v>#DIV/0!</v>
      </c>
    </row>
    <row r="470" spans="55:60" s="39" customFormat="1">
      <c r="BC470" s="573">
        <v>4.59</v>
      </c>
      <c r="BD470" s="571">
        <f t="shared" si="134"/>
        <v>0</v>
      </c>
      <c r="BE470" s="571">
        <f t="shared" si="138"/>
        <v>0</v>
      </c>
      <c r="BF470" s="586">
        <f t="shared" si="135"/>
        <v>0</v>
      </c>
      <c r="BG470" s="586" t="e">
        <f t="shared" si="136"/>
        <v>#DIV/0!</v>
      </c>
      <c r="BH470" s="571" t="e">
        <f t="shared" si="137"/>
        <v>#DIV/0!</v>
      </c>
    </row>
    <row r="471" spans="55:60" s="39" customFormat="1">
      <c r="BC471" s="573">
        <v>4.5999999999999996</v>
      </c>
      <c r="BD471" s="571">
        <f t="shared" si="134"/>
        <v>0</v>
      </c>
      <c r="BE471" s="571">
        <f t="shared" si="138"/>
        <v>0</v>
      </c>
      <c r="BF471" s="586">
        <f t="shared" si="135"/>
        <v>0</v>
      </c>
      <c r="BG471" s="586" t="e">
        <f t="shared" si="136"/>
        <v>#DIV/0!</v>
      </c>
      <c r="BH471" s="571" t="e">
        <f t="shared" si="137"/>
        <v>#DIV/0!</v>
      </c>
    </row>
    <row r="472" spans="55:60" s="39" customFormat="1">
      <c r="BC472" s="573">
        <v>4.6100000000000003</v>
      </c>
      <c r="BD472" s="571">
        <f t="shared" si="134"/>
        <v>0</v>
      </c>
      <c r="BE472" s="571">
        <f t="shared" si="138"/>
        <v>0</v>
      </c>
      <c r="BF472" s="586">
        <f t="shared" si="135"/>
        <v>0</v>
      </c>
      <c r="BG472" s="586" t="e">
        <f t="shared" si="136"/>
        <v>#DIV/0!</v>
      </c>
      <c r="BH472" s="571" t="e">
        <f t="shared" si="137"/>
        <v>#DIV/0!</v>
      </c>
    </row>
    <row r="473" spans="55:60" s="39" customFormat="1">
      <c r="BC473" s="573">
        <v>4.62</v>
      </c>
      <c r="BD473" s="571">
        <f t="shared" si="134"/>
        <v>0</v>
      </c>
      <c r="BE473" s="571">
        <f t="shared" si="138"/>
        <v>0</v>
      </c>
      <c r="BF473" s="586">
        <f t="shared" si="135"/>
        <v>0</v>
      </c>
      <c r="BG473" s="586" t="e">
        <f t="shared" si="136"/>
        <v>#DIV/0!</v>
      </c>
      <c r="BH473" s="571" t="e">
        <f t="shared" si="137"/>
        <v>#DIV/0!</v>
      </c>
    </row>
    <row r="474" spans="55:60" s="39" customFormat="1">
      <c r="BC474" s="573">
        <v>4.63</v>
      </c>
      <c r="BD474" s="571">
        <f t="shared" si="134"/>
        <v>0</v>
      </c>
      <c r="BE474" s="571">
        <f t="shared" si="138"/>
        <v>0</v>
      </c>
      <c r="BF474" s="586">
        <f t="shared" si="135"/>
        <v>0</v>
      </c>
      <c r="BG474" s="586" t="e">
        <f t="shared" si="136"/>
        <v>#DIV/0!</v>
      </c>
      <c r="BH474" s="571" t="e">
        <f t="shared" si="137"/>
        <v>#DIV/0!</v>
      </c>
    </row>
    <row r="475" spans="55:60" s="39" customFormat="1">
      <c r="BC475" s="573">
        <v>4.6399999999999997</v>
      </c>
      <c r="BD475" s="571">
        <f t="shared" si="134"/>
        <v>0</v>
      </c>
      <c r="BE475" s="571">
        <f t="shared" si="138"/>
        <v>0</v>
      </c>
      <c r="BF475" s="586">
        <f t="shared" si="135"/>
        <v>0</v>
      </c>
      <c r="BG475" s="586" t="e">
        <f t="shared" si="136"/>
        <v>#DIV/0!</v>
      </c>
      <c r="BH475" s="571" t="e">
        <f t="shared" si="137"/>
        <v>#DIV/0!</v>
      </c>
    </row>
    <row r="476" spans="55:60" s="39" customFormat="1">
      <c r="BC476" s="573">
        <v>4.6500000000000004</v>
      </c>
      <c r="BD476" s="571">
        <f t="shared" si="134"/>
        <v>0</v>
      </c>
      <c r="BE476" s="571">
        <f t="shared" si="138"/>
        <v>0</v>
      </c>
      <c r="BF476" s="586">
        <f t="shared" si="135"/>
        <v>0</v>
      </c>
      <c r="BG476" s="586" t="e">
        <f t="shared" si="136"/>
        <v>#DIV/0!</v>
      </c>
      <c r="BH476" s="571" t="e">
        <f t="shared" si="137"/>
        <v>#DIV/0!</v>
      </c>
    </row>
    <row r="477" spans="55:60" s="39" customFormat="1">
      <c r="BC477" s="573">
        <v>4.66</v>
      </c>
      <c r="BD477" s="571">
        <f t="shared" si="134"/>
        <v>0</v>
      </c>
      <c r="BE477" s="571">
        <f t="shared" si="138"/>
        <v>0</v>
      </c>
      <c r="BF477" s="586">
        <f t="shared" si="135"/>
        <v>0</v>
      </c>
      <c r="BG477" s="586" t="e">
        <f t="shared" si="136"/>
        <v>#DIV/0!</v>
      </c>
      <c r="BH477" s="571" t="e">
        <f t="shared" si="137"/>
        <v>#DIV/0!</v>
      </c>
    </row>
    <row r="478" spans="55:60" s="39" customFormat="1">
      <c r="BC478" s="573">
        <v>4.67</v>
      </c>
      <c r="BD478" s="571">
        <f t="shared" si="134"/>
        <v>0</v>
      </c>
      <c r="BE478" s="571">
        <f t="shared" si="138"/>
        <v>0</v>
      </c>
      <c r="BF478" s="586">
        <f t="shared" si="135"/>
        <v>0</v>
      </c>
      <c r="BG478" s="586" t="e">
        <f t="shared" si="136"/>
        <v>#DIV/0!</v>
      </c>
      <c r="BH478" s="571" t="e">
        <f t="shared" si="137"/>
        <v>#DIV/0!</v>
      </c>
    </row>
    <row r="479" spans="55:60" s="39" customFormat="1">
      <c r="BC479" s="573">
        <v>4.68</v>
      </c>
      <c r="BD479" s="571">
        <f t="shared" si="134"/>
        <v>0</v>
      </c>
      <c r="BE479" s="571">
        <f t="shared" si="138"/>
        <v>0</v>
      </c>
      <c r="BF479" s="586">
        <f t="shared" si="135"/>
        <v>0</v>
      </c>
      <c r="BG479" s="586" t="e">
        <f t="shared" si="136"/>
        <v>#DIV/0!</v>
      </c>
      <c r="BH479" s="571" t="e">
        <f t="shared" si="137"/>
        <v>#DIV/0!</v>
      </c>
    </row>
    <row r="480" spans="55:60" s="39" customFormat="1">
      <c r="BC480" s="573">
        <v>4.6900000000000004</v>
      </c>
      <c r="BD480" s="571">
        <f t="shared" si="134"/>
        <v>0</v>
      </c>
      <c r="BE480" s="571">
        <f t="shared" si="138"/>
        <v>0</v>
      </c>
      <c r="BF480" s="586">
        <f t="shared" si="135"/>
        <v>0</v>
      </c>
      <c r="BG480" s="586" t="e">
        <f t="shared" si="136"/>
        <v>#DIV/0!</v>
      </c>
      <c r="BH480" s="571" t="e">
        <f t="shared" si="137"/>
        <v>#DIV/0!</v>
      </c>
    </row>
    <row r="481" spans="55:60" s="39" customFormat="1">
      <c r="BC481" s="573">
        <v>4.7</v>
      </c>
      <c r="BD481" s="571">
        <f t="shared" si="134"/>
        <v>0</v>
      </c>
      <c r="BE481" s="571">
        <f t="shared" si="138"/>
        <v>0</v>
      </c>
      <c r="BF481" s="586">
        <f t="shared" si="135"/>
        <v>0</v>
      </c>
      <c r="BG481" s="586" t="e">
        <f t="shared" si="136"/>
        <v>#DIV/0!</v>
      </c>
      <c r="BH481" s="571" t="e">
        <f t="shared" si="137"/>
        <v>#DIV/0!</v>
      </c>
    </row>
    <row r="482" spans="55:60" s="39" customFormat="1">
      <c r="BC482" s="573">
        <v>4.71</v>
      </c>
      <c r="BD482" s="571">
        <f t="shared" si="134"/>
        <v>0</v>
      </c>
      <c r="BE482" s="571">
        <f t="shared" si="138"/>
        <v>0</v>
      </c>
      <c r="BF482" s="586">
        <f t="shared" si="135"/>
        <v>0</v>
      </c>
      <c r="BG482" s="586" t="e">
        <f t="shared" si="136"/>
        <v>#DIV/0!</v>
      </c>
      <c r="BH482" s="571" t="e">
        <f t="shared" si="137"/>
        <v>#DIV/0!</v>
      </c>
    </row>
    <row r="483" spans="55:60" s="39" customFormat="1">
      <c r="BC483" s="573">
        <v>4.72</v>
      </c>
      <c r="BD483" s="571">
        <f t="shared" si="134"/>
        <v>0</v>
      </c>
      <c r="BE483" s="571">
        <f t="shared" si="138"/>
        <v>0</v>
      </c>
      <c r="BF483" s="586">
        <f t="shared" si="135"/>
        <v>0</v>
      </c>
      <c r="BG483" s="586" t="e">
        <f t="shared" si="136"/>
        <v>#DIV/0!</v>
      </c>
      <c r="BH483" s="571" t="e">
        <f t="shared" si="137"/>
        <v>#DIV/0!</v>
      </c>
    </row>
    <row r="484" spans="55:60" s="39" customFormat="1">
      <c r="BC484" s="573">
        <v>4.7300000000000004</v>
      </c>
      <c r="BD484" s="571">
        <f t="shared" si="134"/>
        <v>0</v>
      </c>
      <c r="BE484" s="571">
        <f t="shared" si="138"/>
        <v>0</v>
      </c>
      <c r="BF484" s="586">
        <f t="shared" si="135"/>
        <v>0</v>
      </c>
      <c r="BG484" s="586" t="e">
        <f t="shared" si="136"/>
        <v>#DIV/0!</v>
      </c>
      <c r="BH484" s="571" t="e">
        <f t="shared" si="137"/>
        <v>#DIV/0!</v>
      </c>
    </row>
    <row r="485" spans="55:60" s="39" customFormat="1">
      <c r="BC485" s="573">
        <v>4.74</v>
      </c>
      <c r="BD485" s="571">
        <f t="shared" si="134"/>
        <v>0</v>
      </c>
      <c r="BE485" s="571">
        <f t="shared" si="138"/>
        <v>0</v>
      </c>
      <c r="BF485" s="586">
        <f t="shared" si="135"/>
        <v>0</v>
      </c>
      <c r="BG485" s="586" t="e">
        <f t="shared" si="136"/>
        <v>#DIV/0!</v>
      </c>
      <c r="BH485" s="571" t="e">
        <f t="shared" si="137"/>
        <v>#DIV/0!</v>
      </c>
    </row>
    <row r="486" spans="55:60" s="39" customFormat="1">
      <c r="BC486" s="573">
        <v>4.75</v>
      </c>
      <c r="BD486" s="571">
        <f t="shared" si="134"/>
        <v>0</v>
      </c>
      <c r="BE486" s="571">
        <f t="shared" si="138"/>
        <v>0</v>
      </c>
      <c r="BF486" s="586">
        <f t="shared" si="135"/>
        <v>0</v>
      </c>
      <c r="BG486" s="586" t="e">
        <f t="shared" si="136"/>
        <v>#DIV/0!</v>
      </c>
      <c r="BH486" s="571" t="e">
        <f t="shared" si="137"/>
        <v>#DIV/0!</v>
      </c>
    </row>
    <row r="487" spans="55:60" s="39" customFormat="1">
      <c r="BC487" s="573">
        <v>4.76</v>
      </c>
      <c r="BD487" s="571">
        <f t="shared" si="134"/>
        <v>0</v>
      </c>
      <c r="BE487" s="571">
        <f t="shared" si="138"/>
        <v>0</v>
      </c>
      <c r="BF487" s="586">
        <f t="shared" si="135"/>
        <v>0</v>
      </c>
      <c r="BG487" s="586" t="e">
        <f t="shared" si="136"/>
        <v>#DIV/0!</v>
      </c>
      <c r="BH487" s="571" t="e">
        <f t="shared" si="137"/>
        <v>#DIV/0!</v>
      </c>
    </row>
    <row r="488" spans="55:60" s="39" customFormat="1">
      <c r="BC488" s="573">
        <v>4.7699999999999996</v>
      </c>
      <c r="BD488" s="571">
        <f t="shared" si="134"/>
        <v>0</v>
      </c>
      <c r="BE488" s="571">
        <f t="shared" si="138"/>
        <v>0</v>
      </c>
      <c r="BF488" s="586">
        <f t="shared" si="135"/>
        <v>0</v>
      </c>
      <c r="BG488" s="586" t="e">
        <f t="shared" si="136"/>
        <v>#DIV/0!</v>
      </c>
      <c r="BH488" s="571" t="e">
        <f t="shared" si="137"/>
        <v>#DIV/0!</v>
      </c>
    </row>
    <row r="489" spans="55:60" s="39" customFormat="1">
      <c r="BC489" s="573">
        <v>4.78</v>
      </c>
      <c r="BD489" s="571">
        <f t="shared" si="134"/>
        <v>0</v>
      </c>
      <c r="BE489" s="571">
        <f t="shared" si="138"/>
        <v>0</v>
      </c>
      <c r="BF489" s="586">
        <f t="shared" si="135"/>
        <v>0</v>
      </c>
      <c r="BG489" s="586" t="e">
        <f t="shared" si="136"/>
        <v>#DIV/0!</v>
      </c>
      <c r="BH489" s="571" t="e">
        <f t="shared" si="137"/>
        <v>#DIV/0!</v>
      </c>
    </row>
    <row r="490" spans="55:60" s="39" customFormat="1">
      <c r="BC490" s="573">
        <v>4.79</v>
      </c>
      <c r="BD490" s="571">
        <f t="shared" si="134"/>
        <v>0</v>
      </c>
      <c r="BE490" s="571">
        <f t="shared" si="138"/>
        <v>0</v>
      </c>
      <c r="BF490" s="586">
        <f t="shared" si="135"/>
        <v>0</v>
      </c>
      <c r="BG490" s="586" t="e">
        <f t="shared" si="136"/>
        <v>#DIV/0!</v>
      </c>
      <c r="BH490" s="571" t="e">
        <f t="shared" si="137"/>
        <v>#DIV/0!</v>
      </c>
    </row>
    <row r="491" spans="55:60" s="39" customFormat="1">
      <c r="BC491" s="573">
        <v>4.8</v>
      </c>
      <c r="BD491" s="571">
        <f t="shared" si="134"/>
        <v>0</v>
      </c>
      <c r="BE491" s="571">
        <f t="shared" si="138"/>
        <v>0</v>
      </c>
      <c r="BF491" s="586">
        <f t="shared" si="135"/>
        <v>0</v>
      </c>
      <c r="BG491" s="586" t="e">
        <f t="shared" si="136"/>
        <v>#DIV/0!</v>
      </c>
      <c r="BH491" s="571" t="e">
        <f t="shared" si="137"/>
        <v>#DIV/0!</v>
      </c>
    </row>
    <row r="492" spans="55:60" s="39" customFormat="1">
      <c r="BC492" s="573">
        <v>4.8099999999999996</v>
      </c>
      <c r="BD492" s="571">
        <f t="shared" si="134"/>
        <v>0</v>
      </c>
      <c r="BE492" s="571">
        <f t="shared" si="138"/>
        <v>0</v>
      </c>
      <c r="BF492" s="586">
        <f t="shared" si="135"/>
        <v>0</v>
      </c>
      <c r="BG492" s="586" t="e">
        <f t="shared" si="136"/>
        <v>#DIV/0!</v>
      </c>
      <c r="BH492" s="571" t="e">
        <f t="shared" si="137"/>
        <v>#DIV/0!</v>
      </c>
    </row>
    <row r="493" spans="55:60" s="39" customFormat="1">
      <c r="BC493" s="573">
        <v>4.82</v>
      </c>
      <c r="BD493" s="571">
        <f t="shared" si="134"/>
        <v>0</v>
      </c>
      <c r="BE493" s="571">
        <f t="shared" si="138"/>
        <v>0</v>
      </c>
      <c r="BF493" s="586">
        <f t="shared" si="135"/>
        <v>0</v>
      </c>
      <c r="BG493" s="586" t="e">
        <f t="shared" si="136"/>
        <v>#DIV/0!</v>
      </c>
      <c r="BH493" s="571" t="e">
        <f t="shared" si="137"/>
        <v>#DIV/0!</v>
      </c>
    </row>
    <row r="494" spans="55:60" s="39" customFormat="1">
      <c r="BC494" s="573">
        <v>4.83</v>
      </c>
      <c r="BD494" s="571">
        <f t="shared" si="134"/>
        <v>0</v>
      </c>
      <c r="BE494" s="571">
        <f t="shared" si="138"/>
        <v>0</v>
      </c>
      <c r="BF494" s="586">
        <f t="shared" si="135"/>
        <v>0</v>
      </c>
      <c r="BG494" s="586" t="e">
        <f t="shared" si="136"/>
        <v>#DIV/0!</v>
      </c>
      <c r="BH494" s="571" t="e">
        <f t="shared" si="137"/>
        <v>#DIV/0!</v>
      </c>
    </row>
    <row r="495" spans="55:60" s="39" customFormat="1">
      <c r="BC495" s="573">
        <v>4.84</v>
      </c>
      <c r="BD495" s="571">
        <f t="shared" si="134"/>
        <v>0</v>
      </c>
      <c r="BE495" s="571">
        <f t="shared" si="138"/>
        <v>0</v>
      </c>
      <c r="BF495" s="586">
        <f t="shared" si="135"/>
        <v>0</v>
      </c>
      <c r="BG495" s="586" t="e">
        <f t="shared" si="136"/>
        <v>#DIV/0!</v>
      </c>
      <c r="BH495" s="571" t="e">
        <f t="shared" si="137"/>
        <v>#DIV/0!</v>
      </c>
    </row>
    <row r="496" spans="55:60" s="39" customFormat="1">
      <c r="BC496" s="573">
        <v>4.8499999999999996</v>
      </c>
      <c r="BD496" s="571">
        <f t="shared" si="134"/>
        <v>0</v>
      </c>
      <c r="BE496" s="571">
        <f t="shared" si="138"/>
        <v>0</v>
      </c>
      <c r="BF496" s="586">
        <f t="shared" si="135"/>
        <v>0</v>
      </c>
      <c r="BG496" s="586" t="e">
        <f t="shared" si="136"/>
        <v>#DIV/0!</v>
      </c>
      <c r="BH496" s="571" t="e">
        <f t="shared" si="137"/>
        <v>#DIV/0!</v>
      </c>
    </row>
    <row r="497" spans="55:60" s="39" customFormat="1">
      <c r="BC497" s="573">
        <v>4.8600000000000003</v>
      </c>
      <c r="BD497" s="571">
        <f t="shared" si="134"/>
        <v>0</v>
      </c>
      <c r="BE497" s="571">
        <f t="shared" si="138"/>
        <v>0</v>
      </c>
      <c r="BF497" s="586">
        <f t="shared" si="135"/>
        <v>0</v>
      </c>
      <c r="BG497" s="586" t="e">
        <f t="shared" si="136"/>
        <v>#DIV/0!</v>
      </c>
      <c r="BH497" s="571" t="e">
        <f t="shared" si="137"/>
        <v>#DIV/0!</v>
      </c>
    </row>
    <row r="498" spans="55:60" s="39" customFormat="1">
      <c r="BC498" s="573">
        <v>4.87</v>
      </c>
      <c r="BD498" s="571">
        <f t="shared" si="134"/>
        <v>0</v>
      </c>
      <c r="BE498" s="571">
        <f t="shared" si="138"/>
        <v>0</v>
      </c>
      <c r="BF498" s="586">
        <f t="shared" si="135"/>
        <v>0</v>
      </c>
      <c r="BG498" s="586" t="e">
        <f t="shared" si="136"/>
        <v>#DIV/0!</v>
      </c>
      <c r="BH498" s="571" t="e">
        <f t="shared" si="137"/>
        <v>#DIV/0!</v>
      </c>
    </row>
    <row r="499" spans="55:60" s="39" customFormat="1">
      <c r="BC499" s="573">
        <v>4.88</v>
      </c>
      <c r="BD499" s="571">
        <f t="shared" si="134"/>
        <v>0</v>
      </c>
      <c r="BE499" s="571">
        <f t="shared" si="138"/>
        <v>0</v>
      </c>
      <c r="BF499" s="586">
        <f t="shared" si="135"/>
        <v>0</v>
      </c>
      <c r="BG499" s="586" t="e">
        <f t="shared" si="136"/>
        <v>#DIV/0!</v>
      </c>
      <c r="BH499" s="571" t="e">
        <f t="shared" si="137"/>
        <v>#DIV/0!</v>
      </c>
    </row>
    <row r="500" spans="55:60" s="39" customFormat="1">
      <c r="BC500" s="573">
        <v>4.8899999999999997</v>
      </c>
      <c r="BD500" s="571">
        <f t="shared" si="134"/>
        <v>0</v>
      </c>
      <c r="BE500" s="571">
        <f t="shared" si="138"/>
        <v>0</v>
      </c>
      <c r="BF500" s="586">
        <f t="shared" si="135"/>
        <v>0</v>
      </c>
      <c r="BG500" s="586" t="e">
        <f t="shared" si="136"/>
        <v>#DIV/0!</v>
      </c>
      <c r="BH500" s="571" t="e">
        <f t="shared" si="137"/>
        <v>#DIV/0!</v>
      </c>
    </row>
    <row r="501" spans="55:60" s="39" customFormat="1">
      <c r="BC501" s="573">
        <v>4.9000000000000004</v>
      </c>
      <c r="BD501" s="571">
        <f t="shared" si="134"/>
        <v>0</v>
      </c>
      <c r="BE501" s="571">
        <f t="shared" si="138"/>
        <v>0</v>
      </c>
      <c r="BF501" s="586">
        <f t="shared" si="135"/>
        <v>0</v>
      </c>
      <c r="BG501" s="586" t="e">
        <f t="shared" si="136"/>
        <v>#DIV/0!</v>
      </c>
      <c r="BH501" s="571" t="e">
        <f t="shared" si="137"/>
        <v>#DIV/0!</v>
      </c>
    </row>
    <row r="502" spans="55:60" s="39" customFormat="1">
      <c r="BC502" s="573">
        <v>4.91</v>
      </c>
      <c r="BD502" s="571">
        <f t="shared" si="134"/>
        <v>0</v>
      </c>
      <c r="BE502" s="571">
        <f t="shared" si="138"/>
        <v>0</v>
      </c>
      <c r="BF502" s="586">
        <f t="shared" si="135"/>
        <v>0</v>
      </c>
      <c r="BG502" s="586" t="e">
        <f t="shared" si="136"/>
        <v>#DIV/0!</v>
      </c>
      <c r="BH502" s="571" t="e">
        <f t="shared" si="137"/>
        <v>#DIV/0!</v>
      </c>
    </row>
    <row r="503" spans="55:60" s="39" customFormat="1">
      <c r="BC503" s="573">
        <v>4.92</v>
      </c>
      <c r="BD503" s="571">
        <f t="shared" si="134"/>
        <v>0</v>
      </c>
      <c r="BE503" s="571">
        <f t="shared" si="138"/>
        <v>0</v>
      </c>
      <c r="BF503" s="586">
        <f t="shared" si="135"/>
        <v>0</v>
      </c>
      <c r="BG503" s="586" t="e">
        <f t="shared" si="136"/>
        <v>#DIV/0!</v>
      </c>
      <c r="BH503" s="571" t="e">
        <f t="shared" si="137"/>
        <v>#DIV/0!</v>
      </c>
    </row>
    <row r="504" spans="55:60" s="39" customFormat="1">
      <c r="BC504" s="573">
        <v>4.93</v>
      </c>
      <c r="BD504" s="571">
        <f t="shared" si="134"/>
        <v>0</v>
      </c>
      <c r="BE504" s="571">
        <f t="shared" si="138"/>
        <v>0</v>
      </c>
      <c r="BF504" s="586">
        <f t="shared" si="135"/>
        <v>0</v>
      </c>
      <c r="BG504" s="586" t="e">
        <f t="shared" si="136"/>
        <v>#DIV/0!</v>
      </c>
      <c r="BH504" s="571" t="e">
        <f t="shared" si="137"/>
        <v>#DIV/0!</v>
      </c>
    </row>
    <row r="505" spans="55:60" s="39" customFormat="1">
      <c r="BC505" s="573">
        <v>4.9400000000000004</v>
      </c>
      <c r="BD505" s="571">
        <f t="shared" si="134"/>
        <v>0</v>
      </c>
      <c r="BE505" s="571">
        <f t="shared" si="138"/>
        <v>0</v>
      </c>
      <c r="BF505" s="586">
        <f t="shared" si="135"/>
        <v>0</v>
      </c>
      <c r="BG505" s="586" t="e">
        <f t="shared" si="136"/>
        <v>#DIV/0!</v>
      </c>
      <c r="BH505" s="571" t="e">
        <f t="shared" si="137"/>
        <v>#DIV/0!</v>
      </c>
    </row>
    <row r="506" spans="55:60" s="39" customFormat="1">
      <c r="BC506" s="573">
        <v>4.95</v>
      </c>
      <c r="BD506" s="571">
        <f t="shared" si="134"/>
        <v>0</v>
      </c>
      <c r="BE506" s="571">
        <f t="shared" si="138"/>
        <v>0</v>
      </c>
      <c r="BF506" s="586">
        <f t="shared" si="135"/>
        <v>0</v>
      </c>
      <c r="BG506" s="586" t="e">
        <f t="shared" si="136"/>
        <v>#DIV/0!</v>
      </c>
      <c r="BH506" s="571" t="e">
        <f t="shared" si="137"/>
        <v>#DIV/0!</v>
      </c>
    </row>
    <row r="507" spans="55:60" s="39" customFormat="1">
      <c r="BC507" s="573">
        <v>4.96</v>
      </c>
      <c r="BD507" s="571">
        <f t="shared" si="134"/>
        <v>0</v>
      </c>
      <c r="BE507" s="571">
        <f t="shared" si="138"/>
        <v>0</v>
      </c>
      <c r="BF507" s="586">
        <f t="shared" si="135"/>
        <v>0</v>
      </c>
      <c r="BG507" s="586" t="e">
        <f t="shared" si="136"/>
        <v>#DIV/0!</v>
      </c>
      <c r="BH507" s="571" t="e">
        <f t="shared" si="137"/>
        <v>#DIV/0!</v>
      </c>
    </row>
    <row r="508" spans="55:60" s="39" customFormat="1">
      <c r="BC508" s="573">
        <v>4.97</v>
      </c>
      <c r="BD508" s="571">
        <f t="shared" si="134"/>
        <v>0</v>
      </c>
      <c r="BE508" s="571">
        <f t="shared" si="138"/>
        <v>0</v>
      </c>
      <c r="BF508" s="586">
        <f t="shared" si="135"/>
        <v>0</v>
      </c>
      <c r="BG508" s="586" t="e">
        <f t="shared" si="136"/>
        <v>#DIV/0!</v>
      </c>
      <c r="BH508" s="571" t="e">
        <f t="shared" si="137"/>
        <v>#DIV/0!</v>
      </c>
    </row>
    <row r="509" spans="55:60" s="39" customFormat="1">
      <c r="BC509" s="573">
        <v>4.9800000000000004</v>
      </c>
      <c r="BD509" s="571">
        <f t="shared" si="134"/>
        <v>0</v>
      </c>
      <c r="BE509" s="571">
        <f t="shared" si="138"/>
        <v>0</v>
      </c>
      <c r="BF509" s="586">
        <f t="shared" si="135"/>
        <v>0</v>
      </c>
      <c r="BG509" s="586" t="e">
        <f t="shared" si="136"/>
        <v>#DIV/0!</v>
      </c>
      <c r="BH509" s="571" t="e">
        <f t="shared" si="137"/>
        <v>#DIV/0!</v>
      </c>
    </row>
    <row r="510" spans="55:60" s="39" customFormat="1">
      <c r="BC510" s="573">
        <v>4.99</v>
      </c>
      <c r="BD510" s="571">
        <f t="shared" si="134"/>
        <v>0</v>
      </c>
      <c r="BE510" s="571">
        <f t="shared" si="138"/>
        <v>0</v>
      </c>
      <c r="BF510" s="586">
        <f t="shared" si="135"/>
        <v>0</v>
      </c>
      <c r="BG510" s="586" t="e">
        <f t="shared" si="136"/>
        <v>#DIV/0!</v>
      </c>
      <c r="BH510" s="571" t="e">
        <f t="shared" si="137"/>
        <v>#DIV/0!</v>
      </c>
    </row>
    <row r="511" spans="55:60" s="39" customFormat="1">
      <c r="BC511" s="573">
        <v>5</v>
      </c>
      <c r="BD511" s="571">
        <f t="shared" si="134"/>
        <v>0</v>
      </c>
      <c r="BE511" s="571">
        <f t="shared" si="138"/>
        <v>0</v>
      </c>
      <c r="BF511" s="586">
        <f t="shared" si="135"/>
        <v>0</v>
      </c>
      <c r="BG511" s="586" t="e">
        <f t="shared" si="136"/>
        <v>#DIV/0!</v>
      </c>
      <c r="BH511" s="571" t="e">
        <f t="shared" si="137"/>
        <v>#DIV/0!</v>
      </c>
    </row>
    <row r="512" spans="55:60" s="39" customFormat="1">
      <c r="BC512" s="573">
        <v>5.01</v>
      </c>
      <c r="BD512" s="571">
        <f t="shared" si="134"/>
        <v>0</v>
      </c>
      <c r="BE512" s="571">
        <f t="shared" si="138"/>
        <v>0</v>
      </c>
      <c r="BF512" s="586">
        <f t="shared" si="135"/>
        <v>0</v>
      </c>
      <c r="BG512" s="586" t="e">
        <f t="shared" si="136"/>
        <v>#DIV/0!</v>
      </c>
      <c r="BH512" s="571" t="e">
        <f t="shared" si="137"/>
        <v>#DIV/0!</v>
      </c>
    </row>
    <row r="513" spans="55:60" s="39" customFormat="1">
      <c r="BC513" s="573">
        <v>5.0199999999999996</v>
      </c>
      <c r="BD513" s="571">
        <f t="shared" si="134"/>
        <v>0</v>
      </c>
      <c r="BE513" s="571">
        <f t="shared" si="138"/>
        <v>0</v>
      </c>
      <c r="BF513" s="586">
        <f t="shared" si="135"/>
        <v>0</v>
      </c>
      <c r="BG513" s="586" t="e">
        <f t="shared" si="136"/>
        <v>#DIV/0!</v>
      </c>
      <c r="BH513" s="571" t="e">
        <f t="shared" si="137"/>
        <v>#DIV/0!</v>
      </c>
    </row>
    <row r="514" spans="55:60" s="39" customFormat="1">
      <c r="BC514" s="573">
        <v>5.03</v>
      </c>
      <c r="BD514" s="571">
        <f t="shared" si="134"/>
        <v>0</v>
      </c>
      <c r="BE514" s="571">
        <f t="shared" si="138"/>
        <v>0</v>
      </c>
      <c r="BF514" s="586">
        <f t="shared" si="135"/>
        <v>0</v>
      </c>
      <c r="BG514" s="586" t="e">
        <f t="shared" si="136"/>
        <v>#DIV/0!</v>
      </c>
      <c r="BH514" s="571" t="e">
        <f t="shared" si="137"/>
        <v>#DIV/0!</v>
      </c>
    </row>
    <row r="515" spans="55:60" s="39" customFormat="1">
      <c r="BC515" s="573">
        <v>5.04</v>
      </c>
      <c r="BD515" s="571">
        <f t="shared" si="134"/>
        <v>0</v>
      </c>
      <c r="BE515" s="571">
        <f t="shared" si="138"/>
        <v>0</v>
      </c>
      <c r="BF515" s="586">
        <f t="shared" si="135"/>
        <v>0</v>
      </c>
      <c r="BG515" s="586" t="e">
        <f t="shared" si="136"/>
        <v>#DIV/0!</v>
      </c>
      <c r="BH515" s="571" t="e">
        <f t="shared" si="137"/>
        <v>#DIV/0!</v>
      </c>
    </row>
    <row r="516" spans="55:60" s="39" customFormat="1">
      <c r="BC516" s="573">
        <v>5.05</v>
      </c>
      <c r="BD516" s="571">
        <f t="shared" si="134"/>
        <v>0</v>
      </c>
      <c r="BE516" s="571">
        <f t="shared" si="138"/>
        <v>0</v>
      </c>
      <c r="BF516" s="586">
        <f t="shared" si="135"/>
        <v>0</v>
      </c>
      <c r="BG516" s="586" t="e">
        <f t="shared" si="136"/>
        <v>#DIV/0!</v>
      </c>
      <c r="BH516" s="571" t="e">
        <f t="shared" si="137"/>
        <v>#DIV/0!</v>
      </c>
    </row>
    <row r="517" spans="55:60" s="39" customFormat="1">
      <c r="BC517" s="573">
        <v>5.0599999999999996</v>
      </c>
      <c r="BD517" s="571">
        <f t="shared" si="134"/>
        <v>0</v>
      </c>
      <c r="BE517" s="571">
        <f t="shared" si="138"/>
        <v>0</v>
      </c>
      <c r="BF517" s="586">
        <f t="shared" si="135"/>
        <v>0</v>
      </c>
      <c r="BG517" s="586" t="e">
        <f t="shared" si="136"/>
        <v>#DIV/0!</v>
      </c>
      <c r="BH517" s="571" t="e">
        <f t="shared" si="137"/>
        <v>#DIV/0!</v>
      </c>
    </row>
    <row r="518" spans="55:60" s="39" customFormat="1">
      <c r="BC518" s="573">
        <v>5.07</v>
      </c>
      <c r="BD518" s="571">
        <f t="shared" si="134"/>
        <v>0</v>
      </c>
      <c r="BE518" s="571">
        <f t="shared" si="138"/>
        <v>0</v>
      </c>
      <c r="BF518" s="586">
        <f t="shared" si="135"/>
        <v>0</v>
      </c>
      <c r="BG518" s="586" t="e">
        <f t="shared" si="136"/>
        <v>#DIV/0!</v>
      </c>
      <c r="BH518" s="571" t="e">
        <f t="shared" si="137"/>
        <v>#DIV/0!</v>
      </c>
    </row>
    <row r="519" spans="55:60" s="39" customFormat="1">
      <c r="BC519" s="573">
        <v>5.08</v>
      </c>
      <c r="BD519" s="571">
        <f t="shared" si="134"/>
        <v>0</v>
      </c>
      <c r="BE519" s="571">
        <f t="shared" si="138"/>
        <v>0</v>
      </c>
      <c r="BF519" s="586">
        <f t="shared" si="135"/>
        <v>0</v>
      </c>
      <c r="BG519" s="586" t="e">
        <f t="shared" si="136"/>
        <v>#DIV/0!</v>
      </c>
      <c r="BH519" s="571" t="e">
        <f t="shared" si="137"/>
        <v>#DIV/0!</v>
      </c>
    </row>
    <row r="520" spans="55:60" s="39" customFormat="1">
      <c r="BC520" s="573">
        <v>5.09</v>
      </c>
      <c r="BD520" s="571">
        <f t="shared" si="134"/>
        <v>0</v>
      </c>
      <c r="BE520" s="571">
        <f t="shared" si="138"/>
        <v>0</v>
      </c>
      <c r="BF520" s="586">
        <f t="shared" si="135"/>
        <v>0</v>
      </c>
      <c r="BG520" s="586" t="e">
        <f t="shared" si="136"/>
        <v>#DIV/0!</v>
      </c>
      <c r="BH520" s="571" t="e">
        <f t="shared" si="137"/>
        <v>#DIV/0!</v>
      </c>
    </row>
    <row r="521" spans="55:60" s="39" customFormat="1">
      <c r="BC521" s="573">
        <v>5.0999999999999996</v>
      </c>
      <c r="BD521" s="571">
        <f t="shared" si="134"/>
        <v>0</v>
      </c>
      <c r="BE521" s="571">
        <f t="shared" si="138"/>
        <v>0</v>
      </c>
      <c r="BF521" s="586">
        <f t="shared" si="135"/>
        <v>0</v>
      </c>
      <c r="BG521" s="586" t="e">
        <f t="shared" si="136"/>
        <v>#DIV/0!</v>
      </c>
      <c r="BH521" s="571" t="e">
        <f t="shared" si="137"/>
        <v>#DIV/0!</v>
      </c>
    </row>
    <row r="522" spans="55:60" s="39" customFormat="1">
      <c r="BC522" s="573">
        <v>5.1100000000000003</v>
      </c>
      <c r="BD522" s="571">
        <f t="shared" si="134"/>
        <v>0</v>
      </c>
      <c r="BE522" s="571">
        <f t="shared" si="138"/>
        <v>0</v>
      </c>
      <c r="BF522" s="586">
        <f t="shared" si="135"/>
        <v>0</v>
      </c>
      <c r="BG522" s="586" t="e">
        <f t="shared" si="136"/>
        <v>#DIV/0!</v>
      </c>
      <c r="BH522" s="571" t="e">
        <f t="shared" si="137"/>
        <v>#DIV/0!</v>
      </c>
    </row>
    <row r="523" spans="55:60" s="39" customFormat="1">
      <c r="BC523" s="573">
        <v>5.12</v>
      </c>
      <c r="BD523" s="571">
        <f t="shared" si="134"/>
        <v>0</v>
      </c>
      <c r="BE523" s="571">
        <f t="shared" si="138"/>
        <v>0</v>
      </c>
      <c r="BF523" s="586">
        <f t="shared" si="135"/>
        <v>0</v>
      </c>
      <c r="BG523" s="586" t="e">
        <f t="shared" si="136"/>
        <v>#DIV/0!</v>
      </c>
      <c r="BH523" s="571" t="e">
        <f t="shared" si="137"/>
        <v>#DIV/0!</v>
      </c>
    </row>
    <row r="524" spans="55:60" s="39" customFormat="1">
      <c r="BC524" s="573">
        <v>5.13</v>
      </c>
      <c r="BD524" s="571">
        <f t="shared" ref="BD524:BD587" si="139">$AU$15/BC524</f>
        <v>0</v>
      </c>
      <c r="BE524" s="571">
        <f t="shared" si="138"/>
        <v>0</v>
      </c>
      <c r="BF524" s="586">
        <f t="shared" ref="BF524:BF587" si="140">BC524*(BE524/1000)/$AO$12</f>
        <v>0</v>
      </c>
      <c r="BG524" s="586" t="e">
        <f t="shared" ref="BG524:BG587" si="141">POWER((1/(-1.8*LOG((6.9/BF524+POWER((($P$7/BE524)/3.71),1.11)),10))),2)</f>
        <v>#DIV/0!</v>
      </c>
      <c r="BH524" s="571" t="e">
        <f t="shared" ref="BH524:BH587" si="142">BG524*0.5*$P$6*16*$AU$15*$AU$15/(POWER(PI(),2)*POWER((BE524/1000),5))</f>
        <v>#DIV/0!</v>
      </c>
    </row>
    <row r="525" spans="55:60" s="39" customFormat="1">
      <c r="BC525" s="573">
        <v>5.14</v>
      </c>
      <c r="BD525" s="571">
        <f t="shared" si="139"/>
        <v>0</v>
      </c>
      <c r="BE525" s="571">
        <f t="shared" ref="BE525:BE588" si="143">((BD525/PI())^0.5)*2*1000</f>
        <v>0</v>
      </c>
      <c r="BF525" s="586">
        <f t="shared" si="140"/>
        <v>0</v>
      </c>
      <c r="BG525" s="586" t="e">
        <f t="shared" si="141"/>
        <v>#DIV/0!</v>
      </c>
      <c r="BH525" s="571" t="e">
        <f t="shared" si="142"/>
        <v>#DIV/0!</v>
      </c>
    </row>
    <row r="526" spans="55:60" s="39" customFormat="1">
      <c r="BC526" s="573">
        <v>5.15</v>
      </c>
      <c r="BD526" s="571">
        <f t="shared" si="139"/>
        <v>0</v>
      </c>
      <c r="BE526" s="571">
        <f t="shared" si="143"/>
        <v>0</v>
      </c>
      <c r="BF526" s="586">
        <f t="shared" si="140"/>
        <v>0</v>
      </c>
      <c r="BG526" s="586" t="e">
        <f t="shared" si="141"/>
        <v>#DIV/0!</v>
      </c>
      <c r="BH526" s="571" t="e">
        <f t="shared" si="142"/>
        <v>#DIV/0!</v>
      </c>
    </row>
    <row r="527" spans="55:60" s="39" customFormat="1">
      <c r="BC527" s="573">
        <v>5.16</v>
      </c>
      <c r="BD527" s="571">
        <f t="shared" si="139"/>
        <v>0</v>
      </c>
      <c r="BE527" s="571">
        <f t="shared" si="143"/>
        <v>0</v>
      </c>
      <c r="BF527" s="586">
        <f t="shared" si="140"/>
        <v>0</v>
      </c>
      <c r="BG527" s="586" t="e">
        <f t="shared" si="141"/>
        <v>#DIV/0!</v>
      </c>
      <c r="BH527" s="571" t="e">
        <f t="shared" si="142"/>
        <v>#DIV/0!</v>
      </c>
    </row>
    <row r="528" spans="55:60" s="39" customFormat="1">
      <c r="BC528" s="573">
        <v>5.17</v>
      </c>
      <c r="BD528" s="571">
        <f t="shared" si="139"/>
        <v>0</v>
      </c>
      <c r="BE528" s="571">
        <f t="shared" si="143"/>
        <v>0</v>
      </c>
      <c r="BF528" s="586">
        <f t="shared" si="140"/>
        <v>0</v>
      </c>
      <c r="BG528" s="586" t="e">
        <f t="shared" si="141"/>
        <v>#DIV/0!</v>
      </c>
      <c r="BH528" s="571" t="e">
        <f t="shared" si="142"/>
        <v>#DIV/0!</v>
      </c>
    </row>
    <row r="529" spans="55:60" s="39" customFormat="1">
      <c r="BC529" s="573">
        <v>5.18</v>
      </c>
      <c r="BD529" s="571">
        <f t="shared" si="139"/>
        <v>0</v>
      </c>
      <c r="BE529" s="571">
        <f t="shared" si="143"/>
        <v>0</v>
      </c>
      <c r="BF529" s="586">
        <f t="shared" si="140"/>
        <v>0</v>
      </c>
      <c r="BG529" s="586" t="e">
        <f t="shared" si="141"/>
        <v>#DIV/0!</v>
      </c>
      <c r="BH529" s="571" t="e">
        <f t="shared" si="142"/>
        <v>#DIV/0!</v>
      </c>
    </row>
    <row r="530" spans="55:60" s="39" customFormat="1">
      <c r="BC530" s="573">
        <v>5.19</v>
      </c>
      <c r="BD530" s="571">
        <f t="shared" si="139"/>
        <v>0</v>
      </c>
      <c r="BE530" s="571">
        <f t="shared" si="143"/>
        <v>0</v>
      </c>
      <c r="BF530" s="586">
        <f t="shared" si="140"/>
        <v>0</v>
      </c>
      <c r="BG530" s="586" t="e">
        <f t="shared" si="141"/>
        <v>#DIV/0!</v>
      </c>
      <c r="BH530" s="571" t="e">
        <f t="shared" si="142"/>
        <v>#DIV/0!</v>
      </c>
    </row>
    <row r="531" spans="55:60" s="39" customFormat="1">
      <c r="BC531" s="573">
        <v>5.2</v>
      </c>
      <c r="BD531" s="571">
        <f t="shared" si="139"/>
        <v>0</v>
      </c>
      <c r="BE531" s="571">
        <f t="shared" si="143"/>
        <v>0</v>
      </c>
      <c r="BF531" s="586">
        <f t="shared" si="140"/>
        <v>0</v>
      </c>
      <c r="BG531" s="586" t="e">
        <f t="shared" si="141"/>
        <v>#DIV/0!</v>
      </c>
      <c r="BH531" s="571" t="e">
        <f t="shared" si="142"/>
        <v>#DIV/0!</v>
      </c>
    </row>
    <row r="532" spans="55:60" s="39" customFormat="1">
      <c r="BC532" s="573">
        <v>5.21</v>
      </c>
      <c r="BD532" s="571">
        <f t="shared" si="139"/>
        <v>0</v>
      </c>
      <c r="BE532" s="571">
        <f t="shared" si="143"/>
        <v>0</v>
      </c>
      <c r="BF532" s="586">
        <f t="shared" si="140"/>
        <v>0</v>
      </c>
      <c r="BG532" s="586" t="e">
        <f t="shared" si="141"/>
        <v>#DIV/0!</v>
      </c>
      <c r="BH532" s="571" t="e">
        <f t="shared" si="142"/>
        <v>#DIV/0!</v>
      </c>
    </row>
    <row r="533" spans="55:60" s="39" customFormat="1">
      <c r="BC533" s="573">
        <v>5.22</v>
      </c>
      <c r="BD533" s="571">
        <f t="shared" si="139"/>
        <v>0</v>
      </c>
      <c r="BE533" s="571">
        <f t="shared" si="143"/>
        <v>0</v>
      </c>
      <c r="BF533" s="586">
        <f t="shared" si="140"/>
        <v>0</v>
      </c>
      <c r="BG533" s="586" t="e">
        <f t="shared" si="141"/>
        <v>#DIV/0!</v>
      </c>
      <c r="BH533" s="571" t="e">
        <f t="shared" si="142"/>
        <v>#DIV/0!</v>
      </c>
    </row>
    <row r="534" spans="55:60" s="39" customFormat="1">
      <c r="BC534" s="573">
        <v>5.23</v>
      </c>
      <c r="BD534" s="571">
        <f t="shared" si="139"/>
        <v>0</v>
      </c>
      <c r="BE534" s="571">
        <f t="shared" si="143"/>
        <v>0</v>
      </c>
      <c r="BF534" s="586">
        <f t="shared" si="140"/>
        <v>0</v>
      </c>
      <c r="BG534" s="586" t="e">
        <f t="shared" si="141"/>
        <v>#DIV/0!</v>
      </c>
      <c r="BH534" s="571" t="e">
        <f t="shared" si="142"/>
        <v>#DIV/0!</v>
      </c>
    </row>
    <row r="535" spans="55:60" s="39" customFormat="1">
      <c r="BC535" s="573">
        <v>5.24</v>
      </c>
      <c r="BD535" s="571">
        <f t="shared" si="139"/>
        <v>0</v>
      </c>
      <c r="BE535" s="571">
        <f t="shared" si="143"/>
        <v>0</v>
      </c>
      <c r="BF535" s="586">
        <f t="shared" si="140"/>
        <v>0</v>
      </c>
      <c r="BG535" s="586" t="e">
        <f t="shared" si="141"/>
        <v>#DIV/0!</v>
      </c>
      <c r="BH535" s="571" t="e">
        <f t="shared" si="142"/>
        <v>#DIV/0!</v>
      </c>
    </row>
    <row r="536" spans="55:60" s="39" customFormat="1">
      <c r="BC536" s="573">
        <v>5.25</v>
      </c>
      <c r="BD536" s="571">
        <f t="shared" si="139"/>
        <v>0</v>
      </c>
      <c r="BE536" s="571">
        <f t="shared" si="143"/>
        <v>0</v>
      </c>
      <c r="BF536" s="586">
        <f t="shared" si="140"/>
        <v>0</v>
      </c>
      <c r="BG536" s="586" t="e">
        <f t="shared" si="141"/>
        <v>#DIV/0!</v>
      </c>
      <c r="BH536" s="571" t="e">
        <f t="shared" si="142"/>
        <v>#DIV/0!</v>
      </c>
    </row>
    <row r="537" spans="55:60" s="39" customFormat="1">
      <c r="BC537" s="573">
        <v>5.26</v>
      </c>
      <c r="BD537" s="571">
        <f t="shared" si="139"/>
        <v>0</v>
      </c>
      <c r="BE537" s="571">
        <f t="shared" si="143"/>
        <v>0</v>
      </c>
      <c r="BF537" s="586">
        <f t="shared" si="140"/>
        <v>0</v>
      </c>
      <c r="BG537" s="586" t="e">
        <f t="shared" si="141"/>
        <v>#DIV/0!</v>
      </c>
      <c r="BH537" s="571" t="e">
        <f t="shared" si="142"/>
        <v>#DIV/0!</v>
      </c>
    </row>
    <row r="538" spans="55:60" s="39" customFormat="1">
      <c r="BC538" s="573">
        <v>5.27</v>
      </c>
      <c r="BD538" s="571">
        <f t="shared" si="139"/>
        <v>0</v>
      </c>
      <c r="BE538" s="571">
        <f t="shared" si="143"/>
        <v>0</v>
      </c>
      <c r="BF538" s="586">
        <f t="shared" si="140"/>
        <v>0</v>
      </c>
      <c r="BG538" s="586" t="e">
        <f t="shared" si="141"/>
        <v>#DIV/0!</v>
      </c>
      <c r="BH538" s="571" t="e">
        <f t="shared" si="142"/>
        <v>#DIV/0!</v>
      </c>
    </row>
    <row r="539" spans="55:60" s="39" customFormat="1">
      <c r="BC539" s="573">
        <v>5.28</v>
      </c>
      <c r="BD539" s="571">
        <f t="shared" si="139"/>
        <v>0</v>
      </c>
      <c r="BE539" s="571">
        <f t="shared" si="143"/>
        <v>0</v>
      </c>
      <c r="BF539" s="586">
        <f t="shared" si="140"/>
        <v>0</v>
      </c>
      <c r="BG539" s="586" t="e">
        <f t="shared" si="141"/>
        <v>#DIV/0!</v>
      </c>
      <c r="BH539" s="571" t="e">
        <f t="shared" si="142"/>
        <v>#DIV/0!</v>
      </c>
    </row>
    <row r="540" spans="55:60" s="39" customFormat="1">
      <c r="BC540" s="573">
        <v>5.29</v>
      </c>
      <c r="BD540" s="571">
        <f t="shared" si="139"/>
        <v>0</v>
      </c>
      <c r="BE540" s="571">
        <f t="shared" si="143"/>
        <v>0</v>
      </c>
      <c r="BF540" s="586">
        <f t="shared" si="140"/>
        <v>0</v>
      </c>
      <c r="BG540" s="586" t="e">
        <f t="shared" si="141"/>
        <v>#DIV/0!</v>
      </c>
      <c r="BH540" s="571" t="e">
        <f t="shared" si="142"/>
        <v>#DIV/0!</v>
      </c>
    </row>
    <row r="541" spans="55:60" s="39" customFormat="1">
      <c r="BC541" s="573">
        <v>5.3</v>
      </c>
      <c r="BD541" s="571">
        <f t="shared" si="139"/>
        <v>0</v>
      </c>
      <c r="BE541" s="571">
        <f t="shared" si="143"/>
        <v>0</v>
      </c>
      <c r="BF541" s="586">
        <f t="shared" si="140"/>
        <v>0</v>
      </c>
      <c r="BG541" s="586" t="e">
        <f t="shared" si="141"/>
        <v>#DIV/0!</v>
      </c>
      <c r="BH541" s="571" t="e">
        <f t="shared" si="142"/>
        <v>#DIV/0!</v>
      </c>
    </row>
    <row r="542" spans="55:60" s="39" customFormat="1">
      <c r="BC542" s="573">
        <v>5.31</v>
      </c>
      <c r="BD542" s="571">
        <f t="shared" si="139"/>
        <v>0</v>
      </c>
      <c r="BE542" s="571">
        <f t="shared" si="143"/>
        <v>0</v>
      </c>
      <c r="BF542" s="586">
        <f t="shared" si="140"/>
        <v>0</v>
      </c>
      <c r="BG542" s="586" t="e">
        <f t="shared" si="141"/>
        <v>#DIV/0!</v>
      </c>
      <c r="BH542" s="571" t="e">
        <f t="shared" si="142"/>
        <v>#DIV/0!</v>
      </c>
    </row>
    <row r="543" spans="55:60" s="39" customFormat="1">
      <c r="BC543" s="573">
        <v>5.32</v>
      </c>
      <c r="BD543" s="571">
        <f t="shared" si="139"/>
        <v>0</v>
      </c>
      <c r="BE543" s="571">
        <f t="shared" si="143"/>
        <v>0</v>
      </c>
      <c r="BF543" s="586">
        <f t="shared" si="140"/>
        <v>0</v>
      </c>
      <c r="BG543" s="586" t="e">
        <f t="shared" si="141"/>
        <v>#DIV/0!</v>
      </c>
      <c r="BH543" s="571" t="e">
        <f t="shared" si="142"/>
        <v>#DIV/0!</v>
      </c>
    </row>
    <row r="544" spans="55:60" s="39" customFormat="1">
      <c r="BC544" s="573">
        <v>5.33</v>
      </c>
      <c r="BD544" s="571">
        <f t="shared" si="139"/>
        <v>0</v>
      </c>
      <c r="BE544" s="571">
        <f t="shared" si="143"/>
        <v>0</v>
      </c>
      <c r="BF544" s="586">
        <f t="shared" si="140"/>
        <v>0</v>
      </c>
      <c r="BG544" s="586" t="e">
        <f t="shared" si="141"/>
        <v>#DIV/0!</v>
      </c>
      <c r="BH544" s="571" t="e">
        <f t="shared" si="142"/>
        <v>#DIV/0!</v>
      </c>
    </row>
    <row r="545" spans="55:60" s="39" customFormat="1">
      <c r="BC545" s="573">
        <v>5.34</v>
      </c>
      <c r="BD545" s="571">
        <f t="shared" si="139"/>
        <v>0</v>
      </c>
      <c r="BE545" s="571">
        <f t="shared" si="143"/>
        <v>0</v>
      </c>
      <c r="BF545" s="586">
        <f t="shared" si="140"/>
        <v>0</v>
      </c>
      <c r="BG545" s="586" t="e">
        <f t="shared" si="141"/>
        <v>#DIV/0!</v>
      </c>
      <c r="BH545" s="571" t="e">
        <f t="shared" si="142"/>
        <v>#DIV/0!</v>
      </c>
    </row>
    <row r="546" spans="55:60" s="39" customFormat="1">
      <c r="BC546" s="573">
        <v>5.35</v>
      </c>
      <c r="BD546" s="571">
        <f t="shared" si="139"/>
        <v>0</v>
      </c>
      <c r="BE546" s="571">
        <f t="shared" si="143"/>
        <v>0</v>
      </c>
      <c r="BF546" s="586">
        <f t="shared" si="140"/>
        <v>0</v>
      </c>
      <c r="BG546" s="586" t="e">
        <f t="shared" si="141"/>
        <v>#DIV/0!</v>
      </c>
      <c r="BH546" s="571" t="e">
        <f t="shared" si="142"/>
        <v>#DIV/0!</v>
      </c>
    </row>
    <row r="547" spans="55:60" s="39" customFormat="1">
      <c r="BC547" s="573">
        <v>5.36</v>
      </c>
      <c r="BD547" s="571">
        <f t="shared" si="139"/>
        <v>0</v>
      </c>
      <c r="BE547" s="571">
        <f t="shared" si="143"/>
        <v>0</v>
      </c>
      <c r="BF547" s="586">
        <f t="shared" si="140"/>
        <v>0</v>
      </c>
      <c r="BG547" s="586" t="e">
        <f t="shared" si="141"/>
        <v>#DIV/0!</v>
      </c>
      <c r="BH547" s="571" t="e">
        <f t="shared" si="142"/>
        <v>#DIV/0!</v>
      </c>
    </row>
    <row r="548" spans="55:60" s="39" customFormat="1">
      <c r="BC548" s="573">
        <v>5.37</v>
      </c>
      <c r="BD548" s="571">
        <f t="shared" si="139"/>
        <v>0</v>
      </c>
      <c r="BE548" s="571">
        <f t="shared" si="143"/>
        <v>0</v>
      </c>
      <c r="BF548" s="586">
        <f t="shared" si="140"/>
        <v>0</v>
      </c>
      <c r="BG548" s="586" t="e">
        <f t="shared" si="141"/>
        <v>#DIV/0!</v>
      </c>
      <c r="BH548" s="571" t="e">
        <f t="shared" si="142"/>
        <v>#DIV/0!</v>
      </c>
    </row>
    <row r="549" spans="55:60" s="39" customFormat="1">
      <c r="BC549" s="573">
        <v>5.38</v>
      </c>
      <c r="BD549" s="571">
        <f t="shared" si="139"/>
        <v>0</v>
      </c>
      <c r="BE549" s="571">
        <f t="shared" si="143"/>
        <v>0</v>
      </c>
      <c r="BF549" s="586">
        <f t="shared" si="140"/>
        <v>0</v>
      </c>
      <c r="BG549" s="586" t="e">
        <f t="shared" si="141"/>
        <v>#DIV/0!</v>
      </c>
      <c r="BH549" s="571" t="e">
        <f t="shared" si="142"/>
        <v>#DIV/0!</v>
      </c>
    </row>
    <row r="550" spans="55:60" s="39" customFormat="1">
      <c r="BC550" s="573">
        <v>5.39</v>
      </c>
      <c r="BD550" s="571">
        <f t="shared" si="139"/>
        <v>0</v>
      </c>
      <c r="BE550" s="571">
        <f t="shared" si="143"/>
        <v>0</v>
      </c>
      <c r="BF550" s="586">
        <f t="shared" si="140"/>
        <v>0</v>
      </c>
      <c r="BG550" s="586" t="e">
        <f t="shared" si="141"/>
        <v>#DIV/0!</v>
      </c>
      <c r="BH550" s="571" t="e">
        <f t="shared" si="142"/>
        <v>#DIV/0!</v>
      </c>
    </row>
    <row r="551" spans="55:60" s="39" customFormat="1">
      <c r="BC551" s="573">
        <v>5.4</v>
      </c>
      <c r="BD551" s="571">
        <f t="shared" si="139"/>
        <v>0</v>
      </c>
      <c r="BE551" s="571">
        <f t="shared" si="143"/>
        <v>0</v>
      </c>
      <c r="BF551" s="586">
        <f t="shared" si="140"/>
        <v>0</v>
      </c>
      <c r="BG551" s="586" t="e">
        <f t="shared" si="141"/>
        <v>#DIV/0!</v>
      </c>
      <c r="BH551" s="571" t="e">
        <f t="shared" si="142"/>
        <v>#DIV/0!</v>
      </c>
    </row>
    <row r="552" spans="55:60" s="39" customFormat="1">
      <c r="BC552" s="573">
        <v>5.41</v>
      </c>
      <c r="BD552" s="571">
        <f t="shared" si="139"/>
        <v>0</v>
      </c>
      <c r="BE552" s="571">
        <f t="shared" si="143"/>
        <v>0</v>
      </c>
      <c r="BF552" s="586">
        <f t="shared" si="140"/>
        <v>0</v>
      </c>
      <c r="BG552" s="586" t="e">
        <f t="shared" si="141"/>
        <v>#DIV/0!</v>
      </c>
      <c r="BH552" s="571" t="e">
        <f t="shared" si="142"/>
        <v>#DIV/0!</v>
      </c>
    </row>
    <row r="553" spans="55:60" s="39" customFormat="1">
      <c r="BC553" s="573">
        <v>5.42</v>
      </c>
      <c r="BD553" s="571">
        <f t="shared" si="139"/>
        <v>0</v>
      </c>
      <c r="BE553" s="571">
        <f t="shared" si="143"/>
        <v>0</v>
      </c>
      <c r="BF553" s="586">
        <f t="shared" si="140"/>
        <v>0</v>
      </c>
      <c r="BG553" s="586" t="e">
        <f t="shared" si="141"/>
        <v>#DIV/0!</v>
      </c>
      <c r="BH553" s="571" t="e">
        <f t="shared" si="142"/>
        <v>#DIV/0!</v>
      </c>
    </row>
    <row r="554" spans="55:60" s="39" customFormat="1">
      <c r="BC554" s="573">
        <v>5.43</v>
      </c>
      <c r="BD554" s="571">
        <f t="shared" si="139"/>
        <v>0</v>
      </c>
      <c r="BE554" s="571">
        <f t="shared" si="143"/>
        <v>0</v>
      </c>
      <c r="BF554" s="586">
        <f t="shared" si="140"/>
        <v>0</v>
      </c>
      <c r="BG554" s="586" t="e">
        <f t="shared" si="141"/>
        <v>#DIV/0!</v>
      </c>
      <c r="BH554" s="571" t="e">
        <f t="shared" si="142"/>
        <v>#DIV/0!</v>
      </c>
    </row>
    <row r="555" spans="55:60" s="39" customFormat="1">
      <c r="BC555" s="573">
        <v>5.44</v>
      </c>
      <c r="BD555" s="571">
        <f t="shared" si="139"/>
        <v>0</v>
      </c>
      <c r="BE555" s="571">
        <f t="shared" si="143"/>
        <v>0</v>
      </c>
      <c r="BF555" s="586">
        <f t="shared" si="140"/>
        <v>0</v>
      </c>
      <c r="BG555" s="586" t="e">
        <f t="shared" si="141"/>
        <v>#DIV/0!</v>
      </c>
      <c r="BH555" s="571" t="e">
        <f t="shared" si="142"/>
        <v>#DIV/0!</v>
      </c>
    </row>
    <row r="556" spans="55:60" s="39" customFormat="1">
      <c r="BC556" s="573">
        <v>5.45</v>
      </c>
      <c r="BD556" s="571">
        <f t="shared" si="139"/>
        <v>0</v>
      </c>
      <c r="BE556" s="571">
        <f t="shared" si="143"/>
        <v>0</v>
      </c>
      <c r="BF556" s="586">
        <f t="shared" si="140"/>
        <v>0</v>
      </c>
      <c r="BG556" s="586" t="e">
        <f t="shared" si="141"/>
        <v>#DIV/0!</v>
      </c>
      <c r="BH556" s="571" t="e">
        <f t="shared" si="142"/>
        <v>#DIV/0!</v>
      </c>
    </row>
    <row r="557" spans="55:60" s="39" customFormat="1">
      <c r="BC557" s="573">
        <v>5.46</v>
      </c>
      <c r="BD557" s="571">
        <f t="shared" si="139"/>
        <v>0</v>
      </c>
      <c r="BE557" s="571">
        <f t="shared" si="143"/>
        <v>0</v>
      </c>
      <c r="BF557" s="586">
        <f t="shared" si="140"/>
        <v>0</v>
      </c>
      <c r="BG557" s="586" t="e">
        <f t="shared" si="141"/>
        <v>#DIV/0!</v>
      </c>
      <c r="BH557" s="571" t="e">
        <f t="shared" si="142"/>
        <v>#DIV/0!</v>
      </c>
    </row>
    <row r="558" spans="55:60" s="39" customFormat="1">
      <c r="BC558" s="573">
        <v>5.47</v>
      </c>
      <c r="BD558" s="571">
        <f t="shared" si="139"/>
        <v>0</v>
      </c>
      <c r="BE558" s="571">
        <f t="shared" si="143"/>
        <v>0</v>
      </c>
      <c r="BF558" s="586">
        <f t="shared" si="140"/>
        <v>0</v>
      </c>
      <c r="BG558" s="586" t="e">
        <f t="shared" si="141"/>
        <v>#DIV/0!</v>
      </c>
      <c r="BH558" s="571" t="e">
        <f t="shared" si="142"/>
        <v>#DIV/0!</v>
      </c>
    </row>
    <row r="559" spans="55:60" s="39" customFormat="1">
      <c r="BC559" s="573">
        <v>5.48</v>
      </c>
      <c r="BD559" s="571">
        <f t="shared" si="139"/>
        <v>0</v>
      </c>
      <c r="BE559" s="571">
        <f t="shared" si="143"/>
        <v>0</v>
      </c>
      <c r="BF559" s="586">
        <f t="shared" si="140"/>
        <v>0</v>
      </c>
      <c r="BG559" s="586" t="e">
        <f t="shared" si="141"/>
        <v>#DIV/0!</v>
      </c>
      <c r="BH559" s="571" t="e">
        <f t="shared" si="142"/>
        <v>#DIV/0!</v>
      </c>
    </row>
    <row r="560" spans="55:60" s="39" customFormat="1">
      <c r="BC560" s="573">
        <v>5.49</v>
      </c>
      <c r="BD560" s="571">
        <f t="shared" si="139"/>
        <v>0</v>
      </c>
      <c r="BE560" s="571">
        <f t="shared" si="143"/>
        <v>0</v>
      </c>
      <c r="BF560" s="586">
        <f t="shared" si="140"/>
        <v>0</v>
      </c>
      <c r="BG560" s="586" t="e">
        <f t="shared" si="141"/>
        <v>#DIV/0!</v>
      </c>
      <c r="BH560" s="571" t="e">
        <f t="shared" si="142"/>
        <v>#DIV/0!</v>
      </c>
    </row>
    <row r="561" spans="55:60" s="39" customFormat="1">
      <c r="BC561" s="573">
        <v>5.5</v>
      </c>
      <c r="BD561" s="571">
        <f t="shared" si="139"/>
        <v>0</v>
      </c>
      <c r="BE561" s="571">
        <f t="shared" si="143"/>
        <v>0</v>
      </c>
      <c r="BF561" s="586">
        <f t="shared" si="140"/>
        <v>0</v>
      </c>
      <c r="BG561" s="586" t="e">
        <f t="shared" si="141"/>
        <v>#DIV/0!</v>
      </c>
      <c r="BH561" s="571" t="e">
        <f t="shared" si="142"/>
        <v>#DIV/0!</v>
      </c>
    </row>
    <row r="562" spans="55:60" s="39" customFormat="1">
      <c r="BC562" s="573">
        <v>5.51</v>
      </c>
      <c r="BD562" s="571">
        <f t="shared" si="139"/>
        <v>0</v>
      </c>
      <c r="BE562" s="571">
        <f t="shared" si="143"/>
        <v>0</v>
      </c>
      <c r="BF562" s="586">
        <f t="shared" si="140"/>
        <v>0</v>
      </c>
      <c r="BG562" s="586" t="e">
        <f t="shared" si="141"/>
        <v>#DIV/0!</v>
      </c>
      <c r="BH562" s="571" t="e">
        <f t="shared" si="142"/>
        <v>#DIV/0!</v>
      </c>
    </row>
    <row r="563" spans="55:60" s="39" customFormat="1">
      <c r="BC563" s="573">
        <v>5.52</v>
      </c>
      <c r="BD563" s="571">
        <f t="shared" si="139"/>
        <v>0</v>
      </c>
      <c r="BE563" s="571">
        <f t="shared" si="143"/>
        <v>0</v>
      </c>
      <c r="BF563" s="586">
        <f t="shared" si="140"/>
        <v>0</v>
      </c>
      <c r="BG563" s="586" t="e">
        <f t="shared" si="141"/>
        <v>#DIV/0!</v>
      </c>
      <c r="BH563" s="571" t="e">
        <f t="shared" si="142"/>
        <v>#DIV/0!</v>
      </c>
    </row>
    <row r="564" spans="55:60" s="39" customFormat="1">
      <c r="BC564" s="573">
        <v>5.53</v>
      </c>
      <c r="BD564" s="571">
        <f t="shared" si="139"/>
        <v>0</v>
      </c>
      <c r="BE564" s="571">
        <f t="shared" si="143"/>
        <v>0</v>
      </c>
      <c r="BF564" s="586">
        <f t="shared" si="140"/>
        <v>0</v>
      </c>
      <c r="BG564" s="586" t="e">
        <f t="shared" si="141"/>
        <v>#DIV/0!</v>
      </c>
      <c r="BH564" s="571" t="e">
        <f t="shared" si="142"/>
        <v>#DIV/0!</v>
      </c>
    </row>
    <row r="565" spans="55:60" s="39" customFormat="1">
      <c r="BC565" s="573">
        <v>5.54</v>
      </c>
      <c r="BD565" s="571">
        <f t="shared" si="139"/>
        <v>0</v>
      </c>
      <c r="BE565" s="571">
        <f t="shared" si="143"/>
        <v>0</v>
      </c>
      <c r="BF565" s="586">
        <f t="shared" si="140"/>
        <v>0</v>
      </c>
      <c r="BG565" s="586" t="e">
        <f t="shared" si="141"/>
        <v>#DIV/0!</v>
      </c>
      <c r="BH565" s="571" t="e">
        <f t="shared" si="142"/>
        <v>#DIV/0!</v>
      </c>
    </row>
    <row r="566" spans="55:60" s="39" customFormat="1">
      <c r="BC566" s="573">
        <v>5.55</v>
      </c>
      <c r="BD566" s="571">
        <f t="shared" si="139"/>
        <v>0</v>
      </c>
      <c r="BE566" s="571">
        <f t="shared" si="143"/>
        <v>0</v>
      </c>
      <c r="BF566" s="586">
        <f t="shared" si="140"/>
        <v>0</v>
      </c>
      <c r="BG566" s="586" t="e">
        <f t="shared" si="141"/>
        <v>#DIV/0!</v>
      </c>
      <c r="BH566" s="571" t="e">
        <f t="shared" si="142"/>
        <v>#DIV/0!</v>
      </c>
    </row>
    <row r="567" spans="55:60" s="39" customFormat="1">
      <c r="BC567" s="573">
        <v>5.56</v>
      </c>
      <c r="BD567" s="571">
        <f t="shared" si="139"/>
        <v>0</v>
      </c>
      <c r="BE567" s="571">
        <f t="shared" si="143"/>
        <v>0</v>
      </c>
      <c r="BF567" s="586">
        <f t="shared" si="140"/>
        <v>0</v>
      </c>
      <c r="BG567" s="586" t="e">
        <f t="shared" si="141"/>
        <v>#DIV/0!</v>
      </c>
      <c r="BH567" s="571" t="e">
        <f t="shared" si="142"/>
        <v>#DIV/0!</v>
      </c>
    </row>
    <row r="568" spans="55:60" s="39" customFormat="1">
      <c r="BC568" s="573">
        <v>5.57</v>
      </c>
      <c r="BD568" s="571">
        <f t="shared" si="139"/>
        <v>0</v>
      </c>
      <c r="BE568" s="571">
        <f t="shared" si="143"/>
        <v>0</v>
      </c>
      <c r="BF568" s="586">
        <f t="shared" si="140"/>
        <v>0</v>
      </c>
      <c r="BG568" s="586" t="e">
        <f t="shared" si="141"/>
        <v>#DIV/0!</v>
      </c>
      <c r="BH568" s="571" t="e">
        <f t="shared" si="142"/>
        <v>#DIV/0!</v>
      </c>
    </row>
    <row r="569" spans="55:60" s="39" customFormat="1">
      <c r="BC569" s="573">
        <v>5.58</v>
      </c>
      <c r="BD569" s="571">
        <f t="shared" si="139"/>
        <v>0</v>
      </c>
      <c r="BE569" s="571">
        <f t="shared" si="143"/>
        <v>0</v>
      </c>
      <c r="BF569" s="586">
        <f t="shared" si="140"/>
        <v>0</v>
      </c>
      <c r="BG569" s="586" t="e">
        <f t="shared" si="141"/>
        <v>#DIV/0!</v>
      </c>
      <c r="BH569" s="571" t="e">
        <f t="shared" si="142"/>
        <v>#DIV/0!</v>
      </c>
    </row>
    <row r="570" spans="55:60" s="39" customFormat="1">
      <c r="BC570" s="573">
        <v>5.59</v>
      </c>
      <c r="BD570" s="571">
        <f t="shared" si="139"/>
        <v>0</v>
      </c>
      <c r="BE570" s="571">
        <f t="shared" si="143"/>
        <v>0</v>
      </c>
      <c r="BF570" s="586">
        <f t="shared" si="140"/>
        <v>0</v>
      </c>
      <c r="BG570" s="586" t="e">
        <f t="shared" si="141"/>
        <v>#DIV/0!</v>
      </c>
      <c r="BH570" s="571" t="e">
        <f t="shared" si="142"/>
        <v>#DIV/0!</v>
      </c>
    </row>
    <row r="571" spans="55:60" s="39" customFormat="1">
      <c r="BC571" s="573">
        <v>5.6</v>
      </c>
      <c r="BD571" s="571">
        <f t="shared" si="139"/>
        <v>0</v>
      </c>
      <c r="BE571" s="571">
        <f t="shared" si="143"/>
        <v>0</v>
      </c>
      <c r="BF571" s="586">
        <f t="shared" si="140"/>
        <v>0</v>
      </c>
      <c r="BG571" s="586" t="e">
        <f t="shared" si="141"/>
        <v>#DIV/0!</v>
      </c>
      <c r="BH571" s="571" t="e">
        <f t="shared" si="142"/>
        <v>#DIV/0!</v>
      </c>
    </row>
    <row r="572" spans="55:60" s="39" customFormat="1">
      <c r="BC572" s="573">
        <v>5.61</v>
      </c>
      <c r="BD572" s="571">
        <f t="shared" si="139"/>
        <v>0</v>
      </c>
      <c r="BE572" s="571">
        <f t="shared" si="143"/>
        <v>0</v>
      </c>
      <c r="BF572" s="586">
        <f t="shared" si="140"/>
        <v>0</v>
      </c>
      <c r="BG572" s="586" t="e">
        <f t="shared" si="141"/>
        <v>#DIV/0!</v>
      </c>
      <c r="BH572" s="571" t="e">
        <f t="shared" si="142"/>
        <v>#DIV/0!</v>
      </c>
    </row>
    <row r="573" spans="55:60" s="39" customFormat="1">
      <c r="BC573" s="573">
        <v>5.62</v>
      </c>
      <c r="BD573" s="571">
        <f t="shared" si="139"/>
        <v>0</v>
      </c>
      <c r="BE573" s="571">
        <f t="shared" si="143"/>
        <v>0</v>
      </c>
      <c r="BF573" s="586">
        <f t="shared" si="140"/>
        <v>0</v>
      </c>
      <c r="BG573" s="586" t="e">
        <f t="shared" si="141"/>
        <v>#DIV/0!</v>
      </c>
      <c r="BH573" s="571" t="e">
        <f t="shared" si="142"/>
        <v>#DIV/0!</v>
      </c>
    </row>
    <row r="574" spans="55:60" s="39" customFormat="1">
      <c r="BC574" s="573">
        <v>5.63</v>
      </c>
      <c r="BD574" s="571">
        <f t="shared" si="139"/>
        <v>0</v>
      </c>
      <c r="BE574" s="571">
        <f t="shared" si="143"/>
        <v>0</v>
      </c>
      <c r="BF574" s="586">
        <f t="shared" si="140"/>
        <v>0</v>
      </c>
      <c r="BG574" s="586" t="e">
        <f t="shared" si="141"/>
        <v>#DIV/0!</v>
      </c>
      <c r="BH574" s="571" t="e">
        <f t="shared" si="142"/>
        <v>#DIV/0!</v>
      </c>
    </row>
    <row r="575" spans="55:60" s="39" customFormat="1">
      <c r="BC575" s="573">
        <v>5.64</v>
      </c>
      <c r="BD575" s="571">
        <f t="shared" si="139"/>
        <v>0</v>
      </c>
      <c r="BE575" s="571">
        <f t="shared" si="143"/>
        <v>0</v>
      </c>
      <c r="BF575" s="586">
        <f t="shared" si="140"/>
        <v>0</v>
      </c>
      <c r="BG575" s="586" t="e">
        <f t="shared" si="141"/>
        <v>#DIV/0!</v>
      </c>
      <c r="BH575" s="571" t="e">
        <f t="shared" si="142"/>
        <v>#DIV/0!</v>
      </c>
    </row>
    <row r="576" spans="55:60" s="39" customFormat="1">
      <c r="BC576" s="573">
        <v>5.65</v>
      </c>
      <c r="BD576" s="571">
        <f t="shared" si="139"/>
        <v>0</v>
      </c>
      <c r="BE576" s="571">
        <f t="shared" si="143"/>
        <v>0</v>
      </c>
      <c r="BF576" s="586">
        <f t="shared" si="140"/>
        <v>0</v>
      </c>
      <c r="BG576" s="586" t="e">
        <f t="shared" si="141"/>
        <v>#DIV/0!</v>
      </c>
      <c r="BH576" s="571" t="e">
        <f t="shared" si="142"/>
        <v>#DIV/0!</v>
      </c>
    </row>
    <row r="577" spans="55:60" s="39" customFormat="1">
      <c r="BC577" s="573">
        <v>5.66</v>
      </c>
      <c r="BD577" s="571">
        <f t="shared" si="139"/>
        <v>0</v>
      </c>
      <c r="BE577" s="571">
        <f t="shared" si="143"/>
        <v>0</v>
      </c>
      <c r="BF577" s="586">
        <f t="shared" si="140"/>
        <v>0</v>
      </c>
      <c r="BG577" s="586" t="e">
        <f t="shared" si="141"/>
        <v>#DIV/0!</v>
      </c>
      <c r="BH577" s="571" t="e">
        <f t="shared" si="142"/>
        <v>#DIV/0!</v>
      </c>
    </row>
    <row r="578" spans="55:60" s="39" customFormat="1">
      <c r="BC578" s="573">
        <v>5.67</v>
      </c>
      <c r="BD578" s="571">
        <f t="shared" si="139"/>
        <v>0</v>
      </c>
      <c r="BE578" s="571">
        <f t="shared" si="143"/>
        <v>0</v>
      </c>
      <c r="BF578" s="586">
        <f t="shared" si="140"/>
        <v>0</v>
      </c>
      <c r="BG578" s="586" t="e">
        <f t="shared" si="141"/>
        <v>#DIV/0!</v>
      </c>
      <c r="BH578" s="571" t="e">
        <f t="shared" si="142"/>
        <v>#DIV/0!</v>
      </c>
    </row>
    <row r="579" spans="55:60" s="39" customFormat="1">
      <c r="BC579" s="573">
        <v>5.68</v>
      </c>
      <c r="BD579" s="571">
        <f t="shared" si="139"/>
        <v>0</v>
      </c>
      <c r="BE579" s="571">
        <f t="shared" si="143"/>
        <v>0</v>
      </c>
      <c r="BF579" s="586">
        <f t="shared" si="140"/>
        <v>0</v>
      </c>
      <c r="BG579" s="586" t="e">
        <f t="shared" si="141"/>
        <v>#DIV/0!</v>
      </c>
      <c r="BH579" s="571" t="e">
        <f t="shared" si="142"/>
        <v>#DIV/0!</v>
      </c>
    </row>
    <row r="580" spans="55:60" s="39" customFormat="1">
      <c r="BC580" s="573">
        <v>5.69</v>
      </c>
      <c r="BD580" s="571">
        <f t="shared" si="139"/>
        <v>0</v>
      </c>
      <c r="BE580" s="571">
        <f t="shared" si="143"/>
        <v>0</v>
      </c>
      <c r="BF580" s="586">
        <f t="shared" si="140"/>
        <v>0</v>
      </c>
      <c r="BG580" s="586" t="e">
        <f t="shared" si="141"/>
        <v>#DIV/0!</v>
      </c>
      <c r="BH580" s="571" t="e">
        <f t="shared" si="142"/>
        <v>#DIV/0!</v>
      </c>
    </row>
    <row r="581" spans="55:60" s="39" customFormat="1">
      <c r="BC581" s="573">
        <v>5.7</v>
      </c>
      <c r="BD581" s="571">
        <f t="shared" si="139"/>
        <v>0</v>
      </c>
      <c r="BE581" s="571">
        <f t="shared" si="143"/>
        <v>0</v>
      </c>
      <c r="BF581" s="586">
        <f t="shared" si="140"/>
        <v>0</v>
      </c>
      <c r="BG581" s="586" t="e">
        <f t="shared" si="141"/>
        <v>#DIV/0!</v>
      </c>
      <c r="BH581" s="571" t="e">
        <f t="shared" si="142"/>
        <v>#DIV/0!</v>
      </c>
    </row>
    <row r="582" spans="55:60" s="39" customFormat="1">
      <c r="BC582" s="573">
        <v>5.71</v>
      </c>
      <c r="BD582" s="571">
        <f t="shared" si="139"/>
        <v>0</v>
      </c>
      <c r="BE582" s="571">
        <f t="shared" si="143"/>
        <v>0</v>
      </c>
      <c r="BF582" s="586">
        <f t="shared" si="140"/>
        <v>0</v>
      </c>
      <c r="BG582" s="586" t="e">
        <f t="shared" si="141"/>
        <v>#DIV/0!</v>
      </c>
      <c r="BH582" s="571" t="e">
        <f t="shared" si="142"/>
        <v>#DIV/0!</v>
      </c>
    </row>
    <row r="583" spans="55:60" s="39" customFormat="1">
      <c r="BC583" s="573">
        <v>5.72</v>
      </c>
      <c r="BD583" s="571">
        <f t="shared" si="139"/>
        <v>0</v>
      </c>
      <c r="BE583" s="571">
        <f t="shared" si="143"/>
        <v>0</v>
      </c>
      <c r="BF583" s="586">
        <f t="shared" si="140"/>
        <v>0</v>
      </c>
      <c r="BG583" s="586" t="e">
        <f t="shared" si="141"/>
        <v>#DIV/0!</v>
      </c>
      <c r="BH583" s="571" t="e">
        <f t="shared" si="142"/>
        <v>#DIV/0!</v>
      </c>
    </row>
    <row r="584" spans="55:60" s="39" customFormat="1">
      <c r="BC584" s="573">
        <v>5.73</v>
      </c>
      <c r="BD584" s="571">
        <f t="shared" si="139"/>
        <v>0</v>
      </c>
      <c r="BE584" s="571">
        <f t="shared" si="143"/>
        <v>0</v>
      </c>
      <c r="BF584" s="586">
        <f t="shared" si="140"/>
        <v>0</v>
      </c>
      <c r="BG584" s="586" t="e">
        <f t="shared" si="141"/>
        <v>#DIV/0!</v>
      </c>
      <c r="BH584" s="571" t="e">
        <f t="shared" si="142"/>
        <v>#DIV/0!</v>
      </c>
    </row>
    <row r="585" spans="55:60" s="39" customFormat="1">
      <c r="BC585" s="573">
        <v>5.74</v>
      </c>
      <c r="BD585" s="571">
        <f t="shared" si="139"/>
        <v>0</v>
      </c>
      <c r="BE585" s="571">
        <f t="shared" si="143"/>
        <v>0</v>
      </c>
      <c r="BF585" s="586">
        <f t="shared" si="140"/>
        <v>0</v>
      </c>
      <c r="BG585" s="586" t="e">
        <f t="shared" si="141"/>
        <v>#DIV/0!</v>
      </c>
      <c r="BH585" s="571" t="e">
        <f t="shared" si="142"/>
        <v>#DIV/0!</v>
      </c>
    </row>
    <row r="586" spans="55:60" s="39" customFormat="1">
      <c r="BC586" s="573">
        <v>5.75</v>
      </c>
      <c r="BD586" s="571">
        <f t="shared" si="139"/>
        <v>0</v>
      </c>
      <c r="BE586" s="571">
        <f t="shared" si="143"/>
        <v>0</v>
      </c>
      <c r="BF586" s="586">
        <f t="shared" si="140"/>
        <v>0</v>
      </c>
      <c r="BG586" s="586" t="e">
        <f t="shared" si="141"/>
        <v>#DIV/0!</v>
      </c>
      <c r="BH586" s="571" t="e">
        <f t="shared" si="142"/>
        <v>#DIV/0!</v>
      </c>
    </row>
    <row r="587" spans="55:60" s="39" customFormat="1">
      <c r="BC587" s="573">
        <v>5.76</v>
      </c>
      <c r="BD587" s="571">
        <f t="shared" si="139"/>
        <v>0</v>
      </c>
      <c r="BE587" s="571">
        <f t="shared" si="143"/>
        <v>0</v>
      </c>
      <c r="BF587" s="586">
        <f t="shared" si="140"/>
        <v>0</v>
      </c>
      <c r="BG587" s="586" t="e">
        <f t="shared" si="141"/>
        <v>#DIV/0!</v>
      </c>
      <c r="BH587" s="571" t="e">
        <f t="shared" si="142"/>
        <v>#DIV/0!</v>
      </c>
    </row>
    <row r="588" spans="55:60" s="39" customFormat="1">
      <c r="BC588" s="573">
        <v>5.77</v>
      </c>
      <c r="BD588" s="571">
        <f t="shared" ref="BD588:BD651" si="144">$AU$15/BC588</f>
        <v>0</v>
      </c>
      <c r="BE588" s="571">
        <f t="shared" si="143"/>
        <v>0</v>
      </c>
      <c r="BF588" s="586">
        <f t="shared" ref="BF588:BF651" si="145">BC588*(BE588/1000)/$AO$12</f>
        <v>0</v>
      </c>
      <c r="BG588" s="586" t="e">
        <f t="shared" ref="BG588:BG651" si="146">POWER((1/(-1.8*LOG((6.9/BF588+POWER((($P$7/BE588)/3.71),1.11)),10))),2)</f>
        <v>#DIV/0!</v>
      </c>
      <c r="BH588" s="571" t="e">
        <f t="shared" ref="BH588:BH651" si="147">BG588*0.5*$P$6*16*$AU$15*$AU$15/(POWER(PI(),2)*POWER((BE588/1000),5))</f>
        <v>#DIV/0!</v>
      </c>
    </row>
    <row r="589" spans="55:60" s="39" customFormat="1">
      <c r="BC589" s="573">
        <v>5.78</v>
      </c>
      <c r="BD589" s="571">
        <f t="shared" si="144"/>
        <v>0</v>
      </c>
      <c r="BE589" s="571">
        <f t="shared" ref="BE589:BE652" si="148">((BD589/PI())^0.5)*2*1000</f>
        <v>0</v>
      </c>
      <c r="BF589" s="586">
        <f t="shared" si="145"/>
        <v>0</v>
      </c>
      <c r="BG589" s="586" t="e">
        <f t="shared" si="146"/>
        <v>#DIV/0!</v>
      </c>
      <c r="BH589" s="571" t="e">
        <f t="shared" si="147"/>
        <v>#DIV/0!</v>
      </c>
    </row>
    <row r="590" spans="55:60" s="39" customFormat="1">
      <c r="BC590" s="573">
        <v>5.79</v>
      </c>
      <c r="BD590" s="571">
        <f t="shared" si="144"/>
        <v>0</v>
      </c>
      <c r="BE590" s="571">
        <f t="shared" si="148"/>
        <v>0</v>
      </c>
      <c r="BF590" s="586">
        <f t="shared" si="145"/>
        <v>0</v>
      </c>
      <c r="BG590" s="586" t="e">
        <f t="shared" si="146"/>
        <v>#DIV/0!</v>
      </c>
      <c r="BH590" s="571" t="e">
        <f t="shared" si="147"/>
        <v>#DIV/0!</v>
      </c>
    </row>
    <row r="591" spans="55:60" s="39" customFormat="1">
      <c r="BC591" s="573">
        <v>5.8</v>
      </c>
      <c r="BD591" s="571">
        <f t="shared" si="144"/>
        <v>0</v>
      </c>
      <c r="BE591" s="571">
        <f t="shared" si="148"/>
        <v>0</v>
      </c>
      <c r="BF591" s="586">
        <f t="shared" si="145"/>
        <v>0</v>
      </c>
      <c r="BG591" s="586" t="e">
        <f t="shared" si="146"/>
        <v>#DIV/0!</v>
      </c>
      <c r="BH591" s="571" t="e">
        <f t="shared" si="147"/>
        <v>#DIV/0!</v>
      </c>
    </row>
    <row r="592" spans="55:60" s="39" customFormat="1">
      <c r="BC592" s="573">
        <v>5.81</v>
      </c>
      <c r="BD592" s="571">
        <f t="shared" si="144"/>
        <v>0</v>
      </c>
      <c r="BE592" s="571">
        <f t="shared" si="148"/>
        <v>0</v>
      </c>
      <c r="BF592" s="586">
        <f t="shared" si="145"/>
        <v>0</v>
      </c>
      <c r="BG592" s="586" t="e">
        <f t="shared" si="146"/>
        <v>#DIV/0!</v>
      </c>
      <c r="BH592" s="571" t="e">
        <f t="shared" si="147"/>
        <v>#DIV/0!</v>
      </c>
    </row>
    <row r="593" spans="55:60" s="39" customFormat="1">
      <c r="BC593" s="573">
        <v>5.82</v>
      </c>
      <c r="BD593" s="571">
        <f t="shared" si="144"/>
        <v>0</v>
      </c>
      <c r="BE593" s="571">
        <f t="shared" si="148"/>
        <v>0</v>
      </c>
      <c r="BF593" s="586">
        <f t="shared" si="145"/>
        <v>0</v>
      </c>
      <c r="BG593" s="586" t="e">
        <f t="shared" si="146"/>
        <v>#DIV/0!</v>
      </c>
      <c r="BH593" s="571" t="e">
        <f t="shared" si="147"/>
        <v>#DIV/0!</v>
      </c>
    </row>
    <row r="594" spans="55:60" s="39" customFormat="1">
      <c r="BC594" s="573">
        <v>5.83</v>
      </c>
      <c r="BD594" s="571">
        <f t="shared" si="144"/>
        <v>0</v>
      </c>
      <c r="BE594" s="571">
        <f t="shared" si="148"/>
        <v>0</v>
      </c>
      <c r="BF594" s="586">
        <f t="shared" si="145"/>
        <v>0</v>
      </c>
      <c r="BG594" s="586" t="e">
        <f t="shared" si="146"/>
        <v>#DIV/0!</v>
      </c>
      <c r="BH594" s="571" t="e">
        <f t="shared" si="147"/>
        <v>#DIV/0!</v>
      </c>
    </row>
    <row r="595" spans="55:60" s="39" customFormat="1">
      <c r="BC595" s="573">
        <v>5.84</v>
      </c>
      <c r="BD595" s="571">
        <f t="shared" si="144"/>
        <v>0</v>
      </c>
      <c r="BE595" s="571">
        <f t="shared" si="148"/>
        <v>0</v>
      </c>
      <c r="BF595" s="586">
        <f t="shared" si="145"/>
        <v>0</v>
      </c>
      <c r="BG595" s="586" t="e">
        <f t="shared" si="146"/>
        <v>#DIV/0!</v>
      </c>
      <c r="BH595" s="571" t="e">
        <f t="shared" si="147"/>
        <v>#DIV/0!</v>
      </c>
    </row>
    <row r="596" spans="55:60" s="39" customFormat="1">
      <c r="BC596" s="573">
        <v>5.85</v>
      </c>
      <c r="BD596" s="571">
        <f t="shared" si="144"/>
        <v>0</v>
      </c>
      <c r="BE596" s="571">
        <f t="shared" si="148"/>
        <v>0</v>
      </c>
      <c r="BF596" s="586">
        <f t="shared" si="145"/>
        <v>0</v>
      </c>
      <c r="BG596" s="586" t="e">
        <f t="shared" si="146"/>
        <v>#DIV/0!</v>
      </c>
      <c r="BH596" s="571" t="e">
        <f t="shared" si="147"/>
        <v>#DIV/0!</v>
      </c>
    </row>
    <row r="597" spans="55:60" s="39" customFormat="1">
      <c r="BC597" s="573">
        <v>5.86</v>
      </c>
      <c r="BD597" s="571">
        <f t="shared" si="144"/>
        <v>0</v>
      </c>
      <c r="BE597" s="571">
        <f t="shared" si="148"/>
        <v>0</v>
      </c>
      <c r="BF597" s="586">
        <f t="shared" si="145"/>
        <v>0</v>
      </c>
      <c r="BG597" s="586" t="e">
        <f t="shared" si="146"/>
        <v>#DIV/0!</v>
      </c>
      <c r="BH597" s="571" t="e">
        <f t="shared" si="147"/>
        <v>#DIV/0!</v>
      </c>
    </row>
    <row r="598" spans="55:60" s="39" customFormat="1">
      <c r="BC598" s="573">
        <v>5.87</v>
      </c>
      <c r="BD598" s="571">
        <f t="shared" si="144"/>
        <v>0</v>
      </c>
      <c r="BE598" s="571">
        <f t="shared" si="148"/>
        <v>0</v>
      </c>
      <c r="BF598" s="586">
        <f t="shared" si="145"/>
        <v>0</v>
      </c>
      <c r="BG598" s="586" t="e">
        <f t="shared" si="146"/>
        <v>#DIV/0!</v>
      </c>
      <c r="BH598" s="571" t="e">
        <f t="shared" si="147"/>
        <v>#DIV/0!</v>
      </c>
    </row>
    <row r="599" spans="55:60" s="39" customFormat="1">
      <c r="BC599" s="573">
        <v>5.88</v>
      </c>
      <c r="BD599" s="571">
        <f t="shared" si="144"/>
        <v>0</v>
      </c>
      <c r="BE599" s="571">
        <f t="shared" si="148"/>
        <v>0</v>
      </c>
      <c r="BF599" s="586">
        <f t="shared" si="145"/>
        <v>0</v>
      </c>
      <c r="BG599" s="586" t="e">
        <f t="shared" si="146"/>
        <v>#DIV/0!</v>
      </c>
      <c r="BH599" s="571" t="e">
        <f t="shared" si="147"/>
        <v>#DIV/0!</v>
      </c>
    </row>
    <row r="600" spans="55:60" s="39" customFormat="1">
      <c r="BC600" s="573">
        <v>5.89</v>
      </c>
      <c r="BD600" s="571">
        <f t="shared" si="144"/>
        <v>0</v>
      </c>
      <c r="BE600" s="571">
        <f t="shared" si="148"/>
        <v>0</v>
      </c>
      <c r="BF600" s="586">
        <f t="shared" si="145"/>
        <v>0</v>
      </c>
      <c r="BG600" s="586" t="e">
        <f t="shared" si="146"/>
        <v>#DIV/0!</v>
      </c>
      <c r="BH600" s="571" t="e">
        <f t="shared" si="147"/>
        <v>#DIV/0!</v>
      </c>
    </row>
    <row r="601" spans="55:60" s="39" customFormat="1">
      <c r="BC601" s="573">
        <v>5.9</v>
      </c>
      <c r="BD601" s="571">
        <f t="shared" si="144"/>
        <v>0</v>
      </c>
      <c r="BE601" s="571">
        <f t="shared" si="148"/>
        <v>0</v>
      </c>
      <c r="BF601" s="586">
        <f t="shared" si="145"/>
        <v>0</v>
      </c>
      <c r="BG601" s="586" t="e">
        <f t="shared" si="146"/>
        <v>#DIV/0!</v>
      </c>
      <c r="BH601" s="571" t="e">
        <f t="shared" si="147"/>
        <v>#DIV/0!</v>
      </c>
    </row>
    <row r="602" spans="55:60" s="39" customFormat="1">
      <c r="BC602" s="573">
        <v>5.91</v>
      </c>
      <c r="BD602" s="571">
        <f t="shared" si="144"/>
        <v>0</v>
      </c>
      <c r="BE602" s="571">
        <f t="shared" si="148"/>
        <v>0</v>
      </c>
      <c r="BF602" s="586">
        <f t="shared" si="145"/>
        <v>0</v>
      </c>
      <c r="BG602" s="586" t="e">
        <f t="shared" si="146"/>
        <v>#DIV/0!</v>
      </c>
      <c r="BH602" s="571" t="e">
        <f t="shared" si="147"/>
        <v>#DIV/0!</v>
      </c>
    </row>
    <row r="603" spans="55:60" s="39" customFormat="1">
      <c r="BC603" s="573">
        <v>5.92</v>
      </c>
      <c r="BD603" s="571">
        <f t="shared" si="144"/>
        <v>0</v>
      </c>
      <c r="BE603" s="571">
        <f t="shared" si="148"/>
        <v>0</v>
      </c>
      <c r="BF603" s="586">
        <f t="shared" si="145"/>
        <v>0</v>
      </c>
      <c r="BG603" s="586" t="e">
        <f t="shared" si="146"/>
        <v>#DIV/0!</v>
      </c>
      <c r="BH603" s="571" t="e">
        <f t="shared" si="147"/>
        <v>#DIV/0!</v>
      </c>
    </row>
    <row r="604" spans="55:60" s="39" customFormat="1">
      <c r="BC604" s="573">
        <v>5.93</v>
      </c>
      <c r="BD604" s="571">
        <f t="shared" si="144"/>
        <v>0</v>
      </c>
      <c r="BE604" s="571">
        <f t="shared" si="148"/>
        <v>0</v>
      </c>
      <c r="BF604" s="586">
        <f t="shared" si="145"/>
        <v>0</v>
      </c>
      <c r="BG604" s="586" t="e">
        <f t="shared" si="146"/>
        <v>#DIV/0!</v>
      </c>
      <c r="BH604" s="571" t="e">
        <f t="shared" si="147"/>
        <v>#DIV/0!</v>
      </c>
    </row>
    <row r="605" spans="55:60" s="39" customFormat="1">
      <c r="BC605" s="573">
        <v>5.94</v>
      </c>
      <c r="BD605" s="571">
        <f t="shared" si="144"/>
        <v>0</v>
      </c>
      <c r="BE605" s="571">
        <f t="shared" si="148"/>
        <v>0</v>
      </c>
      <c r="BF605" s="586">
        <f t="shared" si="145"/>
        <v>0</v>
      </c>
      <c r="BG605" s="586" t="e">
        <f t="shared" si="146"/>
        <v>#DIV/0!</v>
      </c>
      <c r="BH605" s="571" t="e">
        <f t="shared" si="147"/>
        <v>#DIV/0!</v>
      </c>
    </row>
    <row r="606" spans="55:60" s="39" customFormat="1">
      <c r="BC606" s="573">
        <v>5.95</v>
      </c>
      <c r="BD606" s="571">
        <f t="shared" si="144"/>
        <v>0</v>
      </c>
      <c r="BE606" s="571">
        <f t="shared" si="148"/>
        <v>0</v>
      </c>
      <c r="BF606" s="586">
        <f t="shared" si="145"/>
        <v>0</v>
      </c>
      <c r="BG606" s="586" t="e">
        <f t="shared" si="146"/>
        <v>#DIV/0!</v>
      </c>
      <c r="BH606" s="571" t="e">
        <f t="shared" si="147"/>
        <v>#DIV/0!</v>
      </c>
    </row>
    <row r="607" spans="55:60" s="39" customFormat="1">
      <c r="BC607" s="573">
        <v>5.96</v>
      </c>
      <c r="BD607" s="571">
        <f t="shared" si="144"/>
        <v>0</v>
      </c>
      <c r="BE607" s="571">
        <f t="shared" si="148"/>
        <v>0</v>
      </c>
      <c r="BF607" s="586">
        <f t="shared" si="145"/>
        <v>0</v>
      </c>
      <c r="BG607" s="586" t="e">
        <f t="shared" si="146"/>
        <v>#DIV/0!</v>
      </c>
      <c r="BH607" s="571" t="e">
        <f t="shared" si="147"/>
        <v>#DIV/0!</v>
      </c>
    </row>
    <row r="608" spans="55:60" s="39" customFormat="1">
      <c r="BC608" s="573">
        <v>5.97</v>
      </c>
      <c r="BD608" s="571">
        <f t="shared" si="144"/>
        <v>0</v>
      </c>
      <c r="BE608" s="571">
        <f t="shared" si="148"/>
        <v>0</v>
      </c>
      <c r="BF608" s="586">
        <f t="shared" si="145"/>
        <v>0</v>
      </c>
      <c r="BG608" s="586" t="e">
        <f t="shared" si="146"/>
        <v>#DIV/0!</v>
      </c>
      <c r="BH608" s="571" t="e">
        <f t="shared" si="147"/>
        <v>#DIV/0!</v>
      </c>
    </row>
    <row r="609" spans="55:60" s="39" customFormat="1">
      <c r="BC609" s="573">
        <v>5.98</v>
      </c>
      <c r="BD609" s="571">
        <f t="shared" si="144"/>
        <v>0</v>
      </c>
      <c r="BE609" s="571">
        <f t="shared" si="148"/>
        <v>0</v>
      </c>
      <c r="BF609" s="586">
        <f t="shared" si="145"/>
        <v>0</v>
      </c>
      <c r="BG609" s="586" t="e">
        <f t="shared" si="146"/>
        <v>#DIV/0!</v>
      </c>
      <c r="BH609" s="571" t="e">
        <f t="shared" si="147"/>
        <v>#DIV/0!</v>
      </c>
    </row>
    <row r="610" spans="55:60" s="39" customFormat="1">
      <c r="BC610" s="573">
        <v>5.99</v>
      </c>
      <c r="BD610" s="571">
        <f t="shared" si="144"/>
        <v>0</v>
      </c>
      <c r="BE610" s="571">
        <f t="shared" si="148"/>
        <v>0</v>
      </c>
      <c r="BF610" s="586">
        <f t="shared" si="145"/>
        <v>0</v>
      </c>
      <c r="BG610" s="586" t="e">
        <f t="shared" si="146"/>
        <v>#DIV/0!</v>
      </c>
      <c r="BH610" s="571" t="e">
        <f t="shared" si="147"/>
        <v>#DIV/0!</v>
      </c>
    </row>
    <row r="611" spans="55:60" s="39" customFormat="1">
      <c r="BC611" s="573">
        <v>6</v>
      </c>
      <c r="BD611" s="571">
        <f t="shared" si="144"/>
        <v>0</v>
      </c>
      <c r="BE611" s="571">
        <f t="shared" si="148"/>
        <v>0</v>
      </c>
      <c r="BF611" s="586">
        <f t="shared" si="145"/>
        <v>0</v>
      </c>
      <c r="BG611" s="586" t="e">
        <f t="shared" si="146"/>
        <v>#DIV/0!</v>
      </c>
      <c r="BH611" s="571" t="e">
        <f t="shared" si="147"/>
        <v>#DIV/0!</v>
      </c>
    </row>
    <row r="612" spans="55:60" s="39" customFormat="1">
      <c r="BC612" s="573">
        <v>6.01</v>
      </c>
      <c r="BD612" s="571">
        <f t="shared" si="144"/>
        <v>0</v>
      </c>
      <c r="BE612" s="571">
        <f t="shared" si="148"/>
        <v>0</v>
      </c>
      <c r="BF612" s="586">
        <f t="shared" si="145"/>
        <v>0</v>
      </c>
      <c r="BG612" s="586" t="e">
        <f t="shared" si="146"/>
        <v>#DIV/0!</v>
      </c>
      <c r="BH612" s="571" t="e">
        <f t="shared" si="147"/>
        <v>#DIV/0!</v>
      </c>
    </row>
    <row r="613" spans="55:60" s="39" customFormat="1">
      <c r="BC613" s="573">
        <v>6.02</v>
      </c>
      <c r="BD613" s="571">
        <f t="shared" si="144"/>
        <v>0</v>
      </c>
      <c r="BE613" s="571">
        <f t="shared" si="148"/>
        <v>0</v>
      </c>
      <c r="BF613" s="586">
        <f t="shared" si="145"/>
        <v>0</v>
      </c>
      <c r="BG613" s="586" t="e">
        <f t="shared" si="146"/>
        <v>#DIV/0!</v>
      </c>
      <c r="BH613" s="571" t="e">
        <f t="shared" si="147"/>
        <v>#DIV/0!</v>
      </c>
    </row>
    <row r="614" spans="55:60" s="39" customFormat="1">
      <c r="BC614" s="573">
        <v>6.03</v>
      </c>
      <c r="BD614" s="571">
        <f t="shared" si="144"/>
        <v>0</v>
      </c>
      <c r="BE614" s="571">
        <f t="shared" si="148"/>
        <v>0</v>
      </c>
      <c r="BF614" s="586">
        <f t="shared" si="145"/>
        <v>0</v>
      </c>
      <c r="BG614" s="586" t="e">
        <f t="shared" si="146"/>
        <v>#DIV/0!</v>
      </c>
      <c r="BH614" s="571" t="e">
        <f t="shared" si="147"/>
        <v>#DIV/0!</v>
      </c>
    </row>
    <row r="615" spans="55:60" s="39" customFormat="1">
      <c r="BC615" s="573">
        <v>6.04</v>
      </c>
      <c r="BD615" s="571">
        <f t="shared" si="144"/>
        <v>0</v>
      </c>
      <c r="BE615" s="571">
        <f t="shared" si="148"/>
        <v>0</v>
      </c>
      <c r="BF615" s="586">
        <f t="shared" si="145"/>
        <v>0</v>
      </c>
      <c r="BG615" s="586" t="e">
        <f t="shared" si="146"/>
        <v>#DIV/0!</v>
      </c>
      <c r="BH615" s="571" t="e">
        <f t="shared" si="147"/>
        <v>#DIV/0!</v>
      </c>
    </row>
    <row r="616" spans="55:60" s="39" customFormat="1">
      <c r="BC616" s="573">
        <v>6.05</v>
      </c>
      <c r="BD616" s="571">
        <f t="shared" si="144"/>
        <v>0</v>
      </c>
      <c r="BE616" s="571">
        <f t="shared" si="148"/>
        <v>0</v>
      </c>
      <c r="BF616" s="586">
        <f t="shared" si="145"/>
        <v>0</v>
      </c>
      <c r="BG616" s="586" t="e">
        <f t="shared" si="146"/>
        <v>#DIV/0!</v>
      </c>
      <c r="BH616" s="571" t="e">
        <f t="shared" si="147"/>
        <v>#DIV/0!</v>
      </c>
    </row>
    <row r="617" spans="55:60" s="39" customFormat="1">
      <c r="BC617" s="573">
        <v>6.06</v>
      </c>
      <c r="BD617" s="571">
        <f t="shared" si="144"/>
        <v>0</v>
      </c>
      <c r="BE617" s="571">
        <f t="shared" si="148"/>
        <v>0</v>
      </c>
      <c r="BF617" s="586">
        <f t="shared" si="145"/>
        <v>0</v>
      </c>
      <c r="BG617" s="586" t="e">
        <f t="shared" si="146"/>
        <v>#DIV/0!</v>
      </c>
      <c r="BH617" s="571" t="e">
        <f t="shared" si="147"/>
        <v>#DIV/0!</v>
      </c>
    </row>
    <row r="618" spans="55:60" s="39" customFormat="1">
      <c r="BC618" s="573">
        <v>6.07</v>
      </c>
      <c r="BD618" s="571">
        <f t="shared" si="144"/>
        <v>0</v>
      </c>
      <c r="BE618" s="571">
        <f t="shared" si="148"/>
        <v>0</v>
      </c>
      <c r="BF618" s="586">
        <f t="shared" si="145"/>
        <v>0</v>
      </c>
      <c r="BG618" s="586" t="e">
        <f t="shared" si="146"/>
        <v>#DIV/0!</v>
      </c>
      <c r="BH618" s="571" t="e">
        <f t="shared" si="147"/>
        <v>#DIV/0!</v>
      </c>
    </row>
    <row r="619" spans="55:60" s="39" customFormat="1">
      <c r="BC619" s="573">
        <v>6.08</v>
      </c>
      <c r="BD619" s="571">
        <f t="shared" si="144"/>
        <v>0</v>
      </c>
      <c r="BE619" s="571">
        <f t="shared" si="148"/>
        <v>0</v>
      </c>
      <c r="BF619" s="586">
        <f t="shared" si="145"/>
        <v>0</v>
      </c>
      <c r="BG619" s="586" t="e">
        <f t="shared" si="146"/>
        <v>#DIV/0!</v>
      </c>
      <c r="BH619" s="571" t="e">
        <f t="shared" si="147"/>
        <v>#DIV/0!</v>
      </c>
    </row>
    <row r="620" spans="55:60" s="39" customFormat="1">
      <c r="BC620" s="573">
        <v>6.09</v>
      </c>
      <c r="BD620" s="571">
        <f t="shared" si="144"/>
        <v>0</v>
      </c>
      <c r="BE620" s="571">
        <f t="shared" si="148"/>
        <v>0</v>
      </c>
      <c r="BF620" s="586">
        <f t="shared" si="145"/>
        <v>0</v>
      </c>
      <c r="BG620" s="586" t="e">
        <f t="shared" si="146"/>
        <v>#DIV/0!</v>
      </c>
      <c r="BH620" s="571" t="e">
        <f t="shared" si="147"/>
        <v>#DIV/0!</v>
      </c>
    </row>
    <row r="621" spans="55:60" s="39" customFormat="1">
      <c r="BC621" s="573">
        <v>6.1</v>
      </c>
      <c r="BD621" s="571">
        <f t="shared" si="144"/>
        <v>0</v>
      </c>
      <c r="BE621" s="571">
        <f t="shared" si="148"/>
        <v>0</v>
      </c>
      <c r="BF621" s="586">
        <f t="shared" si="145"/>
        <v>0</v>
      </c>
      <c r="BG621" s="586" t="e">
        <f t="shared" si="146"/>
        <v>#DIV/0!</v>
      </c>
      <c r="BH621" s="571" t="e">
        <f t="shared" si="147"/>
        <v>#DIV/0!</v>
      </c>
    </row>
    <row r="622" spans="55:60" s="39" customFormat="1">
      <c r="BC622" s="573">
        <v>6.11</v>
      </c>
      <c r="BD622" s="571">
        <f t="shared" si="144"/>
        <v>0</v>
      </c>
      <c r="BE622" s="571">
        <f t="shared" si="148"/>
        <v>0</v>
      </c>
      <c r="BF622" s="586">
        <f t="shared" si="145"/>
        <v>0</v>
      </c>
      <c r="BG622" s="586" t="e">
        <f t="shared" si="146"/>
        <v>#DIV/0!</v>
      </c>
      <c r="BH622" s="571" t="e">
        <f t="shared" si="147"/>
        <v>#DIV/0!</v>
      </c>
    </row>
    <row r="623" spans="55:60" s="39" customFormat="1">
      <c r="BC623" s="573">
        <v>6.12</v>
      </c>
      <c r="BD623" s="571">
        <f t="shared" si="144"/>
        <v>0</v>
      </c>
      <c r="BE623" s="571">
        <f t="shared" si="148"/>
        <v>0</v>
      </c>
      <c r="BF623" s="586">
        <f t="shared" si="145"/>
        <v>0</v>
      </c>
      <c r="BG623" s="586" t="e">
        <f t="shared" si="146"/>
        <v>#DIV/0!</v>
      </c>
      <c r="BH623" s="571" t="e">
        <f t="shared" si="147"/>
        <v>#DIV/0!</v>
      </c>
    </row>
    <row r="624" spans="55:60" s="39" customFormat="1">
      <c r="BC624" s="573">
        <v>6.13</v>
      </c>
      <c r="BD624" s="571">
        <f t="shared" si="144"/>
        <v>0</v>
      </c>
      <c r="BE624" s="571">
        <f t="shared" si="148"/>
        <v>0</v>
      </c>
      <c r="BF624" s="586">
        <f t="shared" si="145"/>
        <v>0</v>
      </c>
      <c r="BG624" s="586" t="e">
        <f t="shared" si="146"/>
        <v>#DIV/0!</v>
      </c>
      <c r="BH624" s="571" t="e">
        <f t="shared" si="147"/>
        <v>#DIV/0!</v>
      </c>
    </row>
    <row r="625" spans="55:60" s="39" customFormat="1">
      <c r="BC625" s="573">
        <v>6.14</v>
      </c>
      <c r="BD625" s="571">
        <f t="shared" si="144"/>
        <v>0</v>
      </c>
      <c r="BE625" s="571">
        <f t="shared" si="148"/>
        <v>0</v>
      </c>
      <c r="BF625" s="586">
        <f t="shared" si="145"/>
        <v>0</v>
      </c>
      <c r="BG625" s="586" t="e">
        <f t="shared" si="146"/>
        <v>#DIV/0!</v>
      </c>
      <c r="BH625" s="571" t="e">
        <f t="shared" si="147"/>
        <v>#DIV/0!</v>
      </c>
    </row>
    <row r="626" spans="55:60" s="39" customFormat="1">
      <c r="BC626" s="573">
        <v>6.15</v>
      </c>
      <c r="BD626" s="571">
        <f t="shared" si="144"/>
        <v>0</v>
      </c>
      <c r="BE626" s="571">
        <f t="shared" si="148"/>
        <v>0</v>
      </c>
      <c r="BF626" s="586">
        <f t="shared" si="145"/>
        <v>0</v>
      </c>
      <c r="BG626" s="586" t="e">
        <f t="shared" si="146"/>
        <v>#DIV/0!</v>
      </c>
      <c r="BH626" s="571" t="e">
        <f t="shared" si="147"/>
        <v>#DIV/0!</v>
      </c>
    </row>
    <row r="627" spans="55:60" s="39" customFormat="1">
      <c r="BC627" s="573">
        <v>6.16</v>
      </c>
      <c r="BD627" s="571">
        <f t="shared" si="144"/>
        <v>0</v>
      </c>
      <c r="BE627" s="571">
        <f t="shared" si="148"/>
        <v>0</v>
      </c>
      <c r="BF627" s="586">
        <f t="shared" si="145"/>
        <v>0</v>
      </c>
      <c r="BG627" s="586" t="e">
        <f t="shared" si="146"/>
        <v>#DIV/0!</v>
      </c>
      <c r="BH627" s="571" t="e">
        <f t="shared" si="147"/>
        <v>#DIV/0!</v>
      </c>
    </row>
    <row r="628" spans="55:60" s="39" customFormat="1">
      <c r="BC628" s="573">
        <v>6.17</v>
      </c>
      <c r="BD628" s="571">
        <f t="shared" si="144"/>
        <v>0</v>
      </c>
      <c r="BE628" s="571">
        <f t="shared" si="148"/>
        <v>0</v>
      </c>
      <c r="BF628" s="586">
        <f t="shared" si="145"/>
        <v>0</v>
      </c>
      <c r="BG628" s="586" t="e">
        <f t="shared" si="146"/>
        <v>#DIV/0!</v>
      </c>
      <c r="BH628" s="571" t="e">
        <f t="shared" si="147"/>
        <v>#DIV/0!</v>
      </c>
    </row>
    <row r="629" spans="55:60" s="39" customFormat="1">
      <c r="BC629" s="573">
        <v>6.18</v>
      </c>
      <c r="BD629" s="571">
        <f t="shared" si="144"/>
        <v>0</v>
      </c>
      <c r="BE629" s="571">
        <f t="shared" si="148"/>
        <v>0</v>
      </c>
      <c r="BF629" s="586">
        <f t="shared" si="145"/>
        <v>0</v>
      </c>
      <c r="BG629" s="586" t="e">
        <f t="shared" si="146"/>
        <v>#DIV/0!</v>
      </c>
      <c r="BH629" s="571" t="e">
        <f t="shared" si="147"/>
        <v>#DIV/0!</v>
      </c>
    </row>
    <row r="630" spans="55:60" s="39" customFormat="1">
      <c r="BC630" s="573">
        <v>6.19</v>
      </c>
      <c r="BD630" s="571">
        <f t="shared" si="144"/>
        <v>0</v>
      </c>
      <c r="BE630" s="571">
        <f t="shared" si="148"/>
        <v>0</v>
      </c>
      <c r="BF630" s="586">
        <f t="shared" si="145"/>
        <v>0</v>
      </c>
      <c r="BG630" s="586" t="e">
        <f t="shared" si="146"/>
        <v>#DIV/0!</v>
      </c>
      <c r="BH630" s="571" t="e">
        <f t="shared" si="147"/>
        <v>#DIV/0!</v>
      </c>
    </row>
    <row r="631" spans="55:60" s="39" customFormat="1">
      <c r="BC631" s="573">
        <v>6.2</v>
      </c>
      <c r="BD631" s="571">
        <f t="shared" si="144"/>
        <v>0</v>
      </c>
      <c r="BE631" s="571">
        <f t="shared" si="148"/>
        <v>0</v>
      </c>
      <c r="BF631" s="586">
        <f t="shared" si="145"/>
        <v>0</v>
      </c>
      <c r="BG631" s="586" t="e">
        <f t="shared" si="146"/>
        <v>#DIV/0!</v>
      </c>
      <c r="BH631" s="571" t="e">
        <f t="shared" si="147"/>
        <v>#DIV/0!</v>
      </c>
    </row>
    <row r="632" spans="55:60" s="39" customFormat="1">
      <c r="BC632" s="573">
        <v>6.21</v>
      </c>
      <c r="BD632" s="571">
        <f t="shared" si="144"/>
        <v>0</v>
      </c>
      <c r="BE632" s="571">
        <f t="shared" si="148"/>
        <v>0</v>
      </c>
      <c r="BF632" s="586">
        <f t="shared" si="145"/>
        <v>0</v>
      </c>
      <c r="BG632" s="586" t="e">
        <f t="shared" si="146"/>
        <v>#DIV/0!</v>
      </c>
      <c r="BH632" s="571" t="e">
        <f t="shared" si="147"/>
        <v>#DIV/0!</v>
      </c>
    </row>
    <row r="633" spans="55:60" s="39" customFormat="1">
      <c r="BC633" s="573">
        <v>6.22</v>
      </c>
      <c r="BD633" s="571">
        <f t="shared" si="144"/>
        <v>0</v>
      </c>
      <c r="BE633" s="571">
        <f t="shared" si="148"/>
        <v>0</v>
      </c>
      <c r="BF633" s="586">
        <f t="shared" si="145"/>
        <v>0</v>
      </c>
      <c r="BG633" s="586" t="e">
        <f t="shared" si="146"/>
        <v>#DIV/0!</v>
      </c>
      <c r="BH633" s="571" t="e">
        <f t="shared" si="147"/>
        <v>#DIV/0!</v>
      </c>
    </row>
    <row r="634" spans="55:60" s="39" customFormat="1">
      <c r="BC634" s="573">
        <v>6.23</v>
      </c>
      <c r="BD634" s="571">
        <f t="shared" si="144"/>
        <v>0</v>
      </c>
      <c r="BE634" s="571">
        <f t="shared" si="148"/>
        <v>0</v>
      </c>
      <c r="BF634" s="586">
        <f t="shared" si="145"/>
        <v>0</v>
      </c>
      <c r="BG634" s="586" t="e">
        <f t="shared" si="146"/>
        <v>#DIV/0!</v>
      </c>
      <c r="BH634" s="571" t="e">
        <f t="shared" si="147"/>
        <v>#DIV/0!</v>
      </c>
    </row>
    <row r="635" spans="55:60" s="39" customFormat="1">
      <c r="BC635" s="573">
        <v>6.24</v>
      </c>
      <c r="BD635" s="571">
        <f t="shared" si="144"/>
        <v>0</v>
      </c>
      <c r="BE635" s="571">
        <f t="shared" si="148"/>
        <v>0</v>
      </c>
      <c r="BF635" s="586">
        <f t="shared" si="145"/>
        <v>0</v>
      </c>
      <c r="BG635" s="586" t="e">
        <f t="shared" si="146"/>
        <v>#DIV/0!</v>
      </c>
      <c r="BH635" s="571" t="e">
        <f t="shared" si="147"/>
        <v>#DIV/0!</v>
      </c>
    </row>
    <row r="636" spans="55:60" s="39" customFormat="1">
      <c r="BC636" s="573">
        <v>6.25</v>
      </c>
      <c r="BD636" s="571">
        <f t="shared" si="144"/>
        <v>0</v>
      </c>
      <c r="BE636" s="571">
        <f t="shared" si="148"/>
        <v>0</v>
      </c>
      <c r="BF636" s="586">
        <f t="shared" si="145"/>
        <v>0</v>
      </c>
      <c r="BG636" s="586" t="e">
        <f t="shared" si="146"/>
        <v>#DIV/0!</v>
      </c>
      <c r="BH636" s="571" t="e">
        <f t="shared" si="147"/>
        <v>#DIV/0!</v>
      </c>
    </row>
    <row r="637" spans="55:60" s="39" customFormat="1">
      <c r="BC637" s="573">
        <v>6.26</v>
      </c>
      <c r="BD637" s="571">
        <f t="shared" si="144"/>
        <v>0</v>
      </c>
      <c r="BE637" s="571">
        <f t="shared" si="148"/>
        <v>0</v>
      </c>
      <c r="BF637" s="586">
        <f t="shared" si="145"/>
        <v>0</v>
      </c>
      <c r="BG637" s="586" t="e">
        <f t="shared" si="146"/>
        <v>#DIV/0!</v>
      </c>
      <c r="BH637" s="571" t="e">
        <f t="shared" si="147"/>
        <v>#DIV/0!</v>
      </c>
    </row>
    <row r="638" spans="55:60" s="39" customFormat="1">
      <c r="BC638" s="573">
        <v>6.27</v>
      </c>
      <c r="BD638" s="571">
        <f t="shared" si="144"/>
        <v>0</v>
      </c>
      <c r="BE638" s="571">
        <f t="shared" si="148"/>
        <v>0</v>
      </c>
      <c r="BF638" s="586">
        <f t="shared" si="145"/>
        <v>0</v>
      </c>
      <c r="BG638" s="586" t="e">
        <f t="shared" si="146"/>
        <v>#DIV/0!</v>
      </c>
      <c r="BH638" s="571" t="e">
        <f t="shared" si="147"/>
        <v>#DIV/0!</v>
      </c>
    </row>
    <row r="639" spans="55:60" s="39" customFormat="1">
      <c r="BC639" s="573">
        <v>6.28</v>
      </c>
      <c r="BD639" s="571">
        <f t="shared" si="144"/>
        <v>0</v>
      </c>
      <c r="BE639" s="571">
        <f t="shared" si="148"/>
        <v>0</v>
      </c>
      <c r="BF639" s="586">
        <f t="shared" si="145"/>
        <v>0</v>
      </c>
      <c r="BG639" s="586" t="e">
        <f t="shared" si="146"/>
        <v>#DIV/0!</v>
      </c>
      <c r="BH639" s="571" t="e">
        <f t="shared" si="147"/>
        <v>#DIV/0!</v>
      </c>
    </row>
    <row r="640" spans="55:60" s="39" customFormat="1">
      <c r="BC640" s="573">
        <v>6.29</v>
      </c>
      <c r="BD640" s="571">
        <f t="shared" si="144"/>
        <v>0</v>
      </c>
      <c r="BE640" s="571">
        <f t="shared" si="148"/>
        <v>0</v>
      </c>
      <c r="BF640" s="586">
        <f t="shared" si="145"/>
        <v>0</v>
      </c>
      <c r="BG640" s="586" t="e">
        <f t="shared" si="146"/>
        <v>#DIV/0!</v>
      </c>
      <c r="BH640" s="571" t="e">
        <f t="shared" si="147"/>
        <v>#DIV/0!</v>
      </c>
    </row>
    <row r="641" spans="55:60" s="39" customFormat="1">
      <c r="BC641" s="573">
        <v>6.3</v>
      </c>
      <c r="BD641" s="571">
        <f t="shared" si="144"/>
        <v>0</v>
      </c>
      <c r="BE641" s="571">
        <f t="shared" si="148"/>
        <v>0</v>
      </c>
      <c r="BF641" s="586">
        <f t="shared" si="145"/>
        <v>0</v>
      </c>
      <c r="BG641" s="586" t="e">
        <f t="shared" si="146"/>
        <v>#DIV/0!</v>
      </c>
      <c r="BH641" s="571" t="e">
        <f t="shared" si="147"/>
        <v>#DIV/0!</v>
      </c>
    </row>
    <row r="642" spans="55:60" s="39" customFormat="1">
      <c r="BC642" s="573">
        <v>6.31</v>
      </c>
      <c r="BD642" s="571">
        <f t="shared" si="144"/>
        <v>0</v>
      </c>
      <c r="BE642" s="571">
        <f t="shared" si="148"/>
        <v>0</v>
      </c>
      <c r="BF642" s="586">
        <f t="shared" si="145"/>
        <v>0</v>
      </c>
      <c r="BG642" s="586" t="e">
        <f t="shared" si="146"/>
        <v>#DIV/0!</v>
      </c>
      <c r="BH642" s="571" t="e">
        <f t="shared" si="147"/>
        <v>#DIV/0!</v>
      </c>
    </row>
    <row r="643" spans="55:60" s="39" customFormat="1">
      <c r="BC643" s="573">
        <v>6.32</v>
      </c>
      <c r="BD643" s="571">
        <f t="shared" si="144"/>
        <v>0</v>
      </c>
      <c r="BE643" s="571">
        <f t="shared" si="148"/>
        <v>0</v>
      </c>
      <c r="BF643" s="586">
        <f t="shared" si="145"/>
        <v>0</v>
      </c>
      <c r="BG643" s="586" t="e">
        <f t="shared" si="146"/>
        <v>#DIV/0!</v>
      </c>
      <c r="BH643" s="571" t="e">
        <f t="shared" si="147"/>
        <v>#DIV/0!</v>
      </c>
    </row>
    <row r="644" spans="55:60" s="39" customFormat="1">
      <c r="BC644" s="573">
        <v>6.33</v>
      </c>
      <c r="BD644" s="571">
        <f t="shared" si="144"/>
        <v>0</v>
      </c>
      <c r="BE644" s="571">
        <f t="shared" si="148"/>
        <v>0</v>
      </c>
      <c r="BF644" s="586">
        <f t="shared" si="145"/>
        <v>0</v>
      </c>
      <c r="BG644" s="586" t="e">
        <f t="shared" si="146"/>
        <v>#DIV/0!</v>
      </c>
      <c r="BH644" s="571" t="e">
        <f t="shared" si="147"/>
        <v>#DIV/0!</v>
      </c>
    </row>
    <row r="645" spans="55:60" s="39" customFormat="1">
      <c r="BC645" s="573">
        <v>6.34</v>
      </c>
      <c r="BD645" s="571">
        <f t="shared" si="144"/>
        <v>0</v>
      </c>
      <c r="BE645" s="571">
        <f t="shared" si="148"/>
        <v>0</v>
      </c>
      <c r="BF645" s="586">
        <f t="shared" si="145"/>
        <v>0</v>
      </c>
      <c r="BG645" s="586" t="e">
        <f t="shared" si="146"/>
        <v>#DIV/0!</v>
      </c>
      <c r="BH645" s="571" t="e">
        <f t="shared" si="147"/>
        <v>#DIV/0!</v>
      </c>
    </row>
    <row r="646" spans="55:60" s="39" customFormat="1">
      <c r="BC646" s="573">
        <v>6.35</v>
      </c>
      <c r="BD646" s="571">
        <f t="shared" si="144"/>
        <v>0</v>
      </c>
      <c r="BE646" s="571">
        <f t="shared" si="148"/>
        <v>0</v>
      </c>
      <c r="BF646" s="586">
        <f t="shared" si="145"/>
        <v>0</v>
      </c>
      <c r="BG646" s="586" t="e">
        <f t="shared" si="146"/>
        <v>#DIV/0!</v>
      </c>
      <c r="BH646" s="571" t="e">
        <f t="shared" si="147"/>
        <v>#DIV/0!</v>
      </c>
    </row>
    <row r="647" spans="55:60" s="39" customFormat="1">
      <c r="BC647" s="573">
        <v>6.36</v>
      </c>
      <c r="BD647" s="571">
        <f t="shared" si="144"/>
        <v>0</v>
      </c>
      <c r="BE647" s="571">
        <f t="shared" si="148"/>
        <v>0</v>
      </c>
      <c r="BF647" s="586">
        <f t="shared" si="145"/>
        <v>0</v>
      </c>
      <c r="BG647" s="586" t="e">
        <f t="shared" si="146"/>
        <v>#DIV/0!</v>
      </c>
      <c r="BH647" s="571" t="e">
        <f t="shared" si="147"/>
        <v>#DIV/0!</v>
      </c>
    </row>
    <row r="648" spans="55:60" s="39" customFormat="1">
      <c r="BC648" s="573">
        <v>6.37</v>
      </c>
      <c r="BD648" s="571">
        <f t="shared" si="144"/>
        <v>0</v>
      </c>
      <c r="BE648" s="571">
        <f t="shared" si="148"/>
        <v>0</v>
      </c>
      <c r="BF648" s="586">
        <f t="shared" si="145"/>
        <v>0</v>
      </c>
      <c r="BG648" s="586" t="e">
        <f t="shared" si="146"/>
        <v>#DIV/0!</v>
      </c>
      <c r="BH648" s="571" t="e">
        <f t="shared" si="147"/>
        <v>#DIV/0!</v>
      </c>
    </row>
    <row r="649" spans="55:60" s="39" customFormat="1">
      <c r="BC649" s="573">
        <v>6.38</v>
      </c>
      <c r="BD649" s="571">
        <f t="shared" si="144"/>
        <v>0</v>
      </c>
      <c r="BE649" s="571">
        <f t="shared" si="148"/>
        <v>0</v>
      </c>
      <c r="BF649" s="586">
        <f t="shared" si="145"/>
        <v>0</v>
      </c>
      <c r="BG649" s="586" t="e">
        <f t="shared" si="146"/>
        <v>#DIV/0!</v>
      </c>
      <c r="BH649" s="571" t="e">
        <f t="shared" si="147"/>
        <v>#DIV/0!</v>
      </c>
    </row>
    <row r="650" spans="55:60" s="39" customFormat="1">
      <c r="BC650" s="573">
        <v>6.39</v>
      </c>
      <c r="BD650" s="571">
        <f t="shared" si="144"/>
        <v>0</v>
      </c>
      <c r="BE650" s="571">
        <f t="shared" si="148"/>
        <v>0</v>
      </c>
      <c r="BF650" s="586">
        <f t="shared" si="145"/>
        <v>0</v>
      </c>
      <c r="BG650" s="586" t="e">
        <f t="shared" si="146"/>
        <v>#DIV/0!</v>
      </c>
      <c r="BH650" s="571" t="e">
        <f t="shared" si="147"/>
        <v>#DIV/0!</v>
      </c>
    </row>
    <row r="651" spans="55:60" s="39" customFormat="1">
      <c r="BC651" s="573">
        <v>6.4</v>
      </c>
      <c r="BD651" s="571">
        <f t="shared" si="144"/>
        <v>0</v>
      </c>
      <c r="BE651" s="571">
        <f t="shared" si="148"/>
        <v>0</v>
      </c>
      <c r="BF651" s="586">
        <f t="shared" si="145"/>
        <v>0</v>
      </c>
      <c r="BG651" s="586" t="e">
        <f t="shared" si="146"/>
        <v>#DIV/0!</v>
      </c>
      <c r="BH651" s="571" t="e">
        <f t="shared" si="147"/>
        <v>#DIV/0!</v>
      </c>
    </row>
    <row r="652" spans="55:60" s="39" customFormat="1">
      <c r="BC652" s="573">
        <v>6.41</v>
      </c>
      <c r="BD652" s="571">
        <f t="shared" ref="BD652:BD715" si="149">$AU$15/BC652</f>
        <v>0</v>
      </c>
      <c r="BE652" s="571">
        <f t="shared" si="148"/>
        <v>0</v>
      </c>
      <c r="BF652" s="586">
        <f t="shared" ref="BF652:BF715" si="150">BC652*(BE652/1000)/$AO$12</f>
        <v>0</v>
      </c>
      <c r="BG652" s="586" t="e">
        <f t="shared" ref="BG652:BG715" si="151">POWER((1/(-1.8*LOG((6.9/BF652+POWER((($P$7/BE652)/3.71),1.11)),10))),2)</f>
        <v>#DIV/0!</v>
      </c>
      <c r="BH652" s="571" t="e">
        <f t="shared" ref="BH652:BH715" si="152">BG652*0.5*$P$6*16*$AU$15*$AU$15/(POWER(PI(),2)*POWER((BE652/1000),5))</f>
        <v>#DIV/0!</v>
      </c>
    </row>
    <row r="653" spans="55:60" s="39" customFormat="1">
      <c r="BC653" s="573">
        <v>6.42</v>
      </c>
      <c r="BD653" s="571">
        <f t="shared" si="149"/>
        <v>0</v>
      </c>
      <c r="BE653" s="571">
        <f t="shared" ref="BE653:BE716" si="153">((BD653/PI())^0.5)*2*1000</f>
        <v>0</v>
      </c>
      <c r="BF653" s="586">
        <f t="shared" si="150"/>
        <v>0</v>
      </c>
      <c r="BG653" s="586" t="e">
        <f t="shared" si="151"/>
        <v>#DIV/0!</v>
      </c>
      <c r="BH653" s="571" t="e">
        <f t="shared" si="152"/>
        <v>#DIV/0!</v>
      </c>
    </row>
    <row r="654" spans="55:60" s="39" customFormat="1">
      <c r="BC654" s="573">
        <v>6.43</v>
      </c>
      <c r="BD654" s="571">
        <f t="shared" si="149"/>
        <v>0</v>
      </c>
      <c r="BE654" s="571">
        <f t="shared" si="153"/>
        <v>0</v>
      </c>
      <c r="BF654" s="586">
        <f t="shared" si="150"/>
        <v>0</v>
      </c>
      <c r="BG654" s="586" t="e">
        <f t="shared" si="151"/>
        <v>#DIV/0!</v>
      </c>
      <c r="BH654" s="571" t="e">
        <f t="shared" si="152"/>
        <v>#DIV/0!</v>
      </c>
    </row>
    <row r="655" spans="55:60" s="39" customFormat="1">
      <c r="BC655" s="573">
        <v>6.44</v>
      </c>
      <c r="BD655" s="571">
        <f t="shared" si="149"/>
        <v>0</v>
      </c>
      <c r="BE655" s="571">
        <f t="shared" si="153"/>
        <v>0</v>
      </c>
      <c r="BF655" s="586">
        <f t="shared" si="150"/>
        <v>0</v>
      </c>
      <c r="BG655" s="586" t="e">
        <f t="shared" si="151"/>
        <v>#DIV/0!</v>
      </c>
      <c r="BH655" s="571" t="e">
        <f t="shared" si="152"/>
        <v>#DIV/0!</v>
      </c>
    </row>
    <row r="656" spans="55:60" s="39" customFormat="1">
      <c r="BC656" s="573">
        <v>6.45</v>
      </c>
      <c r="BD656" s="571">
        <f t="shared" si="149"/>
        <v>0</v>
      </c>
      <c r="BE656" s="571">
        <f t="shared" si="153"/>
        <v>0</v>
      </c>
      <c r="BF656" s="586">
        <f t="shared" si="150"/>
        <v>0</v>
      </c>
      <c r="BG656" s="586" t="e">
        <f t="shared" si="151"/>
        <v>#DIV/0!</v>
      </c>
      <c r="BH656" s="571" t="e">
        <f t="shared" si="152"/>
        <v>#DIV/0!</v>
      </c>
    </row>
    <row r="657" spans="55:60" s="39" customFormat="1">
      <c r="BC657" s="573">
        <v>6.46</v>
      </c>
      <c r="BD657" s="571">
        <f t="shared" si="149"/>
        <v>0</v>
      </c>
      <c r="BE657" s="571">
        <f t="shared" si="153"/>
        <v>0</v>
      </c>
      <c r="BF657" s="586">
        <f t="shared" si="150"/>
        <v>0</v>
      </c>
      <c r="BG657" s="586" t="e">
        <f t="shared" si="151"/>
        <v>#DIV/0!</v>
      </c>
      <c r="BH657" s="571" t="e">
        <f t="shared" si="152"/>
        <v>#DIV/0!</v>
      </c>
    </row>
    <row r="658" spans="55:60" s="39" customFormat="1">
      <c r="BC658" s="573">
        <v>6.47</v>
      </c>
      <c r="BD658" s="571">
        <f t="shared" si="149"/>
        <v>0</v>
      </c>
      <c r="BE658" s="571">
        <f t="shared" si="153"/>
        <v>0</v>
      </c>
      <c r="BF658" s="586">
        <f t="shared" si="150"/>
        <v>0</v>
      </c>
      <c r="BG658" s="586" t="e">
        <f t="shared" si="151"/>
        <v>#DIV/0!</v>
      </c>
      <c r="BH658" s="571" t="e">
        <f t="shared" si="152"/>
        <v>#DIV/0!</v>
      </c>
    </row>
    <row r="659" spans="55:60" s="39" customFormat="1">
      <c r="BC659" s="573">
        <v>6.48</v>
      </c>
      <c r="BD659" s="571">
        <f t="shared" si="149"/>
        <v>0</v>
      </c>
      <c r="BE659" s="571">
        <f t="shared" si="153"/>
        <v>0</v>
      </c>
      <c r="BF659" s="586">
        <f t="shared" si="150"/>
        <v>0</v>
      </c>
      <c r="BG659" s="586" t="e">
        <f t="shared" si="151"/>
        <v>#DIV/0!</v>
      </c>
      <c r="BH659" s="571" t="e">
        <f t="shared" si="152"/>
        <v>#DIV/0!</v>
      </c>
    </row>
    <row r="660" spans="55:60" s="39" customFormat="1">
      <c r="BC660" s="573">
        <v>6.49</v>
      </c>
      <c r="BD660" s="571">
        <f t="shared" si="149"/>
        <v>0</v>
      </c>
      <c r="BE660" s="571">
        <f t="shared" si="153"/>
        <v>0</v>
      </c>
      <c r="BF660" s="586">
        <f t="shared" si="150"/>
        <v>0</v>
      </c>
      <c r="BG660" s="586" t="e">
        <f t="shared" si="151"/>
        <v>#DIV/0!</v>
      </c>
      <c r="BH660" s="571" t="e">
        <f t="shared" si="152"/>
        <v>#DIV/0!</v>
      </c>
    </row>
    <row r="661" spans="55:60" s="39" customFormat="1">
      <c r="BC661" s="573">
        <v>6.5</v>
      </c>
      <c r="BD661" s="571">
        <f t="shared" si="149"/>
        <v>0</v>
      </c>
      <c r="BE661" s="571">
        <f t="shared" si="153"/>
        <v>0</v>
      </c>
      <c r="BF661" s="586">
        <f t="shared" si="150"/>
        <v>0</v>
      </c>
      <c r="BG661" s="586" t="e">
        <f t="shared" si="151"/>
        <v>#DIV/0!</v>
      </c>
      <c r="BH661" s="571" t="e">
        <f t="shared" si="152"/>
        <v>#DIV/0!</v>
      </c>
    </row>
    <row r="662" spans="55:60" s="39" customFormat="1">
      <c r="BC662" s="573">
        <v>6.51</v>
      </c>
      <c r="BD662" s="571">
        <f t="shared" si="149"/>
        <v>0</v>
      </c>
      <c r="BE662" s="571">
        <f t="shared" si="153"/>
        <v>0</v>
      </c>
      <c r="BF662" s="586">
        <f t="shared" si="150"/>
        <v>0</v>
      </c>
      <c r="BG662" s="586" t="e">
        <f t="shared" si="151"/>
        <v>#DIV/0!</v>
      </c>
      <c r="BH662" s="571" t="e">
        <f t="shared" si="152"/>
        <v>#DIV/0!</v>
      </c>
    </row>
    <row r="663" spans="55:60" s="39" customFormat="1">
      <c r="BC663" s="573">
        <v>6.52</v>
      </c>
      <c r="BD663" s="571">
        <f t="shared" si="149"/>
        <v>0</v>
      </c>
      <c r="BE663" s="571">
        <f t="shared" si="153"/>
        <v>0</v>
      </c>
      <c r="BF663" s="586">
        <f t="shared" si="150"/>
        <v>0</v>
      </c>
      <c r="BG663" s="586" t="e">
        <f t="shared" si="151"/>
        <v>#DIV/0!</v>
      </c>
      <c r="BH663" s="571" t="e">
        <f t="shared" si="152"/>
        <v>#DIV/0!</v>
      </c>
    </row>
    <row r="664" spans="55:60" s="39" customFormat="1">
      <c r="BC664" s="573">
        <v>6.53</v>
      </c>
      <c r="BD664" s="571">
        <f t="shared" si="149"/>
        <v>0</v>
      </c>
      <c r="BE664" s="571">
        <f t="shared" si="153"/>
        <v>0</v>
      </c>
      <c r="BF664" s="586">
        <f t="shared" si="150"/>
        <v>0</v>
      </c>
      <c r="BG664" s="586" t="e">
        <f t="shared" si="151"/>
        <v>#DIV/0!</v>
      </c>
      <c r="BH664" s="571" t="e">
        <f t="shared" si="152"/>
        <v>#DIV/0!</v>
      </c>
    </row>
    <row r="665" spans="55:60" s="39" customFormat="1">
      <c r="BC665" s="573">
        <v>6.54</v>
      </c>
      <c r="BD665" s="571">
        <f t="shared" si="149"/>
        <v>0</v>
      </c>
      <c r="BE665" s="571">
        <f t="shared" si="153"/>
        <v>0</v>
      </c>
      <c r="BF665" s="586">
        <f t="shared" si="150"/>
        <v>0</v>
      </c>
      <c r="BG665" s="586" t="e">
        <f t="shared" si="151"/>
        <v>#DIV/0!</v>
      </c>
      <c r="BH665" s="571" t="e">
        <f t="shared" si="152"/>
        <v>#DIV/0!</v>
      </c>
    </row>
    <row r="666" spans="55:60" s="39" customFormat="1">
      <c r="BC666" s="573">
        <v>6.55</v>
      </c>
      <c r="BD666" s="571">
        <f t="shared" si="149"/>
        <v>0</v>
      </c>
      <c r="BE666" s="571">
        <f t="shared" si="153"/>
        <v>0</v>
      </c>
      <c r="BF666" s="586">
        <f t="shared" si="150"/>
        <v>0</v>
      </c>
      <c r="BG666" s="586" t="e">
        <f t="shared" si="151"/>
        <v>#DIV/0!</v>
      </c>
      <c r="BH666" s="571" t="e">
        <f t="shared" si="152"/>
        <v>#DIV/0!</v>
      </c>
    </row>
    <row r="667" spans="55:60" s="39" customFormat="1">
      <c r="BC667" s="573">
        <v>6.56</v>
      </c>
      <c r="BD667" s="571">
        <f t="shared" si="149"/>
        <v>0</v>
      </c>
      <c r="BE667" s="571">
        <f t="shared" si="153"/>
        <v>0</v>
      </c>
      <c r="BF667" s="586">
        <f t="shared" si="150"/>
        <v>0</v>
      </c>
      <c r="BG667" s="586" t="e">
        <f t="shared" si="151"/>
        <v>#DIV/0!</v>
      </c>
      <c r="BH667" s="571" t="e">
        <f t="shared" si="152"/>
        <v>#DIV/0!</v>
      </c>
    </row>
    <row r="668" spans="55:60" s="39" customFormat="1">
      <c r="BC668" s="573">
        <v>6.57</v>
      </c>
      <c r="BD668" s="571">
        <f t="shared" si="149"/>
        <v>0</v>
      </c>
      <c r="BE668" s="571">
        <f t="shared" si="153"/>
        <v>0</v>
      </c>
      <c r="BF668" s="586">
        <f t="shared" si="150"/>
        <v>0</v>
      </c>
      <c r="BG668" s="586" t="e">
        <f t="shared" si="151"/>
        <v>#DIV/0!</v>
      </c>
      <c r="BH668" s="571" t="e">
        <f t="shared" si="152"/>
        <v>#DIV/0!</v>
      </c>
    </row>
    <row r="669" spans="55:60" s="39" customFormat="1">
      <c r="BC669" s="573">
        <v>6.58</v>
      </c>
      <c r="BD669" s="571">
        <f t="shared" si="149"/>
        <v>0</v>
      </c>
      <c r="BE669" s="571">
        <f t="shared" si="153"/>
        <v>0</v>
      </c>
      <c r="BF669" s="586">
        <f t="shared" si="150"/>
        <v>0</v>
      </c>
      <c r="BG669" s="586" t="e">
        <f t="shared" si="151"/>
        <v>#DIV/0!</v>
      </c>
      <c r="BH669" s="571" t="e">
        <f t="shared" si="152"/>
        <v>#DIV/0!</v>
      </c>
    </row>
    <row r="670" spans="55:60" s="39" customFormat="1">
      <c r="BC670" s="573">
        <v>6.59</v>
      </c>
      <c r="BD670" s="571">
        <f t="shared" si="149"/>
        <v>0</v>
      </c>
      <c r="BE670" s="571">
        <f t="shared" si="153"/>
        <v>0</v>
      </c>
      <c r="BF670" s="586">
        <f t="shared" si="150"/>
        <v>0</v>
      </c>
      <c r="BG670" s="586" t="e">
        <f t="shared" si="151"/>
        <v>#DIV/0!</v>
      </c>
      <c r="BH670" s="571" t="e">
        <f t="shared" si="152"/>
        <v>#DIV/0!</v>
      </c>
    </row>
    <row r="671" spans="55:60" s="39" customFormat="1">
      <c r="BC671" s="573">
        <v>6.6</v>
      </c>
      <c r="BD671" s="571">
        <f t="shared" si="149"/>
        <v>0</v>
      </c>
      <c r="BE671" s="571">
        <f t="shared" si="153"/>
        <v>0</v>
      </c>
      <c r="BF671" s="586">
        <f t="shared" si="150"/>
        <v>0</v>
      </c>
      <c r="BG671" s="586" t="e">
        <f t="shared" si="151"/>
        <v>#DIV/0!</v>
      </c>
      <c r="BH671" s="571" t="e">
        <f t="shared" si="152"/>
        <v>#DIV/0!</v>
      </c>
    </row>
    <row r="672" spans="55:60" s="39" customFormat="1">
      <c r="BC672" s="573">
        <v>6.61</v>
      </c>
      <c r="BD672" s="571">
        <f t="shared" si="149"/>
        <v>0</v>
      </c>
      <c r="BE672" s="571">
        <f t="shared" si="153"/>
        <v>0</v>
      </c>
      <c r="BF672" s="586">
        <f t="shared" si="150"/>
        <v>0</v>
      </c>
      <c r="BG672" s="586" t="e">
        <f t="shared" si="151"/>
        <v>#DIV/0!</v>
      </c>
      <c r="BH672" s="571" t="e">
        <f t="shared" si="152"/>
        <v>#DIV/0!</v>
      </c>
    </row>
    <row r="673" spans="55:60" s="39" customFormat="1">
      <c r="BC673" s="573">
        <v>6.62</v>
      </c>
      <c r="BD673" s="571">
        <f t="shared" si="149"/>
        <v>0</v>
      </c>
      <c r="BE673" s="571">
        <f t="shared" si="153"/>
        <v>0</v>
      </c>
      <c r="BF673" s="586">
        <f t="shared" si="150"/>
        <v>0</v>
      </c>
      <c r="BG673" s="586" t="e">
        <f t="shared" si="151"/>
        <v>#DIV/0!</v>
      </c>
      <c r="BH673" s="571" t="e">
        <f t="shared" si="152"/>
        <v>#DIV/0!</v>
      </c>
    </row>
    <row r="674" spans="55:60" s="39" customFormat="1">
      <c r="BC674" s="573">
        <v>6.63</v>
      </c>
      <c r="BD674" s="571">
        <f t="shared" si="149"/>
        <v>0</v>
      </c>
      <c r="BE674" s="571">
        <f t="shared" si="153"/>
        <v>0</v>
      </c>
      <c r="BF674" s="586">
        <f t="shared" si="150"/>
        <v>0</v>
      </c>
      <c r="BG674" s="586" t="e">
        <f t="shared" si="151"/>
        <v>#DIV/0!</v>
      </c>
      <c r="BH674" s="571" t="e">
        <f t="shared" si="152"/>
        <v>#DIV/0!</v>
      </c>
    </row>
    <row r="675" spans="55:60" s="39" customFormat="1">
      <c r="BC675" s="573">
        <v>6.64</v>
      </c>
      <c r="BD675" s="571">
        <f t="shared" si="149"/>
        <v>0</v>
      </c>
      <c r="BE675" s="571">
        <f t="shared" si="153"/>
        <v>0</v>
      </c>
      <c r="BF675" s="586">
        <f t="shared" si="150"/>
        <v>0</v>
      </c>
      <c r="BG675" s="586" t="e">
        <f t="shared" si="151"/>
        <v>#DIV/0!</v>
      </c>
      <c r="BH675" s="571" t="e">
        <f t="shared" si="152"/>
        <v>#DIV/0!</v>
      </c>
    </row>
    <row r="676" spans="55:60" s="39" customFormat="1">
      <c r="BC676" s="573">
        <v>6.65</v>
      </c>
      <c r="BD676" s="571">
        <f t="shared" si="149"/>
        <v>0</v>
      </c>
      <c r="BE676" s="571">
        <f t="shared" si="153"/>
        <v>0</v>
      </c>
      <c r="BF676" s="586">
        <f t="shared" si="150"/>
        <v>0</v>
      </c>
      <c r="BG676" s="586" t="e">
        <f t="shared" si="151"/>
        <v>#DIV/0!</v>
      </c>
      <c r="BH676" s="571" t="e">
        <f t="shared" si="152"/>
        <v>#DIV/0!</v>
      </c>
    </row>
    <row r="677" spans="55:60" s="39" customFormat="1">
      <c r="BC677" s="573">
        <v>6.66</v>
      </c>
      <c r="BD677" s="571">
        <f t="shared" si="149"/>
        <v>0</v>
      </c>
      <c r="BE677" s="571">
        <f t="shared" si="153"/>
        <v>0</v>
      </c>
      <c r="BF677" s="586">
        <f t="shared" si="150"/>
        <v>0</v>
      </c>
      <c r="BG677" s="586" t="e">
        <f t="shared" si="151"/>
        <v>#DIV/0!</v>
      </c>
      <c r="BH677" s="571" t="e">
        <f t="shared" si="152"/>
        <v>#DIV/0!</v>
      </c>
    </row>
    <row r="678" spans="55:60" s="39" customFormat="1">
      <c r="BC678" s="573">
        <v>6.67</v>
      </c>
      <c r="BD678" s="571">
        <f t="shared" si="149"/>
        <v>0</v>
      </c>
      <c r="BE678" s="571">
        <f t="shared" si="153"/>
        <v>0</v>
      </c>
      <c r="BF678" s="586">
        <f t="shared" si="150"/>
        <v>0</v>
      </c>
      <c r="BG678" s="586" t="e">
        <f t="shared" si="151"/>
        <v>#DIV/0!</v>
      </c>
      <c r="BH678" s="571" t="e">
        <f t="shared" si="152"/>
        <v>#DIV/0!</v>
      </c>
    </row>
    <row r="679" spans="55:60" s="39" customFormat="1">
      <c r="BC679" s="573">
        <v>6.68</v>
      </c>
      <c r="BD679" s="571">
        <f t="shared" si="149"/>
        <v>0</v>
      </c>
      <c r="BE679" s="571">
        <f t="shared" si="153"/>
        <v>0</v>
      </c>
      <c r="BF679" s="586">
        <f t="shared" si="150"/>
        <v>0</v>
      </c>
      <c r="BG679" s="586" t="e">
        <f t="shared" si="151"/>
        <v>#DIV/0!</v>
      </c>
      <c r="BH679" s="571" t="e">
        <f t="shared" si="152"/>
        <v>#DIV/0!</v>
      </c>
    </row>
    <row r="680" spans="55:60" s="39" customFormat="1">
      <c r="BC680" s="573">
        <v>6.69</v>
      </c>
      <c r="BD680" s="571">
        <f t="shared" si="149"/>
        <v>0</v>
      </c>
      <c r="BE680" s="571">
        <f t="shared" si="153"/>
        <v>0</v>
      </c>
      <c r="BF680" s="586">
        <f t="shared" si="150"/>
        <v>0</v>
      </c>
      <c r="BG680" s="586" t="e">
        <f t="shared" si="151"/>
        <v>#DIV/0!</v>
      </c>
      <c r="BH680" s="571" t="e">
        <f t="shared" si="152"/>
        <v>#DIV/0!</v>
      </c>
    </row>
    <row r="681" spans="55:60" s="39" customFormat="1">
      <c r="BC681" s="573">
        <v>6.7</v>
      </c>
      <c r="BD681" s="571">
        <f t="shared" si="149"/>
        <v>0</v>
      </c>
      <c r="BE681" s="571">
        <f t="shared" si="153"/>
        <v>0</v>
      </c>
      <c r="BF681" s="586">
        <f t="shared" si="150"/>
        <v>0</v>
      </c>
      <c r="BG681" s="586" t="e">
        <f t="shared" si="151"/>
        <v>#DIV/0!</v>
      </c>
      <c r="BH681" s="571" t="e">
        <f t="shared" si="152"/>
        <v>#DIV/0!</v>
      </c>
    </row>
    <row r="682" spans="55:60" s="39" customFormat="1">
      <c r="BC682" s="573">
        <v>6.71</v>
      </c>
      <c r="BD682" s="571">
        <f t="shared" si="149"/>
        <v>0</v>
      </c>
      <c r="BE682" s="571">
        <f t="shared" si="153"/>
        <v>0</v>
      </c>
      <c r="BF682" s="586">
        <f t="shared" si="150"/>
        <v>0</v>
      </c>
      <c r="BG682" s="586" t="e">
        <f t="shared" si="151"/>
        <v>#DIV/0!</v>
      </c>
      <c r="BH682" s="571" t="e">
        <f t="shared" si="152"/>
        <v>#DIV/0!</v>
      </c>
    </row>
    <row r="683" spans="55:60" s="39" customFormat="1">
      <c r="BC683" s="573">
        <v>6.72</v>
      </c>
      <c r="BD683" s="571">
        <f t="shared" si="149"/>
        <v>0</v>
      </c>
      <c r="BE683" s="571">
        <f t="shared" si="153"/>
        <v>0</v>
      </c>
      <c r="BF683" s="586">
        <f t="shared" si="150"/>
        <v>0</v>
      </c>
      <c r="BG683" s="586" t="e">
        <f t="shared" si="151"/>
        <v>#DIV/0!</v>
      </c>
      <c r="BH683" s="571" t="e">
        <f t="shared" si="152"/>
        <v>#DIV/0!</v>
      </c>
    </row>
    <row r="684" spans="55:60" s="39" customFormat="1">
      <c r="BC684" s="573">
        <v>6.73</v>
      </c>
      <c r="BD684" s="571">
        <f t="shared" si="149"/>
        <v>0</v>
      </c>
      <c r="BE684" s="571">
        <f t="shared" si="153"/>
        <v>0</v>
      </c>
      <c r="BF684" s="586">
        <f t="shared" si="150"/>
        <v>0</v>
      </c>
      <c r="BG684" s="586" t="e">
        <f t="shared" si="151"/>
        <v>#DIV/0!</v>
      </c>
      <c r="BH684" s="571" t="e">
        <f t="shared" si="152"/>
        <v>#DIV/0!</v>
      </c>
    </row>
    <row r="685" spans="55:60" s="39" customFormat="1">
      <c r="BC685" s="573">
        <v>6.74</v>
      </c>
      <c r="BD685" s="571">
        <f t="shared" si="149"/>
        <v>0</v>
      </c>
      <c r="BE685" s="571">
        <f t="shared" si="153"/>
        <v>0</v>
      </c>
      <c r="BF685" s="586">
        <f t="shared" si="150"/>
        <v>0</v>
      </c>
      <c r="BG685" s="586" t="e">
        <f t="shared" si="151"/>
        <v>#DIV/0!</v>
      </c>
      <c r="BH685" s="571" t="e">
        <f t="shared" si="152"/>
        <v>#DIV/0!</v>
      </c>
    </row>
    <row r="686" spans="55:60" s="39" customFormat="1">
      <c r="BC686" s="573">
        <v>6.75</v>
      </c>
      <c r="BD686" s="571">
        <f t="shared" si="149"/>
        <v>0</v>
      </c>
      <c r="BE686" s="571">
        <f t="shared" si="153"/>
        <v>0</v>
      </c>
      <c r="BF686" s="586">
        <f t="shared" si="150"/>
        <v>0</v>
      </c>
      <c r="BG686" s="586" t="e">
        <f t="shared" si="151"/>
        <v>#DIV/0!</v>
      </c>
      <c r="BH686" s="571" t="e">
        <f t="shared" si="152"/>
        <v>#DIV/0!</v>
      </c>
    </row>
    <row r="687" spans="55:60" s="39" customFormat="1">
      <c r="BC687" s="573">
        <v>6.76</v>
      </c>
      <c r="BD687" s="571">
        <f t="shared" si="149"/>
        <v>0</v>
      </c>
      <c r="BE687" s="571">
        <f t="shared" si="153"/>
        <v>0</v>
      </c>
      <c r="BF687" s="586">
        <f t="shared" si="150"/>
        <v>0</v>
      </c>
      <c r="BG687" s="586" t="e">
        <f t="shared" si="151"/>
        <v>#DIV/0!</v>
      </c>
      <c r="BH687" s="571" t="e">
        <f t="shared" si="152"/>
        <v>#DIV/0!</v>
      </c>
    </row>
    <row r="688" spans="55:60" s="39" customFormat="1">
      <c r="BC688" s="573">
        <v>6.77</v>
      </c>
      <c r="BD688" s="571">
        <f t="shared" si="149"/>
        <v>0</v>
      </c>
      <c r="BE688" s="571">
        <f t="shared" si="153"/>
        <v>0</v>
      </c>
      <c r="BF688" s="586">
        <f t="shared" si="150"/>
        <v>0</v>
      </c>
      <c r="BG688" s="586" t="e">
        <f t="shared" si="151"/>
        <v>#DIV/0!</v>
      </c>
      <c r="BH688" s="571" t="e">
        <f t="shared" si="152"/>
        <v>#DIV/0!</v>
      </c>
    </row>
    <row r="689" spans="55:60" s="39" customFormat="1">
      <c r="BC689" s="573">
        <v>6.78</v>
      </c>
      <c r="BD689" s="571">
        <f t="shared" si="149"/>
        <v>0</v>
      </c>
      <c r="BE689" s="571">
        <f t="shared" si="153"/>
        <v>0</v>
      </c>
      <c r="BF689" s="586">
        <f t="shared" si="150"/>
        <v>0</v>
      </c>
      <c r="BG689" s="586" t="e">
        <f t="shared" si="151"/>
        <v>#DIV/0!</v>
      </c>
      <c r="BH689" s="571" t="e">
        <f t="shared" si="152"/>
        <v>#DIV/0!</v>
      </c>
    </row>
    <row r="690" spans="55:60" s="39" customFormat="1">
      <c r="BC690" s="573">
        <v>6.79</v>
      </c>
      <c r="BD690" s="571">
        <f t="shared" si="149"/>
        <v>0</v>
      </c>
      <c r="BE690" s="571">
        <f t="shared" si="153"/>
        <v>0</v>
      </c>
      <c r="BF690" s="586">
        <f t="shared" si="150"/>
        <v>0</v>
      </c>
      <c r="BG690" s="586" t="e">
        <f t="shared" si="151"/>
        <v>#DIV/0!</v>
      </c>
      <c r="BH690" s="571" t="e">
        <f t="shared" si="152"/>
        <v>#DIV/0!</v>
      </c>
    </row>
    <row r="691" spans="55:60" s="39" customFormat="1">
      <c r="BC691" s="573">
        <v>6.8</v>
      </c>
      <c r="BD691" s="571">
        <f t="shared" si="149"/>
        <v>0</v>
      </c>
      <c r="BE691" s="571">
        <f t="shared" si="153"/>
        <v>0</v>
      </c>
      <c r="BF691" s="586">
        <f t="shared" si="150"/>
        <v>0</v>
      </c>
      <c r="BG691" s="586" t="e">
        <f t="shared" si="151"/>
        <v>#DIV/0!</v>
      </c>
      <c r="BH691" s="571" t="e">
        <f t="shared" si="152"/>
        <v>#DIV/0!</v>
      </c>
    </row>
    <row r="692" spans="55:60" s="39" customFormat="1">
      <c r="BC692" s="573">
        <v>6.81</v>
      </c>
      <c r="BD692" s="571">
        <f t="shared" si="149"/>
        <v>0</v>
      </c>
      <c r="BE692" s="571">
        <f t="shared" si="153"/>
        <v>0</v>
      </c>
      <c r="BF692" s="586">
        <f t="shared" si="150"/>
        <v>0</v>
      </c>
      <c r="BG692" s="586" t="e">
        <f t="shared" si="151"/>
        <v>#DIV/0!</v>
      </c>
      <c r="BH692" s="571" t="e">
        <f t="shared" si="152"/>
        <v>#DIV/0!</v>
      </c>
    </row>
    <row r="693" spans="55:60" s="39" customFormat="1">
      <c r="BC693" s="573">
        <v>6.82</v>
      </c>
      <c r="BD693" s="571">
        <f t="shared" si="149"/>
        <v>0</v>
      </c>
      <c r="BE693" s="571">
        <f t="shared" si="153"/>
        <v>0</v>
      </c>
      <c r="BF693" s="586">
        <f t="shared" si="150"/>
        <v>0</v>
      </c>
      <c r="BG693" s="586" t="e">
        <f t="shared" si="151"/>
        <v>#DIV/0!</v>
      </c>
      <c r="BH693" s="571" t="e">
        <f t="shared" si="152"/>
        <v>#DIV/0!</v>
      </c>
    </row>
    <row r="694" spans="55:60" s="39" customFormat="1">
      <c r="BC694" s="573">
        <v>6.83</v>
      </c>
      <c r="BD694" s="571">
        <f t="shared" si="149"/>
        <v>0</v>
      </c>
      <c r="BE694" s="571">
        <f t="shared" si="153"/>
        <v>0</v>
      </c>
      <c r="BF694" s="586">
        <f t="shared" si="150"/>
        <v>0</v>
      </c>
      <c r="BG694" s="586" t="e">
        <f t="shared" si="151"/>
        <v>#DIV/0!</v>
      </c>
      <c r="BH694" s="571" t="e">
        <f t="shared" si="152"/>
        <v>#DIV/0!</v>
      </c>
    </row>
    <row r="695" spans="55:60" s="39" customFormat="1">
      <c r="BC695" s="573">
        <v>6.84</v>
      </c>
      <c r="BD695" s="571">
        <f t="shared" si="149"/>
        <v>0</v>
      </c>
      <c r="BE695" s="571">
        <f t="shared" si="153"/>
        <v>0</v>
      </c>
      <c r="BF695" s="586">
        <f t="shared" si="150"/>
        <v>0</v>
      </c>
      <c r="BG695" s="586" t="e">
        <f t="shared" si="151"/>
        <v>#DIV/0!</v>
      </c>
      <c r="BH695" s="571" t="e">
        <f t="shared" si="152"/>
        <v>#DIV/0!</v>
      </c>
    </row>
    <row r="696" spans="55:60" s="39" customFormat="1">
      <c r="BC696" s="573">
        <v>6.85</v>
      </c>
      <c r="BD696" s="571">
        <f t="shared" si="149"/>
        <v>0</v>
      </c>
      <c r="BE696" s="571">
        <f t="shared" si="153"/>
        <v>0</v>
      </c>
      <c r="BF696" s="586">
        <f t="shared" si="150"/>
        <v>0</v>
      </c>
      <c r="BG696" s="586" t="e">
        <f t="shared" si="151"/>
        <v>#DIV/0!</v>
      </c>
      <c r="BH696" s="571" t="e">
        <f t="shared" si="152"/>
        <v>#DIV/0!</v>
      </c>
    </row>
    <row r="697" spans="55:60" s="39" customFormat="1">
      <c r="BC697" s="573">
        <v>6.86</v>
      </c>
      <c r="BD697" s="571">
        <f t="shared" si="149"/>
        <v>0</v>
      </c>
      <c r="BE697" s="571">
        <f t="shared" si="153"/>
        <v>0</v>
      </c>
      <c r="BF697" s="586">
        <f t="shared" si="150"/>
        <v>0</v>
      </c>
      <c r="BG697" s="586" t="e">
        <f t="shared" si="151"/>
        <v>#DIV/0!</v>
      </c>
      <c r="BH697" s="571" t="e">
        <f t="shared" si="152"/>
        <v>#DIV/0!</v>
      </c>
    </row>
    <row r="698" spans="55:60" s="39" customFormat="1">
      <c r="BC698" s="573">
        <v>6.87</v>
      </c>
      <c r="BD698" s="571">
        <f t="shared" si="149"/>
        <v>0</v>
      </c>
      <c r="BE698" s="571">
        <f t="shared" si="153"/>
        <v>0</v>
      </c>
      <c r="BF698" s="586">
        <f t="shared" si="150"/>
        <v>0</v>
      </c>
      <c r="BG698" s="586" t="e">
        <f t="shared" si="151"/>
        <v>#DIV/0!</v>
      </c>
      <c r="BH698" s="571" t="e">
        <f t="shared" si="152"/>
        <v>#DIV/0!</v>
      </c>
    </row>
    <row r="699" spans="55:60" s="39" customFormat="1">
      <c r="BC699" s="573">
        <v>6.88</v>
      </c>
      <c r="BD699" s="571">
        <f t="shared" si="149"/>
        <v>0</v>
      </c>
      <c r="BE699" s="571">
        <f t="shared" si="153"/>
        <v>0</v>
      </c>
      <c r="BF699" s="586">
        <f t="shared" si="150"/>
        <v>0</v>
      </c>
      <c r="BG699" s="586" t="e">
        <f t="shared" si="151"/>
        <v>#DIV/0!</v>
      </c>
      <c r="BH699" s="571" t="e">
        <f t="shared" si="152"/>
        <v>#DIV/0!</v>
      </c>
    </row>
    <row r="700" spans="55:60" s="39" customFormat="1">
      <c r="BC700" s="573">
        <v>6.89</v>
      </c>
      <c r="BD700" s="571">
        <f t="shared" si="149"/>
        <v>0</v>
      </c>
      <c r="BE700" s="571">
        <f t="shared" si="153"/>
        <v>0</v>
      </c>
      <c r="BF700" s="586">
        <f t="shared" si="150"/>
        <v>0</v>
      </c>
      <c r="BG700" s="586" t="e">
        <f t="shared" si="151"/>
        <v>#DIV/0!</v>
      </c>
      <c r="BH700" s="571" t="e">
        <f t="shared" si="152"/>
        <v>#DIV/0!</v>
      </c>
    </row>
    <row r="701" spans="55:60" s="39" customFormat="1">
      <c r="BC701" s="573">
        <v>6.9</v>
      </c>
      <c r="BD701" s="571">
        <f t="shared" si="149"/>
        <v>0</v>
      </c>
      <c r="BE701" s="571">
        <f t="shared" si="153"/>
        <v>0</v>
      </c>
      <c r="BF701" s="586">
        <f t="shared" si="150"/>
        <v>0</v>
      </c>
      <c r="BG701" s="586" t="e">
        <f t="shared" si="151"/>
        <v>#DIV/0!</v>
      </c>
      <c r="BH701" s="571" t="e">
        <f t="shared" si="152"/>
        <v>#DIV/0!</v>
      </c>
    </row>
    <row r="702" spans="55:60" s="39" customFormat="1">
      <c r="BC702" s="573">
        <v>6.91</v>
      </c>
      <c r="BD702" s="571">
        <f t="shared" si="149"/>
        <v>0</v>
      </c>
      <c r="BE702" s="571">
        <f t="shared" si="153"/>
        <v>0</v>
      </c>
      <c r="BF702" s="586">
        <f t="shared" si="150"/>
        <v>0</v>
      </c>
      <c r="BG702" s="586" t="e">
        <f t="shared" si="151"/>
        <v>#DIV/0!</v>
      </c>
      <c r="BH702" s="571" t="e">
        <f t="shared" si="152"/>
        <v>#DIV/0!</v>
      </c>
    </row>
    <row r="703" spans="55:60" s="39" customFormat="1">
      <c r="BC703" s="573">
        <v>6.92</v>
      </c>
      <c r="BD703" s="571">
        <f t="shared" si="149"/>
        <v>0</v>
      </c>
      <c r="BE703" s="571">
        <f t="shared" si="153"/>
        <v>0</v>
      </c>
      <c r="BF703" s="586">
        <f t="shared" si="150"/>
        <v>0</v>
      </c>
      <c r="BG703" s="586" t="e">
        <f t="shared" si="151"/>
        <v>#DIV/0!</v>
      </c>
      <c r="BH703" s="571" t="e">
        <f t="shared" si="152"/>
        <v>#DIV/0!</v>
      </c>
    </row>
    <row r="704" spans="55:60" s="39" customFormat="1">
      <c r="BC704" s="573">
        <v>6.93</v>
      </c>
      <c r="BD704" s="571">
        <f t="shared" si="149"/>
        <v>0</v>
      </c>
      <c r="BE704" s="571">
        <f t="shared" si="153"/>
        <v>0</v>
      </c>
      <c r="BF704" s="586">
        <f t="shared" si="150"/>
        <v>0</v>
      </c>
      <c r="BG704" s="586" t="e">
        <f t="shared" si="151"/>
        <v>#DIV/0!</v>
      </c>
      <c r="BH704" s="571" t="e">
        <f t="shared" si="152"/>
        <v>#DIV/0!</v>
      </c>
    </row>
    <row r="705" spans="55:60" s="39" customFormat="1">
      <c r="BC705" s="573">
        <v>6.94</v>
      </c>
      <c r="BD705" s="571">
        <f t="shared" si="149"/>
        <v>0</v>
      </c>
      <c r="BE705" s="571">
        <f t="shared" si="153"/>
        <v>0</v>
      </c>
      <c r="BF705" s="586">
        <f t="shared" si="150"/>
        <v>0</v>
      </c>
      <c r="BG705" s="586" t="e">
        <f t="shared" si="151"/>
        <v>#DIV/0!</v>
      </c>
      <c r="BH705" s="571" t="e">
        <f t="shared" si="152"/>
        <v>#DIV/0!</v>
      </c>
    </row>
    <row r="706" spans="55:60" s="39" customFormat="1">
      <c r="BC706" s="573">
        <v>6.95</v>
      </c>
      <c r="BD706" s="571">
        <f t="shared" si="149"/>
        <v>0</v>
      </c>
      <c r="BE706" s="571">
        <f t="shared" si="153"/>
        <v>0</v>
      </c>
      <c r="BF706" s="586">
        <f t="shared" si="150"/>
        <v>0</v>
      </c>
      <c r="BG706" s="586" t="e">
        <f t="shared" si="151"/>
        <v>#DIV/0!</v>
      </c>
      <c r="BH706" s="571" t="e">
        <f t="shared" si="152"/>
        <v>#DIV/0!</v>
      </c>
    </row>
    <row r="707" spans="55:60" s="39" customFormat="1">
      <c r="BC707" s="573">
        <v>6.96</v>
      </c>
      <c r="BD707" s="571">
        <f t="shared" si="149"/>
        <v>0</v>
      </c>
      <c r="BE707" s="571">
        <f t="shared" si="153"/>
        <v>0</v>
      </c>
      <c r="BF707" s="586">
        <f t="shared" si="150"/>
        <v>0</v>
      </c>
      <c r="BG707" s="586" t="e">
        <f t="shared" si="151"/>
        <v>#DIV/0!</v>
      </c>
      <c r="BH707" s="571" t="e">
        <f t="shared" si="152"/>
        <v>#DIV/0!</v>
      </c>
    </row>
    <row r="708" spans="55:60" s="39" customFormat="1">
      <c r="BC708" s="573">
        <v>6.97</v>
      </c>
      <c r="BD708" s="571">
        <f t="shared" si="149"/>
        <v>0</v>
      </c>
      <c r="BE708" s="571">
        <f t="shared" si="153"/>
        <v>0</v>
      </c>
      <c r="BF708" s="586">
        <f t="shared" si="150"/>
        <v>0</v>
      </c>
      <c r="BG708" s="586" t="e">
        <f t="shared" si="151"/>
        <v>#DIV/0!</v>
      </c>
      <c r="BH708" s="571" t="e">
        <f t="shared" si="152"/>
        <v>#DIV/0!</v>
      </c>
    </row>
    <row r="709" spans="55:60" s="39" customFormat="1">
      <c r="BC709" s="573">
        <v>6.98</v>
      </c>
      <c r="BD709" s="571">
        <f t="shared" si="149"/>
        <v>0</v>
      </c>
      <c r="BE709" s="571">
        <f t="shared" si="153"/>
        <v>0</v>
      </c>
      <c r="BF709" s="586">
        <f t="shared" si="150"/>
        <v>0</v>
      </c>
      <c r="BG709" s="586" t="e">
        <f t="shared" si="151"/>
        <v>#DIV/0!</v>
      </c>
      <c r="BH709" s="571" t="e">
        <f t="shared" si="152"/>
        <v>#DIV/0!</v>
      </c>
    </row>
    <row r="710" spans="55:60" s="39" customFormat="1">
      <c r="BC710" s="573">
        <v>6.99</v>
      </c>
      <c r="BD710" s="571">
        <f t="shared" si="149"/>
        <v>0</v>
      </c>
      <c r="BE710" s="571">
        <f t="shared" si="153"/>
        <v>0</v>
      </c>
      <c r="BF710" s="586">
        <f t="shared" si="150"/>
        <v>0</v>
      </c>
      <c r="BG710" s="586" t="e">
        <f t="shared" si="151"/>
        <v>#DIV/0!</v>
      </c>
      <c r="BH710" s="571" t="e">
        <f t="shared" si="152"/>
        <v>#DIV/0!</v>
      </c>
    </row>
    <row r="711" spans="55:60" s="39" customFormat="1">
      <c r="BC711" s="573">
        <v>7</v>
      </c>
      <c r="BD711" s="571">
        <f t="shared" si="149"/>
        <v>0</v>
      </c>
      <c r="BE711" s="571">
        <f t="shared" si="153"/>
        <v>0</v>
      </c>
      <c r="BF711" s="586">
        <f t="shared" si="150"/>
        <v>0</v>
      </c>
      <c r="BG711" s="586" t="e">
        <f t="shared" si="151"/>
        <v>#DIV/0!</v>
      </c>
      <c r="BH711" s="571" t="e">
        <f t="shared" si="152"/>
        <v>#DIV/0!</v>
      </c>
    </row>
    <row r="712" spans="55:60" s="39" customFormat="1">
      <c r="BC712" s="573">
        <v>7.01</v>
      </c>
      <c r="BD712" s="571">
        <f t="shared" si="149"/>
        <v>0</v>
      </c>
      <c r="BE712" s="571">
        <f t="shared" si="153"/>
        <v>0</v>
      </c>
      <c r="BF712" s="586">
        <f t="shared" si="150"/>
        <v>0</v>
      </c>
      <c r="BG712" s="586" t="e">
        <f t="shared" si="151"/>
        <v>#DIV/0!</v>
      </c>
      <c r="BH712" s="571" t="e">
        <f t="shared" si="152"/>
        <v>#DIV/0!</v>
      </c>
    </row>
    <row r="713" spans="55:60" s="39" customFormat="1">
      <c r="BC713" s="573">
        <v>7.02</v>
      </c>
      <c r="BD713" s="571">
        <f t="shared" si="149"/>
        <v>0</v>
      </c>
      <c r="BE713" s="571">
        <f t="shared" si="153"/>
        <v>0</v>
      </c>
      <c r="BF713" s="586">
        <f t="shared" si="150"/>
        <v>0</v>
      </c>
      <c r="BG713" s="586" t="e">
        <f t="shared" si="151"/>
        <v>#DIV/0!</v>
      </c>
      <c r="BH713" s="571" t="e">
        <f t="shared" si="152"/>
        <v>#DIV/0!</v>
      </c>
    </row>
    <row r="714" spans="55:60" s="39" customFormat="1">
      <c r="BC714" s="573">
        <v>7.03</v>
      </c>
      <c r="BD714" s="571">
        <f t="shared" si="149"/>
        <v>0</v>
      </c>
      <c r="BE714" s="571">
        <f t="shared" si="153"/>
        <v>0</v>
      </c>
      <c r="BF714" s="586">
        <f t="shared" si="150"/>
        <v>0</v>
      </c>
      <c r="BG714" s="586" t="e">
        <f t="shared" si="151"/>
        <v>#DIV/0!</v>
      </c>
      <c r="BH714" s="571" t="e">
        <f t="shared" si="152"/>
        <v>#DIV/0!</v>
      </c>
    </row>
    <row r="715" spans="55:60" s="39" customFormat="1">
      <c r="BC715" s="573">
        <v>7.04</v>
      </c>
      <c r="BD715" s="571">
        <f t="shared" si="149"/>
        <v>0</v>
      </c>
      <c r="BE715" s="571">
        <f t="shared" si="153"/>
        <v>0</v>
      </c>
      <c r="BF715" s="586">
        <f t="shared" si="150"/>
        <v>0</v>
      </c>
      <c r="BG715" s="586" t="e">
        <f t="shared" si="151"/>
        <v>#DIV/0!</v>
      </c>
      <c r="BH715" s="571" t="e">
        <f t="shared" si="152"/>
        <v>#DIV/0!</v>
      </c>
    </row>
    <row r="716" spans="55:60" s="39" customFormat="1">
      <c r="BC716" s="573">
        <v>7.05</v>
      </c>
      <c r="BD716" s="571">
        <f t="shared" ref="BD716:BD779" si="154">$AU$15/BC716</f>
        <v>0</v>
      </c>
      <c r="BE716" s="571">
        <f t="shared" si="153"/>
        <v>0</v>
      </c>
      <c r="BF716" s="586">
        <f t="shared" ref="BF716:BF779" si="155">BC716*(BE716/1000)/$AO$12</f>
        <v>0</v>
      </c>
      <c r="BG716" s="586" t="e">
        <f t="shared" ref="BG716:BG779" si="156">POWER((1/(-1.8*LOG((6.9/BF716+POWER((($P$7/BE716)/3.71),1.11)),10))),2)</f>
        <v>#DIV/0!</v>
      </c>
      <c r="BH716" s="571" t="e">
        <f t="shared" ref="BH716:BH779" si="157">BG716*0.5*$P$6*16*$AU$15*$AU$15/(POWER(PI(),2)*POWER((BE716/1000),5))</f>
        <v>#DIV/0!</v>
      </c>
    </row>
    <row r="717" spans="55:60" s="39" customFormat="1">
      <c r="BC717" s="573">
        <v>7.06</v>
      </c>
      <c r="BD717" s="571">
        <f t="shared" si="154"/>
        <v>0</v>
      </c>
      <c r="BE717" s="571">
        <f t="shared" ref="BE717:BE780" si="158">((BD717/PI())^0.5)*2*1000</f>
        <v>0</v>
      </c>
      <c r="BF717" s="586">
        <f t="shared" si="155"/>
        <v>0</v>
      </c>
      <c r="BG717" s="586" t="e">
        <f t="shared" si="156"/>
        <v>#DIV/0!</v>
      </c>
      <c r="BH717" s="571" t="e">
        <f t="shared" si="157"/>
        <v>#DIV/0!</v>
      </c>
    </row>
    <row r="718" spans="55:60" s="39" customFormat="1">
      <c r="BC718" s="573">
        <v>7.07</v>
      </c>
      <c r="BD718" s="571">
        <f t="shared" si="154"/>
        <v>0</v>
      </c>
      <c r="BE718" s="571">
        <f t="shared" si="158"/>
        <v>0</v>
      </c>
      <c r="BF718" s="586">
        <f t="shared" si="155"/>
        <v>0</v>
      </c>
      <c r="BG718" s="586" t="e">
        <f t="shared" si="156"/>
        <v>#DIV/0!</v>
      </c>
      <c r="BH718" s="571" t="e">
        <f t="shared" si="157"/>
        <v>#DIV/0!</v>
      </c>
    </row>
    <row r="719" spans="55:60" s="39" customFormat="1">
      <c r="BC719" s="573">
        <v>7.08</v>
      </c>
      <c r="BD719" s="571">
        <f t="shared" si="154"/>
        <v>0</v>
      </c>
      <c r="BE719" s="571">
        <f t="shared" si="158"/>
        <v>0</v>
      </c>
      <c r="BF719" s="586">
        <f t="shared" si="155"/>
        <v>0</v>
      </c>
      <c r="BG719" s="586" t="e">
        <f t="shared" si="156"/>
        <v>#DIV/0!</v>
      </c>
      <c r="BH719" s="571" t="e">
        <f t="shared" si="157"/>
        <v>#DIV/0!</v>
      </c>
    </row>
    <row r="720" spans="55:60" s="39" customFormat="1">
      <c r="BC720" s="573">
        <v>7.09</v>
      </c>
      <c r="BD720" s="571">
        <f t="shared" si="154"/>
        <v>0</v>
      </c>
      <c r="BE720" s="571">
        <f t="shared" si="158"/>
        <v>0</v>
      </c>
      <c r="BF720" s="586">
        <f t="shared" si="155"/>
        <v>0</v>
      </c>
      <c r="BG720" s="586" t="e">
        <f t="shared" si="156"/>
        <v>#DIV/0!</v>
      </c>
      <c r="BH720" s="571" t="e">
        <f t="shared" si="157"/>
        <v>#DIV/0!</v>
      </c>
    </row>
    <row r="721" spans="55:60" s="39" customFormat="1">
      <c r="BC721" s="573">
        <v>7.1</v>
      </c>
      <c r="BD721" s="571">
        <f t="shared" si="154"/>
        <v>0</v>
      </c>
      <c r="BE721" s="571">
        <f t="shared" si="158"/>
        <v>0</v>
      </c>
      <c r="BF721" s="586">
        <f t="shared" si="155"/>
        <v>0</v>
      </c>
      <c r="BG721" s="586" t="e">
        <f t="shared" si="156"/>
        <v>#DIV/0!</v>
      </c>
      <c r="BH721" s="571" t="e">
        <f t="shared" si="157"/>
        <v>#DIV/0!</v>
      </c>
    </row>
    <row r="722" spans="55:60" s="39" customFormat="1">
      <c r="BC722" s="573">
        <v>7.11</v>
      </c>
      <c r="BD722" s="571">
        <f t="shared" si="154"/>
        <v>0</v>
      </c>
      <c r="BE722" s="571">
        <f t="shared" si="158"/>
        <v>0</v>
      </c>
      <c r="BF722" s="586">
        <f t="shared" si="155"/>
        <v>0</v>
      </c>
      <c r="BG722" s="586" t="e">
        <f t="shared" si="156"/>
        <v>#DIV/0!</v>
      </c>
      <c r="BH722" s="571" t="e">
        <f t="shared" si="157"/>
        <v>#DIV/0!</v>
      </c>
    </row>
    <row r="723" spans="55:60" s="39" customFormat="1">
      <c r="BC723" s="573">
        <v>7.12</v>
      </c>
      <c r="BD723" s="571">
        <f t="shared" si="154"/>
        <v>0</v>
      </c>
      <c r="BE723" s="571">
        <f t="shared" si="158"/>
        <v>0</v>
      </c>
      <c r="BF723" s="586">
        <f t="shared" si="155"/>
        <v>0</v>
      </c>
      <c r="BG723" s="586" t="e">
        <f t="shared" si="156"/>
        <v>#DIV/0!</v>
      </c>
      <c r="BH723" s="571" t="e">
        <f t="shared" si="157"/>
        <v>#DIV/0!</v>
      </c>
    </row>
    <row r="724" spans="55:60" s="39" customFormat="1">
      <c r="BC724" s="573">
        <v>7.13</v>
      </c>
      <c r="BD724" s="571">
        <f t="shared" si="154"/>
        <v>0</v>
      </c>
      <c r="BE724" s="571">
        <f t="shared" si="158"/>
        <v>0</v>
      </c>
      <c r="BF724" s="586">
        <f t="shared" si="155"/>
        <v>0</v>
      </c>
      <c r="BG724" s="586" t="e">
        <f t="shared" si="156"/>
        <v>#DIV/0!</v>
      </c>
      <c r="BH724" s="571" t="e">
        <f t="shared" si="157"/>
        <v>#DIV/0!</v>
      </c>
    </row>
    <row r="725" spans="55:60" s="39" customFormat="1">
      <c r="BC725" s="573">
        <v>7.14</v>
      </c>
      <c r="BD725" s="571">
        <f t="shared" si="154"/>
        <v>0</v>
      </c>
      <c r="BE725" s="571">
        <f t="shared" si="158"/>
        <v>0</v>
      </c>
      <c r="BF725" s="586">
        <f t="shared" si="155"/>
        <v>0</v>
      </c>
      <c r="BG725" s="586" t="e">
        <f t="shared" si="156"/>
        <v>#DIV/0!</v>
      </c>
      <c r="BH725" s="571" t="e">
        <f t="shared" si="157"/>
        <v>#DIV/0!</v>
      </c>
    </row>
    <row r="726" spans="55:60" s="39" customFormat="1">
      <c r="BC726" s="573">
        <v>7.15</v>
      </c>
      <c r="BD726" s="571">
        <f t="shared" si="154"/>
        <v>0</v>
      </c>
      <c r="BE726" s="571">
        <f t="shared" si="158"/>
        <v>0</v>
      </c>
      <c r="BF726" s="586">
        <f t="shared" si="155"/>
        <v>0</v>
      </c>
      <c r="BG726" s="586" t="e">
        <f t="shared" si="156"/>
        <v>#DIV/0!</v>
      </c>
      <c r="BH726" s="571" t="e">
        <f t="shared" si="157"/>
        <v>#DIV/0!</v>
      </c>
    </row>
    <row r="727" spans="55:60" s="39" customFormat="1">
      <c r="BC727" s="573">
        <v>7.16</v>
      </c>
      <c r="BD727" s="571">
        <f t="shared" si="154"/>
        <v>0</v>
      </c>
      <c r="BE727" s="571">
        <f t="shared" si="158"/>
        <v>0</v>
      </c>
      <c r="BF727" s="586">
        <f t="shared" si="155"/>
        <v>0</v>
      </c>
      <c r="BG727" s="586" t="e">
        <f t="shared" si="156"/>
        <v>#DIV/0!</v>
      </c>
      <c r="BH727" s="571" t="e">
        <f t="shared" si="157"/>
        <v>#DIV/0!</v>
      </c>
    </row>
    <row r="728" spans="55:60" s="39" customFormat="1">
      <c r="BC728" s="573">
        <v>7.17</v>
      </c>
      <c r="BD728" s="571">
        <f t="shared" si="154"/>
        <v>0</v>
      </c>
      <c r="BE728" s="571">
        <f t="shared" si="158"/>
        <v>0</v>
      </c>
      <c r="BF728" s="586">
        <f t="shared" si="155"/>
        <v>0</v>
      </c>
      <c r="BG728" s="586" t="e">
        <f t="shared" si="156"/>
        <v>#DIV/0!</v>
      </c>
      <c r="BH728" s="571" t="e">
        <f t="shared" si="157"/>
        <v>#DIV/0!</v>
      </c>
    </row>
    <row r="729" spans="55:60" s="39" customFormat="1">
      <c r="BC729" s="573">
        <v>7.18</v>
      </c>
      <c r="BD729" s="571">
        <f t="shared" si="154"/>
        <v>0</v>
      </c>
      <c r="BE729" s="571">
        <f t="shared" si="158"/>
        <v>0</v>
      </c>
      <c r="BF729" s="586">
        <f t="shared" si="155"/>
        <v>0</v>
      </c>
      <c r="BG729" s="586" t="e">
        <f t="shared" si="156"/>
        <v>#DIV/0!</v>
      </c>
      <c r="BH729" s="571" t="e">
        <f t="shared" si="157"/>
        <v>#DIV/0!</v>
      </c>
    </row>
    <row r="730" spans="55:60" s="39" customFormat="1">
      <c r="BC730" s="573">
        <v>7.19</v>
      </c>
      <c r="BD730" s="571">
        <f t="shared" si="154"/>
        <v>0</v>
      </c>
      <c r="BE730" s="571">
        <f t="shared" si="158"/>
        <v>0</v>
      </c>
      <c r="BF730" s="586">
        <f t="shared" si="155"/>
        <v>0</v>
      </c>
      <c r="BG730" s="586" t="e">
        <f t="shared" si="156"/>
        <v>#DIV/0!</v>
      </c>
      <c r="BH730" s="571" t="e">
        <f t="shared" si="157"/>
        <v>#DIV/0!</v>
      </c>
    </row>
    <row r="731" spans="55:60" s="39" customFormat="1">
      <c r="BC731" s="573">
        <v>7.2</v>
      </c>
      <c r="BD731" s="571">
        <f t="shared" si="154"/>
        <v>0</v>
      </c>
      <c r="BE731" s="571">
        <f t="shared" si="158"/>
        <v>0</v>
      </c>
      <c r="BF731" s="586">
        <f t="shared" si="155"/>
        <v>0</v>
      </c>
      <c r="BG731" s="586" t="e">
        <f t="shared" si="156"/>
        <v>#DIV/0!</v>
      </c>
      <c r="BH731" s="571" t="e">
        <f t="shared" si="157"/>
        <v>#DIV/0!</v>
      </c>
    </row>
    <row r="732" spans="55:60" s="39" customFormat="1">
      <c r="BC732" s="573">
        <v>7.21</v>
      </c>
      <c r="BD732" s="571">
        <f t="shared" si="154"/>
        <v>0</v>
      </c>
      <c r="BE732" s="571">
        <f t="shared" si="158"/>
        <v>0</v>
      </c>
      <c r="BF732" s="586">
        <f t="shared" si="155"/>
        <v>0</v>
      </c>
      <c r="BG732" s="586" t="e">
        <f t="shared" si="156"/>
        <v>#DIV/0!</v>
      </c>
      <c r="BH732" s="571" t="e">
        <f t="shared" si="157"/>
        <v>#DIV/0!</v>
      </c>
    </row>
    <row r="733" spans="55:60" s="39" customFormat="1">
      <c r="BC733" s="573">
        <v>7.22</v>
      </c>
      <c r="BD733" s="571">
        <f t="shared" si="154"/>
        <v>0</v>
      </c>
      <c r="BE733" s="571">
        <f t="shared" si="158"/>
        <v>0</v>
      </c>
      <c r="BF733" s="586">
        <f t="shared" si="155"/>
        <v>0</v>
      </c>
      <c r="BG733" s="586" t="e">
        <f t="shared" si="156"/>
        <v>#DIV/0!</v>
      </c>
      <c r="BH733" s="571" t="e">
        <f t="shared" si="157"/>
        <v>#DIV/0!</v>
      </c>
    </row>
    <row r="734" spans="55:60" s="39" customFormat="1">
      <c r="BC734" s="573">
        <v>7.23</v>
      </c>
      <c r="BD734" s="571">
        <f t="shared" si="154"/>
        <v>0</v>
      </c>
      <c r="BE734" s="571">
        <f t="shared" si="158"/>
        <v>0</v>
      </c>
      <c r="BF734" s="586">
        <f t="shared" si="155"/>
        <v>0</v>
      </c>
      <c r="BG734" s="586" t="e">
        <f t="shared" si="156"/>
        <v>#DIV/0!</v>
      </c>
      <c r="BH734" s="571" t="e">
        <f t="shared" si="157"/>
        <v>#DIV/0!</v>
      </c>
    </row>
    <row r="735" spans="55:60" s="39" customFormat="1">
      <c r="BC735" s="573">
        <v>7.24</v>
      </c>
      <c r="BD735" s="571">
        <f t="shared" si="154"/>
        <v>0</v>
      </c>
      <c r="BE735" s="571">
        <f t="shared" si="158"/>
        <v>0</v>
      </c>
      <c r="BF735" s="586">
        <f t="shared" si="155"/>
        <v>0</v>
      </c>
      <c r="BG735" s="586" t="e">
        <f t="shared" si="156"/>
        <v>#DIV/0!</v>
      </c>
      <c r="BH735" s="571" t="e">
        <f t="shared" si="157"/>
        <v>#DIV/0!</v>
      </c>
    </row>
    <row r="736" spans="55:60" s="39" customFormat="1">
      <c r="BC736" s="573">
        <v>7.25</v>
      </c>
      <c r="BD736" s="571">
        <f t="shared" si="154"/>
        <v>0</v>
      </c>
      <c r="BE736" s="571">
        <f t="shared" si="158"/>
        <v>0</v>
      </c>
      <c r="BF736" s="586">
        <f t="shared" si="155"/>
        <v>0</v>
      </c>
      <c r="BG736" s="586" t="e">
        <f t="shared" si="156"/>
        <v>#DIV/0!</v>
      </c>
      <c r="BH736" s="571" t="e">
        <f t="shared" si="157"/>
        <v>#DIV/0!</v>
      </c>
    </row>
    <row r="737" spans="55:60" s="39" customFormat="1">
      <c r="BC737" s="573">
        <v>7.26</v>
      </c>
      <c r="BD737" s="571">
        <f t="shared" si="154"/>
        <v>0</v>
      </c>
      <c r="BE737" s="571">
        <f t="shared" si="158"/>
        <v>0</v>
      </c>
      <c r="BF737" s="586">
        <f t="shared" si="155"/>
        <v>0</v>
      </c>
      <c r="BG737" s="586" t="e">
        <f t="shared" si="156"/>
        <v>#DIV/0!</v>
      </c>
      <c r="BH737" s="571" t="e">
        <f t="shared" si="157"/>
        <v>#DIV/0!</v>
      </c>
    </row>
    <row r="738" spans="55:60" s="39" customFormat="1">
      <c r="BC738" s="573">
        <v>7.27</v>
      </c>
      <c r="BD738" s="571">
        <f t="shared" si="154"/>
        <v>0</v>
      </c>
      <c r="BE738" s="571">
        <f t="shared" si="158"/>
        <v>0</v>
      </c>
      <c r="BF738" s="586">
        <f t="shared" si="155"/>
        <v>0</v>
      </c>
      <c r="BG738" s="586" t="e">
        <f t="shared" si="156"/>
        <v>#DIV/0!</v>
      </c>
      <c r="BH738" s="571" t="e">
        <f t="shared" si="157"/>
        <v>#DIV/0!</v>
      </c>
    </row>
    <row r="739" spans="55:60" s="39" customFormat="1">
      <c r="BC739" s="573">
        <v>7.28</v>
      </c>
      <c r="BD739" s="571">
        <f t="shared" si="154"/>
        <v>0</v>
      </c>
      <c r="BE739" s="571">
        <f t="shared" si="158"/>
        <v>0</v>
      </c>
      <c r="BF739" s="586">
        <f t="shared" si="155"/>
        <v>0</v>
      </c>
      <c r="BG739" s="586" t="e">
        <f t="shared" si="156"/>
        <v>#DIV/0!</v>
      </c>
      <c r="BH739" s="571" t="e">
        <f t="shared" si="157"/>
        <v>#DIV/0!</v>
      </c>
    </row>
    <row r="740" spans="55:60" s="39" customFormat="1">
      <c r="BC740" s="573">
        <v>7.29</v>
      </c>
      <c r="BD740" s="571">
        <f t="shared" si="154"/>
        <v>0</v>
      </c>
      <c r="BE740" s="571">
        <f t="shared" si="158"/>
        <v>0</v>
      </c>
      <c r="BF740" s="586">
        <f t="shared" si="155"/>
        <v>0</v>
      </c>
      <c r="BG740" s="586" t="e">
        <f t="shared" si="156"/>
        <v>#DIV/0!</v>
      </c>
      <c r="BH740" s="571" t="e">
        <f t="shared" si="157"/>
        <v>#DIV/0!</v>
      </c>
    </row>
    <row r="741" spans="55:60" s="39" customFormat="1">
      <c r="BC741" s="573">
        <v>7.3</v>
      </c>
      <c r="BD741" s="571">
        <f t="shared" si="154"/>
        <v>0</v>
      </c>
      <c r="BE741" s="571">
        <f t="shared" si="158"/>
        <v>0</v>
      </c>
      <c r="BF741" s="586">
        <f t="shared" si="155"/>
        <v>0</v>
      </c>
      <c r="BG741" s="586" t="e">
        <f t="shared" si="156"/>
        <v>#DIV/0!</v>
      </c>
      <c r="BH741" s="571" t="e">
        <f t="shared" si="157"/>
        <v>#DIV/0!</v>
      </c>
    </row>
    <row r="742" spans="55:60" s="39" customFormat="1">
      <c r="BC742" s="573">
        <v>7.31</v>
      </c>
      <c r="BD742" s="571">
        <f t="shared" si="154"/>
        <v>0</v>
      </c>
      <c r="BE742" s="571">
        <f t="shared" si="158"/>
        <v>0</v>
      </c>
      <c r="BF742" s="586">
        <f t="shared" si="155"/>
        <v>0</v>
      </c>
      <c r="BG742" s="586" t="e">
        <f t="shared" si="156"/>
        <v>#DIV/0!</v>
      </c>
      <c r="BH742" s="571" t="e">
        <f t="shared" si="157"/>
        <v>#DIV/0!</v>
      </c>
    </row>
    <row r="743" spans="55:60" s="39" customFormat="1">
      <c r="BC743" s="573">
        <v>7.32</v>
      </c>
      <c r="BD743" s="571">
        <f t="shared" si="154"/>
        <v>0</v>
      </c>
      <c r="BE743" s="571">
        <f t="shared" si="158"/>
        <v>0</v>
      </c>
      <c r="BF743" s="586">
        <f t="shared" si="155"/>
        <v>0</v>
      </c>
      <c r="BG743" s="586" t="e">
        <f t="shared" si="156"/>
        <v>#DIV/0!</v>
      </c>
      <c r="BH743" s="571" t="e">
        <f t="shared" si="157"/>
        <v>#DIV/0!</v>
      </c>
    </row>
    <row r="744" spans="55:60" s="39" customFormat="1">
      <c r="BC744" s="573">
        <v>7.33</v>
      </c>
      <c r="BD744" s="571">
        <f t="shared" si="154"/>
        <v>0</v>
      </c>
      <c r="BE744" s="571">
        <f t="shared" si="158"/>
        <v>0</v>
      </c>
      <c r="BF744" s="586">
        <f t="shared" si="155"/>
        <v>0</v>
      </c>
      <c r="BG744" s="586" t="e">
        <f t="shared" si="156"/>
        <v>#DIV/0!</v>
      </c>
      <c r="BH744" s="571" t="e">
        <f t="shared" si="157"/>
        <v>#DIV/0!</v>
      </c>
    </row>
    <row r="745" spans="55:60" s="39" customFormat="1">
      <c r="BC745" s="573">
        <v>7.34</v>
      </c>
      <c r="BD745" s="571">
        <f t="shared" si="154"/>
        <v>0</v>
      </c>
      <c r="BE745" s="571">
        <f t="shared" si="158"/>
        <v>0</v>
      </c>
      <c r="BF745" s="586">
        <f t="shared" si="155"/>
        <v>0</v>
      </c>
      <c r="BG745" s="586" t="e">
        <f t="shared" si="156"/>
        <v>#DIV/0!</v>
      </c>
      <c r="BH745" s="571" t="e">
        <f t="shared" si="157"/>
        <v>#DIV/0!</v>
      </c>
    </row>
    <row r="746" spans="55:60" s="39" customFormat="1">
      <c r="BC746" s="573">
        <v>7.35</v>
      </c>
      <c r="BD746" s="571">
        <f t="shared" si="154"/>
        <v>0</v>
      </c>
      <c r="BE746" s="571">
        <f t="shared" si="158"/>
        <v>0</v>
      </c>
      <c r="BF746" s="586">
        <f t="shared" si="155"/>
        <v>0</v>
      </c>
      <c r="BG746" s="586" t="e">
        <f t="shared" si="156"/>
        <v>#DIV/0!</v>
      </c>
      <c r="BH746" s="571" t="e">
        <f t="shared" si="157"/>
        <v>#DIV/0!</v>
      </c>
    </row>
    <row r="747" spans="55:60" s="39" customFormat="1">
      <c r="BC747" s="573">
        <v>7.36</v>
      </c>
      <c r="BD747" s="571">
        <f t="shared" si="154"/>
        <v>0</v>
      </c>
      <c r="BE747" s="571">
        <f t="shared" si="158"/>
        <v>0</v>
      </c>
      <c r="BF747" s="586">
        <f t="shared" si="155"/>
        <v>0</v>
      </c>
      <c r="BG747" s="586" t="e">
        <f t="shared" si="156"/>
        <v>#DIV/0!</v>
      </c>
      <c r="BH747" s="571" t="e">
        <f t="shared" si="157"/>
        <v>#DIV/0!</v>
      </c>
    </row>
    <row r="748" spans="55:60" s="39" customFormat="1">
      <c r="BC748" s="573">
        <v>7.37</v>
      </c>
      <c r="BD748" s="571">
        <f t="shared" si="154"/>
        <v>0</v>
      </c>
      <c r="BE748" s="571">
        <f t="shared" si="158"/>
        <v>0</v>
      </c>
      <c r="BF748" s="586">
        <f t="shared" si="155"/>
        <v>0</v>
      </c>
      <c r="BG748" s="586" t="e">
        <f t="shared" si="156"/>
        <v>#DIV/0!</v>
      </c>
      <c r="BH748" s="571" t="e">
        <f t="shared" si="157"/>
        <v>#DIV/0!</v>
      </c>
    </row>
    <row r="749" spans="55:60" s="39" customFormat="1">
      <c r="BC749" s="573">
        <v>7.38</v>
      </c>
      <c r="BD749" s="571">
        <f t="shared" si="154"/>
        <v>0</v>
      </c>
      <c r="BE749" s="571">
        <f t="shared" si="158"/>
        <v>0</v>
      </c>
      <c r="BF749" s="586">
        <f t="shared" si="155"/>
        <v>0</v>
      </c>
      <c r="BG749" s="586" t="e">
        <f t="shared" si="156"/>
        <v>#DIV/0!</v>
      </c>
      <c r="BH749" s="571" t="e">
        <f t="shared" si="157"/>
        <v>#DIV/0!</v>
      </c>
    </row>
    <row r="750" spans="55:60" s="39" customFormat="1">
      <c r="BC750" s="573">
        <v>7.39</v>
      </c>
      <c r="BD750" s="571">
        <f t="shared" si="154"/>
        <v>0</v>
      </c>
      <c r="BE750" s="571">
        <f t="shared" si="158"/>
        <v>0</v>
      </c>
      <c r="BF750" s="586">
        <f t="shared" si="155"/>
        <v>0</v>
      </c>
      <c r="BG750" s="586" t="e">
        <f t="shared" si="156"/>
        <v>#DIV/0!</v>
      </c>
      <c r="BH750" s="571" t="e">
        <f t="shared" si="157"/>
        <v>#DIV/0!</v>
      </c>
    </row>
    <row r="751" spans="55:60" s="39" customFormat="1">
      <c r="BC751" s="573">
        <v>7.4</v>
      </c>
      <c r="BD751" s="571">
        <f t="shared" si="154"/>
        <v>0</v>
      </c>
      <c r="BE751" s="571">
        <f t="shared" si="158"/>
        <v>0</v>
      </c>
      <c r="BF751" s="586">
        <f t="shared" si="155"/>
        <v>0</v>
      </c>
      <c r="BG751" s="586" t="e">
        <f t="shared" si="156"/>
        <v>#DIV/0!</v>
      </c>
      <c r="BH751" s="571" t="e">
        <f t="shared" si="157"/>
        <v>#DIV/0!</v>
      </c>
    </row>
    <row r="752" spans="55:60" s="39" customFormat="1">
      <c r="BC752" s="573">
        <v>7.41</v>
      </c>
      <c r="BD752" s="571">
        <f t="shared" si="154"/>
        <v>0</v>
      </c>
      <c r="BE752" s="571">
        <f t="shared" si="158"/>
        <v>0</v>
      </c>
      <c r="BF752" s="586">
        <f t="shared" si="155"/>
        <v>0</v>
      </c>
      <c r="BG752" s="586" t="e">
        <f t="shared" si="156"/>
        <v>#DIV/0!</v>
      </c>
      <c r="BH752" s="571" t="e">
        <f t="shared" si="157"/>
        <v>#DIV/0!</v>
      </c>
    </row>
    <row r="753" spans="55:60" s="39" customFormat="1">
      <c r="BC753" s="573">
        <v>7.42</v>
      </c>
      <c r="BD753" s="571">
        <f t="shared" si="154"/>
        <v>0</v>
      </c>
      <c r="BE753" s="571">
        <f t="shared" si="158"/>
        <v>0</v>
      </c>
      <c r="BF753" s="586">
        <f t="shared" si="155"/>
        <v>0</v>
      </c>
      <c r="BG753" s="586" t="e">
        <f t="shared" si="156"/>
        <v>#DIV/0!</v>
      </c>
      <c r="BH753" s="571" t="e">
        <f t="shared" si="157"/>
        <v>#DIV/0!</v>
      </c>
    </row>
    <row r="754" spans="55:60" s="39" customFormat="1">
      <c r="BC754" s="573">
        <v>7.43</v>
      </c>
      <c r="BD754" s="571">
        <f t="shared" si="154"/>
        <v>0</v>
      </c>
      <c r="BE754" s="571">
        <f t="shared" si="158"/>
        <v>0</v>
      </c>
      <c r="BF754" s="586">
        <f t="shared" si="155"/>
        <v>0</v>
      </c>
      <c r="BG754" s="586" t="e">
        <f t="shared" si="156"/>
        <v>#DIV/0!</v>
      </c>
      <c r="BH754" s="571" t="e">
        <f t="shared" si="157"/>
        <v>#DIV/0!</v>
      </c>
    </row>
    <row r="755" spans="55:60" s="39" customFormat="1">
      <c r="BC755" s="573">
        <v>7.44</v>
      </c>
      <c r="BD755" s="571">
        <f t="shared" si="154"/>
        <v>0</v>
      </c>
      <c r="BE755" s="571">
        <f t="shared" si="158"/>
        <v>0</v>
      </c>
      <c r="BF755" s="586">
        <f t="shared" si="155"/>
        <v>0</v>
      </c>
      <c r="BG755" s="586" t="e">
        <f t="shared" si="156"/>
        <v>#DIV/0!</v>
      </c>
      <c r="BH755" s="571" t="e">
        <f t="shared" si="157"/>
        <v>#DIV/0!</v>
      </c>
    </row>
    <row r="756" spans="55:60" s="39" customFormat="1">
      <c r="BC756" s="573">
        <v>7.45</v>
      </c>
      <c r="BD756" s="571">
        <f t="shared" si="154"/>
        <v>0</v>
      </c>
      <c r="BE756" s="571">
        <f t="shared" si="158"/>
        <v>0</v>
      </c>
      <c r="BF756" s="586">
        <f t="shared" si="155"/>
        <v>0</v>
      </c>
      <c r="BG756" s="586" t="e">
        <f t="shared" si="156"/>
        <v>#DIV/0!</v>
      </c>
      <c r="BH756" s="571" t="e">
        <f t="shared" si="157"/>
        <v>#DIV/0!</v>
      </c>
    </row>
    <row r="757" spans="55:60" s="39" customFormat="1">
      <c r="BC757" s="573">
        <v>7.46</v>
      </c>
      <c r="BD757" s="571">
        <f t="shared" si="154"/>
        <v>0</v>
      </c>
      <c r="BE757" s="571">
        <f t="shared" si="158"/>
        <v>0</v>
      </c>
      <c r="BF757" s="586">
        <f t="shared" si="155"/>
        <v>0</v>
      </c>
      <c r="BG757" s="586" t="e">
        <f t="shared" si="156"/>
        <v>#DIV/0!</v>
      </c>
      <c r="BH757" s="571" t="e">
        <f t="shared" si="157"/>
        <v>#DIV/0!</v>
      </c>
    </row>
    <row r="758" spans="55:60" s="39" customFormat="1">
      <c r="BC758" s="573">
        <v>7.47</v>
      </c>
      <c r="BD758" s="571">
        <f t="shared" si="154"/>
        <v>0</v>
      </c>
      <c r="BE758" s="571">
        <f t="shared" si="158"/>
        <v>0</v>
      </c>
      <c r="BF758" s="586">
        <f t="shared" si="155"/>
        <v>0</v>
      </c>
      <c r="BG758" s="586" t="e">
        <f t="shared" si="156"/>
        <v>#DIV/0!</v>
      </c>
      <c r="BH758" s="571" t="e">
        <f t="shared" si="157"/>
        <v>#DIV/0!</v>
      </c>
    </row>
    <row r="759" spans="55:60" s="39" customFormat="1">
      <c r="BC759" s="573">
        <v>7.48</v>
      </c>
      <c r="BD759" s="571">
        <f t="shared" si="154"/>
        <v>0</v>
      </c>
      <c r="BE759" s="571">
        <f t="shared" si="158"/>
        <v>0</v>
      </c>
      <c r="BF759" s="586">
        <f t="shared" si="155"/>
        <v>0</v>
      </c>
      <c r="BG759" s="586" t="e">
        <f t="shared" si="156"/>
        <v>#DIV/0!</v>
      </c>
      <c r="BH759" s="571" t="e">
        <f t="shared" si="157"/>
        <v>#DIV/0!</v>
      </c>
    </row>
    <row r="760" spans="55:60" s="39" customFormat="1">
      <c r="BC760" s="573">
        <v>7.49</v>
      </c>
      <c r="BD760" s="571">
        <f t="shared" si="154"/>
        <v>0</v>
      </c>
      <c r="BE760" s="571">
        <f t="shared" si="158"/>
        <v>0</v>
      </c>
      <c r="BF760" s="586">
        <f t="shared" si="155"/>
        <v>0</v>
      </c>
      <c r="BG760" s="586" t="e">
        <f t="shared" si="156"/>
        <v>#DIV/0!</v>
      </c>
      <c r="BH760" s="571" t="e">
        <f t="shared" si="157"/>
        <v>#DIV/0!</v>
      </c>
    </row>
    <row r="761" spans="55:60" s="39" customFormat="1">
      <c r="BC761" s="573">
        <v>7.5</v>
      </c>
      <c r="BD761" s="571">
        <f t="shared" si="154"/>
        <v>0</v>
      </c>
      <c r="BE761" s="571">
        <f t="shared" si="158"/>
        <v>0</v>
      </c>
      <c r="BF761" s="586">
        <f t="shared" si="155"/>
        <v>0</v>
      </c>
      <c r="BG761" s="586" t="e">
        <f t="shared" si="156"/>
        <v>#DIV/0!</v>
      </c>
      <c r="BH761" s="571" t="e">
        <f t="shared" si="157"/>
        <v>#DIV/0!</v>
      </c>
    </row>
    <row r="762" spans="55:60" s="39" customFormat="1">
      <c r="BC762" s="573">
        <v>7.51</v>
      </c>
      <c r="BD762" s="571">
        <f t="shared" si="154"/>
        <v>0</v>
      </c>
      <c r="BE762" s="571">
        <f t="shared" si="158"/>
        <v>0</v>
      </c>
      <c r="BF762" s="586">
        <f t="shared" si="155"/>
        <v>0</v>
      </c>
      <c r="BG762" s="586" t="e">
        <f t="shared" si="156"/>
        <v>#DIV/0!</v>
      </c>
      <c r="BH762" s="571" t="e">
        <f t="shared" si="157"/>
        <v>#DIV/0!</v>
      </c>
    </row>
    <row r="763" spans="55:60" s="39" customFormat="1">
      <c r="BC763" s="573">
        <v>7.52</v>
      </c>
      <c r="BD763" s="571">
        <f t="shared" si="154"/>
        <v>0</v>
      </c>
      <c r="BE763" s="571">
        <f t="shared" si="158"/>
        <v>0</v>
      </c>
      <c r="BF763" s="586">
        <f t="shared" si="155"/>
        <v>0</v>
      </c>
      <c r="BG763" s="586" t="e">
        <f t="shared" si="156"/>
        <v>#DIV/0!</v>
      </c>
      <c r="BH763" s="571" t="e">
        <f t="shared" si="157"/>
        <v>#DIV/0!</v>
      </c>
    </row>
    <row r="764" spans="55:60" s="39" customFormat="1">
      <c r="BC764" s="573">
        <v>7.53</v>
      </c>
      <c r="BD764" s="571">
        <f t="shared" si="154"/>
        <v>0</v>
      </c>
      <c r="BE764" s="571">
        <f t="shared" si="158"/>
        <v>0</v>
      </c>
      <c r="BF764" s="586">
        <f t="shared" si="155"/>
        <v>0</v>
      </c>
      <c r="BG764" s="586" t="e">
        <f t="shared" si="156"/>
        <v>#DIV/0!</v>
      </c>
      <c r="BH764" s="571" t="e">
        <f t="shared" si="157"/>
        <v>#DIV/0!</v>
      </c>
    </row>
    <row r="765" spans="55:60" s="39" customFormat="1">
      <c r="BC765" s="573">
        <v>7.54</v>
      </c>
      <c r="BD765" s="571">
        <f t="shared" si="154"/>
        <v>0</v>
      </c>
      <c r="BE765" s="571">
        <f t="shared" si="158"/>
        <v>0</v>
      </c>
      <c r="BF765" s="586">
        <f t="shared" si="155"/>
        <v>0</v>
      </c>
      <c r="BG765" s="586" t="e">
        <f t="shared" si="156"/>
        <v>#DIV/0!</v>
      </c>
      <c r="BH765" s="571" t="e">
        <f t="shared" si="157"/>
        <v>#DIV/0!</v>
      </c>
    </row>
    <row r="766" spans="55:60" s="39" customFormat="1">
      <c r="BC766" s="573">
        <v>7.55</v>
      </c>
      <c r="BD766" s="571">
        <f t="shared" si="154"/>
        <v>0</v>
      </c>
      <c r="BE766" s="571">
        <f t="shared" si="158"/>
        <v>0</v>
      </c>
      <c r="BF766" s="586">
        <f t="shared" si="155"/>
        <v>0</v>
      </c>
      <c r="BG766" s="586" t="e">
        <f t="shared" si="156"/>
        <v>#DIV/0!</v>
      </c>
      <c r="BH766" s="571" t="e">
        <f t="shared" si="157"/>
        <v>#DIV/0!</v>
      </c>
    </row>
    <row r="767" spans="55:60" s="39" customFormat="1">
      <c r="BC767" s="573">
        <v>7.56</v>
      </c>
      <c r="BD767" s="571">
        <f t="shared" si="154"/>
        <v>0</v>
      </c>
      <c r="BE767" s="571">
        <f t="shared" si="158"/>
        <v>0</v>
      </c>
      <c r="BF767" s="586">
        <f t="shared" si="155"/>
        <v>0</v>
      </c>
      <c r="BG767" s="586" t="e">
        <f t="shared" si="156"/>
        <v>#DIV/0!</v>
      </c>
      <c r="BH767" s="571" t="e">
        <f t="shared" si="157"/>
        <v>#DIV/0!</v>
      </c>
    </row>
    <row r="768" spans="55:60" s="39" customFormat="1">
      <c r="BC768" s="573">
        <v>7.57</v>
      </c>
      <c r="BD768" s="571">
        <f t="shared" si="154"/>
        <v>0</v>
      </c>
      <c r="BE768" s="571">
        <f t="shared" si="158"/>
        <v>0</v>
      </c>
      <c r="BF768" s="586">
        <f t="shared" si="155"/>
        <v>0</v>
      </c>
      <c r="BG768" s="586" t="e">
        <f t="shared" si="156"/>
        <v>#DIV/0!</v>
      </c>
      <c r="BH768" s="571" t="e">
        <f t="shared" si="157"/>
        <v>#DIV/0!</v>
      </c>
    </row>
    <row r="769" spans="55:60" s="39" customFormat="1">
      <c r="BC769" s="573">
        <v>7.58</v>
      </c>
      <c r="BD769" s="571">
        <f t="shared" si="154"/>
        <v>0</v>
      </c>
      <c r="BE769" s="571">
        <f t="shared" si="158"/>
        <v>0</v>
      </c>
      <c r="BF769" s="586">
        <f t="shared" si="155"/>
        <v>0</v>
      </c>
      <c r="BG769" s="586" t="e">
        <f t="shared" si="156"/>
        <v>#DIV/0!</v>
      </c>
      <c r="BH769" s="571" t="e">
        <f t="shared" si="157"/>
        <v>#DIV/0!</v>
      </c>
    </row>
    <row r="770" spans="55:60" s="39" customFormat="1">
      <c r="BC770" s="573">
        <v>7.59</v>
      </c>
      <c r="BD770" s="571">
        <f t="shared" si="154"/>
        <v>0</v>
      </c>
      <c r="BE770" s="571">
        <f t="shared" si="158"/>
        <v>0</v>
      </c>
      <c r="BF770" s="586">
        <f t="shared" si="155"/>
        <v>0</v>
      </c>
      <c r="BG770" s="586" t="e">
        <f t="shared" si="156"/>
        <v>#DIV/0!</v>
      </c>
      <c r="BH770" s="571" t="e">
        <f t="shared" si="157"/>
        <v>#DIV/0!</v>
      </c>
    </row>
    <row r="771" spans="55:60" s="39" customFormat="1">
      <c r="BC771" s="573">
        <v>7.6</v>
      </c>
      <c r="BD771" s="571">
        <f t="shared" si="154"/>
        <v>0</v>
      </c>
      <c r="BE771" s="571">
        <f t="shared" si="158"/>
        <v>0</v>
      </c>
      <c r="BF771" s="586">
        <f t="shared" si="155"/>
        <v>0</v>
      </c>
      <c r="BG771" s="586" t="e">
        <f t="shared" si="156"/>
        <v>#DIV/0!</v>
      </c>
      <c r="BH771" s="571" t="e">
        <f t="shared" si="157"/>
        <v>#DIV/0!</v>
      </c>
    </row>
    <row r="772" spans="55:60" s="39" customFormat="1">
      <c r="BC772" s="573">
        <v>7.61</v>
      </c>
      <c r="BD772" s="571">
        <f t="shared" si="154"/>
        <v>0</v>
      </c>
      <c r="BE772" s="571">
        <f t="shared" si="158"/>
        <v>0</v>
      </c>
      <c r="BF772" s="586">
        <f t="shared" si="155"/>
        <v>0</v>
      </c>
      <c r="BG772" s="586" t="e">
        <f t="shared" si="156"/>
        <v>#DIV/0!</v>
      </c>
      <c r="BH772" s="571" t="e">
        <f t="shared" si="157"/>
        <v>#DIV/0!</v>
      </c>
    </row>
    <row r="773" spans="55:60" s="39" customFormat="1">
      <c r="BC773" s="573">
        <v>7.62</v>
      </c>
      <c r="BD773" s="571">
        <f t="shared" si="154"/>
        <v>0</v>
      </c>
      <c r="BE773" s="571">
        <f t="shared" si="158"/>
        <v>0</v>
      </c>
      <c r="BF773" s="586">
        <f t="shared" si="155"/>
        <v>0</v>
      </c>
      <c r="BG773" s="586" t="e">
        <f t="shared" si="156"/>
        <v>#DIV/0!</v>
      </c>
      <c r="BH773" s="571" t="e">
        <f t="shared" si="157"/>
        <v>#DIV/0!</v>
      </c>
    </row>
    <row r="774" spans="55:60" s="39" customFormat="1">
      <c r="BC774" s="573">
        <v>7.63</v>
      </c>
      <c r="BD774" s="571">
        <f t="shared" si="154"/>
        <v>0</v>
      </c>
      <c r="BE774" s="571">
        <f t="shared" si="158"/>
        <v>0</v>
      </c>
      <c r="BF774" s="586">
        <f t="shared" si="155"/>
        <v>0</v>
      </c>
      <c r="BG774" s="586" t="e">
        <f t="shared" si="156"/>
        <v>#DIV/0!</v>
      </c>
      <c r="BH774" s="571" t="e">
        <f t="shared" si="157"/>
        <v>#DIV/0!</v>
      </c>
    </row>
    <row r="775" spans="55:60" s="39" customFormat="1">
      <c r="BC775" s="573">
        <v>7.64</v>
      </c>
      <c r="BD775" s="571">
        <f t="shared" si="154"/>
        <v>0</v>
      </c>
      <c r="BE775" s="571">
        <f t="shared" si="158"/>
        <v>0</v>
      </c>
      <c r="BF775" s="586">
        <f t="shared" si="155"/>
        <v>0</v>
      </c>
      <c r="BG775" s="586" t="e">
        <f t="shared" si="156"/>
        <v>#DIV/0!</v>
      </c>
      <c r="BH775" s="571" t="e">
        <f t="shared" si="157"/>
        <v>#DIV/0!</v>
      </c>
    </row>
    <row r="776" spans="55:60" s="39" customFormat="1">
      <c r="BC776" s="573">
        <v>7.65</v>
      </c>
      <c r="BD776" s="571">
        <f t="shared" si="154"/>
        <v>0</v>
      </c>
      <c r="BE776" s="571">
        <f t="shared" si="158"/>
        <v>0</v>
      </c>
      <c r="BF776" s="586">
        <f t="shared" si="155"/>
        <v>0</v>
      </c>
      <c r="BG776" s="586" t="e">
        <f t="shared" si="156"/>
        <v>#DIV/0!</v>
      </c>
      <c r="BH776" s="571" t="e">
        <f t="shared" si="157"/>
        <v>#DIV/0!</v>
      </c>
    </row>
    <row r="777" spans="55:60" s="39" customFormat="1">
      <c r="BC777" s="573">
        <v>7.66</v>
      </c>
      <c r="BD777" s="571">
        <f t="shared" si="154"/>
        <v>0</v>
      </c>
      <c r="BE777" s="571">
        <f t="shared" si="158"/>
        <v>0</v>
      </c>
      <c r="BF777" s="586">
        <f t="shared" si="155"/>
        <v>0</v>
      </c>
      <c r="BG777" s="586" t="e">
        <f t="shared" si="156"/>
        <v>#DIV/0!</v>
      </c>
      <c r="BH777" s="571" t="e">
        <f t="shared" si="157"/>
        <v>#DIV/0!</v>
      </c>
    </row>
    <row r="778" spans="55:60" s="39" customFormat="1">
      <c r="BC778" s="573">
        <v>7.67</v>
      </c>
      <c r="BD778" s="571">
        <f t="shared" si="154"/>
        <v>0</v>
      </c>
      <c r="BE778" s="571">
        <f t="shared" si="158"/>
        <v>0</v>
      </c>
      <c r="BF778" s="586">
        <f t="shared" si="155"/>
        <v>0</v>
      </c>
      <c r="BG778" s="586" t="e">
        <f t="shared" si="156"/>
        <v>#DIV/0!</v>
      </c>
      <c r="BH778" s="571" t="e">
        <f t="shared" si="157"/>
        <v>#DIV/0!</v>
      </c>
    </row>
    <row r="779" spans="55:60" s="39" customFormat="1">
      <c r="BC779" s="573">
        <v>7.68</v>
      </c>
      <c r="BD779" s="571">
        <f t="shared" si="154"/>
        <v>0</v>
      </c>
      <c r="BE779" s="571">
        <f t="shared" si="158"/>
        <v>0</v>
      </c>
      <c r="BF779" s="586">
        <f t="shared" si="155"/>
        <v>0</v>
      </c>
      <c r="BG779" s="586" t="e">
        <f t="shared" si="156"/>
        <v>#DIV/0!</v>
      </c>
      <c r="BH779" s="571" t="e">
        <f t="shared" si="157"/>
        <v>#DIV/0!</v>
      </c>
    </row>
    <row r="780" spans="55:60" s="39" customFormat="1">
      <c r="BC780" s="573">
        <v>7.69</v>
      </c>
      <c r="BD780" s="571">
        <f t="shared" ref="BD780:BD843" si="159">$AU$15/BC780</f>
        <v>0</v>
      </c>
      <c r="BE780" s="571">
        <f t="shared" si="158"/>
        <v>0</v>
      </c>
      <c r="BF780" s="586">
        <f t="shared" ref="BF780:BF843" si="160">BC780*(BE780/1000)/$AO$12</f>
        <v>0</v>
      </c>
      <c r="BG780" s="586" t="e">
        <f t="shared" ref="BG780:BG843" si="161">POWER((1/(-1.8*LOG((6.9/BF780+POWER((($P$7/BE780)/3.71),1.11)),10))),2)</f>
        <v>#DIV/0!</v>
      </c>
      <c r="BH780" s="571" t="e">
        <f t="shared" ref="BH780:BH843" si="162">BG780*0.5*$P$6*16*$AU$15*$AU$15/(POWER(PI(),2)*POWER((BE780/1000),5))</f>
        <v>#DIV/0!</v>
      </c>
    </row>
    <row r="781" spans="55:60" s="39" customFormat="1">
      <c r="BC781" s="573">
        <v>7.7</v>
      </c>
      <c r="BD781" s="571">
        <f t="shared" si="159"/>
        <v>0</v>
      </c>
      <c r="BE781" s="571">
        <f t="shared" ref="BE781:BE844" si="163">((BD781/PI())^0.5)*2*1000</f>
        <v>0</v>
      </c>
      <c r="BF781" s="586">
        <f t="shared" si="160"/>
        <v>0</v>
      </c>
      <c r="BG781" s="586" t="e">
        <f t="shared" si="161"/>
        <v>#DIV/0!</v>
      </c>
      <c r="BH781" s="571" t="e">
        <f t="shared" si="162"/>
        <v>#DIV/0!</v>
      </c>
    </row>
    <row r="782" spans="55:60" s="39" customFormat="1">
      <c r="BC782" s="573">
        <v>7.71</v>
      </c>
      <c r="BD782" s="571">
        <f t="shared" si="159"/>
        <v>0</v>
      </c>
      <c r="BE782" s="571">
        <f t="shared" si="163"/>
        <v>0</v>
      </c>
      <c r="BF782" s="586">
        <f t="shared" si="160"/>
        <v>0</v>
      </c>
      <c r="BG782" s="586" t="e">
        <f t="shared" si="161"/>
        <v>#DIV/0!</v>
      </c>
      <c r="BH782" s="571" t="e">
        <f t="shared" si="162"/>
        <v>#DIV/0!</v>
      </c>
    </row>
    <row r="783" spans="55:60" s="39" customFormat="1">
      <c r="BC783" s="573">
        <v>7.72</v>
      </c>
      <c r="BD783" s="571">
        <f t="shared" si="159"/>
        <v>0</v>
      </c>
      <c r="BE783" s="571">
        <f t="shared" si="163"/>
        <v>0</v>
      </c>
      <c r="BF783" s="586">
        <f t="shared" si="160"/>
        <v>0</v>
      </c>
      <c r="BG783" s="586" t="e">
        <f t="shared" si="161"/>
        <v>#DIV/0!</v>
      </c>
      <c r="BH783" s="571" t="e">
        <f t="shared" si="162"/>
        <v>#DIV/0!</v>
      </c>
    </row>
    <row r="784" spans="55:60" s="39" customFormat="1">
      <c r="BC784" s="573">
        <v>7.73</v>
      </c>
      <c r="BD784" s="571">
        <f t="shared" si="159"/>
        <v>0</v>
      </c>
      <c r="BE784" s="571">
        <f t="shared" si="163"/>
        <v>0</v>
      </c>
      <c r="BF784" s="586">
        <f t="shared" si="160"/>
        <v>0</v>
      </c>
      <c r="BG784" s="586" t="e">
        <f t="shared" si="161"/>
        <v>#DIV/0!</v>
      </c>
      <c r="BH784" s="571" t="e">
        <f t="shared" si="162"/>
        <v>#DIV/0!</v>
      </c>
    </row>
    <row r="785" spans="55:60" s="39" customFormat="1">
      <c r="BC785" s="573">
        <v>7.74</v>
      </c>
      <c r="BD785" s="571">
        <f t="shared" si="159"/>
        <v>0</v>
      </c>
      <c r="BE785" s="571">
        <f t="shared" si="163"/>
        <v>0</v>
      </c>
      <c r="BF785" s="586">
        <f t="shared" si="160"/>
        <v>0</v>
      </c>
      <c r="BG785" s="586" t="e">
        <f t="shared" si="161"/>
        <v>#DIV/0!</v>
      </c>
      <c r="BH785" s="571" t="e">
        <f t="shared" si="162"/>
        <v>#DIV/0!</v>
      </c>
    </row>
    <row r="786" spans="55:60" s="39" customFormat="1">
      <c r="BC786" s="573">
        <v>7.75</v>
      </c>
      <c r="BD786" s="571">
        <f t="shared" si="159"/>
        <v>0</v>
      </c>
      <c r="BE786" s="571">
        <f t="shared" si="163"/>
        <v>0</v>
      </c>
      <c r="BF786" s="586">
        <f t="shared" si="160"/>
        <v>0</v>
      </c>
      <c r="BG786" s="586" t="e">
        <f t="shared" si="161"/>
        <v>#DIV/0!</v>
      </c>
      <c r="BH786" s="571" t="e">
        <f t="shared" si="162"/>
        <v>#DIV/0!</v>
      </c>
    </row>
    <row r="787" spans="55:60" s="39" customFormat="1">
      <c r="BC787" s="573">
        <v>7.76</v>
      </c>
      <c r="BD787" s="571">
        <f t="shared" si="159"/>
        <v>0</v>
      </c>
      <c r="BE787" s="571">
        <f t="shared" si="163"/>
        <v>0</v>
      </c>
      <c r="BF787" s="586">
        <f t="shared" si="160"/>
        <v>0</v>
      </c>
      <c r="BG787" s="586" t="e">
        <f t="shared" si="161"/>
        <v>#DIV/0!</v>
      </c>
      <c r="BH787" s="571" t="e">
        <f t="shared" si="162"/>
        <v>#DIV/0!</v>
      </c>
    </row>
    <row r="788" spans="55:60" s="39" customFormat="1">
      <c r="BC788" s="573">
        <v>7.77</v>
      </c>
      <c r="BD788" s="571">
        <f t="shared" si="159"/>
        <v>0</v>
      </c>
      <c r="BE788" s="571">
        <f t="shared" si="163"/>
        <v>0</v>
      </c>
      <c r="BF788" s="586">
        <f t="shared" si="160"/>
        <v>0</v>
      </c>
      <c r="BG788" s="586" t="e">
        <f t="shared" si="161"/>
        <v>#DIV/0!</v>
      </c>
      <c r="BH788" s="571" t="e">
        <f t="shared" si="162"/>
        <v>#DIV/0!</v>
      </c>
    </row>
    <row r="789" spans="55:60" s="39" customFormat="1">
      <c r="BC789" s="573">
        <v>7.78</v>
      </c>
      <c r="BD789" s="571">
        <f t="shared" si="159"/>
        <v>0</v>
      </c>
      <c r="BE789" s="571">
        <f t="shared" si="163"/>
        <v>0</v>
      </c>
      <c r="BF789" s="586">
        <f t="shared" si="160"/>
        <v>0</v>
      </c>
      <c r="BG789" s="586" t="e">
        <f t="shared" si="161"/>
        <v>#DIV/0!</v>
      </c>
      <c r="BH789" s="571" t="e">
        <f t="shared" si="162"/>
        <v>#DIV/0!</v>
      </c>
    </row>
    <row r="790" spans="55:60" s="39" customFormat="1">
      <c r="BC790" s="573">
        <v>7.79</v>
      </c>
      <c r="BD790" s="571">
        <f t="shared" si="159"/>
        <v>0</v>
      </c>
      <c r="BE790" s="571">
        <f t="shared" si="163"/>
        <v>0</v>
      </c>
      <c r="BF790" s="586">
        <f t="shared" si="160"/>
        <v>0</v>
      </c>
      <c r="BG790" s="586" t="e">
        <f t="shared" si="161"/>
        <v>#DIV/0!</v>
      </c>
      <c r="BH790" s="571" t="e">
        <f t="shared" si="162"/>
        <v>#DIV/0!</v>
      </c>
    </row>
    <row r="791" spans="55:60" s="39" customFormat="1">
      <c r="BC791" s="573">
        <v>7.8</v>
      </c>
      <c r="BD791" s="571">
        <f t="shared" si="159"/>
        <v>0</v>
      </c>
      <c r="BE791" s="571">
        <f t="shared" si="163"/>
        <v>0</v>
      </c>
      <c r="BF791" s="586">
        <f t="shared" si="160"/>
        <v>0</v>
      </c>
      <c r="BG791" s="586" t="e">
        <f t="shared" si="161"/>
        <v>#DIV/0!</v>
      </c>
      <c r="BH791" s="571" t="e">
        <f t="shared" si="162"/>
        <v>#DIV/0!</v>
      </c>
    </row>
    <row r="792" spans="55:60" s="39" customFormat="1">
      <c r="BC792" s="573">
        <v>7.81</v>
      </c>
      <c r="BD792" s="571">
        <f t="shared" si="159"/>
        <v>0</v>
      </c>
      <c r="BE792" s="571">
        <f t="shared" si="163"/>
        <v>0</v>
      </c>
      <c r="BF792" s="586">
        <f t="shared" si="160"/>
        <v>0</v>
      </c>
      <c r="BG792" s="586" t="e">
        <f t="shared" si="161"/>
        <v>#DIV/0!</v>
      </c>
      <c r="BH792" s="571" t="e">
        <f t="shared" si="162"/>
        <v>#DIV/0!</v>
      </c>
    </row>
    <row r="793" spans="55:60" s="39" customFormat="1">
      <c r="BC793" s="573">
        <v>7.82</v>
      </c>
      <c r="BD793" s="571">
        <f t="shared" si="159"/>
        <v>0</v>
      </c>
      <c r="BE793" s="571">
        <f t="shared" si="163"/>
        <v>0</v>
      </c>
      <c r="BF793" s="586">
        <f t="shared" si="160"/>
        <v>0</v>
      </c>
      <c r="BG793" s="586" t="e">
        <f t="shared" si="161"/>
        <v>#DIV/0!</v>
      </c>
      <c r="BH793" s="571" t="e">
        <f t="shared" si="162"/>
        <v>#DIV/0!</v>
      </c>
    </row>
    <row r="794" spans="55:60" s="39" customFormat="1">
      <c r="BC794" s="573">
        <v>7.83</v>
      </c>
      <c r="BD794" s="571">
        <f t="shared" si="159"/>
        <v>0</v>
      </c>
      <c r="BE794" s="571">
        <f t="shared" si="163"/>
        <v>0</v>
      </c>
      <c r="BF794" s="586">
        <f t="shared" si="160"/>
        <v>0</v>
      </c>
      <c r="BG794" s="586" t="e">
        <f t="shared" si="161"/>
        <v>#DIV/0!</v>
      </c>
      <c r="BH794" s="571" t="e">
        <f t="shared" si="162"/>
        <v>#DIV/0!</v>
      </c>
    </row>
    <row r="795" spans="55:60" s="39" customFormat="1">
      <c r="BC795" s="573">
        <v>7.84</v>
      </c>
      <c r="BD795" s="571">
        <f t="shared" si="159"/>
        <v>0</v>
      </c>
      <c r="BE795" s="571">
        <f t="shared" si="163"/>
        <v>0</v>
      </c>
      <c r="BF795" s="586">
        <f t="shared" si="160"/>
        <v>0</v>
      </c>
      <c r="BG795" s="586" t="e">
        <f t="shared" si="161"/>
        <v>#DIV/0!</v>
      </c>
      <c r="BH795" s="571" t="e">
        <f t="shared" si="162"/>
        <v>#DIV/0!</v>
      </c>
    </row>
    <row r="796" spans="55:60" s="39" customFormat="1">
      <c r="BC796" s="573">
        <v>7.85</v>
      </c>
      <c r="BD796" s="571">
        <f t="shared" si="159"/>
        <v>0</v>
      </c>
      <c r="BE796" s="571">
        <f t="shared" si="163"/>
        <v>0</v>
      </c>
      <c r="BF796" s="586">
        <f t="shared" si="160"/>
        <v>0</v>
      </c>
      <c r="BG796" s="586" t="e">
        <f t="shared" si="161"/>
        <v>#DIV/0!</v>
      </c>
      <c r="BH796" s="571" t="e">
        <f t="shared" si="162"/>
        <v>#DIV/0!</v>
      </c>
    </row>
    <row r="797" spans="55:60" s="39" customFormat="1">
      <c r="BC797" s="573">
        <v>7.86</v>
      </c>
      <c r="BD797" s="571">
        <f t="shared" si="159"/>
        <v>0</v>
      </c>
      <c r="BE797" s="571">
        <f t="shared" si="163"/>
        <v>0</v>
      </c>
      <c r="BF797" s="586">
        <f t="shared" si="160"/>
        <v>0</v>
      </c>
      <c r="BG797" s="586" t="e">
        <f t="shared" si="161"/>
        <v>#DIV/0!</v>
      </c>
      <c r="BH797" s="571" t="e">
        <f t="shared" si="162"/>
        <v>#DIV/0!</v>
      </c>
    </row>
    <row r="798" spans="55:60" s="39" customFormat="1">
      <c r="BC798" s="573">
        <v>7.87</v>
      </c>
      <c r="BD798" s="571">
        <f t="shared" si="159"/>
        <v>0</v>
      </c>
      <c r="BE798" s="571">
        <f t="shared" si="163"/>
        <v>0</v>
      </c>
      <c r="BF798" s="586">
        <f t="shared" si="160"/>
        <v>0</v>
      </c>
      <c r="BG798" s="586" t="e">
        <f t="shared" si="161"/>
        <v>#DIV/0!</v>
      </c>
      <c r="BH798" s="571" t="e">
        <f t="shared" si="162"/>
        <v>#DIV/0!</v>
      </c>
    </row>
    <row r="799" spans="55:60" s="39" customFormat="1">
      <c r="BC799" s="573">
        <v>7.88</v>
      </c>
      <c r="BD799" s="571">
        <f t="shared" si="159"/>
        <v>0</v>
      </c>
      <c r="BE799" s="571">
        <f t="shared" si="163"/>
        <v>0</v>
      </c>
      <c r="BF799" s="586">
        <f t="shared" si="160"/>
        <v>0</v>
      </c>
      <c r="BG799" s="586" t="e">
        <f t="shared" si="161"/>
        <v>#DIV/0!</v>
      </c>
      <c r="BH799" s="571" t="e">
        <f t="shared" si="162"/>
        <v>#DIV/0!</v>
      </c>
    </row>
    <row r="800" spans="55:60" s="39" customFormat="1">
      <c r="BC800" s="573">
        <v>7.89</v>
      </c>
      <c r="BD800" s="571">
        <f t="shared" si="159"/>
        <v>0</v>
      </c>
      <c r="BE800" s="571">
        <f t="shared" si="163"/>
        <v>0</v>
      </c>
      <c r="BF800" s="586">
        <f t="shared" si="160"/>
        <v>0</v>
      </c>
      <c r="BG800" s="586" t="e">
        <f t="shared" si="161"/>
        <v>#DIV/0!</v>
      </c>
      <c r="BH800" s="571" t="e">
        <f t="shared" si="162"/>
        <v>#DIV/0!</v>
      </c>
    </row>
    <row r="801" spans="55:60" s="39" customFormat="1">
      <c r="BC801" s="573">
        <v>7.9</v>
      </c>
      <c r="BD801" s="571">
        <f t="shared" si="159"/>
        <v>0</v>
      </c>
      <c r="BE801" s="571">
        <f t="shared" si="163"/>
        <v>0</v>
      </c>
      <c r="BF801" s="586">
        <f t="shared" si="160"/>
        <v>0</v>
      </c>
      <c r="BG801" s="586" t="e">
        <f t="shared" si="161"/>
        <v>#DIV/0!</v>
      </c>
      <c r="BH801" s="571" t="e">
        <f t="shared" si="162"/>
        <v>#DIV/0!</v>
      </c>
    </row>
    <row r="802" spans="55:60" s="39" customFormat="1">
      <c r="BC802" s="573">
        <v>7.91</v>
      </c>
      <c r="BD802" s="571">
        <f t="shared" si="159"/>
        <v>0</v>
      </c>
      <c r="BE802" s="571">
        <f t="shared" si="163"/>
        <v>0</v>
      </c>
      <c r="BF802" s="586">
        <f t="shared" si="160"/>
        <v>0</v>
      </c>
      <c r="BG802" s="586" t="e">
        <f t="shared" si="161"/>
        <v>#DIV/0!</v>
      </c>
      <c r="BH802" s="571" t="e">
        <f t="shared" si="162"/>
        <v>#DIV/0!</v>
      </c>
    </row>
    <row r="803" spans="55:60" s="39" customFormat="1">
      <c r="BC803" s="573">
        <v>7.92</v>
      </c>
      <c r="BD803" s="571">
        <f t="shared" si="159"/>
        <v>0</v>
      </c>
      <c r="BE803" s="571">
        <f t="shared" si="163"/>
        <v>0</v>
      </c>
      <c r="BF803" s="586">
        <f t="shared" si="160"/>
        <v>0</v>
      </c>
      <c r="BG803" s="586" t="e">
        <f t="shared" si="161"/>
        <v>#DIV/0!</v>
      </c>
      <c r="BH803" s="571" t="e">
        <f t="shared" si="162"/>
        <v>#DIV/0!</v>
      </c>
    </row>
    <row r="804" spans="55:60" s="39" customFormat="1">
      <c r="BC804" s="573">
        <v>7.93</v>
      </c>
      <c r="BD804" s="571">
        <f t="shared" si="159"/>
        <v>0</v>
      </c>
      <c r="BE804" s="571">
        <f t="shared" si="163"/>
        <v>0</v>
      </c>
      <c r="BF804" s="586">
        <f t="shared" si="160"/>
        <v>0</v>
      </c>
      <c r="BG804" s="586" t="e">
        <f t="shared" si="161"/>
        <v>#DIV/0!</v>
      </c>
      <c r="BH804" s="571" t="e">
        <f t="shared" si="162"/>
        <v>#DIV/0!</v>
      </c>
    </row>
    <row r="805" spans="55:60" s="39" customFormat="1">
      <c r="BC805" s="573">
        <v>7.94</v>
      </c>
      <c r="BD805" s="571">
        <f t="shared" si="159"/>
        <v>0</v>
      </c>
      <c r="BE805" s="571">
        <f t="shared" si="163"/>
        <v>0</v>
      </c>
      <c r="BF805" s="586">
        <f t="shared" si="160"/>
        <v>0</v>
      </c>
      <c r="BG805" s="586" t="e">
        <f t="shared" si="161"/>
        <v>#DIV/0!</v>
      </c>
      <c r="BH805" s="571" t="e">
        <f t="shared" si="162"/>
        <v>#DIV/0!</v>
      </c>
    </row>
    <row r="806" spans="55:60" s="39" customFormat="1">
      <c r="BC806" s="573">
        <v>7.95</v>
      </c>
      <c r="BD806" s="571">
        <f t="shared" si="159"/>
        <v>0</v>
      </c>
      <c r="BE806" s="571">
        <f t="shared" si="163"/>
        <v>0</v>
      </c>
      <c r="BF806" s="586">
        <f t="shared" si="160"/>
        <v>0</v>
      </c>
      <c r="BG806" s="586" t="e">
        <f t="shared" si="161"/>
        <v>#DIV/0!</v>
      </c>
      <c r="BH806" s="571" t="e">
        <f t="shared" si="162"/>
        <v>#DIV/0!</v>
      </c>
    </row>
    <row r="807" spans="55:60" s="39" customFormat="1">
      <c r="BC807" s="573">
        <v>7.96</v>
      </c>
      <c r="BD807" s="571">
        <f t="shared" si="159"/>
        <v>0</v>
      </c>
      <c r="BE807" s="571">
        <f t="shared" si="163"/>
        <v>0</v>
      </c>
      <c r="BF807" s="586">
        <f t="shared" si="160"/>
        <v>0</v>
      </c>
      <c r="BG807" s="586" t="e">
        <f t="shared" si="161"/>
        <v>#DIV/0!</v>
      </c>
      <c r="BH807" s="571" t="e">
        <f t="shared" si="162"/>
        <v>#DIV/0!</v>
      </c>
    </row>
    <row r="808" spans="55:60" s="39" customFormat="1">
      <c r="BC808" s="573">
        <v>7.97</v>
      </c>
      <c r="BD808" s="571">
        <f t="shared" si="159"/>
        <v>0</v>
      </c>
      <c r="BE808" s="571">
        <f t="shared" si="163"/>
        <v>0</v>
      </c>
      <c r="BF808" s="586">
        <f t="shared" si="160"/>
        <v>0</v>
      </c>
      <c r="BG808" s="586" t="e">
        <f t="shared" si="161"/>
        <v>#DIV/0!</v>
      </c>
      <c r="BH808" s="571" t="e">
        <f t="shared" si="162"/>
        <v>#DIV/0!</v>
      </c>
    </row>
    <row r="809" spans="55:60" s="39" customFormat="1">
      <c r="BC809" s="573">
        <v>7.98</v>
      </c>
      <c r="BD809" s="571">
        <f t="shared" si="159"/>
        <v>0</v>
      </c>
      <c r="BE809" s="571">
        <f t="shared" si="163"/>
        <v>0</v>
      </c>
      <c r="BF809" s="586">
        <f t="shared" si="160"/>
        <v>0</v>
      </c>
      <c r="BG809" s="586" t="e">
        <f t="shared" si="161"/>
        <v>#DIV/0!</v>
      </c>
      <c r="BH809" s="571" t="e">
        <f t="shared" si="162"/>
        <v>#DIV/0!</v>
      </c>
    </row>
    <row r="810" spans="55:60" s="39" customFormat="1">
      <c r="BC810" s="573">
        <v>7.99</v>
      </c>
      <c r="BD810" s="571">
        <f t="shared" si="159"/>
        <v>0</v>
      </c>
      <c r="BE810" s="571">
        <f t="shared" si="163"/>
        <v>0</v>
      </c>
      <c r="BF810" s="586">
        <f t="shared" si="160"/>
        <v>0</v>
      </c>
      <c r="BG810" s="586" t="e">
        <f t="shared" si="161"/>
        <v>#DIV/0!</v>
      </c>
      <c r="BH810" s="571" t="e">
        <f t="shared" si="162"/>
        <v>#DIV/0!</v>
      </c>
    </row>
    <row r="811" spans="55:60" s="39" customFormat="1">
      <c r="BC811" s="573">
        <v>8</v>
      </c>
      <c r="BD811" s="571">
        <f t="shared" si="159"/>
        <v>0</v>
      </c>
      <c r="BE811" s="571">
        <f t="shared" si="163"/>
        <v>0</v>
      </c>
      <c r="BF811" s="586">
        <f t="shared" si="160"/>
        <v>0</v>
      </c>
      <c r="BG811" s="586" t="e">
        <f t="shared" si="161"/>
        <v>#DIV/0!</v>
      </c>
      <c r="BH811" s="571" t="e">
        <f t="shared" si="162"/>
        <v>#DIV/0!</v>
      </c>
    </row>
    <row r="812" spans="55:60" s="39" customFormat="1">
      <c r="BC812" s="573">
        <v>8.01</v>
      </c>
      <c r="BD812" s="571">
        <f t="shared" si="159"/>
        <v>0</v>
      </c>
      <c r="BE812" s="571">
        <f t="shared" si="163"/>
        <v>0</v>
      </c>
      <c r="BF812" s="586">
        <f t="shared" si="160"/>
        <v>0</v>
      </c>
      <c r="BG812" s="586" t="e">
        <f t="shared" si="161"/>
        <v>#DIV/0!</v>
      </c>
      <c r="BH812" s="571" t="e">
        <f t="shared" si="162"/>
        <v>#DIV/0!</v>
      </c>
    </row>
    <row r="813" spans="55:60" s="39" customFormat="1">
      <c r="BC813" s="573">
        <v>8.02</v>
      </c>
      <c r="BD813" s="571">
        <f t="shared" si="159"/>
        <v>0</v>
      </c>
      <c r="BE813" s="571">
        <f t="shared" si="163"/>
        <v>0</v>
      </c>
      <c r="BF813" s="586">
        <f t="shared" si="160"/>
        <v>0</v>
      </c>
      <c r="BG813" s="586" t="e">
        <f t="shared" si="161"/>
        <v>#DIV/0!</v>
      </c>
      <c r="BH813" s="571" t="e">
        <f t="shared" si="162"/>
        <v>#DIV/0!</v>
      </c>
    </row>
    <row r="814" spans="55:60" s="39" customFormat="1">
      <c r="BC814" s="573">
        <v>8.0299999999999994</v>
      </c>
      <c r="BD814" s="571">
        <f t="shared" si="159"/>
        <v>0</v>
      </c>
      <c r="BE814" s="571">
        <f t="shared" si="163"/>
        <v>0</v>
      </c>
      <c r="BF814" s="586">
        <f t="shared" si="160"/>
        <v>0</v>
      </c>
      <c r="BG814" s="586" t="e">
        <f t="shared" si="161"/>
        <v>#DIV/0!</v>
      </c>
      <c r="BH814" s="571" t="e">
        <f t="shared" si="162"/>
        <v>#DIV/0!</v>
      </c>
    </row>
    <row r="815" spans="55:60" s="39" customFormat="1">
      <c r="BC815" s="573">
        <v>8.0399999999999991</v>
      </c>
      <c r="BD815" s="571">
        <f t="shared" si="159"/>
        <v>0</v>
      </c>
      <c r="BE815" s="571">
        <f t="shared" si="163"/>
        <v>0</v>
      </c>
      <c r="BF815" s="586">
        <f t="shared" si="160"/>
        <v>0</v>
      </c>
      <c r="BG815" s="586" t="e">
        <f t="shared" si="161"/>
        <v>#DIV/0!</v>
      </c>
      <c r="BH815" s="571" t="e">
        <f t="shared" si="162"/>
        <v>#DIV/0!</v>
      </c>
    </row>
    <row r="816" spans="55:60" s="39" customFormat="1">
      <c r="BC816" s="573">
        <v>8.0500000000000007</v>
      </c>
      <c r="BD816" s="571">
        <f t="shared" si="159"/>
        <v>0</v>
      </c>
      <c r="BE816" s="571">
        <f t="shared" si="163"/>
        <v>0</v>
      </c>
      <c r="BF816" s="586">
        <f t="shared" si="160"/>
        <v>0</v>
      </c>
      <c r="BG816" s="586" t="e">
        <f t="shared" si="161"/>
        <v>#DIV/0!</v>
      </c>
      <c r="BH816" s="571" t="e">
        <f t="shared" si="162"/>
        <v>#DIV/0!</v>
      </c>
    </row>
    <row r="817" spans="55:60" s="39" customFormat="1">
      <c r="BC817" s="573">
        <v>8.06</v>
      </c>
      <c r="BD817" s="571">
        <f t="shared" si="159"/>
        <v>0</v>
      </c>
      <c r="BE817" s="571">
        <f t="shared" si="163"/>
        <v>0</v>
      </c>
      <c r="BF817" s="586">
        <f t="shared" si="160"/>
        <v>0</v>
      </c>
      <c r="BG817" s="586" t="e">
        <f t="shared" si="161"/>
        <v>#DIV/0!</v>
      </c>
      <c r="BH817" s="571" t="e">
        <f t="shared" si="162"/>
        <v>#DIV/0!</v>
      </c>
    </row>
    <row r="818" spans="55:60" s="39" customFormat="1">
      <c r="BC818" s="573">
        <v>8.07</v>
      </c>
      <c r="BD818" s="571">
        <f t="shared" si="159"/>
        <v>0</v>
      </c>
      <c r="BE818" s="571">
        <f t="shared" si="163"/>
        <v>0</v>
      </c>
      <c r="BF818" s="586">
        <f t="shared" si="160"/>
        <v>0</v>
      </c>
      <c r="BG818" s="586" t="e">
        <f t="shared" si="161"/>
        <v>#DIV/0!</v>
      </c>
      <c r="BH818" s="571" t="e">
        <f t="shared" si="162"/>
        <v>#DIV/0!</v>
      </c>
    </row>
    <row r="819" spans="55:60" s="39" customFormat="1">
      <c r="BC819" s="573">
        <v>8.08</v>
      </c>
      <c r="BD819" s="571">
        <f t="shared" si="159"/>
        <v>0</v>
      </c>
      <c r="BE819" s="571">
        <f t="shared" si="163"/>
        <v>0</v>
      </c>
      <c r="BF819" s="586">
        <f t="shared" si="160"/>
        <v>0</v>
      </c>
      <c r="BG819" s="586" t="e">
        <f t="shared" si="161"/>
        <v>#DIV/0!</v>
      </c>
      <c r="BH819" s="571" t="e">
        <f t="shared" si="162"/>
        <v>#DIV/0!</v>
      </c>
    </row>
    <row r="820" spans="55:60" s="39" customFormat="1">
      <c r="BC820" s="573">
        <v>8.09</v>
      </c>
      <c r="BD820" s="571">
        <f t="shared" si="159"/>
        <v>0</v>
      </c>
      <c r="BE820" s="571">
        <f t="shared" si="163"/>
        <v>0</v>
      </c>
      <c r="BF820" s="586">
        <f t="shared" si="160"/>
        <v>0</v>
      </c>
      <c r="BG820" s="586" t="e">
        <f t="shared" si="161"/>
        <v>#DIV/0!</v>
      </c>
      <c r="BH820" s="571" t="e">
        <f t="shared" si="162"/>
        <v>#DIV/0!</v>
      </c>
    </row>
    <row r="821" spans="55:60" s="39" customFormat="1">
      <c r="BC821" s="573">
        <v>8.1</v>
      </c>
      <c r="BD821" s="571">
        <f t="shared" si="159"/>
        <v>0</v>
      </c>
      <c r="BE821" s="571">
        <f t="shared" si="163"/>
        <v>0</v>
      </c>
      <c r="BF821" s="586">
        <f t="shared" si="160"/>
        <v>0</v>
      </c>
      <c r="BG821" s="586" t="e">
        <f t="shared" si="161"/>
        <v>#DIV/0!</v>
      </c>
      <c r="BH821" s="571" t="e">
        <f t="shared" si="162"/>
        <v>#DIV/0!</v>
      </c>
    </row>
    <row r="822" spans="55:60" s="39" customFormat="1">
      <c r="BC822" s="573">
        <v>8.11</v>
      </c>
      <c r="BD822" s="571">
        <f t="shared" si="159"/>
        <v>0</v>
      </c>
      <c r="BE822" s="571">
        <f t="shared" si="163"/>
        <v>0</v>
      </c>
      <c r="BF822" s="586">
        <f t="shared" si="160"/>
        <v>0</v>
      </c>
      <c r="BG822" s="586" t="e">
        <f t="shared" si="161"/>
        <v>#DIV/0!</v>
      </c>
      <c r="BH822" s="571" t="e">
        <f t="shared" si="162"/>
        <v>#DIV/0!</v>
      </c>
    </row>
    <row r="823" spans="55:60" s="39" customFormat="1">
      <c r="BC823" s="573">
        <v>8.1199999999999992</v>
      </c>
      <c r="BD823" s="571">
        <f t="shared" si="159"/>
        <v>0</v>
      </c>
      <c r="BE823" s="571">
        <f t="shared" si="163"/>
        <v>0</v>
      </c>
      <c r="BF823" s="586">
        <f t="shared" si="160"/>
        <v>0</v>
      </c>
      <c r="BG823" s="586" t="e">
        <f t="shared" si="161"/>
        <v>#DIV/0!</v>
      </c>
      <c r="BH823" s="571" t="e">
        <f t="shared" si="162"/>
        <v>#DIV/0!</v>
      </c>
    </row>
    <row r="824" spans="55:60" s="39" customFormat="1">
      <c r="BC824" s="573">
        <v>8.1300000000000008</v>
      </c>
      <c r="BD824" s="571">
        <f t="shared" si="159"/>
        <v>0</v>
      </c>
      <c r="BE824" s="571">
        <f t="shared" si="163"/>
        <v>0</v>
      </c>
      <c r="BF824" s="586">
        <f t="shared" si="160"/>
        <v>0</v>
      </c>
      <c r="BG824" s="586" t="e">
        <f t="shared" si="161"/>
        <v>#DIV/0!</v>
      </c>
      <c r="BH824" s="571" t="e">
        <f t="shared" si="162"/>
        <v>#DIV/0!</v>
      </c>
    </row>
    <row r="825" spans="55:60" s="39" customFormat="1">
      <c r="BC825" s="573">
        <v>8.14</v>
      </c>
      <c r="BD825" s="571">
        <f t="shared" si="159"/>
        <v>0</v>
      </c>
      <c r="BE825" s="571">
        <f t="shared" si="163"/>
        <v>0</v>
      </c>
      <c r="BF825" s="586">
        <f t="shared" si="160"/>
        <v>0</v>
      </c>
      <c r="BG825" s="586" t="e">
        <f t="shared" si="161"/>
        <v>#DIV/0!</v>
      </c>
      <c r="BH825" s="571" t="e">
        <f t="shared" si="162"/>
        <v>#DIV/0!</v>
      </c>
    </row>
    <row r="826" spans="55:60" s="39" customFormat="1">
      <c r="BC826" s="573">
        <v>8.15</v>
      </c>
      <c r="BD826" s="571">
        <f t="shared" si="159"/>
        <v>0</v>
      </c>
      <c r="BE826" s="571">
        <f t="shared" si="163"/>
        <v>0</v>
      </c>
      <c r="BF826" s="586">
        <f t="shared" si="160"/>
        <v>0</v>
      </c>
      <c r="BG826" s="586" t="e">
        <f t="shared" si="161"/>
        <v>#DIV/0!</v>
      </c>
      <c r="BH826" s="571" t="e">
        <f t="shared" si="162"/>
        <v>#DIV/0!</v>
      </c>
    </row>
    <row r="827" spans="55:60" s="39" customFormat="1">
      <c r="BC827" s="573">
        <v>8.16</v>
      </c>
      <c r="BD827" s="571">
        <f t="shared" si="159"/>
        <v>0</v>
      </c>
      <c r="BE827" s="571">
        <f t="shared" si="163"/>
        <v>0</v>
      </c>
      <c r="BF827" s="586">
        <f t="shared" si="160"/>
        <v>0</v>
      </c>
      <c r="BG827" s="586" t="e">
        <f t="shared" si="161"/>
        <v>#DIV/0!</v>
      </c>
      <c r="BH827" s="571" t="e">
        <f t="shared" si="162"/>
        <v>#DIV/0!</v>
      </c>
    </row>
    <row r="828" spans="55:60" s="39" customFormat="1">
      <c r="BC828" s="573">
        <v>8.17</v>
      </c>
      <c r="BD828" s="571">
        <f t="shared" si="159"/>
        <v>0</v>
      </c>
      <c r="BE828" s="571">
        <f t="shared" si="163"/>
        <v>0</v>
      </c>
      <c r="BF828" s="586">
        <f t="shared" si="160"/>
        <v>0</v>
      </c>
      <c r="BG828" s="586" t="e">
        <f t="shared" si="161"/>
        <v>#DIV/0!</v>
      </c>
      <c r="BH828" s="571" t="e">
        <f t="shared" si="162"/>
        <v>#DIV/0!</v>
      </c>
    </row>
    <row r="829" spans="55:60" s="39" customFormat="1">
      <c r="BC829" s="573">
        <v>8.18</v>
      </c>
      <c r="BD829" s="571">
        <f t="shared" si="159"/>
        <v>0</v>
      </c>
      <c r="BE829" s="571">
        <f t="shared" si="163"/>
        <v>0</v>
      </c>
      <c r="BF829" s="586">
        <f t="shared" si="160"/>
        <v>0</v>
      </c>
      <c r="BG829" s="586" t="e">
        <f t="shared" si="161"/>
        <v>#DIV/0!</v>
      </c>
      <c r="BH829" s="571" t="e">
        <f t="shared" si="162"/>
        <v>#DIV/0!</v>
      </c>
    </row>
    <row r="830" spans="55:60" s="39" customFormat="1">
      <c r="BC830" s="573">
        <v>8.19</v>
      </c>
      <c r="BD830" s="571">
        <f t="shared" si="159"/>
        <v>0</v>
      </c>
      <c r="BE830" s="571">
        <f t="shared" si="163"/>
        <v>0</v>
      </c>
      <c r="BF830" s="586">
        <f t="shared" si="160"/>
        <v>0</v>
      </c>
      <c r="BG830" s="586" t="e">
        <f t="shared" si="161"/>
        <v>#DIV/0!</v>
      </c>
      <c r="BH830" s="571" t="e">
        <f t="shared" si="162"/>
        <v>#DIV/0!</v>
      </c>
    </row>
    <row r="831" spans="55:60" s="39" customFormat="1">
      <c r="BC831" s="573">
        <v>8.1999999999999993</v>
      </c>
      <c r="BD831" s="571">
        <f t="shared" si="159"/>
        <v>0</v>
      </c>
      <c r="BE831" s="571">
        <f t="shared" si="163"/>
        <v>0</v>
      </c>
      <c r="BF831" s="586">
        <f t="shared" si="160"/>
        <v>0</v>
      </c>
      <c r="BG831" s="586" t="e">
        <f t="shared" si="161"/>
        <v>#DIV/0!</v>
      </c>
      <c r="BH831" s="571" t="e">
        <f t="shared" si="162"/>
        <v>#DIV/0!</v>
      </c>
    </row>
    <row r="832" spans="55:60" s="39" customFormat="1">
      <c r="BC832" s="573">
        <v>8.2100000000000009</v>
      </c>
      <c r="BD832" s="571">
        <f t="shared" si="159"/>
        <v>0</v>
      </c>
      <c r="BE832" s="571">
        <f t="shared" si="163"/>
        <v>0</v>
      </c>
      <c r="BF832" s="586">
        <f t="shared" si="160"/>
        <v>0</v>
      </c>
      <c r="BG832" s="586" t="e">
        <f t="shared" si="161"/>
        <v>#DIV/0!</v>
      </c>
      <c r="BH832" s="571" t="e">
        <f t="shared" si="162"/>
        <v>#DIV/0!</v>
      </c>
    </row>
    <row r="833" spans="55:60" s="39" customFormat="1">
      <c r="BC833" s="573">
        <v>8.2200000000000006</v>
      </c>
      <c r="BD833" s="571">
        <f t="shared" si="159"/>
        <v>0</v>
      </c>
      <c r="BE833" s="571">
        <f t="shared" si="163"/>
        <v>0</v>
      </c>
      <c r="BF833" s="586">
        <f t="shared" si="160"/>
        <v>0</v>
      </c>
      <c r="BG833" s="586" t="e">
        <f t="shared" si="161"/>
        <v>#DIV/0!</v>
      </c>
      <c r="BH833" s="571" t="e">
        <f t="shared" si="162"/>
        <v>#DIV/0!</v>
      </c>
    </row>
    <row r="834" spans="55:60" s="39" customFormat="1">
      <c r="BC834" s="573">
        <v>8.23</v>
      </c>
      <c r="BD834" s="571">
        <f t="shared" si="159"/>
        <v>0</v>
      </c>
      <c r="BE834" s="571">
        <f t="shared" si="163"/>
        <v>0</v>
      </c>
      <c r="BF834" s="586">
        <f t="shared" si="160"/>
        <v>0</v>
      </c>
      <c r="BG834" s="586" t="e">
        <f t="shared" si="161"/>
        <v>#DIV/0!</v>
      </c>
      <c r="BH834" s="571" t="e">
        <f t="shared" si="162"/>
        <v>#DIV/0!</v>
      </c>
    </row>
    <row r="835" spans="55:60" s="39" customFormat="1">
      <c r="BC835" s="573">
        <v>8.24</v>
      </c>
      <c r="BD835" s="571">
        <f t="shared" si="159"/>
        <v>0</v>
      </c>
      <c r="BE835" s="571">
        <f t="shared" si="163"/>
        <v>0</v>
      </c>
      <c r="BF835" s="586">
        <f t="shared" si="160"/>
        <v>0</v>
      </c>
      <c r="BG835" s="586" t="e">
        <f t="shared" si="161"/>
        <v>#DIV/0!</v>
      </c>
      <c r="BH835" s="571" t="e">
        <f t="shared" si="162"/>
        <v>#DIV/0!</v>
      </c>
    </row>
    <row r="836" spans="55:60" s="39" customFormat="1">
      <c r="BC836" s="573">
        <v>8.25</v>
      </c>
      <c r="BD836" s="571">
        <f t="shared" si="159"/>
        <v>0</v>
      </c>
      <c r="BE836" s="571">
        <f t="shared" si="163"/>
        <v>0</v>
      </c>
      <c r="BF836" s="586">
        <f t="shared" si="160"/>
        <v>0</v>
      </c>
      <c r="BG836" s="586" t="e">
        <f t="shared" si="161"/>
        <v>#DIV/0!</v>
      </c>
      <c r="BH836" s="571" t="e">
        <f t="shared" si="162"/>
        <v>#DIV/0!</v>
      </c>
    </row>
    <row r="837" spans="55:60" s="39" customFormat="1">
      <c r="BC837" s="573">
        <v>8.26</v>
      </c>
      <c r="BD837" s="571">
        <f t="shared" si="159"/>
        <v>0</v>
      </c>
      <c r="BE837" s="571">
        <f t="shared" si="163"/>
        <v>0</v>
      </c>
      <c r="BF837" s="586">
        <f t="shared" si="160"/>
        <v>0</v>
      </c>
      <c r="BG837" s="586" t="e">
        <f t="shared" si="161"/>
        <v>#DIV/0!</v>
      </c>
      <c r="BH837" s="571" t="e">
        <f t="shared" si="162"/>
        <v>#DIV/0!</v>
      </c>
    </row>
    <row r="838" spans="55:60" s="39" customFormat="1">
      <c r="BC838" s="573">
        <v>8.27</v>
      </c>
      <c r="BD838" s="571">
        <f t="shared" si="159"/>
        <v>0</v>
      </c>
      <c r="BE838" s="571">
        <f t="shared" si="163"/>
        <v>0</v>
      </c>
      <c r="BF838" s="586">
        <f t="shared" si="160"/>
        <v>0</v>
      </c>
      <c r="BG838" s="586" t="e">
        <f t="shared" si="161"/>
        <v>#DIV/0!</v>
      </c>
      <c r="BH838" s="571" t="e">
        <f t="shared" si="162"/>
        <v>#DIV/0!</v>
      </c>
    </row>
    <row r="839" spans="55:60" s="39" customFormat="1">
      <c r="BC839" s="573">
        <v>8.2799999999999994</v>
      </c>
      <c r="BD839" s="571">
        <f t="shared" si="159"/>
        <v>0</v>
      </c>
      <c r="BE839" s="571">
        <f t="shared" si="163"/>
        <v>0</v>
      </c>
      <c r="BF839" s="586">
        <f t="shared" si="160"/>
        <v>0</v>
      </c>
      <c r="BG839" s="586" t="e">
        <f t="shared" si="161"/>
        <v>#DIV/0!</v>
      </c>
      <c r="BH839" s="571" t="e">
        <f t="shared" si="162"/>
        <v>#DIV/0!</v>
      </c>
    </row>
    <row r="840" spans="55:60" s="39" customFormat="1">
      <c r="BC840" s="573">
        <v>8.2899999999999991</v>
      </c>
      <c r="BD840" s="571">
        <f t="shared" si="159"/>
        <v>0</v>
      </c>
      <c r="BE840" s="571">
        <f t="shared" si="163"/>
        <v>0</v>
      </c>
      <c r="BF840" s="586">
        <f t="shared" si="160"/>
        <v>0</v>
      </c>
      <c r="BG840" s="586" t="e">
        <f t="shared" si="161"/>
        <v>#DIV/0!</v>
      </c>
      <c r="BH840" s="571" t="e">
        <f t="shared" si="162"/>
        <v>#DIV/0!</v>
      </c>
    </row>
    <row r="841" spans="55:60" s="39" customFormat="1">
      <c r="BC841" s="573">
        <v>8.3000000000000007</v>
      </c>
      <c r="BD841" s="571">
        <f t="shared" si="159"/>
        <v>0</v>
      </c>
      <c r="BE841" s="571">
        <f t="shared" si="163"/>
        <v>0</v>
      </c>
      <c r="BF841" s="586">
        <f t="shared" si="160"/>
        <v>0</v>
      </c>
      <c r="BG841" s="586" t="e">
        <f t="shared" si="161"/>
        <v>#DIV/0!</v>
      </c>
      <c r="BH841" s="571" t="e">
        <f t="shared" si="162"/>
        <v>#DIV/0!</v>
      </c>
    </row>
    <row r="842" spans="55:60" s="39" customFormat="1">
      <c r="BC842" s="573">
        <v>8.31</v>
      </c>
      <c r="BD842" s="571">
        <f t="shared" si="159"/>
        <v>0</v>
      </c>
      <c r="BE842" s="571">
        <f t="shared" si="163"/>
        <v>0</v>
      </c>
      <c r="BF842" s="586">
        <f t="shared" si="160"/>
        <v>0</v>
      </c>
      <c r="BG842" s="586" t="e">
        <f t="shared" si="161"/>
        <v>#DIV/0!</v>
      </c>
      <c r="BH842" s="571" t="e">
        <f t="shared" si="162"/>
        <v>#DIV/0!</v>
      </c>
    </row>
    <row r="843" spans="55:60" s="39" customFormat="1">
      <c r="BC843" s="573">
        <v>8.32</v>
      </c>
      <c r="BD843" s="571">
        <f t="shared" si="159"/>
        <v>0</v>
      </c>
      <c r="BE843" s="571">
        <f t="shared" si="163"/>
        <v>0</v>
      </c>
      <c r="BF843" s="586">
        <f t="shared" si="160"/>
        <v>0</v>
      </c>
      <c r="BG843" s="586" t="e">
        <f t="shared" si="161"/>
        <v>#DIV/0!</v>
      </c>
      <c r="BH843" s="571" t="e">
        <f t="shared" si="162"/>
        <v>#DIV/0!</v>
      </c>
    </row>
    <row r="844" spans="55:60" s="39" customFormat="1">
      <c r="BC844" s="573">
        <v>8.33</v>
      </c>
      <c r="BD844" s="571">
        <f t="shared" ref="BD844:BD907" si="164">$AU$15/BC844</f>
        <v>0</v>
      </c>
      <c r="BE844" s="571">
        <f t="shared" si="163"/>
        <v>0</v>
      </c>
      <c r="BF844" s="586">
        <f t="shared" ref="BF844:BF907" si="165">BC844*(BE844/1000)/$AO$12</f>
        <v>0</v>
      </c>
      <c r="BG844" s="586" t="e">
        <f t="shared" ref="BG844:BG907" si="166">POWER((1/(-1.8*LOG((6.9/BF844+POWER((($P$7/BE844)/3.71),1.11)),10))),2)</f>
        <v>#DIV/0!</v>
      </c>
      <c r="BH844" s="571" t="e">
        <f t="shared" ref="BH844:BH907" si="167">BG844*0.5*$P$6*16*$AU$15*$AU$15/(POWER(PI(),2)*POWER((BE844/1000),5))</f>
        <v>#DIV/0!</v>
      </c>
    </row>
    <row r="845" spans="55:60" s="39" customFormat="1">
      <c r="BC845" s="573">
        <v>8.34</v>
      </c>
      <c r="BD845" s="571">
        <f t="shared" si="164"/>
        <v>0</v>
      </c>
      <c r="BE845" s="571">
        <f t="shared" ref="BE845:BE908" si="168">((BD845/PI())^0.5)*2*1000</f>
        <v>0</v>
      </c>
      <c r="BF845" s="586">
        <f t="shared" si="165"/>
        <v>0</v>
      </c>
      <c r="BG845" s="586" t="e">
        <f t="shared" si="166"/>
        <v>#DIV/0!</v>
      </c>
      <c r="BH845" s="571" t="e">
        <f t="shared" si="167"/>
        <v>#DIV/0!</v>
      </c>
    </row>
    <row r="846" spans="55:60" s="39" customFormat="1">
      <c r="BC846" s="573">
        <v>8.35</v>
      </c>
      <c r="BD846" s="571">
        <f t="shared" si="164"/>
        <v>0</v>
      </c>
      <c r="BE846" s="571">
        <f t="shared" si="168"/>
        <v>0</v>
      </c>
      <c r="BF846" s="586">
        <f t="shared" si="165"/>
        <v>0</v>
      </c>
      <c r="BG846" s="586" t="e">
        <f t="shared" si="166"/>
        <v>#DIV/0!</v>
      </c>
      <c r="BH846" s="571" t="e">
        <f t="shared" si="167"/>
        <v>#DIV/0!</v>
      </c>
    </row>
    <row r="847" spans="55:60" s="39" customFormat="1">
      <c r="BC847" s="573">
        <v>8.36</v>
      </c>
      <c r="BD847" s="571">
        <f t="shared" si="164"/>
        <v>0</v>
      </c>
      <c r="BE847" s="571">
        <f t="shared" si="168"/>
        <v>0</v>
      </c>
      <c r="BF847" s="586">
        <f t="shared" si="165"/>
        <v>0</v>
      </c>
      <c r="BG847" s="586" t="e">
        <f t="shared" si="166"/>
        <v>#DIV/0!</v>
      </c>
      <c r="BH847" s="571" t="e">
        <f t="shared" si="167"/>
        <v>#DIV/0!</v>
      </c>
    </row>
    <row r="848" spans="55:60" s="39" customFormat="1">
      <c r="BC848" s="573">
        <v>8.3699999999999992</v>
      </c>
      <c r="BD848" s="571">
        <f t="shared" si="164"/>
        <v>0</v>
      </c>
      <c r="BE848" s="571">
        <f t="shared" si="168"/>
        <v>0</v>
      </c>
      <c r="BF848" s="586">
        <f t="shared" si="165"/>
        <v>0</v>
      </c>
      <c r="BG848" s="586" t="e">
        <f t="shared" si="166"/>
        <v>#DIV/0!</v>
      </c>
      <c r="BH848" s="571" t="e">
        <f t="shared" si="167"/>
        <v>#DIV/0!</v>
      </c>
    </row>
    <row r="849" spans="55:60" s="39" customFormat="1">
      <c r="BC849" s="573">
        <v>8.3800000000000008</v>
      </c>
      <c r="BD849" s="571">
        <f t="shared" si="164"/>
        <v>0</v>
      </c>
      <c r="BE849" s="571">
        <f t="shared" si="168"/>
        <v>0</v>
      </c>
      <c r="BF849" s="586">
        <f t="shared" si="165"/>
        <v>0</v>
      </c>
      <c r="BG849" s="586" t="e">
        <f t="shared" si="166"/>
        <v>#DIV/0!</v>
      </c>
      <c r="BH849" s="571" t="e">
        <f t="shared" si="167"/>
        <v>#DIV/0!</v>
      </c>
    </row>
    <row r="850" spans="55:60" s="39" customFormat="1">
      <c r="BC850" s="573">
        <v>8.39</v>
      </c>
      <c r="BD850" s="571">
        <f t="shared" si="164"/>
        <v>0</v>
      </c>
      <c r="BE850" s="571">
        <f t="shared" si="168"/>
        <v>0</v>
      </c>
      <c r="BF850" s="586">
        <f t="shared" si="165"/>
        <v>0</v>
      </c>
      <c r="BG850" s="586" t="e">
        <f t="shared" si="166"/>
        <v>#DIV/0!</v>
      </c>
      <c r="BH850" s="571" t="e">
        <f t="shared" si="167"/>
        <v>#DIV/0!</v>
      </c>
    </row>
    <row r="851" spans="55:60" s="39" customFormat="1">
      <c r="BC851" s="573">
        <v>8.4</v>
      </c>
      <c r="BD851" s="571">
        <f t="shared" si="164"/>
        <v>0</v>
      </c>
      <c r="BE851" s="571">
        <f t="shared" si="168"/>
        <v>0</v>
      </c>
      <c r="BF851" s="586">
        <f t="shared" si="165"/>
        <v>0</v>
      </c>
      <c r="BG851" s="586" t="e">
        <f t="shared" si="166"/>
        <v>#DIV/0!</v>
      </c>
      <c r="BH851" s="571" t="e">
        <f t="shared" si="167"/>
        <v>#DIV/0!</v>
      </c>
    </row>
    <row r="852" spans="55:60" s="39" customFormat="1">
      <c r="BC852" s="573">
        <v>8.41</v>
      </c>
      <c r="BD852" s="571">
        <f t="shared" si="164"/>
        <v>0</v>
      </c>
      <c r="BE852" s="571">
        <f t="shared" si="168"/>
        <v>0</v>
      </c>
      <c r="BF852" s="586">
        <f t="shared" si="165"/>
        <v>0</v>
      </c>
      <c r="BG852" s="586" t="e">
        <f t="shared" si="166"/>
        <v>#DIV/0!</v>
      </c>
      <c r="BH852" s="571" t="e">
        <f t="shared" si="167"/>
        <v>#DIV/0!</v>
      </c>
    </row>
    <row r="853" spans="55:60" s="39" customFormat="1">
      <c r="BC853" s="573">
        <v>8.42</v>
      </c>
      <c r="BD853" s="571">
        <f t="shared" si="164"/>
        <v>0</v>
      </c>
      <c r="BE853" s="571">
        <f t="shared" si="168"/>
        <v>0</v>
      </c>
      <c r="BF853" s="586">
        <f t="shared" si="165"/>
        <v>0</v>
      </c>
      <c r="BG853" s="586" t="e">
        <f t="shared" si="166"/>
        <v>#DIV/0!</v>
      </c>
      <c r="BH853" s="571" t="e">
        <f t="shared" si="167"/>
        <v>#DIV/0!</v>
      </c>
    </row>
    <row r="854" spans="55:60" s="39" customFormat="1">
      <c r="BC854" s="573">
        <v>8.43</v>
      </c>
      <c r="BD854" s="571">
        <f t="shared" si="164"/>
        <v>0</v>
      </c>
      <c r="BE854" s="571">
        <f t="shared" si="168"/>
        <v>0</v>
      </c>
      <c r="BF854" s="586">
        <f t="shared" si="165"/>
        <v>0</v>
      </c>
      <c r="BG854" s="586" t="e">
        <f t="shared" si="166"/>
        <v>#DIV/0!</v>
      </c>
      <c r="BH854" s="571" t="e">
        <f t="shared" si="167"/>
        <v>#DIV/0!</v>
      </c>
    </row>
    <row r="855" spans="55:60" s="39" customFormat="1">
      <c r="BC855" s="573">
        <v>8.44</v>
      </c>
      <c r="BD855" s="571">
        <f t="shared" si="164"/>
        <v>0</v>
      </c>
      <c r="BE855" s="571">
        <f t="shared" si="168"/>
        <v>0</v>
      </c>
      <c r="BF855" s="586">
        <f t="shared" si="165"/>
        <v>0</v>
      </c>
      <c r="BG855" s="586" t="e">
        <f t="shared" si="166"/>
        <v>#DIV/0!</v>
      </c>
      <c r="BH855" s="571" t="e">
        <f t="shared" si="167"/>
        <v>#DIV/0!</v>
      </c>
    </row>
    <row r="856" spans="55:60" s="39" customFormat="1">
      <c r="BC856" s="573">
        <v>8.4499999999999993</v>
      </c>
      <c r="BD856" s="571">
        <f t="shared" si="164"/>
        <v>0</v>
      </c>
      <c r="BE856" s="571">
        <f t="shared" si="168"/>
        <v>0</v>
      </c>
      <c r="BF856" s="586">
        <f t="shared" si="165"/>
        <v>0</v>
      </c>
      <c r="BG856" s="586" t="e">
        <f t="shared" si="166"/>
        <v>#DIV/0!</v>
      </c>
      <c r="BH856" s="571" t="e">
        <f t="shared" si="167"/>
        <v>#DIV/0!</v>
      </c>
    </row>
    <row r="857" spans="55:60" s="39" customFormat="1">
      <c r="BC857" s="573">
        <v>8.4600000000000009</v>
      </c>
      <c r="BD857" s="571">
        <f t="shared" si="164"/>
        <v>0</v>
      </c>
      <c r="BE857" s="571">
        <f t="shared" si="168"/>
        <v>0</v>
      </c>
      <c r="BF857" s="586">
        <f t="shared" si="165"/>
        <v>0</v>
      </c>
      <c r="BG857" s="586" t="e">
        <f t="shared" si="166"/>
        <v>#DIV/0!</v>
      </c>
      <c r="BH857" s="571" t="e">
        <f t="shared" si="167"/>
        <v>#DIV/0!</v>
      </c>
    </row>
    <row r="858" spans="55:60" s="39" customFormat="1">
      <c r="BC858" s="573">
        <v>8.4700000000000006</v>
      </c>
      <c r="BD858" s="571">
        <f t="shared" si="164"/>
        <v>0</v>
      </c>
      <c r="BE858" s="571">
        <f t="shared" si="168"/>
        <v>0</v>
      </c>
      <c r="BF858" s="586">
        <f t="shared" si="165"/>
        <v>0</v>
      </c>
      <c r="BG858" s="586" t="e">
        <f t="shared" si="166"/>
        <v>#DIV/0!</v>
      </c>
      <c r="BH858" s="571" t="e">
        <f t="shared" si="167"/>
        <v>#DIV/0!</v>
      </c>
    </row>
    <row r="859" spans="55:60" s="39" customFormat="1">
      <c r="BC859" s="573">
        <v>8.48</v>
      </c>
      <c r="BD859" s="571">
        <f t="shared" si="164"/>
        <v>0</v>
      </c>
      <c r="BE859" s="571">
        <f t="shared" si="168"/>
        <v>0</v>
      </c>
      <c r="BF859" s="586">
        <f t="shared" si="165"/>
        <v>0</v>
      </c>
      <c r="BG859" s="586" t="e">
        <f t="shared" si="166"/>
        <v>#DIV/0!</v>
      </c>
      <c r="BH859" s="571" t="e">
        <f t="shared" si="167"/>
        <v>#DIV/0!</v>
      </c>
    </row>
    <row r="860" spans="55:60" s="39" customFormat="1">
      <c r="BC860" s="573">
        <v>8.49</v>
      </c>
      <c r="BD860" s="571">
        <f t="shared" si="164"/>
        <v>0</v>
      </c>
      <c r="BE860" s="571">
        <f t="shared" si="168"/>
        <v>0</v>
      </c>
      <c r="BF860" s="586">
        <f t="shared" si="165"/>
        <v>0</v>
      </c>
      <c r="BG860" s="586" t="e">
        <f t="shared" si="166"/>
        <v>#DIV/0!</v>
      </c>
      <c r="BH860" s="571" t="e">
        <f t="shared" si="167"/>
        <v>#DIV/0!</v>
      </c>
    </row>
    <row r="861" spans="55:60" s="39" customFormat="1">
      <c r="BC861" s="573">
        <v>8.5</v>
      </c>
      <c r="BD861" s="571">
        <f t="shared" si="164"/>
        <v>0</v>
      </c>
      <c r="BE861" s="571">
        <f t="shared" si="168"/>
        <v>0</v>
      </c>
      <c r="BF861" s="586">
        <f t="shared" si="165"/>
        <v>0</v>
      </c>
      <c r="BG861" s="586" t="e">
        <f t="shared" si="166"/>
        <v>#DIV/0!</v>
      </c>
      <c r="BH861" s="571" t="e">
        <f t="shared" si="167"/>
        <v>#DIV/0!</v>
      </c>
    </row>
    <row r="862" spans="55:60" s="39" customFormat="1">
      <c r="BC862" s="573">
        <v>8.51</v>
      </c>
      <c r="BD862" s="571">
        <f t="shared" si="164"/>
        <v>0</v>
      </c>
      <c r="BE862" s="571">
        <f t="shared" si="168"/>
        <v>0</v>
      </c>
      <c r="BF862" s="586">
        <f t="shared" si="165"/>
        <v>0</v>
      </c>
      <c r="BG862" s="586" t="e">
        <f t="shared" si="166"/>
        <v>#DIV/0!</v>
      </c>
      <c r="BH862" s="571" t="e">
        <f t="shared" si="167"/>
        <v>#DIV/0!</v>
      </c>
    </row>
    <row r="863" spans="55:60" s="39" customFormat="1">
      <c r="BC863" s="573">
        <v>8.52</v>
      </c>
      <c r="BD863" s="571">
        <f t="shared" si="164"/>
        <v>0</v>
      </c>
      <c r="BE863" s="571">
        <f t="shared" si="168"/>
        <v>0</v>
      </c>
      <c r="BF863" s="586">
        <f t="shared" si="165"/>
        <v>0</v>
      </c>
      <c r="BG863" s="586" t="e">
        <f t="shared" si="166"/>
        <v>#DIV/0!</v>
      </c>
      <c r="BH863" s="571" t="e">
        <f t="shared" si="167"/>
        <v>#DIV/0!</v>
      </c>
    </row>
    <row r="864" spans="55:60" s="39" customFormat="1">
      <c r="BC864" s="573">
        <v>8.5299999999999994</v>
      </c>
      <c r="BD864" s="571">
        <f t="shared" si="164"/>
        <v>0</v>
      </c>
      <c r="BE864" s="571">
        <f t="shared" si="168"/>
        <v>0</v>
      </c>
      <c r="BF864" s="586">
        <f t="shared" si="165"/>
        <v>0</v>
      </c>
      <c r="BG864" s="586" t="e">
        <f t="shared" si="166"/>
        <v>#DIV/0!</v>
      </c>
      <c r="BH864" s="571" t="e">
        <f t="shared" si="167"/>
        <v>#DIV/0!</v>
      </c>
    </row>
    <row r="865" spans="55:60" s="39" customFormat="1">
      <c r="BC865" s="573">
        <v>8.5399999999999991</v>
      </c>
      <c r="BD865" s="571">
        <f t="shared" si="164"/>
        <v>0</v>
      </c>
      <c r="BE865" s="571">
        <f t="shared" si="168"/>
        <v>0</v>
      </c>
      <c r="BF865" s="586">
        <f t="shared" si="165"/>
        <v>0</v>
      </c>
      <c r="BG865" s="586" t="e">
        <f t="shared" si="166"/>
        <v>#DIV/0!</v>
      </c>
      <c r="BH865" s="571" t="e">
        <f t="shared" si="167"/>
        <v>#DIV/0!</v>
      </c>
    </row>
    <row r="866" spans="55:60" s="39" customFormat="1">
      <c r="BC866" s="573">
        <v>8.5500000000000007</v>
      </c>
      <c r="BD866" s="571">
        <f t="shared" si="164"/>
        <v>0</v>
      </c>
      <c r="BE866" s="571">
        <f t="shared" si="168"/>
        <v>0</v>
      </c>
      <c r="BF866" s="586">
        <f t="shared" si="165"/>
        <v>0</v>
      </c>
      <c r="BG866" s="586" t="e">
        <f t="shared" si="166"/>
        <v>#DIV/0!</v>
      </c>
      <c r="BH866" s="571" t="e">
        <f t="shared" si="167"/>
        <v>#DIV/0!</v>
      </c>
    </row>
    <row r="867" spans="55:60" s="39" customFormat="1">
      <c r="BC867" s="573">
        <v>8.56</v>
      </c>
      <c r="BD867" s="571">
        <f t="shared" si="164"/>
        <v>0</v>
      </c>
      <c r="BE867" s="571">
        <f t="shared" si="168"/>
        <v>0</v>
      </c>
      <c r="BF867" s="586">
        <f t="shared" si="165"/>
        <v>0</v>
      </c>
      <c r="BG867" s="586" t="e">
        <f t="shared" si="166"/>
        <v>#DIV/0!</v>
      </c>
      <c r="BH867" s="571" t="e">
        <f t="shared" si="167"/>
        <v>#DIV/0!</v>
      </c>
    </row>
    <row r="868" spans="55:60" s="39" customFormat="1">
      <c r="BC868" s="573">
        <v>8.57</v>
      </c>
      <c r="BD868" s="571">
        <f t="shared" si="164"/>
        <v>0</v>
      </c>
      <c r="BE868" s="571">
        <f t="shared" si="168"/>
        <v>0</v>
      </c>
      <c r="BF868" s="586">
        <f t="shared" si="165"/>
        <v>0</v>
      </c>
      <c r="BG868" s="586" t="e">
        <f t="shared" si="166"/>
        <v>#DIV/0!</v>
      </c>
      <c r="BH868" s="571" t="e">
        <f t="shared" si="167"/>
        <v>#DIV/0!</v>
      </c>
    </row>
    <row r="869" spans="55:60" s="39" customFormat="1">
      <c r="BC869" s="573">
        <v>8.58</v>
      </c>
      <c r="BD869" s="571">
        <f t="shared" si="164"/>
        <v>0</v>
      </c>
      <c r="BE869" s="571">
        <f t="shared" si="168"/>
        <v>0</v>
      </c>
      <c r="BF869" s="586">
        <f t="shared" si="165"/>
        <v>0</v>
      </c>
      <c r="BG869" s="586" t="e">
        <f t="shared" si="166"/>
        <v>#DIV/0!</v>
      </c>
      <c r="BH869" s="571" t="e">
        <f t="shared" si="167"/>
        <v>#DIV/0!</v>
      </c>
    </row>
    <row r="870" spans="55:60" s="39" customFormat="1">
      <c r="BC870" s="573">
        <v>8.59</v>
      </c>
      <c r="BD870" s="571">
        <f t="shared" si="164"/>
        <v>0</v>
      </c>
      <c r="BE870" s="571">
        <f t="shared" si="168"/>
        <v>0</v>
      </c>
      <c r="BF870" s="586">
        <f t="shared" si="165"/>
        <v>0</v>
      </c>
      <c r="BG870" s="586" t="e">
        <f t="shared" si="166"/>
        <v>#DIV/0!</v>
      </c>
      <c r="BH870" s="571" t="e">
        <f t="shared" si="167"/>
        <v>#DIV/0!</v>
      </c>
    </row>
    <row r="871" spans="55:60" s="39" customFormat="1">
      <c r="BC871" s="573">
        <v>8.6</v>
      </c>
      <c r="BD871" s="571">
        <f t="shared" si="164"/>
        <v>0</v>
      </c>
      <c r="BE871" s="571">
        <f t="shared" si="168"/>
        <v>0</v>
      </c>
      <c r="BF871" s="586">
        <f t="shared" si="165"/>
        <v>0</v>
      </c>
      <c r="BG871" s="586" t="e">
        <f t="shared" si="166"/>
        <v>#DIV/0!</v>
      </c>
      <c r="BH871" s="571" t="e">
        <f t="shared" si="167"/>
        <v>#DIV/0!</v>
      </c>
    </row>
    <row r="872" spans="55:60" s="39" customFormat="1">
      <c r="BC872" s="573">
        <v>8.61</v>
      </c>
      <c r="BD872" s="571">
        <f t="shared" si="164"/>
        <v>0</v>
      </c>
      <c r="BE872" s="571">
        <f t="shared" si="168"/>
        <v>0</v>
      </c>
      <c r="BF872" s="586">
        <f t="shared" si="165"/>
        <v>0</v>
      </c>
      <c r="BG872" s="586" t="e">
        <f t="shared" si="166"/>
        <v>#DIV/0!</v>
      </c>
      <c r="BH872" s="571" t="e">
        <f t="shared" si="167"/>
        <v>#DIV/0!</v>
      </c>
    </row>
    <row r="873" spans="55:60" s="39" customFormat="1">
      <c r="BC873" s="573">
        <v>8.6199999999999992</v>
      </c>
      <c r="BD873" s="571">
        <f t="shared" si="164"/>
        <v>0</v>
      </c>
      <c r="BE873" s="571">
        <f t="shared" si="168"/>
        <v>0</v>
      </c>
      <c r="BF873" s="586">
        <f t="shared" si="165"/>
        <v>0</v>
      </c>
      <c r="BG873" s="586" t="e">
        <f t="shared" si="166"/>
        <v>#DIV/0!</v>
      </c>
      <c r="BH873" s="571" t="e">
        <f t="shared" si="167"/>
        <v>#DIV/0!</v>
      </c>
    </row>
    <row r="874" spans="55:60" s="39" customFormat="1">
      <c r="BC874" s="573">
        <v>8.6300000000000008</v>
      </c>
      <c r="BD874" s="571">
        <f t="shared" si="164"/>
        <v>0</v>
      </c>
      <c r="BE874" s="571">
        <f t="shared" si="168"/>
        <v>0</v>
      </c>
      <c r="BF874" s="586">
        <f t="shared" si="165"/>
        <v>0</v>
      </c>
      <c r="BG874" s="586" t="e">
        <f t="shared" si="166"/>
        <v>#DIV/0!</v>
      </c>
      <c r="BH874" s="571" t="e">
        <f t="shared" si="167"/>
        <v>#DIV/0!</v>
      </c>
    </row>
    <row r="875" spans="55:60" s="39" customFormat="1">
      <c r="BC875" s="573">
        <v>8.64</v>
      </c>
      <c r="BD875" s="571">
        <f t="shared" si="164"/>
        <v>0</v>
      </c>
      <c r="BE875" s="571">
        <f t="shared" si="168"/>
        <v>0</v>
      </c>
      <c r="BF875" s="586">
        <f t="shared" si="165"/>
        <v>0</v>
      </c>
      <c r="BG875" s="586" t="e">
        <f t="shared" si="166"/>
        <v>#DIV/0!</v>
      </c>
      <c r="BH875" s="571" t="e">
        <f t="shared" si="167"/>
        <v>#DIV/0!</v>
      </c>
    </row>
    <row r="876" spans="55:60" s="39" customFormat="1">
      <c r="BC876" s="573">
        <v>8.65</v>
      </c>
      <c r="BD876" s="571">
        <f t="shared" si="164"/>
        <v>0</v>
      </c>
      <c r="BE876" s="571">
        <f t="shared" si="168"/>
        <v>0</v>
      </c>
      <c r="BF876" s="586">
        <f t="shared" si="165"/>
        <v>0</v>
      </c>
      <c r="BG876" s="586" t="e">
        <f t="shared" si="166"/>
        <v>#DIV/0!</v>
      </c>
      <c r="BH876" s="571" t="e">
        <f t="shared" si="167"/>
        <v>#DIV/0!</v>
      </c>
    </row>
    <row r="877" spans="55:60" s="39" customFormat="1">
      <c r="BC877" s="573">
        <v>8.66</v>
      </c>
      <c r="BD877" s="571">
        <f t="shared" si="164"/>
        <v>0</v>
      </c>
      <c r="BE877" s="571">
        <f t="shared" si="168"/>
        <v>0</v>
      </c>
      <c r="BF877" s="586">
        <f t="shared" si="165"/>
        <v>0</v>
      </c>
      <c r="BG877" s="586" t="e">
        <f t="shared" si="166"/>
        <v>#DIV/0!</v>
      </c>
      <c r="BH877" s="571" t="e">
        <f t="shared" si="167"/>
        <v>#DIV/0!</v>
      </c>
    </row>
    <row r="878" spans="55:60" s="39" customFormat="1">
      <c r="BC878" s="573">
        <v>8.67</v>
      </c>
      <c r="BD878" s="571">
        <f t="shared" si="164"/>
        <v>0</v>
      </c>
      <c r="BE878" s="571">
        <f t="shared" si="168"/>
        <v>0</v>
      </c>
      <c r="BF878" s="586">
        <f t="shared" si="165"/>
        <v>0</v>
      </c>
      <c r="BG878" s="586" t="e">
        <f t="shared" si="166"/>
        <v>#DIV/0!</v>
      </c>
      <c r="BH878" s="571" t="e">
        <f t="shared" si="167"/>
        <v>#DIV/0!</v>
      </c>
    </row>
    <row r="879" spans="55:60" s="39" customFormat="1">
      <c r="BC879" s="573">
        <v>8.68</v>
      </c>
      <c r="BD879" s="571">
        <f t="shared" si="164"/>
        <v>0</v>
      </c>
      <c r="BE879" s="571">
        <f t="shared" si="168"/>
        <v>0</v>
      </c>
      <c r="BF879" s="586">
        <f t="shared" si="165"/>
        <v>0</v>
      </c>
      <c r="BG879" s="586" t="e">
        <f t="shared" si="166"/>
        <v>#DIV/0!</v>
      </c>
      <c r="BH879" s="571" t="e">
        <f t="shared" si="167"/>
        <v>#DIV/0!</v>
      </c>
    </row>
    <row r="880" spans="55:60" s="39" customFormat="1">
      <c r="BC880" s="573">
        <v>8.69</v>
      </c>
      <c r="BD880" s="571">
        <f t="shared" si="164"/>
        <v>0</v>
      </c>
      <c r="BE880" s="571">
        <f t="shared" si="168"/>
        <v>0</v>
      </c>
      <c r="BF880" s="586">
        <f t="shared" si="165"/>
        <v>0</v>
      </c>
      <c r="BG880" s="586" t="e">
        <f t="shared" si="166"/>
        <v>#DIV/0!</v>
      </c>
      <c r="BH880" s="571" t="e">
        <f t="shared" si="167"/>
        <v>#DIV/0!</v>
      </c>
    </row>
    <row r="881" spans="55:60" s="39" customFormat="1">
      <c r="BC881" s="573">
        <v>8.6999999999999993</v>
      </c>
      <c r="BD881" s="571">
        <f t="shared" si="164"/>
        <v>0</v>
      </c>
      <c r="BE881" s="571">
        <f t="shared" si="168"/>
        <v>0</v>
      </c>
      <c r="BF881" s="586">
        <f t="shared" si="165"/>
        <v>0</v>
      </c>
      <c r="BG881" s="586" t="e">
        <f t="shared" si="166"/>
        <v>#DIV/0!</v>
      </c>
      <c r="BH881" s="571" t="e">
        <f t="shared" si="167"/>
        <v>#DIV/0!</v>
      </c>
    </row>
    <row r="882" spans="55:60" s="39" customFormat="1">
      <c r="BC882" s="573">
        <v>8.7100000000000009</v>
      </c>
      <c r="BD882" s="571">
        <f t="shared" si="164"/>
        <v>0</v>
      </c>
      <c r="BE882" s="571">
        <f t="shared" si="168"/>
        <v>0</v>
      </c>
      <c r="BF882" s="586">
        <f t="shared" si="165"/>
        <v>0</v>
      </c>
      <c r="BG882" s="586" t="e">
        <f t="shared" si="166"/>
        <v>#DIV/0!</v>
      </c>
      <c r="BH882" s="571" t="e">
        <f t="shared" si="167"/>
        <v>#DIV/0!</v>
      </c>
    </row>
    <row r="883" spans="55:60" s="39" customFormat="1">
      <c r="BC883" s="573">
        <v>8.7200000000000006</v>
      </c>
      <c r="BD883" s="571">
        <f t="shared" si="164"/>
        <v>0</v>
      </c>
      <c r="BE883" s="571">
        <f t="shared" si="168"/>
        <v>0</v>
      </c>
      <c r="BF883" s="586">
        <f t="shared" si="165"/>
        <v>0</v>
      </c>
      <c r="BG883" s="586" t="e">
        <f t="shared" si="166"/>
        <v>#DIV/0!</v>
      </c>
      <c r="BH883" s="571" t="e">
        <f t="shared" si="167"/>
        <v>#DIV/0!</v>
      </c>
    </row>
    <row r="884" spans="55:60" s="39" customFormat="1">
      <c r="BC884" s="573">
        <v>8.73</v>
      </c>
      <c r="BD884" s="571">
        <f t="shared" si="164"/>
        <v>0</v>
      </c>
      <c r="BE884" s="571">
        <f t="shared" si="168"/>
        <v>0</v>
      </c>
      <c r="BF884" s="586">
        <f t="shared" si="165"/>
        <v>0</v>
      </c>
      <c r="BG884" s="586" t="e">
        <f t="shared" si="166"/>
        <v>#DIV/0!</v>
      </c>
      <c r="BH884" s="571" t="e">
        <f t="shared" si="167"/>
        <v>#DIV/0!</v>
      </c>
    </row>
    <row r="885" spans="55:60" s="39" customFormat="1">
      <c r="BC885" s="573">
        <v>8.74</v>
      </c>
      <c r="BD885" s="571">
        <f t="shared" si="164"/>
        <v>0</v>
      </c>
      <c r="BE885" s="571">
        <f t="shared" si="168"/>
        <v>0</v>
      </c>
      <c r="BF885" s="586">
        <f t="shared" si="165"/>
        <v>0</v>
      </c>
      <c r="BG885" s="586" t="e">
        <f t="shared" si="166"/>
        <v>#DIV/0!</v>
      </c>
      <c r="BH885" s="571" t="e">
        <f t="shared" si="167"/>
        <v>#DIV/0!</v>
      </c>
    </row>
    <row r="886" spans="55:60" s="39" customFormat="1">
      <c r="BC886" s="573">
        <v>8.75</v>
      </c>
      <c r="BD886" s="571">
        <f t="shared" si="164"/>
        <v>0</v>
      </c>
      <c r="BE886" s="571">
        <f t="shared" si="168"/>
        <v>0</v>
      </c>
      <c r="BF886" s="586">
        <f t="shared" si="165"/>
        <v>0</v>
      </c>
      <c r="BG886" s="586" t="e">
        <f t="shared" si="166"/>
        <v>#DIV/0!</v>
      </c>
      <c r="BH886" s="571" t="e">
        <f t="shared" si="167"/>
        <v>#DIV/0!</v>
      </c>
    </row>
    <row r="887" spans="55:60" s="39" customFormat="1">
      <c r="BC887" s="573">
        <v>8.76</v>
      </c>
      <c r="BD887" s="571">
        <f t="shared" si="164"/>
        <v>0</v>
      </c>
      <c r="BE887" s="571">
        <f t="shared" si="168"/>
        <v>0</v>
      </c>
      <c r="BF887" s="586">
        <f t="shared" si="165"/>
        <v>0</v>
      </c>
      <c r="BG887" s="586" t="e">
        <f t="shared" si="166"/>
        <v>#DIV/0!</v>
      </c>
      <c r="BH887" s="571" t="e">
        <f t="shared" si="167"/>
        <v>#DIV/0!</v>
      </c>
    </row>
    <row r="888" spans="55:60" s="39" customFormat="1">
      <c r="BC888" s="573">
        <v>8.77</v>
      </c>
      <c r="BD888" s="571">
        <f t="shared" si="164"/>
        <v>0</v>
      </c>
      <c r="BE888" s="571">
        <f t="shared" si="168"/>
        <v>0</v>
      </c>
      <c r="BF888" s="586">
        <f t="shared" si="165"/>
        <v>0</v>
      </c>
      <c r="BG888" s="586" t="e">
        <f t="shared" si="166"/>
        <v>#DIV/0!</v>
      </c>
      <c r="BH888" s="571" t="e">
        <f t="shared" si="167"/>
        <v>#DIV/0!</v>
      </c>
    </row>
    <row r="889" spans="55:60" s="39" customFormat="1">
      <c r="BC889" s="573">
        <v>8.7799999999999994</v>
      </c>
      <c r="BD889" s="571">
        <f t="shared" si="164"/>
        <v>0</v>
      </c>
      <c r="BE889" s="571">
        <f t="shared" si="168"/>
        <v>0</v>
      </c>
      <c r="BF889" s="586">
        <f t="shared" si="165"/>
        <v>0</v>
      </c>
      <c r="BG889" s="586" t="e">
        <f t="shared" si="166"/>
        <v>#DIV/0!</v>
      </c>
      <c r="BH889" s="571" t="e">
        <f t="shared" si="167"/>
        <v>#DIV/0!</v>
      </c>
    </row>
    <row r="890" spans="55:60" s="39" customFormat="1">
      <c r="BC890" s="573">
        <v>8.7899999999999991</v>
      </c>
      <c r="BD890" s="571">
        <f t="shared" si="164"/>
        <v>0</v>
      </c>
      <c r="BE890" s="571">
        <f t="shared" si="168"/>
        <v>0</v>
      </c>
      <c r="BF890" s="586">
        <f t="shared" si="165"/>
        <v>0</v>
      </c>
      <c r="BG890" s="586" t="e">
        <f t="shared" si="166"/>
        <v>#DIV/0!</v>
      </c>
      <c r="BH890" s="571" t="e">
        <f t="shared" si="167"/>
        <v>#DIV/0!</v>
      </c>
    </row>
    <row r="891" spans="55:60" s="39" customFormat="1">
      <c r="BC891" s="573">
        <v>8.8000000000000007</v>
      </c>
      <c r="BD891" s="571">
        <f t="shared" si="164"/>
        <v>0</v>
      </c>
      <c r="BE891" s="571">
        <f t="shared" si="168"/>
        <v>0</v>
      </c>
      <c r="BF891" s="586">
        <f t="shared" si="165"/>
        <v>0</v>
      </c>
      <c r="BG891" s="586" t="e">
        <f t="shared" si="166"/>
        <v>#DIV/0!</v>
      </c>
      <c r="BH891" s="571" t="e">
        <f t="shared" si="167"/>
        <v>#DIV/0!</v>
      </c>
    </row>
    <row r="892" spans="55:60" s="39" customFormat="1">
      <c r="BC892" s="573">
        <v>8.81</v>
      </c>
      <c r="BD892" s="571">
        <f t="shared" si="164"/>
        <v>0</v>
      </c>
      <c r="BE892" s="571">
        <f t="shared" si="168"/>
        <v>0</v>
      </c>
      <c r="BF892" s="586">
        <f t="shared" si="165"/>
        <v>0</v>
      </c>
      <c r="BG892" s="586" t="e">
        <f t="shared" si="166"/>
        <v>#DIV/0!</v>
      </c>
      <c r="BH892" s="571" t="e">
        <f t="shared" si="167"/>
        <v>#DIV/0!</v>
      </c>
    </row>
    <row r="893" spans="55:60" s="39" customFormat="1">
      <c r="BC893" s="573">
        <v>8.82</v>
      </c>
      <c r="BD893" s="571">
        <f t="shared" si="164"/>
        <v>0</v>
      </c>
      <c r="BE893" s="571">
        <f t="shared" si="168"/>
        <v>0</v>
      </c>
      <c r="BF893" s="586">
        <f t="shared" si="165"/>
        <v>0</v>
      </c>
      <c r="BG893" s="586" t="e">
        <f t="shared" si="166"/>
        <v>#DIV/0!</v>
      </c>
      <c r="BH893" s="571" t="e">
        <f t="shared" si="167"/>
        <v>#DIV/0!</v>
      </c>
    </row>
    <row r="894" spans="55:60" s="39" customFormat="1">
      <c r="BC894" s="573">
        <v>8.83</v>
      </c>
      <c r="BD894" s="571">
        <f t="shared" si="164"/>
        <v>0</v>
      </c>
      <c r="BE894" s="571">
        <f t="shared" si="168"/>
        <v>0</v>
      </c>
      <c r="BF894" s="586">
        <f t="shared" si="165"/>
        <v>0</v>
      </c>
      <c r="BG894" s="586" t="e">
        <f t="shared" si="166"/>
        <v>#DIV/0!</v>
      </c>
      <c r="BH894" s="571" t="e">
        <f t="shared" si="167"/>
        <v>#DIV/0!</v>
      </c>
    </row>
    <row r="895" spans="55:60" s="39" customFormat="1">
      <c r="BC895" s="573">
        <v>8.84</v>
      </c>
      <c r="BD895" s="571">
        <f t="shared" si="164"/>
        <v>0</v>
      </c>
      <c r="BE895" s="571">
        <f t="shared" si="168"/>
        <v>0</v>
      </c>
      <c r="BF895" s="586">
        <f t="shared" si="165"/>
        <v>0</v>
      </c>
      <c r="BG895" s="586" t="e">
        <f t="shared" si="166"/>
        <v>#DIV/0!</v>
      </c>
      <c r="BH895" s="571" t="e">
        <f t="shared" si="167"/>
        <v>#DIV/0!</v>
      </c>
    </row>
    <row r="896" spans="55:60" s="39" customFormat="1">
      <c r="BC896" s="573">
        <v>8.85</v>
      </c>
      <c r="BD896" s="571">
        <f t="shared" si="164"/>
        <v>0</v>
      </c>
      <c r="BE896" s="571">
        <f t="shared" si="168"/>
        <v>0</v>
      </c>
      <c r="BF896" s="586">
        <f t="shared" si="165"/>
        <v>0</v>
      </c>
      <c r="BG896" s="586" t="e">
        <f t="shared" si="166"/>
        <v>#DIV/0!</v>
      </c>
      <c r="BH896" s="571" t="e">
        <f t="shared" si="167"/>
        <v>#DIV/0!</v>
      </c>
    </row>
    <row r="897" spans="55:60" s="39" customFormat="1">
      <c r="BC897" s="573">
        <v>8.86</v>
      </c>
      <c r="BD897" s="571">
        <f t="shared" si="164"/>
        <v>0</v>
      </c>
      <c r="BE897" s="571">
        <f t="shared" si="168"/>
        <v>0</v>
      </c>
      <c r="BF897" s="586">
        <f t="shared" si="165"/>
        <v>0</v>
      </c>
      <c r="BG897" s="586" t="e">
        <f t="shared" si="166"/>
        <v>#DIV/0!</v>
      </c>
      <c r="BH897" s="571" t="e">
        <f t="shared" si="167"/>
        <v>#DIV/0!</v>
      </c>
    </row>
    <row r="898" spans="55:60" s="39" customFormat="1">
      <c r="BC898" s="573">
        <v>8.8699999999999992</v>
      </c>
      <c r="BD898" s="571">
        <f t="shared" si="164"/>
        <v>0</v>
      </c>
      <c r="BE898" s="571">
        <f t="shared" si="168"/>
        <v>0</v>
      </c>
      <c r="BF898" s="586">
        <f t="shared" si="165"/>
        <v>0</v>
      </c>
      <c r="BG898" s="586" t="e">
        <f t="shared" si="166"/>
        <v>#DIV/0!</v>
      </c>
      <c r="BH898" s="571" t="e">
        <f t="shared" si="167"/>
        <v>#DIV/0!</v>
      </c>
    </row>
    <row r="899" spans="55:60" s="39" customFormat="1">
      <c r="BC899" s="573">
        <v>8.8800000000000008</v>
      </c>
      <c r="BD899" s="571">
        <f t="shared" si="164"/>
        <v>0</v>
      </c>
      <c r="BE899" s="571">
        <f t="shared" si="168"/>
        <v>0</v>
      </c>
      <c r="BF899" s="586">
        <f t="shared" si="165"/>
        <v>0</v>
      </c>
      <c r="BG899" s="586" t="e">
        <f t="shared" si="166"/>
        <v>#DIV/0!</v>
      </c>
      <c r="BH899" s="571" t="e">
        <f t="shared" si="167"/>
        <v>#DIV/0!</v>
      </c>
    </row>
    <row r="900" spans="55:60" s="39" customFormat="1">
      <c r="BC900" s="573">
        <v>8.89</v>
      </c>
      <c r="BD900" s="571">
        <f t="shared" si="164"/>
        <v>0</v>
      </c>
      <c r="BE900" s="571">
        <f t="shared" si="168"/>
        <v>0</v>
      </c>
      <c r="BF900" s="586">
        <f t="shared" si="165"/>
        <v>0</v>
      </c>
      <c r="BG900" s="586" t="e">
        <f t="shared" si="166"/>
        <v>#DIV/0!</v>
      </c>
      <c r="BH900" s="571" t="e">
        <f t="shared" si="167"/>
        <v>#DIV/0!</v>
      </c>
    </row>
    <row r="901" spans="55:60" s="39" customFormat="1">
      <c r="BC901" s="573">
        <v>8.9</v>
      </c>
      <c r="BD901" s="571">
        <f t="shared" si="164"/>
        <v>0</v>
      </c>
      <c r="BE901" s="571">
        <f t="shared" si="168"/>
        <v>0</v>
      </c>
      <c r="BF901" s="586">
        <f t="shared" si="165"/>
        <v>0</v>
      </c>
      <c r="BG901" s="586" t="e">
        <f t="shared" si="166"/>
        <v>#DIV/0!</v>
      </c>
      <c r="BH901" s="571" t="e">
        <f t="shared" si="167"/>
        <v>#DIV/0!</v>
      </c>
    </row>
    <row r="902" spans="55:60" s="39" customFormat="1">
      <c r="BC902" s="573">
        <v>8.91</v>
      </c>
      <c r="BD902" s="571">
        <f t="shared" si="164"/>
        <v>0</v>
      </c>
      <c r="BE902" s="571">
        <f t="shared" si="168"/>
        <v>0</v>
      </c>
      <c r="BF902" s="586">
        <f t="shared" si="165"/>
        <v>0</v>
      </c>
      <c r="BG902" s="586" t="e">
        <f t="shared" si="166"/>
        <v>#DIV/0!</v>
      </c>
      <c r="BH902" s="571" t="e">
        <f t="shared" si="167"/>
        <v>#DIV/0!</v>
      </c>
    </row>
    <row r="903" spans="55:60" s="39" customFormat="1">
      <c r="BC903" s="573">
        <v>8.92</v>
      </c>
      <c r="BD903" s="571">
        <f t="shared" si="164"/>
        <v>0</v>
      </c>
      <c r="BE903" s="571">
        <f t="shared" si="168"/>
        <v>0</v>
      </c>
      <c r="BF903" s="586">
        <f t="shared" si="165"/>
        <v>0</v>
      </c>
      <c r="BG903" s="586" t="e">
        <f t="shared" si="166"/>
        <v>#DIV/0!</v>
      </c>
      <c r="BH903" s="571" t="e">
        <f t="shared" si="167"/>
        <v>#DIV/0!</v>
      </c>
    </row>
    <row r="904" spans="55:60" s="39" customFormat="1">
      <c r="BC904" s="573">
        <v>8.93</v>
      </c>
      <c r="BD904" s="571">
        <f t="shared" si="164"/>
        <v>0</v>
      </c>
      <c r="BE904" s="571">
        <f t="shared" si="168"/>
        <v>0</v>
      </c>
      <c r="BF904" s="586">
        <f t="shared" si="165"/>
        <v>0</v>
      </c>
      <c r="BG904" s="586" t="e">
        <f t="shared" si="166"/>
        <v>#DIV/0!</v>
      </c>
      <c r="BH904" s="571" t="e">
        <f t="shared" si="167"/>
        <v>#DIV/0!</v>
      </c>
    </row>
    <row r="905" spans="55:60" s="39" customFormat="1">
      <c r="BC905" s="573">
        <v>8.94</v>
      </c>
      <c r="BD905" s="571">
        <f t="shared" si="164"/>
        <v>0</v>
      </c>
      <c r="BE905" s="571">
        <f t="shared" si="168"/>
        <v>0</v>
      </c>
      <c r="BF905" s="586">
        <f t="shared" si="165"/>
        <v>0</v>
      </c>
      <c r="BG905" s="586" t="e">
        <f t="shared" si="166"/>
        <v>#DIV/0!</v>
      </c>
      <c r="BH905" s="571" t="e">
        <f t="shared" si="167"/>
        <v>#DIV/0!</v>
      </c>
    </row>
    <row r="906" spans="55:60" s="39" customFormat="1">
      <c r="BC906" s="573">
        <v>8.9499999999999993</v>
      </c>
      <c r="BD906" s="571">
        <f t="shared" si="164"/>
        <v>0</v>
      </c>
      <c r="BE906" s="571">
        <f t="shared" si="168"/>
        <v>0</v>
      </c>
      <c r="BF906" s="586">
        <f t="shared" si="165"/>
        <v>0</v>
      </c>
      <c r="BG906" s="586" t="e">
        <f t="shared" si="166"/>
        <v>#DIV/0!</v>
      </c>
      <c r="BH906" s="571" t="e">
        <f t="shared" si="167"/>
        <v>#DIV/0!</v>
      </c>
    </row>
    <row r="907" spans="55:60" s="39" customFormat="1">
      <c r="BC907" s="573">
        <v>8.9600000000000009</v>
      </c>
      <c r="BD907" s="571">
        <f t="shared" si="164"/>
        <v>0</v>
      </c>
      <c r="BE907" s="571">
        <f t="shared" si="168"/>
        <v>0</v>
      </c>
      <c r="BF907" s="586">
        <f t="shared" si="165"/>
        <v>0</v>
      </c>
      <c r="BG907" s="586" t="e">
        <f t="shared" si="166"/>
        <v>#DIV/0!</v>
      </c>
      <c r="BH907" s="571" t="e">
        <f t="shared" si="167"/>
        <v>#DIV/0!</v>
      </c>
    </row>
    <row r="908" spans="55:60" s="39" customFormat="1">
      <c r="BC908" s="573">
        <v>8.9700000000000006</v>
      </c>
      <c r="BD908" s="571">
        <f t="shared" ref="BD908:BD971" si="169">$AU$15/BC908</f>
        <v>0</v>
      </c>
      <c r="BE908" s="571">
        <f t="shared" si="168"/>
        <v>0</v>
      </c>
      <c r="BF908" s="586">
        <f t="shared" ref="BF908:BF971" si="170">BC908*(BE908/1000)/$AO$12</f>
        <v>0</v>
      </c>
      <c r="BG908" s="586" t="e">
        <f t="shared" ref="BG908:BG971" si="171">POWER((1/(-1.8*LOG((6.9/BF908+POWER((($P$7/BE908)/3.71),1.11)),10))),2)</f>
        <v>#DIV/0!</v>
      </c>
      <c r="BH908" s="571" t="e">
        <f t="shared" ref="BH908:BH971" si="172">BG908*0.5*$P$6*16*$AU$15*$AU$15/(POWER(PI(),2)*POWER((BE908/1000),5))</f>
        <v>#DIV/0!</v>
      </c>
    </row>
    <row r="909" spans="55:60" s="39" customFormat="1">
      <c r="BC909" s="573">
        <v>8.98</v>
      </c>
      <c r="BD909" s="571">
        <f t="shared" si="169"/>
        <v>0</v>
      </c>
      <c r="BE909" s="571">
        <f t="shared" ref="BE909:BE972" si="173">((BD909/PI())^0.5)*2*1000</f>
        <v>0</v>
      </c>
      <c r="BF909" s="586">
        <f t="shared" si="170"/>
        <v>0</v>
      </c>
      <c r="BG909" s="586" t="e">
        <f t="shared" si="171"/>
        <v>#DIV/0!</v>
      </c>
      <c r="BH909" s="571" t="e">
        <f t="shared" si="172"/>
        <v>#DIV/0!</v>
      </c>
    </row>
    <row r="910" spans="55:60" s="39" customFormat="1">
      <c r="BC910" s="573">
        <v>8.99</v>
      </c>
      <c r="BD910" s="571">
        <f t="shared" si="169"/>
        <v>0</v>
      </c>
      <c r="BE910" s="571">
        <f t="shared" si="173"/>
        <v>0</v>
      </c>
      <c r="BF910" s="586">
        <f t="shared" si="170"/>
        <v>0</v>
      </c>
      <c r="BG910" s="586" t="e">
        <f t="shared" si="171"/>
        <v>#DIV/0!</v>
      </c>
      <c r="BH910" s="571" t="e">
        <f t="shared" si="172"/>
        <v>#DIV/0!</v>
      </c>
    </row>
    <row r="911" spans="55:60" s="39" customFormat="1">
      <c r="BC911" s="573">
        <v>9</v>
      </c>
      <c r="BD911" s="571">
        <f t="shared" si="169"/>
        <v>0</v>
      </c>
      <c r="BE911" s="571">
        <f t="shared" si="173"/>
        <v>0</v>
      </c>
      <c r="BF911" s="586">
        <f t="shared" si="170"/>
        <v>0</v>
      </c>
      <c r="BG911" s="586" t="e">
        <f t="shared" si="171"/>
        <v>#DIV/0!</v>
      </c>
      <c r="BH911" s="571" t="e">
        <f t="shared" si="172"/>
        <v>#DIV/0!</v>
      </c>
    </row>
    <row r="912" spans="55:60" s="39" customFormat="1">
      <c r="BC912" s="573">
        <v>9.01</v>
      </c>
      <c r="BD912" s="571">
        <f t="shared" si="169"/>
        <v>0</v>
      </c>
      <c r="BE912" s="571">
        <f t="shared" si="173"/>
        <v>0</v>
      </c>
      <c r="BF912" s="586">
        <f t="shared" si="170"/>
        <v>0</v>
      </c>
      <c r="BG912" s="586" t="e">
        <f t="shared" si="171"/>
        <v>#DIV/0!</v>
      </c>
      <c r="BH912" s="571" t="e">
        <f t="shared" si="172"/>
        <v>#DIV/0!</v>
      </c>
    </row>
    <row r="913" spans="55:60" s="39" customFormat="1">
      <c r="BC913" s="573">
        <v>9.02</v>
      </c>
      <c r="BD913" s="571">
        <f t="shared" si="169"/>
        <v>0</v>
      </c>
      <c r="BE913" s="571">
        <f t="shared" si="173"/>
        <v>0</v>
      </c>
      <c r="BF913" s="586">
        <f t="shared" si="170"/>
        <v>0</v>
      </c>
      <c r="BG913" s="586" t="e">
        <f t="shared" si="171"/>
        <v>#DIV/0!</v>
      </c>
      <c r="BH913" s="571" t="e">
        <f t="shared" si="172"/>
        <v>#DIV/0!</v>
      </c>
    </row>
    <row r="914" spans="55:60" s="39" customFormat="1">
      <c r="BC914" s="573">
        <v>9.0299999999999994</v>
      </c>
      <c r="BD914" s="571">
        <f t="shared" si="169"/>
        <v>0</v>
      </c>
      <c r="BE914" s="571">
        <f t="shared" si="173"/>
        <v>0</v>
      </c>
      <c r="BF914" s="586">
        <f t="shared" si="170"/>
        <v>0</v>
      </c>
      <c r="BG914" s="586" t="e">
        <f t="shared" si="171"/>
        <v>#DIV/0!</v>
      </c>
      <c r="BH914" s="571" t="e">
        <f t="shared" si="172"/>
        <v>#DIV/0!</v>
      </c>
    </row>
    <row r="915" spans="55:60" s="39" customFormat="1">
      <c r="BC915" s="573">
        <v>9.0399999999999991</v>
      </c>
      <c r="BD915" s="571">
        <f t="shared" si="169"/>
        <v>0</v>
      </c>
      <c r="BE915" s="571">
        <f t="shared" si="173"/>
        <v>0</v>
      </c>
      <c r="BF915" s="586">
        <f t="shared" si="170"/>
        <v>0</v>
      </c>
      <c r="BG915" s="586" t="e">
        <f t="shared" si="171"/>
        <v>#DIV/0!</v>
      </c>
      <c r="BH915" s="571" t="e">
        <f t="shared" si="172"/>
        <v>#DIV/0!</v>
      </c>
    </row>
    <row r="916" spans="55:60" s="39" customFormat="1">
      <c r="BC916" s="573">
        <v>9.0500000000000007</v>
      </c>
      <c r="BD916" s="571">
        <f t="shared" si="169"/>
        <v>0</v>
      </c>
      <c r="BE916" s="571">
        <f t="shared" si="173"/>
        <v>0</v>
      </c>
      <c r="BF916" s="586">
        <f t="shared" si="170"/>
        <v>0</v>
      </c>
      <c r="BG916" s="586" t="e">
        <f t="shared" si="171"/>
        <v>#DIV/0!</v>
      </c>
      <c r="BH916" s="571" t="e">
        <f t="shared" si="172"/>
        <v>#DIV/0!</v>
      </c>
    </row>
    <row r="917" spans="55:60" s="39" customFormat="1">
      <c r="BC917" s="573">
        <v>9.06</v>
      </c>
      <c r="BD917" s="571">
        <f t="shared" si="169"/>
        <v>0</v>
      </c>
      <c r="BE917" s="571">
        <f t="shared" si="173"/>
        <v>0</v>
      </c>
      <c r="BF917" s="586">
        <f t="shared" si="170"/>
        <v>0</v>
      </c>
      <c r="BG917" s="586" t="e">
        <f t="shared" si="171"/>
        <v>#DIV/0!</v>
      </c>
      <c r="BH917" s="571" t="e">
        <f t="shared" si="172"/>
        <v>#DIV/0!</v>
      </c>
    </row>
    <row r="918" spans="55:60" s="39" customFormat="1">
      <c r="BC918" s="573">
        <v>9.07</v>
      </c>
      <c r="BD918" s="571">
        <f t="shared" si="169"/>
        <v>0</v>
      </c>
      <c r="BE918" s="571">
        <f t="shared" si="173"/>
        <v>0</v>
      </c>
      <c r="BF918" s="586">
        <f t="shared" si="170"/>
        <v>0</v>
      </c>
      <c r="BG918" s="586" t="e">
        <f t="shared" si="171"/>
        <v>#DIV/0!</v>
      </c>
      <c r="BH918" s="571" t="e">
        <f t="shared" si="172"/>
        <v>#DIV/0!</v>
      </c>
    </row>
    <row r="919" spans="55:60" s="39" customFormat="1">
      <c r="BC919" s="573">
        <v>9.08</v>
      </c>
      <c r="BD919" s="571">
        <f t="shared" si="169"/>
        <v>0</v>
      </c>
      <c r="BE919" s="571">
        <f t="shared" si="173"/>
        <v>0</v>
      </c>
      <c r="BF919" s="586">
        <f t="shared" si="170"/>
        <v>0</v>
      </c>
      <c r="BG919" s="586" t="e">
        <f t="shared" si="171"/>
        <v>#DIV/0!</v>
      </c>
      <c r="BH919" s="571" t="e">
        <f t="shared" si="172"/>
        <v>#DIV/0!</v>
      </c>
    </row>
    <row r="920" spans="55:60" s="39" customFormat="1">
      <c r="BC920" s="573">
        <v>9.09</v>
      </c>
      <c r="BD920" s="571">
        <f t="shared" si="169"/>
        <v>0</v>
      </c>
      <c r="BE920" s="571">
        <f t="shared" si="173"/>
        <v>0</v>
      </c>
      <c r="BF920" s="586">
        <f t="shared" si="170"/>
        <v>0</v>
      </c>
      <c r="BG920" s="586" t="e">
        <f t="shared" si="171"/>
        <v>#DIV/0!</v>
      </c>
      <c r="BH920" s="571" t="e">
        <f t="shared" si="172"/>
        <v>#DIV/0!</v>
      </c>
    </row>
    <row r="921" spans="55:60" s="39" customFormat="1">
      <c r="BC921" s="573">
        <v>9.1</v>
      </c>
      <c r="BD921" s="571">
        <f t="shared" si="169"/>
        <v>0</v>
      </c>
      <c r="BE921" s="571">
        <f t="shared" si="173"/>
        <v>0</v>
      </c>
      <c r="BF921" s="586">
        <f t="shared" si="170"/>
        <v>0</v>
      </c>
      <c r="BG921" s="586" t="e">
        <f t="shared" si="171"/>
        <v>#DIV/0!</v>
      </c>
      <c r="BH921" s="571" t="e">
        <f t="shared" si="172"/>
        <v>#DIV/0!</v>
      </c>
    </row>
    <row r="922" spans="55:60" s="39" customFormat="1">
      <c r="BC922" s="573">
        <v>9.11</v>
      </c>
      <c r="BD922" s="571">
        <f t="shared" si="169"/>
        <v>0</v>
      </c>
      <c r="BE922" s="571">
        <f t="shared" si="173"/>
        <v>0</v>
      </c>
      <c r="BF922" s="586">
        <f t="shared" si="170"/>
        <v>0</v>
      </c>
      <c r="BG922" s="586" t="e">
        <f t="shared" si="171"/>
        <v>#DIV/0!</v>
      </c>
      <c r="BH922" s="571" t="e">
        <f t="shared" si="172"/>
        <v>#DIV/0!</v>
      </c>
    </row>
    <row r="923" spans="55:60" s="39" customFormat="1">
      <c r="BC923" s="573">
        <v>9.1199999999999992</v>
      </c>
      <c r="BD923" s="571">
        <f t="shared" si="169"/>
        <v>0</v>
      </c>
      <c r="BE923" s="571">
        <f t="shared" si="173"/>
        <v>0</v>
      </c>
      <c r="BF923" s="586">
        <f t="shared" si="170"/>
        <v>0</v>
      </c>
      <c r="BG923" s="586" t="e">
        <f t="shared" si="171"/>
        <v>#DIV/0!</v>
      </c>
      <c r="BH923" s="571" t="e">
        <f t="shared" si="172"/>
        <v>#DIV/0!</v>
      </c>
    </row>
    <row r="924" spans="55:60" s="39" customFormat="1">
      <c r="BC924" s="573">
        <v>9.1300000000000008</v>
      </c>
      <c r="BD924" s="571">
        <f t="shared" si="169"/>
        <v>0</v>
      </c>
      <c r="BE924" s="571">
        <f t="shared" si="173"/>
        <v>0</v>
      </c>
      <c r="BF924" s="586">
        <f t="shared" si="170"/>
        <v>0</v>
      </c>
      <c r="BG924" s="586" t="e">
        <f t="shared" si="171"/>
        <v>#DIV/0!</v>
      </c>
      <c r="BH924" s="571" t="e">
        <f t="shared" si="172"/>
        <v>#DIV/0!</v>
      </c>
    </row>
    <row r="925" spans="55:60" s="39" customFormat="1">
      <c r="BC925" s="573">
        <v>9.14</v>
      </c>
      <c r="BD925" s="571">
        <f t="shared" si="169"/>
        <v>0</v>
      </c>
      <c r="BE925" s="571">
        <f t="shared" si="173"/>
        <v>0</v>
      </c>
      <c r="BF925" s="586">
        <f t="shared" si="170"/>
        <v>0</v>
      </c>
      <c r="BG925" s="586" t="e">
        <f t="shared" si="171"/>
        <v>#DIV/0!</v>
      </c>
      <c r="BH925" s="571" t="e">
        <f t="shared" si="172"/>
        <v>#DIV/0!</v>
      </c>
    </row>
    <row r="926" spans="55:60" s="39" customFormat="1">
      <c r="BC926" s="573">
        <v>9.15</v>
      </c>
      <c r="BD926" s="571">
        <f t="shared" si="169"/>
        <v>0</v>
      </c>
      <c r="BE926" s="571">
        <f t="shared" si="173"/>
        <v>0</v>
      </c>
      <c r="BF926" s="586">
        <f t="shared" si="170"/>
        <v>0</v>
      </c>
      <c r="BG926" s="586" t="e">
        <f t="shared" si="171"/>
        <v>#DIV/0!</v>
      </c>
      <c r="BH926" s="571" t="e">
        <f t="shared" si="172"/>
        <v>#DIV/0!</v>
      </c>
    </row>
    <row r="927" spans="55:60" s="39" customFormat="1">
      <c r="BC927" s="573">
        <v>9.16</v>
      </c>
      <c r="BD927" s="571">
        <f t="shared" si="169"/>
        <v>0</v>
      </c>
      <c r="BE927" s="571">
        <f t="shared" si="173"/>
        <v>0</v>
      </c>
      <c r="BF927" s="586">
        <f t="shared" si="170"/>
        <v>0</v>
      </c>
      <c r="BG927" s="586" t="e">
        <f t="shared" si="171"/>
        <v>#DIV/0!</v>
      </c>
      <c r="BH927" s="571" t="e">
        <f t="shared" si="172"/>
        <v>#DIV/0!</v>
      </c>
    </row>
    <row r="928" spans="55:60" s="39" customFormat="1">
      <c r="BC928" s="573">
        <v>9.17</v>
      </c>
      <c r="BD928" s="571">
        <f t="shared" si="169"/>
        <v>0</v>
      </c>
      <c r="BE928" s="571">
        <f t="shared" si="173"/>
        <v>0</v>
      </c>
      <c r="BF928" s="586">
        <f t="shared" si="170"/>
        <v>0</v>
      </c>
      <c r="BG928" s="586" t="e">
        <f t="shared" si="171"/>
        <v>#DIV/0!</v>
      </c>
      <c r="BH928" s="571" t="e">
        <f t="shared" si="172"/>
        <v>#DIV/0!</v>
      </c>
    </row>
    <row r="929" spans="55:60" s="39" customFormat="1">
      <c r="BC929" s="573">
        <v>9.18</v>
      </c>
      <c r="BD929" s="571">
        <f t="shared" si="169"/>
        <v>0</v>
      </c>
      <c r="BE929" s="571">
        <f t="shared" si="173"/>
        <v>0</v>
      </c>
      <c r="BF929" s="586">
        <f t="shared" si="170"/>
        <v>0</v>
      </c>
      <c r="BG929" s="586" t="e">
        <f t="shared" si="171"/>
        <v>#DIV/0!</v>
      </c>
      <c r="BH929" s="571" t="e">
        <f t="shared" si="172"/>
        <v>#DIV/0!</v>
      </c>
    </row>
    <row r="930" spans="55:60" s="39" customFormat="1">
      <c r="BC930" s="573">
        <v>9.19</v>
      </c>
      <c r="BD930" s="571">
        <f t="shared" si="169"/>
        <v>0</v>
      </c>
      <c r="BE930" s="571">
        <f t="shared" si="173"/>
        <v>0</v>
      </c>
      <c r="BF930" s="586">
        <f t="shared" si="170"/>
        <v>0</v>
      </c>
      <c r="BG930" s="586" t="e">
        <f t="shared" si="171"/>
        <v>#DIV/0!</v>
      </c>
      <c r="BH930" s="571" t="e">
        <f t="shared" si="172"/>
        <v>#DIV/0!</v>
      </c>
    </row>
    <row r="931" spans="55:60" s="39" customFormat="1">
      <c r="BC931" s="573">
        <v>9.1999999999999993</v>
      </c>
      <c r="BD931" s="571">
        <f t="shared" si="169"/>
        <v>0</v>
      </c>
      <c r="BE931" s="571">
        <f t="shared" si="173"/>
        <v>0</v>
      </c>
      <c r="BF931" s="586">
        <f t="shared" si="170"/>
        <v>0</v>
      </c>
      <c r="BG931" s="586" t="e">
        <f t="shared" si="171"/>
        <v>#DIV/0!</v>
      </c>
      <c r="BH931" s="571" t="e">
        <f t="shared" si="172"/>
        <v>#DIV/0!</v>
      </c>
    </row>
    <row r="932" spans="55:60" s="39" customFormat="1">
      <c r="BC932" s="573">
        <v>9.2100000000000009</v>
      </c>
      <c r="BD932" s="571">
        <f t="shared" si="169"/>
        <v>0</v>
      </c>
      <c r="BE932" s="571">
        <f t="shared" si="173"/>
        <v>0</v>
      </c>
      <c r="BF932" s="586">
        <f t="shared" si="170"/>
        <v>0</v>
      </c>
      <c r="BG932" s="586" t="e">
        <f t="shared" si="171"/>
        <v>#DIV/0!</v>
      </c>
      <c r="BH932" s="571" t="e">
        <f t="shared" si="172"/>
        <v>#DIV/0!</v>
      </c>
    </row>
    <row r="933" spans="55:60" s="39" customFormat="1">
      <c r="BC933" s="573">
        <v>9.2200000000000006</v>
      </c>
      <c r="BD933" s="571">
        <f t="shared" si="169"/>
        <v>0</v>
      </c>
      <c r="BE933" s="571">
        <f t="shared" si="173"/>
        <v>0</v>
      </c>
      <c r="BF933" s="586">
        <f t="shared" si="170"/>
        <v>0</v>
      </c>
      <c r="BG933" s="586" t="e">
        <f t="shared" si="171"/>
        <v>#DIV/0!</v>
      </c>
      <c r="BH933" s="571" t="e">
        <f t="shared" si="172"/>
        <v>#DIV/0!</v>
      </c>
    </row>
    <row r="934" spans="55:60" s="39" customFormat="1">
      <c r="BC934" s="573">
        <v>9.23</v>
      </c>
      <c r="BD934" s="571">
        <f t="shared" si="169"/>
        <v>0</v>
      </c>
      <c r="BE934" s="571">
        <f t="shared" si="173"/>
        <v>0</v>
      </c>
      <c r="BF934" s="586">
        <f t="shared" si="170"/>
        <v>0</v>
      </c>
      <c r="BG934" s="586" t="e">
        <f t="shared" si="171"/>
        <v>#DIV/0!</v>
      </c>
      <c r="BH934" s="571" t="e">
        <f t="shared" si="172"/>
        <v>#DIV/0!</v>
      </c>
    </row>
    <row r="935" spans="55:60" s="39" customFormat="1">
      <c r="BC935" s="573">
        <v>9.24</v>
      </c>
      <c r="BD935" s="571">
        <f t="shared" si="169"/>
        <v>0</v>
      </c>
      <c r="BE935" s="571">
        <f t="shared" si="173"/>
        <v>0</v>
      </c>
      <c r="BF935" s="586">
        <f t="shared" si="170"/>
        <v>0</v>
      </c>
      <c r="BG935" s="586" t="e">
        <f t="shared" si="171"/>
        <v>#DIV/0!</v>
      </c>
      <c r="BH935" s="571" t="e">
        <f t="shared" si="172"/>
        <v>#DIV/0!</v>
      </c>
    </row>
    <row r="936" spans="55:60" s="39" customFormat="1">
      <c r="BC936" s="573">
        <v>9.25</v>
      </c>
      <c r="BD936" s="571">
        <f t="shared" si="169"/>
        <v>0</v>
      </c>
      <c r="BE936" s="571">
        <f t="shared" si="173"/>
        <v>0</v>
      </c>
      <c r="BF936" s="586">
        <f t="shared" si="170"/>
        <v>0</v>
      </c>
      <c r="BG936" s="586" t="e">
        <f t="shared" si="171"/>
        <v>#DIV/0!</v>
      </c>
      <c r="BH936" s="571" t="e">
        <f t="shared" si="172"/>
        <v>#DIV/0!</v>
      </c>
    </row>
    <row r="937" spans="55:60" s="39" customFormat="1">
      <c r="BC937" s="573">
        <v>9.26</v>
      </c>
      <c r="BD937" s="571">
        <f t="shared" si="169"/>
        <v>0</v>
      </c>
      <c r="BE937" s="571">
        <f t="shared" si="173"/>
        <v>0</v>
      </c>
      <c r="BF937" s="586">
        <f t="shared" si="170"/>
        <v>0</v>
      </c>
      <c r="BG937" s="586" t="e">
        <f t="shared" si="171"/>
        <v>#DIV/0!</v>
      </c>
      <c r="BH937" s="571" t="e">
        <f t="shared" si="172"/>
        <v>#DIV/0!</v>
      </c>
    </row>
    <row r="938" spans="55:60" s="39" customFormat="1">
      <c r="BC938" s="573">
        <v>9.27</v>
      </c>
      <c r="BD938" s="571">
        <f t="shared" si="169"/>
        <v>0</v>
      </c>
      <c r="BE938" s="571">
        <f t="shared" si="173"/>
        <v>0</v>
      </c>
      <c r="BF938" s="586">
        <f t="shared" si="170"/>
        <v>0</v>
      </c>
      <c r="BG938" s="586" t="e">
        <f t="shared" si="171"/>
        <v>#DIV/0!</v>
      </c>
      <c r="BH938" s="571" t="e">
        <f t="shared" si="172"/>
        <v>#DIV/0!</v>
      </c>
    </row>
    <row r="939" spans="55:60" s="39" customFormat="1">
      <c r="BC939" s="573">
        <v>9.2799999999999994</v>
      </c>
      <c r="BD939" s="571">
        <f t="shared" si="169"/>
        <v>0</v>
      </c>
      <c r="BE939" s="571">
        <f t="shared" si="173"/>
        <v>0</v>
      </c>
      <c r="BF939" s="586">
        <f t="shared" si="170"/>
        <v>0</v>
      </c>
      <c r="BG939" s="586" t="e">
        <f t="shared" si="171"/>
        <v>#DIV/0!</v>
      </c>
      <c r="BH939" s="571" t="e">
        <f t="shared" si="172"/>
        <v>#DIV/0!</v>
      </c>
    </row>
    <row r="940" spans="55:60" s="39" customFormat="1">
      <c r="BC940" s="573">
        <v>9.2899999999999991</v>
      </c>
      <c r="BD940" s="571">
        <f t="shared" si="169"/>
        <v>0</v>
      </c>
      <c r="BE940" s="571">
        <f t="shared" si="173"/>
        <v>0</v>
      </c>
      <c r="BF940" s="586">
        <f t="shared" si="170"/>
        <v>0</v>
      </c>
      <c r="BG940" s="586" t="e">
        <f t="shared" si="171"/>
        <v>#DIV/0!</v>
      </c>
      <c r="BH940" s="571" t="e">
        <f t="shared" si="172"/>
        <v>#DIV/0!</v>
      </c>
    </row>
    <row r="941" spans="55:60" s="39" customFormat="1">
      <c r="BC941" s="573">
        <v>9.3000000000000007</v>
      </c>
      <c r="BD941" s="571">
        <f t="shared" si="169"/>
        <v>0</v>
      </c>
      <c r="BE941" s="571">
        <f t="shared" si="173"/>
        <v>0</v>
      </c>
      <c r="BF941" s="586">
        <f t="shared" si="170"/>
        <v>0</v>
      </c>
      <c r="BG941" s="586" t="e">
        <f t="shared" si="171"/>
        <v>#DIV/0!</v>
      </c>
      <c r="BH941" s="571" t="e">
        <f t="shared" si="172"/>
        <v>#DIV/0!</v>
      </c>
    </row>
    <row r="942" spans="55:60" s="39" customFormat="1">
      <c r="BC942" s="573">
        <v>9.31</v>
      </c>
      <c r="BD942" s="571">
        <f t="shared" si="169"/>
        <v>0</v>
      </c>
      <c r="BE942" s="571">
        <f t="shared" si="173"/>
        <v>0</v>
      </c>
      <c r="BF942" s="586">
        <f t="shared" si="170"/>
        <v>0</v>
      </c>
      <c r="BG942" s="586" t="e">
        <f t="shared" si="171"/>
        <v>#DIV/0!</v>
      </c>
      <c r="BH942" s="571" t="e">
        <f t="shared" si="172"/>
        <v>#DIV/0!</v>
      </c>
    </row>
    <row r="943" spans="55:60" s="39" customFormat="1">
      <c r="BC943" s="573">
        <v>9.32</v>
      </c>
      <c r="BD943" s="571">
        <f t="shared" si="169"/>
        <v>0</v>
      </c>
      <c r="BE943" s="571">
        <f t="shared" si="173"/>
        <v>0</v>
      </c>
      <c r="BF943" s="586">
        <f t="shared" si="170"/>
        <v>0</v>
      </c>
      <c r="BG943" s="586" t="e">
        <f t="shared" si="171"/>
        <v>#DIV/0!</v>
      </c>
      <c r="BH943" s="571" t="e">
        <f t="shared" si="172"/>
        <v>#DIV/0!</v>
      </c>
    </row>
    <row r="944" spans="55:60" s="39" customFormat="1">
      <c r="BC944" s="573">
        <v>9.33</v>
      </c>
      <c r="BD944" s="571">
        <f t="shared" si="169"/>
        <v>0</v>
      </c>
      <c r="BE944" s="571">
        <f t="shared" si="173"/>
        <v>0</v>
      </c>
      <c r="BF944" s="586">
        <f t="shared" si="170"/>
        <v>0</v>
      </c>
      <c r="BG944" s="586" t="e">
        <f t="shared" si="171"/>
        <v>#DIV/0!</v>
      </c>
      <c r="BH944" s="571" t="e">
        <f t="shared" si="172"/>
        <v>#DIV/0!</v>
      </c>
    </row>
    <row r="945" spans="55:60" s="39" customFormat="1">
      <c r="BC945" s="573">
        <v>9.34</v>
      </c>
      <c r="BD945" s="571">
        <f t="shared" si="169"/>
        <v>0</v>
      </c>
      <c r="BE945" s="571">
        <f t="shared" si="173"/>
        <v>0</v>
      </c>
      <c r="BF945" s="586">
        <f t="shared" si="170"/>
        <v>0</v>
      </c>
      <c r="BG945" s="586" t="e">
        <f t="shared" si="171"/>
        <v>#DIV/0!</v>
      </c>
      <c r="BH945" s="571" t="e">
        <f t="shared" si="172"/>
        <v>#DIV/0!</v>
      </c>
    </row>
    <row r="946" spans="55:60" s="39" customFormat="1">
      <c r="BC946" s="573">
        <v>9.35</v>
      </c>
      <c r="BD946" s="571">
        <f t="shared" si="169"/>
        <v>0</v>
      </c>
      <c r="BE946" s="571">
        <f t="shared" si="173"/>
        <v>0</v>
      </c>
      <c r="BF946" s="586">
        <f t="shared" si="170"/>
        <v>0</v>
      </c>
      <c r="BG946" s="586" t="e">
        <f t="shared" si="171"/>
        <v>#DIV/0!</v>
      </c>
      <c r="BH946" s="571" t="e">
        <f t="shared" si="172"/>
        <v>#DIV/0!</v>
      </c>
    </row>
    <row r="947" spans="55:60" s="39" customFormat="1">
      <c r="BC947" s="573">
        <v>9.36</v>
      </c>
      <c r="BD947" s="571">
        <f t="shared" si="169"/>
        <v>0</v>
      </c>
      <c r="BE947" s="571">
        <f t="shared" si="173"/>
        <v>0</v>
      </c>
      <c r="BF947" s="586">
        <f t="shared" si="170"/>
        <v>0</v>
      </c>
      <c r="BG947" s="586" t="e">
        <f t="shared" si="171"/>
        <v>#DIV/0!</v>
      </c>
      <c r="BH947" s="571" t="e">
        <f t="shared" si="172"/>
        <v>#DIV/0!</v>
      </c>
    </row>
    <row r="948" spans="55:60" s="39" customFormat="1">
      <c r="BC948" s="573">
        <v>9.3699999999999992</v>
      </c>
      <c r="BD948" s="571">
        <f t="shared" si="169"/>
        <v>0</v>
      </c>
      <c r="BE948" s="571">
        <f t="shared" si="173"/>
        <v>0</v>
      </c>
      <c r="BF948" s="586">
        <f t="shared" si="170"/>
        <v>0</v>
      </c>
      <c r="BG948" s="586" t="e">
        <f t="shared" si="171"/>
        <v>#DIV/0!</v>
      </c>
      <c r="BH948" s="571" t="e">
        <f t="shared" si="172"/>
        <v>#DIV/0!</v>
      </c>
    </row>
    <row r="949" spans="55:60" s="39" customFormat="1">
      <c r="BC949" s="573">
        <v>9.3800000000000008</v>
      </c>
      <c r="BD949" s="571">
        <f t="shared" si="169"/>
        <v>0</v>
      </c>
      <c r="BE949" s="571">
        <f t="shared" si="173"/>
        <v>0</v>
      </c>
      <c r="BF949" s="586">
        <f t="shared" si="170"/>
        <v>0</v>
      </c>
      <c r="BG949" s="586" t="e">
        <f t="shared" si="171"/>
        <v>#DIV/0!</v>
      </c>
      <c r="BH949" s="571" t="e">
        <f t="shared" si="172"/>
        <v>#DIV/0!</v>
      </c>
    </row>
    <row r="950" spans="55:60" s="39" customFormat="1">
      <c r="BC950" s="573">
        <v>9.39</v>
      </c>
      <c r="BD950" s="571">
        <f t="shared" si="169"/>
        <v>0</v>
      </c>
      <c r="BE950" s="571">
        <f t="shared" si="173"/>
        <v>0</v>
      </c>
      <c r="BF950" s="586">
        <f t="shared" si="170"/>
        <v>0</v>
      </c>
      <c r="BG950" s="586" t="e">
        <f t="shared" si="171"/>
        <v>#DIV/0!</v>
      </c>
      <c r="BH950" s="571" t="e">
        <f t="shared" si="172"/>
        <v>#DIV/0!</v>
      </c>
    </row>
    <row r="951" spans="55:60" s="39" customFormat="1">
      <c r="BC951" s="573">
        <v>9.4</v>
      </c>
      <c r="BD951" s="571">
        <f t="shared" si="169"/>
        <v>0</v>
      </c>
      <c r="BE951" s="571">
        <f t="shared" si="173"/>
        <v>0</v>
      </c>
      <c r="BF951" s="586">
        <f t="shared" si="170"/>
        <v>0</v>
      </c>
      <c r="BG951" s="586" t="e">
        <f t="shared" si="171"/>
        <v>#DIV/0!</v>
      </c>
      <c r="BH951" s="571" t="e">
        <f t="shared" si="172"/>
        <v>#DIV/0!</v>
      </c>
    </row>
    <row r="952" spans="55:60" s="39" customFormat="1">
      <c r="BC952" s="573">
        <v>9.41</v>
      </c>
      <c r="BD952" s="571">
        <f t="shared" si="169"/>
        <v>0</v>
      </c>
      <c r="BE952" s="571">
        <f t="shared" si="173"/>
        <v>0</v>
      </c>
      <c r="BF952" s="586">
        <f t="shared" si="170"/>
        <v>0</v>
      </c>
      <c r="BG952" s="586" t="e">
        <f t="shared" si="171"/>
        <v>#DIV/0!</v>
      </c>
      <c r="BH952" s="571" t="e">
        <f t="shared" si="172"/>
        <v>#DIV/0!</v>
      </c>
    </row>
    <row r="953" spans="55:60" s="39" customFormat="1">
      <c r="BC953" s="573">
        <v>9.42</v>
      </c>
      <c r="BD953" s="571">
        <f t="shared" si="169"/>
        <v>0</v>
      </c>
      <c r="BE953" s="571">
        <f t="shared" si="173"/>
        <v>0</v>
      </c>
      <c r="BF953" s="586">
        <f t="shared" si="170"/>
        <v>0</v>
      </c>
      <c r="BG953" s="586" t="e">
        <f t="shared" si="171"/>
        <v>#DIV/0!</v>
      </c>
      <c r="BH953" s="571" t="e">
        <f t="shared" si="172"/>
        <v>#DIV/0!</v>
      </c>
    </row>
    <row r="954" spans="55:60" s="39" customFormat="1">
      <c r="BC954" s="573">
        <v>9.43</v>
      </c>
      <c r="BD954" s="571">
        <f t="shared" si="169"/>
        <v>0</v>
      </c>
      <c r="BE954" s="571">
        <f t="shared" si="173"/>
        <v>0</v>
      </c>
      <c r="BF954" s="586">
        <f t="shared" si="170"/>
        <v>0</v>
      </c>
      <c r="BG954" s="586" t="e">
        <f t="shared" si="171"/>
        <v>#DIV/0!</v>
      </c>
      <c r="BH954" s="571" t="e">
        <f t="shared" si="172"/>
        <v>#DIV/0!</v>
      </c>
    </row>
    <row r="955" spans="55:60" s="39" customFormat="1">
      <c r="BC955" s="573">
        <v>9.44</v>
      </c>
      <c r="BD955" s="571">
        <f t="shared" si="169"/>
        <v>0</v>
      </c>
      <c r="BE955" s="571">
        <f t="shared" si="173"/>
        <v>0</v>
      </c>
      <c r="BF955" s="586">
        <f t="shared" si="170"/>
        <v>0</v>
      </c>
      <c r="BG955" s="586" t="e">
        <f t="shared" si="171"/>
        <v>#DIV/0!</v>
      </c>
      <c r="BH955" s="571" t="e">
        <f t="shared" si="172"/>
        <v>#DIV/0!</v>
      </c>
    </row>
    <row r="956" spans="55:60" s="39" customFormat="1">
      <c r="BC956" s="573">
        <v>9.4499999999999993</v>
      </c>
      <c r="BD956" s="571">
        <f t="shared" si="169"/>
        <v>0</v>
      </c>
      <c r="BE956" s="571">
        <f t="shared" si="173"/>
        <v>0</v>
      </c>
      <c r="BF956" s="586">
        <f t="shared" si="170"/>
        <v>0</v>
      </c>
      <c r="BG956" s="586" t="e">
        <f t="shared" si="171"/>
        <v>#DIV/0!</v>
      </c>
      <c r="BH956" s="571" t="e">
        <f t="shared" si="172"/>
        <v>#DIV/0!</v>
      </c>
    </row>
    <row r="957" spans="55:60" s="39" customFormat="1">
      <c r="BC957" s="573">
        <v>9.4600000000000009</v>
      </c>
      <c r="BD957" s="571">
        <f t="shared" si="169"/>
        <v>0</v>
      </c>
      <c r="BE957" s="571">
        <f t="shared" si="173"/>
        <v>0</v>
      </c>
      <c r="BF957" s="586">
        <f t="shared" si="170"/>
        <v>0</v>
      </c>
      <c r="BG957" s="586" t="e">
        <f t="shared" si="171"/>
        <v>#DIV/0!</v>
      </c>
      <c r="BH957" s="571" t="e">
        <f t="shared" si="172"/>
        <v>#DIV/0!</v>
      </c>
    </row>
    <row r="958" spans="55:60" s="39" customFormat="1">
      <c r="BC958" s="573">
        <v>9.4700000000000006</v>
      </c>
      <c r="BD958" s="571">
        <f t="shared" si="169"/>
        <v>0</v>
      </c>
      <c r="BE958" s="571">
        <f t="shared" si="173"/>
        <v>0</v>
      </c>
      <c r="BF958" s="586">
        <f t="shared" si="170"/>
        <v>0</v>
      </c>
      <c r="BG958" s="586" t="e">
        <f t="shared" si="171"/>
        <v>#DIV/0!</v>
      </c>
      <c r="BH958" s="571" t="e">
        <f t="shared" si="172"/>
        <v>#DIV/0!</v>
      </c>
    </row>
    <row r="959" spans="55:60" s="39" customFormat="1">
      <c r="BC959" s="573">
        <v>9.48</v>
      </c>
      <c r="BD959" s="571">
        <f t="shared" si="169"/>
        <v>0</v>
      </c>
      <c r="BE959" s="571">
        <f t="shared" si="173"/>
        <v>0</v>
      </c>
      <c r="BF959" s="586">
        <f t="shared" si="170"/>
        <v>0</v>
      </c>
      <c r="BG959" s="586" t="e">
        <f t="shared" si="171"/>
        <v>#DIV/0!</v>
      </c>
      <c r="BH959" s="571" t="e">
        <f t="shared" si="172"/>
        <v>#DIV/0!</v>
      </c>
    </row>
    <row r="960" spans="55:60" s="39" customFormat="1">
      <c r="BC960" s="573">
        <v>9.49</v>
      </c>
      <c r="BD960" s="571">
        <f t="shared" si="169"/>
        <v>0</v>
      </c>
      <c r="BE960" s="571">
        <f t="shared" si="173"/>
        <v>0</v>
      </c>
      <c r="BF960" s="586">
        <f t="shared" si="170"/>
        <v>0</v>
      </c>
      <c r="BG960" s="586" t="e">
        <f t="shared" si="171"/>
        <v>#DIV/0!</v>
      </c>
      <c r="BH960" s="571" t="e">
        <f t="shared" si="172"/>
        <v>#DIV/0!</v>
      </c>
    </row>
    <row r="961" spans="55:60" s="39" customFormat="1">
      <c r="BC961" s="573">
        <v>9.5</v>
      </c>
      <c r="BD961" s="571">
        <f t="shared" si="169"/>
        <v>0</v>
      </c>
      <c r="BE961" s="571">
        <f t="shared" si="173"/>
        <v>0</v>
      </c>
      <c r="BF961" s="586">
        <f t="shared" si="170"/>
        <v>0</v>
      </c>
      <c r="BG961" s="586" t="e">
        <f t="shared" si="171"/>
        <v>#DIV/0!</v>
      </c>
      <c r="BH961" s="571" t="e">
        <f t="shared" si="172"/>
        <v>#DIV/0!</v>
      </c>
    </row>
    <row r="962" spans="55:60" s="39" customFormat="1">
      <c r="BC962" s="573">
        <v>9.51</v>
      </c>
      <c r="BD962" s="571">
        <f t="shared" si="169"/>
        <v>0</v>
      </c>
      <c r="BE962" s="571">
        <f t="shared" si="173"/>
        <v>0</v>
      </c>
      <c r="BF962" s="586">
        <f t="shared" si="170"/>
        <v>0</v>
      </c>
      <c r="BG962" s="586" t="e">
        <f t="shared" si="171"/>
        <v>#DIV/0!</v>
      </c>
      <c r="BH962" s="571" t="e">
        <f t="shared" si="172"/>
        <v>#DIV/0!</v>
      </c>
    </row>
    <row r="963" spans="55:60" s="39" customFormat="1">
      <c r="BC963" s="573">
        <v>9.52</v>
      </c>
      <c r="BD963" s="571">
        <f t="shared" si="169"/>
        <v>0</v>
      </c>
      <c r="BE963" s="571">
        <f t="shared" si="173"/>
        <v>0</v>
      </c>
      <c r="BF963" s="586">
        <f t="shared" si="170"/>
        <v>0</v>
      </c>
      <c r="BG963" s="586" t="e">
        <f t="shared" si="171"/>
        <v>#DIV/0!</v>
      </c>
      <c r="BH963" s="571" t="e">
        <f t="shared" si="172"/>
        <v>#DIV/0!</v>
      </c>
    </row>
    <row r="964" spans="55:60" s="39" customFormat="1">
      <c r="BC964" s="573">
        <v>9.5299999999999994</v>
      </c>
      <c r="BD964" s="571">
        <f t="shared" si="169"/>
        <v>0</v>
      </c>
      <c r="BE964" s="571">
        <f t="shared" si="173"/>
        <v>0</v>
      </c>
      <c r="BF964" s="586">
        <f t="shared" si="170"/>
        <v>0</v>
      </c>
      <c r="BG964" s="586" t="e">
        <f t="shared" si="171"/>
        <v>#DIV/0!</v>
      </c>
      <c r="BH964" s="571" t="e">
        <f t="shared" si="172"/>
        <v>#DIV/0!</v>
      </c>
    </row>
    <row r="965" spans="55:60" s="39" customFormat="1">
      <c r="BC965" s="573">
        <v>9.5399999999999991</v>
      </c>
      <c r="BD965" s="571">
        <f t="shared" si="169"/>
        <v>0</v>
      </c>
      <c r="BE965" s="571">
        <f t="shared" si="173"/>
        <v>0</v>
      </c>
      <c r="BF965" s="586">
        <f t="shared" si="170"/>
        <v>0</v>
      </c>
      <c r="BG965" s="586" t="e">
        <f t="shared" si="171"/>
        <v>#DIV/0!</v>
      </c>
      <c r="BH965" s="571" t="e">
        <f t="shared" si="172"/>
        <v>#DIV/0!</v>
      </c>
    </row>
    <row r="966" spans="55:60" s="39" customFormat="1">
      <c r="BC966" s="573">
        <v>9.5500000000000007</v>
      </c>
      <c r="BD966" s="571">
        <f t="shared" si="169"/>
        <v>0</v>
      </c>
      <c r="BE966" s="571">
        <f t="shared" si="173"/>
        <v>0</v>
      </c>
      <c r="BF966" s="586">
        <f t="shared" si="170"/>
        <v>0</v>
      </c>
      <c r="BG966" s="586" t="e">
        <f t="shared" si="171"/>
        <v>#DIV/0!</v>
      </c>
      <c r="BH966" s="571" t="e">
        <f t="shared" si="172"/>
        <v>#DIV/0!</v>
      </c>
    </row>
    <row r="967" spans="55:60" s="39" customFormat="1">
      <c r="BC967" s="573">
        <v>9.56</v>
      </c>
      <c r="BD967" s="571">
        <f t="shared" si="169"/>
        <v>0</v>
      </c>
      <c r="BE967" s="571">
        <f t="shared" si="173"/>
        <v>0</v>
      </c>
      <c r="BF967" s="586">
        <f t="shared" si="170"/>
        <v>0</v>
      </c>
      <c r="BG967" s="586" t="e">
        <f t="shared" si="171"/>
        <v>#DIV/0!</v>
      </c>
      <c r="BH967" s="571" t="e">
        <f t="shared" si="172"/>
        <v>#DIV/0!</v>
      </c>
    </row>
    <row r="968" spans="55:60" s="39" customFormat="1">
      <c r="BC968" s="573">
        <v>9.57</v>
      </c>
      <c r="BD968" s="571">
        <f t="shared" si="169"/>
        <v>0</v>
      </c>
      <c r="BE968" s="571">
        <f t="shared" si="173"/>
        <v>0</v>
      </c>
      <c r="BF968" s="586">
        <f t="shared" si="170"/>
        <v>0</v>
      </c>
      <c r="BG968" s="586" t="e">
        <f t="shared" si="171"/>
        <v>#DIV/0!</v>
      </c>
      <c r="BH968" s="571" t="e">
        <f t="shared" si="172"/>
        <v>#DIV/0!</v>
      </c>
    </row>
    <row r="969" spans="55:60" s="39" customFormat="1">
      <c r="BC969" s="573">
        <v>9.58</v>
      </c>
      <c r="BD969" s="571">
        <f t="shared" si="169"/>
        <v>0</v>
      </c>
      <c r="BE969" s="571">
        <f t="shared" si="173"/>
        <v>0</v>
      </c>
      <c r="BF969" s="586">
        <f t="shared" si="170"/>
        <v>0</v>
      </c>
      <c r="BG969" s="586" t="e">
        <f t="shared" si="171"/>
        <v>#DIV/0!</v>
      </c>
      <c r="BH969" s="571" t="e">
        <f t="shared" si="172"/>
        <v>#DIV/0!</v>
      </c>
    </row>
    <row r="970" spans="55:60" s="39" customFormat="1">
      <c r="BC970" s="573">
        <v>9.59</v>
      </c>
      <c r="BD970" s="571">
        <f t="shared" si="169"/>
        <v>0</v>
      </c>
      <c r="BE970" s="571">
        <f t="shared" si="173"/>
        <v>0</v>
      </c>
      <c r="BF970" s="586">
        <f t="shared" si="170"/>
        <v>0</v>
      </c>
      <c r="BG970" s="586" t="e">
        <f t="shared" si="171"/>
        <v>#DIV/0!</v>
      </c>
      <c r="BH970" s="571" t="e">
        <f t="shared" si="172"/>
        <v>#DIV/0!</v>
      </c>
    </row>
    <row r="971" spans="55:60" s="39" customFormat="1">
      <c r="BC971" s="573">
        <v>9.6</v>
      </c>
      <c r="BD971" s="571">
        <f t="shared" si="169"/>
        <v>0</v>
      </c>
      <c r="BE971" s="571">
        <f t="shared" si="173"/>
        <v>0</v>
      </c>
      <c r="BF971" s="586">
        <f t="shared" si="170"/>
        <v>0</v>
      </c>
      <c r="BG971" s="586" t="e">
        <f t="shared" si="171"/>
        <v>#DIV/0!</v>
      </c>
      <c r="BH971" s="571" t="e">
        <f t="shared" si="172"/>
        <v>#DIV/0!</v>
      </c>
    </row>
    <row r="972" spans="55:60" s="39" customFormat="1">
      <c r="BC972" s="573">
        <v>9.61</v>
      </c>
      <c r="BD972" s="571">
        <f t="shared" ref="BD972:BD1035" si="174">$AU$15/BC972</f>
        <v>0</v>
      </c>
      <c r="BE972" s="571">
        <f t="shared" si="173"/>
        <v>0</v>
      </c>
      <c r="BF972" s="586">
        <f t="shared" ref="BF972:BF1035" si="175">BC972*(BE972/1000)/$AO$12</f>
        <v>0</v>
      </c>
      <c r="BG972" s="586" t="e">
        <f t="shared" ref="BG972:BG1035" si="176">POWER((1/(-1.8*LOG((6.9/BF972+POWER((($P$7/BE972)/3.71),1.11)),10))),2)</f>
        <v>#DIV/0!</v>
      </c>
      <c r="BH972" s="571" t="e">
        <f t="shared" ref="BH972:BH1035" si="177">BG972*0.5*$P$6*16*$AU$15*$AU$15/(POWER(PI(),2)*POWER((BE972/1000),5))</f>
        <v>#DIV/0!</v>
      </c>
    </row>
    <row r="973" spans="55:60" s="39" customFormat="1">
      <c r="BC973" s="573">
        <v>9.6199999999999992</v>
      </c>
      <c r="BD973" s="571">
        <f t="shared" si="174"/>
        <v>0</v>
      </c>
      <c r="BE973" s="571">
        <f t="shared" ref="BE973:BE1036" si="178">((BD973/PI())^0.5)*2*1000</f>
        <v>0</v>
      </c>
      <c r="BF973" s="586">
        <f t="shared" si="175"/>
        <v>0</v>
      </c>
      <c r="BG973" s="586" t="e">
        <f t="shared" si="176"/>
        <v>#DIV/0!</v>
      </c>
      <c r="BH973" s="571" t="e">
        <f t="shared" si="177"/>
        <v>#DIV/0!</v>
      </c>
    </row>
    <row r="974" spans="55:60" s="39" customFormat="1">
      <c r="BC974" s="573">
        <v>9.6300000000000008</v>
      </c>
      <c r="BD974" s="571">
        <f t="shared" si="174"/>
        <v>0</v>
      </c>
      <c r="BE974" s="571">
        <f t="shared" si="178"/>
        <v>0</v>
      </c>
      <c r="BF974" s="586">
        <f t="shared" si="175"/>
        <v>0</v>
      </c>
      <c r="BG974" s="586" t="e">
        <f t="shared" si="176"/>
        <v>#DIV/0!</v>
      </c>
      <c r="BH974" s="571" t="e">
        <f t="shared" si="177"/>
        <v>#DIV/0!</v>
      </c>
    </row>
    <row r="975" spans="55:60" s="39" customFormat="1">
      <c r="BC975" s="573">
        <v>9.64</v>
      </c>
      <c r="BD975" s="571">
        <f t="shared" si="174"/>
        <v>0</v>
      </c>
      <c r="BE975" s="571">
        <f t="shared" si="178"/>
        <v>0</v>
      </c>
      <c r="BF975" s="586">
        <f t="shared" si="175"/>
        <v>0</v>
      </c>
      <c r="BG975" s="586" t="e">
        <f t="shared" si="176"/>
        <v>#DIV/0!</v>
      </c>
      <c r="BH975" s="571" t="e">
        <f t="shared" si="177"/>
        <v>#DIV/0!</v>
      </c>
    </row>
    <row r="976" spans="55:60" s="39" customFormat="1">
      <c r="BC976" s="573">
        <v>9.65</v>
      </c>
      <c r="BD976" s="571">
        <f t="shared" si="174"/>
        <v>0</v>
      </c>
      <c r="BE976" s="571">
        <f t="shared" si="178"/>
        <v>0</v>
      </c>
      <c r="BF976" s="586">
        <f t="shared" si="175"/>
        <v>0</v>
      </c>
      <c r="BG976" s="586" t="e">
        <f t="shared" si="176"/>
        <v>#DIV/0!</v>
      </c>
      <c r="BH976" s="571" t="e">
        <f t="shared" si="177"/>
        <v>#DIV/0!</v>
      </c>
    </row>
    <row r="977" spans="55:60" s="39" customFormat="1">
      <c r="BC977" s="573">
        <v>9.66</v>
      </c>
      <c r="BD977" s="571">
        <f t="shared" si="174"/>
        <v>0</v>
      </c>
      <c r="BE977" s="571">
        <f t="shared" si="178"/>
        <v>0</v>
      </c>
      <c r="BF977" s="586">
        <f t="shared" si="175"/>
        <v>0</v>
      </c>
      <c r="BG977" s="586" t="e">
        <f t="shared" si="176"/>
        <v>#DIV/0!</v>
      </c>
      <c r="BH977" s="571" t="e">
        <f t="shared" si="177"/>
        <v>#DIV/0!</v>
      </c>
    </row>
    <row r="978" spans="55:60" s="39" customFormat="1">
      <c r="BC978" s="573">
        <v>9.67</v>
      </c>
      <c r="BD978" s="571">
        <f t="shared" si="174"/>
        <v>0</v>
      </c>
      <c r="BE978" s="571">
        <f t="shared" si="178"/>
        <v>0</v>
      </c>
      <c r="BF978" s="586">
        <f t="shared" si="175"/>
        <v>0</v>
      </c>
      <c r="BG978" s="586" t="e">
        <f t="shared" si="176"/>
        <v>#DIV/0!</v>
      </c>
      <c r="BH978" s="571" t="e">
        <f t="shared" si="177"/>
        <v>#DIV/0!</v>
      </c>
    </row>
    <row r="979" spans="55:60" s="39" customFormat="1">
      <c r="BC979" s="573">
        <v>9.68</v>
      </c>
      <c r="BD979" s="571">
        <f t="shared" si="174"/>
        <v>0</v>
      </c>
      <c r="BE979" s="571">
        <f t="shared" si="178"/>
        <v>0</v>
      </c>
      <c r="BF979" s="586">
        <f t="shared" si="175"/>
        <v>0</v>
      </c>
      <c r="BG979" s="586" t="e">
        <f t="shared" si="176"/>
        <v>#DIV/0!</v>
      </c>
      <c r="BH979" s="571" t="e">
        <f t="shared" si="177"/>
        <v>#DIV/0!</v>
      </c>
    </row>
    <row r="980" spans="55:60" s="39" customFormat="1">
      <c r="BC980" s="573">
        <v>9.69</v>
      </c>
      <c r="BD980" s="571">
        <f t="shared" si="174"/>
        <v>0</v>
      </c>
      <c r="BE980" s="571">
        <f t="shared" si="178"/>
        <v>0</v>
      </c>
      <c r="BF980" s="586">
        <f t="shared" si="175"/>
        <v>0</v>
      </c>
      <c r="BG980" s="586" t="e">
        <f t="shared" si="176"/>
        <v>#DIV/0!</v>
      </c>
      <c r="BH980" s="571" t="e">
        <f t="shared" si="177"/>
        <v>#DIV/0!</v>
      </c>
    </row>
    <row r="981" spans="55:60" s="39" customFormat="1">
      <c r="BC981" s="573">
        <v>9.6999999999999993</v>
      </c>
      <c r="BD981" s="571">
        <f t="shared" si="174"/>
        <v>0</v>
      </c>
      <c r="BE981" s="571">
        <f t="shared" si="178"/>
        <v>0</v>
      </c>
      <c r="BF981" s="586">
        <f t="shared" si="175"/>
        <v>0</v>
      </c>
      <c r="BG981" s="586" t="e">
        <f t="shared" si="176"/>
        <v>#DIV/0!</v>
      </c>
      <c r="BH981" s="571" t="e">
        <f t="shared" si="177"/>
        <v>#DIV/0!</v>
      </c>
    </row>
    <row r="982" spans="55:60" s="39" customFormat="1">
      <c r="BC982" s="573">
        <v>9.7100000000000009</v>
      </c>
      <c r="BD982" s="571">
        <f t="shared" si="174"/>
        <v>0</v>
      </c>
      <c r="BE982" s="571">
        <f t="shared" si="178"/>
        <v>0</v>
      </c>
      <c r="BF982" s="586">
        <f t="shared" si="175"/>
        <v>0</v>
      </c>
      <c r="BG982" s="586" t="e">
        <f t="shared" si="176"/>
        <v>#DIV/0!</v>
      </c>
      <c r="BH982" s="571" t="e">
        <f t="shared" si="177"/>
        <v>#DIV/0!</v>
      </c>
    </row>
    <row r="983" spans="55:60" s="39" customFormat="1">
      <c r="BC983" s="573">
        <v>9.7200000000000006</v>
      </c>
      <c r="BD983" s="571">
        <f t="shared" si="174"/>
        <v>0</v>
      </c>
      <c r="BE983" s="571">
        <f t="shared" si="178"/>
        <v>0</v>
      </c>
      <c r="BF983" s="586">
        <f t="shared" si="175"/>
        <v>0</v>
      </c>
      <c r="BG983" s="586" t="e">
        <f t="shared" si="176"/>
        <v>#DIV/0!</v>
      </c>
      <c r="BH983" s="571" t="e">
        <f t="shared" si="177"/>
        <v>#DIV/0!</v>
      </c>
    </row>
    <row r="984" spans="55:60" s="39" customFormat="1">
      <c r="BC984" s="573">
        <v>9.73</v>
      </c>
      <c r="BD984" s="571">
        <f t="shared" si="174"/>
        <v>0</v>
      </c>
      <c r="BE984" s="571">
        <f t="shared" si="178"/>
        <v>0</v>
      </c>
      <c r="BF984" s="586">
        <f t="shared" si="175"/>
        <v>0</v>
      </c>
      <c r="BG984" s="586" t="e">
        <f t="shared" si="176"/>
        <v>#DIV/0!</v>
      </c>
      <c r="BH984" s="571" t="e">
        <f t="shared" si="177"/>
        <v>#DIV/0!</v>
      </c>
    </row>
    <row r="985" spans="55:60" s="39" customFormat="1">
      <c r="BC985" s="573">
        <v>9.74</v>
      </c>
      <c r="BD985" s="571">
        <f t="shared" si="174"/>
        <v>0</v>
      </c>
      <c r="BE985" s="571">
        <f t="shared" si="178"/>
        <v>0</v>
      </c>
      <c r="BF985" s="586">
        <f t="shared" si="175"/>
        <v>0</v>
      </c>
      <c r="BG985" s="586" t="e">
        <f t="shared" si="176"/>
        <v>#DIV/0!</v>
      </c>
      <c r="BH985" s="571" t="e">
        <f t="shared" si="177"/>
        <v>#DIV/0!</v>
      </c>
    </row>
    <row r="986" spans="55:60" s="39" customFormat="1">
      <c r="BC986" s="573">
        <v>9.75</v>
      </c>
      <c r="BD986" s="571">
        <f t="shared" si="174"/>
        <v>0</v>
      </c>
      <c r="BE986" s="571">
        <f t="shared" si="178"/>
        <v>0</v>
      </c>
      <c r="BF986" s="586">
        <f t="shared" si="175"/>
        <v>0</v>
      </c>
      <c r="BG986" s="586" t="e">
        <f t="shared" si="176"/>
        <v>#DIV/0!</v>
      </c>
      <c r="BH986" s="571" t="e">
        <f t="shared" si="177"/>
        <v>#DIV/0!</v>
      </c>
    </row>
    <row r="987" spans="55:60" s="39" customFormat="1">
      <c r="BC987" s="573">
        <v>9.76</v>
      </c>
      <c r="BD987" s="571">
        <f t="shared" si="174"/>
        <v>0</v>
      </c>
      <c r="BE987" s="571">
        <f t="shared" si="178"/>
        <v>0</v>
      </c>
      <c r="BF987" s="586">
        <f t="shared" si="175"/>
        <v>0</v>
      </c>
      <c r="BG987" s="586" t="e">
        <f t="shared" si="176"/>
        <v>#DIV/0!</v>
      </c>
      <c r="BH987" s="571" t="e">
        <f t="shared" si="177"/>
        <v>#DIV/0!</v>
      </c>
    </row>
    <row r="988" spans="55:60" s="39" customFormat="1">
      <c r="BC988" s="573">
        <v>9.77</v>
      </c>
      <c r="BD988" s="571">
        <f t="shared" si="174"/>
        <v>0</v>
      </c>
      <c r="BE988" s="571">
        <f t="shared" si="178"/>
        <v>0</v>
      </c>
      <c r="BF988" s="586">
        <f t="shared" si="175"/>
        <v>0</v>
      </c>
      <c r="BG988" s="586" t="e">
        <f t="shared" si="176"/>
        <v>#DIV/0!</v>
      </c>
      <c r="BH988" s="571" t="e">
        <f t="shared" si="177"/>
        <v>#DIV/0!</v>
      </c>
    </row>
    <row r="989" spans="55:60" s="39" customFormat="1">
      <c r="BC989" s="573">
        <v>9.7799999999999994</v>
      </c>
      <c r="BD989" s="571">
        <f t="shared" si="174"/>
        <v>0</v>
      </c>
      <c r="BE989" s="571">
        <f t="shared" si="178"/>
        <v>0</v>
      </c>
      <c r="BF989" s="586">
        <f t="shared" si="175"/>
        <v>0</v>
      </c>
      <c r="BG989" s="586" t="e">
        <f t="shared" si="176"/>
        <v>#DIV/0!</v>
      </c>
      <c r="BH989" s="571" t="e">
        <f t="shared" si="177"/>
        <v>#DIV/0!</v>
      </c>
    </row>
    <row r="990" spans="55:60" s="39" customFormat="1">
      <c r="BC990" s="573">
        <v>9.7899999999999991</v>
      </c>
      <c r="BD990" s="571">
        <f t="shared" si="174"/>
        <v>0</v>
      </c>
      <c r="BE990" s="571">
        <f t="shared" si="178"/>
        <v>0</v>
      </c>
      <c r="BF990" s="586">
        <f t="shared" si="175"/>
        <v>0</v>
      </c>
      <c r="BG990" s="586" t="e">
        <f t="shared" si="176"/>
        <v>#DIV/0!</v>
      </c>
      <c r="BH990" s="571" t="e">
        <f t="shared" si="177"/>
        <v>#DIV/0!</v>
      </c>
    </row>
    <row r="991" spans="55:60" s="39" customFormat="1">
      <c r="BC991" s="573">
        <v>9.8000000000000007</v>
      </c>
      <c r="BD991" s="571">
        <f t="shared" si="174"/>
        <v>0</v>
      </c>
      <c r="BE991" s="571">
        <f t="shared" si="178"/>
        <v>0</v>
      </c>
      <c r="BF991" s="586">
        <f t="shared" si="175"/>
        <v>0</v>
      </c>
      <c r="BG991" s="586" t="e">
        <f t="shared" si="176"/>
        <v>#DIV/0!</v>
      </c>
      <c r="BH991" s="571" t="e">
        <f t="shared" si="177"/>
        <v>#DIV/0!</v>
      </c>
    </row>
    <row r="992" spans="55:60" s="39" customFormat="1">
      <c r="BC992" s="573">
        <v>9.81</v>
      </c>
      <c r="BD992" s="571">
        <f t="shared" si="174"/>
        <v>0</v>
      </c>
      <c r="BE992" s="571">
        <f t="shared" si="178"/>
        <v>0</v>
      </c>
      <c r="BF992" s="586">
        <f t="shared" si="175"/>
        <v>0</v>
      </c>
      <c r="BG992" s="586" t="e">
        <f t="shared" si="176"/>
        <v>#DIV/0!</v>
      </c>
      <c r="BH992" s="571" t="e">
        <f t="shared" si="177"/>
        <v>#DIV/0!</v>
      </c>
    </row>
    <row r="993" spans="55:60" s="39" customFormat="1">
      <c r="BC993" s="573">
        <v>9.82</v>
      </c>
      <c r="BD993" s="571">
        <f t="shared" si="174"/>
        <v>0</v>
      </c>
      <c r="BE993" s="571">
        <f t="shared" si="178"/>
        <v>0</v>
      </c>
      <c r="BF993" s="586">
        <f t="shared" si="175"/>
        <v>0</v>
      </c>
      <c r="BG993" s="586" t="e">
        <f t="shared" si="176"/>
        <v>#DIV/0!</v>
      </c>
      <c r="BH993" s="571" t="e">
        <f t="shared" si="177"/>
        <v>#DIV/0!</v>
      </c>
    </row>
    <row r="994" spans="55:60" s="39" customFormat="1">
      <c r="BC994" s="573">
        <v>9.83</v>
      </c>
      <c r="BD994" s="571">
        <f t="shared" si="174"/>
        <v>0</v>
      </c>
      <c r="BE994" s="571">
        <f t="shared" si="178"/>
        <v>0</v>
      </c>
      <c r="BF994" s="586">
        <f t="shared" si="175"/>
        <v>0</v>
      </c>
      <c r="BG994" s="586" t="e">
        <f t="shared" si="176"/>
        <v>#DIV/0!</v>
      </c>
      <c r="BH994" s="571" t="e">
        <f t="shared" si="177"/>
        <v>#DIV/0!</v>
      </c>
    </row>
    <row r="995" spans="55:60" s="39" customFormat="1">
      <c r="BC995" s="573">
        <v>9.84</v>
      </c>
      <c r="BD995" s="571">
        <f t="shared" si="174"/>
        <v>0</v>
      </c>
      <c r="BE995" s="571">
        <f t="shared" si="178"/>
        <v>0</v>
      </c>
      <c r="BF995" s="586">
        <f t="shared" si="175"/>
        <v>0</v>
      </c>
      <c r="BG995" s="586" t="e">
        <f t="shared" si="176"/>
        <v>#DIV/0!</v>
      </c>
      <c r="BH995" s="571" t="e">
        <f t="shared" si="177"/>
        <v>#DIV/0!</v>
      </c>
    </row>
    <row r="996" spans="55:60" s="39" customFormat="1">
      <c r="BC996" s="573">
        <v>9.85</v>
      </c>
      <c r="BD996" s="571">
        <f t="shared" si="174"/>
        <v>0</v>
      </c>
      <c r="BE996" s="571">
        <f t="shared" si="178"/>
        <v>0</v>
      </c>
      <c r="BF996" s="586">
        <f t="shared" si="175"/>
        <v>0</v>
      </c>
      <c r="BG996" s="586" t="e">
        <f t="shared" si="176"/>
        <v>#DIV/0!</v>
      </c>
      <c r="BH996" s="571" t="e">
        <f t="shared" si="177"/>
        <v>#DIV/0!</v>
      </c>
    </row>
    <row r="997" spans="55:60" s="39" customFormat="1">
      <c r="BC997" s="573">
        <v>9.86</v>
      </c>
      <c r="BD997" s="571">
        <f t="shared" si="174"/>
        <v>0</v>
      </c>
      <c r="BE997" s="571">
        <f t="shared" si="178"/>
        <v>0</v>
      </c>
      <c r="BF997" s="586">
        <f t="shared" si="175"/>
        <v>0</v>
      </c>
      <c r="BG997" s="586" t="e">
        <f t="shared" si="176"/>
        <v>#DIV/0!</v>
      </c>
      <c r="BH997" s="571" t="e">
        <f t="shared" si="177"/>
        <v>#DIV/0!</v>
      </c>
    </row>
    <row r="998" spans="55:60" s="39" customFormat="1">
      <c r="BC998" s="573">
        <v>9.8699999999999992</v>
      </c>
      <c r="BD998" s="571">
        <f t="shared" si="174"/>
        <v>0</v>
      </c>
      <c r="BE998" s="571">
        <f t="shared" si="178"/>
        <v>0</v>
      </c>
      <c r="BF998" s="586">
        <f t="shared" si="175"/>
        <v>0</v>
      </c>
      <c r="BG998" s="586" t="e">
        <f t="shared" si="176"/>
        <v>#DIV/0!</v>
      </c>
      <c r="BH998" s="571" t="e">
        <f t="shared" si="177"/>
        <v>#DIV/0!</v>
      </c>
    </row>
    <row r="999" spans="55:60" s="39" customFormat="1">
      <c r="BC999" s="573">
        <v>9.8800000000000008</v>
      </c>
      <c r="BD999" s="571">
        <f t="shared" si="174"/>
        <v>0</v>
      </c>
      <c r="BE999" s="571">
        <f t="shared" si="178"/>
        <v>0</v>
      </c>
      <c r="BF999" s="586">
        <f t="shared" si="175"/>
        <v>0</v>
      </c>
      <c r="BG999" s="586" t="e">
        <f t="shared" si="176"/>
        <v>#DIV/0!</v>
      </c>
      <c r="BH999" s="571" t="e">
        <f t="shared" si="177"/>
        <v>#DIV/0!</v>
      </c>
    </row>
    <row r="1000" spans="55:60" s="39" customFormat="1">
      <c r="BC1000" s="573">
        <v>9.89</v>
      </c>
      <c r="BD1000" s="571">
        <f t="shared" si="174"/>
        <v>0</v>
      </c>
      <c r="BE1000" s="571">
        <f t="shared" si="178"/>
        <v>0</v>
      </c>
      <c r="BF1000" s="586">
        <f t="shared" si="175"/>
        <v>0</v>
      </c>
      <c r="BG1000" s="586" t="e">
        <f t="shared" si="176"/>
        <v>#DIV/0!</v>
      </c>
      <c r="BH1000" s="571" t="e">
        <f t="shared" si="177"/>
        <v>#DIV/0!</v>
      </c>
    </row>
    <row r="1001" spans="55:60" s="39" customFormat="1">
      <c r="BC1001" s="573">
        <v>9.9</v>
      </c>
      <c r="BD1001" s="571">
        <f t="shared" si="174"/>
        <v>0</v>
      </c>
      <c r="BE1001" s="571">
        <f t="shared" si="178"/>
        <v>0</v>
      </c>
      <c r="BF1001" s="586">
        <f t="shared" si="175"/>
        <v>0</v>
      </c>
      <c r="BG1001" s="586" t="e">
        <f t="shared" si="176"/>
        <v>#DIV/0!</v>
      </c>
      <c r="BH1001" s="571" t="e">
        <f t="shared" si="177"/>
        <v>#DIV/0!</v>
      </c>
    </row>
    <row r="1002" spans="55:60" s="39" customFormat="1">
      <c r="BC1002" s="573">
        <v>9.91</v>
      </c>
      <c r="BD1002" s="571">
        <f t="shared" si="174"/>
        <v>0</v>
      </c>
      <c r="BE1002" s="571">
        <f t="shared" si="178"/>
        <v>0</v>
      </c>
      <c r="BF1002" s="586">
        <f t="shared" si="175"/>
        <v>0</v>
      </c>
      <c r="BG1002" s="586" t="e">
        <f t="shared" si="176"/>
        <v>#DIV/0!</v>
      </c>
      <c r="BH1002" s="571" t="e">
        <f t="shared" si="177"/>
        <v>#DIV/0!</v>
      </c>
    </row>
    <row r="1003" spans="55:60" s="39" customFormat="1">
      <c r="BC1003" s="573">
        <v>9.92</v>
      </c>
      <c r="BD1003" s="571">
        <f t="shared" si="174"/>
        <v>0</v>
      </c>
      <c r="BE1003" s="571">
        <f t="shared" si="178"/>
        <v>0</v>
      </c>
      <c r="BF1003" s="586">
        <f t="shared" si="175"/>
        <v>0</v>
      </c>
      <c r="BG1003" s="586" t="e">
        <f t="shared" si="176"/>
        <v>#DIV/0!</v>
      </c>
      <c r="BH1003" s="571" t="e">
        <f t="shared" si="177"/>
        <v>#DIV/0!</v>
      </c>
    </row>
    <row r="1004" spans="55:60" s="39" customFormat="1">
      <c r="BC1004" s="573">
        <v>9.93</v>
      </c>
      <c r="BD1004" s="571">
        <f t="shared" si="174"/>
        <v>0</v>
      </c>
      <c r="BE1004" s="571">
        <f t="shared" si="178"/>
        <v>0</v>
      </c>
      <c r="BF1004" s="586">
        <f t="shared" si="175"/>
        <v>0</v>
      </c>
      <c r="BG1004" s="586" t="e">
        <f t="shared" si="176"/>
        <v>#DIV/0!</v>
      </c>
      <c r="BH1004" s="571" t="e">
        <f t="shared" si="177"/>
        <v>#DIV/0!</v>
      </c>
    </row>
    <row r="1005" spans="55:60" s="39" customFormat="1">
      <c r="BC1005" s="573">
        <v>9.94</v>
      </c>
      <c r="BD1005" s="571">
        <f t="shared" si="174"/>
        <v>0</v>
      </c>
      <c r="BE1005" s="571">
        <f t="shared" si="178"/>
        <v>0</v>
      </c>
      <c r="BF1005" s="586">
        <f t="shared" si="175"/>
        <v>0</v>
      </c>
      <c r="BG1005" s="586" t="e">
        <f t="shared" si="176"/>
        <v>#DIV/0!</v>
      </c>
      <c r="BH1005" s="571" t="e">
        <f t="shared" si="177"/>
        <v>#DIV/0!</v>
      </c>
    </row>
    <row r="1006" spans="55:60" s="39" customFormat="1">
      <c r="BC1006" s="573">
        <v>9.9499999999999993</v>
      </c>
      <c r="BD1006" s="571">
        <f t="shared" si="174"/>
        <v>0</v>
      </c>
      <c r="BE1006" s="571">
        <f t="shared" si="178"/>
        <v>0</v>
      </c>
      <c r="BF1006" s="586">
        <f t="shared" si="175"/>
        <v>0</v>
      </c>
      <c r="BG1006" s="586" t="e">
        <f t="shared" si="176"/>
        <v>#DIV/0!</v>
      </c>
      <c r="BH1006" s="571" t="e">
        <f t="shared" si="177"/>
        <v>#DIV/0!</v>
      </c>
    </row>
    <row r="1007" spans="55:60" s="39" customFormat="1">
      <c r="BC1007" s="573">
        <v>9.9600000000000009</v>
      </c>
      <c r="BD1007" s="571">
        <f t="shared" si="174"/>
        <v>0</v>
      </c>
      <c r="BE1007" s="571">
        <f t="shared" si="178"/>
        <v>0</v>
      </c>
      <c r="BF1007" s="586">
        <f t="shared" si="175"/>
        <v>0</v>
      </c>
      <c r="BG1007" s="586" t="e">
        <f t="shared" si="176"/>
        <v>#DIV/0!</v>
      </c>
      <c r="BH1007" s="571" t="e">
        <f t="shared" si="177"/>
        <v>#DIV/0!</v>
      </c>
    </row>
    <row r="1008" spans="55:60" s="39" customFormat="1">
      <c r="BC1008" s="573">
        <v>9.9700000000000006</v>
      </c>
      <c r="BD1008" s="571">
        <f t="shared" si="174"/>
        <v>0</v>
      </c>
      <c r="BE1008" s="571">
        <f t="shared" si="178"/>
        <v>0</v>
      </c>
      <c r="BF1008" s="586">
        <f t="shared" si="175"/>
        <v>0</v>
      </c>
      <c r="BG1008" s="586" t="e">
        <f t="shared" si="176"/>
        <v>#DIV/0!</v>
      </c>
      <c r="BH1008" s="571" t="e">
        <f t="shared" si="177"/>
        <v>#DIV/0!</v>
      </c>
    </row>
    <row r="1009" spans="55:60" s="39" customFormat="1">
      <c r="BC1009" s="573">
        <v>9.98</v>
      </c>
      <c r="BD1009" s="571">
        <f t="shared" si="174"/>
        <v>0</v>
      </c>
      <c r="BE1009" s="571">
        <f t="shared" si="178"/>
        <v>0</v>
      </c>
      <c r="BF1009" s="586">
        <f t="shared" si="175"/>
        <v>0</v>
      </c>
      <c r="BG1009" s="586" t="e">
        <f t="shared" si="176"/>
        <v>#DIV/0!</v>
      </c>
      <c r="BH1009" s="571" t="e">
        <f t="shared" si="177"/>
        <v>#DIV/0!</v>
      </c>
    </row>
    <row r="1010" spans="55:60" s="39" customFormat="1">
      <c r="BC1010" s="573">
        <v>9.99</v>
      </c>
      <c r="BD1010" s="571">
        <f t="shared" si="174"/>
        <v>0</v>
      </c>
      <c r="BE1010" s="571">
        <f t="shared" si="178"/>
        <v>0</v>
      </c>
      <c r="BF1010" s="586">
        <f t="shared" si="175"/>
        <v>0</v>
      </c>
      <c r="BG1010" s="586" t="e">
        <f t="shared" si="176"/>
        <v>#DIV/0!</v>
      </c>
      <c r="BH1010" s="571" t="e">
        <f t="shared" si="177"/>
        <v>#DIV/0!</v>
      </c>
    </row>
    <row r="1011" spans="55:60" s="39" customFormat="1">
      <c r="BC1011" s="573">
        <v>10</v>
      </c>
      <c r="BD1011" s="571">
        <f t="shared" si="174"/>
        <v>0</v>
      </c>
      <c r="BE1011" s="571">
        <f t="shared" si="178"/>
        <v>0</v>
      </c>
      <c r="BF1011" s="586">
        <f t="shared" si="175"/>
        <v>0</v>
      </c>
      <c r="BG1011" s="586" t="e">
        <f t="shared" si="176"/>
        <v>#DIV/0!</v>
      </c>
      <c r="BH1011" s="571" t="e">
        <f t="shared" si="177"/>
        <v>#DIV/0!</v>
      </c>
    </row>
    <row r="1012" spans="55:60" s="39" customFormat="1">
      <c r="BC1012" s="573">
        <v>10.01</v>
      </c>
      <c r="BD1012" s="571">
        <f t="shared" si="174"/>
        <v>0</v>
      </c>
      <c r="BE1012" s="571">
        <f t="shared" si="178"/>
        <v>0</v>
      </c>
      <c r="BF1012" s="586">
        <f t="shared" si="175"/>
        <v>0</v>
      </c>
      <c r="BG1012" s="586" t="e">
        <f t="shared" si="176"/>
        <v>#DIV/0!</v>
      </c>
      <c r="BH1012" s="571" t="e">
        <f t="shared" si="177"/>
        <v>#DIV/0!</v>
      </c>
    </row>
    <row r="1013" spans="55:60" s="39" customFormat="1">
      <c r="BC1013" s="573">
        <v>10.02</v>
      </c>
      <c r="BD1013" s="571">
        <f t="shared" si="174"/>
        <v>0</v>
      </c>
      <c r="BE1013" s="571">
        <f t="shared" si="178"/>
        <v>0</v>
      </c>
      <c r="BF1013" s="586">
        <f t="shared" si="175"/>
        <v>0</v>
      </c>
      <c r="BG1013" s="586" t="e">
        <f t="shared" si="176"/>
        <v>#DIV/0!</v>
      </c>
      <c r="BH1013" s="571" t="e">
        <f t="shared" si="177"/>
        <v>#DIV/0!</v>
      </c>
    </row>
    <row r="1014" spans="55:60" s="39" customFormat="1">
      <c r="BC1014" s="573">
        <v>10.029999999999999</v>
      </c>
      <c r="BD1014" s="571">
        <f t="shared" si="174"/>
        <v>0</v>
      </c>
      <c r="BE1014" s="571">
        <f t="shared" si="178"/>
        <v>0</v>
      </c>
      <c r="BF1014" s="586">
        <f t="shared" si="175"/>
        <v>0</v>
      </c>
      <c r="BG1014" s="586" t="e">
        <f t="shared" si="176"/>
        <v>#DIV/0!</v>
      </c>
      <c r="BH1014" s="571" t="e">
        <f t="shared" si="177"/>
        <v>#DIV/0!</v>
      </c>
    </row>
    <row r="1015" spans="55:60" s="39" customFormat="1">
      <c r="BC1015" s="573">
        <v>10.039999999999999</v>
      </c>
      <c r="BD1015" s="571">
        <f t="shared" si="174"/>
        <v>0</v>
      </c>
      <c r="BE1015" s="571">
        <f t="shared" si="178"/>
        <v>0</v>
      </c>
      <c r="BF1015" s="586">
        <f t="shared" si="175"/>
        <v>0</v>
      </c>
      <c r="BG1015" s="586" t="e">
        <f t="shared" si="176"/>
        <v>#DIV/0!</v>
      </c>
      <c r="BH1015" s="571" t="e">
        <f t="shared" si="177"/>
        <v>#DIV/0!</v>
      </c>
    </row>
    <row r="1016" spans="55:60" s="39" customFormat="1">
      <c r="BC1016" s="573">
        <v>10.050000000000001</v>
      </c>
      <c r="BD1016" s="571">
        <f t="shared" si="174"/>
        <v>0</v>
      </c>
      <c r="BE1016" s="571">
        <f t="shared" si="178"/>
        <v>0</v>
      </c>
      <c r="BF1016" s="586">
        <f t="shared" si="175"/>
        <v>0</v>
      </c>
      <c r="BG1016" s="586" t="e">
        <f t="shared" si="176"/>
        <v>#DIV/0!</v>
      </c>
      <c r="BH1016" s="571" t="e">
        <f t="shared" si="177"/>
        <v>#DIV/0!</v>
      </c>
    </row>
    <row r="1017" spans="55:60" s="39" customFormat="1">
      <c r="BC1017" s="573">
        <v>10.06</v>
      </c>
      <c r="BD1017" s="571">
        <f t="shared" si="174"/>
        <v>0</v>
      </c>
      <c r="BE1017" s="571">
        <f t="shared" si="178"/>
        <v>0</v>
      </c>
      <c r="BF1017" s="586">
        <f t="shared" si="175"/>
        <v>0</v>
      </c>
      <c r="BG1017" s="586" t="e">
        <f t="shared" si="176"/>
        <v>#DIV/0!</v>
      </c>
      <c r="BH1017" s="571" t="e">
        <f t="shared" si="177"/>
        <v>#DIV/0!</v>
      </c>
    </row>
    <row r="1018" spans="55:60" s="39" customFormat="1">
      <c r="BC1018" s="573">
        <v>10.07</v>
      </c>
      <c r="BD1018" s="571">
        <f t="shared" si="174"/>
        <v>0</v>
      </c>
      <c r="BE1018" s="571">
        <f t="shared" si="178"/>
        <v>0</v>
      </c>
      <c r="BF1018" s="586">
        <f t="shared" si="175"/>
        <v>0</v>
      </c>
      <c r="BG1018" s="586" t="e">
        <f t="shared" si="176"/>
        <v>#DIV/0!</v>
      </c>
      <c r="BH1018" s="571" t="e">
        <f t="shared" si="177"/>
        <v>#DIV/0!</v>
      </c>
    </row>
    <row r="1019" spans="55:60" s="39" customFormat="1">
      <c r="BC1019" s="573">
        <v>10.08</v>
      </c>
      <c r="BD1019" s="571">
        <f t="shared" si="174"/>
        <v>0</v>
      </c>
      <c r="BE1019" s="571">
        <f t="shared" si="178"/>
        <v>0</v>
      </c>
      <c r="BF1019" s="586">
        <f t="shared" si="175"/>
        <v>0</v>
      </c>
      <c r="BG1019" s="586" t="e">
        <f t="shared" si="176"/>
        <v>#DIV/0!</v>
      </c>
      <c r="BH1019" s="571" t="e">
        <f t="shared" si="177"/>
        <v>#DIV/0!</v>
      </c>
    </row>
    <row r="1020" spans="55:60" s="39" customFormat="1">
      <c r="BC1020" s="573">
        <v>10.09</v>
      </c>
      <c r="BD1020" s="571">
        <f t="shared" si="174"/>
        <v>0</v>
      </c>
      <c r="BE1020" s="571">
        <f t="shared" si="178"/>
        <v>0</v>
      </c>
      <c r="BF1020" s="586">
        <f t="shared" si="175"/>
        <v>0</v>
      </c>
      <c r="BG1020" s="586" t="e">
        <f t="shared" si="176"/>
        <v>#DIV/0!</v>
      </c>
      <c r="BH1020" s="571" t="e">
        <f t="shared" si="177"/>
        <v>#DIV/0!</v>
      </c>
    </row>
    <row r="1021" spans="55:60" s="39" customFormat="1">
      <c r="BC1021" s="573">
        <v>10.1</v>
      </c>
      <c r="BD1021" s="571">
        <f t="shared" si="174"/>
        <v>0</v>
      </c>
      <c r="BE1021" s="571">
        <f t="shared" si="178"/>
        <v>0</v>
      </c>
      <c r="BF1021" s="586">
        <f t="shared" si="175"/>
        <v>0</v>
      </c>
      <c r="BG1021" s="586" t="e">
        <f t="shared" si="176"/>
        <v>#DIV/0!</v>
      </c>
      <c r="BH1021" s="571" t="e">
        <f t="shared" si="177"/>
        <v>#DIV/0!</v>
      </c>
    </row>
    <row r="1022" spans="55:60" s="39" customFormat="1">
      <c r="BC1022" s="573">
        <v>10.11</v>
      </c>
      <c r="BD1022" s="571">
        <f t="shared" si="174"/>
        <v>0</v>
      </c>
      <c r="BE1022" s="571">
        <f t="shared" si="178"/>
        <v>0</v>
      </c>
      <c r="BF1022" s="586">
        <f t="shared" si="175"/>
        <v>0</v>
      </c>
      <c r="BG1022" s="586" t="e">
        <f t="shared" si="176"/>
        <v>#DIV/0!</v>
      </c>
      <c r="BH1022" s="571" t="e">
        <f t="shared" si="177"/>
        <v>#DIV/0!</v>
      </c>
    </row>
    <row r="1023" spans="55:60" s="39" customFormat="1">
      <c r="BC1023" s="573">
        <v>10.119999999999999</v>
      </c>
      <c r="BD1023" s="571">
        <f t="shared" si="174"/>
        <v>0</v>
      </c>
      <c r="BE1023" s="571">
        <f t="shared" si="178"/>
        <v>0</v>
      </c>
      <c r="BF1023" s="586">
        <f t="shared" si="175"/>
        <v>0</v>
      </c>
      <c r="BG1023" s="586" t="e">
        <f t="shared" si="176"/>
        <v>#DIV/0!</v>
      </c>
      <c r="BH1023" s="571" t="e">
        <f t="shared" si="177"/>
        <v>#DIV/0!</v>
      </c>
    </row>
    <row r="1024" spans="55:60" s="39" customFormat="1">
      <c r="BC1024" s="573">
        <v>10.130000000000001</v>
      </c>
      <c r="BD1024" s="571">
        <f t="shared" si="174"/>
        <v>0</v>
      </c>
      <c r="BE1024" s="571">
        <f t="shared" si="178"/>
        <v>0</v>
      </c>
      <c r="BF1024" s="586">
        <f t="shared" si="175"/>
        <v>0</v>
      </c>
      <c r="BG1024" s="586" t="e">
        <f t="shared" si="176"/>
        <v>#DIV/0!</v>
      </c>
      <c r="BH1024" s="571" t="e">
        <f t="shared" si="177"/>
        <v>#DIV/0!</v>
      </c>
    </row>
    <row r="1025" spans="55:60" s="39" customFormat="1">
      <c r="BC1025" s="573">
        <v>10.14</v>
      </c>
      <c r="BD1025" s="571">
        <f t="shared" si="174"/>
        <v>0</v>
      </c>
      <c r="BE1025" s="571">
        <f t="shared" si="178"/>
        <v>0</v>
      </c>
      <c r="BF1025" s="586">
        <f t="shared" si="175"/>
        <v>0</v>
      </c>
      <c r="BG1025" s="586" t="e">
        <f t="shared" si="176"/>
        <v>#DIV/0!</v>
      </c>
      <c r="BH1025" s="571" t="e">
        <f t="shared" si="177"/>
        <v>#DIV/0!</v>
      </c>
    </row>
    <row r="1026" spans="55:60" s="39" customFormat="1">
      <c r="BC1026" s="573">
        <v>10.15</v>
      </c>
      <c r="BD1026" s="571">
        <f t="shared" si="174"/>
        <v>0</v>
      </c>
      <c r="BE1026" s="571">
        <f t="shared" si="178"/>
        <v>0</v>
      </c>
      <c r="BF1026" s="586">
        <f t="shared" si="175"/>
        <v>0</v>
      </c>
      <c r="BG1026" s="586" t="e">
        <f t="shared" si="176"/>
        <v>#DIV/0!</v>
      </c>
      <c r="BH1026" s="571" t="e">
        <f t="shared" si="177"/>
        <v>#DIV/0!</v>
      </c>
    </row>
    <row r="1027" spans="55:60" s="39" customFormat="1">
      <c r="BC1027" s="573">
        <v>10.16</v>
      </c>
      <c r="BD1027" s="571">
        <f t="shared" si="174"/>
        <v>0</v>
      </c>
      <c r="BE1027" s="571">
        <f t="shared" si="178"/>
        <v>0</v>
      </c>
      <c r="BF1027" s="586">
        <f t="shared" si="175"/>
        <v>0</v>
      </c>
      <c r="BG1027" s="586" t="e">
        <f t="shared" si="176"/>
        <v>#DIV/0!</v>
      </c>
      <c r="BH1027" s="571" t="e">
        <f t="shared" si="177"/>
        <v>#DIV/0!</v>
      </c>
    </row>
    <row r="1028" spans="55:60" s="39" customFormat="1">
      <c r="BC1028" s="573">
        <v>10.17</v>
      </c>
      <c r="BD1028" s="571">
        <f t="shared" si="174"/>
        <v>0</v>
      </c>
      <c r="BE1028" s="571">
        <f t="shared" si="178"/>
        <v>0</v>
      </c>
      <c r="BF1028" s="586">
        <f t="shared" si="175"/>
        <v>0</v>
      </c>
      <c r="BG1028" s="586" t="e">
        <f t="shared" si="176"/>
        <v>#DIV/0!</v>
      </c>
      <c r="BH1028" s="571" t="e">
        <f t="shared" si="177"/>
        <v>#DIV/0!</v>
      </c>
    </row>
    <row r="1029" spans="55:60" s="39" customFormat="1">
      <c r="BC1029" s="573">
        <v>10.18</v>
      </c>
      <c r="BD1029" s="571">
        <f t="shared" si="174"/>
        <v>0</v>
      </c>
      <c r="BE1029" s="571">
        <f t="shared" si="178"/>
        <v>0</v>
      </c>
      <c r="BF1029" s="586">
        <f t="shared" si="175"/>
        <v>0</v>
      </c>
      <c r="BG1029" s="586" t="e">
        <f t="shared" si="176"/>
        <v>#DIV/0!</v>
      </c>
      <c r="BH1029" s="571" t="e">
        <f t="shared" si="177"/>
        <v>#DIV/0!</v>
      </c>
    </row>
    <row r="1030" spans="55:60" s="39" customFormat="1">
      <c r="BC1030" s="573">
        <v>10.19</v>
      </c>
      <c r="BD1030" s="571">
        <f t="shared" si="174"/>
        <v>0</v>
      </c>
      <c r="BE1030" s="571">
        <f t="shared" si="178"/>
        <v>0</v>
      </c>
      <c r="BF1030" s="586">
        <f t="shared" si="175"/>
        <v>0</v>
      </c>
      <c r="BG1030" s="586" t="e">
        <f t="shared" si="176"/>
        <v>#DIV/0!</v>
      </c>
      <c r="BH1030" s="571" t="e">
        <f t="shared" si="177"/>
        <v>#DIV/0!</v>
      </c>
    </row>
    <row r="1031" spans="55:60" s="39" customFormat="1">
      <c r="BC1031" s="573">
        <v>10.199999999999999</v>
      </c>
      <c r="BD1031" s="571">
        <f t="shared" si="174"/>
        <v>0</v>
      </c>
      <c r="BE1031" s="571">
        <f t="shared" si="178"/>
        <v>0</v>
      </c>
      <c r="BF1031" s="586">
        <f t="shared" si="175"/>
        <v>0</v>
      </c>
      <c r="BG1031" s="586" t="e">
        <f t="shared" si="176"/>
        <v>#DIV/0!</v>
      </c>
      <c r="BH1031" s="571" t="e">
        <f t="shared" si="177"/>
        <v>#DIV/0!</v>
      </c>
    </row>
    <row r="1032" spans="55:60" s="39" customFormat="1">
      <c r="BC1032" s="573">
        <v>10.210000000000001</v>
      </c>
      <c r="BD1032" s="571">
        <f t="shared" si="174"/>
        <v>0</v>
      </c>
      <c r="BE1032" s="571">
        <f t="shared" si="178"/>
        <v>0</v>
      </c>
      <c r="BF1032" s="586">
        <f t="shared" si="175"/>
        <v>0</v>
      </c>
      <c r="BG1032" s="586" t="e">
        <f t="shared" si="176"/>
        <v>#DIV/0!</v>
      </c>
      <c r="BH1032" s="571" t="e">
        <f t="shared" si="177"/>
        <v>#DIV/0!</v>
      </c>
    </row>
    <row r="1033" spans="55:60" s="39" customFormat="1">
      <c r="BC1033" s="573">
        <v>10.220000000000001</v>
      </c>
      <c r="BD1033" s="571">
        <f t="shared" si="174"/>
        <v>0</v>
      </c>
      <c r="BE1033" s="571">
        <f t="shared" si="178"/>
        <v>0</v>
      </c>
      <c r="BF1033" s="586">
        <f t="shared" si="175"/>
        <v>0</v>
      </c>
      <c r="BG1033" s="586" t="e">
        <f t="shared" si="176"/>
        <v>#DIV/0!</v>
      </c>
      <c r="BH1033" s="571" t="e">
        <f t="shared" si="177"/>
        <v>#DIV/0!</v>
      </c>
    </row>
    <row r="1034" spans="55:60" s="39" customFormat="1">
      <c r="BC1034" s="573">
        <v>10.23</v>
      </c>
      <c r="BD1034" s="571">
        <f t="shared" si="174"/>
        <v>0</v>
      </c>
      <c r="BE1034" s="571">
        <f t="shared" si="178"/>
        <v>0</v>
      </c>
      <c r="BF1034" s="586">
        <f t="shared" si="175"/>
        <v>0</v>
      </c>
      <c r="BG1034" s="586" t="e">
        <f t="shared" si="176"/>
        <v>#DIV/0!</v>
      </c>
      <c r="BH1034" s="571" t="e">
        <f t="shared" si="177"/>
        <v>#DIV/0!</v>
      </c>
    </row>
    <row r="1035" spans="55:60" s="39" customFormat="1">
      <c r="BC1035" s="573">
        <v>10.24</v>
      </c>
      <c r="BD1035" s="571">
        <f t="shared" si="174"/>
        <v>0</v>
      </c>
      <c r="BE1035" s="571">
        <f t="shared" si="178"/>
        <v>0</v>
      </c>
      <c r="BF1035" s="586">
        <f t="shared" si="175"/>
        <v>0</v>
      </c>
      <c r="BG1035" s="586" t="e">
        <f t="shared" si="176"/>
        <v>#DIV/0!</v>
      </c>
      <c r="BH1035" s="571" t="e">
        <f t="shared" si="177"/>
        <v>#DIV/0!</v>
      </c>
    </row>
    <row r="1036" spans="55:60" s="39" customFormat="1">
      <c r="BC1036" s="573">
        <v>10.25</v>
      </c>
      <c r="BD1036" s="571">
        <f t="shared" ref="BD1036:BD1099" si="179">$AU$15/BC1036</f>
        <v>0</v>
      </c>
      <c r="BE1036" s="571">
        <f t="shared" si="178"/>
        <v>0</v>
      </c>
      <c r="BF1036" s="586">
        <f t="shared" ref="BF1036:BF1099" si="180">BC1036*(BE1036/1000)/$AO$12</f>
        <v>0</v>
      </c>
      <c r="BG1036" s="586" t="e">
        <f t="shared" ref="BG1036:BG1099" si="181">POWER((1/(-1.8*LOG((6.9/BF1036+POWER((($P$7/BE1036)/3.71),1.11)),10))),2)</f>
        <v>#DIV/0!</v>
      </c>
      <c r="BH1036" s="571" t="e">
        <f t="shared" ref="BH1036:BH1099" si="182">BG1036*0.5*$P$6*16*$AU$15*$AU$15/(POWER(PI(),2)*POWER((BE1036/1000),5))</f>
        <v>#DIV/0!</v>
      </c>
    </row>
    <row r="1037" spans="55:60" s="39" customFormat="1">
      <c r="BC1037" s="573">
        <v>10.26</v>
      </c>
      <c r="BD1037" s="571">
        <f t="shared" si="179"/>
        <v>0</v>
      </c>
      <c r="BE1037" s="571">
        <f t="shared" ref="BE1037:BE1100" si="183">((BD1037/PI())^0.5)*2*1000</f>
        <v>0</v>
      </c>
      <c r="BF1037" s="586">
        <f t="shared" si="180"/>
        <v>0</v>
      </c>
      <c r="BG1037" s="586" t="e">
        <f t="shared" si="181"/>
        <v>#DIV/0!</v>
      </c>
      <c r="BH1037" s="571" t="e">
        <f t="shared" si="182"/>
        <v>#DIV/0!</v>
      </c>
    </row>
    <row r="1038" spans="55:60" s="39" customFormat="1">
      <c r="BC1038" s="573">
        <v>10.27</v>
      </c>
      <c r="BD1038" s="571">
        <f t="shared" si="179"/>
        <v>0</v>
      </c>
      <c r="BE1038" s="571">
        <f t="shared" si="183"/>
        <v>0</v>
      </c>
      <c r="BF1038" s="586">
        <f t="shared" si="180"/>
        <v>0</v>
      </c>
      <c r="BG1038" s="586" t="e">
        <f t="shared" si="181"/>
        <v>#DIV/0!</v>
      </c>
      <c r="BH1038" s="571" t="e">
        <f t="shared" si="182"/>
        <v>#DIV/0!</v>
      </c>
    </row>
    <row r="1039" spans="55:60" s="39" customFormat="1">
      <c r="BC1039" s="573">
        <v>10.28</v>
      </c>
      <c r="BD1039" s="571">
        <f t="shared" si="179"/>
        <v>0</v>
      </c>
      <c r="BE1039" s="571">
        <f t="shared" si="183"/>
        <v>0</v>
      </c>
      <c r="BF1039" s="586">
        <f t="shared" si="180"/>
        <v>0</v>
      </c>
      <c r="BG1039" s="586" t="e">
        <f t="shared" si="181"/>
        <v>#DIV/0!</v>
      </c>
      <c r="BH1039" s="571" t="e">
        <f t="shared" si="182"/>
        <v>#DIV/0!</v>
      </c>
    </row>
    <row r="1040" spans="55:60" s="39" customFormat="1">
      <c r="BC1040" s="573">
        <v>10.29</v>
      </c>
      <c r="BD1040" s="571">
        <f t="shared" si="179"/>
        <v>0</v>
      </c>
      <c r="BE1040" s="571">
        <f t="shared" si="183"/>
        <v>0</v>
      </c>
      <c r="BF1040" s="586">
        <f t="shared" si="180"/>
        <v>0</v>
      </c>
      <c r="BG1040" s="586" t="e">
        <f t="shared" si="181"/>
        <v>#DIV/0!</v>
      </c>
      <c r="BH1040" s="571" t="e">
        <f t="shared" si="182"/>
        <v>#DIV/0!</v>
      </c>
    </row>
    <row r="1041" spans="55:60" s="39" customFormat="1">
      <c r="BC1041" s="573">
        <v>10.3</v>
      </c>
      <c r="BD1041" s="571">
        <f t="shared" si="179"/>
        <v>0</v>
      </c>
      <c r="BE1041" s="571">
        <f t="shared" si="183"/>
        <v>0</v>
      </c>
      <c r="BF1041" s="586">
        <f t="shared" si="180"/>
        <v>0</v>
      </c>
      <c r="BG1041" s="586" t="e">
        <f t="shared" si="181"/>
        <v>#DIV/0!</v>
      </c>
      <c r="BH1041" s="571" t="e">
        <f t="shared" si="182"/>
        <v>#DIV/0!</v>
      </c>
    </row>
    <row r="1042" spans="55:60" s="39" customFormat="1">
      <c r="BC1042" s="573">
        <v>10.31</v>
      </c>
      <c r="BD1042" s="571">
        <f t="shared" si="179"/>
        <v>0</v>
      </c>
      <c r="BE1042" s="571">
        <f t="shared" si="183"/>
        <v>0</v>
      </c>
      <c r="BF1042" s="586">
        <f t="shared" si="180"/>
        <v>0</v>
      </c>
      <c r="BG1042" s="586" t="e">
        <f t="shared" si="181"/>
        <v>#DIV/0!</v>
      </c>
      <c r="BH1042" s="571" t="e">
        <f t="shared" si="182"/>
        <v>#DIV/0!</v>
      </c>
    </row>
    <row r="1043" spans="55:60" s="39" customFormat="1">
      <c r="BC1043" s="573">
        <v>10.32</v>
      </c>
      <c r="BD1043" s="571">
        <f t="shared" si="179"/>
        <v>0</v>
      </c>
      <c r="BE1043" s="571">
        <f t="shared" si="183"/>
        <v>0</v>
      </c>
      <c r="BF1043" s="586">
        <f t="shared" si="180"/>
        <v>0</v>
      </c>
      <c r="BG1043" s="586" t="e">
        <f t="shared" si="181"/>
        <v>#DIV/0!</v>
      </c>
      <c r="BH1043" s="571" t="e">
        <f t="shared" si="182"/>
        <v>#DIV/0!</v>
      </c>
    </row>
    <row r="1044" spans="55:60" s="39" customFormat="1">
      <c r="BC1044" s="573">
        <v>10.33</v>
      </c>
      <c r="BD1044" s="571">
        <f t="shared" si="179"/>
        <v>0</v>
      </c>
      <c r="BE1044" s="571">
        <f t="shared" si="183"/>
        <v>0</v>
      </c>
      <c r="BF1044" s="586">
        <f t="shared" si="180"/>
        <v>0</v>
      </c>
      <c r="BG1044" s="586" t="e">
        <f t="shared" si="181"/>
        <v>#DIV/0!</v>
      </c>
      <c r="BH1044" s="571" t="e">
        <f t="shared" si="182"/>
        <v>#DIV/0!</v>
      </c>
    </row>
    <row r="1045" spans="55:60" s="39" customFormat="1">
      <c r="BC1045" s="573">
        <v>10.34</v>
      </c>
      <c r="BD1045" s="571">
        <f t="shared" si="179"/>
        <v>0</v>
      </c>
      <c r="BE1045" s="571">
        <f t="shared" si="183"/>
        <v>0</v>
      </c>
      <c r="BF1045" s="586">
        <f t="shared" si="180"/>
        <v>0</v>
      </c>
      <c r="BG1045" s="586" t="e">
        <f t="shared" si="181"/>
        <v>#DIV/0!</v>
      </c>
      <c r="BH1045" s="571" t="e">
        <f t="shared" si="182"/>
        <v>#DIV/0!</v>
      </c>
    </row>
    <row r="1046" spans="55:60" s="39" customFormat="1">
      <c r="BC1046" s="573">
        <v>10.35</v>
      </c>
      <c r="BD1046" s="571">
        <f t="shared" si="179"/>
        <v>0</v>
      </c>
      <c r="BE1046" s="571">
        <f t="shared" si="183"/>
        <v>0</v>
      </c>
      <c r="BF1046" s="586">
        <f t="shared" si="180"/>
        <v>0</v>
      </c>
      <c r="BG1046" s="586" t="e">
        <f t="shared" si="181"/>
        <v>#DIV/0!</v>
      </c>
      <c r="BH1046" s="571" t="e">
        <f t="shared" si="182"/>
        <v>#DIV/0!</v>
      </c>
    </row>
    <row r="1047" spans="55:60" s="39" customFormat="1">
      <c r="BC1047" s="573">
        <v>10.36</v>
      </c>
      <c r="BD1047" s="571">
        <f t="shared" si="179"/>
        <v>0</v>
      </c>
      <c r="BE1047" s="571">
        <f t="shared" si="183"/>
        <v>0</v>
      </c>
      <c r="BF1047" s="586">
        <f t="shared" si="180"/>
        <v>0</v>
      </c>
      <c r="BG1047" s="586" t="e">
        <f t="shared" si="181"/>
        <v>#DIV/0!</v>
      </c>
      <c r="BH1047" s="571" t="e">
        <f t="shared" si="182"/>
        <v>#DIV/0!</v>
      </c>
    </row>
    <row r="1048" spans="55:60" s="39" customFormat="1">
      <c r="BC1048" s="573">
        <v>10.37</v>
      </c>
      <c r="BD1048" s="571">
        <f t="shared" si="179"/>
        <v>0</v>
      </c>
      <c r="BE1048" s="571">
        <f t="shared" si="183"/>
        <v>0</v>
      </c>
      <c r="BF1048" s="586">
        <f t="shared" si="180"/>
        <v>0</v>
      </c>
      <c r="BG1048" s="586" t="e">
        <f t="shared" si="181"/>
        <v>#DIV/0!</v>
      </c>
      <c r="BH1048" s="571" t="e">
        <f t="shared" si="182"/>
        <v>#DIV/0!</v>
      </c>
    </row>
    <row r="1049" spans="55:60" s="39" customFormat="1">
      <c r="BC1049" s="573">
        <v>10.38</v>
      </c>
      <c r="BD1049" s="571">
        <f t="shared" si="179"/>
        <v>0</v>
      </c>
      <c r="BE1049" s="571">
        <f t="shared" si="183"/>
        <v>0</v>
      </c>
      <c r="BF1049" s="586">
        <f t="shared" si="180"/>
        <v>0</v>
      </c>
      <c r="BG1049" s="586" t="e">
        <f t="shared" si="181"/>
        <v>#DIV/0!</v>
      </c>
      <c r="BH1049" s="571" t="e">
        <f t="shared" si="182"/>
        <v>#DIV/0!</v>
      </c>
    </row>
    <row r="1050" spans="55:60" s="39" customFormat="1">
      <c r="BC1050" s="573">
        <v>10.39</v>
      </c>
      <c r="BD1050" s="571">
        <f t="shared" si="179"/>
        <v>0</v>
      </c>
      <c r="BE1050" s="571">
        <f t="shared" si="183"/>
        <v>0</v>
      </c>
      <c r="BF1050" s="586">
        <f t="shared" si="180"/>
        <v>0</v>
      </c>
      <c r="BG1050" s="586" t="e">
        <f t="shared" si="181"/>
        <v>#DIV/0!</v>
      </c>
      <c r="BH1050" s="571" t="e">
        <f t="shared" si="182"/>
        <v>#DIV/0!</v>
      </c>
    </row>
    <row r="1051" spans="55:60" s="39" customFormat="1">
      <c r="BC1051" s="573">
        <v>10.4</v>
      </c>
      <c r="BD1051" s="571">
        <f t="shared" si="179"/>
        <v>0</v>
      </c>
      <c r="BE1051" s="571">
        <f t="shared" si="183"/>
        <v>0</v>
      </c>
      <c r="BF1051" s="586">
        <f t="shared" si="180"/>
        <v>0</v>
      </c>
      <c r="BG1051" s="586" t="e">
        <f t="shared" si="181"/>
        <v>#DIV/0!</v>
      </c>
      <c r="BH1051" s="571" t="e">
        <f t="shared" si="182"/>
        <v>#DIV/0!</v>
      </c>
    </row>
    <row r="1052" spans="55:60" s="39" customFormat="1">
      <c r="BC1052" s="573">
        <v>10.41</v>
      </c>
      <c r="BD1052" s="571">
        <f t="shared" si="179"/>
        <v>0</v>
      </c>
      <c r="BE1052" s="571">
        <f t="shared" si="183"/>
        <v>0</v>
      </c>
      <c r="BF1052" s="586">
        <f t="shared" si="180"/>
        <v>0</v>
      </c>
      <c r="BG1052" s="586" t="e">
        <f t="shared" si="181"/>
        <v>#DIV/0!</v>
      </c>
      <c r="BH1052" s="571" t="e">
        <f t="shared" si="182"/>
        <v>#DIV/0!</v>
      </c>
    </row>
    <row r="1053" spans="55:60" s="39" customFormat="1">
      <c r="BC1053" s="573">
        <v>10.42</v>
      </c>
      <c r="BD1053" s="571">
        <f t="shared" si="179"/>
        <v>0</v>
      </c>
      <c r="BE1053" s="571">
        <f t="shared" si="183"/>
        <v>0</v>
      </c>
      <c r="BF1053" s="586">
        <f t="shared" si="180"/>
        <v>0</v>
      </c>
      <c r="BG1053" s="586" t="e">
        <f t="shared" si="181"/>
        <v>#DIV/0!</v>
      </c>
      <c r="BH1053" s="571" t="e">
        <f t="shared" si="182"/>
        <v>#DIV/0!</v>
      </c>
    </row>
    <row r="1054" spans="55:60" s="39" customFormat="1">
      <c r="BC1054" s="573">
        <v>10.43</v>
      </c>
      <c r="BD1054" s="571">
        <f t="shared" si="179"/>
        <v>0</v>
      </c>
      <c r="BE1054" s="571">
        <f t="shared" si="183"/>
        <v>0</v>
      </c>
      <c r="BF1054" s="586">
        <f t="shared" si="180"/>
        <v>0</v>
      </c>
      <c r="BG1054" s="586" t="e">
        <f t="shared" si="181"/>
        <v>#DIV/0!</v>
      </c>
      <c r="BH1054" s="571" t="e">
        <f t="shared" si="182"/>
        <v>#DIV/0!</v>
      </c>
    </row>
    <row r="1055" spans="55:60" s="39" customFormat="1">
      <c r="BC1055" s="573">
        <v>10.44</v>
      </c>
      <c r="BD1055" s="571">
        <f t="shared" si="179"/>
        <v>0</v>
      </c>
      <c r="BE1055" s="571">
        <f t="shared" si="183"/>
        <v>0</v>
      </c>
      <c r="BF1055" s="586">
        <f t="shared" si="180"/>
        <v>0</v>
      </c>
      <c r="BG1055" s="586" t="e">
        <f t="shared" si="181"/>
        <v>#DIV/0!</v>
      </c>
      <c r="BH1055" s="571" t="e">
        <f t="shared" si="182"/>
        <v>#DIV/0!</v>
      </c>
    </row>
    <row r="1056" spans="55:60" s="39" customFormat="1">
      <c r="BC1056" s="573">
        <v>10.45</v>
      </c>
      <c r="BD1056" s="571">
        <f t="shared" si="179"/>
        <v>0</v>
      </c>
      <c r="BE1056" s="571">
        <f t="shared" si="183"/>
        <v>0</v>
      </c>
      <c r="BF1056" s="586">
        <f t="shared" si="180"/>
        <v>0</v>
      </c>
      <c r="BG1056" s="586" t="e">
        <f t="shared" si="181"/>
        <v>#DIV/0!</v>
      </c>
      <c r="BH1056" s="571" t="e">
        <f t="shared" si="182"/>
        <v>#DIV/0!</v>
      </c>
    </row>
    <row r="1057" spans="55:60" s="39" customFormat="1">
      <c r="BC1057" s="573">
        <v>10.46</v>
      </c>
      <c r="BD1057" s="571">
        <f t="shared" si="179"/>
        <v>0</v>
      </c>
      <c r="BE1057" s="571">
        <f t="shared" si="183"/>
        <v>0</v>
      </c>
      <c r="BF1057" s="586">
        <f t="shared" si="180"/>
        <v>0</v>
      </c>
      <c r="BG1057" s="586" t="e">
        <f t="shared" si="181"/>
        <v>#DIV/0!</v>
      </c>
      <c r="BH1057" s="571" t="e">
        <f t="shared" si="182"/>
        <v>#DIV/0!</v>
      </c>
    </row>
    <row r="1058" spans="55:60" s="39" customFormat="1">
      <c r="BC1058" s="573">
        <v>10.47</v>
      </c>
      <c r="BD1058" s="571">
        <f t="shared" si="179"/>
        <v>0</v>
      </c>
      <c r="BE1058" s="571">
        <f t="shared" si="183"/>
        <v>0</v>
      </c>
      <c r="BF1058" s="586">
        <f t="shared" si="180"/>
        <v>0</v>
      </c>
      <c r="BG1058" s="586" t="e">
        <f t="shared" si="181"/>
        <v>#DIV/0!</v>
      </c>
      <c r="BH1058" s="571" t="e">
        <f t="shared" si="182"/>
        <v>#DIV/0!</v>
      </c>
    </row>
    <row r="1059" spans="55:60" s="39" customFormat="1">
      <c r="BC1059" s="573">
        <v>10.48</v>
      </c>
      <c r="BD1059" s="571">
        <f t="shared" si="179"/>
        <v>0</v>
      </c>
      <c r="BE1059" s="571">
        <f t="shared" si="183"/>
        <v>0</v>
      </c>
      <c r="BF1059" s="586">
        <f t="shared" si="180"/>
        <v>0</v>
      </c>
      <c r="BG1059" s="586" t="e">
        <f t="shared" si="181"/>
        <v>#DIV/0!</v>
      </c>
      <c r="BH1059" s="571" t="e">
        <f t="shared" si="182"/>
        <v>#DIV/0!</v>
      </c>
    </row>
    <row r="1060" spans="55:60" s="39" customFormat="1">
      <c r="BC1060" s="573">
        <v>10.49</v>
      </c>
      <c r="BD1060" s="571">
        <f t="shared" si="179"/>
        <v>0</v>
      </c>
      <c r="BE1060" s="571">
        <f t="shared" si="183"/>
        <v>0</v>
      </c>
      <c r="BF1060" s="586">
        <f t="shared" si="180"/>
        <v>0</v>
      </c>
      <c r="BG1060" s="586" t="e">
        <f t="shared" si="181"/>
        <v>#DIV/0!</v>
      </c>
      <c r="BH1060" s="571" t="e">
        <f t="shared" si="182"/>
        <v>#DIV/0!</v>
      </c>
    </row>
    <row r="1061" spans="55:60" s="39" customFormat="1">
      <c r="BC1061" s="573">
        <v>10.5</v>
      </c>
      <c r="BD1061" s="571">
        <f t="shared" si="179"/>
        <v>0</v>
      </c>
      <c r="BE1061" s="571">
        <f t="shared" si="183"/>
        <v>0</v>
      </c>
      <c r="BF1061" s="586">
        <f t="shared" si="180"/>
        <v>0</v>
      </c>
      <c r="BG1061" s="586" t="e">
        <f t="shared" si="181"/>
        <v>#DIV/0!</v>
      </c>
      <c r="BH1061" s="571" t="e">
        <f t="shared" si="182"/>
        <v>#DIV/0!</v>
      </c>
    </row>
    <row r="1062" spans="55:60" s="39" customFormat="1">
      <c r="BC1062" s="573">
        <v>10.51</v>
      </c>
      <c r="BD1062" s="571">
        <f t="shared" si="179"/>
        <v>0</v>
      </c>
      <c r="BE1062" s="571">
        <f t="shared" si="183"/>
        <v>0</v>
      </c>
      <c r="BF1062" s="586">
        <f t="shared" si="180"/>
        <v>0</v>
      </c>
      <c r="BG1062" s="586" t="e">
        <f t="shared" si="181"/>
        <v>#DIV/0!</v>
      </c>
      <c r="BH1062" s="571" t="e">
        <f t="shared" si="182"/>
        <v>#DIV/0!</v>
      </c>
    </row>
    <row r="1063" spans="55:60" s="39" customFormat="1">
      <c r="BC1063" s="573">
        <v>10.52</v>
      </c>
      <c r="BD1063" s="571">
        <f t="shared" si="179"/>
        <v>0</v>
      </c>
      <c r="BE1063" s="571">
        <f t="shared" si="183"/>
        <v>0</v>
      </c>
      <c r="BF1063" s="586">
        <f t="shared" si="180"/>
        <v>0</v>
      </c>
      <c r="BG1063" s="586" t="e">
        <f t="shared" si="181"/>
        <v>#DIV/0!</v>
      </c>
      <c r="BH1063" s="571" t="e">
        <f t="shared" si="182"/>
        <v>#DIV/0!</v>
      </c>
    </row>
    <row r="1064" spans="55:60" s="39" customFormat="1">
      <c r="BC1064" s="573">
        <v>10.53</v>
      </c>
      <c r="BD1064" s="571">
        <f t="shared" si="179"/>
        <v>0</v>
      </c>
      <c r="BE1064" s="571">
        <f t="shared" si="183"/>
        <v>0</v>
      </c>
      <c r="BF1064" s="586">
        <f t="shared" si="180"/>
        <v>0</v>
      </c>
      <c r="BG1064" s="586" t="e">
        <f t="shared" si="181"/>
        <v>#DIV/0!</v>
      </c>
      <c r="BH1064" s="571" t="e">
        <f t="shared" si="182"/>
        <v>#DIV/0!</v>
      </c>
    </row>
    <row r="1065" spans="55:60" s="39" customFormat="1">
      <c r="BC1065" s="573">
        <v>10.54</v>
      </c>
      <c r="BD1065" s="571">
        <f t="shared" si="179"/>
        <v>0</v>
      </c>
      <c r="BE1065" s="571">
        <f t="shared" si="183"/>
        <v>0</v>
      </c>
      <c r="BF1065" s="586">
        <f t="shared" si="180"/>
        <v>0</v>
      </c>
      <c r="BG1065" s="586" t="e">
        <f t="shared" si="181"/>
        <v>#DIV/0!</v>
      </c>
      <c r="BH1065" s="571" t="e">
        <f t="shared" si="182"/>
        <v>#DIV/0!</v>
      </c>
    </row>
    <row r="1066" spans="55:60" s="39" customFormat="1">
      <c r="BC1066" s="573">
        <v>10.55</v>
      </c>
      <c r="BD1066" s="571">
        <f t="shared" si="179"/>
        <v>0</v>
      </c>
      <c r="BE1066" s="571">
        <f t="shared" si="183"/>
        <v>0</v>
      </c>
      <c r="BF1066" s="586">
        <f t="shared" si="180"/>
        <v>0</v>
      </c>
      <c r="BG1066" s="586" t="e">
        <f t="shared" si="181"/>
        <v>#DIV/0!</v>
      </c>
      <c r="BH1066" s="571" t="e">
        <f t="shared" si="182"/>
        <v>#DIV/0!</v>
      </c>
    </row>
    <row r="1067" spans="55:60" s="39" customFormat="1">
      <c r="BC1067" s="573">
        <v>10.56</v>
      </c>
      <c r="BD1067" s="571">
        <f t="shared" si="179"/>
        <v>0</v>
      </c>
      <c r="BE1067" s="571">
        <f t="shared" si="183"/>
        <v>0</v>
      </c>
      <c r="BF1067" s="586">
        <f t="shared" si="180"/>
        <v>0</v>
      </c>
      <c r="BG1067" s="586" t="e">
        <f t="shared" si="181"/>
        <v>#DIV/0!</v>
      </c>
      <c r="BH1067" s="571" t="e">
        <f t="shared" si="182"/>
        <v>#DIV/0!</v>
      </c>
    </row>
    <row r="1068" spans="55:60" s="39" customFormat="1">
      <c r="BC1068" s="573">
        <v>10.57</v>
      </c>
      <c r="BD1068" s="571">
        <f t="shared" si="179"/>
        <v>0</v>
      </c>
      <c r="BE1068" s="571">
        <f t="shared" si="183"/>
        <v>0</v>
      </c>
      <c r="BF1068" s="586">
        <f t="shared" si="180"/>
        <v>0</v>
      </c>
      <c r="BG1068" s="586" t="e">
        <f t="shared" si="181"/>
        <v>#DIV/0!</v>
      </c>
      <c r="BH1068" s="571" t="e">
        <f t="shared" si="182"/>
        <v>#DIV/0!</v>
      </c>
    </row>
    <row r="1069" spans="55:60" s="39" customFormat="1">
      <c r="BC1069" s="573">
        <v>10.58</v>
      </c>
      <c r="BD1069" s="571">
        <f t="shared" si="179"/>
        <v>0</v>
      </c>
      <c r="BE1069" s="571">
        <f t="shared" si="183"/>
        <v>0</v>
      </c>
      <c r="BF1069" s="586">
        <f t="shared" si="180"/>
        <v>0</v>
      </c>
      <c r="BG1069" s="586" t="e">
        <f t="shared" si="181"/>
        <v>#DIV/0!</v>
      </c>
      <c r="BH1069" s="571" t="e">
        <f t="shared" si="182"/>
        <v>#DIV/0!</v>
      </c>
    </row>
    <row r="1070" spans="55:60" s="39" customFormat="1">
      <c r="BC1070" s="573">
        <v>10.59</v>
      </c>
      <c r="BD1070" s="571">
        <f t="shared" si="179"/>
        <v>0</v>
      </c>
      <c r="BE1070" s="571">
        <f t="shared" si="183"/>
        <v>0</v>
      </c>
      <c r="BF1070" s="586">
        <f t="shared" si="180"/>
        <v>0</v>
      </c>
      <c r="BG1070" s="586" t="e">
        <f t="shared" si="181"/>
        <v>#DIV/0!</v>
      </c>
      <c r="BH1070" s="571" t="e">
        <f t="shared" si="182"/>
        <v>#DIV/0!</v>
      </c>
    </row>
    <row r="1071" spans="55:60" s="39" customFormat="1">
      <c r="BC1071" s="573">
        <v>10.6</v>
      </c>
      <c r="BD1071" s="571">
        <f t="shared" si="179"/>
        <v>0</v>
      </c>
      <c r="BE1071" s="571">
        <f t="shared" si="183"/>
        <v>0</v>
      </c>
      <c r="BF1071" s="586">
        <f t="shared" si="180"/>
        <v>0</v>
      </c>
      <c r="BG1071" s="586" t="e">
        <f t="shared" si="181"/>
        <v>#DIV/0!</v>
      </c>
      <c r="BH1071" s="571" t="e">
        <f t="shared" si="182"/>
        <v>#DIV/0!</v>
      </c>
    </row>
    <row r="1072" spans="55:60" s="39" customFormat="1">
      <c r="BC1072" s="573">
        <v>10.61</v>
      </c>
      <c r="BD1072" s="571">
        <f t="shared" si="179"/>
        <v>0</v>
      </c>
      <c r="BE1072" s="571">
        <f t="shared" si="183"/>
        <v>0</v>
      </c>
      <c r="BF1072" s="586">
        <f t="shared" si="180"/>
        <v>0</v>
      </c>
      <c r="BG1072" s="586" t="e">
        <f t="shared" si="181"/>
        <v>#DIV/0!</v>
      </c>
      <c r="BH1072" s="571" t="e">
        <f t="shared" si="182"/>
        <v>#DIV/0!</v>
      </c>
    </row>
    <row r="1073" spans="55:60" s="39" customFormat="1">
      <c r="BC1073" s="573">
        <v>10.62</v>
      </c>
      <c r="BD1073" s="571">
        <f t="shared" si="179"/>
        <v>0</v>
      </c>
      <c r="BE1073" s="571">
        <f t="shared" si="183"/>
        <v>0</v>
      </c>
      <c r="BF1073" s="586">
        <f t="shared" si="180"/>
        <v>0</v>
      </c>
      <c r="BG1073" s="586" t="e">
        <f t="shared" si="181"/>
        <v>#DIV/0!</v>
      </c>
      <c r="BH1073" s="571" t="e">
        <f t="shared" si="182"/>
        <v>#DIV/0!</v>
      </c>
    </row>
    <row r="1074" spans="55:60" s="39" customFormat="1">
      <c r="BC1074" s="573">
        <v>10.63</v>
      </c>
      <c r="BD1074" s="571">
        <f t="shared" si="179"/>
        <v>0</v>
      </c>
      <c r="BE1074" s="571">
        <f t="shared" si="183"/>
        <v>0</v>
      </c>
      <c r="BF1074" s="586">
        <f t="shared" si="180"/>
        <v>0</v>
      </c>
      <c r="BG1074" s="586" t="e">
        <f t="shared" si="181"/>
        <v>#DIV/0!</v>
      </c>
      <c r="BH1074" s="571" t="e">
        <f t="shared" si="182"/>
        <v>#DIV/0!</v>
      </c>
    </row>
    <row r="1075" spans="55:60" s="39" customFormat="1">
      <c r="BC1075" s="573">
        <v>10.64</v>
      </c>
      <c r="BD1075" s="571">
        <f t="shared" si="179"/>
        <v>0</v>
      </c>
      <c r="BE1075" s="571">
        <f t="shared" si="183"/>
        <v>0</v>
      </c>
      <c r="BF1075" s="586">
        <f t="shared" si="180"/>
        <v>0</v>
      </c>
      <c r="BG1075" s="586" t="e">
        <f t="shared" si="181"/>
        <v>#DIV/0!</v>
      </c>
      <c r="BH1075" s="571" t="e">
        <f t="shared" si="182"/>
        <v>#DIV/0!</v>
      </c>
    </row>
    <row r="1076" spans="55:60" s="39" customFormat="1">
      <c r="BC1076" s="573">
        <v>10.65</v>
      </c>
      <c r="BD1076" s="571">
        <f t="shared" si="179"/>
        <v>0</v>
      </c>
      <c r="BE1076" s="571">
        <f t="shared" si="183"/>
        <v>0</v>
      </c>
      <c r="BF1076" s="586">
        <f t="shared" si="180"/>
        <v>0</v>
      </c>
      <c r="BG1076" s="586" t="e">
        <f t="shared" si="181"/>
        <v>#DIV/0!</v>
      </c>
      <c r="BH1076" s="571" t="e">
        <f t="shared" si="182"/>
        <v>#DIV/0!</v>
      </c>
    </row>
    <row r="1077" spans="55:60" s="39" customFormat="1">
      <c r="BC1077" s="573">
        <v>10.66</v>
      </c>
      <c r="BD1077" s="571">
        <f t="shared" si="179"/>
        <v>0</v>
      </c>
      <c r="BE1077" s="571">
        <f t="shared" si="183"/>
        <v>0</v>
      </c>
      <c r="BF1077" s="586">
        <f t="shared" si="180"/>
        <v>0</v>
      </c>
      <c r="BG1077" s="586" t="e">
        <f t="shared" si="181"/>
        <v>#DIV/0!</v>
      </c>
      <c r="BH1077" s="571" t="e">
        <f t="shared" si="182"/>
        <v>#DIV/0!</v>
      </c>
    </row>
    <row r="1078" spans="55:60" s="39" customFormat="1">
      <c r="BC1078" s="573">
        <v>10.67</v>
      </c>
      <c r="BD1078" s="571">
        <f t="shared" si="179"/>
        <v>0</v>
      </c>
      <c r="BE1078" s="571">
        <f t="shared" si="183"/>
        <v>0</v>
      </c>
      <c r="BF1078" s="586">
        <f t="shared" si="180"/>
        <v>0</v>
      </c>
      <c r="BG1078" s="586" t="e">
        <f t="shared" si="181"/>
        <v>#DIV/0!</v>
      </c>
      <c r="BH1078" s="571" t="e">
        <f t="shared" si="182"/>
        <v>#DIV/0!</v>
      </c>
    </row>
    <row r="1079" spans="55:60" s="39" customFormat="1">
      <c r="BC1079" s="573">
        <v>10.68</v>
      </c>
      <c r="BD1079" s="571">
        <f t="shared" si="179"/>
        <v>0</v>
      </c>
      <c r="BE1079" s="571">
        <f t="shared" si="183"/>
        <v>0</v>
      </c>
      <c r="BF1079" s="586">
        <f t="shared" si="180"/>
        <v>0</v>
      </c>
      <c r="BG1079" s="586" t="e">
        <f t="shared" si="181"/>
        <v>#DIV/0!</v>
      </c>
      <c r="BH1079" s="571" t="e">
        <f t="shared" si="182"/>
        <v>#DIV/0!</v>
      </c>
    </row>
    <row r="1080" spans="55:60" s="39" customFormat="1">
      <c r="BC1080" s="573">
        <v>10.69</v>
      </c>
      <c r="BD1080" s="571">
        <f t="shared" si="179"/>
        <v>0</v>
      </c>
      <c r="BE1080" s="571">
        <f t="shared" si="183"/>
        <v>0</v>
      </c>
      <c r="BF1080" s="586">
        <f t="shared" si="180"/>
        <v>0</v>
      </c>
      <c r="BG1080" s="586" t="e">
        <f t="shared" si="181"/>
        <v>#DIV/0!</v>
      </c>
      <c r="BH1080" s="571" t="e">
        <f t="shared" si="182"/>
        <v>#DIV/0!</v>
      </c>
    </row>
    <row r="1081" spans="55:60" s="39" customFormat="1">
      <c r="BC1081" s="573">
        <v>10.7</v>
      </c>
      <c r="BD1081" s="571">
        <f t="shared" si="179"/>
        <v>0</v>
      </c>
      <c r="BE1081" s="571">
        <f t="shared" si="183"/>
        <v>0</v>
      </c>
      <c r="BF1081" s="586">
        <f t="shared" si="180"/>
        <v>0</v>
      </c>
      <c r="BG1081" s="586" t="e">
        <f t="shared" si="181"/>
        <v>#DIV/0!</v>
      </c>
      <c r="BH1081" s="571" t="e">
        <f t="shared" si="182"/>
        <v>#DIV/0!</v>
      </c>
    </row>
    <row r="1082" spans="55:60" s="39" customFormat="1">
      <c r="BC1082" s="573">
        <v>10.71</v>
      </c>
      <c r="BD1082" s="571">
        <f t="shared" si="179"/>
        <v>0</v>
      </c>
      <c r="BE1082" s="571">
        <f t="shared" si="183"/>
        <v>0</v>
      </c>
      <c r="BF1082" s="586">
        <f t="shared" si="180"/>
        <v>0</v>
      </c>
      <c r="BG1082" s="586" t="e">
        <f t="shared" si="181"/>
        <v>#DIV/0!</v>
      </c>
      <c r="BH1082" s="571" t="e">
        <f t="shared" si="182"/>
        <v>#DIV/0!</v>
      </c>
    </row>
    <row r="1083" spans="55:60" s="39" customFormat="1">
      <c r="BC1083" s="573">
        <v>10.72</v>
      </c>
      <c r="BD1083" s="571">
        <f t="shared" si="179"/>
        <v>0</v>
      </c>
      <c r="BE1083" s="571">
        <f t="shared" si="183"/>
        <v>0</v>
      </c>
      <c r="BF1083" s="586">
        <f t="shared" si="180"/>
        <v>0</v>
      </c>
      <c r="BG1083" s="586" t="e">
        <f t="shared" si="181"/>
        <v>#DIV/0!</v>
      </c>
      <c r="BH1083" s="571" t="e">
        <f t="shared" si="182"/>
        <v>#DIV/0!</v>
      </c>
    </row>
    <row r="1084" spans="55:60" s="39" customFormat="1">
      <c r="BC1084" s="573">
        <v>10.73</v>
      </c>
      <c r="BD1084" s="571">
        <f t="shared" si="179"/>
        <v>0</v>
      </c>
      <c r="BE1084" s="571">
        <f t="shared" si="183"/>
        <v>0</v>
      </c>
      <c r="BF1084" s="586">
        <f t="shared" si="180"/>
        <v>0</v>
      </c>
      <c r="BG1084" s="586" t="e">
        <f t="shared" si="181"/>
        <v>#DIV/0!</v>
      </c>
      <c r="BH1084" s="571" t="e">
        <f t="shared" si="182"/>
        <v>#DIV/0!</v>
      </c>
    </row>
    <row r="1085" spans="55:60" s="39" customFormat="1">
      <c r="BC1085" s="573">
        <v>10.74</v>
      </c>
      <c r="BD1085" s="571">
        <f t="shared" si="179"/>
        <v>0</v>
      </c>
      <c r="BE1085" s="571">
        <f t="shared" si="183"/>
        <v>0</v>
      </c>
      <c r="BF1085" s="586">
        <f t="shared" si="180"/>
        <v>0</v>
      </c>
      <c r="BG1085" s="586" t="e">
        <f t="shared" si="181"/>
        <v>#DIV/0!</v>
      </c>
      <c r="BH1085" s="571" t="e">
        <f t="shared" si="182"/>
        <v>#DIV/0!</v>
      </c>
    </row>
    <row r="1086" spans="55:60" s="39" customFormat="1">
      <c r="BC1086" s="573">
        <v>10.75</v>
      </c>
      <c r="BD1086" s="571">
        <f t="shared" si="179"/>
        <v>0</v>
      </c>
      <c r="BE1086" s="571">
        <f t="shared" si="183"/>
        <v>0</v>
      </c>
      <c r="BF1086" s="586">
        <f t="shared" si="180"/>
        <v>0</v>
      </c>
      <c r="BG1086" s="586" t="e">
        <f t="shared" si="181"/>
        <v>#DIV/0!</v>
      </c>
      <c r="BH1086" s="571" t="e">
        <f t="shared" si="182"/>
        <v>#DIV/0!</v>
      </c>
    </row>
    <row r="1087" spans="55:60" s="39" customFormat="1">
      <c r="BC1087" s="573">
        <v>10.76</v>
      </c>
      <c r="BD1087" s="571">
        <f t="shared" si="179"/>
        <v>0</v>
      </c>
      <c r="BE1087" s="571">
        <f t="shared" si="183"/>
        <v>0</v>
      </c>
      <c r="BF1087" s="586">
        <f t="shared" si="180"/>
        <v>0</v>
      </c>
      <c r="BG1087" s="586" t="e">
        <f t="shared" si="181"/>
        <v>#DIV/0!</v>
      </c>
      <c r="BH1087" s="571" t="e">
        <f t="shared" si="182"/>
        <v>#DIV/0!</v>
      </c>
    </row>
    <row r="1088" spans="55:60" s="39" customFormat="1">
      <c r="BC1088" s="573">
        <v>10.77</v>
      </c>
      <c r="BD1088" s="571">
        <f t="shared" si="179"/>
        <v>0</v>
      </c>
      <c r="BE1088" s="571">
        <f t="shared" si="183"/>
        <v>0</v>
      </c>
      <c r="BF1088" s="586">
        <f t="shared" si="180"/>
        <v>0</v>
      </c>
      <c r="BG1088" s="586" t="e">
        <f t="shared" si="181"/>
        <v>#DIV/0!</v>
      </c>
      <c r="BH1088" s="571" t="e">
        <f t="shared" si="182"/>
        <v>#DIV/0!</v>
      </c>
    </row>
    <row r="1089" spans="55:60" s="39" customFormat="1">
      <c r="BC1089" s="573">
        <v>10.78</v>
      </c>
      <c r="BD1089" s="571">
        <f t="shared" si="179"/>
        <v>0</v>
      </c>
      <c r="BE1089" s="571">
        <f t="shared" si="183"/>
        <v>0</v>
      </c>
      <c r="BF1089" s="586">
        <f t="shared" si="180"/>
        <v>0</v>
      </c>
      <c r="BG1089" s="586" t="e">
        <f t="shared" si="181"/>
        <v>#DIV/0!</v>
      </c>
      <c r="BH1089" s="571" t="e">
        <f t="shared" si="182"/>
        <v>#DIV/0!</v>
      </c>
    </row>
    <row r="1090" spans="55:60" s="39" customFormat="1">
      <c r="BC1090" s="573">
        <v>10.79</v>
      </c>
      <c r="BD1090" s="571">
        <f t="shared" si="179"/>
        <v>0</v>
      </c>
      <c r="BE1090" s="571">
        <f t="shared" si="183"/>
        <v>0</v>
      </c>
      <c r="BF1090" s="586">
        <f t="shared" si="180"/>
        <v>0</v>
      </c>
      <c r="BG1090" s="586" t="e">
        <f t="shared" si="181"/>
        <v>#DIV/0!</v>
      </c>
      <c r="BH1090" s="571" t="e">
        <f t="shared" si="182"/>
        <v>#DIV/0!</v>
      </c>
    </row>
    <row r="1091" spans="55:60" s="39" customFormat="1">
      <c r="BC1091" s="573">
        <v>10.8</v>
      </c>
      <c r="BD1091" s="571">
        <f t="shared" si="179"/>
        <v>0</v>
      </c>
      <c r="BE1091" s="571">
        <f t="shared" si="183"/>
        <v>0</v>
      </c>
      <c r="BF1091" s="586">
        <f t="shared" si="180"/>
        <v>0</v>
      </c>
      <c r="BG1091" s="586" t="e">
        <f t="shared" si="181"/>
        <v>#DIV/0!</v>
      </c>
      <c r="BH1091" s="571" t="e">
        <f t="shared" si="182"/>
        <v>#DIV/0!</v>
      </c>
    </row>
    <row r="1092" spans="55:60" s="39" customFormat="1">
      <c r="BC1092" s="573">
        <v>10.81</v>
      </c>
      <c r="BD1092" s="571">
        <f t="shared" si="179"/>
        <v>0</v>
      </c>
      <c r="BE1092" s="571">
        <f t="shared" si="183"/>
        <v>0</v>
      </c>
      <c r="BF1092" s="586">
        <f t="shared" si="180"/>
        <v>0</v>
      </c>
      <c r="BG1092" s="586" t="e">
        <f t="shared" si="181"/>
        <v>#DIV/0!</v>
      </c>
      <c r="BH1092" s="571" t="e">
        <f t="shared" si="182"/>
        <v>#DIV/0!</v>
      </c>
    </row>
    <row r="1093" spans="55:60" s="39" customFormat="1">
      <c r="BC1093" s="573">
        <v>10.82</v>
      </c>
      <c r="BD1093" s="571">
        <f t="shared" si="179"/>
        <v>0</v>
      </c>
      <c r="BE1093" s="571">
        <f t="shared" si="183"/>
        <v>0</v>
      </c>
      <c r="BF1093" s="586">
        <f t="shared" si="180"/>
        <v>0</v>
      </c>
      <c r="BG1093" s="586" t="e">
        <f t="shared" si="181"/>
        <v>#DIV/0!</v>
      </c>
      <c r="BH1093" s="571" t="e">
        <f t="shared" si="182"/>
        <v>#DIV/0!</v>
      </c>
    </row>
    <row r="1094" spans="55:60" s="39" customFormat="1">
      <c r="BC1094" s="573">
        <v>10.83</v>
      </c>
      <c r="BD1094" s="571">
        <f t="shared" si="179"/>
        <v>0</v>
      </c>
      <c r="BE1094" s="571">
        <f t="shared" si="183"/>
        <v>0</v>
      </c>
      <c r="BF1094" s="586">
        <f t="shared" si="180"/>
        <v>0</v>
      </c>
      <c r="BG1094" s="586" t="e">
        <f t="shared" si="181"/>
        <v>#DIV/0!</v>
      </c>
      <c r="BH1094" s="571" t="e">
        <f t="shared" si="182"/>
        <v>#DIV/0!</v>
      </c>
    </row>
    <row r="1095" spans="55:60" s="39" customFormat="1">
      <c r="BC1095" s="573">
        <v>10.84</v>
      </c>
      <c r="BD1095" s="571">
        <f t="shared" si="179"/>
        <v>0</v>
      </c>
      <c r="BE1095" s="571">
        <f t="shared" si="183"/>
        <v>0</v>
      </c>
      <c r="BF1095" s="586">
        <f t="shared" si="180"/>
        <v>0</v>
      </c>
      <c r="BG1095" s="586" t="e">
        <f t="shared" si="181"/>
        <v>#DIV/0!</v>
      </c>
      <c r="BH1095" s="571" t="e">
        <f t="shared" si="182"/>
        <v>#DIV/0!</v>
      </c>
    </row>
    <row r="1096" spans="55:60" s="39" customFormat="1">
      <c r="BC1096" s="573">
        <v>10.85</v>
      </c>
      <c r="BD1096" s="571">
        <f t="shared" si="179"/>
        <v>0</v>
      </c>
      <c r="BE1096" s="571">
        <f t="shared" si="183"/>
        <v>0</v>
      </c>
      <c r="BF1096" s="586">
        <f t="shared" si="180"/>
        <v>0</v>
      </c>
      <c r="BG1096" s="586" t="e">
        <f t="shared" si="181"/>
        <v>#DIV/0!</v>
      </c>
      <c r="BH1096" s="571" t="e">
        <f t="shared" si="182"/>
        <v>#DIV/0!</v>
      </c>
    </row>
    <row r="1097" spans="55:60" s="39" customFormat="1">
      <c r="BC1097" s="573">
        <v>10.86</v>
      </c>
      <c r="BD1097" s="571">
        <f t="shared" si="179"/>
        <v>0</v>
      </c>
      <c r="BE1097" s="571">
        <f t="shared" si="183"/>
        <v>0</v>
      </c>
      <c r="BF1097" s="586">
        <f t="shared" si="180"/>
        <v>0</v>
      </c>
      <c r="BG1097" s="586" t="e">
        <f t="shared" si="181"/>
        <v>#DIV/0!</v>
      </c>
      <c r="BH1097" s="571" t="e">
        <f t="shared" si="182"/>
        <v>#DIV/0!</v>
      </c>
    </row>
    <row r="1098" spans="55:60" s="39" customFormat="1">
      <c r="BC1098" s="573">
        <v>10.87</v>
      </c>
      <c r="BD1098" s="571">
        <f t="shared" si="179"/>
        <v>0</v>
      </c>
      <c r="BE1098" s="571">
        <f t="shared" si="183"/>
        <v>0</v>
      </c>
      <c r="BF1098" s="586">
        <f t="shared" si="180"/>
        <v>0</v>
      </c>
      <c r="BG1098" s="586" t="e">
        <f t="shared" si="181"/>
        <v>#DIV/0!</v>
      </c>
      <c r="BH1098" s="571" t="e">
        <f t="shared" si="182"/>
        <v>#DIV/0!</v>
      </c>
    </row>
    <row r="1099" spans="55:60" s="39" customFormat="1">
      <c r="BC1099" s="573">
        <v>10.88</v>
      </c>
      <c r="BD1099" s="571">
        <f t="shared" si="179"/>
        <v>0</v>
      </c>
      <c r="BE1099" s="571">
        <f t="shared" si="183"/>
        <v>0</v>
      </c>
      <c r="BF1099" s="586">
        <f t="shared" si="180"/>
        <v>0</v>
      </c>
      <c r="BG1099" s="586" t="e">
        <f t="shared" si="181"/>
        <v>#DIV/0!</v>
      </c>
      <c r="BH1099" s="571" t="e">
        <f t="shared" si="182"/>
        <v>#DIV/0!</v>
      </c>
    </row>
    <row r="1100" spans="55:60" s="39" customFormat="1">
      <c r="BC1100" s="573">
        <v>10.89</v>
      </c>
      <c r="BD1100" s="571">
        <f t="shared" ref="BD1100:BD1163" si="184">$AU$15/BC1100</f>
        <v>0</v>
      </c>
      <c r="BE1100" s="571">
        <f t="shared" si="183"/>
        <v>0</v>
      </c>
      <c r="BF1100" s="586">
        <f t="shared" ref="BF1100:BF1163" si="185">BC1100*(BE1100/1000)/$AO$12</f>
        <v>0</v>
      </c>
      <c r="BG1100" s="586" t="e">
        <f t="shared" ref="BG1100:BG1163" si="186">POWER((1/(-1.8*LOG((6.9/BF1100+POWER((($P$7/BE1100)/3.71),1.11)),10))),2)</f>
        <v>#DIV/0!</v>
      </c>
      <c r="BH1100" s="571" t="e">
        <f t="shared" ref="BH1100:BH1163" si="187">BG1100*0.5*$P$6*16*$AU$15*$AU$15/(POWER(PI(),2)*POWER((BE1100/1000),5))</f>
        <v>#DIV/0!</v>
      </c>
    </row>
    <row r="1101" spans="55:60" s="39" customFormat="1">
      <c r="BC1101" s="573">
        <v>10.9</v>
      </c>
      <c r="BD1101" s="571">
        <f t="shared" si="184"/>
        <v>0</v>
      </c>
      <c r="BE1101" s="571">
        <f t="shared" ref="BE1101:BE1164" si="188">((BD1101/PI())^0.5)*2*1000</f>
        <v>0</v>
      </c>
      <c r="BF1101" s="586">
        <f t="shared" si="185"/>
        <v>0</v>
      </c>
      <c r="BG1101" s="586" t="e">
        <f t="shared" si="186"/>
        <v>#DIV/0!</v>
      </c>
      <c r="BH1101" s="571" t="e">
        <f t="shared" si="187"/>
        <v>#DIV/0!</v>
      </c>
    </row>
    <row r="1102" spans="55:60" s="39" customFormat="1">
      <c r="BC1102" s="573">
        <v>10.91</v>
      </c>
      <c r="BD1102" s="571">
        <f t="shared" si="184"/>
        <v>0</v>
      </c>
      <c r="BE1102" s="571">
        <f t="shared" si="188"/>
        <v>0</v>
      </c>
      <c r="BF1102" s="586">
        <f t="shared" si="185"/>
        <v>0</v>
      </c>
      <c r="BG1102" s="586" t="e">
        <f t="shared" si="186"/>
        <v>#DIV/0!</v>
      </c>
      <c r="BH1102" s="571" t="e">
        <f t="shared" si="187"/>
        <v>#DIV/0!</v>
      </c>
    </row>
    <row r="1103" spans="55:60" s="39" customFormat="1">
      <c r="BC1103" s="573">
        <v>10.92</v>
      </c>
      <c r="BD1103" s="571">
        <f t="shared" si="184"/>
        <v>0</v>
      </c>
      <c r="BE1103" s="571">
        <f t="shared" si="188"/>
        <v>0</v>
      </c>
      <c r="BF1103" s="586">
        <f t="shared" si="185"/>
        <v>0</v>
      </c>
      <c r="BG1103" s="586" t="e">
        <f t="shared" si="186"/>
        <v>#DIV/0!</v>
      </c>
      <c r="BH1103" s="571" t="e">
        <f t="shared" si="187"/>
        <v>#DIV/0!</v>
      </c>
    </row>
    <row r="1104" spans="55:60" s="39" customFormat="1">
      <c r="BC1104" s="573">
        <v>10.93</v>
      </c>
      <c r="BD1104" s="571">
        <f t="shared" si="184"/>
        <v>0</v>
      </c>
      <c r="BE1104" s="571">
        <f t="shared" si="188"/>
        <v>0</v>
      </c>
      <c r="BF1104" s="586">
        <f t="shared" si="185"/>
        <v>0</v>
      </c>
      <c r="BG1104" s="586" t="e">
        <f t="shared" si="186"/>
        <v>#DIV/0!</v>
      </c>
      <c r="BH1104" s="571" t="e">
        <f t="shared" si="187"/>
        <v>#DIV/0!</v>
      </c>
    </row>
    <row r="1105" spans="55:60" s="39" customFormat="1">
      <c r="BC1105" s="573">
        <v>10.94</v>
      </c>
      <c r="BD1105" s="571">
        <f t="shared" si="184"/>
        <v>0</v>
      </c>
      <c r="BE1105" s="571">
        <f t="shared" si="188"/>
        <v>0</v>
      </c>
      <c r="BF1105" s="586">
        <f t="shared" si="185"/>
        <v>0</v>
      </c>
      <c r="BG1105" s="586" t="e">
        <f t="shared" si="186"/>
        <v>#DIV/0!</v>
      </c>
      <c r="BH1105" s="571" t="e">
        <f t="shared" si="187"/>
        <v>#DIV/0!</v>
      </c>
    </row>
    <row r="1106" spans="55:60" s="39" customFormat="1">
      <c r="BC1106" s="573">
        <v>10.95</v>
      </c>
      <c r="BD1106" s="571">
        <f t="shared" si="184"/>
        <v>0</v>
      </c>
      <c r="BE1106" s="571">
        <f t="shared" si="188"/>
        <v>0</v>
      </c>
      <c r="BF1106" s="586">
        <f t="shared" si="185"/>
        <v>0</v>
      </c>
      <c r="BG1106" s="586" t="e">
        <f t="shared" si="186"/>
        <v>#DIV/0!</v>
      </c>
      <c r="BH1106" s="571" t="e">
        <f t="shared" si="187"/>
        <v>#DIV/0!</v>
      </c>
    </row>
    <row r="1107" spans="55:60" s="39" customFormat="1">
      <c r="BC1107" s="573">
        <v>10.96</v>
      </c>
      <c r="BD1107" s="571">
        <f t="shared" si="184"/>
        <v>0</v>
      </c>
      <c r="BE1107" s="571">
        <f t="shared" si="188"/>
        <v>0</v>
      </c>
      <c r="BF1107" s="586">
        <f t="shared" si="185"/>
        <v>0</v>
      </c>
      <c r="BG1107" s="586" t="e">
        <f t="shared" si="186"/>
        <v>#DIV/0!</v>
      </c>
      <c r="BH1107" s="571" t="e">
        <f t="shared" si="187"/>
        <v>#DIV/0!</v>
      </c>
    </row>
    <row r="1108" spans="55:60" s="39" customFormat="1">
      <c r="BC1108" s="573">
        <v>10.97</v>
      </c>
      <c r="BD1108" s="571">
        <f t="shared" si="184"/>
        <v>0</v>
      </c>
      <c r="BE1108" s="571">
        <f t="shared" si="188"/>
        <v>0</v>
      </c>
      <c r="BF1108" s="586">
        <f t="shared" si="185"/>
        <v>0</v>
      </c>
      <c r="BG1108" s="586" t="e">
        <f t="shared" si="186"/>
        <v>#DIV/0!</v>
      </c>
      <c r="BH1108" s="571" t="e">
        <f t="shared" si="187"/>
        <v>#DIV/0!</v>
      </c>
    </row>
    <row r="1109" spans="55:60" s="39" customFormat="1">
      <c r="BC1109" s="573">
        <v>10.98</v>
      </c>
      <c r="BD1109" s="571">
        <f t="shared" si="184"/>
        <v>0</v>
      </c>
      <c r="BE1109" s="571">
        <f t="shared" si="188"/>
        <v>0</v>
      </c>
      <c r="BF1109" s="586">
        <f t="shared" si="185"/>
        <v>0</v>
      </c>
      <c r="BG1109" s="586" t="e">
        <f t="shared" si="186"/>
        <v>#DIV/0!</v>
      </c>
      <c r="BH1109" s="571" t="e">
        <f t="shared" si="187"/>
        <v>#DIV/0!</v>
      </c>
    </row>
    <row r="1110" spans="55:60" s="39" customFormat="1">
      <c r="BC1110" s="573">
        <v>10.99</v>
      </c>
      <c r="BD1110" s="571">
        <f t="shared" si="184"/>
        <v>0</v>
      </c>
      <c r="BE1110" s="571">
        <f t="shared" si="188"/>
        <v>0</v>
      </c>
      <c r="BF1110" s="586">
        <f t="shared" si="185"/>
        <v>0</v>
      </c>
      <c r="BG1110" s="586" t="e">
        <f t="shared" si="186"/>
        <v>#DIV/0!</v>
      </c>
      <c r="BH1110" s="571" t="e">
        <f t="shared" si="187"/>
        <v>#DIV/0!</v>
      </c>
    </row>
    <row r="1111" spans="55:60" s="39" customFormat="1">
      <c r="BC1111" s="573">
        <v>11</v>
      </c>
      <c r="BD1111" s="571">
        <f t="shared" si="184"/>
        <v>0</v>
      </c>
      <c r="BE1111" s="571">
        <f t="shared" si="188"/>
        <v>0</v>
      </c>
      <c r="BF1111" s="586">
        <f t="shared" si="185"/>
        <v>0</v>
      </c>
      <c r="BG1111" s="586" t="e">
        <f t="shared" si="186"/>
        <v>#DIV/0!</v>
      </c>
      <c r="BH1111" s="571" t="e">
        <f t="shared" si="187"/>
        <v>#DIV/0!</v>
      </c>
    </row>
    <row r="1112" spans="55:60" s="39" customFormat="1">
      <c r="BC1112" s="573">
        <v>11.01</v>
      </c>
      <c r="BD1112" s="571">
        <f t="shared" si="184"/>
        <v>0</v>
      </c>
      <c r="BE1112" s="571">
        <f t="shared" si="188"/>
        <v>0</v>
      </c>
      <c r="BF1112" s="586">
        <f t="shared" si="185"/>
        <v>0</v>
      </c>
      <c r="BG1112" s="586" t="e">
        <f t="shared" si="186"/>
        <v>#DIV/0!</v>
      </c>
      <c r="BH1112" s="571" t="e">
        <f t="shared" si="187"/>
        <v>#DIV/0!</v>
      </c>
    </row>
    <row r="1113" spans="55:60" s="39" customFormat="1">
      <c r="BC1113" s="573">
        <v>11.02</v>
      </c>
      <c r="BD1113" s="571">
        <f t="shared" si="184"/>
        <v>0</v>
      </c>
      <c r="BE1113" s="571">
        <f t="shared" si="188"/>
        <v>0</v>
      </c>
      <c r="BF1113" s="586">
        <f t="shared" si="185"/>
        <v>0</v>
      </c>
      <c r="BG1113" s="586" t="e">
        <f t="shared" si="186"/>
        <v>#DIV/0!</v>
      </c>
      <c r="BH1113" s="571" t="e">
        <f t="shared" si="187"/>
        <v>#DIV/0!</v>
      </c>
    </row>
    <row r="1114" spans="55:60" s="39" customFormat="1">
      <c r="BC1114" s="573">
        <v>11.03</v>
      </c>
      <c r="BD1114" s="571">
        <f t="shared" si="184"/>
        <v>0</v>
      </c>
      <c r="BE1114" s="571">
        <f t="shared" si="188"/>
        <v>0</v>
      </c>
      <c r="BF1114" s="586">
        <f t="shared" si="185"/>
        <v>0</v>
      </c>
      <c r="BG1114" s="586" t="e">
        <f t="shared" si="186"/>
        <v>#DIV/0!</v>
      </c>
      <c r="BH1114" s="571" t="e">
        <f t="shared" si="187"/>
        <v>#DIV/0!</v>
      </c>
    </row>
    <row r="1115" spans="55:60" s="39" customFormat="1">
      <c r="BC1115" s="573">
        <v>11.04</v>
      </c>
      <c r="BD1115" s="571">
        <f t="shared" si="184"/>
        <v>0</v>
      </c>
      <c r="BE1115" s="571">
        <f t="shared" si="188"/>
        <v>0</v>
      </c>
      <c r="BF1115" s="586">
        <f t="shared" si="185"/>
        <v>0</v>
      </c>
      <c r="BG1115" s="586" t="e">
        <f t="shared" si="186"/>
        <v>#DIV/0!</v>
      </c>
      <c r="BH1115" s="571" t="e">
        <f t="shared" si="187"/>
        <v>#DIV/0!</v>
      </c>
    </row>
    <row r="1116" spans="55:60" s="39" customFormat="1">
      <c r="BC1116" s="573">
        <v>11.05</v>
      </c>
      <c r="BD1116" s="571">
        <f t="shared" si="184"/>
        <v>0</v>
      </c>
      <c r="BE1116" s="571">
        <f t="shared" si="188"/>
        <v>0</v>
      </c>
      <c r="BF1116" s="586">
        <f t="shared" si="185"/>
        <v>0</v>
      </c>
      <c r="BG1116" s="586" t="e">
        <f t="shared" si="186"/>
        <v>#DIV/0!</v>
      </c>
      <c r="BH1116" s="571" t="e">
        <f t="shared" si="187"/>
        <v>#DIV/0!</v>
      </c>
    </row>
    <row r="1117" spans="55:60" s="39" customFormat="1">
      <c r="BC1117" s="573">
        <v>11.06</v>
      </c>
      <c r="BD1117" s="571">
        <f t="shared" si="184"/>
        <v>0</v>
      </c>
      <c r="BE1117" s="571">
        <f t="shared" si="188"/>
        <v>0</v>
      </c>
      <c r="BF1117" s="586">
        <f t="shared" si="185"/>
        <v>0</v>
      </c>
      <c r="BG1117" s="586" t="e">
        <f t="shared" si="186"/>
        <v>#DIV/0!</v>
      </c>
      <c r="BH1117" s="571" t="e">
        <f t="shared" si="187"/>
        <v>#DIV/0!</v>
      </c>
    </row>
    <row r="1118" spans="55:60" s="39" customFormat="1">
      <c r="BC1118" s="573">
        <v>11.07</v>
      </c>
      <c r="BD1118" s="571">
        <f t="shared" si="184"/>
        <v>0</v>
      </c>
      <c r="BE1118" s="571">
        <f t="shared" si="188"/>
        <v>0</v>
      </c>
      <c r="BF1118" s="586">
        <f t="shared" si="185"/>
        <v>0</v>
      </c>
      <c r="BG1118" s="586" t="e">
        <f t="shared" si="186"/>
        <v>#DIV/0!</v>
      </c>
      <c r="BH1118" s="571" t="e">
        <f t="shared" si="187"/>
        <v>#DIV/0!</v>
      </c>
    </row>
    <row r="1119" spans="55:60" s="39" customFormat="1">
      <c r="BC1119" s="573">
        <v>11.08</v>
      </c>
      <c r="BD1119" s="571">
        <f t="shared" si="184"/>
        <v>0</v>
      </c>
      <c r="BE1119" s="571">
        <f t="shared" si="188"/>
        <v>0</v>
      </c>
      <c r="BF1119" s="586">
        <f t="shared" si="185"/>
        <v>0</v>
      </c>
      <c r="BG1119" s="586" t="e">
        <f t="shared" si="186"/>
        <v>#DIV/0!</v>
      </c>
      <c r="BH1119" s="571" t="e">
        <f t="shared" si="187"/>
        <v>#DIV/0!</v>
      </c>
    </row>
    <row r="1120" spans="55:60" s="39" customFormat="1">
      <c r="BC1120" s="573">
        <v>11.09</v>
      </c>
      <c r="BD1120" s="571">
        <f t="shared" si="184"/>
        <v>0</v>
      </c>
      <c r="BE1120" s="571">
        <f t="shared" si="188"/>
        <v>0</v>
      </c>
      <c r="BF1120" s="586">
        <f t="shared" si="185"/>
        <v>0</v>
      </c>
      <c r="BG1120" s="586" t="e">
        <f t="shared" si="186"/>
        <v>#DIV/0!</v>
      </c>
      <c r="BH1120" s="571" t="e">
        <f t="shared" si="187"/>
        <v>#DIV/0!</v>
      </c>
    </row>
    <row r="1121" spans="55:60" s="39" customFormat="1">
      <c r="BC1121" s="573">
        <v>11.1</v>
      </c>
      <c r="BD1121" s="571">
        <f t="shared" si="184"/>
        <v>0</v>
      </c>
      <c r="BE1121" s="571">
        <f t="shared" si="188"/>
        <v>0</v>
      </c>
      <c r="BF1121" s="586">
        <f t="shared" si="185"/>
        <v>0</v>
      </c>
      <c r="BG1121" s="586" t="e">
        <f t="shared" si="186"/>
        <v>#DIV/0!</v>
      </c>
      <c r="BH1121" s="571" t="e">
        <f t="shared" si="187"/>
        <v>#DIV/0!</v>
      </c>
    </row>
    <row r="1122" spans="55:60" s="39" customFormat="1">
      <c r="BC1122" s="573">
        <v>11.11</v>
      </c>
      <c r="BD1122" s="571">
        <f t="shared" si="184"/>
        <v>0</v>
      </c>
      <c r="BE1122" s="571">
        <f t="shared" si="188"/>
        <v>0</v>
      </c>
      <c r="BF1122" s="586">
        <f t="shared" si="185"/>
        <v>0</v>
      </c>
      <c r="BG1122" s="586" t="e">
        <f t="shared" si="186"/>
        <v>#DIV/0!</v>
      </c>
      <c r="BH1122" s="571" t="e">
        <f t="shared" si="187"/>
        <v>#DIV/0!</v>
      </c>
    </row>
    <row r="1123" spans="55:60" s="39" customFormat="1">
      <c r="BC1123" s="573">
        <v>11.12</v>
      </c>
      <c r="BD1123" s="571">
        <f t="shared" si="184"/>
        <v>0</v>
      </c>
      <c r="BE1123" s="571">
        <f t="shared" si="188"/>
        <v>0</v>
      </c>
      <c r="BF1123" s="586">
        <f t="shared" si="185"/>
        <v>0</v>
      </c>
      <c r="BG1123" s="586" t="e">
        <f t="shared" si="186"/>
        <v>#DIV/0!</v>
      </c>
      <c r="BH1123" s="571" t="e">
        <f t="shared" si="187"/>
        <v>#DIV/0!</v>
      </c>
    </row>
    <row r="1124" spans="55:60" s="39" customFormat="1">
      <c r="BC1124" s="573">
        <v>11.13</v>
      </c>
      <c r="BD1124" s="571">
        <f t="shared" si="184"/>
        <v>0</v>
      </c>
      <c r="BE1124" s="571">
        <f t="shared" si="188"/>
        <v>0</v>
      </c>
      <c r="BF1124" s="586">
        <f t="shared" si="185"/>
        <v>0</v>
      </c>
      <c r="BG1124" s="586" t="e">
        <f t="shared" si="186"/>
        <v>#DIV/0!</v>
      </c>
      <c r="BH1124" s="571" t="e">
        <f t="shared" si="187"/>
        <v>#DIV/0!</v>
      </c>
    </row>
    <row r="1125" spans="55:60" s="39" customFormat="1">
      <c r="BC1125" s="573">
        <v>11.14</v>
      </c>
      <c r="BD1125" s="571">
        <f t="shared" si="184"/>
        <v>0</v>
      </c>
      <c r="BE1125" s="571">
        <f t="shared" si="188"/>
        <v>0</v>
      </c>
      <c r="BF1125" s="586">
        <f t="shared" si="185"/>
        <v>0</v>
      </c>
      <c r="BG1125" s="586" t="e">
        <f t="shared" si="186"/>
        <v>#DIV/0!</v>
      </c>
      <c r="BH1125" s="571" t="e">
        <f t="shared" si="187"/>
        <v>#DIV/0!</v>
      </c>
    </row>
    <row r="1126" spans="55:60" s="39" customFormat="1">
      <c r="BC1126" s="573">
        <v>11.15</v>
      </c>
      <c r="BD1126" s="571">
        <f t="shared" si="184"/>
        <v>0</v>
      </c>
      <c r="BE1126" s="571">
        <f t="shared" si="188"/>
        <v>0</v>
      </c>
      <c r="BF1126" s="586">
        <f t="shared" si="185"/>
        <v>0</v>
      </c>
      <c r="BG1126" s="586" t="e">
        <f t="shared" si="186"/>
        <v>#DIV/0!</v>
      </c>
      <c r="BH1126" s="571" t="e">
        <f t="shared" si="187"/>
        <v>#DIV/0!</v>
      </c>
    </row>
    <row r="1127" spans="55:60" s="39" customFormat="1">
      <c r="BC1127" s="573">
        <v>11.16</v>
      </c>
      <c r="BD1127" s="571">
        <f t="shared" si="184"/>
        <v>0</v>
      </c>
      <c r="BE1127" s="571">
        <f t="shared" si="188"/>
        <v>0</v>
      </c>
      <c r="BF1127" s="586">
        <f t="shared" si="185"/>
        <v>0</v>
      </c>
      <c r="BG1127" s="586" t="e">
        <f t="shared" si="186"/>
        <v>#DIV/0!</v>
      </c>
      <c r="BH1127" s="571" t="e">
        <f t="shared" si="187"/>
        <v>#DIV/0!</v>
      </c>
    </row>
    <row r="1128" spans="55:60" s="39" customFormat="1">
      <c r="BC1128" s="573">
        <v>11.17</v>
      </c>
      <c r="BD1128" s="571">
        <f t="shared" si="184"/>
        <v>0</v>
      </c>
      <c r="BE1128" s="571">
        <f t="shared" si="188"/>
        <v>0</v>
      </c>
      <c r="BF1128" s="586">
        <f t="shared" si="185"/>
        <v>0</v>
      </c>
      <c r="BG1128" s="586" t="e">
        <f t="shared" si="186"/>
        <v>#DIV/0!</v>
      </c>
      <c r="BH1128" s="571" t="e">
        <f t="shared" si="187"/>
        <v>#DIV/0!</v>
      </c>
    </row>
    <row r="1129" spans="55:60" s="39" customFormat="1">
      <c r="BC1129" s="573">
        <v>11.18</v>
      </c>
      <c r="BD1129" s="571">
        <f t="shared" si="184"/>
        <v>0</v>
      </c>
      <c r="BE1129" s="571">
        <f t="shared" si="188"/>
        <v>0</v>
      </c>
      <c r="BF1129" s="586">
        <f t="shared" si="185"/>
        <v>0</v>
      </c>
      <c r="BG1129" s="586" t="e">
        <f t="shared" si="186"/>
        <v>#DIV/0!</v>
      </c>
      <c r="BH1129" s="571" t="e">
        <f t="shared" si="187"/>
        <v>#DIV/0!</v>
      </c>
    </row>
    <row r="1130" spans="55:60" s="39" customFormat="1">
      <c r="BC1130" s="573">
        <v>11.19</v>
      </c>
      <c r="BD1130" s="571">
        <f t="shared" si="184"/>
        <v>0</v>
      </c>
      <c r="BE1130" s="571">
        <f t="shared" si="188"/>
        <v>0</v>
      </c>
      <c r="BF1130" s="586">
        <f t="shared" si="185"/>
        <v>0</v>
      </c>
      <c r="BG1130" s="586" t="e">
        <f t="shared" si="186"/>
        <v>#DIV/0!</v>
      </c>
      <c r="BH1130" s="571" t="e">
        <f t="shared" si="187"/>
        <v>#DIV/0!</v>
      </c>
    </row>
    <row r="1131" spans="55:60" s="39" customFormat="1">
      <c r="BC1131" s="573">
        <v>11.2</v>
      </c>
      <c r="BD1131" s="571">
        <f t="shared" si="184"/>
        <v>0</v>
      </c>
      <c r="BE1131" s="571">
        <f t="shared" si="188"/>
        <v>0</v>
      </c>
      <c r="BF1131" s="586">
        <f t="shared" si="185"/>
        <v>0</v>
      </c>
      <c r="BG1131" s="586" t="e">
        <f t="shared" si="186"/>
        <v>#DIV/0!</v>
      </c>
      <c r="BH1131" s="571" t="e">
        <f t="shared" si="187"/>
        <v>#DIV/0!</v>
      </c>
    </row>
    <row r="1132" spans="55:60" s="39" customFormat="1">
      <c r="BC1132" s="573">
        <v>11.21</v>
      </c>
      <c r="BD1132" s="571">
        <f t="shared" si="184"/>
        <v>0</v>
      </c>
      <c r="BE1132" s="571">
        <f t="shared" si="188"/>
        <v>0</v>
      </c>
      <c r="BF1132" s="586">
        <f t="shared" si="185"/>
        <v>0</v>
      </c>
      <c r="BG1132" s="586" t="e">
        <f t="shared" si="186"/>
        <v>#DIV/0!</v>
      </c>
      <c r="BH1132" s="571" t="e">
        <f t="shared" si="187"/>
        <v>#DIV/0!</v>
      </c>
    </row>
    <row r="1133" spans="55:60" s="39" customFormat="1">
      <c r="BC1133" s="573">
        <v>11.22</v>
      </c>
      <c r="BD1133" s="571">
        <f t="shared" si="184"/>
        <v>0</v>
      </c>
      <c r="BE1133" s="571">
        <f t="shared" si="188"/>
        <v>0</v>
      </c>
      <c r="BF1133" s="586">
        <f t="shared" si="185"/>
        <v>0</v>
      </c>
      <c r="BG1133" s="586" t="e">
        <f t="shared" si="186"/>
        <v>#DIV/0!</v>
      </c>
      <c r="BH1133" s="571" t="e">
        <f t="shared" si="187"/>
        <v>#DIV/0!</v>
      </c>
    </row>
    <row r="1134" spans="55:60" s="39" customFormat="1">
      <c r="BC1134" s="573">
        <v>11.23</v>
      </c>
      <c r="BD1134" s="571">
        <f t="shared" si="184"/>
        <v>0</v>
      </c>
      <c r="BE1134" s="571">
        <f t="shared" si="188"/>
        <v>0</v>
      </c>
      <c r="BF1134" s="586">
        <f t="shared" si="185"/>
        <v>0</v>
      </c>
      <c r="BG1134" s="586" t="e">
        <f t="shared" si="186"/>
        <v>#DIV/0!</v>
      </c>
      <c r="BH1134" s="571" t="e">
        <f t="shared" si="187"/>
        <v>#DIV/0!</v>
      </c>
    </row>
    <row r="1135" spans="55:60" s="39" customFormat="1">
      <c r="BC1135" s="573">
        <v>11.24</v>
      </c>
      <c r="BD1135" s="571">
        <f t="shared" si="184"/>
        <v>0</v>
      </c>
      <c r="BE1135" s="571">
        <f t="shared" si="188"/>
        <v>0</v>
      </c>
      <c r="BF1135" s="586">
        <f t="shared" si="185"/>
        <v>0</v>
      </c>
      <c r="BG1135" s="586" t="e">
        <f t="shared" si="186"/>
        <v>#DIV/0!</v>
      </c>
      <c r="BH1135" s="571" t="e">
        <f t="shared" si="187"/>
        <v>#DIV/0!</v>
      </c>
    </row>
    <row r="1136" spans="55:60" s="39" customFormat="1">
      <c r="BC1136" s="573">
        <v>11.25</v>
      </c>
      <c r="BD1136" s="571">
        <f t="shared" si="184"/>
        <v>0</v>
      </c>
      <c r="BE1136" s="571">
        <f t="shared" si="188"/>
        <v>0</v>
      </c>
      <c r="BF1136" s="586">
        <f t="shared" si="185"/>
        <v>0</v>
      </c>
      <c r="BG1136" s="586" t="e">
        <f t="shared" si="186"/>
        <v>#DIV/0!</v>
      </c>
      <c r="BH1136" s="571" t="e">
        <f t="shared" si="187"/>
        <v>#DIV/0!</v>
      </c>
    </row>
    <row r="1137" spans="55:60" s="39" customFormat="1">
      <c r="BC1137" s="573">
        <v>11.26</v>
      </c>
      <c r="BD1137" s="571">
        <f t="shared" si="184"/>
        <v>0</v>
      </c>
      <c r="BE1137" s="571">
        <f t="shared" si="188"/>
        <v>0</v>
      </c>
      <c r="BF1137" s="586">
        <f t="shared" si="185"/>
        <v>0</v>
      </c>
      <c r="BG1137" s="586" t="e">
        <f t="shared" si="186"/>
        <v>#DIV/0!</v>
      </c>
      <c r="BH1137" s="571" t="e">
        <f t="shared" si="187"/>
        <v>#DIV/0!</v>
      </c>
    </row>
    <row r="1138" spans="55:60" s="39" customFormat="1">
      <c r="BC1138" s="573">
        <v>11.27</v>
      </c>
      <c r="BD1138" s="571">
        <f t="shared" si="184"/>
        <v>0</v>
      </c>
      <c r="BE1138" s="571">
        <f t="shared" si="188"/>
        <v>0</v>
      </c>
      <c r="BF1138" s="586">
        <f t="shared" si="185"/>
        <v>0</v>
      </c>
      <c r="BG1138" s="586" t="e">
        <f t="shared" si="186"/>
        <v>#DIV/0!</v>
      </c>
      <c r="BH1138" s="571" t="e">
        <f t="shared" si="187"/>
        <v>#DIV/0!</v>
      </c>
    </row>
    <row r="1139" spans="55:60" s="39" customFormat="1">
      <c r="BC1139" s="573">
        <v>11.28</v>
      </c>
      <c r="BD1139" s="571">
        <f t="shared" si="184"/>
        <v>0</v>
      </c>
      <c r="BE1139" s="571">
        <f t="shared" si="188"/>
        <v>0</v>
      </c>
      <c r="BF1139" s="586">
        <f t="shared" si="185"/>
        <v>0</v>
      </c>
      <c r="BG1139" s="586" t="e">
        <f t="shared" si="186"/>
        <v>#DIV/0!</v>
      </c>
      <c r="BH1139" s="571" t="e">
        <f t="shared" si="187"/>
        <v>#DIV/0!</v>
      </c>
    </row>
    <row r="1140" spans="55:60" s="39" customFormat="1">
      <c r="BC1140" s="573">
        <v>11.29</v>
      </c>
      <c r="BD1140" s="571">
        <f t="shared" si="184"/>
        <v>0</v>
      </c>
      <c r="BE1140" s="571">
        <f t="shared" si="188"/>
        <v>0</v>
      </c>
      <c r="BF1140" s="586">
        <f t="shared" si="185"/>
        <v>0</v>
      </c>
      <c r="BG1140" s="586" t="e">
        <f t="shared" si="186"/>
        <v>#DIV/0!</v>
      </c>
      <c r="BH1140" s="571" t="e">
        <f t="shared" si="187"/>
        <v>#DIV/0!</v>
      </c>
    </row>
    <row r="1141" spans="55:60" s="39" customFormat="1">
      <c r="BC1141" s="573">
        <v>11.3</v>
      </c>
      <c r="BD1141" s="571">
        <f t="shared" si="184"/>
        <v>0</v>
      </c>
      <c r="BE1141" s="571">
        <f t="shared" si="188"/>
        <v>0</v>
      </c>
      <c r="BF1141" s="586">
        <f t="shared" si="185"/>
        <v>0</v>
      </c>
      <c r="BG1141" s="586" t="e">
        <f t="shared" si="186"/>
        <v>#DIV/0!</v>
      </c>
      <c r="BH1141" s="571" t="e">
        <f t="shared" si="187"/>
        <v>#DIV/0!</v>
      </c>
    </row>
    <row r="1142" spans="55:60" s="39" customFormat="1">
      <c r="BC1142" s="573">
        <v>11.31</v>
      </c>
      <c r="BD1142" s="571">
        <f t="shared" si="184"/>
        <v>0</v>
      </c>
      <c r="BE1142" s="571">
        <f t="shared" si="188"/>
        <v>0</v>
      </c>
      <c r="BF1142" s="586">
        <f t="shared" si="185"/>
        <v>0</v>
      </c>
      <c r="BG1142" s="586" t="e">
        <f t="shared" si="186"/>
        <v>#DIV/0!</v>
      </c>
      <c r="BH1142" s="571" t="e">
        <f t="shared" si="187"/>
        <v>#DIV/0!</v>
      </c>
    </row>
    <row r="1143" spans="55:60" s="39" customFormat="1">
      <c r="BC1143" s="573">
        <v>11.32</v>
      </c>
      <c r="BD1143" s="571">
        <f t="shared" si="184"/>
        <v>0</v>
      </c>
      <c r="BE1143" s="571">
        <f t="shared" si="188"/>
        <v>0</v>
      </c>
      <c r="BF1143" s="586">
        <f t="shared" si="185"/>
        <v>0</v>
      </c>
      <c r="BG1143" s="586" t="e">
        <f t="shared" si="186"/>
        <v>#DIV/0!</v>
      </c>
      <c r="BH1143" s="571" t="e">
        <f t="shared" si="187"/>
        <v>#DIV/0!</v>
      </c>
    </row>
    <row r="1144" spans="55:60" s="39" customFormat="1">
      <c r="BC1144" s="573">
        <v>11.33</v>
      </c>
      <c r="BD1144" s="571">
        <f t="shared" si="184"/>
        <v>0</v>
      </c>
      <c r="BE1144" s="571">
        <f t="shared" si="188"/>
        <v>0</v>
      </c>
      <c r="BF1144" s="586">
        <f t="shared" si="185"/>
        <v>0</v>
      </c>
      <c r="BG1144" s="586" t="e">
        <f t="shared" si="186"/>
        <v>#DIV/0!</v>
      </c>
      <c r="BH1144" s="571" t="e">
        <f t="shared" si="187"/>
        <v>#DIV/0!</v>
      </c>
    </row>
    <row r="1145" spans="55:60" s="39" customFormat="1">
      <c r="BC1145" s="573">
        <v>11.34</v>
      </c>
      <c r="BD1145" s="571">
        <f t="shared" si="184"/>
        <v>0</v>
      </c>
      <c r="BE1145" s="571">
        <f t="shared" si="188"/>
        <v>0</v>
      </c>
      <c r="BF1145" s="586">
        <f t="shared" si="185"/>
        <v>0</v>
      </c>
      <c r="BG1145" s="586" t="e">
        <f t="shared" si="186"/>
        <v>#DIV/0!</v>
      </c>
      <c r="BH1145" s="571" t="e">
        <f t="shared" si="187"/>
        <v>#DIV/0!</v>
      </c>
    </row>
    <row r="1146" spans="55:60" s="39" customFormat="1">
      <c r="BC1146" s="573">
        <v>11.35</v>
      </c>
      <c r="BD1146" s="571">
        <f t="shared" si="184"/>
        <v>0</v>
      </c>
      <c r="BE1146" s="571">
        <f t="shared" si="188"/>
        <v>0</v>
      </c>
      <c r="BF1146" s="586">
        <f t="shared" si="185"/>
        <v>0</v>
      </c>
      <c r="BG1146" s="586" t="e">
        <f t="shared" si="186"/>
        <v>#DIV/0!</v>
      </c>
      <c r="BH1146" s="571" t="e">
        <f t="shared" si="187"/>
        <v>#DIV/0!</v>
      </c>
    </row>
    <row r="1147" spans="55:60" s="39" customFormat="1">
      <c r="BC1147" s="573">
        <v>11.36</v>
      </c>
      <c r="BD1147" s="571">
        <f t="shared" si="184"/>
        <v>0</v>
      </c>
      <c r="BE1147" s="571">
        <f t="shared" si="188"/>
        <v>0</v>
      </c>
      <c r="BF1147" s="586">
        <f t="shared" si="185"/>
        <v>0</v>
      </c>
      <c r="BG1147" s="586" t="e">
        <f t="shared" si="186"/>
        <v>#DIV/0!</v>
      </c>
      <c r="BH1147" s="571" t="e">
        <f t="shared" si="187"/>
        <v>#DIV/0!</v>
      </c>
    </row>
    <row r="1148" spans="55:60" s="39" customFormat="1">
      <c r="BC1148" s="573">
        <v>11.37</v>
      </c>
      <c r="BD1148" s="571">
        <f t="shared" si="184"/>
        <v>0</v>
      </c>
      <c r="BE1148" s="571">
        <f t="shared" si="188"/>
        <v>0</v>
      </c>
      <c r="BF1148" s="586">
        <f t="shared" si="185"/>
        <v>0</v>
      </c>
      <c r="BG1148" s="586" t="e">
        <f t="shared" si="186"/>
        <v>#DIV/0!</v>
      </c>
      <c r="BH1148" s="571" t="e">
        <f t="shared" si="187"/>
        <v>#DIV/0!</v>
      </c>
    </row>
    <row r="1149" spans="55:60" s="39" customFormat="1">
      <c r="BC1149" s="573">
        <v>11.38</v>
      </c>
      <c r="BD1149" s="571">
        <f t="shared" si="184"/>
        <v>0</v>
      </c>
      <c r="BE1149" s="571">
        <f t="shared" si="188"/>
        <v>0</v>
      </c>
      <c r="BF1149" s="586">
        <f t="shared" si="185"/>
        <v>0</v>
      </c>
      <c r="BG1149" s="586" t="e">
        <f t="shared" si="186"/>
        <v>#DIV/0!</v>
      </c>
      <c r="BH1149" s="571" t="e">
        <f t="shared" si="187"/>
        <v>#DIV/0!</v>
      </c>
    </row>
    <row r="1150" spans="55:60" s="39" customFormat="1">
      <c r="BC1150" s="573">
        <v>11.39</v>
      </c>
      <c r="BD1150" s="571">
        <f t="shared" si="184"/>
        <v>0</v>
      </c>
      <c r="BE1150" s="571">
        <f t="shared" si="188"/>
        <v>0</v>
      </c>
      <c r="BF1150" s="586">
        <f t="shared" si="185"/>
        <v>0</v>
      </c>
      <c r="BG1150" s="586" t="e">
        <f t="shared" si="186"/>
        <v>#DIV/0!</v>
      </c>
      <c r="BH1150" s="571" t="e">
        <f t="shared" si="187"/>
        <v>#DIV/0!</v>
      </c>
    </row>
    <row r="1151" spans="55:60" s="39" customFormat="1">
      <c r="BC1151" s="573">
        <v>11.4</v>
      </c>
      <c r="BD1151" s="571">
        <f t="shared" si="184"/>
        <v>0</v>
      </c>
      <c r="BE1151" s="571">
        <f t="shared" si="188"/>
        <v>0</v>
      </c>
      <c r="BF1151" s="586">
        <f t="shared" si="185"/>
        <v>0</v>
      </c>
      <c r="BG1151" s="586" t="e">
        <f t="shared" si="186"/>
        <v>#DIV/0!</v>
      </c>
      <c r="BH1151" s="571" t="e">
        <f t="shared" si="187"/>
        <v>#DIV/0!</v>
      </c>
    </row>
    <row r="1152" spans="55:60" s="39" customFormat="1">
      <c r="BC1152" s="573">
        <v>11.41</v>
      </c>
      <c r="BD1152" s="571">
        <f t="shared" si="184"/>
        <v>0</v>
      </c>
      <c r="BE1152" s="571">
        <f t="shared" si="188"/>
        <v>0</v>
      </c>
      <c r="BF1152" s="586">
        <f t="shared" si="185"/>
        <v>0</v>
      </c>
      <c r="BG1152" s="586" t="e">
        <f t="shared" si="186"/>
        <v>#DIV/0!</v>
      </c>
      <c r="BH1152" s="571" t="e">
        <f t="shared" si="187"/>
        <v>#DIV/0!</v>
      </c>
    </row>
    <row r="1153" spans="55:60" s="39" customFormat="1">
      <c r="BC1153" s="573">
        <v>11.42</v>
      </c>
      <c r="BD1153" s="571">
        <f t="shared" si="184"/>
        <v>0</v>
      </c>
      <c r="BE1153" s="571">
        <f t="shared" si="188"/>
        <v>0</v>
      </c>
      <c r="BF1153" s="586">
        <f t="shared" si="185"/>
        <v>0</v>
      </c>
      <c r="BG1153" s="586" t="e">
        <f t="shared" si="186"/>
        <v>#DIV/0!</v>
      </c>
      <c r="BH1153" s="571" t="e">
        <f t="shared" si="187"/>
        <v>#DIV/0!</v>
      </c>
    </row>
    <row r="1154" spans="55:60" s="39" customFormat="1">
      <c r="BC1154" s="573">
        <v>11.43</v>
      </c>
      <c r="BD1154" s="571">
        <f t="shared" si="184"/>
        <v>0</v>
      </c>
      <c r="BE1154" s="571">
        <f t="shared" si="188"/>
        <v>0</v>
      </c>
      <c r="BF1154" s="586">
        <f t="shared" si="185"/>
        <v>0</v>
      </c>
      <c r="BG1154" s="586" t="e">
        <f t="shared" si="186"/>
        <v>#DIV/0!</v>
      </c>
      <c r="BH1154" s="571" t="e">
        <f t="shared" si="187"/>
        <v>#DIV/0!</v>
      </c>
    </row>
    <row r="1155" spans="55:60" s="39" customFormat="1">
      <c r="BC1155" s="573">
        <v>11.44</v>
      </c>
      <c r="BD1155" s="571">
        <f t="shared" si="184"/>
        <v>0</v>
      </c>
      <c r="BE1155" s="571">
        <f t="shared" si="188"/>
        <v>0</v>
      </c>
      <c r="BF1155" s="586">
        <f t="shared" si="185"/>
        <v>0</v>
      </c>
      <c r="BG1155" s="586" t="e">
        <f t="shared" si="186"/>
        <v>#DIV/0!</v>
      </c>
      <c r="BH1155" s="571" t="e">
        <f t="shared" si="187"/>
        <v>#DIV/0!</v>
      </c>
    </row>
    <row r="1156" spans="55:60" s="39" customFormat="1">
      <c r="BC1156" s="573">
        <v>11.45</v>
      </c>
      <c r="BD1156" s="571">
        <f t="shared" si="184"/>
        <v>0</v>
      </c>
      <c r="BE1156" s="571">
        <f t="shared" si="188"/>
        <v>0</v>
      </c>
      <c r="BF1156" s="586">
        <f t="shared" si="185"/>
        <v>0</v>
      </c>
      <c r="BG1156" s="586" t="e">
        <f t="shared" si="186"/>
        <v>#DIV/0!</v>
      </c>
      <c r="BH1156" s="571" t="e">
        <f t="shared" si="187"/>
        <v>#DIV/0!</v>
      </c>
    </row>
    <row r="1157" spans="55:60" s="39" customFormat="1">
      <c r="BC1157" s="573">
        <v>11.46</v>
      </c>
      <c r="BD1157" s="571">
        <f t="shared" si="184"/>
        <v>0</v>
      </c>
      <c r="BE1157" s="571">
        <f t="shared" si="188"/>
        <v>0</v>
      </c>
      <c r="BF1157" s="586">
        <f t="shared" si="185"/>
        <v>0</v>
      </c>
      <c r="BG1157" s="586" t="e">
        <f t="shared" si="186"/>
        <v>#DIV/0!</v>
      </c>
      <c r="BH1157" s="571" t="e">
        <f t="shared" si="187"/>
        <v>#DIV/0!</v>
      </c>
    </row>
    <row r="1158" spans="55:60" s="39" customFormat="1">
      <c r="BC1158" s="573">
        <v>11.47</v>
      </c>
      <c r="BD1158" s="571">
        <f t="shared" si="184"/>
        <v>0</v>
      </c>
      <c r="BE1158" s="571">
        <f t="shared" si="188"/>
        <v>0</v>
      </c>
      <c r="BF1158" s="586">
        <f t="shared" si="185"/>
        <v>0</v>
      </c>
      <c r="BG1158" s="586" t="e">
        <f t="shared" si="186"/>
        <v>#DIV/0!</v>
      </c>
      <c r="BH1158" s="571" t="e">
        <f t="shared" si="187"/>
        <v>#DIV/0!</v>
      </c>
    </row>
    <row r="1159" spans="55:60" s="39" customFormat="1">
      <c r="BC1159" s="573">
        <v>11.48</v>
      </c>
      <c r="BD1159" s="571">
        <f t="shared" si="184"/>
        <v>0</v>
      </c>
      <c r="BE1159" s="571">
        <f t="shared" si="188"/>
        <v>0</v>
      </c>
      <c r="BF1159" s="586">
        <f t="shared" si="185"/>
        <v>0</v>
      </c>
      <c r="BG1159" s="586" t="e">
        <f t="shared" si="186"/>
        <v>#DIV/0!</v>
      </c>
      <c r="BH1159" s="571" t="e">
        <f t="shared" si="187"/>
        <v>#DIV/0!</v>
      </c>
    </row>
    <row r="1160" spans="55:60" s="39" customFormat="1">
      <c r="BC1160" s="573">
        <v>11.49</v>
      </c>
      <c r="BD1160" s="571">
        <f t="shared" si="184"/>
        <v>0</v>
      </c>
      <c r="BE1160" s="571">
        <f t="shared" si="188"/>
        <v>0</v>
      </c>
      <c r="BF1160" s="586">
        <f t="shared" si="185"/>
        <v>0</v>
      </c>
      <c r="BG1160" s="586" t="e">
        <f t="shared" si="186"/>
        <v>#DIV/0!</v>
      </c>
      <c r="BH1160" s="571" t="e">
        <f t="shared" si="187"/>
        <v>#DIV/0!</v>
      </c>
    </row>
    <row r="1161" spans="55:60" s="39" customFormat="1">
      <c r="BC1161" s="573">
        <v>11.5</v>
      </c>
      <c r="BD1161" s="571">
        <f t="shared" si="184"/>
        <v>0</v>
      </c>
      <c r="BE1161" s="571">
        <f t="shared" si="188"/>
        <v>0</v>
      </c>
      <c r="BF1161" s="586">
        <f t="shared" si="185"/>
        <v>0</v>
      </c>
      <c r="BG1161" s="586" t="e">
        <f t="shared" si="186"/>
        <v>#DIV/0!</v>
      </c>
      <c r="BH1161" s="571" t="e">
        <f t="shared" si="187"/>
        <v>#DIV/0!</v>
      </c>
    </row>
    <row r="1162" spans="55:60" s="39" customFormat="1">
      <c r="BC1162" s="573">
        <v>11.51</v>
      </c>
      <c r="BD1162" s="571">
        <f t="shared" si="184"/>
        <v>0</v>
      </c>
      <c r="BE1162" s="571">
        <f t="shared" si="188"/>
        <v>0</v>
      </c>
      <c r="BF1162" s="586">
        <f t="shared" si="185"/>
        <v>0</v>
      </c>
      <c r="BG1162" s="586" t="e">
        <f t="shared" si="186"/>
        <v>#DIV/0!</v>
      </c>
      <c r="BH1162" s="571" t="e">
        <f t="shared" si="187"/>
        <v>#DIV/0!</v>
      </c>
    </row>
    <row r="1163" spans="55:60" s="39" customFormat="1">
      <c r="BC1163" s="573">
        <v>11.52</v>
      </c>
      <c r="BD1163" s="571">
        <f t="shared" si="184"/>
        <v>0</v>
      </c>
      <c r="BE1163" s="571">
        <f t="shared" si="188"/>
        <v>0</v>
      </c>
      <c r="BF1163" s="586">
        <f t="shared" si="185"/>
        <v>0</v>
      </c>
      <c r="BG1163" s="586" t="e">
        <f t="shared" si="186"/>
        <v>#DIV/0!</v>
      </c>
      <c r="BH1163" s="571" t="e">
        <f t="shared" si="187"/>
        <v>#DIV/0!</v>
      </c>
    </row>
    <row r="1164" spans="55:60" s="39" customFormat="1">
      <c r="BC1164" s="573">
        <v>11.53</v>
      </c>
      <c r="BD1164" s="571">
        <f t="shared" ref="BD1164:BD1227" si="189">$AU$15/BC1164</f>
        <v>0</v>
      </c>
      <c r="BE1164" s="571">
        <f t="shared" si="188"/>
        <v>0</v>
      </c>
      <c r="BF1164" s="586">
        <f t="shared" ref="BF1164:BF1227" si="190">BC1164*(BE1164/1000)/$AO$12</f>
        <v>0</v>
      </c>
      <c r="BG1164" s="586" t="e">
        <f t="shared" ref="BG1164:BG1227" si="191">POWER((1/(-1.8*LOG((6.9/BF1164+POWER((($P$7/BE1164)/3.71),1.11)),10))),2)</f>
        <v>#DIV/0!</v>
      </c>
      <c r="BH1164" s="571" t="e">
        <f t="shared" ref="BH1164:BH1227" si="192">BG1164*0.5*$P$6*16*$AU$15*$AU$15/(POWER(PI(),2)*POWER((BE1164/1000),5))</f>
        <v>#DIV/0!</v>
      </c>
    </row>
    <row r="1165" spans="55:60" s="39" customFormat="1">
      <c r="BC1165" s="573">
        <v>11.54</v>
      </c>
      <c r="BD1165" s="571">
        <f t="shared" si="189"/>
        <v>0</v>
      </c>
      <c r="BE1165" s="571">
        <f t="shared" ref="BE1165:BE1228" si="193">((BD1165/PI())^0.5)*2*1000</f>
        <v>0</v>
      </c>
      <c r="BF1165" s="586">
        <f t="shared" si="190"/>
        <v>0</v>
      </c>
      <c r="BG1165" s="586" t="e">
        <f t="shared" si="191"/>
        <v>#DIV/0!</v>
      </c>
      <c r="BH1165" s="571" t="e">
        <f t="shared" si="192"/>
        <v>#DIV/0!</v>
      </c>
    </row>
    <row r="1166" spans="55:60" s="39" customFormat="1">
      <c r="BC1166" s="573">
        <v>11.55</v>
      </c>
      <c r="BD1166" s="571">
        <f t="shared" si="189"/>
        <v>0</v>
      </c>
      <c r="BE1166" s="571">
        <f t="shared" si="193"/>
        <v>0</v>
      </c>
      <c r="BF1166" s="586">
        <f t="shared" si="190"/>
        <v>0</v>
      </c>
      <c r="BG1166" s="586" t="e">
        <f t="shared" si="191"/>
        <v>#DIV/0!</v>
      </c>
      <c r="BH1166" s="571" t="e">
        <f t="shared" si="192"/>
        <v>#DIV/0!</v>
      </c>
    </row>
    <row r="1167" spans="55:60" s="39" customFormat="1">
      <c r="BC1167" s="573">
        <v>11.56</v>
      </c>
      <c r="BD1167" s="571">
        <f t="shared" si="189"/>
        <v>0</v>
      </c>
      <c r="BE1167" s="571">
        <f t="shared" si="193"/>
        <v>0</v>
      </c>
      <c r="BF1167" s="586">
        <f t="shared" si="190"/>
        <v>0</v>
      </c>
      <c r="BG1167" s="586" t="e">
        <f t="shared" si="191"/>
        <v>#DIV/0!</v>
      </c>
      <c r="BH1167" s="571" t="e">
        <f t="shared" si="192"/>
        <v>#DIV/0!</v>
      </c>
    </row>
    <row r="1168" spans="55:60" s="39" customFormat="1">
      <c r="BC1168" s="573">
        <v>11.57</v>
      </c>
      <c r="BD1168" s="571">
        <f t="shared" si="189"/>
        <v>0</v>
      </c>
      <c r="BE1168" s="571">
        <f t="shared" si="193"/>
        <v>0</v>
      </c>
      <c r="BF1168" s="586">
        <f t="shared" si="190"/>
        <v>0</v>
      </c>
      <c r="BG1168" s="586" t="e">
        <f t="shared" si="191"/>
        <v>#DIV/0!</v>
      </c>
      <c r="BH1168" s="571" t="e">
        <f t="shared" si="192"/>
        <v>#DIV/0!</v>
      </c>
    </row>
    <row r="1169" spans="55:60" s="39" customFormat="1">
      <c r="BC1169" s="573">
        <v>11.58</v>
      </c>
      <c r="BD1169" s="571">
        <f t="shared" si="189"/>
        <v>0</v>
      </c>
      <c r="BE1169" s="571">
        <f t="shared" si="193"/>
        <v>0</v>
      </c>
      <c r="BF1169" s="586">
        <f t="shared" si="190"/>
        <v>0</v>
      </c>
      <c r="BG1169" s="586" t="e">
        <f t="shared" si="191"/>
        <v>#DIV/0!</v>
      </c>
      <c r="BH1169" s="571" t="e">
        <f t="shared" si="192"/>
        <v>#DIV/0!</v>
      </c>
    </row>
    <row r="1170" spans="55:60" s="39" customFormat="1">
      <c r="BC1170" s="573">
        <v>11.59</v>
      </c>
      <c r="BD1170" s="571">
        <f t="shared" si="189"/>
        <v>0</v>
      </c>
      <c r="BE1170" s="571">
        <f t="shared" si="193"/>
        <v>0</v>
      </c>
      <c r="BF1170" s="586">
        <f t="shared" si="190"/>
        <v>0</v>
      </c>
      <c r="BG1170" s="586" t="e">
        <f t="shared" si="191"/>
        <v>#DIV/0!</v>
      </c>
      <c r="BH1170" s="571" t="e">
        <f t="shared" si="192"/>
        <v>#DIV/0!</v>
      </c>
    </row>
    <row r="1171" spans="55:60" s="39" customFormat="1">
      <c r="BC1171" s="573">
        <v>11.6</v>
      </c>
      <c r="BD1171" s="571">
        <f t="shared" si="189"/>
        <v>0</v>
      </c>
      <c r="BE1171" s="571">
        <f t="shared" si="193"/>
        <v>0</v>
      </c>
      <c r="BF1171" s="586">
        <f t="shared" si="190"/>
        <v>0</v>
      </c>
      <c r="BG1171" s="586" t="e">
        <f t="shared" si="191"/>
        <v>#DIV/0!</v>
      </c>
      <c r="BH1171" s="571" t="e">
        <f t="shared" si="192"/>
        <v>#DIV/0!</v>
      </c>
    </row>
    <row r="1172" spans="55:60" s="39" customFormat="1">
      <c r="BC1172" s="573">
        <v>11.61</v>
      </c>
      <c r="BD1172" s="571">
        <f t="shared" si="189"/>
        <v>0</v>
      </c>
      <c r="BE1172" s="571">
        <f t="shared" si="193"/>
        <v>0</v>
      </c>
      <c r="BF1172" s="586">
        <f t="shared" si="190"/>
        <v>0</v>
      </c>
      <c r="BG1172" s="586" t="e">
        <f t="shared" si="191"/>
        <v>#DIV/0!</v>
      </c>
      <c r="BH1172" s="571" t="e">
        <f t="shared" si="192"/>
        <v>#DIV/0!</v>
      </c>
    </row>
    <row r="1173" spans="55:60" s="39" customFormat="1">
      <c r="BC1173" s="573">
        <v>11.62</v>
      </c>
      <c r="BD1173" s="571">
        <f t="shared" si="189"/>
        <v>0</v>
      </c>
      <c r="BE1173" s="571">
        <f t="shared" si="193"/>
        <v>0</v>
      </c>
      <c r="BF1173" s="586">
        <f t="shared" si="190"/>
        <v>0</v>
      </c>
      <c r="BG1173" s="586" t="e">
        <f t="shared" si="191"/>
        <v>#DIV/0!</v>
      </c>
      <c r="BH1173" s="571" t="e">
        <f t="shared" si="192"/>
        <v>#DIV/0!</v>
      </c>
    </row>
    <row r="1174" spans="55:60" s="39" customFormat="1">
      <c r="BC1174" s="573">
        <v>11.63</v>
      </c>
      <c r="BD1174" s="571">
        <f t="shared" si="189"/>
        <v>0</v>
      </c>
      <c r="BE1174" s="571">
        <f t="shared" si="193"/>
        <v>0</v>
      </c>
      <c r="BF1174" s="586">
        <f t="shared" si="190"/>
        <v>0</v>
      </c>
      <c r="BG1174" s="586" t="e">
        <f t="shared" si="191"/>
        <v>#DIV/0!</v>
      </c>
      <c r="BH1174" s="571" t="e">
        <f t="shared" si="192"/>
        <v>#DIV/0!</v>
      </c>
    </row>
    <row r="1175" spans="55:60" s="39" customFormat="1">
      <c r="BC1175" s="573">
        <v>11.64</v>
      </c>
      <c r="BD1175" s="571">
        <f t="shared" si="189"/>
        <v>0</v>
      </c>
      <c r="BE1175" s="571">
        <f t="shared" si="193"/>
        <v>0</v>
      </c>
      <c r="BF1175" s="586">
        <f t="shared" si="190"/>
        <v>0</v>
      </c>
      <c r="BG1175" s="586" t="e">
        <f t="shared" si="191"/>
        <v>#DIV/0!</v>
      </c>
      <c r="BH1175" s="571" t="e">
        <f t="shared" si="192"/>
        <v>#DIV/0!</v>
      </c>
    </row>
    <row r="1176" spans="55:60" s="39" customFormat="1">
      <c r="BC1176" s="573">
        <v>11.65</v>
      </c>
      <c r="BD1176" s="571">
        <f t="shared" si="189"/>
        <v>0</v>
      </c>
      <c r="BE1176" s="571">
        <f t="shared" si="193"/>
        <v>0</v>
      </c>
      <c r="BF1176" s="586">
        <f t="shared" si="190"/>
        <v>0</v>
      </c>
      <c r="BG1176" s="586" t="e">
        <f t="shared" si="191"/>
        <v>#DIV/0!</v>
      </c>
      <c r="BH1176" s="571" t="e">
        <f t="shared" si="192"/>
        <v>#DIV/0!</v>
      </c>
    </row>
    <row r="1177" spans="55:60" s="39" customFormat="1">
      <c r="BC1177" s="573">
        <v>11.66</v>
      </c>
      <c r="BD1177" s="571">
        <f t="shared" si="189"/>
        <v>0</v>
      </c>
      <c r="BE1177" s="571">
        <f t="shared" si="193"/>
        <v>0</v>
      </c>
      <c r="BF1177" s="586">
        <f t="shared" si="190"/>
        <v>0</v>
      </c>
      <c r="BG1177" s="586" t="e">
        <f t="shared" si="191"/>
        <v>#DIV/0!</v>
      </c>
      <c r="BH1177" s="571" t="e">
        <f t="shared" si="192"/>
        <v>#DIV/0!</v>
      </c>
    </row>
    <row r="1178" spans="55:60" s="39" customFormat="1">
      <c r="BC1178" s="573">
        <v>11.67</v>
      </c>
      <c r="BD1178" s="571">
        <f t="shared" si="189"/>
        <v>0</v>
      </c>
      <c r="BE1178" s="571">
        <f t="shared" si="193"/>
        <v>0</v>
      </c>
      <c r="BF1178" s="586">
        <f t="shared" si="190"/>
        <v>0</v>
      </c>
      <c r="BG1178" s="586" t="e">
        <f t="shared" si="191"/>
        <v>#DIV/0!</v>
      </c>
      <c r="BH1178" s="571" t="e">
        <f t="shared" si="192"/>
        <v>#DIV/0!</v>
      </c>
    </row>
    <row r="1179" spans="55:60" s="39" customFormat="1">
      <c r="BC1179" s="573">
        <v>11.68</v>
      </c>
      <c r="BD1179" s="571">
        <f t="shared" si="189"/>
        <v>0</v>
      </c>
      <c r="BE1179" s="571">
        <f t="shared" si="193"/>
        <v>0</v>
      </c>
      <c r="BF1179" s="586">
        <f t="shared" si="190"/>
        <v>0</v>
      </c>
      <c r="BG1179" s="586" t="e">
        <f t="shared" si="191"/>
        <v>#DIV/0!</v>
      </c>
      <c r="BH1179" s="571" t="e">
        <f t="shared" si="192"/>
        <v>#DIV/0!</v>
      </c>
    </row>
    <row r="1180" spans="55:60" s="39" customFormat="1">
      <c r="BC1180" s="573">
        <v>11.69</v>
      </c>
      <c r="BD1180" s="571">
        <f t="shared" si="189"/>
        <v>0</v>
      </c>
      <c r="BE1180" s="571">
        <f t="shared" si="193"/>
        <v>0</v>
      </c>
      <c r="BF1180" s="586">
        <f t="shared" si="190"/>
        <v>0</v>
      </c>
      <c r="BG1180" s="586" t="e">
        <f t="shared" si="191"/>
        <v>#DIV/0!</v>
      </c>
      <c r="BH1180" s="571" t="e">
        <f t="shared" si="192"/>
        <v>#DIV/0!</v>
      </c>
    </row>
    <row r="1181" spans="55:60" s="39" customFormat="1">
      <c r="BC1181" s="573">
        <v>11.7</v>
      </c>
      <c r="BD1181" s="571">
        <f t="shared" si="189"/>
        <v>0</v>
      </c>
      <c r="BE1181" s="571">
        <f t="shared" si="193"/>
        <v>0</v>
      </c>
      <c r="BF1181" s="586">
        <f t="shared" si="190"/>
        <v>0</v>
      </c>
      <c r="BG1181" s="586" t="e">
        <f t="shared" si="191"/>
        <v>#DIV/0!</v>
      </c>
      <c r="BH1181" s="571" t="e">
        <f t="shared" si="192"/>
        <v>#DIV/0!</v>
      </c>
    </row>
    <row r="1182" spans="55:60" s="39" customFormat="1">
      <c r="BC1182" s="573">
        <v>11.71</v>
      </c>
      <c r="BD1182" s="571">
        <f t="shared" si="189"/>
        <v>0</v>
      </c>
      <c r="BE1182" s="571">
        <f t="shared" si="193"/>
        <v>0</v>
      </c>
      <c r="BF1182" s="586">
        <f t="shared" si="190"/>
        <v>0</v>
      </c>
      <c r="BG1182" s="586" t="e">
        <f t="shared" si="191"/>
        <v>#DIV/0!</v>
      </c>
      <c r="BH1182" s="571" t="e">
        <f t="shared" si="192"/>
        <v>#DIV/0!</v>
      </c>
    </row>
    <row r="1183" spans="55:60" s="39" customFormat="1">
      <c r="BC1183" s="573">
        <v>11.72</v>
      </c>
      <c r="BD1183" s="571">
        <f t="shared" si="189"/>
        <v>0</v>
      </c>
      <c r="BE1183" s="571">
        <f t="shared" si="193"/>
        <v>0</v>
      </c>
      <c r="BF1183" s="586">
        <f t="shared" si="190"/>
        <v>0</v>
      </c>
      <c r="BG1183" s="586" t="e">
        <f t="shared" si="191"/>
        <v>#DIV/0!</v>
      </c>
      <c r="BH1183" s="571" t="e">
        <f t="shared" si="192"/>
        <v>#DIV/0!</v>
      </c>
    </row>
    <row r="1184" spans="55:60" s="39" customFormat="1">
      <c r="BC1184" s="573">
        <v>11.73</v>
      </c>
      <c r="BD1184" s="571">
        <f t="shared" si="189"/>
        <v>0</v>
      </c>
      <c r="BE1184" s="571">
        <f t="shared" si="193"/>
        <v>0</v>
      </c>
      <c r="BF1184" s="586">
        <f t="shared" si="190"/>
        <v>0</v>
      </c>
      <c r="BG1184" s="586" t="e">
        <f t="shared" si="191"/>
        <v>#DIV/0!</v>
      </c>
      <c r="BH1184" s="571" t="e">
        <f t="shared" si="192"/>
        <v>#DIV/0!</v>
      </c>
    </row>
    <row r="1185" spans="55:60" s="39" customFormat="1">
      <c r="BC1185" s="573">
        <v>11.74</v>
      </c>
      <c r="BD1185" s="571">
        <f t="shared" si="189"/>
        <v>0</v>
      </c>
      <c r="BE1185" s="571">
        <f t="shared" si="193"/>
        <v>0</v>
      </c>
      <c r="BF1185" s="586">
        <f t="shared" si="190"/>
        <v>0</v>
      </c>
      <c r="BG1185" s="586" t="e">
        <f t="shared" si="191"/>
        <v>#DIV/0!</v>
      </c>
      <c r="BH1185" s="571" t="e">
        <f t="shared" si="192"/>
        <v>#DIV/0!</v>
      </c>
    </row>
    <row r="1186" spans="55:60" s="39" customFormat="1">
      <c r="BC1186" s="573">
        <v>11.75</v>
      </c>
      <c r="BD1186" s="571">
        <f t="shared" si="189"/>
        <v>0</v>
      </c>
      <c r="BE1186" s="571">
        <f t="shared" si="193"/>
        <v>0</v>
      </c>
      <c r="BF1186" s="586">
        <f t="shared" si="190"/>
        <v>0</v>
      </c>
      <c r="BG1186" s="586" t="e">
        <f t="shared" si="191"/>
        <v>#DIV/0!</v>
      </c>
      <c r="BH1186" s="571" t="e">
        <f t="shared" si="192"/>
        <v>#DIV/0!</v>
      </c>
    </row>
    <row r="1187" spans="55:60" s="39" customFormat="1">
      <c r="BC1187" s="573">
        <v>11.76</v>
      </c>
      <c r="BD1187" s="571">
        <f t="shared" si="189"/>
        <v>0</v>
      </c>
      <c r="BE1187" s="571">
        <f t="shared" si="193"/>
        <v>0</v>
      </c>
      <c r="BF1187" s="586">
        <f t="shared" si="190"/>
        <v>0</v>
      </c>
      <c r="BG1187" s="586" t="e">
        <f t="shared" si="191"/>
        <v>#DIV/0!</v>
      </c>
      <c r="BH1187" s="571" t="e">
        <f t="shared" si="192"/>
        <v>#DIV/0!</v>
      </c>
    </row>
    <row r="1188" spans="55:60" s="39" customFormat="1">
      <c r="BC1188" s="573">
        <v>11.77</v>
      </c>
      <c r="BD1188" s="571">
        <f t="shared" si="189"/>
        <v>0</v>
      </c>
      <c r="BE1188" s="571">
        <f t="shared" si="193"/>
        <v>0</v>
      </c>
      <c r="BF1188" s="586">
        <f t="shared" si="190"/>
        <v>0</v>
      </c>
      <c r="BG1188" s="586" t="e">
        <f t="shared" si="191"/>
        <v>#DIV/0!</v>
      </c>
      <c r="BH1188" s="571" t="e">
        <f t="shared" si="192"/>
        <v>#DIV/0!</v>
      </c>
    </row>
    <row r="1189" spans="55:60" s="39" customFormat="1">
      <c r="BC1189" s="573">
        <v>11.78</v>
      </c>
      <c r="BD1189" s="571">
        <f t="shared" si="189"/>
        <v>0</v>
      </c>
      <c r="BE1189" s="571">
        <f t="shared" si="193"/>
        <v>0</v>
      </c>
      <c r="BF1189" s="586">
        <f t="shared" si="190"/>
        <v>0</v>
      </c>
      <c r="BG1189" s="586" t="e">
        <f t="shared" si="191"/>
        <v>#DIV/0!</v>
      </c>
      <c r="BH1189" s="571" t="e">
        <f t="shared" si="192"/>
        <v>#DIV/0!</v>
      </c>
    </row>
    <row r="1190" spans="55:60" s="39" customFormat="1">
      <c r="BC1190" s="573">
        <v>11.79</v>
      </c>
      <c r="BD1190" s="571">
        <f t="shared" si="189"/>
        <v>0</v>
      </c>
      <c r="BE1190" s="571">
        <f t="shared" si="193"/>
        <v>0</v>
      </c>
      <c r="BF1190" s="586">
        <f t="shared" si="190"/>
        <v>0</v>
      </c>
      <c r="BG1190" s="586" t="e">
        <f t="shared" si="191"/>
        <v>#DIV/0!</v>
      </c>
      <c r="BH1190" s="571" t="e">
        <f t="shared" si="192"/>
        <v>#DIV/0!</v>
      </c>
    </row>
    <row r="1191" spans="55:60" s="39" customFormat="1">
      <c r="BC1191" s="573">
        <v>11.8</v>
      </c>
      <c r="BD1191" s="571">
        <f t="shared" si="189"/>
        <v>0</v>
      </c>
      <c r="BE1191" s="571">
        <f t="shared" si="193"/>
        <v>0</v>
      </c>
      <c r="BF1191" s="586">
        <f t="shared" si="190"/>
        <v>0</v>
      </c>
      <c r="BG1191" s="586" t="e">
        <f t="shared" si="191"/>
        <v>#DIV/0!</v>
      </c>
      <c r="BH1191" s="571" t="e">
        <f t="shared" si="192"/>
        <v>#DIV/0!</v>
      </c>
    </row>
    <row r="1192" spans="55:60" s="39" customFormat="1">
      <c r="BC1192" s="573">
        <v>11.81</v>
      </c>
      <c r="BD1192" s="571">
        <f t="shared" si="189"/>
        <v>0</v>
      </c>
      <c r="BE1192" s="571">
        <f t="shared" si="193"/>
        <v>0</v>
      </c>
      <c r="BF1192" s="586">
        <f t="shared" si="190"/>
        <v>0</v>
      </c>
      <c r="BG1192" s="586" t="e">
        <f t="shared" si="191"/>
        <v>#DIV/0!</v>
      </c>
      <c r="BH1192" s="571" t="e">
        <f t="shared" si="192"/>
        <v>#DIV/0!</v>
      </c>
    </row>
    <row r="1193" spans="55:60" s="39" customFormat="1">
      <c r="BC1193" s="573">
        <v>11.82</v>
      </c>
      <c r="BD1193" s="571">
        <f t="shared" si="189"/>
        <v>0</v>
      </c>
      <c r="BE1193" s="571">
        <f t="shared" si="193"/>
        <v>0</v>
      </c>
      <c r="BF1193" s="586">
        <f t="shared" si="190"/>
        <v>0</v>
      </c>
      <c r="BG1193" s="586" t="e">
        <f t="shared" si="191"/>
        <v>#DIV/0!</v>
      </c>
      <c r="BH1193" s="571" t="e">
        <f t="shared" si="192"/>
        <v>#DIV/0!</v>
      </c>
    </row>
    <row r="1194" spans="55:60" s="39" customFormat="1">
      <c r="BC1194" s="573">
        <v>11.83</v>
      </c>
      <c r="BD1194" s="571">
        <f t="shared" si="189"/>
        <v>0</v>
      </c>
      <c r="BE1194" s="571">
        <f t="shared" si="193"/>
        <v>0</v>
      </c>
      <c r="BF1194" s="586">
        <f t="shared" si="190"/>
        <v>0</v>
      </c>
      <c r="BG1194" s="586" t="e">
        <f t="shared" si="191"/>
        <v>#DIV/0!</v>
      </c>
      <c r="BH1194" s="571" t="e">
        <f t="shared" si="192"/>
        <v>#DIV/0!</v>
      </c>
    </row>
    <row r="1195" spans="55:60" s="39" customFormat="1">
      <c r="BC1195" s="573">
        <v>11.84</v>
      </c>
      <c r="BD1195" s="571">
        <f t="shared" si="189"/>
        <v>0</v>
      </c>
      <c r="BE1195" s="571">
        <f t="shared" si="193"/>
        <v>0</v>
      </c>
      <c r="BF1195" s="586">
        <f t="shared" si="190"/>
        <v>0</v>
      </c>
      <c r="BG1195" s="586" t="e">
        <f t="shared" si="191"/>
        <v>#DIV/0!</v>
      </c>
      <c r="BH1195" s="571" t="e">
        <f t="shared" si="192"/>
        <v>#DIV/0!</v>
      </c>
    </row>
    <row r="1196" spans="55:60" s="39" customFormat="1">
      <c r="BC1196" s="573">
        <v>11.85</v>
      </c>
      <c r="BD1196" s="571">
        <f t="shared" si="189"/>
        <v>0</v>
      </c>
      <c r="BE1196" s="571">
        <f t="shared" si="193"/>
        <v>0</v>
      </c>
      <c r="BF1196" s="586">
        <f t="shared" si="190"/>
        <v>0</v>
      </c>
      <c r="BG1196" s="586" t="e">
        <f t="shared" si="191"/>
        <v>#DIV/0!</v>
      </c>
      <c r="BH1196" s="571" t="e">
        <f t="shared" si="192"/>
        <v>#DIV/0!</v>
      </c>
    </row>
    <row r="1197" spans="55:60" s="39" customFormat="1">
      <c r="BC1197" s="573">
        <v>11.86</v>
      </c>
      <c r="BD1197" s="571">
        <f t="shared" si="189"/>
        <v>0</v>
      </c>
      <c r="BE1197" s="571">
        <f t="shared" si="193"/>
        <v>0</v>
      </c>
      <c r="BF1197" s="586">
        <f t="shared" si="190"/>
        <v>0</v>
      </c>
      <c r="BG1197" s="586" t="e">
        <f t="shared" si="191"/>
        <v>#DIV/0!</v>
      </c>
      <c r="BH1197" s="571" t="e">
        <f t="shared" si="192"/>
        <v>#DIV/0!</v>
      </c>
    </row>
    <row r="1198" spans="55:60" s="39" customFormat="1">
      <c r="BC1198" s="573">
        <v>11.87</v>
      </c>
      <c r="BD1198" s="571">
        <f t="shared" si="189"/>
        <v>0</v>
      </c>
      <c r="BE1198" s="571">
        <f t="shared" si="193"/>
        <v>0</v>
      </c>
      <c r="BF1198" s="586">
        <f t="shared" si="190"/>
        <v>0</v>
      </c>
      <c r="BG1198" s="586" t="e">
        <f t="shared" si="191"/>
        <v>#DIV/0!</v>
      </c>
      <c r="BH1198" s="571" t="e">
        <f t="shared" si="192"/>
        <v>#DIV/0!</v>
      </c>
    </row>
    <row r="1199" spans="55:60" s="39" customFormat="1">
      <c r="BC1199" s="573">
        <v>11.88</v>
      </c>
      <c r="BD1199" s="571">
        <f t="shared" si="189"/>
        <v>0</v>
      </c>
      <c r="BE1199" s="571">
        <f t="shared" si="193"/>
        <v>0</v>
      </c>
      <c r="BF1199" s="586">
        <f t="shared" si="190"/>
        <v>0</v>
      </c>
      <c r="BG1199" s="586" t="e">
        <f t="shared" si="191"/>
        <v>#DIV/0!</v>
      </c>
      <c r="BH1199" s="571" t="e">
        <f t="shared" si="192"/>
        <v>#DIV/0!</v>
      </c>
    </row>
    <row r="1200" spans="55:60" s="39" customFormat="1">
      <c r="BC1200" s="573">
        <v>11.89</v>
      </c>
      <c r="BD1200" s="571">
        <f t="shared" si="189"/>
        <v>0</v>
      </c>
      <c r="BE1200" s="571">
        <f t="shared" si="193"/>
        <v>0</v>
      </c>
      <c r="BF1200" s="586">
        <f t="shared" si="190"/>
        <v>0</v>
      </c>
      <c r="BG1200" s="586" t="e">
        <f t="shared" si="191"/>
        <v>#DIV/0!</v>
      </c>
      <c r="BH1200" s="571" t="e">
        <f t="shared" si="192"/>
        <v>#DIV/0!</v>
      </c>
    </row>
    <row r="1201" spans="55:60" s="39" customFormat="1">
      <c r="BC1201" s="573">
        <v>11.9</v>
      </c>
      <c r="BD1201" s="571">
        <f t="shared" si="189"/>
        <v>0</v>
      </c>
      <c r="BE1201" s="571">
        <f t="shared" si="193"/>
        <v>0</v>
      </c>
      <c r="BF1201" s="586">
        <f t="shared" si="190"/>
        <v>0</v>
      </c>
      <c r="BG1201" s="586" t="e">
        <f t="shared" si="191"/>
        <v>#DIV/0!</v>
      </c>
      <c r="BH1201" s="571" t="e">
        <f t="shared" si="192"/>
        <v>#DIV/0!</v>
      </c>
    </row>
    <row r="1202" spans="55:60" s="39" customFormat="1">
      <c r="BC1202" s="573">
        <v>11.91</v>
      </c>
      <c r="BD1202" s="571">
        <f t="shared" si="189"/>
        <v>0</v>
      </c>
      <c r="BE1202" s="571">
        <f t="shared" si="193"/>
        <v>0</v>
      </c>
      <c r="BF1202" s="586">
        <f t="shared" si="190"/>
        <v>0</v>
      </c>
      <c r="BG1202" s="586" t="e">
        <f t="shared" si="191"/>
        <v>#DIV/0!</v>
      </c>
      <c r="BH1202" s="571" t="e">
        <f t="shared" si="192"/>
        <v>#DIV/0!</v>
      </c>
    </row>
    <row r="1203" spans="55:60" s="39" customFormat="1">
      <c r="BC1203" s="573">
        <v>11.92</v>
      </c>
      <c r="BD1203" s="571">
        <f t="shared" si="189"/>
        <v>0</v>
      </c>
      <c r="BE1203" s="571">
        <f t="shared" si="193"/>
        <v>0</v>
      </c>
      <c r="BF1203" s="586">
        <f t="shared" si="190"/>
        <v>0</v>
      </c>
      <c r="BG1203" s="586" t="e">
        <f t="shared" si="191"/>
        <v>#DIV/0!</v>
      </c>
      <c r="BH1203" s="571" t="e">
        <f t="shared" si="192"/>
        <v>#DIV/0!</v>
      </c>
    </row>
    <row r="1204" spans="55:60" s="39" customFormat="1">
      <c r="BC1204" s="573">
        <v>11.93</v>
      </c>
      <c r="BD1204" s="571">
        <f t="shared" si="189"/>
        <v>0</v>
      </c>
      <c r="BE1204" s="571">
        <f t="shared" si="193"/>
        <v>0</v>
      </c>
      <c r="BF1204" s="586">
        <f t="shared" si="190"/>
        <v>0</v>
      </c>
      <c r="BG1204" s="586" t="e">
        <f t="shared" si="191"/>
        <v>#DIV/0!</v>
      </c>
      <c r="BH1204" s="571" t="e">
        <f t="shared" si="192"/>
        <v>#DIV/0!</v>
      </c>
    </row>
    <row r="1205" spans="55:60" s="39" customFormat="1">
      <c r="BC1205" s="573">
        <v>11.94</v>
      </c>
      <c r="BD1205" s="571">
        <f t="shared" si="189"/>
        <v>0</v>
      </c>
      <c r="BE1205" s="571">
        <f t="shared" si="193"/>
        <v>0</v>
      </c>
      <c r="BF1205" s="586">
        <f t="shared" si="190"/>
        <v>0</v>
      </c>
      <c r="BG1205" s="586" t="e">
        <f t="shared" si="191"/>
        <v>#DIV/0!</v>
      </c>
      <c r="BH1205" s="571" t="e">
        <f t="shared" si="192"/>
        <v>#DIV/0!</v>
      </c>
    </row>
    <row r="1206" spans="55:60" s="39" customFormat="1">
      <c r="BC1206" s="573">
        <v>11.95</v>
      </c>
      <c r="BD1206" s="571">
        <f t="shared" si="189"/>
        <v>0</v>
      </c>
      <c r="BE1206" s="571">
        <f t="shared" si="193"/>
        <v>0</v>
      </c>
      <c r="BF1206" s="586">
        <f t="shared" si="190"/>
        <v>0</v>
      </c>
      <c r="BG1206" s="586" t="e">
        <f t="shared" si="191"/>
        <v>#DIV/0!</v>
      </c>
      <c r="BH1206" s="571" t="e">
        <f t="shared" si="192"/>
        <v>#DIV/0!</v>
      </c>
    </row>
    <row r="1207" spans="55:60" s="39" customFormat="1">
      <c r="BC1207" s="573">
        <v>11.96</v>
      </c>
      <c r="BD1207" s="571">
        <f t="shared" si="189"/>
        <v>0</v>
      </c>
      <c r="BE1207" s="571">
        <f t="shared" si="193"/>
        <v>0</v>
      </c>
      <c r="BF1207" s="586">
        <f t="shared" si="190"/>
        <v>0</v>
      </c>
      <c r="BG1207" s="586" t="e">
        <f t="shared" si="191"/>
        <v>#DIV/0!</v>
      </c>
      <c r="BH1207" s="571" t="e">
        <f t="shared" si="192"/>
        <v>#DIV/0!</v>
      </c>
    </row>
    <row r="1208" spans="55:60" s="39" customFormat="1">
      <c r="BC1208" s="573">
        <v>11.97</v>
      </c>
      <c r="BD1208" s="571">
        <f t="shared" si="189"/>
        <v>0</v>
      </c>
      <c r="BE1208" s="571">
        <f t="shared" si="193"/>
        <v>0</v>
      </c>
      <c r="BF1208" s="586">
        <f t="shared" si="190"/>
        <v>0</v>
      </c>
      <c r="BG1208" s="586" t="e">
        <f t="shared" si="191"/>
        <v>#DIV/0!</v>
      </c>
      <c r="BH1208" s="571" t="e">
        <f t="shared" si="192"/>
        <v>#DIV/0!</v>
      </c>
    </row>
    <row r="1209" spans="55:60" s="39" customFormat="1">
      <c r="BC1209" s="573">
        <v>11.98</v>
      </c>
      <c r="BD1209" s="571">
        <f t="shared" si="189"/>
        <v>0</v>
      </c>
      <c r="BE1209" s="571">
        <f t="shared" si="193"/>
        <v>0</v>
      </c>
      <c r="BF1209" s="586">
        <f t="shared" si="190"/>
        <v>0</v>
      </c>
      <c r="BG1209" s="586" t="e">
        <f t="shared" si="191"/>
        <v>#DIV/0!</v>
      </c>
      <c r="BH1209" s="571" t="e">
        <f t="shared" si="192"/>
        <v>#DIV/0!</v>
      </c>
    </row>
    <row r="1210" spans="55:60" s="39" customFormat="1">
      <c r="BC1210" s="573">
        <v>11.99</v>
      </c>
      <c r="BD1210" s="571">
        <f t="shared" si="189"/>
        <v>0</v>
      </c>
      <c r="BE1210" s="571">
        <f t="shared" si="193"/>
        <v>0</v>
      </c>
      <c r="BF1210" s="586">
        <f t="shared" si="190"/>
        <v>0</v>
      </c>
      <c r="BG1210" s="586" t="e">
        <f t="shared" si="191"/>
        <v>#DIV/0!</v>
      </c>
      <c r="BH1210" s="571" t="e">
        <f t="shared" si="192"/>
        <v>#DIV/0!</v>
      </c>
    </row>
    <row r="1211" spans="55:60" s="39" customFormat="1">
      <c r="BC1211" s="573">
        <v>12</v>
      </c>
      <c r="BD1211" s="571">
        <f t="shared" si="189"/>
        <v>0</v>
      </c>
      <c r="BE1211" s="571">
        <f t="shared" si="193"/>
        <v>0</v>
      </c>
      <c r="BF1211" s="586">
        <f t="shared" si="190"/>
        <v>0</v>
      </c>
      <c r="BG1211" s="586" t="e">
        <f t="shared" si="191"/>
        <v>#DIV/0!</v>
      </c>
      <c r="BH1211" s="571" t="e">
        <f t="shared" si="192"/>
        <v>#DIV/0!</v>
      </c>
    </row>
    <row r="1212" spans="55:60" s="39" customFormat="1">
      <c r="BC1212" s="573">
        <v>12.01</v>
      </c>
      <c r="BD1212" s="571">
        <f t="shared" si="189"/>
        <v>0</v>
      </c>
      <c r="BE1212" s="571">
        <f t="shared" si="193"/>
        <v>0</v>
      </c>
      <c r="BF1212" s="586">
        <f t="shared" si="190"/>
        <v>0</v>
      </c>
      <c r="BG1212" s="586" t="e">
        <f t="shared" si="191"/>
        <v>#DIV/0!</v>
      </c>
      <c r="BH1212" s="571" t="e">
        <f t="shared" si="192"/>
        <v>#DIV/0!</v>
      </c>
    </row>
    <row r="1213" spans="55:60" s="39" customFormat="1">
      <c r="BC1213" s="573">
        <v>12.02</v>
      </c>
      <c r="BD1213" s="571">
        <f t="shared" si="189"/>
        <v>0</v>
      </c>
      <c r="BE1213" s="571">
        <f t="shared" si="193"/>
        <v>0</v>
      </c>
      <c r="BF1213" s="586">
        <f t="shared" si="190"/>
        <v>0</v>
      </c>
      <c r="BG1213" s="586" t="e">
        <f t="shared" si="191"/>
        <v>#DIV/0!</v>
      </c>
      <c r="BH1213" s="571" t="e">
        <f t="shared" si="192"/>
        <v>#DIV/0!</v>
      </c>
    </row>
    <row r="1214" spans="55:60" s="39" customFormat="1">
      <c r="BC1214" s="573">
        <v>12.03</v>
      </c>
      <c r="BD1214" s="571">
        <f t="shared" si="189"/>
        <v>0</v>
      </c>
      <c r="BE1214" s="571">
        <f t="shared" si="193"/>
        <v>0</v>
      </c>
      <c r="BF1214" s="586">
        <f t="shared" si="190"/>
        <v>0</v>
      </c>
      <c r="BG1214" s="586" t="e">
        <f t="shared" si="191"/>
        <v>#DIV/0!</v>
      </c>
      <c r="BH1214" s="571" t="e">
        <f t="shared" si="192"/>
        <v>#DIV/0!</v>
      </c>
    </row>
    <row r="1215" spans="55:60" s="39" customFormat="1">
      <c r="BC1215" s="573">
        <v>12.04</v>
      </c>
      <c r="BD1215" s="571">
        <f t="shared" si="189"/>
        <v>0</v>
      </c>
      <c r="BE1215" s="571">
        <f t="shared" si="193"/>
        <v>0</v>
      </c>
      <c r="BF1215" s="586">
        <f t="shared" si="190"/>
        <v>0</v>
      </c>
      <c r="BG1215" s="586" t="e">
        <f t="shared" si="191"/>
        <v>#DIV/0!</v>
      </c>
      <c r="BH1215" s="571" t="e">
        <f t="shared" si="192"/>
        <v>#DIV/0!</v>
      </c>
    </row>
    <row r="1216" spans="55:60" s="39" customFormat="1">
      <c r="BC1216" s="573">
        <v>12.05</v>
      </c>
      <c r="BD1216" s="571">
        <f t="shared" si="189"/>
        <v>0</v>
      </c>
      <c r="BE1216" s="571">
        <f t="shared" si="193"/>
        <v>0</v>
      </c>
      <c r="BF1216" s="586">
        <f t="shared" si="190"/>
        <v>0</v>
      </c>
      <c r="BG1216" s="586" t="e">
        <f t="shared" si="191"/>
        <v>#DIV/0!</v>
      </c>
      <c r="BH1216" s="571" t="e">
        <f t="shared" si="192"/>
        <v>#DIV/0!</v>
      </c>
    </row>
    <row r="1217" spans="55:60" s="39" customFormat="1">
      <c r="BC1217" s="573">
        <v>12.06</v>
      </c>
      <c r="BD1217" s="571">
        <f t="shared" si="189"/>
        <v>0</v>
      </c>
      <c r="BE1217" s="571">
        <f t="shared" si="193"/>
        <v>0</v>
      </c>
      <c r="BF1217" s="586">
        <f t="shared" si="190"/>
        <v>0</v>
      </c>
      <c r="BG1217" s="586" t="e">
        <f t="shared" si="191"/>
        <v>#DIV/0!</v>
      </c>
      <c r="BH1217" s="571" t="e">
        <f t="shared" si="192"/>
        <v>#DIV/0!</v>
      </c>
    </row>
    <row r="1218" spans="55:60" s="39" customFormat="1">
      <c r="BC1218" s="573">
        <v>12.07</v>
      </c>
      <c r="BD1218" s="571">
        <f t="shared" si="189"/>
        <v>0</v>
      </c>
      <c r="BE1218" s="571">
        <f t="shared" si="193"/>
        <v>0</v>
      </c>
      <c r="BF1218" s="586">
        <f t="shared" si="190"/>
        <v>0</v>
      </c>
      <c r="BG1218" s="586" t="e">
        <f t="shared" si="191"/>
        <v>#DIV/0!</v>
      </c>
      <c r="BH1218" s="571" t="e">
        <f t="shared" si="192"/>
        <v>#DIV/0!</v>
      </c>
    </row>
    <row r="1219" spans="55:60" s="39" customFormat="1">
      <c r="BC1219" s="573">
        <v>12.08</v>
      </c>
      <c r="BD1219" s="571">
        <f t="shared" si="189"/>
        <v>0</v>
      </c>
      <c r="BE1219" s="571">
        <f t="shared" si="193"/>
        <v>0</v>
      </c>
      <c r="BF1219" s="586">
        <f t="shared" si="190"/>
        <v>0</v>
      </c>
      <c r="BG1219" s="586" t="e">
        <f t="shared" si="191"/>
        <v>#DIV/0!</v>
      </c>
      <c r="BH1219" s="571" t="e">
        <f t="shared" si="192"/>
        <v>#DIV/0!</v>
      </c>
    </row>
    <row r="1220" spans="55:60" s="39" customFormat="1">
      <c r="BC1220" s="573">
        <v>12.09</v>
      </c>
      <c r="BD1220" s="571">
        <f t="shared" si="189"/>
        <v>0</v>
      </c>
      <c r="BE1220" s="571">
        <f t="shared" si="193"/>
        <v>0</v>
      </c>
      <c r="BF1220" s="586">
        <f t="shared" si="190"/>
        <v>0</v>
      </c>
      <c r="BG1220" s="586" t="e">
        <f t="shared" si="191"/>
        <v>#DIV/0!</v>
      </c>
      <c r="BH1220" s="571" t="e">
        <f t="shared" si="192"/>
        <v>#DIV/0!</v>
      </c>
    </row>
    <row r="1221" spans="55:60" s="39" customFormat="1">
      <c r="BC1221" s="573">
        <v>12.1</v>
      </c>
      <c r="BD1221" s="571">
        <f t="shared" si="189"/>
        <v>0</v>
      </c>
      <c r="BE1221" s="571">
        <f t="shared" si="193"/>
        <v>0</v>
      </c>
      <c r="BF1221" s="586">
        <f t="shared" si="190"/>
        <v>0</v>
      </c>
      <c r="BG1221" s="586" t="e">
        <f t="shared" si="191"/>
        <v>#DIV/0!</v>
      </c>
      <c r="BH1221" s="571" t="e">
        <f t="shared" si="192"/>
        <v>#DIV/0!</v>
      </c>
    </row>
    <row r="1222" spans="55:60" s="39" customFormat="1">
      <c r="BC1222" s="573">
        <v>12.11</v>
      </c>
      <c r="BD1222" s="571">
        <f t="shared" si="189"/>
        <v>0</v>
      </c>
      <c r="BE1222" s="571">
        <f t="shared" si="193"/>
        <v>0</v>
      </c>
      <c r="BF1222" s="586">
        <f t="shared" si="190"/>
        <v>0</v>
      </c>
      <c r="BG1222" s="586" t="e">
        <f t="shared" si="191"/>
        <v>#DIV/0!</v>
      </c>
      <c r="BH1222" s="571" t="e">
        <f t="shared" si="192"/>
        <v>#DIV/0!</v>
      </c>
    </row>
    <row r="1223" spans="55:60" s="39" customFormat="1">
      <c r="BC1223" s="573">
        <v>12.12</v>
      </c>
      <c r="BD1223" s="571">
        <f t="shared" si="189"/>
        <v>0</v>
      </c>
      <c r="BE1223" s="571">
        <f t="shared" si="193"/>
        <v>0</v>
      </c>
      <c r="BF1223" s="586">
        <f t="shared" si="190"/>
        <v>0</v>
      </c>
      <c r="BG1223" s="586" t="e">
        <f t="shared" si="191"/>
        <v>#DIV/0!</v>
      </c>
      <c r="BH1223" s="571" t="e">
        <f t="shared" si="192"/>
        <v>#DIV/0!</v>
      </c>
    </row>
    <row r="1224" spans="55:60" s="39" customFormat="1">
      <c r="BC1224" s="573">
        <v>12.13</v>
      </c>
      <c r="BD1224" s="571">
        <f t="shared" si="189"/>
        <v>0</v>
      </c>
      <c r="BE1224" s="571">
        <f t="shared" si="193"/>
        <v>0</v>
      </c>
      <c r="BF1224" s="586">
        <f t="shared" si="190"/>
        <v>0</v>
      </c>
      <c r="BG1224" s="586" t="e">
        <f t="shared" si="191"/>
        <v>#DIV/0!</v>
      </c>
      <c r="BH1224" s="571" t="e">
        <f t="shared" si="192"/>
        <v>#DIV/0!</v>
      </c>
    </row>
    <row r="1225" spans="55:60" s="39" customFormat="1">
      <c r="BC1225" s="573">
        <v>12.14</v>
      </c>
      <c r="BD1225" s="571">
        <f t="shared" si="189"/>
        <v>0</v>
      </c>
      <c r="BE1225" s="571">
        <f t="shared" si="193"/>
        <v>0</v>
      </c>
      <c r="BF1225" s="586">
        <f t="shared" si="190"/>
        <v>0</v>
      </c>
      <c r="BG1225" s="586" t="e">
        <f t="shared" si="191"/>
        <v>#DIV/0!</v>
      </c>
      <c r="BH1225" s="571" t="e">
        <f t="shared" si="192"/>
        <v>#DIV/0!</v>
      </c>
    </row>
    <row r="1226" spans="55:60" s="39" customFormat="1">
      <c r="BC1226" s="573">
        <v>12.15</v>
      </c>
      <c r="BD1226" s="571">
        <f t="shared" si="189"/>
        <v>0</v>
      </c>
      <c r="BE1226" s="571">
        <f t="shared" si="193"/>
        <v>0</v>
      </c>
      <c r="BF1226" s="586">
        <f t="shared" si="190"/>
        <v>0</v>
      </c>
      <c r="BG1226" s="586" t="e">
        <f t="shared" si="191"/>
        <v>#DIV/0!</v>
      </c>
      <c r="BH1226" s="571" t="e">
        <f t="shared" si="192"/>
        <v>#DIV/0!</v>
      </c>
    </row>
    <row r="1227" spans="55:60" s="39" customFormat="1">
      <c r="BC1227" s="573">
        <v>12.16</v>
      </c>
      <c r="BD1227" s="571">
        <f t="shared" si="189"/>
        <v>0</v>
      </c>
      <c r="BE1227" s="571">
        <f t="shared" si="193"/>
        <v>0</v>
      </c>
      <c r="BF1227" s="586">
        <f t="shared" si="190"/>
        <v>0</v>
      </c>
      <c r="BG1227" s="586" t="e">
        <f t="shared" si="191"/>
        <v>#DIV/0!</v>
      </c>
      <c r="BH1227" s="571" t="e">
        <f t="shared" si="192"/>
        <v>#DIV/0!</v>
      </c>
    </row>
    <row r="1228" spans="55:60" s="39" customFormat="1">
      <c r="BC1228" s="573">
        <v>12.17</v>
      </c>
      <c r="BD1228" s="571">
        <f t="shared" ref="BD1228:BD1291" si="194">$AU$15/BC1228</f>
        <v>0</v>
      </c>
      <c r="BE1228" s="571">
        <f t="shared" si="193"/>
        <v>0</v>
      </c>
      <c r="BF1228" s="586">
        <f t="shared" ref="BF1228:BF1291" si="195">BC1228*(BE1228/1000)/$AO$12</f>
        <v>0</v>
      </c>
      <c r="BG1228" s="586" t="e">
        <f t="shared" ref="BG1228:BG1291" si="196">POWER((1/(-1.8*LOG((6.9/BF1228+POWER((($P$7/BE1228)/3.71),1.11)),10))),2)</f>
        <v>#DIV/0!</v>
      </c>
      <c r="BH1228" s="571" t="e">
        <f t="shared" ref="BH1228:BH1291" si="197">BG1228*0.5*$P$6*16*$AU$15*$AU$15/(POWER(PI(),2)*POWER((BE1228/1000),5))</f>
        <v>#DIV/0!</v>
      </c>
    </row>
    <row r="1229" spans="55:60" s="39" customFormat="1">
      <c r="BC1229" s="573">
        <v>12.18</v>
      </c>
      <c r="BD1229" s="571">
        <f t="shared" si="194"/>
        <v>0</v>
      </c>
      <c r="BE1229" s="571">
        <f t="shared" ref="BE1229:BE1292" si="198">((BD1229/PI())^0.5)*2*1000</f>
        <v>0</v>
      </c>
      <c r="BF1229" s="586">
        <f t="shared" si="195"/>
        <v>0</v>
      </c>
      <c r="BG1229" s="586" t="e">
        <f t="shared" si="196"/>
        <v>#DIV/0!</v>
      </c>
      <c r="BH1229" s="571" t="e">
        <f t="shared" si="197"/>
        <v>#DIV/0!</v>
      </c>
    </row>
    <row r="1230" spans="55:60" s="39" customFormat="1">
      <c r="BC1230" s="573">
        <v>12.19</v>
      </c>
      <c r="BD1230" s="571">
        <f t="shared" si="194"/>
        <v>0</v>
      </c>
      <c r="BE1230" s="571">
        <f t="shared" si="198"/>
        <v>0</v>
      </c>
      <c r="BF1230" s="586">
        <f t="shared" si="195"/>
        <v>0</v>
      </c>
      <c r="BG1230" s="586" t="e">
        <f t="shared" si="196"/>
        <v>#DIV/0!</v>
      </c>
      <c r="BH1230" s="571" t="e">
        <f t="shared" si="197"/>
        <v>#DIV/0!</v>
      </c>
    </row>
    <row r="1231" spans="55:60" s="39" customFormat="1">
      <c r="BC1231" s="573">
        <v>12.2</v>
      </c>
      <c r="BD1231" s="571">
        <f t="shared" si="194"/>
        <v>0</v>
      </c>
      <c r="BE1231" s="571">
        <f t="shared" si="198"/>
        <v>0</v>
      </c>
      <c r="BF1231" s="586">
        <f t="shared" si="195"/>
        <v>0</v>
      </c>
      <c r="BG1231" s="586" t="e">
        <f t="shared" si="196"/>
        <v>#DIV/0!</v>
      </c>
      <c r="BH1231" s="571" t="e">
        <f t="shared" si="197"/>
        <v>#DIV/0!</v>
      </c>
    </row>
    <row r="1232" spans="55:60" s="39" customFormat="1">
      <c r="BC1232" s="573">
        <v>12.21</v>
      </c>
      <c r="BD1232" s="571">
        <f t="shared" si="194"/>
        <v>0</v>
      </c>
      <c r="BE1232" s="571">
        <f t="shared" si="198"/>
        <v>0</v>
      </c>
      <c r="BF1232" s="586">
        <f t="shared" si="195"/>
        <v>0</v>
      </c>
      <c r="BG1232" s="586" t="e">
        <f t="shared" si="196"/>
        <v>#DIV/0!</v>
      </c>
      <c r="BH1232" s="571" t="e">
        <f t="shared" si="197"/>
        <v>#DIV/0!</v>
      </c>
    </row>
    <row r="1233" spans="55:60" s="39" customFormat="1">
      <c r="BC1233" s="573">
        <v>12.22</v>
      </c>
      <c r="BD1233" s="571">
        <f t="shared" si="194"/>
        <v>0</v>
      </c>
      <c r="BE1233" s="571">
        <f t="shared" si="198"/>
        <v>0</v>
      </c>
      <c r="BF1233" s="586">
        <f t="shared" si="195"/>
        <v>0</v>
      </c>
      <c r="BG1233" s="586" t="e">
        <f t="shared" si="196"/>
        <v>#DIV/0!</v>
      </c>
      <c r="BH1233" s="571" t="e">
        <f t="shared" si="197"/>
        <v>#DIV/0!</v>
      </c>
    </row>
    <row r="1234" spans="55:60" s="39" customFormat="1">
      <c r="BC1234" s="573">
        <v>12.23</v>
      </c>
      <c r="BD1234" s="571">
        <f t="shared" si="194"/>
        <v>0</v>
      </c>
      <c r="BE1234" s="571">
        <f t="shared" si="198"/>
        <v>0</v>
      </c>
      <c r="BF1234" s="586">
        <f t="shared" si="195"/>
        <v>0</v>
      </c>
      <c r="BG1234" s="586" t="e">
        <f t="shared" si="196"/>
        <v>#DIV/0!</v>
      </c>
      <c r="BH1234" s="571" t="e">
        <f t="shared" si="197"/>
        <v>#DIV/0!</v>
      </c>
    </row>
    <row r="1235" spans="55:60" s="39" customFormat="1">
      <c r="BC1235" s="573">
        <v>12.24</v>
      </c>
      <c r="BD1235" s="571">
        <f t="shared" si="194"/>
        <v>0</v>
      </c>
      <c r="BE1235" s="571">
        <f t="shared" si="198"/>
        <v>0</v>
      </c>
      <c r="BF1235" s="586">
        <f t="shared" si="195"/>
        <v>0</v>
      </c>
      <c r="BG1235" s="586" t="e">
        <f t="shared" si="196"/>
        <v>#DIV/0!</v>
      </c>
      <c r="BH1235" s="571" t="e">
        <f t="shared" si="197"/>
        <v>#DIV/0!</v>
      </c>
    </row>
    <row r="1236" spans="55:60" s="39" customFormat="1">
      <c r="BC1236" s="573">
        <v>12.25</v>
      </c>
      <c r="BD1236" s="571">
        <f t="shared" si="194"/>
        <v>0</v>
      </c>
      <c r="BE1236" s="571">
        <f t="shared" si="198"/>
        <v>0</v>
      </c>
      <c r="BF1236" s="586">
        <f t="shared" si="195"/>
        <v>0</v>
      </c>
      <c r="BG1236" s="586" t="e">
        <f t="shared" si="196"/>
        <v>#DIV/0!</v>
      </c>
      <c r="BH1236" s="571" t="e">
        <f t="shared" si="197"/>
        <v>#DIV/0!</v>
      </c>
    </row>
    <row r="1237" spans="55:60" s="39" customFormat="1">
      <c r="BC1237" s="573">
        <v>12.26</v>
      </c>
      <c r="BD1237" s="571">
        <f t="shared" si="194"/>
        <v>0</v>
      </c>
      <c r="BE1237" s="571">
        <f t="shared" si="198"/>
        <v>0</v>
      </c>
      <c r="BF1237" s="586">
        <f t="shared" si="195"/>
        <v>0</v>
      </c>
      <c r="BG1237" s="586" t="e">
        <f t="shared" si="196"/>
        <v>#DIV/0!</v>
      </c>
      <c r="BH1237" s="571" t="e">
        <f t="shared" si="197"/>
        <v>#DIV/0!</v>
      </c>
    </row>
    <row r="1238" spans="55:60" s="39" customFormat="1">
      <c r="BC1238" s="573">
        <v>12.27</v>
      </c>
      <c r="BD1238" s="571">
        <f t="shared" si="194"/>
        <v>0</v>
      </c>
      <c r="BE1238" s="571">
        <f t="shared" si="198"/>
        <v>0</v>
      </c>
      <c r="BF1238" s="586">
        <f t="shared" si="195"/>
        <v>0</v>
      </c>
      <c r="BG1238" s="586" t="e">
        <f t="shared" si="196"/>
        <v>#DIV/0!</v>
      </c>
      <c r="BH1238" s="571" t="e">
        <f t="shared" si="197"/>
        <v>#DIV/0!</v>
      </c>
    </row>
    <row r="1239" spans="55:60" s="39" customFormat="1">
      <c r="BC1239" s="573">
        <v>12.28</v>
      </c>
      <c r="BD1239" s="571">
        <f t="shared" si="194"/>
        <v>0</v>
      </c>
      <c r="BE1239" s="571">
        <f t="shared" si="198"/>
        <v>0</v>
      </c>
      <c r="BF1239" s="586">
        <f t="shared" si="195"/>
        <v>0</v>
      </c>
      <c r="BG1239" s="586" t="e">
        <f t="shared" si="196"/>
        <v>#DIV/0!</v>
      </c>
      <c r="BH1239" s="571" t="e">
        <f t="shared" si="197"/>
        <v>#DIV/0!</v>
      </c>
    </row>
    <row r="1240" spans="55:60" s="39" customFormat="1">
      <c r="BC1240" s="573">
        <v>12.29</v>
      </c>
      <c r="BD1240" s="571">
        <f t="shared" si="194"/>
        <v>0</v>
      </c>
      <c r="BE1240" s="571">
        <f t="shared" si="198"/>
        <v>0</v>
      </c>
      <c r="BF1240" s="586">
        <f t="shared" si="195"/>
        <v>0</v>
      </c>
      <c r="BG1240" s="586" t="e">
        <f t="shared" si="196"/>
        <v>#DIV/0!</v>
      </c>
      <c r="BH1240" s="571" t="e">
        <f t="shared" si="197"/>
        <v>#DIV/0!</v>
      </c>
    </row>
    <row r="1241" spans="55:60" s="39" customFormat="1">
      <c r="BC1241" s="573">
        <v>12.3</v>
      </c>
      <c r="BD1241" s="571">
        <f t="shared" si="194"/>
        <v>0</v>
      </c>
      <c r="BE1241" s="571">
        <f t="shared" si="198"/>
        <v>0</v>
      </c>
      <c r="BF1241" s="586">
        <f t="shared" si="195"/>
        <v>0</v>
      </c>
      <c r="BG1241" s="586" t="e">
        <f t="shared" si="196"/>
        <v>#DIV/0!</v>
      </c>
      <c r="BH1241" s="571" t="e">
        <f t="shared" si="197"/>
        <v>#DIV/0!</v>
      </c>
    </row>
    <row r="1242" spans="55:60" s="39" customFormat="1">
      <c r="BC1242" s="573">
        <v>12.31</v>
      </c>
      <c r="BD1242" s="571">
        <f t="shared" si="194"/>
        <v>0</v>
      </c>
      <c r="BE1242" s="571">
        <f t="shared" si="198"/>
        <v>0</v>
      </c>
      <c r="BF1242" s="586">
        <f t="shared" si="195"/>
        <v>0</v>
      </c>
      <c r="BG1242" s="586" t="e">
        <f t="shared" si="196"/>
        <v>#DIV/0!</v>
      </c>
      <c r="BH1242" s="571" t="e">
        <f t="shared" si="197"/>
        <v>#DIV/0!</v>
      </c>
    </row>
    <row r="1243" spans="55:60" s="39" customFormat="1">
      <c r="BC1243" s="573">
        <v>12.32</v>
      </c>
      <c r="BD1243" s="571">
        <f t="shared" si="194"/>
        <v>0</v>
      </c>
      <c r="BE1243" s="571">
        <f t="shared" si="198"/>
        <v>0</v>
      </c>
      <c r="BF1243" s="586">
        <f t="shared" si="195"/>
        <v>0</v>
      </c>
      <c r="BG1243" s="586" t="e">
        <f t="shared" si="196"/>
        <v>#DIV/0!</v>
      </c>
      <c r="BH1243" s="571" t="e">
        <f t="shared" si="197"/>
        <v>#DIV/0!</v>
      </c>
    </row>
    <row r="1244" spans="55:60" s="39" customFormat="1">
      <c r="BC1244" s="573">
        <v>12.33</v>
      </c>
      <c r="BD1244" s="571">
        <f t="shared" si="194"/>
        <v>0</v>
      </c>
      <c r="BE1244" s="571">
        <f t="shared" si="198"/>
        <v>0</v>
      </c>
      <c r="BF1244" s="586">
        <f t="shared" si="195"/>
        <v>0</v>
      </c>
      <c r="BG1244" s="586" t="e">
        <f t="shared" si="196"/>
        <v>#DIV/0!</v>
      </c>
      <c r="BH1244" s="571" t="e">
        <f t="shared" si="197"/>
        <v>#DIV/0!</v>
      </c>
    </row>
    <row r="1245" spans="55:60" s="39" customFormat="1">
      <c r="BC1245" s="573">
        <v>12.34</v>
      </c>
      <c r="BD1245" s="571">
        <f t="shared" si="194"/>
        <v>0</v>
      </c>
      <c r="BE1245" s="571">
        <f t="shared" si="198"/>
        <v>0</v>
      </c>
      <c r="BF1245" s="586">
        <f t="shared" si="195"/>
        <v>0</v>
      </c>
      <c r="BG1245" s="586" t="e">
        <f t="shared" si="196"/>
        <v>#DIV/0!</v>
      </c>
      <c r="BH1245" s="571" t="e">
        <f t="shared" si="197"/>
        <v>#DIV/0!</v>
      </c>
    </row>
    <row r="1246" spans="55:60" s="39" customFormat="1">
      <c r="BC1246" s="573">
        <v>12.35</v>
      </c>
      <c r="BD1246" s="571">
        <f t="shared" si="194"/>
        <v>0</v>
      </c>
      <c r="BE1246" s="571">
        <f t="shared" si="198"/>
        <v>0</v>
      </c>
      <c r="BF1246" s="586">
        <f t="shared" si="195"/>
        <v>0</v>
      </c>
      <c r="BG1246" s="586" t="e">
        <f t="shared" si="196"/>
        <v>#DIV/0!</v>
      </c>
      <c r="BH1246" s="571" t="e">
        <f t="shared" si="197"/>
        <v>#DIV/0!</v>
      </c>
    </row>
    <row r="1247" spans="55:60" s="39" customFormat="1">
      <c r="BC1247" s="573">
        <v>12.36</v>
      </c>
      <c r="BD1247" s="571">
        <f t="shared" si="194"/>
        <v>0</v>
      </c>
      <c r="BE1247" s="571">
        <f t="shared" si="198"/>
        <v>0</v>
      </c>
      <c r="BF1247" s="586">
        <f t="shared" si="195"/>
        <v>0</v>
      </c>
      <c r="BG1247" s="586" t="e">
        <f t="shared" si="196"/>
        <v>#DIV/0!</v>
      </c>
      <c r="BH1247" s="571" t="e">
        <f t="shared" si="197"/>
        <v>#DIV/0!</v>
      </c>
    </row>
    <row r="1248" spans="55:60" s="39" customFormat="1">
      <c r="BC1248" s="573">
        <v>12.37</v>
      </c>
      <c r="BD1248" s="571">
        <f t="shared" si="194"/>
        <v>0</v>
      </c>
      <c r="BE1248" s="571">
        <f t="shared" si="198"/>
        <v>0</v>
      </c>
      <c r="BF1248" s="586">
        <f t="shared" si="195"/>
        <v>0</v>
      </c>
      <c r="BG1248" s="586" t="e">
        <f t="shared" si="196"/>
        <v>#DIV/0!</v>
      </c>
      <c r="BH1248" s="571" t="e">
        <f t="shared" si="197"/>
        <v>#DIV/0!</v>
      </c>
    </row>
    <row r="1249" spans="55:60" s="39" customFormat="1">
      <c r="BC1249" s="573">
        <v>12.38</v>
      </c>
      <c r="BD1249" s="571">
        <f t="shared" si="194"/>
        <v>0</v>
      </c>
      <c r="BE1249" s="571">
        <f t="shared" si="198"/>
        <v>0</v>
      </c>
      <c r="BF1249" s="586">
        <f t="shared" si="195"/>
        <v>0</v>
      </c>
      <c r="BG1249" s="586" t="e">
        <f t="shared" si="196"/>
        <v>#DIV/0!</v>
      </c>
      <c r="BH1249" s="571" t="e">
        <f t="shared" si="197"/>
        <v>#DIV/0!</v>
      </c>
    </row>
    <row r="1250" spans="55:60" s="39" customFormat="1">
      <c r="BC1250" s="573">
        <v>12.39</v>
      </c>
      <c r="BD1250" s="571">
        <f t="shared" si="194"/>
        <v>0</v>
      </c>
      <c r="BE1250" s="571">
        <f t="shared" si="198"/>
        <v>0</v>
      </c>
      <c r="BF1250" s="586">
        <f t="shared" si="195"/>
        <v>0</v>
      </c>
      <c r="BG1250" s="586" t="e">
        <f t="shared" si="196"/>
        <v>#DIV/0!</v>
      </c>
      <c r="BH1250" s="571" t="e">
        <f t="shared" si="197"/>
        <v>#DIV/0!</v>
      </c>
    </row>
    <row r="1251" spans="55:60" s="39" customFormat="1">
      <c r="BC1251" s="573">
        <v>12.4</v>
      </c>
      <c r="BD1251" s="571">
        <f t="shared" si="194"/>
        <v>0</v>
      </c>
      <c r="BE1251" s="571">
        <f t="shared" si="198"/>
        <v>0</v>
      </c>
      <c r="BF1251" s="586">
        <f t="shared" si="195"/>
        <v>0</v>
      </c>
      <c r="BG1251" s="586" t="e">
        <f t="shared" si="196"/>
        <v>#DIV/0!</v>
      </c>
      <c r="BH1251" s="571" t="e">
        <f t="shared" si="197"/>
        <v>#DIV/0!</v>
      </c>
    </row>
    <row r="1252" spans="55:60" s="39" customFormat="1">
      <c r="BC1252" s="573">
        <v>12.41</v>
      </c>
      <c r="BD1252" s="571">
        <f t="shared" si="194"/>
        <v>0</v>
      </c>
      <c r="BE1252" s="571">
        <f t="shared" si="198"/>
        <v>0</v>
      </c>
      <c r="BF1252" s="586">
        <f t="shared" si="195"/>
        <v>0</v>
      </c>
      <c r="BG1252" s="586" t="e">
        <f t="shared" si="196"/>
        <v>#DIV/0!</v>
      </c>
      <c r="BH1252" s="571" t="e">
        <f t="shared" si="197"/>
        <v>#DIV/0!</v>
      </c>
    </row>
    <row r="1253" spans="55:60" s="39" customFormat="1">
      <c r="BC1253" s="573">
        <v>12.42</v>
      </c>
      <c r="BD1253" s="571">
        <f t="shared" si="194"/>
        <v>0</v>
      </c>
      <c r="BE1253" s="571">
        <f t="shared" si="198"/>
        <v>0</v>
      </c>
      <c r="BF1253" s="586">
        <f t="shared" si="195"/>
        <v>0</v>
      </c>
      <c r="BG1253" s="586" t="e">
        <f t="shared" si="196"/>
        <v>#DIV/0!</v>
      </c>
      <c r="BH1253" s="571" t="e">
        <f t="shared" si="197"/>
        <v>#DIV/0!</v>
      </c>
    </row>
    <row r="1254" spans="55:60" s="39" customFormat="1">
      <c r="BC1254" s="573">
        <v>12.43</v>
      </c>
      <c r="BD1254" s="571">
        <f t="shared" si="194"/>
        <v>0</v>
      </c>
      <c r="BE1254" s="571">
        <f t="shared" si="198"/>
        <v>0</v>
      </c>
      <c r="BF1254" s="586">
        <f t="shared" si="195"/>
        <v>0</v>
      </c>
      <c r="BG1254" s="586" t="e">
        <f t="shared" si="196"/>
        <v>#DIV/0!</v>
      </c>
      <c r="BH1254" s="571" t="e">
        <f t="shared" si="197"/>
        <v>#DIV/0!</v>
      </c>
    </row>
    <row r="1255" spans="55:60" s="39" customFormat="1">
      <c r="BC1255" s="573">
        <v>12.44</v>
      </c>
      <c r="BD1255" s="571">
        <f t="shared" si="194"/>
        <v>0</v>
      </c>
      <c r="BE1255" s="571">
        <f t="shared" si="198"/>
        <v>0</v>
      </c>
      <c r="BF1255" s="586">
        <f t="shared" si="195"/>
        <v>0</v>
      </c>
      <c r="BG1255" s="586" t="e">
        <f t="shared" si="196"/>
        <v>#DIV/0!</v>
      </c>
      <c r="BH1255" s="571" t="e">
        <f t="shared" si="197"/>
        <v>#DIV/0!</v>
      </c>
    </row>
    <row r="1256" spans="55:60" s="39" customFormat="1">
      <c r="BC1256" s="573">
        <v>12.45</v>
      </c>
      <c r="BD1256" s="571">
        <f t="shared" si="194"/>
        <v>0</v>
      </c>
      <c r="BE1256" s="571">
        <f t="shared" si="198"/>
        <v>0</v>
      </c>
      <c r="BF1256" s="586">
        <f t="shared" si="195"/>
        <v>0</v>
      </c>
      <c r="BG1256" s="586" t="e">
        <f t="shared" si="196"/>
        <v>#DIV/0!</v>
      </c>
      <c r="BH1256" s="571" t="e">
        <f t="shared" si="197"/>
        <v>#DIV/0!</v>
      </c>
    </row>
    <row r="1257" spans="55:60" s="39" customFormat="1">
      <c r="BC1257" s="573">
        <v>12.46</v>
      </c>
      <c r="BD1257" s="571">
        <f t="shared" si="194"/>
        <v>0</v>
      </c>
      <c r="BE1257" s="571">
        <f t="shared" si="198"/>
        <v>0</v>
      </c>
      <c r="BF1257" s="586">
        <f t="shared" si="195"/>
        <v>0</v>
      </c>
      <c r="BG1257" s="586" t="e">
        <f t="shared" si="196"/>
        <v>#DIV/0!</v>
      </c>
      <c r="BH1257" s="571" t="e">
        <f t="shared" si="197"/>
        <v>#DIV/0!</v>
      </c>
    </row>
    <row r="1258" spans="55:60" s="39" customFormat="1">
      <c r="BC1258" s="573">
        <v>12.47</v>
      </c>
      <c r="BD1258" s="571">
        <f t="shared" si="194"/>
        <v>0</v>
      </c>
      <c r="BE1258" s="571">
        <f t="shared" si="198"/>
        <v>0</v>
      </c>
      <c r="BF1258" s="586">
        <f t="shared" si="195"/>
        <v>0</v>
      </c>
      <c r="BG1258" s="586" t="e">
        <f t="shared" si="196"/>
        <v>#DIV/0!</v>
      </c>
      <c r="BH1258" s="571" t="e">
        <f t="shared" si="197"/>
        <v>#DIV/0!</v>
      </c>
    </row>
    <row r="1259" spans="55:60" s="39" customFormat="1">
      <c r="BC1259" s="573">
        <v>12.48</v>
      </c>
      <c r="BD1259" s="571">
        <f t="shared" si="194"/>
        <v>0</v>
      </c>
      <c r="BE1259" s="571">
        <f t="shared" si="198"/>
        <v>0</v>
      </c>
      <c r="BF1259" s="586">
        <f t="shared" si="195"/>
        <v>0</v>
      </c>
      <c r="BG1259" s="586" t="e">
        <f t="shared" si="196"/>
        <v>#DIV/0!</v>
      </c>
      <c r="BH1259" s="571" t="e">
        <f t="shared" si="197"/>
        <v>#DIV/0!</v>
      </c>
    </row>
    <row r="1260" spans="55:60" s="39" customFormat="1">
      <c r="BC1260" s="573">
        <v>12.49</v>
      </c>
      <c r="BD1260" s="571">
        <f t="shared" si="194"/>
        <v>0</v>
      </c>
      <c r="BE1260" s="571">
        <f t="shared" si="198"/>
        <v>0</v>
      </c>
      <c r="BF1260" s="586">
        <f t="shared" si="195"/>
        <v>0</v>
      </c>
      <c r="BG1260" s="586" t="e">
        <f t="shared" si="196"/>
        <v>#DIV/0!</v>
      </c>
      <c r="BH1260" s="571" t="e">
        <f t="shared" si="197"/>
        <v>#DIV/0!</v>
      </c>
    </row>
    <row r="1261" spans="55:60" s="39" customFormat="1">
      <c r="BC1261" s="573">
        <v>12.5</v>
      </c>
      <c r="BD1261" s="571">
        <f t="shared" si="194"/>
        <v>0</v>
      </c>
      <c r="BE1261" s="571">
        <f t="shared" si="198"/>
        <v>0</v>
      </c>
      <c r="BF1261" s="586">
        <f t="shared" si="195"/>
        <v>0</v>
      </c>
      <c r="BG1261" s="586" t="e">
        <f t="shared" si="196"/>
        <v>#DIV/0!</v>
      </c>
      <c r="BH1261" s="571" t="e">
        <f t="shared" si="197"/>
        <v>#DIV/0!</v>
      </c>
    </row>
    <row r="1262" spans="55:60" s="39" customFormat="1">
      <c r="BC1262" s="573">
        <v>12.51</v>
      </c>
      <c r="BD1262" s="571">
        <f t="shared" si="194"/>
        <v>0</v>
      </c>
      <c r="BE1262" s="571">
        <f t="shared" si="198"/>
        <v>0</v>
      </c>
      <c r="BF1262" s="586">
        <f t="shared" si="195"/>
        <v>0</v>
      </c>
      <c r="BG1262" s="586" t="e">
        <f t="shared" si="196"/>
        <v>#DIV/0!</v>
      </c>
      <c r="BH1262" s="571" t="e">
        <f t="shared" si="197"/>
        <v>#DIV/0!</v>
      </c>
    </row>
    <row r="1263" spans="55:60" s="39" customFormat="1">
      <c r="BC1263" s="573">
        <v>12.52</v>
      </c>
      <c r="BD1263" s="571">
        <f t="shared" si="194"/>
        <v>0</v>
      </c>
      <c r="BE1263" s="571">
        <f t="shared" si="198"/>
        <v>0</v>
      </c>
      <c r="BF1263" s="586">
        <f t="shared" si="195"/>
        <v>0</v>
      </c>
      <c r="BG1263" s="586" t="e">
        <f t="shared" si="196"/>
        <v>#DIV/0!</v>
      </c>
      <c r="BH1263" s="571" t="e">
        <f t="shared" si="197"/>
        <v>#DIV/0!</v>
      </c>
    </row>
    <row r="1264" spans="55:60" s="39" customFormat="1">
      <c r="BC1264" s="573">
        <v>12.53</v>
      </c>
      <c r="BD1264" s="571">
        <f t="shared" si="194"/>
        <v>0</v>
      </c>
      <c r="BE1264" s="571">
        <f t="shared" si="198"/>
        <v>0</v>
      </c>
      <c r="BF1264" s="586">
        <f t="shared" si="195"/>
        <v>0</v>
      </c>
      <c r="BG1264" s="586" t="e">
        <f t="shared" si="196"/>
        <v>#DIV/0!</v>
      </c>
      <c r="BH1264" s="571" t="e">
        <f t="shared" si="197"/>
        <v>#DIV/0!</v>
      </c>
    </row>
    <row r="1265" spans="55:60" s="39" customFormat="1">
      <c r="BC1265" s="573">
        <v>12.54</v>
      </c>
      <c r="BD1265" s="571">
        <f t="shared" si="194"/>
        <v>0</v>
      </c>
      <c r="BE1265" s="571">
        <f t="shared" si="198"/>
        <v>0</v>
      </c>
      <c r="BF1265" s="586">
        <f t="shared" si="195"/>
        <v>0</v>
      </c>
      <c r="BG1265" s="586" t="e">
        <f t="shared" si="196"/>
        <v>#DIV/0!</v>
      </c>
      <c r="BH1265" s="571" t="e">
        <f t="shared" si="197"/>
        <v>#DIV/0!</v>
      </c>
    </row>
    <row r="1266" spans="55:60" s="39" customFormat="1">
      <c r="BC1266" s="573">
        <v>12.55</v>
      </c>
      <c r="BD1266" s="571">
        <f t="shared" si="194"/>
        <v>0</v>
      </c>
      <c r="BE1266" s="571">
        <f t="shared" si="198"/>
        <v>0</v>
      </c>
      <c r="BF1266" s="586">
        <f t="shared" si="195"/>
        <v>0</v>
      </c>
      <c r="BG1266" s="586" t="e">
        <f t="shared" si="196"/>
        <v>#DIV/0!</v>
      </c>
      <c r="BH1266" s="571" t="e">
        <f t="shared" si="197"/>
        <v>#DIV/0!</v>
      </c>
    </row>
    <row r="1267" spans="55:60" s="39" customFormat="1">
      <c r="BC1267" s="573">
        <v>12.56</v>
      </c>
      <c r="BD1267" s="571">
        <f t="shared" si="194"/>
        <v>0</v>
      </c>
      <c r="BE1267" s="571">
        <f t="shared" si="198"/>
        <v>0</v>
      </c>
      <c r="BF1267" s="586">
        <f t="shared" si="195"/>
        <v>0</v>
      </c>
      <c r="BG1267" s="586" t="e">
        <f t="shared" si="196"/>
        <v>#DIV/0!</v>
      </c>
      <c r="BH1267" s="571" t="e">
        <f t="shared" si="197"/>
        <v>#DIV/0!</v>
      </c>
    </row>
    <row r="1268" spans="55:60" s="39" customFormat="1">
      <c r="BC1268" s="573">
        <v>12.57</v>
      </c>
      <c r="BD1268" s="571">
        <f t="shared" si="194"/>
        <v>0</v>
      </c>
      <c r="BE1268" s="571">
        <f t="shared" si="198"/>
        <v>0</v>
      </c>
      <c r="BF1268" s="586">
        <f t="shared" si="195"/>
        <v>0</v>
      </c>
      <c r="BG1268" s="586" t="e">
        <f t="shared" si="196"/>
        <v>#DIV/0!</v>
      </c>
      <c r="BH1268" s="571" t="e">
        <f t="shared" si="197"/>
        <v>#DIV/0!</v>
      </c>
    </row>
    <row r="1269" spans="55:60" s="39" customFormat="1">
      <c r="BC1269" s="573">
        <v>12.58</v>
      </c>
      <c r="BD1269" s="571">
        <f t="shared" si="194"/>
        <v>0</v>
      </c>
      <c r="BE1269" s="571">
        <f t="shared" si="198"/>
        <v>0</v>
      </c>
      <c r="BF1269" s="586">
        <f t="shared" si="195"/>
        <v>0</v>
      </c>
      <c r="BG1269" s="586" t="e">
        <f t="shared" si="196"/>
        <v>#DIV/0!</v>
      </c>
      <c r="BH1269" s="571" t="e">
        <f t="shared" si="197"/>
        <v>#DIV/0!</v>
      </c>
    </row>
    <row r="1270" spans="55:60" s="39" customFormat="1">
      <c r="BC1270" s="573">
        <v>12.59</v>
      </c>
      <c r="BD1270" s="571">
        <f t="shared" si="194"/>
        <v>0</v>
      </c>
      <c r="BE1270" s="571">
        <f t="shared" si="198"/>
        <v>0</v>
      </c>
      <c r="BF1270" s="586">
        <f t="shared" si="195"/>
        <v>0</v>
      </c>
      <c r="BG1270" s="586" t="e">
        <f t="shared" si="196"/>
        <v>#DIV/0!</v>
      </c>
      <c r="BH1270" s="571" t="e">
        <f t="shared" si="197"/>
        <v>#DIV/0!</v>
      </c>
    </row>
    <row r="1271" spans="55:60" s="39" customFormat="1">
      <c r="BC1271" s="573">
        <v>12.6</v>
      </c>
      <c r="BD1271" s="571">
        <f t="shared" si="194"/>
        <v>0</v>
      </c>
      <c r="BE1271" s="571">
        <f t="shared" si="198"/>
        <v>0</v>
      </c>
      <c r="BF1271" s="586">
        <f t="shared" si="195"/>
        <v>0</v>
      </c>
      <c r="BG1271" s="586" t="e">
        <f t="shared" si="196"/>
        <v>#DIV/0!</v>
      </c>
      <c r="BH1271" s="571" t="e">
        <f t="shared" si="197"/>
        <v>#DIV/0!</v>
      </c>
    </row>
    <row r="1272" spans="55:60" s="39" customFormat="1">
      <c r="BC1272" s="573">
        <v>12.61</v>
      </c>
      <c r="BD1272" s="571">
        <f t="shared" si="194"/>
        <v>0</v>
      </c>
      <c r="BE1272" s="571">
        <f t="shared" si="198"/>
        <v>0</v>
      </c>
      <c r="BF1272" s="586">
        <f t="shared" si="195"/>
        <v>0</v>
      </c>
      <c r="BG1272" s="586" t="e">
        <f t="shared" si="196"/>
        <v>#DIV/0!</v>
      </c>
      <c r="BH1272" s="571" t="e">
        <f t="shared" si="197"/>
        <v>#DIV/0!</v>
      </c>
    </row>
    <row r="1273" spans="55:60" s="39" customFormat="1">
      <c r="BC1273" s="573">
        <v>12.62</v>
      </c>
      <c r="BD1273" s="571">
        <f t="shared" si="194"/>
        <v>0</v>
      </c>
      <c r="BE1273" s="571">
        <f t="shared" si="198"/>
        <v>0</v>
      </c>
      <c r="BF1273" s="586">
        <f t="shared" si="195"/>
        <v>0</v>
      </c>
      <c r="BG1273" s="586" t="e">
        <f t="shared" si="196"/>
        <v>#DIV/0!</v>
      </c>
      <c r="BH1273" s="571" t="e">
        <f t="shared" si="197"/>
        <v>#DIV/0!</v>
      </c>
    </row>
    <row r="1274" spans="55:60" s="39" customFormat="1">
      <c r="BC1274" s="573">
        <v>12.63</v>
      </c>
      <c r="BD1274" s="571">
        <f t="shared" si="194"/>
        <v>0</v>
      </c>
      <c r="BE1274" s="571">
        <f t="shared" si="198"/>
        <v>0</v>
      </c>
      <c r="BF1274" s="586">
        <f t="shared" si="195"/>
        <v>0</v>
      </c>
      <c r="BG1274" s="586" t="e">
        <f t="shared" si="196"/>
        <v>#DIV/0!</v>
      </c>
      <c r="BH1274" s="571" t="e">
        <f t="shared" si="197"/>
        <v>#DIV/0!</v>
      </c>
    </row>
    <row r="1275" spans="55:60" s="39" customFormat="1">
      <c r="BC1275" s="573">
        <v>12.64</v>
      </c>
      <c r="BD1275" s="571">
        <f t="shared" si="194"/>
        <v>0</v>
      </c>
      <c r="BE1275" s="571">
        <f t="shared" si="198"/>
        <v>0</v>
      </c>
      <c r="BF1275" s="586">
        <f t="shared" si="195"/>
        <v>0</v>
      </c>
      <c r="BG1275" s="586" t="e">
        <f t="shared" si="196"/>
        <v>#DIV/0!</v>
      </c>
      <c r="BH1275" s="571" t="e">
        <f t="shared" si="197"/>
        <v>#DIV/0!</v>
      </c>
    </row>
    <row r="1276" spans="55:60" s="39" customFormat="1">
      <c r="BC1276" s="573">
        <v>12.65</v>
      </c>
      <c r="BD1276" s="571">
        <f t="shared" si="194"/>
        <v>0</v>
      </c>
      <c r="BE1276" s="571">
        <f t="shared" si="198"/>
        <v>0</v>
      </c>
      <c r="BF1276" s="586">
        <f t="shared" si="195"/>
        <v>0</v>
      </c>
      <c r="BG1276" s="586" t="e">
        <f t="shared" si="196"/>
        <v>#DIV/0!</v>
      </c>
      <c r="BH1276" s="571" t="e">
        <f t="shared" si="197"/>
        <v>#DIV/0!</v>
      </c>
    </row>
    <row r="1277" spans="55:60" s="39" customFormat="1">
      <c r="BC1277" s="573">
        <v>12.66</v>
      </c>
      <c r="BD1277" s="571">
        <f t="shared" si="194"/>
        <v>0</v>
      </c>
      <c r="BE1277" s="571">
        <f t="shared" si="198"/>
        <v>0</v>
      </c>
      <c r="BF1277" s="586">
        <f t="shared" si="195"/>
        <v>0</v>
      </c>
      <c r="BG1277" s="586" t="e">
        <f t="shared" si="196"/>
        <v>#DIV/0!</v>
      </c>
      <c r="BH1277" s="571" t="e">
        <f t="shared" si="197"/>
        <v>#DIV/0!</v>
      </c>
    </row>
    <row r="1278" spans="55:60" s="39" customFormat="1">
      <c r="BC1278" s="573">
        <v>12.67</v>
      </c>
      <c r="BD1278" s="571">
        <f t="shared" si="194"/>
        <v>0</v>
      </c>
      <c r="BE1278" s="571">
        <f t="shared" si="198"/>
        <v>0</v>
      </c>
      <c r="BF1278" s="586">
        <f t="shared" si="195"/>
        <v>0</v>
      </c>
      <c r="BG1278" s="586" t="e">
        <f t="shared" si="196"/>
        <v>#DIV/0!</v>
      </c>
      <c r="BH1278" s="571" t="e">
        <f t="shared" si="197"/>
        <v>#DIV/0!</v>
      </c>
    </row>
    <row r="1279" spans="55:60" s="39" customFormat="1">
      <c r="BC1279" s="573">
        <v>12.68</v>
      </c>
      <c r="BD1279" s="571">
        <f t="shared" si="194"/>
        <v>0</v>
      </c>
      <c r="BE1279" s="571">
        <f t="shared" si="198"/>
        <v>0</v>
      </c>
      <c r="BF1279" s="586">
        <f t="shared" si="195"/>
        <v>0</v>
      </c>
      <c r="BG1279" s="586" t="e">
        <f t="shared" si="196"/>
        <v>#DIV/0!</v>
      </c>
      <c r="BH1279" s="571" t="e">
        <f t="shared" si="197"/>
        <v>#DIV/0!</v>
      </c>
    </row>
    <row r="1280" spans="55:60" s="39" customFormat="1">
      <c r="BC1280" s="573">
        <v>12.69</v>
      </c>
      <c r="BD1280" s="571">
        <f t="shared" si="194"/>
        <v>0</v>
      </c>
      <c r="BE1280" s="571">
        <f t="shared" si="198"/>
        <v>0</v>
      </c>
      <c r="BF1280" s="586">
        <f t="shared" si="195"/>
        <v>0</v>
      </c>
      <c r="BG1280" s="586" t="e">
        <f t="shared" si="196"/>
        <v>#DIV/0!</v>
      </c>
      <c r="BH1280" s="571" t="e">
        <f t="shared" si="197"/>
        <v>#DIV/0!</v>
      </c>
    </row>
    <row r="1281" spans="55:60" s="39" customFormat="1">
      <c r="BC1281" s="573">
        <v>12.7</v>
      </c>
      <c r="BD1281" s="571">
        <f t="shared" si="194"/>
        <v>0</v>
      </c>
      <c r="BE1281" s="571">
        <f t="shared" si="198"/>
        <v>0</v>
      </c>
      <c r="BF1281" s="586">
        <f t="shared" si="195"/>
        <v>0</v>
      </c>
      <c r="BG1281" s="586" t="e">
        <f t="shared" si="196"/>
        <v>#DIV/0!</v>
      </c>
      <c r="BH1281" s="571" t="e">
        <f t="shared" si="197"/>
        <v>#DIV/0!</v>
      </c>
    </row>
    <row r="1282" spans="55:60" s="39" customFormat="1">
      <c r="BC1282" s="573">
        <v>12.71</v>
      </c>
      <c r="BD1282" s="571">
        <f t="shared" si="194"/>
        <v>0</v>
      </c>
      <c r="BE1282" s="571">
        <f t="shared" si="198"/>
        <v>0</v>
      </c>
      <c r="BF1282" s="586">
        <f t="shared" si="195"/>
        <v>0</v>
      </c>
      <c r="BG1282" s="586" t="e">
        <f t="shared" si="196"/>
        <v>#DIV/0!</v>
      </c>
      <c r="BH1282" s="571" t="e">
        <f t="shared" si="197"/>
        <v>#DIV/0!</v>
      </c>
    </row>
    <row r="1283" spans="55:60" s="39" customFormat="1">
      <c r="BC1283" s="573">
        <v>12.72</v>
      </c>
      <c r="BD1283" s="571">
        <f t="shared" si="194"/>
        <v>0</v>
      </c>
      <c r="BE1283" s="571">
        <f t="shared" si="198"/>
        <v>0</v>
      </c>
      <c r="BF1283" s="586">
        <f t="shared" si="195"/>
        <v>0</v>
      </c>
      <c r="BG1283" s="586" t="e">
        <f t="shared" si="196"/>
        <v>#DIV/0!</v>
      </c>
      <c r="BH1283" s="571" t="e">
        <f t="shared" si="197"/>
        <v>#DIV/0!</v>
      </c>
    </row>
    <row r="1284" spans="55:60" s="39" customFormat="1">
      <c r="BC1284" s="573">
        <v>12.73</v>
      </c>
      <c r="BD1284" s="571">
        <f t="shared" si="194"/>
        <v>0</v>
      </c>
      <c r="BE1284" s="571">
        <f t="shared" si="198"/>
        <v>0</v>
      </c>
      <c r="BF1284" s="586">
        <f t="shared" si="195"/>
        <v>0</v>
      </c>
      <c r="BG1284" s="586" t="e">
        <f t="shared" si="196"/>
        <v>#DIV/0!</v>
      </c>
      <c r="BH1284" s="571" t="e">
        <f t="shared" si="197"/>
        <v>#DIV/0!</v>
      </c>
    </row>
    <row r="1285" spans="55:60" s="39" customFormat="1">
      <c r="BC1285" s="573">
        <v>12.74</v>
      </c>
      <c r="BD1285" s="571">
        <f t="shared" si="194"/>
        <v>0</v>
      </c>
      <c r="BE1285" s="571">
        <f t="shared" si="198"/>
        <v>0</v>
      </c>
      <c r="BF1285" s="586">
        <f t="shared" si="195"/>
        <v>0</v>
      </c>
      <c r="BG1285" s="586" t="e">
        <f t="shared" si="196"/>
        <v>#DIV/0!</v>
      </c>
      <c r="BH1285" s="571" t="e">
        <f t="shared" si="197"/>
        <v>#DIV/0!</v>
      </c>
    </row>
    <row r="1286" spans="55:60" s="39" customFormat="1">
      <c r="BC1286" s="573">
        <v>12.75</v>
      </c>
      <c r="BD1286" s="571">
        <f t="shared" si="194"/>
        <v>0</v>
      </c>
      <c r="BE1286" s="571">
        <f t="shared" si="198"/>
        <v>0</v>
      </c>
      <c r="BF1286" s="586">
        <f t="shared" si="195"/>
        <v>0</v>
      </c>
      <c r="BG1286" s="586" t="e">
        <f t="shared" si="196"/>
        <v>#DIV/0!</v>
      </c>
      <c r="BH1286" s="571" t="e">
        <f t="shared" si="197"/>
        <v>#DIV/0!</v>
      </c>
    </row>
    <row r="1287" spans="55:60" s="39" customFormat="1">
      <c r="BC1287" s="573">
        <v>12.76</v>
      </c>
      <c r="BD1287" s="571">
        <f t="shared" si="194"/>
        <v>0</v>
      </c>
      <c r="BE1287" s="571">
        <f t="shared" si="198"/>
        <v>0</v>
      </c>
      <c r="BF1287" s="586">
        <f t="shared" si="195"/>
        <v>0</v>
      </c>
      <c r="BG1287" s="586" t="e">
        <f t="shared" si="196"/>
        <v>#DIV/0!</v>
      </c>
      <c r="BH1287" s="571" t="e">
        <f t="shared" si="197"/>
        <v>#DIV/0!</v>
      </c>
    </row>
    <row r="1288" spans="55:60" s="39" customFormat="1">
      <c r="BC1288" s="573">
        <v>12.77</v>
      </c>
      <c r="BD1288" s="571">
        <f t="shared" si="194"/>
        <v>0</v>
      </c>
      <c r="BE1288" s="571">
        <f t="shared" si="198"/>
        <v>0</v>
      </c>
      <c r="BF1288" s="586">
        <f t="shared" si="195"/>
        <v>0</v>
      </c>
      <c r="BG1288" s="586" t="e">
        <f t="shared" si="196"/>
        <v>#DIV/0!</v>
      </c>
      <c r="BH1288" s="571" t="e">
        <f t="shared" si="197"/>
        <v>#DIV/0!</v>
      </c>
    </row>
    <row r="1289" spans="55:60" s="39" customFormat="1">
      <c r="BC1289" s="573">
        <v>12.78</v>
      </c>
      <c r="BD1289" s="571">
        <f t="shared" si="194"/>
        <v>0</v>
      </c>
      <c r="BE1289" s="571">
        <f t="shared" si="198"/>
        <v>0</v>
      </c>
      <c r="BF1289" s="586">
        <f t="shared" si="195"/>
        <v>0</v>
      </c>
      <c r="BG1289" s="586" t="e">
        <f t="shared" si="196"/>
        <v>#DIV/0!</v>
      </c>
      <c r="BH1289" s="571" t="e">
        <f t="shared" si="197"/>
        <v>#DIV/0!</v>
      </c>
    </row>
    <row r="1290" spans="55:60" s="39" customFormat="1">
      <c r="BC1290" s="573">
        <v>12.79</v>
      </c>
      <c r="BD1290" s="571">
        <f t="shared" si="194"/>
        <v>0</v>
      </c>
      <c r="BE1290" s="571">
        <f t="shared" si="198"/>
        <v>0</v>
      </c>
      <c r="BF1290" s="586">
        <f t="shared" si="195"/>
        <v>0</v>
      </c>
      <c r="BG1290" s="586" t="e">
        <f t="shared" si="196"/>
        <v>#DIV/0!</v>
      </c>
      <c r="BH1290" s="571" t="e">
        <f t="shared" si="197"/>
        <v>#DIV/0!</v>
      </c>
    </row>
    <row r="1291" spans="55:60" s="39" customFormat="1">
      <c r="BC1291" s="573">
        <v>12.8</v>
      </c>
      <c r="BD1291" s="571">
        <f t="shared" si="194"/>
        <v>0</v>
      </c>
      <c r="BE1291" s="571">
        <f t="shared" si="198"/>
        <v>0</v>
      </c>
      <c r="BF1291" s="586">
        <f t="shared" si="195"/>
        <v>0</v>
      </c>
      <c r="BG1291" s="586" t="e">
        <f t="shared" si="196"/>
        <v>#DIV/0!</v>
      </c>
      <c r="BH1291" s="571" t="e">
        <f t="shared" si="197"/>
        <v>#DIV/0!</v>
      </c>
    </row>
    <row r="1292" spans="55:60" s="39" customFormat="1">
      <c r="BC1292" s="573">
        <v>12.81</v>
      </c>
      <c r="BD1292" s="571">
        <f t="shared" ref="BD1292:BD1355" si="199">$AU$15/BC1292</f>
        <v>0</v>
      </c>
      <c r="BE1292" s="571">
        <f t="shared" si="198"/>
        <v>0</v>
      </c>
      <c r="BF1292" s="586">
        <f t="shared" ref="BF1292:BF1355" si="200">BC1292*(BE1292/1000)/$AO$12</f>
        <v>0</v>
      </c>
      <c r="BG1292" s="586" t="e">
        <f t="shared" ref="BG1292:BG1355" si="201">POWER((1/(-1.8*LOG((6.9/BF1292+POWER((($P$7/BE1292)/3.71),1.11)),10))),2)</f>
        <v>#DIV/0!</v>
      </c>
      <c r="BH1292" s="571" t="e">
        <f t="shared" ref="BH1292:BH1355" si="202">BG1292*0.5*$P$6*16*$AU$15*$AU$15/(POWER(PI(),2)*POWER((BE1292/1000),5))</f>
        <v>#DIV/0!</v>
      </c>
    </row>
    <row r="1293" spans="55:60" s="39" customFormat="1">
      <c r="BC1293" s="573">
        <v>12.82</v>
      </c>
      <c r="BD1293" s="571">
        <f t="shared" si="199"/>
        <v>0</v>
      </c>
      <c r="BE1293" s="571">
        <f t="shared" ref="BE1293:BE1356" si="203">((BD1293/PI())^0.5)*2*1000</f>
        <v>0</v>
      </c>
      <c r="BF1293" s="586">
        <f t="shared" si="200"/>
        <v>0</v>
      </c>
      <c r="BG1293" s="586" t="e">
        <f t="shared" si="201"/>
        <v>#DIV/0!</v>
      </c>
      <c r="BH1293" s="571" t="e">
        <f t="shared" si="202"/>
        <v>#DIV/0!</v>
      </c>
    </row>
    <row r="1294" spans="55:60" s="39" customFormat="1">
      <c r="BC1294" s="573">
        <v>12.83</v>
      </c>
      <c r="BD1294" s="571">
        <f t="shared" si="199"/>
        <v>0</v>
      </c>
      <c r="BE1294" s="571">
        <f t="shared" si="203"/>
        <v>0</v>
      </c>
      <c r="BF1294" s="586">
        <f t="shared" si="200"/>
        <v>0</v>
      </c>
      <c r="BG1294" s="586" t="e">
        <f t="shared" si="201"/>
        <v>#DIV/0!</v>
      </c>
      <c r="BH1294" s="571" t="e">
        <f t="shared" si="202"/>
        <v>#DIV/0!</v>
      </c>
    </row>
    <row r="1295" spans="55:60" s="39" customFormat="1">
      <c r="BC1295" s="573">
        <v>12.84</v>
      </c>
      <c r="BD1295" s="571">
        <f t="shared" si="199"/>
        <v>0</v>
      </c>
      <c r="BE1295" s="571">
        <f t="shared" si="203"/>
        <v>0</v>
      </c>
      <c r="BF1295" s="586">
        <f t="shared" si="200"/>
        <v>0</v>
      </c>
      <c r="BG1295" s="586" t="e">
        <f t="shared" si="201"/>
        <v>#DIV/0!</v>
      </c>
      <c r="BH1295" s="571" t="e">
        <f t="shared" si="202"/>
        <v>#DIV/0!</v>
      </c>
    </row>
    <row r="1296" spans="55:60" s="39" customFormat="1">
      <c r="BC1296" s="573">
        <v>12.85</v>
      </c>
      <c r="BD1296" s="571">
        <f t="shared" si="199"/>
        <v>0</v>
      </c>
      <c r="BE1296" s="571">
        <f t="shared" si="203"/>
        <v>0</v>
      </c>
      <c r="BF1296" s="586">
        <f t="shared" si="200"/>
        <v>0</v>
      </c>
      <c r="BG1296" s="586" t="e">
        <f t="shared" si="201"/>
        <v>#DIV/0!</v>
      </c>
      <c r="BH1296" s="571" t="e">
        <f t="shared" si="202"/>
        <v>#DIV/0!</v>
      </c>
    </row>
    <row r="1297" spans="55:60" s="39" customFormat="1">
      <c r="BC1297" s="573">
        <v>12.86</v>
      </c>
      <c r="BD1297" s="571">
        <f t="shared" si="199"/>
        <v>0</v>
      </c>
      <c r="BE1297" s="571">
        <f t="shared" si="203"/>
        <v>0</v>
      </c>
      <c r="BF1297" s="586">
        <f t="shared" si="200"/>
        <v>0</v>
      </c>
      <c r="BG1297" s="586" t="e">
        <f t="shared" si="201"/>
        <v>#DIV/0!</v>
      </c>
      <c r="BH1297" s="571" t="e">
        <f t="shared" si="202"/>
        <v>#DIV/0!</v>
      </c>
    </row>
    <row r="1298" spans="55:60" s="39" customFormat="1">
      <c r="BC1298" s="573">
        <v>12.87</v>
      </c>
      <c r="BD1298" s="571">
        <f t="shared" si="199"/>
        <v>0</v>
      </c>
      <c r="BE1298" s="571">
        <f t="shared" si="203"/>
        <v>0</v>
      </c>
      <c r="BF1298" s="586">
        <f t="shared" si="200"/>
        <v>0</v>
      </c>
      <c r="BG1298" s="586" t="e">
        <f t="shared" si="201"/>
        <v>#DIV/0!</v>
      </c>
      <c r="BH1298" s="571" t="e">
        <f t="shared" si="202"/>
        <v>#DIV/0!</v>
      </c>
    </row>
    <row r="1299" spans="55:60" s="39" customFormat="1">
      <c r="BC1299" s="573">
        <v>12.88</v>
      </c>
      <c r="BD1299" s="571">
        <f t="shared" si="199"/>
        <v>0</v>
      </c>
      <c r="BE1299" s="571">
        <f t="shared" si="203"/>
        <v>0</v>
      </c>
      <c r="BF1299" s="586">
        <f t="shared" si="200"/>
        <v>0</v>
      </c>
      <c r="BG1299" s="586" t="e">
        <f t="shared" si="201"/>
        <v>#DIV/0!</v>
      </c>
      <c r="BH1299" s="571" t="e">
        <f t="shared" si="202"/>
        <v>#DIV/0!</v>
      </c>
    </row>
    <row r="1300" spans="55:60" s="39" customFormat="1">
      <c r="BC1300" s="573">
        <v>12.89</v>
      </c>
      <c r="BD1300" s="571">
        <f t="shared" si="199"/>
        <v>0</v>
      </c>
      <c r="BE1300" s="571">
        <f t="shared" si="203"/>
        <v>0</v>
      </c>
      <c r="BF1300" s="586">
        <f t="shared" si="200"/>
        <v>0</v>
      </c>
      <c r="BG1300" s="586" t="e">
        <f t="shared" si="201"/>
        <v>#DIV/0!</v>
      </c>
      <c r="BH1300" s="571" t="e">
        <f t="shared" si="202"/>
        <v>#DIV/0!</v>
      </c>
    </row>
    <row r="1301" spans="55:60" s="39" customFormat="1">
      <c r="BC1301" s="573">
        <v>12.9</v>
      </c>
      <c r="BD1301" s="571">
        <f t="shared" si="199"/>
        <v>0</v>
      </c>
      <c r="BE1301" s="571">
        <f t="shared" si="203"/>
        <v>0</v>
      </c>
      <c r="BF1301" s="586">
        <f t="shared" si="200"/>
        <v>0</v>
      </c>
      <c r="BG1301" s="586" t="e">
        <f t="shared" si="201"/>
        <v>#DIV/0!</v>
      </c>
      <c r="BH1301" s="571" t="e">
        <f t="shared" si="202"/>
        <v>#DIV/0!</v>
      </c>
    </row>
    <row r="1302" spans="55:60" s="39" customFormat="1">
      <c r="BC1302" s="573">
        <v>12.91</v>
      </c>
      <c r="BD1302" s="571">
        <f t="shared" si="199"/>
        <v>0</v>
      </c>
      <c r="BE1302" s="571">
        <f t="shared" si="203"/>
        <v>0</v>
      </c>
      <c r="BF1302" s="586">
        <f t="shared" si="200"/>
        <v>0</v>
      </c>
      <c r="BG1302" s="586" t="e">
        <f t="shared" si="201"/>
        <v>#DIV/0!</v>
      </c>
      <c r="BH1302" s="571" t="e">
        <f t="shared" si="202"/>
        <v>#DIV/0!</v>
      </c>
    </row>
    <row r="1303" spans="55:60" s="39" customFormat="1">
      <c r="BC1303" s="573">
        <v>12.92</v>
      </c>
      <c r="BD1303" s="571">
        <f t="shared" si="199"/>
        <v>0</v>
      </c>
      <c r="BE1303" s="571">
        <f t="shared" si="203"/>
        <v>0</v>
      </c>
      <c r="BF1303" s="586">
        <f t="shared" si="200"/>
        <v>0</v>
      </c>
      <c r="BG1303" s="586" t="e">
        <f t="shared" si="201"/>
        <v>#DIV/0!</v>
      </c>
      <c r="BH1303" s="571" t="e">
        <f t="shared" si="202"/>
        <v>#DIV/0!</v>
      </c>
    </row>
    <row r="1304" spans="55:60" s="39" customFormat="1">
      <c r="BC1304" s="573">
        <v>12.93</v>
      </c>
      <c r="BD1304" s="571">
        <f t="shared" si="199"/>
        <v>0</v>
      </c>
      <c r="BE1304" s="571">
        <f t="shared" si="203"/>
        <v>0</v>
      </c>
      <c r="BF1304" s="586">
        <f t="shared" si="200"/>
        <v>0</v>
      </c>
      <c r="BG1304" s="586" t="e">
        <f t="shared" si="201"/>
        <v>#DIV/0!</v>
      </c>
      <c r="BH1304" s="571" t="e">
        <f t="shared" si="202"/>
        <v>#DIV/0!</v>
      </c>
    </row>
    <row r="1305" spans="55:60" s="39" customFormat="1">
      <c r="BC1305" s="573">
        <v>12.94</v>
      </c>
      <c r="BD1305" s="571">
        <f t="shared" si="199"/>
        <v>0</v>
      </c>
      <c r="BE1305" s="571">
        <f t="shared" si="203"/>
        <v>0</v>
      </c>
      <c r="BF1305" s="586">
        <f t="shared" si="200"/>
        <v>0</v>
      </c>
      <c r="BG1305" s="586" t="e">
        <f t="shared" si="201"/>
        <v>#DIV/0!</v>
      </c>
      <c r="BH1305" s="571" t="e">
        <f t="shared" si="202"/>
        <v>#DIV/0!</v>
      </c>
    </row>
    <row r="1306" spans="55:60" s="39" customFormat="1">
      <c r="BC1306" s="573">
        <v>12.95</v>
      </c>
      <c r="BD1306" s="571">
        <f t="shared" si="199"/>
        <v>0</v>
      </c>
      <c r="BE1306" s="571">
        <f t="shared" si="203"/>
        <v>0</v>
      </c>
      <c r="BF1306" s="586">
        <f t="shared" si="200"/>
        <v>0</v>
      </c>
      <c r="BG1306" s="586" t="e">
        <f t="shared" si="201"/>
        <v>#DIV/0!</v>
      </c>
      <c r="BH1306" s="571" t="e">
        <f t="shared" si="202"/>
        <v>#DIV/0!</v>
      </c>
    </row>
    <row r="1307" spans="55:60" s="39" customFormat="1">
      <c r="BC1307" s="573">
        <v>12.96</v>
      </c>
      <c r="BD1307" s="571">
        <f t="shared" si="199"/>
        <v>0</v>
      </c>
      <c r="BE1307" s="571">
        <f t="shared" si="203"/>
        <v>0</v>
      </c>
      <c r="BF1307" s="586">
        <f t="shared" si="200"/>
        <v>0</v>
      </c>
      <c r="BG1307" s="586" t="e">
        <f t="shared" si="201"/>
        <v>#DIV/0!</v>
      </c>
      <c r="BH1307" s="571" t="e">
        <f t="shared" si="202"/>
        <v>#DIV/0!</v>
      </c>
    </row>
    <row r="1308" spans="55:60" s="39" customFormat="1">
      <c r="BC1308" s="573">
        <v>12.97</v>
      </c>
      <c r="BD1308" s="571">
        <f t="shared" si="199"/>
        <v>0</v>
      </c>
      <c r="BE1308" s="571">
        <f t="shared" si="203"/>
        <v>0</v>
      </c>
      <c r="BF1308" s="586">
        <f t="shared" si="200"/>
        <v>0</v>
      </c>
      <c r="BG1308" s="586" t="e">
        <f t="shared" si="201"/>
        <v>#DIV/0!</v>
      </c>
      <c r="BH1308" s="571" t="e">
        <f t="shared" si="202"/>
        <v>#DIV/0!</v>
      </c>
    </row>
    <row r="1309" spans="55:60" s="39" customFormat="1">
      <c r="BC1309" s="573">
        <v>12.98</v>
      </c>
      <c r="BD1309" s="571">
        <f t="shared" si="199"/>
        <v>0</v>
      </c>
      <c r="BE1309" s="571">
        <f t="shared" si="203"/>
        <v>0</v>
      </c>
      <c r="BF1309" s="586">
        <f t="shared" si="200"/>
        <v>0</v>
      </c>
      <c r="BG1309" s="586" t="e">
        <f t="shared" si="201"/>
        <v>#DIV/0!</v>
      </c>
      <c r="BH1309" s="571" t="e">
        <f t="shared" si="202"/>
        <v>#DIV/0!</v>
      </c>
    </row>
    <row r="1310" spans="55:60" s="39" customFormat="1">
      <c r="BC1310" s="573">
        <v>12.99</v>
      </c>
      <c r="BD1310" s="571">
        <f t="shared" si="199"/>
        <v>0</v>
      </c>
      <c r="BE1310" s="571">
        <f t="shared" si="203"/>
        <v>0</v>
      </c>
      <c r="BF1310" s="586">
        <f t="shared" si="200"/>
        <v>0</v>
      </c>
      <c r="BG1310" s="586" t="e">
        <f t="shared" si="201"/>
        <v>#DIV/0!</v>
      </c>
      <c r="BH1310" s="571" t="e">
        <f t="shared" si="202"/>
        <v>#DIV/0!</v>
      </c>
    </row>
    <row r="1311" spans="55:60" s="39" customFormat="1">
      <c r="BC1311" s="573">
        <v>13</v>
      </c>
      <c r="BD1311" s="571">
        <f t="shared" si="199"/>
        <v>0</v>
      </c>
      <c r="BE1311" s="571">
        <f t="shared" si="203"/>
        <v>0</v>
      </c>
      <c r="BF1311" s="586">
        <f t="shared" si="200"/>
        <v>0</v>
      </c>
      <c r="BG1311" s="586" t="e">
        <f t="shared" si="201"/>
        <v>#DIV/0!</v>
      </c>
      <c r="BH1311" s="571" t="e">
        <f t="shared" si="202"/>
        <v>#DIV/0!</v>
      </c>
    </row>
    <row r="1312" spans="55:60" s="39" customFormat="1">
      <c r="BC1312" s="573">
        <v>13.01</v>
      </c>
      <c r="BD1312" s="571">
        <f t="shared" si="199"/>
        <v>0</v>
      </c>
      <c r="BE1312" s="571">
        <f t="shared" si="203"/>
        <v>0</v>
      </c>
      <c r="BF1312" s="586">
        <f t="shared" si="200"/>
        <v>0</v>
      </c>
      <c r="BG1312" s="586" t="e">
        <f t="shared" si="201"/>
        <v>#DIV/0!</v>
      </c>
      <c r="BH1312" s="571" t="e">
        <f t="shared" si="202"/>
        <v>#DIV/0!</v>
      </c>
    </row>
    <row r="1313" spans="55:60" s="39" customFormat="1">
      <c r="BC1313" s="573">
        <v>13.02</v>
      </c>
      <c r="BD1313" s="571">
        <f t="shared" si="199"/>
        <v>0</v>
      </c>
      <c r="BE1313" s="571">
        <f t="shared" si="203"/>
        <v>0</v>
      </c>
      <c r="BF1313" s="586">
        <f t="shared" si="200"/>
        <v>0</v>
      </c>
      <c r="BG1313" s="586" t="e">
        <f t="shared" si="201"/>
        <v>#DIV/0!</v>
      </c>
      <c r="BH1313" s="571" t="e">
        <f t="shared" si="202"/>
        <v>#DIV/0!</v>
      </c>
    </row>
    <row r="1314" spans="55:60" s="39" customFormat="1">
      <c r="BC1314" s="573">
        <v>13.03</v>
      </c>
      <c r="BD1314" s="571">
        <f t="shared" si="199"/>
        <v>0</v>
      </c>
      <c r="BE1314" s="571">
        <f t="shared" si="203"/>
        <v>0</v>
      </c>
      <c r="BF1314" s="586">
        <f t="shared" si="200"/>
        <v>0</v>
      </c>
      <c r="BG1314" s="586" t="e">
        <f t="shared" si="201"/>
        <v>#DIV/0!</v>
      </c>
      <c r="BH1314" s="571" t="e">
        <f t="shared" si="202"/>
        <v>#DIV/0!</v>
      </c>
    </row>
    <row r="1315" spans="55:60" s="39" customFormat="1">
      <c r="BC1315" s="573">
        <v>13.04</v>
      </c>
      <c r="BD1315" s="571">
        <f t="shared" si="199"/>
        <v>0</v>
      </c>
      <c r="BE1315" s="571">
        <f t="shared" si="203"/>
        <v>0</v>
      </c>
      <c r="BF1315" s="586">
        <f t="shared" si="200"/>
        <v>0</v>
      </c>
      <c r="BG1315" s="586" t="e">
        <f t="shared" si="201"/>
        <v>#DIV/0!</v>
      </c>
      <c r="BH1315" s="571" t="e">
        <f t="shared" si="202"/>
        <v>#DIV/0!</v>
      </c>
    </row>
    <row r="1316" spans="55:60" s="39" customFormat="1">
      <c r="BC1316" s="573">
        <v>13.05</v>
      </c>
      <c r="BD1316" s="571">
        <f t="shared" si="199"/>
        <v>0</v>
      </c>
      <c r="BE1316" s="571">
        <f t="shared" si="203"/>
        <v>0</v>
      </c>
      <c r="BF1316" s="586">
        <f t="shared" si="200"/>
        <v>0</v>
      </c>
      <c r="BG1316" s="586" t="e">
        <f t="shared" si="201"/>
        <v>#DIV/0!</v>
      </c>
      <c r="BH1316" s="571" t="e">
        <f t="shared" si="202"/>
        <v>#DIV/0!</v>
      </c>
    </row>
    <row r="1317" spans="55:60" s="39" customFormat="1">
      <c r="BC1317" s="573">
        <v>13.06</v>
      </c>
      <c r="BD1317" s="571">
        <f t="shared" si="199"/>
        <v>0</v>
      </c>
      <c r="BE1317" s="571">
        <f t="shared" si="203"/>
        <v>0</v>
      </c>
      <c r="BF1317" s="586">
        <f t="shared" si="200"/>
        <v>0</v>
      </c>
      <c r="BG1317" s="586" t="e">
        <f t="shared" si="201"/>
        <v>#DIV/0!</v>
      </c>
      <c r="BH1317" s="571" t="e">
        <f t="shared" si="202"/>
        <v>#DIV/0!</v>
      </c>
    </row>
    <row r="1318" spans="55:60" s="39" customFormat="1">
      <c r="BC1318" s="573">
        <v>13.07</v>
      </c>
      <c r="BD1318" s="571">
        <f t="shared" si="199"/>
        <v>0</v>
      </c>
      <c r="BE1318" s="571">
        <f t="shared" si="203"/>
        <v>0</v>
      </c>
      <c r="BF1318" s="586">
        <f t="shared" si="200"/>
        <v>0</v>
      </c>
      <c r="BG1318" s="586" t="e">
        <f t="shared" si="201"/>
        <v>#DIV/0!</v>
      </c>
      <c r="BH1318" s="571" t="e">
        <f t="shared" si="202"/>
        <v>#DIV/0!</v>
      </c>
    </row>
    <row r="1319" spans="55:60" s="39" customFormat="1">
      <c r="BC1319" s="573">
        <v>13.08</v>
      </c>
      <c r="BD1319" s="571">
        <f t="shared" si="199"/>
        <v>0</v>
      </c>
      <c r="BE1319" s="571">
        <f t="shared" si="203"/>
        <v>0</v>
      </c>
      <c r="BF1319" s="586">
        <f t="shared" si="200"/>
        <v>0</v>
      </c>
      <c r="BG1319" s="586" t="e">
        <f t="shared" si="201"/>
        <v>#DIV/0!</v>
      </c>
      <c r="BH1319" s="571" t="e">
        <f t="shared" si="202"/>
        <v>#DIV/0!</v>
      </c>
    </row>
    <row r="1320" spans="55:60" s="39" customFormat="1">
      <c r="BC1320" s="573">
        <v>13.09</v>
      </c>
      <c r="BD1320" s="571">
        <f t="shared" si="199"/>
        <v>0</v>
      </c>
      <c r="BE1320" s="571">
        <f t="shared" si="203"/>
        <v>0</v>
      </c>
      <c r="BF1320" s="586">
        <f t="shared" si="200"/>
        <v>0</v>
      </c>
      <c r="BG1320" s="586" t="e">
        <f t="shared" si="201"/>
        <v>#DIV/0!</v>
      </c>
      <c r="BH1320" s="571" t="e">
        <f t="shared" si="202"/>
        <v>#DIV/0!</v>
      </c>
    </row>
    <row r="1321" spans="55:60" s="39" customFormat="1">
      <c r="BC1321" s="573">
        <v>13.1</v>
      </c>
      <c r="BD1321" s="571">
        <f t="shared" si="199"/>
        <v>0</v>
      </c>
      <c r="BE1321" s="571">
        <f t="shared" si="203"/>
        <v>0</v>
      </c>
      <c r="BF1321" s="586">
        <f t="shared" si="200"/>
        <v>0</v>
      </c>
      <c r="BG1321" s="586" t="e">
        <f t="shared" si="201"/>
        <v>#DIV/0!</v>
      </c>
      <c r="BH1321" s="571" t="e">
        <f t="shared" si="202"/>
        <v>#DIV/0!</v>
      </c>
    </row>
    <row r="1322" spans="55:60" s="39" customFormat="1">
      <c r="BC1322" s="573">
        <v>13.11</v>
      </c>
      <c r="BD1322" s="571">
        <f t="shared" si="199"/>
        <v>0</v>
      </c>
      <c r="BE1322" s="571">
        <f t="shared" si="203"/>
        <v>0</v>
      </c>
      <c r="BF1322" s="586">
        <f t="shared" si="200"/>
        <v>0</v>
      </c>
      <c r="BG1322" s="586" t="e">
        <f t="shared" si="201"/>
        <v>#DIV/0!</v>
      </c>
      <c r="BH1322" s="571" t="e">
        <f t="shared" si="202"/>
        <v>#DIV/0!</v>
      </c>
    </row>
    <row r="1323" spans="55:60" s="39" customFormat="1">
      <c r="BC1323" s="573">
        <v>13.12</v>
      </c>
      <c r="BD1323" s="571">
        <f t="shared" si="199"/>
        <v>0</v>
      </c>
      <c r="BE1323" s="571">
        <f t="shared" si="203"/>
        <v>0</v>
      </c>
      <c r="BF1323" s="586">
        <f t="shared" si="200"/>
        <v>0</v>
      </c>
      <c r="BG1323" s="586" t="e">
        <f t="shared" si="201"/>
        <v>#DIV/0!</v>
      </c>
      <c r="BH1323" s="571" t="e">
        <f t="shared" si="202"/>
        <v>#DIV/0!</v>
      </c>
    </row>
    <row r="1324" spans="55:60" s="39" customFormat="1">
      <c r="BC1324" s="573">
        <v>13.13</v>
      </c>
      <c r="BD1324" s="571">
        <f t="shared" si="199"/>
        <v>0</v>
      </c>
      <c r="BE1324" s="571">
        <f t="shared" si="203"/>
        <v>0</v>
      </c>
      <c r="BF1324" s="586">
        <f t="shared" si="200"/>
        <v>0</v>
      </c>
      <c r="BG1324" s="586" t="e">
        <f t="shared" si="201"/>
        <v>#DIV/0!</v>
      </c>
      <c r="BH1324" s="571" t="e">
        <f t="shared" si="202"/>
        <v>#DIV/0!</v>
      </c>
    </row>
    <row r="1325" spans="55:60" s="39" customFormat="1">
      <c r="BC1325" s="573">
        <v>13.14</v>
      </c>
      <c r="BD1325" s="571">
        <f t="shared" si="199"/>
        <v>0</v>
      </c>
      <c r="BE1325" s="571">
        <f t="shared" si="203"/>
        <v>0</v>
      </c>
      <c r="BF1325" s="586">
        <f t="shared" si="200"/>
        <v>0</v>
      </c>
      <c r="BG1325" s="586" t="e">
        <f t="shared" si="201"/>
        <v>#DIV/0!</v>
      </c>
      <c r="BH1325" s="571" t="e">
        <f t="shared" si="202"/>
        <v>#DIV/0!</v>
      </c>
    </row>
    <row r="1326" spans="55:60" s="39" customFormat="1">
      <c r="BC1326" s="573">
        <v>13.15</v>
      </c>
      <c r="BD1326" s="571">
        <f t="shared" si="199"/>
        <v>0</v>
      </c>
      <c r="BE1326" s="571">
        <f t="shared" si="203"/>
        <v>0</v>
      </c>
      <c r="BF1326" s="586">
        <f t="shared" si="200"/>
        <v>0</v>
      </c>
      <c r="BG1326" s="586" t="e">
        <f t="shared" si="201"/>
        <v>#DIV/0!</v>
      </c>
      <c r="BH1326" s="571" t="e">
        <f t="shared" si="202"/>
        <v>#DIV/0!</v>
      </c>
    </row>
    <row r="1327" spans="55:60" s="39" customFormat="1">
      <c r="BC1327" s="573">
        <v>13.16</v>
      </c>
      <c r="BD1327" s="571">
        <f t="shared" si="199"/>
        <v>0</v>
      </c>
      <c r="BE1327" s="571">
        <f t="shared" si="203"/>
        <v>0</v>
      </c>
      <c r="BF1327" s="586">
        <f t="shared" si="200"/>
        <v>0</v>
      </c>
      <c r="BG1327" s="586" t="e">
        <f t="shared" si="201"/>
        <v>#DIV/0!</v>
      </c>
      <c r="BH1327" s="571" t="e">
        <f t="shared" si="202"/>
        <v>#DIV/0!</v>
      </c>
    </row>
    <row r="1328" spans="55:60" s="39" customFormat="1">
      <c r="BC1328" s="573">
        <v>13.17</v>
      </c>
      <c r="BD1328" s="571">
        <f t="shared" si="199"/>
        <v>0</v>
      </c>
      <c r="BE1328" s="571">
        <f t="shared" si="203"/>
        <v>0</v>
      </c>
      <c r="BF1328" s="586">
        <f t="shared" si="200"/>
        <v>0</v>
      </c>
      <c r="BG1328" s="586" t="e">
        <f t="shared" si="201"/>
        <v>#DIV/0!</v>
      </c>
      <c r="BH1328" s="571" t="e">
        <f t="shared" si="202"/>
        <v>#DIV/0!</v>
      </c>
    </row>
    <row r="1329" spans="55:60" s="39" customFormat="1">
      <c r="BC1329" s="573">
        <v>13.18</v>
      </c>
      <c r="BD1329" s="571">
        <f t="shared" si="199"/>
        <v>0</v>
      </c>
      <c r="BE1329" s="571">
        <f t="shared" si="203"/>
        <v>0</v>
      </c>
      <c r="BF1329" s="586">
        <f t="shared" si="200"/>
        <v>0</v>
      </c>
      <c r="BG1329" s="586" t="e">
        <f t="shared" si="201"/>
        <v>#DIV/0!</v>
      </c>
      <c r="BH1329" s="571" t="e">
        <f t="shared" si="202"/>
        <v>#DIV/0!</v>
      </c>
    </row>
    <row r="1330" spans="55:60" s="39" customFormat="1">
      <c r="BC1330" s="573">
        <v>13.19</v>
      </c>
      <c r="BD1330" s="571">
        <f t="shared" si="199"/>
        <v>0</v>
      </c>
      <c r="BE1330" s="571">
        <f t="shared" si="203"/>
        <v>0</v>
      </c>
      <c r="BF1330" s="586">
        <f t="shared" si="200"/>
        <v>0</v>
      </c>
      <c r="BG1330" s="586" t="e">
        <f t="shared" si="201"/>
        <v>#DIV/0!</v>
      </c>
      <c r="BH1330" s="571" t="e">
        <f t="shared" si="202"/>
        <v>#DIV/0!</v>
      </c>
    </row>
    <row r="1331" spans="55:60" s="39" customFormat="1">
      <c r="BC1331" s="573">
        <v>13.2</v>
      </c>
      <c r="BD1331" s="571">
        <f t="shared" si="199"/>
        <v>0</v>
      </c>
      <c r="BE1331" s="571">
        <f t="shared" si="203"/>
        <v>0</v>
      </c>
      <c r="BF1331" s="586">
        <f t="shared" si="200"/>
        <v>0</v>
      </c>
      <c r="BG1331" s="586" t="e">
        <f t="shared" si="201"/>
        <v>#DIV/0!</v>
      </c>
      <c r="BH1331" s="571" t="e">
        <f t="shared" si="202"/>
        <v>#DIV/0!</v>
      </c>
    </row>
    <row r="1332" spans="55:60" s="39" customFormat="1">
      <c r="BC1332" s="573">
        <v>13.21</v>
      </c>
      <c r="BD1332" s="571">
        <f t="shared" si="199"/>
        <v>0</v>
      </c>
      <c r="BE1332" s="571">
        <f t="shared" si="203"/>
        <v>0</v>
      </c>
      <c r="BF1332" s="586">
        <f t="shared" si="200"/>
        <v>0</v>
      </c>
      <c r="BG1332" s="586" t="e">
        <f t="shared" si="201"/>
        <v>#DIV/0!</v>
      </c>
      <c r="BH1332" s="571" t="e">
        <f t="shared" si="202"/>
        <v>#DIV/0!</v>
      </c>
    </row>
    <row r="1333" spans="55:60" s="39" customFormat="1">
      <c r="BC1333" s="573">
        <v>13.22</v>
      </c>
      <c r="BD1333" s="571">
        <f t="shared" si="199"/>
        <v>0</v>
      </c>
      <c r="BE1333" s="571">
        <f t="shared" si="203"/>
        <v>0</v>
      </c>
      <c r="BF1333" s="586">
        <f t="shared" si="200"/>
        <v>0</v>
      </c>
      <c r="BG1333" s="586" t="e">
        <f t="shared" si="201"/>
        <v>#DIV/0!</v>
      </c>
      <c r="BH1333" s="571" t="e">
        <f t="shared" si="202"/>
        <v>#DIV/0!</v>
      </c>
    </row>
    <row r="1334" spans="55:60" s="39" customFormat="1">
      <c r="BC1334" s="573">
        <v>13.23</v>
      </c>
      <c r="BD1334" s="571">
        <f t="shared" si="199"/>
        <v>0</v>
      </c>
      <c r="BE1334" s="571">
        <f t="shared" si="203"/>
        <v>0</v>
      </c>
      <c r="BF1334" s="586">
        <f t="shared" si="200"/>
        <v>0</v>
      </c>
      <c r="BG1334" s="586" t="e">
        <f t="shared" si="201"/>
        <v>#DIV/0!</v>
      </c>
      <c r="BH1334" s="571" t="e">
        <f t="shared" si="202"/>
        <v>#DIV/0!</v>
      </c>
    </row>
    <row r="1335" spans="55:60" s="39" customFormat="1">
      <c r="BC1335" s="573">
        <v>13.24</v>
      </c>
      <c r="BD1335" s="571">
        <f t="shared" si="199"/>
        <v>0</v>
      </c>
      <c r="BE1335" s="571">
        <f t="shared" si="203"/>
        <v>0</v>
      </c>
      <c r="BF1335" s="586">
        <f t="shared" si="200"/>
        <v>0</v>
      </c>
      <c r="BG1335" s="586" t="e">
        <f t="shared" si="201"/>
        <v>#DIV/0!</v>
      </c>
      <c r="BH1335" s="571" t="e">
        <f t="shared" si="202"/>
        <v>#DIV/0!</v>
      </c>
    </row>
    <row r="1336" spans="55:60" s="39" customFormat="1">
      <c r="BC1336" s="573">
        <v>13.25</v>
      </c>
      <c r="BD1336" s="571">
        <f t="shared" si="199"/>
        <v>0</v>
      </c>
      <c r="BE1336" s="571">
        <f t="shared" si="203"/>
        <v>0</v>
      </c>
      <c r="BF1336" s="586">
        <f t="shared" si="200"/>
        <v>0</v>
      </c>
      <c r="BG1336" s="586" t="e">
        <f t="shared" si="201"/>
        <v>#DIV/0!</v>
      </c>
      <c r="BH1336" s="571" t="e">
        <f t="shared" si="202"/>
        <v>#DIV/0!</v>
      </c>
    </row>
    <row r="1337" spans="55:60" s="39" customFormat="1">
      <c r="BC1337" s="573">
        <v>13.26</v>
      </c>
      <c r="BD1337" s="571">
        <f t="shared" si="199"/>
        <v>0</v>
      </c>
      <c r="BE1337" s="571">
        <f t="shared" si="203"/>
        <v>0</v>
      </c>
      <c r="BF1337" s="586">
        <f t="shared" si="200"/>
        <v>0</v>
      </c>
      <c r="BG1337" s="586" t="e">
        <f t="shared" si="201"/>
        <v>#DIV/0!</v>
      </c>
      <c r="BH1337" s="571" t="e">
        <f t="shared" si="202"/>
        <v>#DIV/0!</v>
      </c>
    </row>
    <row r="1338" spans="55:60" s="39" customFormat="1">
      <c r="BC1338" s="573">
        <v>13.27</v>
      </c>
      <c r="BD1338" s="571">
        <f t="shared" si="199"/>
        <v>0</v>
      </c>
      <c r="BE1338" s="571">
        <f t="shared" si="203"/>
        <v>0</v>
      </c>
      <c r="BF1338" s="586">
        <f t="shared" si="200"/>
        <v>0</v>
      </c>
      <c r="BG1338" s="586" t="e">
        <f t="shared" si="201"/>
        <v>#DIV/0!</v>
      </c>
      <c r="BH1338" s="571" t="e">
        <f t="shared" si="202"/>
        <v>#DIV/0!</v>
      </c>
    </row>
    <row r="1339" spans="55:60" s="39" customFormat="1">
      <c r="BC1339" s="573">
        <v>13.28</v>
      </c>
      <c r="BD1339" s="571">
        <f t="shared" si="199"/>
        <v>0</v>
      </c>
      <c r="BE1339" s="571">
        <f t="shared" si="203"/>
        <v>0</v>
      </c>
      <c r="BF1339" s="586">
        <f t="shared" si="200"/>
        <v>0</v>
      </c>
      <c r="BG1339" s="586" t="e">
        <f t="shared" si="201"/>
        <v>#DIV/0!</v>
      </c>
      <c r="BH1339" s="571" t="e">
        <f t="shared" si="202"/>
        <v>#DIV/0!</v>
      </c>
    </row>
    <row r="1340" spans="55:60" s="39" customFormat="1">
      <c r="BC1340" s="573">
        <v>13.29</v>
      </c>
      <c r="BD1340" s="571">
        <f t="shared" si="199"/>
        <v>0</v>
      </c>
      <c r="BE1340" s="571">
        <f t="shared" si="203"/>
        <v>0</v>
      </c>
      <c r="BF1340" s="586">
        <f t="shared" si="200"/>
        <v>0</v>
      </c>
      <c r="BG1340" s="586" t="e">
        <f t="shared" si="201"/>
        <v>#DIV/0!</v>
      </c>
      <c r="BH1340" s="571" t="e">
        <f t="shared" si="202"/>
        <v>#DIV/0!</v>
      </c>
    </row>
    <row r="1341" spans="55:60" s="39" customFormat="1">
      <c r="BC1341" s="573">
        <v>13.3</v>
      </c>
      <c r="BD1341" s="571">
        <f t="shared" si="199"/>
        <v>0</v>
      </c>
      <c r="BE1341" s="571">
        <f t="shared" si="203"/>
        <v>0</v>
      </c>
      <c r="BF1341" s="586">
        <f t="shared" si="200"/>
        <v>0</v>
      </c>
      <c r="BG1341" s="586" t="e">
        <f t="shared" si="201"/>
        <v>#DIV/0!</v>
      </c>
      <c r="BH1341" s="571" t="e">
        <f t="shared" si="202"/>
        <v>#DIV/0!</v>
      </c>
    </row>
    <row r="1342" spans="55:60" s="39" customFormat="1">
      <c r="BC1342" s="573">
        <v>13.31</v>
      </c>
      <c r="BD1342" s="571">
        <f t="shared" si="199"/>
        <v>0</v>
      </c>
      <c r="BE1342" s="571">
        <f t="shared" si="203"/>
        <v>0</v>
      </c>
      <c r="BF1342" s="586">
        <f t="shared" si="200"/>
        <v>0</v>
      </c>
      <c r="BG1342" s="586" t="e">
        <f t="shared" si="201"/>
        <v>#DIV/0!</v>
      </c>
      <c r="BH1342" s="571" t="e">
        <f t="shared" si="202"/>
        <v>#DIV/0!</v>
      </c>
    </row>
    <row r="1343" spans="55:60" s="39" customFormat="1">
      <c r="BC1343" s="573">
        <v>13.32</v>
      </c>
      <c r="BD1343" s="571">
        <f t="shared" si="199"/>
        <v>0</v>
      </c>
      <c r="BE1343" s="571">
        <f t="shared" si="203"/>
        <v>0</v>
      </c>
      <c r="BF1343" s="586">
        <f t="shared" si="200"/>
        <v>0</v>
      </c>
      <c r="BG1343" s="586" t="e">
        <f t="shared" si="201"/>
        <v>#DIV/0!</v>
      </c>
      <c r="BH1343" s="571" t="e">
        <f t="shared" si="202"/>
        <v>#DIV/0!</v>
      </c>
    </row>
    <row r="1344" spans="55:60" s="39" customFormat="1">
      <c r="BC1344" s="573">
        <v>13.33</v>
      </c>
      <c r="BD1344" s="571">
        <f t="shared" si="199"/>
        <v>0</v>
      </c>
      <c r="BE1344" s="571">
        <f t="shared" si="203"/>
        <v>0</v>
      </c>
      <c r="BF1344" s="586">
        <f t="shared" si="200"/>
        <v>0</v>
      </c>
      <c r="BG1344" s="586" t="e">
        <f t="shared" si="201"/>
        <v>#DIV/0!</v>
      </c>
      <c r="BH1344" s="571" t="e">
        <f t="shared" si="202"/>
        <v>#DIV/0!</v>
      </c>
    </row>
    <row r="1345" spans="55:60" s="39" customFormat="1">
      <c r="BC1345" s="573">
        <v>13.34</v>
      </c>
      <c r="BD1345" s="571">
        <f t="shared" si="199"/>
        <v>0</v>
      </c>
      <c r="BE1345" s="571">
        <f t="shared" si="203"/>
        <v>0</v>
      </c>
      <c r="BF1345" s="586">
        <f t="shared" si="200"/>
        <v>0</v>
      </c>
      <c r="BG1345" s="586" t="e">
        <f t="shared" si="201"/>
        <v>#DIV/0!</v>
      </c>
      <c r="BH1345" s="571" t="e">
        <f t="shared" si="202"/>
        <v>#DIV/0!</v>
      </c>
    </row>
    <row r="1346" spans="55:60" s="39" customFormat="1">
      <c r="BC1346" s="573">
        <v>13.35</v>
      </c>
      <c r="BD1346" s="571">
        <f t="shared" si="199"/>
        <v>0</v>
      </c>
      <c r="BE1346" s="571">
        <f t="shared" si="203"/>
        <v>0</v>
      </c>
      <c r="BF1346" s="586">
        <f t="shared" si="200"/>
        <v>0</v>
      </c>
      <c r="BG1346" s="586" t="e">
        <f t="shared" si="201"/>
        <v>#DIV/0!</v>
      </c>
      <c r="BH1346" s="571" t="e">
        <f t="shared" si="202"/>
        <v>#DIV/0!</v>
      </c>
    </row>
    <row r="1347" spans="55:60" s="39" customFormat="1">
      <c r="BC1347" s="573">
        <v>13.36</v>
      </c>
      <c r="BD1347" s="571">
        <f t="shared" si="199"/>
        <v>0</v>
      </c>
      <c r="BE1347" s="571">
        <f t="shared" si="203"/>
        <v>0</v>
      </c>
      <c r="BF1347" s="586">
        <f t="shared" si="200"/>
        <v>0</v>
      </c>
      <c r="BG1347" s="586" t="e">
        <f t="shared" si="201"/>
        <v>#DIV/0!</v>
      </c>
      <c r="BH1347" s="571" t="e">
        <f t="shared" si="202"/>
        <v>#DIV/0!</v>
      </c>
    </row>
    <row r="1348" spans="55:60" s="39" customFormat="1">
      <c r="BC1348" s="573">
        <v>13.37</v>
      </c>
      <c r="BD1348" s="571">
        <f t="shared" si="199"/>
        <v>0</v>
      </c>
      <c r="BE1348" s="571">
        <f t="shared" si="203"/>
        <v>0</v>
      </c>
      <c r="BF1348" s="586">
        <f t="shared" si="200"/>
        <v>0</v>
      </c>
      <c r="BG1348" s="586" t="e">
        <f t="shared" si="201"/>
        <v>#DIV/0!</v>
      </c>
      <c r="BH1348" s="571" t="e">
        <f t="shared" si="202"/>
        <v>#DIV/0!</v>
      </c>
    </row>
    <row r="1349" spans="55:60" s="39" customFormat="1">
      <c r="BC1349" s="573">
        <v>13.38</v>
      </c>
      <c r="BD1349" s="571">
        <f t="shared" si="199"/>
        <v>0</v>
      </c>
      <c r="BE1349" s="571">
        <f t="shared" si="203"/>
        <v>0</v>
      </c>
      <c r="BF1349" s="586">
        <f t="shared" si="200"/>
        <v>0</v>
      </c>
      <c r="BG1349" s="586" t="e">
        <f t="shared" si="201"/>
        <v>#DIV/0!</v>
      </c>
      <c r="BH1349" s="571" t="e">
        <f t="shared" si="202"/>
        <v>#DIV/0!</v>
      </c>
    </row>
    <row r="1350" spans="55:60" s="39" customFormat="1">
      <c r="BC1350" s="573">
        <v>13.39</v>
      </c>
      <c r="BD1350" s="571">
        <f t="shared" si="199"/>
        <v>0</v>
      </c>
      <c r="BE1350" s="571">
        <f t="shared" si="203"/>
        <v>0</v>
      </c>
      <c r="BF1350" s="586">
        <f t="shared" si="200"/>
        <v>0</v>
      </c>
      <c r="BG1350" s="586" t="e">
        <f t="shared" si="201"/>
        <v>#DIV/0!</v>
      </c>
      <c r="BH1350" s="571" t="e">
        <f t="shared" si="202"/>
        <v>#DIV/0!</v>
      </c>
    </row>
    <row r="1351" spans="55:60" s="39" customFormat="1">
      <c r="BC1351" s="573">
        <v>13.4</v>
      </c>
      <c r="BD1351" s="571">
        <f t="shared" si="199"/>
        <v>0</v>
      </c>
      <c r="BE1351" s="571">
        <f t="shared" si="203"/>
        <v>0</v>
      </c>
      <c r="BF1351" s="586">
        <f t="shared" si="200"/>
        <v>0</v>
      </c>
      <c r="BG1351" s="586" t="e">
        <f t="shared" si="201"/>
        <v>#DIV/0!</v>
      </c>
      <c r="BH1351" s="571" t="e">
        <f t="shared" si="202"/>
        <v>#DIV/0!</v>
      </c>
    </row>
    <row r="1352" spans="55:60" s="39" customFormat="1">
      <c r="BC1352" s="573">
        <v>13.41</v>
      </c>
      <c r="BD1352" s="571">
        <f t="shared" si="199"/>
        <v>0</v>
      </c>
      <c r="BE1352" s="571">
        <f t="shared" si="203"/>
        <v>0</v>
      </c>
      <c r="BF1352" s="586">
        <f t="shared" si="200"/>
        <v>0</v>
      </c>
      <c r="BG1352" s="586" t="e">
        <f t="shared" si="201"/>
        <v>#DIV/0!</v>
      </c>
      <c r="BH1352" s="571" t="e">
        <f t="shared" si="202"/>
        <v>#DIV/0!</v>
      </c>
    </row>
    <row r="1353" spans="55:60" s="39" customFormat="1">
      <c r="BC1353" s="573">
        <v>13.42</v>
      </c>
      <c r="BD1353" s="571">
        <f t="shared" si="199"/>
        <v>0</v>
      </c>
      <c r="BE1353" s="571">
        <f t="shared" si="203"/>
        <v>0</v>
      </c>
      <c r="BF1353" s="586">
        <f t="shared" si="200"/>
        <v>0</v>
      </c>
      <c r="BG1353" s="586" t="e">
        <f t="shared" si="201"/>
        <v>#DIV/0!</v>
      </c>
      <c r="BH1353" s="571" t="e">
        <f t="shared" si="202"/>
        <v>#DIV/0!</v>
      </c>
    </row>
    <row r="1354" spans="55:60" s="39" customFormat="1">
      <c r="BC1354" s="573">
        <v>13.43</v>
      </c>
      <c r="BD1354" s="571">
        <f t="shared" si="199"/>
        <v>0</v>
      </c>
      <c r="BE1354" s="571">
        <f t="shared" si="203"/>
        <v>0</v>
      </c>
      <c r="BF1354" s="586">
        <f t="shared" si="200"/>
        <v>0</v>
      </c>
      <c r="BG1354" s="586" t="e">
        <f t="shared" si="201"/>
        <v>#DIV/0!</v>
      </c>
      <c r="BH1354" s="571" t="e">
        <f t="shared" si="202"/>
        <v>#DIV/0!</v>
      </c>
    </row>
    <row r="1355" spans="55:60" s="39" customFormat="1">
      <c r="BC1355" s="573">
        <v>13.44</v>
      </c>
      <c r="BD1355" s="571">
        <f t="shared" si="199"/>
        <v>0</v>
      </c>
      <c r="BE1355" s="571">
        <f t="shared" si="203"/>
        <v>0</v>
      </c>
      <c r="BF1355" s="586">
        <f t="shared" si="200"/>
        <v>0</v>
      </c>
      <c r="BG1355" s="586" t="e">
        <f t="shared" si="201"/>
        <v>#DIV/0!</v>
      </c>
      <c r="BH1355" s="571" t="e">
        <f t="shared" si="202"/>
        <v>#DIV/0!</v>
      </c>
    </row>
    <row r="1356" spans="55:60" s="39" customFormat="1">
      <c r="BC1356" s="573">
        <v>13.45</v>
      </c>
      <c r="BD1356" s="571">
        <f t="shared" ref="BD1356:BD1419" si="204">$AU$15/BC1356</f>
        <v>0</v>
      </c>
      <c r="BE1356" s="571">
        <f t="shared" si="203"/>
        <v>0</v>
      </c>
      <c r="BF1356" s="586">
        <f t="shared" ref="BF1356:BF1419" si="205">BC1356*(BE1356/1000)/$AO$12</f>
        <v>0</v>
      </c>
      <c r="BG1356" s="586" t="e">
        <f t="shared" ref="BG1356:BG1419" si="206">POWER((1/(-1.8*LOG((6.9/BF1356+POWER((($P$7/BE1356)/3.71),1.11)),10))),2)</f>
        <v>#DIV/0!</v>
      </c>
      <c r="BH1356" s="571" t="e">
        <f t="shared" ref="BH1356:BH1419" si="207">BG1356*0.5*$P$6*16*$AU$15*$AU$15/(POWER(PI(),2)*POWER((BE1356/1000),5))</f>
        <v>#DIV/0!</v>
      </c>
    </row>
    <row r="1357" spans="55:60" s="39" customFormat="1">
      <c r="BC1357" s="573">
        <v>13.46</v>
      </c>
      <c r="BD1357" s="571">
        <f t="shared" si="204"/>
        <v>0</v>
      </c>
      <c r="BE1357" s="571">
        <f t="shared" ref="BE1357:BE1420" si="208">((BD1357/PI())^0.5)*2*1000</f>
        <v>0</v>
      </c>
      <c r="BF1357" s="586">
        <f t="shared" si="205"/>
        <v>0</v>
      </c>
      <c r="BG1357" s="586" t="e">
        <f t="shared" si="206"/>
        <v>#DIV/0!</v>
      </c>
      <c r="BH1357" s="571" t="e">
        <f t="shared" si="207"/>
        <v>#DIV/0!</v>
      </c>
    </row>
    <row r="1358" spans="55:60" s="39" customFormat="1">
      <c r="BC1358" s="573">
        <v>13.47</v>
      </c>
      <c r="BD1358" s="571">
        <f t="shared" si="204"/>
        <v>0</v>
      </c>
      <c r="BE1358" s="571">
        <f t="shared" si="208"/>
        <v>0</v>
      </c>
      <c r="BF1358" s="586">
        <f t="shared" si="205"/>
        <v>0</v>
      </c>
      <c r="BG1358" s="586" t="e">
        <f t="shared" si="206"/>
        <v>#DIV/0!</v>
      </c>
      <c r="BH1358" s="571" t="e">
        <f t="shared" si="207"/>
        <v>#DIV/0!</v>
      </c>
    </row>
    <row r="1359" spans="55:60" s="39" customFormat="1">
      <c r="BC1359" s="573">
        <v>13.48</v>
      </c>
      <c r="BD1359" s="571">
        <f t="shared" si="204"/>
        <v>0</v>
      </c>
      <c r="BE1359" s="571">
        <f t="shared" si="208"/>
        <v>0</v>
      </c>
      <c r="BF1359" s="586">
        <f t="shared" si="205"/>
        <v>0</v>
      </c>
      <c r="BG1359" s="586" t="e">
        <f t="shared" si="206"/>
        <v>#DIV/0!</v>
      </c>
      <c r="BH1359" s="571" t="e">
        <f t="shared" si="207"/>
        <v>#DIV/0!</v>
      </c>
    </row>
    <row r="1360" spans="55:60" s="39" customFormat="1">
      <c r="BC1360" s="573">
        <v>13.49</v>
      </c>
      <c r="BD1360" s="571">
        <f t="shared" si="204"/>
        <v>0</v>
      </c>
      <c r="BE1360" s="571">
        <f t="shared" si="208"/>
        <v>0</v>
      </c>
      <c r="BF1360" s="586">
        <f t="shared" si="205"/>
        <v>0</v>
      </c>
      <c r="BG1360" s="586" t="e">
        <f t="shared" si="206"/>
        <v>#DIV/0!</v>
      </c>
      <c r="BH1360" s="571" t="e">
        <f t="shared" si="207"/>
        <v>#DIV/0!</v>
      </c>
    </row>
    <row r="1361" spans="55:60" s="39" customFormat="1">
      <c r="BC1361" s="573">
        <v>13.5</v>
      </c>
      <c r="BD1361" s="571">
        <f t="shared" si="204"/>
        <v>0</v>
      </c>
      <c r="BE1361" s="571">
        <f t="shared" si="208"/>
        <v>0</v>
      </c>
      <c r="BF1361" s="586">
        <f t="shared" si="205"/>
        <v>0</v>
      </c>
      <c r="BG1361" s="586" t="e">
        <f t="shared" si="206"/>
        <v>#DIV/0!</v>
      </c>
      <c r="BH1361" s="571" t="e">
        <f t="shared" si="207"/>
        <v>#DIV/0!</v>
      </c>
    </row>
    <row r="1362" spans="55:60" s="39" customFormat="1">
      <c r="BC1362" s="573">
        <v>13.51</v>
      </c>
      <c r="BD1362" s="571">
        <f t="shared" si="204"/>
        <v>0</v>
      </c>
      <c r="BE1362" s="571">
        <f t="shared" si="208"/>
        <v>0</v>
      </c>
      <c r="BF1362" s="586">
        <f t="shared" si="205"/>
        <v>0</v>
      </c>
      <c r="BG1362" s="586" t="e">
        <f t="shared" si="206"/>
        <v>#DIV/0!</v>
      </c>
      <c r="BH1362" s="571" t="e">
        <f t="shared" si="207"/>
        <v>#DIV/0!</v>
      </c>
    </row>
    <row r="1363" spans="55:60" s="39" customFormat="1">
      <c r="BC1363" s="573">
        <v>13.52</v>
      </c>
      <c r="BD1363" s="571">
        <f t="shared" si="204"/>
        <v>0</v>
      </c>
      <c r="BE1363" s="571">
        <f t="shared" si="208"/>
        <v>0</v>
      </c>
      <c r="BF1363" s="586">
        <f t="shared" si="205"/>
        <v>0</v>
      </c>
      <c r="BG1363" s="586" t="e">
        <f t="shared" si="206"/>
        <v>#DIV/0!</v>
      </c>
      <c r="BH1363" s="571" t="e">
        <f t="shared" si="207"/>
        <v>#DIV/0!</v>
      </c>
    </row>
    <row r="1364" spans="55:60" s="39" customFormat="1">
      <c r="BC1364" s="573">
        <v>13.53</v>
      </c>
      <c r="BD1364" s="571">
        <f t="shared" si="204"/>
        <v>0</v>
      </c>
      <c r="BE1364" s="571">
        <f t="shared" si="208"/>
        <v>0</v>
      </c>
      <c r="BF1364" s="586">
        <f t="shared" si="205"/>
        <v>0</v>
      </c>
      <c r="BG1364" s="586" t="e">
        <f t="shared" si="206"/>
        <v>#DIV/0!</v>
      </c>
      <c r="BH1364" s="571" t="e">
        <f t="shared" si="207"/>
        <v>#DIV/0!</v>
      </c>
    </row>
    <row r="1365" spans="55:60" s="39" customFormat="1">
      <c r="BC1365" s="573">
        <v>13.54</v>
      </c>
      <c r="BD1365" s="571">
        <f t="shared" si="204"/>
        <v>0</v>
      </c>
      <c r="BE1365" s="571">
        <f t="shared" si="208"/>
        <v>0</v>
      </c>
      <c r="BF1365" s="586">
        <f t="shared" si="205"/>
        <v>0</v>
      </c>
      <c r="BG1365" s="586" t="e">
        <f t="shared" si="206"/>
        <v>#DIV/0!</v>
      </c>
      <c r="BH1365" s="571" t="e">
        <f t="shared" si="207"/>
        <v>#DIV/0!</v>
      </c>
    </row>
    <row r="1366" spans="55:60" s="39" customFormat="1">
      <c r="BC1366" s="573">
        <v>13.55</v>
      </c>
      <c r="BD1366" s="571">
        <f t="shared" si="204"/>
        <v>0</v>
      </c>
      <c r="BE1366" s="571">
        <f t="shared" si="208"/>
        <v>0</v>
      </c>
      <c r="BF1366" s="586">
        <f t="shared" si="205"/>
        <v>0</v>
      </c>
      <c r="BG1366" s="586" t="e">
        <f t="shared" si="206"/>
        <v>#DIV/0!</v>
      </c>
      <c r="BH1366" s="571" t="e">
        <f t="shared" si="207"/>
        <v>#DIV/0!</v>
      </c>
    </row>
    <row r="1367" spans="55:60" s="39" customFormat="1">
      <c r="BC1367" s="573">
        <v>13.56</v>
      </c>
      <c r="BD1367" s="571">
        <f t="shared" si="204"/>
        <v>0</v>
      </c>
      <c r="BE1367" s="571">
        <f t="shared" si="208"/>
        <v>0</v>
      </c>
      <c r="BF1367" s="586">
        <f t="shared" si="205"/>
        <v>0</v>
      </c>
      <c r="BG1367" s="586" t="e">
        <f t="shared" si="206"/>
        <v>#DIV/0!</v>
      </c>
      <c r="BH1367" s="571" t="e">
        <f t="shared" si="207"/>
        <v>#DIV/0!</v>
      </c>
    </row>
    <row r="1368" spans="55:60" s="39" customFormat="1">
      <c r="BC1368" s="573">
        <v>13.57</v>
      </c>
      <c r="BD1368" s="571">
        <f t="shared" si="204"/>
        <v>0</v>
      </c>
      <c r="BE1368" s="571">
        <f t="shared" si="208"/>
        <v>0</v>
      </c>
      <c r="BF1368" s="586">
        <f t="shared" si="205"/>
        <v>0</v>
      </c>
      <c r="BG1368" s="586" t="e">
        <f t="shared" si="206"/>
        <v>#DIV/0!</v>
      </c>
      <c r="BH1368" s="571" t="e">
        <f t="shared" si="207"/>
        <v>#DIV/0!</v>
      </c>
    </row>
    <row r="1369" spans="55:60" s="39" customFormat="1">
      <c r="BC1369" s="573">
        <v>13.58</v>
      </c>
      <c r="BD1369" s="571">
        <f t="shared" si="204"/>
        <v>0</v>
      </c>
      <c r="BE1369" s="571">
        <f t="shared" si="208"/>
        <v>0</v>
      </c>
      <c r="BF1369" s="586">
        <f t="shared" si="205"/>
        <v>0</v>
      </c>
      <c r="BG1369" s="586" t="e">
        <f t="shared" si="206"/>
        <v>#DIV/0!</v>
      </c>
      <c r="BH1369" s="571" t="e">
        <f t="shared" si="207"/>
        <v>#DIV/0!</v>
      </c>
    </row>
    <row r="1370" spans="55:60" s="39" customFormat="1">
      <c r="BC1370" s="573">
        <v>13.59</v>
      </c>
      <c r="BD1370" s="571">
        <f t="shared" si="204"/>
        <v>0</v>
      </c>
      <c r="BE1370" s="571">
        <f t="shared" si="208"/>
        <v>0</v>
      </c>
      <c r="BF1370" s="586">
        <f t="shared" si="205"/>
        <v>0</v>
      </c>
      <c r="BG1370" s="586" t="e">
        <f t="shared" si="206"/>
        <v>#DIV/0!</v>
      </c>
      <c r="BH1370" s="571" t="e">
        <f t="shared" si="207"/>
        <v>#DIV/0!</v>
      </c>
    </row>
    <row r="1371" spans="55:60" s="39" customFormat="1">
      <c r="BC1371" s="573">
        <v>13.6</v>
      </c>
      <c r="BD1371" s="571">
        <f t="shared" si="204"/>
        <v>0</v>
      </c>
      <c r="BE1371" s="571">
        <f t="shared" si="208"/>
        <v>0</v>
      </c>
      <c r="BF1371" s="586">
        <f t="shared" si="205"/>
        <v>0</v>
      </c>
      <c r="BG1371" s="586" t="e">
        <f t="shared" si="206"/>
        <v>#DIV/0!</v>
      </c>
      <c r="BH1371" s="571" t="e">
        <f t="shared" si="207"/>
        <v>#DIV/0!</v>
      </c>
    </row>
    <row r="1372" spans="55:60" s="39" customFormat="1">
      <c r="BC1372" s="573">
        <v>13.61</v>
      </c>
      <c r="BD1372" s="571">
        <f t="shared" si="204"/>
        <v>0</v>
      </c>
      <c r="BE1372" s="571">
        <f t="shared" si="208"/>
        <v>0</v>
      </c>
      <c r="BF1372" s="586">
        <f t="shared" si="205"/>
        <v>0</v>
      </c>
      <c r="BG1372" s="586" t="e">
        <f t="shared" si="206"/>
        <v>#DIV/0!</v>
      </c>
      <c r="BH1372" s="571" t="e">
        <f t="shared" si="207"/>
        <v>#DIV/0!</v>
      </c>
    </row>
    <row r="1373" spans="55:60" s="39" customFormat="1">
      <c r="BC1373" s="573">
        <v>13.62</v>
      </c>
      <c r="BD1373" s="571">
        <f t="shared" si="204"/>
        <v>0</v>
      </c>
      <c r="BE1373" s="571">
        <f t="shared" si="208"/>
        <v>0</v>
      </c>
      <c r="BF1373" s="586">
        <f t="shared" si="205"/>
        <v>0</v>
      </c>
      <c r="BG1373" s="586" t="e">
        <f t="shared" si="206"/>
        <v>#DIV/0!</v>
      </c>
      <c r="BH1373" s="571" t="e">
        <f t="shared" si="207"/>
        <v>#DIV/0!</v>
      </c>
    </row>
    <row r="1374" spans="55:60" s="39" customFormat="1">
      <c r="BC1374" s="573">
        <v>13.63</v>
      </c>
      <c r="BD1374" s="571">
        <f t="shared" si="204"/>
        <v>0</v>
      </c>
      <c r="BE1374" s="571">
        <f t="shared" si="208"/>
        <v>0</v>
      </c>
      <c r="BF1374" s="586">
        <f t="shared" si="205"/>
        <v>0</v>
      </c>
      <c r="BG1374" s="586" t="e">
        <f t="shared" si="206"/>
        <v>#DIV/0!</v>
      </c>
      <c r="BH1374" s="571" t="e">
        <f t="shared" si="207"/>
        <v>#DIV/0!</v>
      </c>
    </row>
    <row r="1375" spans="55:60" s="39" customFormat="1">
      <c r="BC1375" s="573">
        <v>13.64</v>
      </c>
      <c r="BD1375" s="571">
        <f t="shared" si="204"/>
        <v>0</v>
      </c>
      <c r="BE1375" s="571">
        <f t="shared" si="208"/>
        <v>0</v>
      </c>
      <c r="BF1375" s="586">
        <f t="shared" si="205"/>
        <v>0</v>
      </c>
      <c r="BG1375" s="586" t="e">
        <f t="shared" si="206"/>
        <v>#DIV/0!</v>
      </c>
      <c r="BH1375" s="571" t="e">
        <f t="shared" si="207"/>
        <v>#DIV/0!</v>
      </c>
    </row>
    <row r="1376" spans="55:60" s="39" customFormat="1">
      <c r="BC1376" s="573">
        <v>13.65</v>
      </c>
      <c r="BD1376" s="571">
        <f t="shared" si="204"/>
        <v>0</v>
      </c>
      <c r="BE1376" s="571">
        <f t="shared" si="208"/>
        <v>0</v>
      </c>
      <c r="BF1376" s="586">
        <f t="shared" si="205"/>
        <v>0</v>
      </c>
      <c r="BG1376" s="586" t="e">
        <f t="shared" si="206"/>
        <v>#DIV/0!</v>
      </c>
      <c r="BH1376" s="571" t="e">
        <f t="shared" si="207"/>
        <v>#DIV/0!</v>
      </c>
    </row>
    <row r="1377" spans="55:60" s="39" customFormat="1">
      <c r="BC1377" s="573">
        <v>13.66</v>
      </c>
      <c r="BD1377" s="571">
        <f t="shared" si="204"/>
        <v>0</v>
      </c>
      <c r="BE1377" s="571">
        <f t="shared" si="208"/>
        <v>0</v>
      </c>
      <c r="BF1377" s="586">
        <f t="shared" si="205"/>
        <v>0</v>
      </c>
      <c r="BG1377" s="586" t="e">
        <f t="shared" si="206"/>
        <v>#DIV/0!</v>
      </c>
      <c r="BH1377" s="571" t="e">
        <f t="shared" si="207"/>
        <v>#DIV/0!</v>
      </c>
    </row>
    <row r="1378" spans="55:60" s="39" customFormat="1">
      <c r="BC1378" s="573">
        <v>13.67</v>
      </c>
      <c r="BD1378" s="571">
        <f t="shared" si="204"/>
        <v>0</v>
      </c>
      <c r="BE1378" s="571">
        <f t="shared" si="208"/>
        <v>0</v>
      </c>
      <c r="BF1378" s="586">
        <f t="shared" si="205"/>
        <v>0</v>
      </c>
      <c r="BG1378" s="586" t="e">
        <f t="shared" si="206"/>
        <v>#DIV/0!</v>
      </c>
      <c r="BH1378" s="571" t="e">
        <f t="shared" si="207"/>
        <v>#DIV/0!</v>
      </c>
    </row>
    <row r="1379" spans="55:60" s="39" customFormat="1">
      <c r="BC1379" s="573">
        <v>13.68</v>
      </c>
      <c r="BD1379" s="571">
        <f t="shared" si="204"/>
        <v>0</v>
      </c>
      <c r="BE1379" s="571">
        <f t="shared" si="208"/>
        <v>0</v>
      </c>
      <c r="BF1379" s="586">
        <f t="shared" si="205"/>
        <v>0</v>
      </c>
      <c r="BG1379" s="586" t="e">
        <f t="shared" si="206"/>
        <v>#DIV/0!</v>
      </c>
      <c r="BH1379" s="571" t="e">
        <f t="shared" si="207"/>
        <v>#DIV/0!</v>
      </c>
    </row>
    <row r="1380" spans="55:60" s="39" customFormat="1">
      <c r="BC1380" s="573">
        <v>13.69</v>
      </c>
      <c r="BD1380" s="571">
        <f t="shared" si="204"/>
        <v>0</v>
      </c>
      <c r="BE1380" s="571">
        <f t="shared" si="208"/>
        <v>0</v>
      </c>
      <c r="BF1380" s="586">
        <f t="shared" si="205"/>
        <v>0</v>
      </c>
      <c r="BG1380" s="586" t="e">
        <f t="shared" si="206"/>
        <v>#DIV/0!</v>
      </c>
      <c r="BH1380" s="571" t="e">
        <f t="shared" si="207"/>
        <v>#DIV/0!</v>
      </c>
    </row>
    <row r="1381" spans="55:60" s="39" customFormat="1">
      <c r="BC1381" s="573">
        <v>13.7</v>
      </c>
      <c r="BD1381" s="571">
        <f t="shared" si="204"/>
        <v>0</v>
      </c>
      <c r="BE1381" s="571">
        <f t="shared" si="208"/>
        <v>0</v>
      </c>
      <c r="BF1381" s="586">
        <f t="shared" si="205"/>
        <v>0</v>
      </c>
      <c r="BG1381" s="586" t="e">
        <f t="shared" si="206"/>
        <v>#DIV/0!</v>
      </c>
      <c r="BH1381" s="571" t="e">
        <f t="shared" si="207"/>
        <v>#DIV/0!</v>
      </c>
    </row>
    <row r="1382" spans="55:60" s="39" customFormat="1">
      <c r="BC1382" s="573">
        <v>13.71</v>
      </c>
      <c r="BD1382" s="571">
        <f t="shared" si="204"/>
        <v>0</v>
      </c>
      <c r="BE1382" s="571">
        <f t="shared" si="208"/>
        <v>0</v>
      </c>
      <c r="BF1382" s="586">
        <f t="shared" si="205"/>
        <v>0</v>
      </c>
      <c r="BG1382" s="586" t="e">
        <f t="shared" si="206"/>
        <v>#DIV/0!</v>
      </c>
      <c r="BH1382" s="571" t="e">
        <f t="shared" si="207"/>
        <v>#DIV/0!</v>
      </c>
    </row>
    <row r="1383" spans="55:60" s="39" customFormat="1">
      <c r="BC1383" s="573">
        <v>13.72</v>
      </c>
      <c r="BD1383" s="571">
        <f t="shared" si="204"/>
        <v>0</v>
      </c>
      <c r="BE1383" s="571">
        <f t="shared" si="208"/>
        <v>0</v>
      </c>
      <c r="BF1383" s="586">
        <f t="shared" si="205"/>
        <v>0</v>
      </c>
      <c r="BG1383" s="586" t="e">
        <f t="shared" si="206"/>
        <v>#DIV/0!</v>
      </c>
      <c r="BH1383" s="571" t="e">
        <f t="shared" si="207"/>
        <v>#DIV/0!</v>
      </c>
    </row>
    <row r="1384" spans="55:60" s="39" customFormat="1">
      <c r="BC1384" s="573">
        <v>13.73</v>
      </c>
      <c r="BD1384" s="571">
        <f t="shared" si="204"/>
        <v>0</v>
      </c>
      <c r="BE1384" s="571">
        <f t="shared" si="208"/>
        <v>0</v>
      </c>
      <c r="BF1384" s="586">
        <f t="shared" si="205"/>
        <v>0</v>
      </c>
      <c r="BG1384" s="586" t="e">
        <f t="shared" si="206"/>
        <v>#DIV/0!</v>
      </c>
      <c r="BH1384" s="571" t="e">
        <f t="shared" si="207"/>
        <v>#DIV/0!</v>
      </c>
    </row>
    <row r="1385" spans="55:60" s="39" customFormat="1">
      <c r="BC1385" s="573">
        <v>13.74</v>
      </c>
      <c r="BD1385" s="571">
        <f t="shared" si="204"/>
        <v>0</v>
      </c>
      <c r="BE1385" s="571">
        <f t="shared" si="208"/>
        <v>0</v>
      </c>
      <c r="BF1385" s="586">
        <f t="shared" si="205"/>
        <v>0</v>
      </c>
      <c r="BG1385" s="586" t="e">
        <f t="shared" si="206"/>
        <v>#DIV/0!</v>
      </c>
      <c r="BH1385" s="571" t="e">
        <f t="shared" si="207"/>
        <v>#DIV/0!</v>
      </c>
    </row>
    <row r="1386" spans="55:60" s="39" customFormat="1">
      <c r="BC1386" s="573">
        <v>13.75</v>
      </c>
      <c r="BD1386" s="571">
        <f t="shared" si="204"/>
        <v>0</v>
      </c>
      <c r="BE1386" s="571">
        <f t="shared" si="208"/>
        <v>0</v>
      </c>
      <c r="BF1386" s="586">
        <f t="shared" si="205"/>
        <v>0</v>
      </c>
      <c r="BG1386" s="586" t="e">
        <f t="shared" si="206"/>
        <v>#DIV/0!</v>
      </c>
      <c r="BH1386" s="571" t="e">
        <f t="shared" si="207"/>
        <v>#DIV/0!</v>
      </c>
    </row>
    <row r="1387" spans="55:60" s="39" customFormat="1">
      <c r="BC1387" s="573">
        <v>13.76</v>
      </c>
      <c r="BD1387" s="571">
        <f t="shared" si="204"/>
        <v>0</v>
      </c>
      <c r="BE1387" s="571">
        <f t="shared" si="208"/>
        <v>0</v>
      </c>
      <c r="BF1387" s="586">
        <f t="shared" si="205"/>
        <v>0</v>
      </c>
      <c r="BG1387" s="586" t="e">
        <f t="shared" si="206"/>
        <v>#DIV/0!</v>
      </c>
      <c r="BH1387" s="571" t="e">
        <f t="shared" si="207"/>
        <v>#DIV/0!</v>
      </c>
    </row>
    <row r="1388" spans="55:60" s="39" customFormat="1">
      <c r="BC1388" s="573">
        <v>13.77</v>
      </c>
      <c r="BD1388" s="571">
        <f t="shared" si="204"/>
        <v>0</v>
      </c>
      <c r="BE1388" s="571">
        <f t="shared" si="208"/>
        <v>0</v>
      </c>
      <c r="BF1388" s="586">
        <f t="shared" si="205"/>
        <v>0</v>
      </c>
      <c r="BG1388" s="586" t="e">
        <f t="shared" si="206"/>
        <v>#DIV/0!</v>
      </c>
      <c r="BH1388" s="571" t="e">
        <f t="shared" si="207"/>
        <v>#DIV/0!</v>
      </c>
    </row>
    <row r="1389" spans="55:60" s="39" customFormat="1">
      <c r="BC1389" s="573">
        <v>13.78</v>
      </c>
      <c r="BD1389" s="571">
        <f t="shared" si="204"/>
        <v>0</v>
      </c>
      <c r="BE1389" s="571">
        <f t="shared" si="208"/>
        <v>0</v>
      </c>
      <c r="BF1389" s="586">
        <f t="shared" si="205"/>
        <v>0</v>
      </c>
      <c r="BG1389" s="586" t="e">
        <f t="shared" si="206"/>
        <v>#DIV/0!</v>
      </c>
      <c r="BH1389" s="571" t="e">
        <f t="shared" si="207"/>
        <v>#DIV/0!</v>
      </c>
    </row>
    <row r="1390" spans="55:60" s="39" customFormat="1">
      <c r="BC1390" s="573">
        <v>13.79</v>
      </c>
      <c r="BD1390" s="571">
        <f t="shared" si="204"/>
        <v>0</v>
      </c>
      <c r="BE1390" s="571">
        <f t="shared" si="208"/>
        <v>0</v>
      </c>
      <c r="BF1390" s="586">
        <f t="shared" si="205"/>
        <v>0</v>
      </c>
      <c r="BG1390" s="586" t="e">
        <f t="shared" si="206"/>
        <v>#DIV/0!</v>
      </c>
      <c r="BH1390" s="571" t="e">
        <f t="shared" si="207"/>
        <v>#DIV/0!</v>
      </c>
    </row>
    <row r="1391" spans="55:60" s="39" customFormat="1">
      <c r="BC1391" s="573">
        <v>13.8</v>
      </c>
      <c r="BD1391" s="571">
        <f t="shared" si="204"/>
        <v>0</v>
      </c>
      <c r="BE1391" s="571">
        <f t="shared" si="208"/>
        <v>0</v>
      </c>
      <c r="BF1391" s="586">
        <f t="shared" si="205"/>
        <v>0</v>
      </c>
      <c r="BG1391" s="586" t="e">
        <f t="shared" si="206"/>
        <v>#DIV/0!</v>
      </c>
      <c r="BH1391" s="571" t="e">
        <f t="shared" si="207"/>
        <v>#DIV/0!</v>
      </c>
    </row>
    <row r="1392" spans="55:60" s="39" customFormat="1">
      <c r="BC1392" s="573">
        <v>13.81</v>
      </c>
      <c r="BD1392" s="571">
        <f t="shared" si="204"/>
        <v>0</v>
      </c>
      <c r="BE1392" s="571">
        <f t="shared" si="208"/>
        <v>0</v>
      </c>
      <c r="BF1392" s="586">
        <f t="shared" si="205"/>
        <v>0</v>
      </c>
      <c r="BG1392" s="586" t="e">
        <f t="shared" si="206"/>
        <v>#DIV/0!</v>
      </c>
      <c r="BH1392" s="571" t="e">
        <f t="shared" si="207"/>
        <v>#DIV/0!</v>
      </c>
    </row>
    <row r="1393" spans="55:60" s="39" customFormat="1">
      <c r="BC1393" s="573">
        <v>13.82</v>
      </c>
      <c r="BD1393" s="571">
        <f t="shared" si="204"/>
        <v>0</v>
      </c>
      <c r="BE1393" s="571">
        <f t="shared" si="208"/>
        <v>0</v>
      </c>
      <c r="BF1393" s="586">
        <f t="shared" si="205"/>
        <v>0</v>
      </c>
      <c r="BG1393" s="586" t="e">
        <f t="shared" si="206"/>
        <v>#DIV/0!</v>
      </c>
      <c r="BH1393" s="571" t="e">
        <f t="shared" si="207"/>
        <v>#DIV/0!</v>
      </c>
    </row>
    <row r="1394" spans="55:60" s="39" customFormat="1">
      <c r="BC1394" s="573">
        <v>13.83</v>
      </c>
      <c r="BD1394" s="571">
        <f t="shared" si="204"/>
        <v>0</v>
      </c>
      <c r="BE1394" s="571">
        <f t="shared" si="208"/>
        <v>0</v>
      </c>
      <c r="BF1394" s="586">
        <f t="shared" si="205"/>
        <v>0</v>
      </c>
      <c r="BG1394" s="586" t="e">
        <f t="shared" si="206"/>
        <v>#DIV/0!</v>
      </c>
      <c r="BH1394" s="571" t="e">
        <f t="shared" si="207"/>
        <v>#DIV/0!</v>
      </c>
    </row>
    <row r="1395" spans="55:60" s="39" customFormat="1">
      <c r="BC1395" s="573">
        <v>13.84</v>
      </c>
      <c r="BD1395" s="571">
        <f t="shared" si="204"/>
        <v>0</v>
      </c>
      <c r="BE1395" s="571">
        <f t="shared" si="208"/>
        <v>0</v>
      </c>
      <c r="BF1395" s="586">
        <f t="shared" si="205"/>
        <v>0</v>
      </c>
      <c r="BG1395" s="586" t="e">
        <f t="shared" si="206"/>
        <v>#DIV/0!</v>
      </c>
      <c r="BH1395" s="571" t="e">
        <f t="shared" si="207"/>
        <v>#DIV/0!</v>
      </c>
    </row>
    <row r="1396" spans="55:60" s="39" customFormat="1">
      <c r="BC1396" s="573">
        <v>13.85</v>
      </c>
      <c r="BD1396" s="571">
        <f t="shared" si="204"/>
        <v>0</v>
      </c>
      <c r="BE1396" s="571">
        <f t="shared" si="208"/>
        <v>0</v>
      </c>
      <c r="BF1396" s="586">
        <f t="shared" si="205"/>
        <v>0</v>
      </c>
      <c r="BG1396" s="586" t="e">
        <f t="shared" si="206"/>
        <v>#DIV/0!</v>
      </c>
      <c r="BH1396" s="571" t="e">
        <f t="shared" si="207"/>
        <v>#DIV/0!</v>
      </c>
    </row>
    <row r="1397" spans="55:60" s="39" customFormat="1">
      <c r="BC1397" s="573">
        <v>13.86</v>
      </c>
      <c r="BD1397" s="571">
        <f t="shared" si="204"/>
        <v>0</v>
      </c>
      <c r="BE1397" s="571">
        <f t="shared" si="208"/>
        <v>0</v>
      </c>
      <c r="BF1397" s="586">
        <f t="shared" si="205"/>
        <v>0</v>
      </c>
      <c r="BG1397" s="586" t="e">
        <f t="shared" si="206"/>
        <v>#DIV/0!</v>
      </c>
      <c r="BH1397" s="571" t="e">
        <f t="shared" si="207"/>
        <v>#DIV/0!</v>
      </c>
    </row>
    <row r="1398" spans="55:60" s="39" customFormat="1">
      <c r="BC1398" s="573">
        <v>13.87</v>
      </c>
      <c r="BD1398" s="571">
        <f t="shared" si="204"/>
        <v>0</v>
      </c>
      <c r="BE1398" s="571">
        <f t="shared" si="208"/>
        <v>0</v>
      </c>
      <c r="BF1398" s="586">
        <f t="shared" si="205"/>
        <v>0</v>
      </c>
      <c r="BG1398" s="586" t="e">
        <f t="shared" si="206"/>
        <v>#DIV/0!</v>
      </c>
      <c r="BH1398" s="571" t="e">
        <f t="shared" si="207"/>
        <v>#DIV/0!</v>
      </c>
    </row>
    <row r="1399" spans="55:60" s="39" customFormat="1">
      <c r="BC1399" s="573">
        <v>13.88</v>
      </c>
      <c r="BD1399" s="571">
        <f t="shared" si="204"/>
        <v>0</v>
      </c>
      <c r="BE1399" s="571">
        <f t="shared" si="208"/>
        <v>0</v>
      </c>
      <c r="BF1399" s="586">
        <f t="shared" si="205"/>
        <v>0</v>
      </c>
      <c r="BG1399" s="586" t="e">
        <f t="shared" si="206"/>
        <v>#DIV/0!</v>
      </c>
      <c r="BH1399" s="571" t="e">
        <f t="shared" si="207"/>
        <v>#DIV/0!</v>
      </c>
    </row>
    <row r="1400" spans="55:60" s="39" customFormat="1">
      <c r="BC1400" s="573">
        <v>13.89</v>
      </c>
      <c r="BD1400" s="571">
        <f t="shared" si="204"/>
        <v>0</v>
      </c>
      <c r="BE1400" s="571">
        <f t="shared" si="208"/>
        <v>0</v>
      </c>
      <c r="BF1400" s="586">
        <f t="shared" si="205"/>
        <v>0</v>
      </c>
      <c r="BG1400" s="586" t="e">
        <f t="shared" si="206"/>
        <v>#DIV/0!</v>
      </c>
      <c r="BH1400" s="571" t="e">
        <f t="shared" si="207"/>
        <v>#DIV/0!</v>
      </c>
    </row>
    <row r="1401" spans="55:60" s="39" customFormat="1">
      <c r="BC1401" s="573">
        <v>13.9</v>
      </c>
      <c r="BD1401" s="571">
        <f t="shared" si="204"/>
        <v>0</v>
      </c>
      <c r="BE1401" s="571">
        <f t="shared" si="208"/>
        <v>0</v>
      </c>
      <c r="BF1401" s="586">
        <f t="shared" si="205"/>
        <v>0</v>
      </c>
      <c r="BG1401" s="586" t="e">
        <f t="shared" si="206"/>
        <v>#DIV/0!</v>
      </c>
      <c r="BH1401" s="571" t="e">
        <f t="shared" si="207"/>
        <v>#DIV/0!</v>
      </c>
    </row>
    <row r="1402" spans="55:60" s="39" customFormat="1">
      <c r="BC1402" s="573">
        <v>13.91</v>
      </c>
      <c r="BD1402" s="571">
        <f t="shared" si="204"/>
        <v>0</v>
      </c>
      <c r="BE1402" s="571">
        <f t="shared" si="208"/>
        <v>0</v>
      </c>
      <c r="BF1402" s="586">
        <f t="shared" si="205"/>
        <v>0</v>
      </c>
      <c r="BG1402" s="586" t="e">
        <f t="shared" si="206"/>
        <v>#DIV/0!</v>
      </c>
      <c r="BH1402" s="571" t="e">
        <f t="shared" si="207"/>
        <v>#DIV/0!</v>
      </c>
    </row>
    <row r="1403" spans="55:60" s="39" customFormat="1">
      <c r="BC1403" s="573">
        <v>13.92</v>
      </c>
      <c r="BD1403" s="571">
        <f t="shared" si="204"/>
        <v>0</v>
      </c>
      <c r="BE1403" s="571">
        <f t="shared" si="208"/>
        <v>0</v>
      </c>
      <c r="BF1403" s="586">
        <f t="shared" si="205"/>
        <v>0</v>
      </c>
      <c r="BG1403" s="586" t="e">
        <f t="shared" si="206"/>
        <v>#DIV/0!</v>
      </c>
      <c r="BH1403" s="571" t="e">
        <f t="shared" si="207"/>
        <v>#DIV/0!</v>
      </c>
    </row>
    <row r="1404" spans="55:60" s="39" customFormat="1">
      <c r="BC1404" s="573">
        <v>13.93</v>
      </c>
      <c r="BD1404" s="571">
        <f t="shared" si="204"/>
        <v>0</v>
      </c>
      <c r="BE1404" s="571">
        <f t="shared" si="208"/>
        <v>0</v>
      </c>
      <c r="BF1404" s="586">
        <f t="shared" si="205"/>
        <v>0</v>
      </c>
      <c r="BG1404" s="586" t="e">
        <f t="shared" si="206"/>
        <v>#DIV/0!</v>
      </c>
      <c r="BH1404" s="571" t="e">
        <f t="shared" si="207"/>
        <v>#DIV/0!</v>
      </c>
    </row>
    <row r="1405" spans="55:60" s="39" customFormat="1">
      <c r="BC1405" s="573">
        <v>13.94</v>
      </c>
      <c r="BD1405" s="571">
        <f t="shared" si="204"/>
        <v>0</v>
      </c>
      <c r="BE1405" s="571">
        <f t="shared" si="208"/>
        <v>0</v>
      </c>
      <c r="BF1405" s="586">
        <f t="shared" si="205"/>
        <v>0</v>
      </c>
      <c r="BG1405" s="586" t="e">
        <f t="shared" si="206"/>
        <v>#DIV/0!</v>
      </c>
      <c r="BH1405" s="571" t="e">
        <f t="shared" si="207"/>
        <v>#DIV/0!</v>
      </c>
    </row>
    <row r="1406" spans="55:60" s="39" customFormat="1">
      <c r="BC1406" s="573">
        <v>13.95</v>
      </c>
      <c r="BD1406" s="571">
        <f t="shared" si="204"/>
        <v>0</v>
      </c>
      <c r="BE1406" s="571">
        <f t="shared" si="208"/>
        <v>0</v>
      </c>
      <c r="BF1406" s="586">
        <f t="shared" si="205"/>
        <v>0</v>
      </c>
      <c r="BG1406" s="586" t="e">
        <f t="shared" si="206"/>
        <v>#DIV/0!</v>
      </c>
      <c r="BH1406" s="571" t="e">
        <f t="shared" si="207"/>
        <v>#DIV/0!</v>
      </c>
    </row>
    <row r="1407" spans="55:60" s="39" customFormat="1">
      <c r="BC1407" s="573">
        <v>13.96</v>
      </c>
      <c r="BD1407" s="571">
        <f t="shared" si="204"/>
        <v>0</v>
      </c>
      <c r="BE1407" s="571">
        <f t="shared" si="208"/>
        <v>0</v>
      </c>
      <c r="BF1407" s="586">
        <f t="shared" si="205"/>
        <v>0</v>
      </c>
      <c r="BG1407" s="586" t="e">
        <f t="shared" si="206"/>
        <v>#DIV/0!</v>
      </c>
      <c r="BH1407" s="571" t="e">
        <f t="shared" si="207"/>
        <v>#DIV/0!</v>
      </c>
    </row>
    <row r="1408" spans="55:60" s="39" customFormat="1">
      <c r="BC1408" s="573">
        <v>13.97</v>
      </c>
      <c r="BD1408" s="571">
        <f t="shared" si="204"/>
        <v>0</v>
      </c>
      <c r="BE1408" s="571">
        <f t="shared" si="208"/>
        <v>0</v>
      </c>
      <c r="BF1408" s="586">
        <f t="shared" si="205"/>
        <v>0</v>
      </c>
      <c r="BG1408" s="586" t="e">
        <f t="shared" si="206"/>
        <v>#DIV/0!</v>
      </c>
      <c r="BH1408" s="571" t="e">
        <f t="shared" si="207"/>
        <v>#DIV/0!</v>
      </c>
    </row>
    <row r="1409" spans="55:60" s="39" customFormat="1">
      <c r="BC1409" s="573">
        <v>13.98</v>
      </c>
      <c r="BD1409" s="571">
        <f t="shared" si="204"/>
        <v>0</v>
      </c>
      <c r="BE1409" s="571">
        <f t="shared" si="208"/>
        <v>0</v>
      </c>
      <c r="BF1409" s="586">
        <f t="shared" si="205"/>
        <v>0</v>
      </c>
      <c r="BG1409" s="586" t="e">
        <f t="shared" si="206"/>
        <v>#DIV/0!</v>
      </c>
      <c r="BH1409" s="571" t="e">
        <f t="shared" si="207"/>
        <v>#DIV/0!</v>
      </c>
    </row>
    <row r="1410" spans="55:60" s="39" customFormat="1">
      <c r="BC1410" s="573">
        <v>13.99</v>
      </c>
      <c r="BD1410" s="571">
        <f t="shared" si="204"/>
        <v>0</v>
      </c>
      <c r="BE1410" s="571">
        <f t="shared" si="208"/>
        <v>0</v>
      </c>
      <c r="BF1410" s="586">
        <f t="shared" si="205"/>
        <v>0</v>
      </c>
      <c r="BG1410" s="586" t="e">
        <f t="shared" si="206"/>
        <v>#DIV/0!</v>
      </c>
      <c r="BH1410" s="571" t="e">
        <f t="shared" si="207"/>
        <v>#DIV/0!</v>
      </c>
    </row>
    <row r="1411" spans="55:60" s="39" customFormat="1">
      <c r="BC1411" s="573">
        <v>14</v>
      </c>
      <c r="BD1411" s="571">
        <f t="shared" si="204"/>
        <v>0</v>
      </c>
      <c r="BE1411" s="571">
        <f t="shared" si="208"/>
        <v>0</v>
      </c>
      <c r="BF1411" s="586">
        <f t="shared" si="205"/>
        <v>0</v>
      </c>
      <c r="BG1411" s="586" t="e">
        <f t="shared" si="206"/>
        <v>#DIV/0!</v>
      </c>
      <c r="BH1411" s="571" t="e">
        <f t="shared" si="207"/>
        <v>#DIV/0!</v>
      </c>
    </row>
    <row r="1412" spans="55:60" s="39" customFormat="1">
      <c r="BC1412" s="573">
        <v>14.01</v>
      </c>
      <c r="BD1412" s="571">
        <f t="shared" si="204"/>
        <v>0</v>
      </c>
      <c r="BE1412" s="571">
        <f t="shared" si="208"/>
        <v>0</v>
      </c>
      <c r="BF1412" s="586">
        <f t="shared" si="205"/>
        <v>0</v>
      </c>
      <c r="BG1412" s="586" t="e">
        <f t="shared" si="206"/>
        <v>#DIV/0!</v>
      </c>
      <c r="BH1412" s="571" t="e">
        <f t="shared" si="207"/>
        <v>#DIV/0!</v>
      </c>
    </row>
    <row r="1413" spans="55:60" s="39" customFormat="1">
      <c r="BC1413" s="573">
        <v>14.02</v>
      </c>
      <c r="BD1413" s="571">
        <f t="shared" si="204"/>
        <v>0</v>
      </c>
      <c r="BE1413" s="571">
        <f t="shared" si="208"/>
        <v>0</v>
      </c>
      <c r="BF1413" s="586">
        <f t="shared" si="205"/>
        <v>0</v>
      </c>
      <c r="BG1413" s="586" t="e">
        <f t="shared" si="206"/>
        <v>#DIV/0!</v>
      </c>
      <c r="BH1413" s="571" t="e">
        <f t="shared" si="207"/>
        <v>#DIV/0!</v>
      </c>
    </row>
    <row r="1414" spans="55:60" s="39" customFormat="1">
      <c r="BC1414" s="573">
        <v>14.03</v>
      </c>
      <c r="BD1414" s="571">
        <f t="shared" si="204"/>
        <v>0</v>
      </c>
      <c r="BE1414" s="571">
        <f t="shared" si="208"/>
        <v>0</v>
      </c>
      <c r="BF1414" s="586">
        <f t="shared" si="205"/>
        <v>0</v>
      </c>
      <c r="BG1414" s="586" t="e">
        <f t="shared" si="206"/>
        <v>#DIV/0!</v>
      </c>
      <c r="BH1414" s="571" t="e">
        <f t="shared" si="207"/>
        <v>#DIV/0!</v>
      </c>
    </row>
    <row r="1415" spans="55:60" s="39" customFormat="1">
      <c r="BC1415" s="573">
        <v>14.04</v>
      </c>
      <c r="BD1415" s="571">
        <f t="shared" si="204"/>
        <v>0</v>
      </c>
      <c r="BE1415" s="571">
        <f t="shared" si="208"/>
        <v>0</v>
      </c>
      <c r="BF1415" s="586">
        <f t="shared" si="205"/>
        <v>0</v>
      </c>
      <c r="BG1415" s="586" t="e">
        <f t="shared" si="206"/>
        <v>#DIV/0!</v>
      </c>
      <c r="BH1415" s="571" t="e">
        <f t="shared" si="207"/>
        <v>#DIV/0!</v>
      </c>
    </row>
    <row r="1416" spans="55:60" s="39" customFormat="1">
      <c r="BC1416" s="573">
        <v>14.05</v>
      </c>
      <c r="BD1416" s="571">
        <f t="shared" si="204"/>
        <v>0</v>
      </c>
      <c r="BE1416" s="571">
        <f t="shared" si="208"/>
        <v>0</v>
      </c>
      <c r="BF1416" s="586">
        <f t="shared" si="205"/>
        <v>0</v>
      </c>
      <c r="BG1416" s="586" t="e">
        <f t="shared" si="206"/>
        <v>#DIV/0!</v>
      </c>
      <c r="BH1416" s="571" t="e">
        <f t="shared" si="207"/>
        <v>#DIV/0!</v>
      </c>
    </row>
    <row r="1417" spans="55:60" s="39" customFormat="1">
      <c r="BC1417" s="573">
        <v>14.06</v>
      </c>
      <c r="BD1417" s="571">
        <f t="shared" si="204"/>
        <v>0</v>
      </c>
      <c r="BE1417" s="571">
        <f t="shared" si="208"/>
        <v>0</v>
      </c>
      <c r="BF1417" s="586">
        <f t="shared" si="205"/>
        <v>0</v>
      </c>
      <c r="BG1417" s="586" t="e">
        <f t="shared" si="206"/>
        <v>#DIV/0!</v>
      </c>
      <c r="BH1417" s="571" t="e">
        <f t="shared" si="207"/>
        <v>#DIV/0!</v>
      </c>
    </row>
    <row r="1418" spans="55:60" s="39" customFormat="1">
      <c r="BC1418" s="573">
        <v>14.07</v>
      </c>
      <c r="BD1418" s="571">
        <f t="shared" si="204"/>
        <v>0</v>
      </c>
      <c r="BE1418" s="571">
        <f t="shared" si="208"/>
        <v>0</v>
      </c>
      <c r="BF1418" s="586">
        <f t="shared" si="205"/>
        <v>0</v>
      </c>
      <c r="BG1418" s="586" t="e">
        <f t="shared" si="206"/>
        <v>#DIV/0!</v>
      </c>
      <c r="BH1418" s="571" t="e">
        <f t="shared" si="207"/>
        <v>#DIV/0!</v>
      </c>
    </row>
    <row r="1419" spans="55:60" s="39" customFormat="1">
      <c r="BC1419" s="573">
        <v>14.08</v>
      </c>
      <c r="BD1419" s="571">
        <f t="shared" si="204"/>
        <v>0</v>
      </c>
      <c r="BE1419" s="571">
        <f t="shared" si="208"/>
        <v>0</v>
      </c>
      <c r="BF1419" s="586">
        <f t="shared" si="205"/>
        <v>0</v>
      </c>
      <c r="BG1419" s="586" t="e">
        <f t="shared" si="206"/>
        <v>#DIV/0!</v>
      </c>
      <c r="BH1419" s="571" t="e">
        <f t="shared" si="207"/>
        <v>#DIV/0!</v>
      </c>
    </row>
    <row r="1420" spans="55:60" s="39" customFormat="1">
      <c r="BC1420" s="573">
        <v>14.09</v>
      </c>
      <c r="BD1420" s="571">
        <f t="shared" ref="BD1420:BD1483" si="209">$AU$15/BC1420</f>
        <v>0</v>
      </c>
      <c r="BE1420" s="571">
        <f t="shared" si="208"/>
        <v>0</v>
      </c>
      <c r="BF1420" s="586">
        <f t="shared" ref="BF1420:BF1483" si="210">BC1420*(BE1420/1000)/$AO$12</f>
        <v>0</v>
      </c>
      <c r="BG1420" s="586" t="e">
        <f t="shared" ref="BG1420:BG1483" si="211">POWER((1/(-1.8*LOG((6.9/BF1420+POWER((($P$7/BE1420)/3.71),1.11)),10))),2)</f>
        <v>#DIV/0!</v>
      </c>
      <c r="BH1420" s="571" t="e">
        <f t="shared" ref="BH1420:BH1483" si="212">BG1420*0.5*$P$6*16*$AU$15*$AU$15/(POWER(PI(),2)*POWER((BE1420/1000),5))</f>
        <v>#DIV/0!</v>
      </c>
    </row>
    <row r="1421" spans="55:60" s="39" customFormat="1">
      <c r="BC1421" s="573">
        <v>14.1</v>
      </c>
      <c r="BD1421" s="571">
        <f t="shared" si="209"/>
        <v>0</v>
      </c>
      <c r="BE1421" s="571">
        <f t="shared" ref="BE1421:BE1484" si="213">((BD1421/PI())^0.5)*2*1000</f>
        <v>0</v>
      </c>
      <c r="BF1421" s="586">
        <f t="shared" si="210"/>
        <v>0</v>
      </c>
      <c r="BG1421" s="586" t="e">
        <f t="shared" si="211"/>
        <v>#DIV/0!</v>
      </c>
      <c r="BH1421" s="571" t="e">
        <f t="shared" si="212"/>
        <v>#DIV/0!</v>
      </c>
    </row>
    <row r="1422" spans="55:60" s="39" customFormat="1">
      <c r="BC1422" s="573">
        <v>14.11</v>
      </c>
      <c r="BD1422" s="571">
        <f t="shared" si="209"/>
        <v>0</v>
      </c>
      <c r="BE1422" s="571">
        <f t="shared" si="213"/>
        <v>0</v>
      </c>
      <c r="BF1422" s="586">
        <f t="shared" si="210"/>
        <v>0</v>
      </c>
      <c r="BG1422" s="586" t="e">
        <f t="shared" si="211"/>
        <v>#DIV/0!</v>
      </c>
      <c r="BH1422" s="571" t="e">
        <f t="shared" si="212"/>
        <v>#DIV/0!</v>
      </c>
    </row>
    <row r="1423" spans="55:60" s="39" customFormat="1">
      <c r="BC1423" s="573">
        <v>14.12</v>
      </c>
      <c r="BD1423" s="571">
        <f t="shared" si="209"/>
        <v>0</v>
      </c>
      <c r="BE1423" s="571">
        <f t="shared" si="213"/>
        <v>0</v>
      </c>
      <c r="BF1423" s="586">
        <f t="shared" si="210"/>
        <v>0</v>
      </c>
      <c r="BG1423" s="586" t="e">
        <f t="shared" si="211"/>
        <v>#DIV/0!</v>
      </c>
      <c r="BH1423" s="571" t="e">
        <f t="shared" si="212"/>
        <v>#DIV/0!</v>
      </c>
    </row>
    <row r="1424" spans="55:60" s="39" customFormat="1">
      <c r="BC1424" s="573">
        <v>14.13</v>
      </c>
      <c r="BD1424" s="571">
        <f t="shared" si="209"/>
        <v>0</v>
      </c>
      <c r="BE1424" s="571">
        <f t="shared" si="213"/>
        <v>0</v>
      </c>
      <c r="BF1424" s="586">
        <f t="shared" si="210"/>
        <v>0</v>
      </c>
      <c r="BG1424" s="586" t="e">
        <f t="shared" si="211"/>
        <v>#DIV/0!</v>
      </c>
      <c r="BH1424" s="571" t="e">
        <f t="shared" si="212"/>
        <v>#DIV/0!</v>
      </c>
    </row>
    <row r="1425" spans="55:60" s="39" customFormat="1">
      <c r="BC1425" s="573">
        <v>14.14</v>
      </c>
      <c r="BD1425" s="571">
        <f t="shared" si="209"/>
        <v>0</v>
      </c>
      <c r="BE1425" s="571">
        <f t="shared" si="213"/>
        <v>0</v>
      </c>
      <c r="BF1425" s="586">
        <f t="shared" si="210"/>
        <v>0</v>
      </c>
      <c r="BG1425" s="586" t="e">
        <f t="shared" si="211"/>
        <v>#DIV/0!</v>
      </c>
      <c r="BH1425" s="571" t="e">
        <f t="shared" si="212"/>
        <v>#DIV/0!</v>
      </c>
    </row>
    <row r="1426" spans="55:60" s="39" customFormat="1">
      <c r="BC1426" s="573">
        <v>14.15</v>
      </c>
      <c r="BD1426" s="571">
        <f t="shared" si="209"/>
        <v>0</v>
      </c>
      <c r="BE1426" s="571">
        <f t="shared" si="213"/>
        <v>0</v>
      </c>
      <c r="BF1426" s="586">
        <f t="shared" si="210"/>
        <v>0</v>
      </c>
      <c r="BG1426" s="586" t="e">
        <f t="shared" si="211"/>
        <v>#DIV/0!</v>
      </c>
      <c r="BH1426" s="571" t="e">
        <f t="shared" si="212"/>
        <v>#DIV/0!</v>
      </c>
    </row>
    <row r="1427" spans="55:60" s="39" customFormat="1">
      <c r="BC1427" s="573">
        <v>14.16</v>
      </c>
      <c r="BD1427" s="571">
        <f t="shared" si="209"/>
        <v>0</v>
      </c>
      <c r="BE1427" s="571">
        <f t="shared" si="213"/>
        <v>0</v>
      </c>
      <c r="BF1427" s="586">
        <f t="shared" si="210"/>
        <v>0</v>
      </c>
      <c r="BG1427" s="586" t="e">
        <f t="shared" si="211"/>
        <v>#DIV/0!</v>
      </c>
      <c r="BH1427" s="571" t="e">
        <f t="shared" si="212"/>
        <v>#DIV/0!</v>
      </c>
    </row>
    <row r="1428" spans="55:60" s="39" customFormat="1">
      <c r="BC1428" s="573">
        <v>14.17</v>
      </c>
      <c r="BD1428" s="571">
        <f t="shared" si="209"/>
        <v>0</v>
      </c>
      <c r="BE1428" s="571">
        <f t="shared" si="213"/>
        <v>0</v>
      </c>
      <c r="BF1428" s="586">
        <f t="shared" si="210"/>
        <v>0</v>
      </c>
      <c r="BG1428" s="586" t="e">
        <f t="shared" si="211"/>
        <v>#DIV/0!</v>
      </c>
      <c r="BH1428" s="571" t="e">
        <f t="shared" si="212"/>
        <v>#DIV/0!</v>
      </c>
    </row>
    <row r="1429" spans="55:60" s="39" customFormat="1">
      <c r="BC1429" s="573">
        <v>14.18</v>
      </c>
      <c r="BD1429" s="571">
        <f t="shared" si="209"/>
        <v>0</v>
      </c>
      <c r="BE1429" s="571">
        <f t="shared" si="213"/>
        <v>0</v>
      </c>
      <c r="BF1429" s="586">
        <f t="shared" si="210"/>
        <v>0</v>
      </c>
      <c r="BG1429" s="586" t="e">
        <f t="shared" si="211"/>
        <v>#DIV/0!</v>
      </c>
      <c r="BH1429" s="571" t="e">
        <f t="shared" si="212"/>
        <v>#DIV/0!</v>
      </c>
    </row>
    <row r="1430" spans="55:60" s="39" customFormat="1">
      <c r="BC1430" s="573">
        <v>14.19</v>
      </c>
      <c r="BD1430" s="571">
        <f t="shared" si="209"/>
        <v>0</v>
      </c>
      <c r="BE1430" s="571">
        <f t="shared" si="213"/>
        <v>0</v>
      </c>
      <c r="BF1430" s="586">
        <f t="shared" si="210"/>
        <v>0</v>
      </c>
      <c r="BG1430" s="586" t="e">
        <f t="shared" si="211"/>
        <v>#DIV/0!</v>
      </c>
      <c r="BH1430" s="571" t="e">
        <f t="shared" si="212"/>
        <v>#DIV/0!</v>
      </c>
    </row>
    <row r="1431" spans="55:60" s="39" customFormat="1">
      <c r="BC1431" s="573">
        <v>14.2</v>
      </c>
      <c r="BD1431" s="571">
        <f t="shared" si="209"/>
        <v>0</v>
      </c>
      <c r="BE1431" s="571">
        <f t="shared" si="213"/>
        <v>0</v>
      </c>
      <c r="BF1431" s="586">
        <f t="shared" si="210"/>
        <v>0</v>
      </c>
      <c r="BG1431" s="586" t="e">
        <f t="shared" si="211"/>
        <v>#DIV/0!</v>
      </c>
      <c r="BH1431" s="571" t="e">
        <f t="shared" si="212"/>
        <v>#DIV/0!</v>
      </c>
    </row>
    <row r="1432" spans="55:60" s="39" customFormat="1">
      <c r="BC1432" s="573">
        <v>14.21</v>
      </c>
      <c r="BD1432" s="571">
        <f t="shared" si="209"/>
        <v>0</v>
      </c>
      <c r="BE1432" s="571">
        <f t="shared" si="213"/>
        <v>0</v>
      </c>
      <c r="BF1432" s="586">
        <f t="shared" si="210"/>
        <v>0</v>
      </c>
      <c r="BG1432" s="586" t="e">
        <f t="shared" si="211"/>
        <v>#DIV/0!</v>
      </c>
      <c r="BH1432" s="571" t="e">
        <f t="shared" si="212"/>
        <v>#DIV/0!</v>
      </c>
    </row>
    <row r="1433" spans="55:60" s="39" customFormat="1">
      <c r="BC1433" s="573">
        <v>14.22</v>
      </c>
      <c r="BD1433" s="571">
        <f t="shared" si="209"/>
        <v>0</v>
      </c>
      <c r="BE1433" s="571">
        <f t="shared" si="213"/>
        <v>0</v>
      </c>
      <c r="BF1433" s="586">
        <f t="shared" si="210"/>
        <v>0</v>
      </c>
      <c r="BG1433" s="586" t="e">
        <f t="shared" si="211"/>
        <v>#DIV/0!</v>
      </c>
      <c r="BH1433" s="571" t="e">
        <f t="shared" si="212"/>
        <v>#DIV/0!</v>
      </c>
    </row>
    <row r="1434" spans="55:60" s="39" customFormat="1">
      <c r="BC1434" s="573">
        <v>14.23</v>
      </c>
      <c r="BD1434" s="571">
        <f t="shared" si="209"/>
        <v>0</v>
      </c>
      <c r="BE1434" s="571">
        <f t="shared" si="213"/>
        <v>0</v>
      </c>
      <c r="BF1434" s="586">
        <f t="shared" si="210"/>
        <v>0</v>
      </c>
      <c r="BG1434" s="586" t="e">
        <f t="shared" si="211"/>
        <v>#DIV/0!</v>
      </c>
      <c r="BH1434" s="571" t="e">
        <f t="shared" si="212"/>
        <v>#DIV/0!</v>
      </c>
    </row>
    <row r="1435" spans="55:60" s="39" customFormat="1">
      <c r="BC1435" s="573">
        <v>14.24</v>
      </c>
      <c r="BD1435" s="571">
        <f t="shared" si="209"/>
        <v>0</v>
      </c>
      <c r="BE1435" s="571">
        <f t="shared" si="213"/>
        <v>0</v>
      </c>
      <c r="BF1435" s="586">
        <f t="shared" si="210"/>
        <v>0</v>
      </c>
      <c r="BG1435" s="586" t="e">
        <f t="shared" si="211"/>
        <v>#DIV/0!</v>
      </c>
      <c r="BH1435" s="571" t="e">
        <f t="shared" si="212"/>
        <v>#DIV/0!</v>
      </c>
    </row>
    <row r="1436" spans="55:60" s="39" customFormat="1">
      <c r="BC1436" s="573">
        <v>14.25</v>
      </c>
      <c r="BD1436" s="571">
        <f t="shared" si="209"/>
        <v>0</v>
      </c>
      <c r="BE1436" s="571">
        <f t="shared" si="213"/>
        <v>0</v>
      </c>
      <c r="BF1436" s="586">
        <f t="shared" si="210"/>
        <v>0</v>
      </c>
      <c r="BG1436" s="586" t="e">
        <f t="shared" si="211"/>
        <v>#DIV/0!</v>
      </c>
      <c r="BH1436" s="571" t="e">
        <f t="shared" si="212"/>
        <v>#DIV/0!</v>
      </c>
    </row>
    <row r="1437" spans="55:60" s="39" customFormat="1">
      <c r="BC1437" s="573">
        <v>14.26</v>
      </c>
      <c r="BD1437" s="571">
        <f t="shared" si="209"/>
        <v>0</v>
      </c>
      <c r="BE1437" s="571">
        <f t="shared" si="213"/>
        <v>0</v>
      </c>
      <c r="BF1437" s="586">
        <f t="shared" si="210"/>
        <v>0</v>
      </c>
      <c r="BG1437" s="586" t="e">
        <f t="shared" si="211"/>
        <v>#DIV/0!</v>
      </c>
      <c r="BH1437" s="571" t="e">
        <f t="shared" si="212"/>
        <v>#DIV/0!</v>
      </c>
    </row>
    <row r="1438" spans="55:60" s="39" customFormat="1">
      <c r="BC1438" s="573">
        <v>14.27</v>
      </c>
      <c r="BD1438" s="571">
        <f t="shared" si="209"/>
        <v>0</v>
      </c>
      <c r="BE1438" s="571">
        <f t="shared" si="213"/>
        <v>0</v>
      </c>
      <c r="BF1438" s="586">
        <f t="shared" si="210"/>
        <v>0</v>
      </c>
      <c r="BG1438" s="586" t="e">
        <f t="shared" si="211"/>
        <v>#DIV/0!</v>
      </c>
      <c r="BH1438" s="571" t="e">
        <f t="shared" si="212"/>
        <v>#DIV/0!</v>
      </c>
    </row>
    <row r="1439" spans="55:60" s="39" customFormat="1">
      <c r="BC1439" s="573">
        <v>14.28</v>
      </c>
      <c r="BD1439" s="571">
        <f t="shared" si="209"/>
        <v>0</v>
      </c>
      <c r="BE1439" s="571">
        <f t="shared" si="213"/>
        <v>0</v>
      </c>
      <c r="BF1439" s="586">
        <f t="shared" si="210"/>
        <v>0</v>
      </c>
      <c r="BG1439" s="586" t="e">
        <f t="shared" si="211"/>
        <v>#DIV/0!</v>
      </c>
      <c r="BH1439" s="571" t="e">
        <f t="shared" si="212"/>
        <v>#DIV/0!</v>
      </c>
    </row>
    <row r="1440" spans="55:60" s="39" customFormat="1">
      <c r="BC1440" s="573">
        <v>14.29</v>
      </c>
      <c r="BD1440" s="571">
        <f t="shared" si="209"/>
        <v>0</v>
      </c>
      <c r="BE1440" s="571">
        <f t="shared" si="213"/>
        <v>0</v>
      </c>
      <c r="BF1440" s="586">
        <f t="shared" si="210"/>
        <v>0</v>
      </c>
      <c r="BG1440" s="586" t="e">
        <f t="shared" si="211"/>
        <v>#DIV/0!</v>
      </c>
      <c r="BH1440" s="571" t="e">
        <f t="shared" si="212"/>
        <v>#DIV/0!</v>
      </c>
    </row>
    <row r="1441" spans="55:60" s="39" customFormat="1">
      <c r="BC1441" s="573">
        <v>14.3</v>
      </c>
      <c r="BD1441" s="571">
        <f t="shared" si="209"/>
        <v>0</v>
      </c>
      <c r="BE1441" s="571">
        <f t="shared" si="213"/>
        <v>0</v>
      </c>
      <c r="BF1441" s="586">
        <f t="shared" si="210"/>
        <v>0</v>
      </c>
      <c r="BG1441" s="586" t="e">
        <f t="shared" si="211"/>
        <v>#DIV/0!</v>
      </c>
      <c r="BH1441" s="571" t="e">
        <f t="shared" si="212"/>
        <v>#DIV/0!</v>
      </c>
    </row>
    <row r="1442" spans="55:60" s="39" customFormat="1">
      <c r="BC1442" s="573">
        <v>14.31</v>
      </c>
      <c r="BD1442" s="571">
        <f t="shared" si="209"/>
        <v>0</v>
      </c>
      <c r="BE1442" s="571">
        <f t="shared" si="213"/>
        <v>0</v>
      </c>
      <c r="BF1442" s="586">
        <f t="shared" si="210"/>
        <v>0</v>
      </c>
      <c r="BG1442" s="586" t="e">
        <f t="shared" si="211"/>
        <v>#DIV/0!</v>
      </c>
      <c r="BH1442" s="571" t="e">
        <f t="shared" si="212"/>
        <v>#DIV/0!</v>
      </c>
    </row>
    <row r="1443" spans="55:60" s="39" customFormat="1">
      <c r="BC1443" s="573">
        <v>14.32</v>
      </c>
      <c r="BD1443" s="571">
        <f t="shared" si="209"/>
        <v>0</v>
      </c>
      <c r="BE1443" s="571">
        <f t="shared" si="213"/>
        <v>0</v>
      </c>
      <c r="BF1443" s="586">
        <f t="shared" si="210"/>
        <v>0</v>
      </c>
      <c r="BG1443" s="586" t="e">
        <f t="shared" si="211"/>
        <v>#DIV/0!</v>
      </c>
      <c r="BH1443" s="571" t="e">
        <f t="shared" si="212"/>
        <v>#DIV/0!</v>
      </c>
    </row>
    <row r="1444" spans="55:60" s="39" customFormat="1">
      <c r="BC1444" s="573">
        <v>14.33</v>
      </c>
      <c r="BD1444" s="571">
        <f t="shared" si="209"/>
        <v>0</v>
      </c>
      <c r="BE1444" s="571">
        <f t="shared" si="213"/>
        <v>0</v>
      </c>
      <c r="BF1444" s="586">
        <f t="shared" si="210"/>
        <v>0</v>
      </c>
      <c r="BG1444" s="586" t="e">
        <f t="shared" si="211"/>
        <v>#DIV/0!</v>
      </c>
      <c r="BH1444" s="571" t="e">
        <f t="shared" si="212"/>
        <v>#DIV/0!</v>
      </c>
    </row>
    <row r="1445" spans="55:60" s="39" customFormat="1">
      <c r="BC1445" s="573">
        <v>14.34</v>
      </c>
      <c r="BD1445" s="571">
        <f t="shared" si="209"/>
        <v>0</v>
      </c>
      <c r="BE1445" s="571">
        <f t="shared" si="213"/>
        <v>0</v>
      </c>
      <c r="BF1445" s="586">
        <f t="shared" si="210"/>
        <v>0</v>
      </c>
      <c r="BG1445" s="586" t="e">
        <f t="shared" si="211"/>
        <v>#DIV/0!</v>
      </c>
      <c r="BH1445" s="571" t="e">
        <f t="shared" si="212"/>
        <v>#DIV/0!</v>
      </c>
    </row>
    <row r="1446" spans="55:60" s="39" customFormat="1">
      <c r="BC1446" s="573">
        <v>14.35</v>
      </c>
      <c r="BD1446" s="571">
        <f t="shared" si="209"/>
        <v>0</v>
      </c>
      <c r="BE1446" s="571">
        <f t="shared" si="213"/>
        <v>0</v>
      </c>
      <c r="BF1446" s="586">
        <f t="shared" si="210"/>
        <v>0</v>
      </c>
      <c r="BG1446" s="586" t="e">
        <f t="shared" si="211"/>
        <v>#DIV/0!</v>
      </c>
      <c r="BH1446" s="571" t="e">
        <f t="shared" si="212"/>
        <v>#DIV/0!</v>
      </c>
    </row>
    <row r="1447" spans="55:60" s="39" customFormat="1">
      <c r="BC1447" s="573">
        <v>14.36</v>
      </c>
      <c r="BD1447" s="571">
        <f t="shared" si="209"/>
        <v>0</v>
      </c>
      <c r="BE1447" s="571">
        <f t="shared" si="213"/>
        <v>0</v>
      </c>
      <c r="BF1447" s="586">
        <f t="shared" si="210"/>
        <v>0</v>
      </c>
      <c r="BG1447" s="586" t="e">
        <f t="shared" si="211"/>
        <v>#DIV/0!</v>
      </c>
      <c r="BH1447" s="571" t="e">
        <f t="shared" si="212"/>
        <v>#DIV/0!</v>
      </c>
    </row>
    <row r="1448" spans="55:60" s="39" customFormat="1">
      <c r="BC1448" s="573">
        <v>14.37</v>
      </c>
      <c r="BD1448" s="571">
        <f t="shared" si="209"/>
        <v>0</v>
      </c>
      <c r="BE1448" s="571">
        <f t="shared" si="213"/>
        <v>0</v>
      </c>
      <c r="BF1448" s="586">
        <f t="shared" si="210"/>
        <v>0</v>
      </c>
      <c r="BG1448" s="586" t="e">
        <f t="shared" si="211"/>
        <v>#DIV/0!</v>
      </c>
      <c r="BH1448" s="571" t="e">
        <f t="shared" si="212"/>
        <v>#DIV/0!</v>
      </c>
    </row>
    <row r="1449" spans="55:60" s="39" customFormat="1">
      <c r="BC1449" s="573">
        <v>14.38</v>
      </c>
      <c r="BD1449" s="571">
        <f t="shared" si="209"/>
        <v>0</v>
      </c>
      <c r="BE1449" s="571">
        <f t="shared" si="213"/>
        <v>0</v>
      </c>
      <c r="BF1449" s="586">
        <f t="shared" si="210"/>
        <v>0</v>
      </c>
      <c r="BG1449" s="586" t="e">
        <f t="shared" si="211"/>
        <v>#DIV/0!</v>
      </c>
      <c r="BH1449" s="571" t="e">
        <f t="shared" si="212"/>
        <v>#DIV/0!</v>
      </c>
    </row>
    <row r="1450" spans="55:60" s="39" customFormat="1">
      <c r="BC1450" s="573">
        <v>14.39</v>
      </c>
      <c r="BD1450" s="571">
        <f t="shared" si="209"/>
        <v>0</v>
      </c>
      <c r="BE1450" s="571">
        <f t="shared" si="213"/>
        <v>0</v>
      </c>
      <c r="BF1450" s="586">
        <f t="shared" si="210"/>
        <v>0</v>
      </c>
      <c r="BG1450" s="586" t="e">
        <f t="shared" si="211"/>
        <v>#DIV/0!</v>
      </c>
      <c r="BH1450" s="571" t="e">
        <f t="shared" si="212"/>
        <v>#DIV/0!</v>
      </c>
    </row>
    <row r="1451" spans="55:60" s="39" customFormat="1">
      <c r="BC1451" s="573">
        <v>14.4</v>
      </c>
      <c r="BD1451" s="571">
        <f t="shared" si="209"/>
        <v>0</v>
      </c>
      <c r="BE1451" s="571">
        <f t="shared" si="213"/>
        <v>0</v>
      </c>
      <c r="BF1451" s="586">
        <f t="shared" si="210"/>
        <v>0</v>
      </c>
      <c r="BG1451" s="586" t="e">
        <f t="shared" si="211"/>
        <v>#DIV/0!</v>
      </c>
      <c r="BH1451" s="571" t="e">
        <f t="shared" si="212"/>
        <v>#DIV/0!</v>
      </c>
    </row>
    <row r="1452" spans="55:60" s="39" customFormat="1">
      <c r="BC1452" s="573">
        <v>14.41</v>
      </c>
      <c r="BD1452" s="571">
        <f t="shared" si="209"/>
        <v>0</v>
      </c>
      <c r="BE1452" s="571">
        <f t="shared" si="213"/>
        <v>0</v>
      </c>
      <c r="BF1452" s="586">
        <f t="shared" si="210"/>
        <v>0</v>
      </c>
      <c r="BG1452" s="586" t="e">
        <f t="shared" si="211"/>
        <v>#DIV/0!</v>
      </c>
      <c r="BH1452" s="571" t="e">
        <f t="shared" si="212"/>
        <v>#DIV/0!</v>
      </c>
    </row>
    <row r="1453" spans="55:60" s="39" customFormat="1">
      <c r="BC1453" s="573">
        <v>14.42</v>
      </c>
      <c r="BD1453" s="571">
        <f t="shared" si="209"/>
        <v>0</v>
      </c>
      <c r="BE1453" s="571">
        <f t="shared" si="213"/>
        <v>0</v>
      </c>
      <c r="BF1453" s="586">
        <f t="shared" si="210"/>
        <v>0</v>
      </c>
      <c r="BG1453" s="586" t="e">
        <f t="shared" si="211"/>
        <v>#DIV/0!</v>
      </c>
      <c r="BH1453" s="571" t="e">
        <f t="shared" si="212"/>
        <v>#DIV/0!</v>
      </c>
    </row>
    <row r="1454" spans="55:60" s="39" customFormat="1">
      <c r="BC1454" s="573">
        <v>14.43</v>
      </c>
      <c r="BD1454" s="571">
        <f t="shared" si="209"/>
        <v>0</v>
      </c>
      <c r="BE1454" s="571">
        <f t="shared" si="213"/>
        <v>0</v>
      </c>
      <c r="BF1454" s="586">
        <f t="shared" si="210"/>
        <v>0</v>
      </c>
      <c r="BG1454" s="586" t="e">
        <f t="shared" si="211"/>
        <v>#DIV/0!</v>
      </c>
      <c r="BH1454" s="571" t="e">
        <f t="shared" si="212"/>
        <v>#DIV/0!</v>
      </c>
    </row>
    <row r="1455" spans="55:60" s="39" customFormat="1">
      <c r="BC1455" s="573">
        <v>14.44</v>
      </c>
      <c r="BD1455" s="571">
        <f t="shared" si="209"/>
        <v>0</v>
      </c>
      <c r="BE1455" s="571">
        <f t="shared" si="213"/>
        <v>0</v>
      </c>
      <c r="BF1455" s="586">
        <f t="shared" si="210"/>
        <v>0</v>
      </c>
      <c r="BG1455" s="586" t="e">
        <f t="shared" si="211"/>
        <v>#DIV/0!</v>
      </c>
      <c r="BH1455" s="571" t="e">
        <f t="shared" si="212"/>
        <v>#DIV/0!</v>
      </c>
    </row>
    <row r="1456" spans="55:60" s="39" customFormat="1">
      <c r="BC1456" s="573">
        <v>14.45</v>
      </c>
      <c r="BD1456" s="571">
        <f t="shared" si="209"/>
        <v>0</v>
      </c>
      <c r="BE1456" s="571">
        <f t="shared" si="213"/>
        <v>0</v>
      </c>
      <c r="BF1456" s="586">
        <f t="shared" si="210"/>
        <v>0</v>
      </c>
      <c r="BG1456" s="586" t="e">
        <f t="shared" si="211"/>
        <v>#DIV/0!</v>
      </c>
      <c r="BH1456" s="571" t="e">
        <f t="shared" si="212"/>
        <v>#DIV/0!</v>
      </c>
    </row>
    <row r="1457" spans="55:60" s="39" customFormat="1">
      <c r="BC1457" s="573">
        <v>14.46</v>
      </c>
      <c r="BD1457" s="571">
        <f t="shared" si="209"/>
        <v>0</v>
      </c>
      <c r="BE1457" s="571">
        <f t="shared" si="213"/>
        <v>0</v>
      </c>
      <c r="BF1457" s="586">
        <f t="shared" si="210"/>
        <v>0</v>
      </c>
      <c r="BG1457" s="586" t="e">
        <f t="shared" si="211"/>
        <v>#DIV/0!</v>
      </c>
      <c r="BH1457" s="571" t="e">
        <f t="shared" si="212"/>
        <v>#DIV/0!</v>
      </c>
    </row>
    <row r="1458" spans="55:60" s="39" customFormat="1">
      <c r="BC1458" s="573">
        <v>14.47</v>
      </c>
      <c r="BD1458" s="571">
        <f t="shared" si="209"/>
        <v>0</v>
      </c>
      <c r="BE1458" s="571">
        <f t="shared" si="213"/>
        <v>0</v>
      </c>
      <c r="BF1458" s="586">
        <f t="shared" si="210"/>
        <v>0</v>
      </c>
      <c r="BG1458" s="586" t="e">
        <f t="shared" si="211"/>
        <v>#DIV/0!</v>
      </c>
      <c r="BH1458" s="571" t="e">
        <f t="shared" si="212"/>
        <v>#DIV/0!</v>
      </c>
    </row>
    <row r="1459" spans="55:60" s="39" customFormat="1">
      <c r="BC1459" s="573">
        <v>14.48</v>
      </c>
      <c r="BD1459" s="571">
        <f t="shared" si="209"/>
        <v>0</v>
      </c>
      <c r="BE1459" s="571">
        <f t="shared" si="213"/>
        <v>0</v>
      </c>
      <c r="BF1459" s="586">
        <f t="shared" si="210"/>
        <v>0</v>
      </c>
      <c r="BG1459" s="586" t="e">
        <f t="shared" si="211"/>
        <v>#DIV/0!</v>
      </c>
      <c r="BH1459" s="571" t="e">
        <f t="shared" si="212"/>
        <v>#DIV/0!</v>
      </c>
    </row>
    <row r="1460" spans="55:60" s="39" customFormat="1">
      <c r="BC1460" s="573">
        <v>14.49</v>
      </c>
      <c r="BD1460" s="571">
        <f t="shared" si="209"/>
        <v>0</v>
      </c>
      <c r="BE1460" s="571">
        <f t="shared" si="213"/>
        <v>0</v>
      </c>
      <c r="BF1460" s="586">
        <f t="shared" si="210"/>
        <v>0</v>
      </c>
      <c r="BG1460" s="586" t="e">
        <f t="shared" si="211"/>
        <v>#DIV/0!</v>
      </c>
      <c r="BH1460" s="571" t="e">
        <f t="shared" si="212"/>
        <v>#DIV/0!</v>
      </c>
    </row>
    <row r="1461" spans="55:60" s="39" customFormat="1">
      <c r="BC1461" s="573">
        <v>14.5</v>
      </c>
      <c r="BD1461" s="571">
        <f t="shared" si="209"/>
        <v>0</v>
      </c>
      <c r="BE1461" s="571">
        <f t="shared" si="213"/>
        <v>0</v>
      </c>
      <c r="BF1461" s="586">
        <f t="shared" si="210"/>
        <v>0</v>
      </c>
      <c r="BG1461" s="586" t="e">
        <f t="shared" si="211"/>
        <v>#DIV/0!</v>
      </c>
      <c r="BH1461" s="571" t="e">
        <f t="shared" si="212"/>
        <v>#DIV/0!</v>
      </c>
    </row>
    <row r="1462" spans="55:60" s="39" customFormat="1">
      <c r="BC1462" s="573">
        <v>14.51</v>
      </c>
      <c r="BD1462" s="571">
        <f t="shared" si="209"/>
        <v>0</v>
      </c>
      <c r="BE1462" s="571">
        <f t="shared" si="213"/>
        <v>0</v>
      </c>
      <c r="BF1462" s="586">
        <f t="shared" si="210"/>
        <v>0</v>
      </c>
      <c r="BG1462" s="586" t="e">
        <f t="shared" si="211"/>
        <v>#DIV/0!</v>
      </c>
      <c r="BH1462" s="571" t="e">
        <f t="shared" si="212"/>
        <v>#DIV/0!</v>
      </c>
    </row>
    <row r="1463" spans="55:60" s="39" customFormat="1">
      <c r="BC1463" s="573">
        <v>14.52</v>
      </c>
      <c r="BD1463" s="571">
        <f t="shared" si="209"/>
        <v>0</v>
      </c>
      <c r="BE1463" s="571">
        <f t="shared" si="213"/>
        <v>0</v>
      </c>
      <c r="BF1463" s="586">
        <f t="shared" si="210"/>
        <v>0</v>
      </c>
      <c r="BG1463" s="586" t="e">
        <f t="shared" si="211"/>
        <v>#DIV/0!</v>
      </c>
      <c r="BH1463" s="571" t="e">
        <f t="shared" si="212"/>
        <v>#DIV/0!</v>
      </c>
    </row>
    <row r="1464" spans="55:60" s="39" customFormat="1">
      <c r="BC1464" s="573">
        <v>14.53</v>
      </c>
      <c r="BD1464" s="571">
        <f t="shared" si="209"/>
        <v>0</v>
      </c>
      <c r="BE1464" s="571">
        <f t="shared" si="213"/>
        <v>0</v>
      </c>
      <c r="BF1464" s="586">
        <f t="shared" si="210"/>
        <v>0</v>
      </c>
      <c r="BG1464" s="586" t="e">
        <f t="shared" si="211"/>
        <v>#DIV/0!</v>
      </c>
      <c r="BH1464" s="571" t="e">
        <f t="shared" si="212"/>
        <v>#DIV/0!</v>
      </c>
    </row>
    <row r="1465" spans="55:60" s="39" customFormat="1">
      <c r="BC1465" s="573">
        <v>14.54</v>
      </c>
      <c r="BD1465" s="571">
        <f t="shared" si="209"/>
        <v>0</v>
      </c>
      <c r="BE1465" s="571">
        <f t="shared" si="213"/>
        <v>0</v>
      </c>
      <c r="BF1465" s="586">
        <f t="shared" si="210"/>
        <v>0</v>
      </c>
      <c r="BG1465" s="586" t="e">
        <f t="shared" si="211"/>
        <v>#DIV/0!</v>
      </c>
      <c r="BH1465" s="571" t="e">
        <f t="shared" si="212"/>
        <v>#DIV/0!</v>
      </c>
    </row>
    <row r="1466" spans="55:60" s="39" customFormat="1">
      <c r="BC1466" s="573">
        <v>14.55</v>
      </c>
      <c r="BD1466" s="571">
        <f t="shared" si="209"/>
        <v>0</v>
      </c>
      <c r="BE1466" s="571">
        <f t="shared" si="213"/>
        <v>0</v>
      </c>
      <c r="BF1466" s="586">
        <f t="shared" si="210"/>
        <v>0</v>
      </c>
      <c r="BG1466" s="586" t="e">
        <f t="shared" si="211"/>
        <v>#DIV/0!</v>
      </c>
      <c r="BH1466" s="571" t="e">
        <f t="shared" si="212"/>
        <v>#DIV/0!</v>
      </c>
    </row>
    <row r="1467" spans="55:60" s="39" customFormat="1">
      <c r="BC1467" s="573">
        <v>14.56</v>
      </c>
      <c r="BD1467" s="571">
        <f t="shared" si="209"/>
        <v>0</v>
      </c>
      <c r="BE1467" s="571">
        <f t="shared" si="213"/>
        <v>0</v>
      </c>
      <c r="BF1467" s="586">
        <f t="shared" si="210"/>
        <v>0</v>
      </c>
      <c r="BG1467" s="586" t="e">
        <f t="shared" si="211"/>
        <v>#DIV/0!</v>
      </c>
      <c r="BH1467" s="571" t="e">
        <f t="shared" si="212"/>
        <v>#DIV/0!</v>
      </c>
    </row>
    <row r="1468" spans="55:60" s="39" customFormat="1">
      <c r="BC1468" s="573">
        <v>14.57</v>
      </c>
      <c r="BD1468" s="571">
        <f t="shared" si="209"/>
        <v>0</v>
      </c>
      <c r="BE1468" s="571">
        <f t="shared" si="213"/>
        <v>0</v>
      </c>
      <c r="BF1468" s="586">
        <f t="shared" si="210"/>
        <v>0</v>
      </c>
      <c r="BG1468" s="586" t="e">
        <f t="shared" si="211"/>
        <v>#DIV/0!</v>
      </c>
      <c r="BH1468" s="571" t="e">
        <f t="shared" si="212"/>
        <v>#DIV/0!</v>
      </c>
    </row>
    <row r="1469" spans="55:60" s="39" customFormat="1">
      <c r="BC1469" s="573">
        <v>14.58</v>
      </c>
      <c r="BD1469" s="571">
        <f t="shared" si="209"/>
        <v>0</v>
      </c>
      <c r="BE1469" s="571">
        <f t="shared" si="213"/>
        <v>0</v>
      </c>
      <c r="BF1469" s="586">
        <f t="shared" si="210"/>
        <v>0</v>
      </c>
      <c r="BG1469" s="586" t="e">
        <f t="shared" si="211"/>
        <v>#DIV/0!</v>
      </c>
      <c r="BH1469" s="571" t="e">
        <f t="shared" si="212"/>
        <v>#DIV/0!</v>
      </c>
    </row>
    <row r="1470" spans="55:60" s="39" customFormat="1">
      <c r="BC1470" s="573">
        <v>14.59</v>
      </c>
      <c r="BD1470" s="571">
        <f t="shared" si="209"/>
        <v>0</v>
      </c>
      <c r="BE1470" s="571">
        <f t="shared" si="213"/>
        <v>0</v>
      </c>
      <c r="BF1470" s="586">
        <f t="shared" si="210"/>
        <v>0</v>
      </c>
      <c r="BG1470" s="586" t="e">
        <f t="shared" si="211"/>
        <v>#DIV/0!</v>
      </c>
      <c r="BH1470" s="571" t="e">
        <f t="shared" si="212"/>
        <v>#DIV/0!</v>
      </c>
    </row>
    <row r="1471" spans="55:60" s="39" customFormat="1">
      <c r="BC1471" s="573">
        <v>14.6</v>
      </c>
      <c r="BD1471" s="571">
        <f t="shared" si="209"/>
        <v>0</v>
      </c>
      <c r="BE1471" s="571">
        <f t="shared" si="213"/>
        <v>0</v>
      </c>
      <c r="BF1471" s="586">
        <f t="shared" si="210"/>
        <v>0</v>
      </c>
      <c r="BG1471" s="586" t="e">
        <f t="shared" si="211"/>
        <v>#DIV/0!</v>
      </c>
      <c r="BH1471" s="571" t="e">
        <f t="shared" si="212"/>
        <v>#DIV/0!</v>
      </c>
    </row>
    <row r="1472" spans="55:60" s="39" customFormat="1">
      <c r="BC1472" s="573">
        <v>14.61</v>
      </c>
      <c r="BD1472" s="571">
        <f t="shared" si="209"/>
        <v>0</v>
      </c>
      <c r="BE1472" s="571">
        <f t="shared" si="213"/>
        <v>0</v>
      </c>
      <c r="BF1472" s="586">
        <f t="shared" si="210"/>
        <v>0</v>
      </c>
      <c r="BG1472" s="586" t="e">
        <f t="shared" si="211"/>
        <v>#DIV/0!</v>
      </c>
      <c r="BH1472" s="571" t="e">
        <f t="shared" si="212"/>
        <v>#DIV/0!</v>
      </c>
    </row>
    <row r="1473" spans="55:60" s="39" customFormat="1">
      <c r="BC1473" s="573">
        <v>14.62</v>
      </c>
      <c r="BD1473" s="571">
        <f t="shared" si="209"/>
        <v>0</v>
      </c>
      <c r="BE1473" s="571">
        <f t="shared" si="213"/>
        <v>0</v>
      </c>
      <c r="BF1473" s="586">
        <f t="shared" si="210"/>
        <v>0</v>
      </c>
      <c r="BG1473" s="586" t="e">
        <f t="shared" si="211"/>
        <v>#DIV/0!</v>
      </c>
      <c r="BH1473" s="571" t="e">
        <f t="shared" si="212"/>
        <v>#DIV/0!</v>
      </c>
    </row>
    <row r="1474" spans="55:60" s="39" customFormat="1">
      <c r="BC1474" s="573">
        <v>14.63</v>
      </c>
      <c r="BD1474" s="571">
        <f t="shared" si="209"/>
        <v>0</v>
      </c>
      <c r="BE1474" s="571">
        <f t="shared" si="213"/>
        <v>0</v>
      </c>
      <c r="BF1474" s="586">
        <f t="shared" si="210"/>
        <v>0</v>
      </c>
      <c r="BG1474" s="586" t="e">
        <f t="shared" si="211"/>
        <v>#DIV/0!</v>
      </c>
      <c r="BH1474" s="571" t="e">
        <f t="shared" si="212"/>
        <v>#DIV/0!</v>
      </c>
    </row>
    <row r="1475" spans="55:60" s="39" customFormat="1">
      <c r="BC1475" s="573">
        <v>14.64</v>
      </c>
      <c r="BD1475" s="571">
        <f t="shared" si="209"/>
        <v>0</v>
      </c>
      <c r="BE1475" s="571">
        <f t="shared" si="213"/>
        <v>0</v>
      </c>
      <c r="BF1475" s="586">
        <f t="shared" si="210"/>
        <v>0</v>
      </c>
      <c r="BG1475" s="586" t="e">
        <f t="shared" si="211"/>
        <v>#DIV/0!</v>
      </c>
      <c r="BH1475" s="571" t="e">
        <f t="shared" si="212"/>
        <v>#DIV/0!</v>
      </c>
    </row>
    <row r="1476" spans="55:60" s="39" customFormat="1">
      <c r="BC1476" s="573">
        <v>14.65</v>
      </c>
      <c r="BD1476" s="571">
        <f t="shared" si="209"/>
        <v>0</v>
      </c>
      <c r="BE1476" s="571">
        <f t="shared" si="213"/>
        <v>0</v>
      </c>
      <c r="BF1476" s="586">
        <f t="shared" si="210"/>
        <v>0</v>
      </c>
      <c r="BG1476" s="586" t="e">
        <f t="shared" si="211"/>
        <v>#DIV/0!</v>
      </c>
      <c r="BH1476" s="571" t="e">
        <f t="shared" si="212"/>
        <v>#DIV/0!</v>
      </c>
    </row>
    <row r="1477" spans="55:60" s="39" customFormat="1">
      <c r="BC1477" s="573">
        <v>14.66</v>
      </c>
      <c r="BD1477" s="571">
        <f t="shared" si="209"/>
        <v>0</v>
      </c>
      <c r="BE1477" s="571">
        <f t="shared" si="213"/>
        <v>0</v>
      </c>
      <c r="BF1477" s="586">
        <f t="shared" si="210"/>
        <v>0</v>
      </c>
      <c r="BG1477" s="586" t="e">
        <f t="shared" si="211"/>
        <v>#DIV/0!</v>
      </c>
      <c r="BH1477" s="571" t="e">
        <f t="shared" si="212"/>
        <v>#DIV/0!</v>
      </c>
    </row>
    <row r="1478" spans="55:60" s="39" customFormat="1">
      <c r="BC1478" s="573">
        <v>14.67</v>
      </c>
      <c r="BD1478" s="571">
        <f t="shared" si="209"/>
        <v>0</v>
      </c>
      <c r="BE1478" s="571">
        <f t="shared" si="213"/>
        <v>0</v>
      </c>
      <c r="BF1478" s="586">
        <f t="shared" si="210"/>
        <v>0</v>
      </c>
      <c r="BG1478" s="586" t="e">
        <f t="shared" si="211"/>
        <v>#DIV/0!</v>
      </c>
      <c r="BH1478" s="571" t="e">
        <f t="shared" si="212"/>
        <v>#DIV/0!</v>
      </c>
    </row>
    <row r="1479" spans="55:60" s="39" customFormat="1">
      <c r="BC1479" s="573">
        <v>14.68</v>
      </c>
      <c r="BD1479" s="571">
        <f t="shared" si="209"/>
        <v>0</v>
      </c>
      <c r="BE1479" s="571">
        <f t="shared" si="213"/>
        <v>0</v>
      </c>
      <c r="BF1479" s="586">
        <f t="shared" si="210"/>
        <v>0</v>
      </c>
      <c r="BG1479" s="586" t="e">
        <f t="shared" si="211"/>
        <v>#DIV/0!</v>
      </c>
      <c r="BH1479" s="571" t="e">
        <f t="shared" si="212"/>
        <v>#DIV/0!</v>
      </c>
    </row>
    <row r="1480" spans="55:60" s="39" customFormat="1">
      <c r="BC1480" s="573">
        <v>14.69</v>
      </c>
      <c r="BD1480" s="571">
        <f t="shared" si="209"/>
        <v>0</v>
      </c>
      <c r="BE1480" s="571">
        <f t="shared" si="213"/>
        <v>0</v>
      </c>
      <c r="BF1480" s="586">
        <f t="shared" si="210"/>
        <v>0</v>
      </c>
      <c r="BG1480" s="586" t="e">
        <f t="shared" si="211"/>
        <v>#DIV/0!</v>
      </c>
      <c r="BH1480" s="571" t="e">
        <f t="shared" si="212"/>
        <v>#DIV/0!</v>
      </c>
    </row>
    <row r="1481" spans="55:60" s="39" customFormat="1">
      <c r="BC1481" s="573">
        <v>14.7</v>
      </c>
      <c r="BD1481" s="571">
        <f t="shared" si="209"/>
        <v>0</v>
      </c>
      <c r="BE1481" s="571">
        <f t="shared" si="213"/>
        <v>0</v>
      </c>
      <c r="BF1481" s="586">
        <f t="shared" si="210"/>
        <v>0</v>
      </c>
      <c r="BG1481" s="586" t="e">
        <f t="shared" si="211"/>
        <v>#DIV/0!</v>
      </c>
      <c r="BH1481" s="571" t="e">
        <f t="shared" si="212"/>
        <v>#DIV/0!</v>
      </c>
    </row>
    <row r="1482" spans="55:60" s="39" customFormat="1">
      <c r="BC1482" s="573">
        <v>14.71</v>
      </c>
      <c r="BD1482" s="571">
        <f t="shared" si="209"/>
        <v>0</v>
      </c>
      <c r="BE1482" s="571">
        <f t="shared" si="213"/>
        <v>0</v>
      </c>
      <c r="BF1482" s="586">
        <f t="shared" si="210"/>
        <v>0</v>
      </c>
      <c r="BG1482" s="586" t="e">
        <f t="shared" si="211"/>
        <v>#DIV/0!</v>
      </c>
      <c r="BH1482" s="571" t="e">
        <f t="shared" si="212"/>
        <v>#DIV/0!</v>
      </c>
    </row>
    <row r="1483" spans="55:60" s="39" customFormat="1">
      <c r="BC1483" s="573">
        <v>14.72</v>
      </c>
      <c r="BD1483" s="571">
        <f t="shared" si="209"/>
        <v>0</v>
      </c>
      <c r="BE1483" s="571">
        <f t="shared" si="213"/>
        <v>0</v>
      </c>
      <c r="BF1483" s="586">
        <f t="shared" si="210"/>
        <v>0</v>
      </c>
      <c r="BG1483" s="586" t="e">
        <f t="shared" si="211"/>
        <v>#DIV/0!</v>
      </c>
      <c r="BH1483" s="571" t="e">
        <f t="shared" si="212"/>
        <v>#DIV/0!</v>
      </c>
    </row>
    <row r="1484" spans="55:60" s="39" customFormat="1">
      <c r="BC1484" s="573">
        <v>14.73</v>
      </c>
      <c r="BD1484" s="571">
        <f t="shared" ref="BD1484:BD1547" si="214">$AU$15/BC1484</f>
        <v>0</v>
      </c>
      <c r="BE1484" s="571">
        <f t="shared" si="213"/>
        <v>0</v>
      </c>
      <c r="BF1484" s="586">
        <f t="shared" ref="BF1484:BF1547" si="215">BC1484*(BE1484/1000)/$AO$12</f>
        <v>0</v>
      </c>
      <c r="BG1484" s="586" t="e">
        <f t="shared" ref="BG1484:BG1547" si="216">POWER((1/(-1.8*LOG((6.9/BF1484+POWER((($P$7/BE1484)/3.71),1.11)),10))),2)</f>
        <v>#DIV/0!</v>
      </c>
      <c r="BH1484" s="571" t="e">
        <f t="shared" ref="BH1484:BH1547" si="217">BG1484*0.5*$P$6*16*$AU$15*$AU$15/(POWER(PI(),2)*POWER((BE1484/1000),5))</f>
        <v>#DIV/0!</v>
      </c>
    </row>
    <row r="1485" spans="55:60" s="39" customFormat="1">
      <c r="BC1485" s="573">
        <v>14.74</v>
      </c>
      <c r="BD1485" s="571">
        <f t="shared" si="214"/>
        <v>0</v>
      </c>
      <c r="BE1485" s="571">
        <f t="shared" ref="BE1485:BE1548" si="218">((BD1485/PI())^0.5)*2*1000</f>
        <v>0</v>
      </c>
      <c r="BF1485" s="586">
        <f t="shared" si="215"/>
        <v>0</v>
      </c>
      <c r="BG1485" s="586" t="e">
        <f t="shared" si="216"/>
        <v>#DIV/0!</v>
      </c>
      <c r="BH1485" s="571" t="e">
        <f t="shared" si="217"/>
        <v>#DIV/0!</v>
      </c>
    </row>
    <row r="1486" spans="55:60" s="39" customFormat="1">
      <c r="BC1486" s="573">
        <v>14.75</v>
      </c>
      <c r="BD1486" s="571">
        <f t="shared" si="214"/>
        <v>0</v>
      </c>
      <c r="BE1486" s="571">
        <f t="shared" si="218"/>
        <v>0</v>
      </c>
      <c r="BF1486" s="586">
        <f t="shared" si="215"/>
        <v>0</v>
      </c>
      <c r="BG1486" s="586" t="e">
        <f t="shared" si="216"/>
        <v>#DIV/0!</v>
      </c>
      <c r="BH1486" s="571" t="e">
        <f t="shared" si="217"/>
        <v>#DIV/0!</v>
      </c>
    </row>
    <row r="1487" spans="55:60" s="39" customFormat="1">
      <c r="BC1487" s="573">
        <v>14.76</v>
      </c>
      <c r="BD1487" s="571">
        <f t="shared" si="214"/>
        <v>0</v>
      </c>
      <c r="BE1487" s="571">
        <f t="shared" si="218"/>
        <v>0</v>
      </c>
      <c r="BF1487" s="586">
        <f t="shared" si="215"/>
        <v>0</v>
      </c>
      <c r="BG1487" s="586" t="e">
        <f t="shared" si="216"/>
        <v>#DIV/0!</v>
      </c>
      <c r="BH1487" s="571" t="e">
        <f t="shared" si="217"/>
        <v>#DIV/0!</v>
      </c>
    </row>
    <row r="1488" spans="55:60" s="39" customFormat="1">
      <c r="BC1488" s="573">
        <v>14.77</v>
      </c>
      <c r="BD1488" s="571">
        <f t="shared" si="214"/>
        <v>0</v>
      </c>
      <c r="BE1488" s="571">
        <f t="shared" si="218"/>
        <v>0</v>
      </c>
      <c r="BF1488" s="586">
        <f t="shared" si="215"/>
        <v>0</v>
      </c>
      <c r="BG1488" s="586" t="e">
        <f t="shared" si="216"/>
        <v>#DIV/0!</v>
      </c>
      <c r="BH1488" s="571" t="e">
        <f t="shared" si="217"/>
        <v>#DIV/0!</v>
      </c>
    </row>
    <row r="1489" spans="55:60" s="39" customFormat="1">
      <c r="BC1489" s="573">
        <v>14.78</v>
      </c>
      <c r="BD1489" s="571">
        <f t="shared" si="214"/>
        <v>0</v>
      </c>
      <c r="BE1489" s="571">
        <f t="shared" si="218"/>
        <v>0</v>
      </c>
      <c r="BF1489" s="586">
        <f t="shared" si="215"/>
        <v>0</v>
      </c>
      <c r="BG1489" s="586" t="e">
        <f t="shared" si="216"/>
        <v>#DIV/0!</v>
      </c>
      <c r="BH1489" s="571" t="e">
        <f t="shared" si="217"/>
        <v>#DIV/0!</v>
      </c>
    </row>
    <row r="1490" spans="55:60" s="39" customFormat="1">
      <c r="BC1490" s="573">
        <v>14.79</v>
      </c>
      <c r="BD1490" s="571">
        <f t="shared" si="214"/>
        <v>0</v>
      </c>
      <c r="BE1490" s="571">
        <f t="shared" si="218"/>
        <v>0</v>
      </c>
      <c r="BF1490" s="586">
        <f t="shared" si="215"/>
        <v>0</v>
      </c>
      <c r="BG1490" s="586" t="e">
        <f t="shared" si="216"/>
        <v>#DIV/0!</v>
      </c>
      <c r="BH1490" s="571" t="e">
        <f t="shared" si="217"/>
        <v>#DIV/0!</v>
      </c>
    </row>
    <row r="1491" spans="55:60" s="39" customFormat="1">
      <c r="BC1491" s="573">
        <v>14.8</v>
      </c>
      <c r="BD1491" s="571">
        <f t="shared" si="214"/>
        <v>0</v>
      </c>
      <c r="BE1491" s="571">
        <f t="shared" si="218"/>
        <v>0</v>
      </c>
      <c r="BF1491" s="586">
        <f t="shared" si="215"/>
        <v>0</v>
      </c>
      <c r="BG1491" s="586" t="e">
        <f t="shared" si="216"/>
        <v>#DIV/0!</v>
      </c>
      <c r="BH1491" s="571" t="e">
        <f t="shared" si="217"/>
        <v>#DIV/0!</v>
      </c>
    </row>
    <row r="1492" spans="55:60" s="39" customFormat="1">
      <c r="BC1492" s="573">
        <v>14.81</v>
      </c>
      <c r="BD1492" s="571">
        <f t="shared" si="214"/>
        <v>0</v>
      </c>
      <c r="BE1492" s="571">
        <f t="shared" si="218"/>
        <v>0</v>
      </c>
      <c r="BF1492" s="586">
        <f t="shared" si="215"/>
        <v>0</v>
      </c>
      <c r="BG1492" s="586" t="e">
        <f t="shared" si="216"/>
        <v>#DIV/0!</v>
      </c>
      <c r="BH1492" s="571" t="e">
        <f t="shared" si="217"/>
        <v>#DIV/0!</v>
      </c>
    </row>
    <row r="1493" spans="55:60" s="39" customFormat="1">
      <c r="BC1493" s="573">
        <v>14.82</v>
      </c>
      <c r="BD1493" s="571">
        <f t="shared" si="214"/>
        <v>0</v>
      </c>
      <c r="BE1493" s="571">
        <f t="shared" si="218"/>
        <v>0</v>
      </c>
      <c r="BF1493" s="586">
        <f t="shared" si="215"/>
        <v>0</v>
      </c>
      <c r="BG1493" s="586" t="e">
        <f t="shared" si="216"/>
        <v>#DIV/0!</v>
      </c>
      <c r="BH1493" s="571" t="e">
        <f t="shared" si="217"/>
        <v>#DIV/0!</v>
      </c>
    </row>
    <row r="1494" spans="55:60" s="39" customFormat="1">
      <c r="BC1494" s="573">
        <v>14.83</v>
      </c>
      <c r="BD1494" s="571">
        <f t="shared" si="214"/>
        <v>0</v>
      </c>
      <c r="BE1494" s="571">
        <f t="shared" si="218"/>
        <v>0</v>
      </c>
      <c r="BF1494" s="586">
        <f t="shared" si="215"/>
        <v>0</v>
      </c>
      <c r="BG1494" s="586" t="e">
        <f t="shared" si="216"/>
        <v>#DIV/0!</v>
      </c>
      <c r="BH1494" s="571" t="e">
        <f t="shared" si="217"/>
        <v>#DIV/0!</v>
      </c>
    </row>
    <row r="1495" spans="55:60" s="39" customFormat="1">
      <c r="BC1495" s="573">
        <v>14.84</v>
      </c>
      <c r="BD1495" s="571">
        <f t="shared" si="214"/>
        <v>0</v>
      </c>
      <c r="BE1495" s="571">
        <f t="shared" si="218"/>
        <v>0</v>
      </c>
      <c r="BF1495" s="586">
        <f t="shared" si="215"/>
        <v>0</v>
      </c>
      <c r="BG1495" s="586" t="e">
        <f t="shared" si="216"/>
        <v>#DIV/0!</v>
      </c>
      <c r="BH1495" s="571" t="e">
        <f t="shared" si="217"/>
        <v>#DIV/0!</v>
      </c>
    </row>
    <row r="1496" spans="55:60" s="39" customFormat="1">
      <c r="BC1496" s="573">
        <v>14.85</v>
      </c>
      <c r="BD1496" s="571">
        <f t="shared" si="214"/>
        <v>0</v>
      </c>
      <c r="BE1496" s="571">
        <f t="shared" si="218"/>
        <v>0</v>
      </c>
      <c r="BF1496" s="586">
        <f t="shared" si="215"/>
        <v>0</v>
      </c>
      <c r="BG1496" s="586" t="e">
        <f t="shared" si="216"/>
        <v>#DIV/0!</v>
      </c>
      <c r="BH1496" s="571" t="e">
        <f t="shared" si="217"/>
        <v>#DIV/0!</v>
      </c>
    </row>
    <row r="1497" spans="55:60" s="39" customFormat="1">
      <c r="BC1497" s="573">
        <v>14.86</v>
      </c>
      <c r="BD1497" s="571">
        <f t="shared" si="214"/>
        <v>0</v>
      </c>
      <c r="BE1497" s="571">
        <f t="shared" si="218"/>
        <v>0</v>
      </c>
      <c r="BF1497" s="586">
        <f t="shared" si="215"/>
        <v>0</v>
      </c>
      <c r="BG1497" s="586" t="e">
        <f t="shared" si="216"/>
        <v>#DIV/0!</v>
      </c>
      <c r="BH1497" s="571" t="e">
        <f t="shared" si="217"/>
        <v>#DIV/0!</v>
      </c>
    </row>
    <row r="1498" spans="55:60" s="39" customFormat="1">
      <c r="BC1498" s="573">
        <v>14.87</v>
      </c>
      <c r="BD1498" s="571">
        <f t="shared" si="214"/>
        <v>0</v>
      </c>
      <c r="BE1498" s="571">
        <f t="shared" si="218"/>
        <v>0</v>
      </c>
      <c r="BF1498" s="586">
        <f t="shared" si="215"/>
        <v>0</v>
      </c>
      <c r="BG1498" s="586" t="e">
        <f t="shared" si="216"/>
        <v>#DIV/0!</v>
      </c>
      <c r="BH1498" s="571" t="e">
        <f t="shared" si="217"/>
        <v>#DIV/0!</v>
      </c>
    </row>
    <row r="1499" spans="55:60" s="39" customFormat="1">
      <c r="BC1499" s="573">
        <v>14.88</v>
      </c>
      <c r="BD1499" s="571">
        <f t="shared" si="214"/>
        <v>0</v>
      </c>
      <c r="BE1499" s="571">
        <f t="shared" si="218"/>
        <v>0</v>
      </c>
      <c r="BF1499" s="586">
        <f t="shared" si="215"/>
        <v>0</v>
      </c>
      <c r="BG1499" s="586" t="e">
        <f t="shared" si="216"/>
        <v>#DIV/0!</v>
      </c>
      <c r="BH1499" s="571" t="e">
        <f t="shared" si="217"/>
        <v>#DIV/0!</v>
      </c>
    </row>
    <row r="1500" spans="55:60" s="39" customFormat="1">
      <c r="BC1500" s="573">
        <v>14.89</v>
      </c>
      <c r="BD1500" s="571">
        <f t="shared" si="214"/>
        <v>0</v>
      </c>
      <c r="BE1500" s="571">
        <f t="shared" si="218"/>
        <v>0</v>
      </c>
      <c r="BF1500" s="586">
        <f t="shared" si="215"/>
        <v>0</v>
      </c>
      <c r="BG1500" s="586" t="e">
        <f t="shared" si="216"/>
        <v>#DIV/0!</v>
      </c>
      <c r="BH1500" s="571" t="e">
        <f t="shared" si="217"/>
        <v>#DIV/0!</v>
      </c>
    </row>
    <row r="1501" spans="55:60" s="39" customFormat="1">
      <c r="BC1501" s="573">
        <v>14.9</v>
      </c>
      <c r="BD1501" s="571">
        <f t="shared" si="214"/>
        <v>0</v>
      </c>
      <c r="BE1501" s="571">
        <f t="shared" si="218"/>
        <v>0</v>
      </c>
      <c r="BF1501" s="586">
        <f t="shared" si="215"/>
        <v>0</v>
      </c>
      <c r="BG1501" s="586" t="e">
        <f t="shared" si="216"/>
        <v>#DIV/0!</v>
      </c>
      <c r="BH1501" s="571" t="e">
        <f t="shared" si="217"/>
        <v>#DIV/0!</v>
      </c>
    </row>
    <row r="1502" spans="55:60" s="39" customFormat="1">
      <c r="BC1502" s="573">
        <v>14.91</v>
      </c>
      <c r="BD1502" s="571">
        <f t="shared" si="214"/>
        <v>0</v>
      </c>
      <c r="BE1502" s="571">
        <f t="shared" si="218"/>
        <v>0</v>
      </c>
      <c r="BF1502" s="586">
        <f t="shared" si="215"/>
        <v>0</v>
      </c>
      <c r="BG1502" s="586" t="e">
        <f t="shared" si="216"/>
        <v>#DIV/0!</v>
      </c>
      <c r="BH1502" s="571" t="e">
        <f t="shared" si="217"/>
        <v>#DIV/0!</v>
      </c>
    </row>
    <row r="1503" spans="55:60" s="39" customFormat="1">
      <c r="BC1503" s="573">
        <v>14.92</v>
      </c>
      <c r="BD1503" s="571">
        <f t="shared" si="214"/>
        <v>0</v>
      </c>
      <c r="BE1503" s="571">
        <f t="shared" si="218"/>
        <v>0</v>
      </c>
      <c r="BF1503" s="586">
        <f t="shared" si="215"/>
        <v>0</v>
      </c>
      <c r="BG1503" s="586" t="e">
        <f t="shared" si="216"/>
        <v>#DIV/0!</v>
      </c>
      <c r="BH1503" s="571" t="e">
        <f t="shared" si="217"/>
        <v>#DIV/0!</v>
      </c>
    </row>
    <row r="1504" spans="55:60" s="39" customFormat="1">
      <c r="BC1504" s="573">
        <v>14.93</v>
      </c>
      <c r="BD1504" s="571">
        <f t="shared" si="214"/>
        <v>0</v>
      </c>
      <c r="BE1504" s="571">
        <f t="shared" si="218"/>
        <v>0</v>
      </c>
      <c r="BF1504" s="586">
        <f t="shared" si="215"/>
        <v>0</v>
      </c>
      <c r="BG1504" s="586" t="e">
        <f t="shared" si="216"/>
        <v>#DIV/0!</v>
      </c>
      <c r="BH1504" s="571" t="e">
        <f t="shared" si="217"/>
        <v>#DIV/0!</v>
      </c>
    </row>
    <row r="1505" spans="55:60" s="39" customFormat="1">
      <c r="BC1505" s="573">
        <v>14.94</v>
      </c>
      <c r="BD1505" s="571">
        <f t="shared" si="214"/>
        <v>0</v>
      </c>
      <c r="BE1505" s="571">
        <f t="shared" si="218"/>
        <v>0</v>
      </c>
      <c r="BF1505" s="586">
        <f t="shared" si="215"/>
        <v>0</v>
      </c>
      <c r="BG1505" s="586" t="e">
        <f t="shared" si="216"/>
        <v>#DIV/0!</v>
      </c>
      <c r="BH1505" s="571" t="e">
        <f t="shared" si="217"/>
        <v>#DIV/0!</v>
      </c>
    </row>
    <row r="1506" spans="55:60" s="39" customFormat="1">
      <c r="BC1506" s="573">
        <v>14.95</v>
      </c>
      <c r="BD1506" s="571">
        <f t="shared" si="214"/>
        <v>0</v>
      </c>
      <c r="BE1506" s="571">
        <f t="shared" si="218"/>
        <v>0</v>
      </c>
      <c r="BF1506" s="586">
        <f t="shared" si="215"/>
        <v>0</v>
      </c>
      <c r="BG1506" s="586" t="e">
        <f t="shared" si="216"/>
        <v>#DIV/0!</v>
      </c>
      <c r="BH1506" s="571" t="e">
        <f t="shared" si="217"/>
        <v>#DIV/0!</v>
      </c>
    </row>
    <row r="1507" spans="55:60" s="39" customFormat="1">
      <c r="BC1507" s="573">
        <v>14.96</v>
      </c>
      <c r="BD1507" s="571">
        <f t="shared" si="214"/>
        <v>0</v>
      </c>
      <c r="BE1507" s="571">
        <f t="shared" si="218"/>
        <v>0</v>
      </c>
      <c r="BF1507" s="586">
        <f t="shared" si="215"/>
        <v>0</v>
      </c>
      <c r="BG1507" s="586" t="e">
        <f t="shared" si="216"/>
        <v>#DIV/0!</v>
      </c>
      <c r="BH1507" s="571" t="e">
        <f t="shared" si="217"/>
        <v>#DIV/0!</v>
      </c>
    </row>
    <row r="1508" spans="55:60" s="39" customFormat="1">
      <c r="BC1508" s="573">
        <v>14.97</v>
      </c>
      <c r="BD1508" s="571">
        <f t="shared" si="214"/>
        <v>0</v>
      </c>
      <c r="BE1508" s="571">
        <f t="shared" si="218"/>
        <v>0</v>
      </c>
      <c r="BF1508" s="586">
        <f t="shared" si="215"/>
        <v>0</v>
      </c>
      <c r="BG1508" s="586" t="e">
        <f t="shared" si="216"/>
        <v>#DIV/0!</v>
      </c>
      <c r="BH1508" s="571" t="e">
        <f t="shared" si="217"/>
        <v>#DIV/0!</v>
      </c>
    </row>
    <row r="1509" spans="55:60" s="39" customFormat="1">
      <c r="BC1509" s="573">
        <v>14.98</v>
      </c>
      <c r="BD1509" s="571">
        <f t="shared" si="214"/>
        <v>0</v>
      </c>
      <c r="BE1509" s="571">
        <f t="shared" si="218"/>
        <v>0</v>
      </c>
      <c r="BF1509" s="586">
        <f t="shared" si="215"/>
        <v>0</v>
      </c>
      <c r="BG1509" s="586" t="e">
        <f t="shared" si="216"/>
        <v>#DIV/0!</v>
      </c>
      <c r="BH1509" s="571" t="e">
        <f t="shared" si="217"/>
        <v>#DIV/0!</v>
      </c>
    </row>
    <row r="1510" spans="55:60" s="39" customFormat="1">
      <c r="BC1510" s="573">
        <v>14.99</v>
      </c>
      <c r="BD1510" s="571">
        <f t="shared" si="214"/>
        <v>0</v>
      </c>
      <c r="BE1510" s="571">
        <f t="shared" si="218"/>
        <v>0</v>
      </c>
      <c r="BF1510" s="586">
        <f t="shared" si="215"/>
        <v>0</v>
      </c>
      <c r="BG1510" s="586" t="e">
        <f t="shared" si="216"/>
        <v>#DIV/0!</v>
      </c>
      <c r="BH1510" s="571" t="e">
        <f t="shared" si="217"/>
        <v>#DIV/0!</v>
      </c>
    </row>
    <row r="1511" spans="55:60" s="39" customFormat="1">
      <c r="BC1511" s="573">
        <v>15</v>
      </c>
      <c r="BD1511" s="571">
        <f t="shared" si="214"/>
        <v>0</v>
      </c>
      <c r="BE1511" s="571">
        <f t="shared" si="218"/>
        <v>0</v>
      </c>
      <c r="BF1511" s="586">
        <f t="shared" si="215"/>
        <v>0</v>
      </c>
      <c r="BG1511" s="586" t="e">
        <f t="shared" si="216"/>
        <v>#DIV/0!</v>
      </c>
      <c r="BH1511" s="571" t="e">
        <f t="shared" si="217"/>
        <v>#DIV/0!</v>
      </c>
    </row>
    <row r="1512" spans="55:60" s="39" customFormat="1">
      <c r="BC1512" s="573">
        <v>15.01</v>
      </c>
      <c r="BD1512" s="571">
        <f t="shared" si="214"/>
        <v>0</v>
      </c>
      <c r="BE1512" s="571">
        <f t="shared" si="218"/>
        <v>0</v>
      </c>
      <c r="BF1512" s="586">
        <f t="shared" si="215"/>
        <v>0</v>
      </c>
      <c r="BG1512" s="586" t="e">
        <f t="shared" si="216"/>
        <v>#DIV/0!</v>
      </c>
      <c r="BH1512" s="571" t="e">
        <f t="shared" si="217"/>
        <v>#DIV/0!</v>
      </c>
    </row>
    <row r="1513" spans="55:60" s="39" customFormat="1">
      <c r="BC1513" s="573">
        <v>15.02</v>
      </c>
      <c r="BD1513" s="571">
        <f t="shared" si="214"/>
        <v>0</v>
      </c>
      <c r="BE1513" s="571">
        <f t="shared" si="218"/>
        <v>0</v>
      </c>
      <c r="BF1513" s="586">
        <f t="shared" si="215"/>
        <v>0</v>
      </c>
      <c r="BG1513" s="586" t="e">
        <f t="shared" si="216"/>
        <v>#DIV/0!</v>
      </c>
      <c r="BH1513" s="571" t="e">
        <f t="shared" si="217"/>
        <v>#DIV/0!</v>
      </c>
    </row>
    <row r="1514" spans="55:60" s="39" customFormat="1">
      <c r="BC1514" s="573">
        <v>15.03</v>
      </c>
      <c r="BD1514" s="571">
        <f t="shared" si="214"/>
        <v>0</v>
      </c>
      <c r="BE1514" s="571">
        <f t="shared" si="218"/>
        <v>0</v>
      </c>
      <c r="BF1514" s="586">
        <f t="shared" si="215"/>
        <v>0</v>
      </c>
      <c r="BG1514" s="586" t="e">
        <f t="shared" si="216"/>
        <v>#DIV/0!</v>
      </c>
      <c r="BH1514" s="571" t="e">
        <f t="shared" si="217"/>
        <v>#DIV/0!</v>
      </c>
    </row>
    <row r="1515" spans="55:60" s="39" customFormat="1">
      <c r="BC1515" s="573">
        <v>15.04</v>
      </c>
      <c r="BD1515" s="571">
        <f t="shared" si="214"/>
        <v>0</v>
      </c>
      <c r="BE1515" s="571">
        <f t="shared" si="218"/>
        <v>0</v>
      </c>
      <c r="BF1515" s="586">
        <f t="shared" si="215"/>
        <v>0</v>
      </c>
      <c r="BG1515" s="586" t="e">
        <f t="shared" si="216"/>
        <v>#DIV/0!</v>
      </c>
      <c r="BH1515" s="571" t="e">
        <f t="shared" si="217"/>
        <v>#DIV/0!</v>
      </c>
    </row>
    <row r="1516" spans="55:60" s="39" customFormat="1">
      <c r="BC1516" s="573">
        <v>15.05</v>
      </c>
      <c r="BD1516" s="571">
        <f t="shared" si="214"/>
        <v>0</v>
      </c>
      <c r="BE1516" s="571">
        <f t="shared" si="218"/>
        <v>0</v>
      </c>
      <c r="BF1516" s="586">
        <f t="shared" si="215"/>
        <v>0</v>
      </c>
      <c r="BG1516" s="586" t="e">
        <f t="shared" si="216"/>
        <v>#DIV/0!</v>
      </c>
      <c r="BH1516" s="571" t="e">
        <f t="shared" si="217"/>
        <v>#DIV/0!</v>
      </c>
    </row>
    <row r="1517" spans="55:60" s="39" customFormat="1">
      <c r="BC1517" s="573">
        <v>15.06</v>
      </c>
      <c r="BD1517" s="571">
        <f t="shared" si="214"/>
        <v>0</v>
      </c>
      <c r="BE1517" s="571">
        <f t="shared" si="218"/>
        <v>0</v>
      </c>
      <c r="BF1517" s="586">
        <f t="shared" si="215"/>
        <v>0</v>
      </c>
      <c r="BG1517" s="586" t="e">
        <f t="shared" si="216"/>
        <v>#DIV/0!</v>
      </c>
      <c r="BH1517" s="571" t="e">
        <f t="shared" si="217"/>
        <v>#DIV/0!</v>
      </c>
    </row>
    <row r="1518" spans="55:60" s="39" customFormat="1">
      <c r="BC1518" s="573">
        <v>15.07</v>
      </c>
      <c r="BD1518" s="571">
        <f t="shared" si="214"/>
        <v>0</v>
      </c>
      <c r="BE1518" s="571">
        <f t="shared" si="218"/>
        <v>0</v>
      </c>
      <c r="BF1518" s="586">
        <f t="shared" si="215"/>
        <v>0</v>
      </c>
      <c r="BG1518" s="586" t="e">
        <f t="shared" si="216"/>
        <v>#DIV/0!</v>
      </c>
      <c r="BH1518" s="571" t="e">
        <f t="shared" si="217"/>
        <v>#DIV/0!</v>
      </c>
    </row>
    <row r="1519" spans="55:60" s="39" customFormat="1">
      <c r="BC1519" s="573">
        <v>15.08</v>
      </c>
      <c r="BD1519" s="571">
        <f t="shared" si="214"/>
        <v>0</v>
      </c>
      <c r="BE1519" s="571">
        <f t="shared" si="218"/>
        <v>0</v>
      </c>
      <c r="BF1519" s="586">
        <f t="shared" si="215"/>
        <v>0</v>
      </c>
      <c r="BG1519" s="586" t="e">
        <f t="shared" si="216"/>
        <v>#DIV/0!</v>
      </c>
      <c r="BH1519" s="571" t="e">
        <f t="shared" si="217"/>
        <v>#DIV/0!</v>
      </c>
    </row>
    <row r="1520" spans="55:60" s="39" customFormat="1">
      <c r="BC1520" s="573">
        <v>15.09</v>
      </c>
      <c r="BD1520" s="571">
        <f t="shared" si="214"/>
        <v>0</v>
      </c>
      <c r="BE1520" s="571">
        <f t="shared" si="218"/>
        <v>0</v>
      </c>
      <c r="BF1520" s="586">
        <f t="shared" si="215"/>
        <v>0</v>
      </c>
      <c r="BG1520" s="586" t="e">
        <f t="shared" si="216"/>
        <v>#DIV/0!</v>
      </c>
      <c r="BH1520" s="571" t="e">
        <f t="shared" si="217"/>
        <v>#DIV/0!</v>
      </c>
    </row>
    <row r="1521" spans="55:60" s="39" customFormat="1">
      <c r="BC1521" s="573">
        <v>15.1</v>
      </c>
      <c r="BD1521" s="571">
        <f t="shared" si="214"/>
        <v>0</v>
      </c>
      <c r="BE1521" s="571">
        <f t="shared" si="218"/>
        <v>0</v>
      </c>
      <c r="BF1521" s="586">
        <f t="shared" si="215"/>
        <v>0</v>
      </c>
      <c r="BG1521" s="586" t="e">
        <f t="shared" si="216"/>
        <v>#DIV/0!</v>
      </c>
      <c r="BH1521" s="571" t="e">
        <f t="shared" si="217"/>
        <v>#DIV/0!</v>
      </c>
    </row>
    <row r="1522" spans="55:60" s="39" customFormat="1">
      <c r="BC1522" s="573">
        <v>15.11</v>
      </c>
      <c r="BD1522" s="571">
        <f t="shared" si="214"/>
        <v>0</v>
      </c>
      <c r="BE1522" s="571">
        <f t="shared" si="218"/>
        <v>0</v>
      </c>
      <c r="BF1522" s="586">
        <f t="shared" si="215"/>
        <v>0</v>
      </c>
      <c r="BG1522" s="586" t="e">
        <f t="shared" si="216"/>
        <v>#DIV/0!</v>
      </c>
      <c r="BH1522" s="571" t="e">
        <f t="shared" si="217"/>
        <v>#DIV/0!</v>
      </c>
    </row>
    <row r="1523" spans="55:60" s="39" customFormat="1">
      <c r="BC1523" s="573">
        <v>15.12</v>
      </c>
      <c r="BD1523" s="571">
        <f t="shared" si="214"/>
        <v>0</v>
      </c>
      <c r="BE1523" s="571">
        <f t="shared" si="218"/>
        <v>0</v>
      </c>
      <c r="BF1523" s="586">
        <f t="shared" si="215"/>
        <v>0</v>
      </c>
      <c r="BG1523" s="586" t="e">
        <f t="shared" si="216"/>
        <v>#DIV/0!</v>
      </c>
      <c r="BH1523" s="571" t="e">
        <f t="shared" si="217"/>
        <v>#DIV/0!</v>
      </c>
    </row>
    <row r="1524" spans="55:60" s="39" customFormat="1">
      <c r="BC1524" s="573">
        <v>15.13</v>
      </c>
      <c r="BD1524" s="571">
        <f t="shared" si="214"/>
        <v>0</v>
      </c>
      <c r="BE1524" s="571">
        <f t="shared" si="218"/>
        <v>0</v>
      </c>
      <c r="BF1524" s="586">
        <f t="shared" si="215"/>
        <v>0</v>
      </c>
      <c r="BG1524" s="586" t="e">
        <f t="shared" si="216"/>
        <v>#DIV/0!</v>
      </c>
      <c r="BH1524" s="571" t="e">
        <f t="shared" si="217"/>
        <v>#DIV/0!</v>
      </c>
    </row>
    <row r="1525" spans="55:60" s="39" customFormat="1">
      <c r="BC1525" s="573">
        <v>15.14</v>
      </c>
      <c r="BD1525" s="571">
        <f t="shared" si="214"/>
        <v>0</v>
      </c>
      <c r="BE1525" s="571">
        <f t="shared" si="218"/>
        <v>0</v>
      </c>
      <c r="BF1525" s="586">
        <f t="shared" si="215"/>
        <v>0</v>
      </c>
      <c r="BG1525" s="586" t="e">
        <f t="shared" si="216"/>
        <v>#DIV/0!</v>
      </c>
      <c r="BH1525" s="571" t="e">
        <f t="shared" si="217"/>
        <v>#DIV/0!</v>
      </c>
    </row>
    <row r="1526" spans="55:60" s="39" customFormat="1">
      <c r="BC1526" s="573">
        <v>15.15</v>
      </c>
      <c r="BD1526" s="571">
        <f t="shared" si="214"/>
        <v>0</v>
      </c>
      <c r="BE1526" s="571">
        <f t="shared" si="218"/>
        <v>0</v>
      </c>
      <c r="BF1526" s="586">
        <f t="shared" si="215"/>
        <v>0</v>
      </c>
      <c r="BG1526" s="586" t="e">
        <f t="shared" si="216"/>
        <v>#DIV/0!</v>
      </c>
      <c r="BH1526" s="571" t="e">
        <f t="shared" si="217"/>
        <v>#DIV/0!</v>
      </c>
    </row>
    <row r="1527" spans="55:60" s="39" customFormat="1">
      <c r="BC1527" s="573">
        <v>15.16</v>
      </c>
      <c r="BD1527" s="571">
        <f t="shared" si="214"/>
        <v>0</v>
      </c>
      <c r="BE1527" s="571">
        <f t="shared" si="218"/>
        <v>0</v>
      </c>
      <c r="BF1527" s="586">
        <f t="shared" si="215"/>
        <v>0</v>
      </c>
      <c r="BG1527" s="586" t="e">
        <f t="shared" si="216"/>
        <v>#DIV/0!</v>
      </c>
      <c r="BH1527" s="571" t="e">
        <f t="shared" si="217"/>
        <v>#DIV/0!</v>
      </c>
    </row>
    <row r="1528" spans="55:60" s="39" customFormat="1">
      <c r="BC1528" s="573">
        <v>15.17</v>
      </c>
      <c r="BD1528" s="571">
        <f t="shared" si="214"/>
        <v>0</v>
      </c>
      <c r="BE1528" s="571">
        <f t="shared" si="218"/>
        <v>0</v>
      </c>
      <c r="BF1528" s="586">
        <f t="shared" si="215"/>
        <v>0</v>
      </c>
      <c r="BG1528" s="586" t="e">
        <f t="shared" si="216"/>
        <v>#DIV/0!</v>
      </c>
      <c r="BH1528" s="571" t="e">
        <f t="shared" si="217"/>
        <v>#DIV/0!</v>
      </c>
    </row>
    <row r="1529" spans="55:60" s="39" customFormat="1">
      <c r="BC1529" s="573">
        <v>15.18</v>
      </c>
      <c r="BD1529" s="571">
        <f t="shared" si="214"/>
        <v>0</v>
      </c>
      <c r="BE1529" s="571">
        <f t="shared" si="218"/>
        <v>0</v>
      </c>
      <c r="BF1529" s="586">
        <f t="shared" si="215"/>
        <v>0</v>
      </c>
      <c r="BG1529" s="586" t="e">
        <f t="shared" si="216"/>
        <v>#DIV/0!</v>
      </c>
      <c r="BH1529" s="571" t="e">
        <f t="shared" si="217"/>
        <v>#DIV/0!</v>
      </c>
    </row>
    <row r="1530" spans="55:60" s="39" customFormat="1">
      <c r="BC1530" s="573">
        <v>15.19</v>
      </c>
      <c r="BD1530" s="571">
        <f t="shared" si="214"/>
        <v>0</v>
      </c>
      <c r="BE1530" s="571">
        <f t="shared" si="218"/>
        <v>0</v>
      </c>
      <c r="BF1530" s="586">
        <f t="shared" si="215"/>
        <v>0</v>
      </c>
      <c r="BG1530" s="586" t="e">
        <f t="shared" si="216"/>
        <v>#DIV/0!</v>
      </c>
      <c r="BH1530" s="571" t="e">
        <f t="shared" si="217"/>
        <v>#DIV/0!</v>
      </c>
    </row>
    <row r="1531" spans="55:60" s="39" customFormat="1">
      <c r="BC1531" s="573">
        <v>15.2</v>
      </c>
      <c r="BD1531" s="571">
        <f t="shared" si="214"/>
        <v>0</v>
      </c>
      <c r="BE1531" s="571">
        <f t="shared" si="218"/>
        <v>0</v>
      </c>
      <c r="BF1531" s="586">
        <f t="shared" si="215"/>
        <v>0</v>
      </c>
      <c r="BG1531" s="586" t="e">
        <f t="shared" si="216"/>
        <v>#DIV/0!</v>
      </c>
      <c r="BH1531" s="571" t="e">
        <f t="shared" si="217"/>
        <v>#DIV/0!</v>
      </c>
    </row>
    <row r="1532" spans="55:60" s="39" customFormat="1">
      <c r="BC1532" s="573">
        <v>15.21</v>
      </c>
      <c r="BD1532" s="571">
        <f t="shared" si="214"/>
        <v>0</v>
      </c>
      <c r="BE1532" s="571">
        <f t="shared" si="218"/>
        <v>0</v>
      </c>
      <c r="BF1532" s="586">
        <f t="shared" si="215"/>
        <v>0</v>
      </c>
      <c r="BG1532" s="586" t="e">
        <f t="shared" si="216"/>
        <v>#DIV/0!</v>
      </c>
      <c r="BH1532" s="571" t="e">
        <f t="shared" si="217"/>
        <v>#DIV/0!</v>
      </c>
    </row>
    <row r="1533" spans="55:60" s="39" customFormat="1">
      <c r="BC1533" s="573">
        <v>15.22</v>
      </c>
      <c r="BD1533" s="571">
        <f t="shared" si="214"/>
        <v>0</v>
      </c>
      <c r="BE1533" s="571">
        <f t="shared" si="218"/>
        <v>0</v>
      </c>
      <c r="BF1533" s="586">
        <f t="shared" si="215"/>
        <v>0</v>
      </c>
      <c r="BG1533" s="586" t="e">
        <f t="shared" si="216"/>
        <v>#DIV/0!</v>
      </c>
      <c r="BH1533" s="571" t="e">
        <f t="shared" si="217"/>
        <v>#DIV/0!</v>
      </c>
    </row>
    <row r="1534" spans="55:60" s="39" customFormat="1">
      <c r="BC1534" s="573">
        <v>15.23</v>
      </c>
      <c r="BD1534" s="571">
        <f t="shared" si="214"/>
        <v>0</v>
      </c>
      <c r="BE1534" s="571">
        <f t="shared" si="218"/>
        <v>0</v>
      </c>
      <c r="BF1534" s="586">
        <f t="shared" si="215"/>
        <v>0</v>
      </c>
      <c r="BG1534" s="586" t="e">
        <f t="shared" si="216"/>
        <v>#DIV/0!</v>
      </c>
      <c r="BH1534" s="571" t="e">
        <f t="shared" si="217"/>
        <v>#DIV/0!</v>
      </c>
    </row>
    <row r="1535" spans="55:60" s="39" customFormat="1">
      <c r="BC1535" s="573">
        <v>15.24</v>
      </c>
      <c r="BD1535" s="571">
        <f t="shared" si="214"/>
        <v>0</v>
      </c>
      <c r="BE1535" s="571">
        <f t="shared" si="218"/>
        <v>0</v>
      </c>
      <c r="BF1535" s="586">
        <f t="shared" si="215"/>
        <v>0</v>
      </c>
      <c r="BG1535" s="586" t="e">
        <f t="shared" si="216"/>
        <v>#DIV/0!</v>
      </c>
      <c r="BH1535" s="571" t="e">
        <f t="shared" si="217"/>
        <v>#DIV/0!</v>
      </c>
    </row>
    <row r="1536" spans="55:60" s="39" customFormat="1">
      <c r="BC1536" s="573">
        <v>15.25</v>
      </c>
      <c r="BD1536" s="571">
        <f t="shared" si="214"/>
        <v>0</v>
      </c>
      <c r="BE1536" s="571">
        <f t="shared" si="218"/>
        <v>0</v>
      </c>
      <c r="BF1536" s="586">
        <f t="shared" si="215"/>
        <v>0</v>
      </c>
      <c r="BG1536" s="586" t="e">
        <f t="shared" si="216"/>
        <v>#DIV/0!</v>
      </c>
      <c r="BH1536" s="571" t="e">
        <f t="shared" si="217"/>
        <v>#DIV/0!</v>
      </c>
    </row>
    <row r="1537" spans="55:60" s="39" customFormat="1">
      <c r="BC1537" s="573">
        <v>15.26</v>
      </c>
      <c r="BD1537" s="571">
        <f t="shared" si="214"/>
        <v>0</v>
      </c>
      <c r="BE1537" s="571">
        <f t="shared" si="218"/>
        <v>0</v>
      </c>
      <c r="BF1537" s="586">
        <f t="shared" si="215"/>
        <v>0</v>
      </c>
      <c r="BG1537" s="586" t="e">
        <f t="shared" si="216"/>
        <v>#DIV/0!</v>
      </c>
      <c r="BH1537" s="571" t="e">
        <f t="shared" si="217"/>
        <v>#DIV/0!</v>
      </c>
    </row>
    <row r="1538" spans="55:60" s="39" customFormat="1">
      <c r="BC1538" s="573">
        <v>15.27</v>
      </c>
      <c r="BD1538" s="571">
        <f t="shared" si="214"/>
        <v>0</v>
      </c>
      <c r="BE1538" s="571">
        <f t="shared" si="218"/>
        <v>0</v>
      </c>
      <c r="BF1538" s="586">
        <f t="shared" si="215"/>
        <v>0</v>
      </c>
      <c r="BG1538" s="586" t="e">
        <f t="shared" si="216"/>
        <v>#DIV/0!</v>
      </c>
      <c r="BH1538" s="571" t="e">
        <f t="shared" si="217"/>
        <v>#DIV/0!</v>
      </c>
    </row>
    <row r="1539" spans="55:60" s="39" customFormat="1">
      <c r="BC1539" s="573">
        <v>15.28</v>
      </c>
      <c r="BD1539" s="571">
        <f t="shared" si="214"/>
        <v>0</v>
      </c>
      <c r="BE1539" s="571">
        <f t="shared" si="218"/>
        <v>0</v>
      </c>
      <c r="BF1539" s="586">
        <f t="shared" si="215"/>
        <v>0</v>
      </c>
      <c r="BG1539" s="586" t="e">
        <f t="shared" si="216"/>
        <v>#DIV/0!</v>
      </c>
      <c r="BH1539" s="571" t="e">
        <f t="shared" si="217"/>
        <v>#DIV/0!</v>
      </c>
    </row>
    <row r="1540" spans="55:60" s="39" customFormat="1">
      <c r="BC1540" s="573">
        <v>15.29</v>
      </c>
      <c r="BD1540" s="571">
        <f t="shared" si="214"/>
        <v>0</v>
      </c>
      <c r="BE1540" s="571">
        <f t="shared" si="218"/>
        <v>0</v>
      </c>
      <c r="BF1540" s="586">
        <f t="shared" si="215"/>
        <v>0</v>
      </c>
      <c r="BG1540" s="586" t="e">
        <f t="shared" si="216"/>
        <v>#DIV/0!</v>
      </c>
      <c r="BH1540" s="571" t="e">
        <f t="shared" si="217"/>
        <v>#DIV/0!</v>
      </c>
    </row>
    <row r="1541" spans="55:60" s="39" customFormat="1">
      <c r="BC1541" s="573">
        <v>15.3</v>
      </c>
      <c r="BD1541" s="571">
        <f t="shared" si="214"/>
        <v>0</v>
      </c>
      <c r="BE1541" s="571">
        <f t="shared" si="218"/>
        <v>0</v>
      </c>
      <c r="BF1541" s="586">
        <f t="shared" si="215"/>
        <v>0</v>
      </c>
      <c r="BG1541" s="586" t="e">
        <f t="shared" si="216"/>
        <v>#DIV/0!</v>
      </c>
      <c r="BH1541" s="571" t="e">
        <f t="shared" si="217"/>
        <v>#DIV/0!</v>
      </c>
    </row>
    <row r="1542" spans="55:60" s="39" customFormat="1">
      <c r="BC1542" s="573">
        <v>15.31</v>
      </c>
      <c r="BD1542" s="571">
        <f t="shared" si="214"/>
        <v>0</v>
      </c>
      <c r="BE1542" s="571">
        <f t="shared" si="218"/>
        <v>0</v>
      </c>
      <c r="BF1542" s="586">
        <f t="shared" si="215"/>
        <v>0</v>
      </c>
      <c r="BG1542" s="586" t="e">
        <f t="shared" si="216"/>
        <v>#DIV/0!</v>
      </c>
      <c r="BH1542" s="571" t="e">
        <f t="shared" si="217"/>
        <v>#DIV/0!</v>
      </c>
    </row>
    <row r="1543" spans="55:60" s="39" customFormat="1">
      <c r="BC1543" s="573">
        <v>15.32</v>
      </c>
      <c r="BD1543" s="571">
        <f t="shared" si="214"/>
        <v>0</v>
      </c>
      <c r="BE1543" s="571">
        <f t="shared" si="218"/>
        <v>0</v>
      </c>
      <c r="BF1543" s="586">
        <f t="shared" si="215"/>
        <v>0</v>
      </c>
      <c r="BG1543" s="586" t="e">
        <f t="shared" si="216"/>
        <v>#DIV/0!</v>
      </c>
      <c r="BH1543" s="571" t="e">
        <f t="shared" si="217"/>
        <v>#DIV/0!</v>
      </c>
    </row>
    <row r="1544" spans="55:60" s="39" customFormat="1">
      <c r="BC1544" s="573">
        <v>15.33</v>
      </c>
      <c r="BD1544" s="571">
        <f t="shared" si="214"/>
        <v>0</v>
      </c>
      <c r="BE1544" s="571">
        <f t="shared" si="218"/>
        <v>0</v>
      </c>
      <c r="BF1544" s="586">
        <f t="shared" si="215"/>
        <v>0</v>
      </c>
      <c r="BG1544" s="586" t="e">
        <f t="shared" si="216"/>
        <v>#DIV/0!</v>
      </c>
      <c r="BH1544" s="571" t="e">
        <f t="shared" si="217"/>
        <v>#DIV/0!</v>
      </c>
    </row>
    <row r="1545" spans="55:60" s="39" customFormat="1">
      <c r="BC1545" s="573">
        <v>15.34</v>
      </c>
      <c r="BD1545" s="571">
        <f t="shared" si="214"/>
        <v>0</v>
      </c>
      <c r="BE1545" s="571">
        <f t="shared" si="218"/>
        <v>0</v>
      </c>
      <c r="BF1545" s="586">
        <f t="shared" si="215"/>
        <v>0</v>
      </c>
      <c r="BG1545" s="586" t="e">
        <f t="shared" si="216"/>
        <v>#DIV/0!</v>
      </c>
      <c r="BH1545" s="571" t="e">
        <f t="shared" si="217"/>
        <v>#DIV/0!</v>
      </c>
    </row>
    <row r="1546" spans="55:60" s="39" customFormat="1">
      <c r="BC1546" s="573">
        <v>15.35</v>
      </c>
      <c r="BD1546" s="571">
        <f t="shared" si="214"/>
        <v>0</v>
      </c>
      <c r="BE1546" s="571">
        <f t="shared" si="218"/>
        <v>0</v>
      </c>
      <c r="BF1546" s="586">
        <f t="shared" si="215"/>
        <v>0</v>
      </c>
      <c r="BG1546" s="586" t="e">
        <f t="shared" si="216"/>
        <v>#DIV/0!</v>
      </c>
      <c r="BH1546" s="571" t="e">
        <f t="shared" si="217"/>
        <v>#DIV/0!</v>
      </c>
    </row>
    <row r="1547" spans="55:60" s="39" customFormat="1">
      <c r="BC1547" s="573">
        <v>15.36</v>
      </c>
      <c r="BD1547" s="571">
        <f t="shared" si="214"/>
        <v>0</v>
      </c>
      <c r="BE1547" s="571">
        <f t="shared" si="218"/>
        <v>0</v>
      </c>
      <c r="BF1547" s="586">
        <f t="shared" si="215"/>
        <v>0</v>
      </c>
      <c r="BG1547" s="586" t="e">
        <f t="shared" si="216"/>
        <v>#DIV/0!</v>
      </c>
      <c r="BH1547" s="571" t="e">
        <f t="shared" si="217"/>
        <v>#DIV/0!</v>
      </c>
    </row>
    <row r="1548" spans="55:60" s="39" customFormat="1">
      <c r="BC1548" s="573">
        <v>15.37</v>
      </c>
      <c r="BD1548" s="571">
        <f t="shared" ref="BD1548:BD1611" si="219">$AU$15/BC1548</f>
        <v>0</v>
      </c>
      <c r="BE1548" s="571">
        <f t="shared" si="218"/>
        <v>0</v>
      </c>
      <c r="BF1548" s="586">
        <f t="shared" ref="BF1548:BF1611" si="220">BC1548*(BE1548/1000)/$AO$12</f>
        <v>0</v>
      </c>
      <c r="BG1548" s="586" t="e">
        <f t="shared" ref="BG1548:BG1611" si="221">POWER((1/(-1.8*LOG((6.9/BF1548+POWER((($P$7/BE1548)/3.71),1.11)),10))),2)</f>
        <v>#DIV/0!</v>
      </c>
      <c r="BH1548" s="571" t="e">
        <f t="shared" ref="BH1548:BH1611" si="222">BG1548*0.5*$P$6*16*$AU$15*$AU$15/(POWER(PI(),2)*POWER((BE1548/1000),5))</f>
        <v>#DIV/0!</v>
      </c>
    </row>
    <row r="1549" spans="55:60" s="39" customFormat="1">
      <c r="BC1549" s="573">
        <v>15.38</v>
      </c>
      <c r="BD1549" s="571">
        <f t="shared" si="219"/>
        <v>0</v>
      </c>
      <c r="BE1549" s="571">
        <f t="shared" ref="BE1549:BE1612" si="223">((BD1549/PI())^0.5)*2*1000</f>
        <v>0</v>
      </c>
      <c r="BF1549" s="586">
        <f t="shared" si="220"/>
        <v>0</v>
      </c>
      <c r="BG1549" s="586" t="e">
        <f t="shared" si="221"/>
        <v>#DIV/0!</v>
      </c>
      <c r="BH1549" s="571" t="e">
        <f t="shared" si="222"/>
        <v>#DIV/0!</v>
      </c>
    </row>
    <row r="1550" spans="55:60" s="39" customFormat="1">
      <c r="BC1550" s="573">
        <v>15.39</v>
      </c>
      <c r="BD1550" s="571">
        <f t="shared" si="219"/>
        <v>0</v>
      </c>
      <c r="BE1550" s="571">
        <f t="shared" si="223"/>
        <v>0</v>
      </c>
      <c r="BF1550" s="586">
        <f t="shared" si="220"/>
        <v>0</v>
      </c>
      <c r="BG1550" s="586" t="e">
        <f t="shared" si="221"/>
        <v>#DIV/0!</v>
      </c>
      <c r="BH1550" s="571" t="e">
        <f t="shared" si="222"/>
        <v>#DIV/0!</v>
      </c>
    </row>
    <row r="1551" spans="55:60" s="39" customFormat="1">
      <c r="BC1551" s="573">
        <v>15.4</v>
      </c>
      <c r="BD1551" s="571">
        <f t="shared" si="219"/>
        <v>0</v>
      </c>
      <c r="BE1551" s="571">
        <f t="shared" si="223"/>
        <v>0</v>
      </c>
      <c r="BF1551" s="586">
        <f t="shared" si="220"/>
        <v>0</v>
      </c>
      <c r="BG1551" s="586" t="e">
        <f t="shared" si="221"/>
        <v>#DIV/0!</v>
      </c>
      <c r="BH1551" s="571" t="e">
        <f t="shared" si="222"/>
        <v>#DIV/0!</v>
      </c>
    </row>
    <row r="1552" spans="55:60" s="39" customFormat="1">
      <c r="BC1552" s="573">
        <v>15.41</v>
      </c>
      <c r="BD1552" s="571">
        <f t="shared" si="219"/>
        <v>0</v>
      </c>
      <c r="BE1552" s="571">
        <f t="shared" si="223"/>
        <v>0</v>
      </c>
      <c r="BF1552" s="586">
        <f t="shared" si="220"/>
        <v>0</v>
      </c>
      <c r="BG1552" s="586" t="e">
        <f t="shared" si="221"/>
        <v>#DIV/0!</v>
      </c>
      <c r="BH1552" s="571" t="e">
        <f t="shared" si="222"/>
        <v>#DIV/0!</v>
      </c>
    </row>
    <row r="1553" spans="55:60" s="39" customFormat="1">
      <c r="BC1553" s="573">
        <v>15.42</v>
      </c>
      <c r="BD1553" s="571">
        <f t="shared" si="219"/>
        <v>0</v>
      </c>
      <c r="BE1553" s="571">
        <f t="shared" si="223"/>
        <v>0</v>
      </c>
      <c r="BF1553" s="586">
        <f t="shared" si="220"/>
        <v>0</v>
      </c>
      <c r="BG1553" s="586" t="e">
        <f t="shared" si="221"/>
        <v>#DIV/0!</v>
      </c>
      <c r="BH1553" s="571" t="e">
        <f t="shared" si="222"/>
        <v>#DIV/0!</v>
      </c>
    </row>
    <row r="1554" spans="55:60" s="39" customFormat="1">
      <c r="BC1554" s="573">
        <v>15.43</v>
      </c>
      <c r="BD1554" s="571">
        <f t="shared" si="219"/>
        <v>0</v>
      </c>
      <c r="BE1554" s="571">
        <f t="shared" si="223"/>
        <v>0</v>
      </c>
      <c r="BF1554" s="586">
        <f t="shared" si="220"/>
        <v>0</v>
      </c>
      <c r="BG1554" s="586" t="e">
        <f t="shared" si="221"/>
        <v>#DIV/0!</v>
      </c>
      <c r="BH1554" s="571" t="e">
        <f t="shared" si="222"/>
        <v>#DIV/0!</v>
      </c>
    </row>
    <row r="1555" spans="55:60" s="39" customFormat="1">
      <c r="BC1555" s="573">
        <v>15.44</v>
      </c>
      <c r="BD1555" s="571">
        <f t="shared" si="219"/>
        <v>0</v>
      </c>
      <c r="BE1555" s="571">
        <f t="shared" si="223"/>
        <v>0</v>
      </c>
      <c r="BF1555" s="586">
        <f t="shared" si="220"/>
        <v>0</v>
      </c>
      <c r="BG1555" s="586" t="e">
        <f t="shared" si="221"/>
        <v>#DIV/0!</v>
      </c>
      <c r="BH1555" s="571" t="e">
        <f t="shared" si="222"/>
        <v>#DIV/0!</v>
      </c>
    </row>
    <row r="1556" spans="55:60" s="39" customFormat="1">
      <c r="BC1556" s="573">
        <v>15.45</v>
      </c>
      <c r="BD1556" s="571">
        <f t="shared" si="219"/>
        <v>0</v>
      </c>
      <c r="BE1556" s="571">
        <f t="shared" si="223"/>
        <v>0</v>
      </c>
      <c r="BF1556" s="586">
        <f t="shared" si="220"/>
        <v>0</v>
      </c>
      <c r="BG1556" s="586" t="e">
        <f t="shared" si="221"/>
        <v>#DIV/0!</v>
      </c>
      <c r="BH1556" s="571" t="e">
        <f t="shared" si="222"/>
        <v>#DIV/0!</v>
      </c>
    </row>
    <row r="1557" spans="55:60" s="39" customFormat="1">
      <c r="BC1557" s="573">
        <v>15.46</v>
      </c>
      <c r="BD1557" s="571">
        <f t="shared" si="219"/>
        <v>0</v>
      </c>
      <c r="BE1557" s="571">
        <f t="shared" si="223"/>
        <v>0</v>
      </c>
      <c r="BF1557" s="586">
        <f t="shared" si="220"/>
        <v>0</v>
      </c>
      <c r="BG1557" s="586" t="e">
        <f t="shared" si="221"/>
        <v>#DIV/0!</v>
      </c>
      <c r="BH1557" s="571" t="e">
        <f t="shared" si="222"/>
        <v>#DIV/0!</v>
      </c>
    </row>
    <row r="1558" spans="55:60" s="39" customFormat="1">
      <c r="BC1558" s="573">
        <v>15.47</v>
      </c>
      <c r="BD1558" s="571">
        <f t="shared" si="219"/>
        <v>0</v>
      </c>
      <c r="BE1558" s="571">
        <f t="shared" si="223"/>
        <v>0</v>
      </c>
      <c r="BF1558" s="586">
        <f t="shared" si="220"/>
        <v>0</v>
      </c>
      <c r="BG1558" s="586" t="e">
        <f t="shared" si="221"/>
        <v>#DIV/0!</v>
      </c>
      <c r="BH1558" s="571" t="e">
        <f t="shared" si="222"/>
        <v>#DIV/0!</v>
      </c>
    </row>
    <row r="1559" spans="55:60" s="39" customFormat="1">
      <c r="BC1559" s="573">
        <v>15.48</v>
      </c>
      <c r="BD1559" s="571">
        <f t="shared" si="219"/>
        <v>0</v>
      </c>
      <c r="BE1559" s="571">
        <f t="shared" si="223"/>
        <v>0</v>
      </c>
      <c r="BF1559" s="586">
        <f t="shared" si="220"/>
        <v>0</v>
      </c>
      <c r="BG1559" s="586" t="e">
        <f t="shared" si="221"/>
        <v>#DIV/0!</v>
      </c>
      <c r="BH1559" s="571" t="e">
        <f t="shared" si="222"/>
        <v>#DIV/0!</v>
      </c>
    </row>
    <row r="1560" spans="55:60" s="39" customFormat="1">
      <c r="BC1560" s="573">
        <v>15.49</v>
      </c>
      <c r="BD1560" s="571">
        <f t="shared" si="219"/>
        <v>0</v>
      </c>
      <c r="BE1560" s="571">
        <f t="shared" si="223"/>
        <v>0</v>
      </c>
      <c r="BF1560" s="586">
        <f t="shared" si="220"/>
        <v>0</v>
      </c>
      <c r="BG1560" s="586" t="e">
        <f t="shared" si="221"/>
        <v>#DIV/0!</v>
      </c>
      <c r="BH1560" s="571" t="e">
        <f t="shared" si="222"/>
        <v>#DIV/0!</v>
      </c>
    </row>
    <row r="1561" spans="55:60" s="39" customFormat="1">
      <c r="BC1561" s="573">
        <v>15.5</v>
      </c>
      <c r="BD1561" s="571">
        <f t="shared" si="219"/>
        <v>0</v>
      </c>
      <c r="BE1561" s="571">
        <f t="shared" si="223"/>
        <v>0</v>
      </c>
      <c r="BF1561" s="586">
        <f t="shared" si="220"/>
        <v>0</v>
      </c>
      <c r="BG1561" s="586" t="e">
        <f t="shared" si="221"/>
        <v>#DIV/0!</v>
      </c>
      <c r="BH1561" s="571" t="e">
        <f t="shared" si="222"/>
        <v>#DIV/0!</v>
      </c>
    </row>
    <row r="1562" spans="55:60" s="39" customFormat="1">
      <c r="BC1562" s="573">
        <v>15.51</v>
      </c>
      <c r="BD1562" s="571">
        <f t="shared" si="219"/>
        <v>0</v>
      </c>
      <c r="BE1562" s="571">
        <f t="shared" si="223"/>
        <v>0</v>
      </c>
      <c r="BF1562" s="586">
        <f t="shared" si="220"/>
        <v>0</v>
      </c>
      <c r="BG1562" s="586" t="e">
        <f t="shared" si="221"/>
        <v>#DIV/0!</v>
      </c>
      <c r="BH1562" s="571" t="e">
        <f t="shared" si="222"/>
        <v>#DIV/0!</v>
      </c>
    </row>
    <row r="1563" spans="55:60" s="39" customFormat="1">
      <c r="BC1563" s="573">
        <v>15.52</v>
      </c>
      <c r="BD1563" s="571">
        <f t="shared" si="219"/>
        <v>0</v>
      </c>
      <c r="BE1563" s="571">
        <f t="shared" si="223"/>
        <v>0</v>
      </c>
      <c r="BF1563" s="586">
        <f t="shared" si="220"/>
        <v>0</v>
      </c>
      <c r="BG1563" s="586" t="e">
        <f t="shared" si="221"/>
        <v>#DIV/0!</v>
      </c>
      <c r="BH1563" s="571" t="e">
        <f t="shared" si="222"/>
        <v>#DIV/0!</v>
      </c>
    </row>
    <row r="1564" spans="55:60" s="39" customFormat="1">
      <c r="BC1564" s="573">
        <v>15.53</v>
      </c>
      <c r="BD1564" s="571">
        <f t="shared" si="219"/>
        <v>0</v>
      </c>
      <c r="BE1564" s="571">
        <f t="shared" si="223"/>
        <v>0</v>
      </c>
      <c r="BF1564" s="586">
        <f t="shared" si="220"/>
        <v>0</v>
      </c>
      <c r="BG1564" s="586" t="e">
        <f t="shared" si="221"/>
        <v>#DIV/0!</v>
      </c>
      <c r="BH1564" s="571" t="e">
        <f t="shared" si="222"/>
        <v>#DIV/0!</v>
      </c>
    </row>
    <row r="1565" spans="55:60" s="39" customFormat="1">
      <c r="BC1565" s="573">
        <v>15.54</v>
      </c>
      <c r="BD1565" s="571">
        <f t="shared" si="219"/>
        <v>0</v>
      </c>
      <c r="BE1565" s="571">
        <f t="shared" si="223"/>
        <v>0</v>
      </c>
      <c r="BF1565" s="586">
        <f t="shared" si="220"/>
        <v>0</v>
      </c>
      <c r="BG1565" s="586" t="e">
        <f t="shared" si="221"/>
        <v>#DIV/0!</v>
      </c>
      <c r="BH1565" s="571" t="e">
        <f t="shared" si="222"/>
        <v>#DIV/0!</v>
      </c>
    </row>
    <row r="1566" spans="55:60" s="39" customFormat="1">
      <c r="BC1566" s="573">
        <v>15.55</v>
      </c>
      <c r="BD1566" s="571">
        <f t="shared" si="219"/>
        <v>0</v>
      </c>
      <c r="BE1566" s="571">
        <f t="shared" si="223"/>
        <v>0</v>
      </c>
      <c r="BF1566" s="586">
        <f t="shared" si="220"/>
        <v>0</v>
      </c>
      <c r="BG1566" s="586" t="e">
        <f t="shared" si="221"/>
        <v>#DIV/0!</v>
      </c>
      <c r="BH1566" s="571" t="e">
        <f t="shared" si="222"/>
        <v>#DIV/0!</v>
      </c>
    </row>
    <row r="1567" spans="55:60" s="39" customFormat="1">
      <c r="BC1567" s="573">
        <v>15.56</v>
      </c>
      <c r="BD1567" s="571">
        <f t="shared" si="219"/>
        <v>0</v>
      </c>
      <c r="BE1567" s="571">
        <f t="shared" si="223"/>
        <v>0</v>
      </c>
      <c r="BF1567" s="586">
        <f t="shared" si="220"/>
        <v>0</v>
      </c>
      <c r="BG1567" s="586" t="e">
        <f t="shared" si="221"/>
        <v>#DIV/0!</v>
      </c>
      <c r="BH1567" s="571" t="e">
        <f t="shared" si="222"/>
        <v>#DIV/0!</v>
      </c>
    </row>
    <row r="1568" spans="55:60" s="39" customFormat="1">
      <c r="BC1568" s="573">
        <v>15.57</v>
      </c>
      <c r="BD1568" s="571">
        <f t="shared" si="219"/>
        <v>0</v>
      </c>
      <c r="BE1568" s="571">
        <f t="shared" si="223"/>
        <v>0</v>
      </c>
      <c r="BF1568" s="586">
        <f t="shared" si="220"/>
        <v>0</v>
      </c>
      <c r="BG1568" s="586" t="e">
        <f t="shared" si="221"/>
        <v>#DIV/0!</v>
      </c>
      <c r="BH1568" s="571" t="e">
        <f t="shared" si="222"/>
        <v>#DIV/0!</v>
      </c>
    </row>
    <row r="1569" spans="55:60" s="39" customFormat="1">
      <c r="BC1569" s="573">
        <v>15.58</v>
      </c>
      <c r="BD1569" s="571">
        <f t="shared" si="219"/>
        <v>0</v>
      </c>
      <c r="BE1569" s="571">
        <f t="shared" si="223"/>
        <v>0</v>
      </c>
      <c r="BF1569" s="586">
        <f t="shared" si="220"/>
        <v>0</v>
      </c>
      <c r="BG1569" s="586" t="e">
        <f t="shared" si="221"/>
        <v>#DIV/0!</v>
      </c>
      <c r="BH1569" s="571" t="e">
        <f t="shared" si="222"/>
        <v>#DIV/0!</v>
      </c>
    </row>
    <row r="1570" spans="55:60" s="39" customFormat="1">
      <c r="BC1570" s="573">
        <v>15.59</v>
      </c>
      <c r="BD1570" s="571">
        <f t="shared" si="219"/>
        <v>0</v>
      </c>
      <c r="BE1570" s="571">
        <f t="shared" si="223"/>
        <v>0</v>
      </c>
      <c r="BF1570" s="586">
        <f t="shared" si="220"/>
        <v>0</v>
      </c>
      <c r="BG1570" s="586" t="e">
        <f t="shared" si="221"/>
        <v>#DIV/0!</v>
      </c>
      <c r="BH1570" s="571" t="e">
        <f t="shared" si="222"/>
        <v>#DIV/0!</v>
      </c>
    </row>
    <row r="1571" spans="55:60" s="39" customFormat="1">
      <c r="BC1571" s="573">
        <v>15.6</v>
      </c>
      <c r="BD1571" s="571">
        <f t="shared" si="219"/>
        <v>0</v>
      </c>
      <c r="BE1571" s="571">
        <f t="shared" si="223"/>
        <v>0</v>
      </c>
      <c r="BF1571" s="586">
        <f t="shared" si="220"/>
        <v>0</v>
      </c>
      <c r="BG1571" s="586" t="e">
        <f t="shared" si="221"/>
        <v>#DIV/0!</v>
      </c>
      <c r="BH1571" s="571" t="e">
        <f t="shared" si="222"/>
        <v>#DIV/0!</v>
      </c>
    </row>
    <row r="1572" spans="55:60" s="39" customFormat="1">
      <c r="BC1572" s="573">
        <v>15.61</v>
      </c>
      <c r="BD1572" s="571">
        <f t="shared" si="219"/>
        <v>0</v>
      </c>
      <c r="BE1572" s="571">
        <f t="shared" si="223"/>
        <v>0</v>
      </c>
      <c r="BF1572" s="586">
        <f t="shared" si="220"/>
        <v>0</v>
      </c>
      <c r="BG1572" s="586" t="e">
        <f t="shared" si="221"/>
        <v>#DIV/0!</v>
      </c>
      <c r="BH1572" s="571" t="e">
        <f t="shared" si="222"/>
        <v>#DIV/0!</v>
      </c>
    </row>
    <row r="1573" spans="55:60" s="39" customFormat="1">
      <c r="BC1573" s="573">
        <v>15.62</v>
      </c>
      <c r="BD1573" s="571">
        <f t="shared" si="219"/>
        <v>0</v>
      </c>
      <c r="BE1573" s="571">
        <f t="shared" si="223"/>
        <v>0</v>
      </c>
      <c r="BF1573" s="586">
        <f t="shared" si="220"/>
        <v>0</v>
      </c>
      <c r="BG1573" s="586" t="e">
        <f t="shared" si="221"/>
        <v>#DIV/0!</v>
      </c>
      <c r="BH1573" s="571" t="e">
        <f t="shared" si="222"/>
        <v>#DIV/0!</v>
      </c>
    </row>
    <row r="1574" spans="55:60" s="39" customFormat="1">
      <c r="BC1574" s="573">
        <v>15.63</v>
      </c>
      <c r="BD1574" s="571">
        <f t="shared" si="219"/>
        <v>0</v>
      </c>
      <c r="BE1574" s="571">
        <f t="shared" si="223"/>
        <v>0</v>
      </c>
      <c r="BF1574" s="586">
        <f t="shared" si="220"/>
        <v>0</v>
      </c>
      <c r="BG1574" s="586" t="e">
        <f t="shared" si="221"/>
        <v>#DIV/0!</v>
      </c>
      <c r="BH1574" s="571" t="e">
        <f t="shared" si="222"/>
        <v>#DIV/0!</v>
      </c>
    </row>
    <row r="1575" spans="55:60" s="39" customFormat="1">
      <c r="BC1575" s="573">
        <v>15.64</v>
      </c>
      <c r="BD1575" s="571">
        <f t="shared" si="219"/>
        <v>0</v>
      </c>
      <c r="BE1575" s="571">
        <f t="shared" si="223"/>
        <v>0</v>
      </c>
      <c r="BF1575" s="586">
        <f t="shared" si="220"/>
        <v>0</v>
      </c>
      <c r="BG1575" s="586" t="e">
        <f t="shared" si="221"/>
        <v>#DIV/0!</v>
      </c>
      <c r="BH1575" s="571" t="e">
        <f t="shared" si="222"/>
        <v>#DIV/0!</v>
      </c>
    </row>
    <row r="1576" spans="55:60" s="39" customFormat="1">
      <c r="BC1576" s="573">
        <v>15.65</v>
      </c>
      <c r="BD1576" s="571">
        <f t="shared" si="219"/>
        <v>0</v>
      </c>
      <c r="BE1576" s="571">
        <f t="shared" si="223"/>
        <v>0</v>
      </c>
      <c r="BF1576" s="586">
        <f t="shared" si="220"/>
        <v>0</v>
      </c>
      <c r="BG1576" s="586" t="e">
        <f t="shared" si="221"/>
        <v>#DIV/0!</v>
      </c>
      <c r="BH1576" s="571" t="e">
        <f t="shared" si="222"/>
        <v>#DIV/0!</v>
      </c>
    </row>
    <row r="1577" spans="55:60" s="39" customFormat="1">
      <c r="BC1577" s="573">
        <v>15.66</v>
      </c>
      <c r="BD1577" s="571">
        <f t="shared" si="219"/>
        <v>0</v>
      </c>
      <c r="BE1577" s="571">
        <f t="shared" si="223"/>
        <v>0</v>
      </c>
      <c r="BF1577" s="586">
        <f t="shared" si="220"/>
        <v>0</v>
      </c>
      <c r="BG1577" s="586" t="e">
        <f t="shared" si="221"/>
        <v>#DIV/0!</v>
      </c>
      <c r="BH1577" s="571" t="e">
        <f t="shared" si="222"/>
        <v>#DIV/0!</v>
      </c>
    </row>
    <row r="1578" spans="55:60" s="39" customFormat="1">
      <c r="BC1578" s="573">
        <v>15.67</v>
      </c>
      <c r="BD1578" s="571">
        <f t="shared" si="219"/>
        <v>0</v>
      </c>
      <c r="BE1578" s="571">
        <f t="shared" si="223"/>
        <v>0</v>
      </c>
      <c r="BF1578" s="586">
        <f t="shared" si="220"/>
        <v>0</v>
      </c>
      <c r="BG1578" s="586" t="e">
        <f t="shared" si="221"/>
        <v>#DIV/0!</v>
      </c>
      <c r="BH1578" s="571" t="e">
        <f t="shared" si="222"/>
        <v>#DIV/0!</v>
      </c>
    </row>
    <row r="1579" spans="55:60" s="39" customFormat="1">
      <c r="BC1579" s="573">
        <v>15.68</v>
      </c>
      <c r="BD1579" s="571">
        <f t="shared" si="219"/>
        <v>0</v>
      </c>
      <c r="BE1579" s="571">
        <f t="shared" si="223"/>
        <v>0</v>
      </c>
      <c r="BF1579" s="586">
        <f t="shared" si="220"/>
        <v>0</v>
      </c>
      <c r="BG1579" s="586" t="e">
        <f t="shared" si="221"/>
        <v>#DIV/0!</v>
      </c>
      <c r="BH1579" s="571" t="e">
        <f t="shared" si="222"/>
        <v>#DIV/0!</v>
      </c>
    </row>
    <row r="1580" spans="55:60" s="39" customFormat="1">
      <c r="BC1580" s="573">
        <v>15.69</v>
      </c>
      <c r="BD1580" s="571">
        <f t="shared" si="219"/>
        <v>0</v>
      </c>
      <c r="BE1580" s="571">
        <f t="shared" si="223"/>
        <v>0</v>
      </c>
      <c r="BF1580" s="586">
        <f t="shared" si="220"/>
        <v>0</v>
      </c>
      <c r="BG1580" s="586" t="e">
        <f t="shared" si="221"/>
        <v>#DIV/0!</v>
      </c>
      <c r="BH1580" s="571" t="e">
        <f t="shared" si="222"/>
        <v>#DIV/0!</v>
      </c>
    </row>
    <row r="1581" spans="55:60" s="39" customFormat="1">
      <c r="BC1581" s="573">
        <v>15.7</v>
      </c>
      <c r="BD1581" s="571">
        <f t="shared" si="219"/>
        <v>0</v>
      </c>
      <c r="BE1581" s="571">
        <f t="shared" si="223"/>
        <v>0</v>
      </c>
      <c r="BF1581" s="586">
        <f t="shared" si="220"/>
        <v>0</v>
      </c>
      <c r="BG1581" s="586" t="e">
        <f t="shared" si="221"/>
        <v>#DIV/0!</v>
      </c>
      <c r="BH1581" s="571" t="e">
        <f t="shared" si="222"/>
        <v>#DIV/0!</v>
      </c>
    </row>
    <row r="1582" spans="55:60" s="39" customFormat="1">
      <c r="BC1582" s="573">
        <v>15.71</v>
      </c>
      <c r="BD1582" s="571">
        <f t="shared" si="219"/>
        <v>0</v>
      </c>
      <c r="BE1582" s="571">
        <f t="shared" si="223"/>
        <v>0</v>
      </c>
      <c r="BF1582" s="586">
        <f t="shared" si="220"/>
        <v>0</v>
      </c>
      <c r="BG1582" s="586" t="e">
        <f t="shared" si="221"/>
        <v>#DIV/0!</v>
      </c>
      <c r="BH1582" s="571" t="e">
        <f t="shared" si="222"/>
        <v>#DIV/0!</v>
      </c>
    </row>
    <row r="1583" spans="55:60" s="39" customFormat="1">
      <c r="BC1583" s="573">
        <v>15.72</v>
      </c>
      <c r="BD1583" s="571">
        <f t="shared" si="219"/>
        <v>0</v>
      </c>
      <c r="BE1583" s="571">
        <f t="shared" si="223"/>
        <v>0</v>
      </c>
      <c r="BF1583" s="586">
        <f t="shared" si="220"/>
        <v>0</v>
      </c>
      <c r="BG1583" s="586" t="e">
        <f t="shared" si="221"/>
        <v>#DIV/0!</v>
      </c>
      <c r="BH1583" s="571" t="e">
        <f t="shared" si="222"/>
        <v>#DIV/0!</v>
      </c>
    </row>
    <row r="1584" spans="55:60" s="39" customFormat="1">
      <c r="BC1584" s="573">
        <v>15.73</v>
      </c>
      <c r="BD1584" s="571">
        <f t="shared" si="219"/>
        <v>0</v>
      </c>
      <c r="BE1584" s="571">
        <f t="shared" si="223"/>
        <v>0</v>
      </c>
      <c r="BF1584" s="586">
        <f t="shared" si="220"/>
        <v>0</v>
      </c>
      <c r="BG1584" s="586" t="e">
        <f t="shared" si="221"/>
        <v>#DIV/0!</v>
      </c>
      <c r="BH1584" s="571" t="e">
        <f t="shared" si="222"/>
        <v>#DIV/0!</v>
      </c>
    </row>
    <row r="1585" spans="55:60" s="39" customFormat="1">
      <c r="BC1585" s="573">
        <v>15.74</v>
      </c>
      <c r="BD1585" s="571">
        <f t="shared" si="219"/>
        <v>0</v>
      </c>
      <c r="BE1585" s="571">
        <f t="shared" si="223"/>
        <v>0</v>
      </c>
      <c r="BF1585" s="586">
        <f t="shared" si="220"/>
        <v>0</v>
      </c>
      <c r="BG1585" s="586" t="e">
        <f t="shared" si="221"/>
        <v>#DIV/0!</v>
      </c>
      <c r="BH1585" s="571" t="e">
        <f t="shared" si="222"/>
        <v>#DIV/0!</v>
      </c>
    </row>
    <row r="1586" spans="55:60" s="39" customFormat="1">
      <c r="BC1586" s="573">
        <v>15.75</v>
      </c>
      <c r="BD1586" s="571">
        <f t="shared" si="219"/>
        <v>0</v>
      </c>
      <c r="BE1586" s="571">
        <f t="shared" si="223"/>
        <v>0</v>
      </c>
      <c r="BF1586" s="586">
        <f t="shared" si="220"/>
        <v>0</v>
      </c>
      <c r="BG1586" s="586" t="e">
        <f t="shared" si="221"/>
        <v>#DIV/0!</v>
      </c>
      <c r="BH1586" s="571" t="e">
        <f t="shared" si="222"/>
        <v>#DIV/0!</v>
      </c>
    </row>
    <row r="1587" spans="55:60" s="39" customFormat="1">
      <c r="BC1587" s="573">
        <v>15.76</v>
      </c>
      <c r="BD1587" s="571">
        <f t="shared" si="219"/>
        <v>0</v>
      </c>
      <c r="BE1587" s="571">
        <f t="shared" si="223"/>
        <v>0</v>
      </c>
      <c r="BF1587" s="586">
        <f t="shared" si="220"/>
        <v>0</v>
      </c>
      <c r="BG1587" s="586" t="e">
        <f t="shared" si="221"/>
        <v>#DIV/0!</v>
      </c>
      <c r="BH1587" s="571" t="e">
        <f t="shared" si="222"/>
        <v>#DIV/0!</v>
      </c>
    </row>
    <row r="1588" spans="55:60" s="39" customFormat="1">
      <c r="BC1588" s="573">
        <v>15.77</v>
      </c>
      <c r="BD1588" s="571">
        <f t="shared" si="219"/>
        <v>0</v>
      </c>
      <c r="BE1588" s="571">
        <f t="shared" si="223"/>
        <v>0</v>
      </c>
      <c r="BF1588" s="586">
        <f t="shared" si="220"/>
        <v>0</v>
      </c>
      <c r="BG1588" s="586" t="e">
        <f t="shared" si="221"/>
        <v>#DIV/0!</v>
      </c>
      <c r="BH1588" s="571" t="e">
        <f t="shared" si="222"/>
        <v>#DIV/0!</v>
      </c>
    </row>
    <row r="1589" spans="55:60" s="39" customFormat="1">
      <c r="BC1589" s="573">
        <v>15.78</v>
      </c>
      <c r="BD1589" s="571">
        <f t="shared" si="219"/>
        <v>0</v>
      </c>
      <c r="BE1589" s="571">
        <f t="shared" si="223"/>
        <v>0</v>
      </c>
      <c r="BF1589" s="586">
        <f t="shared" si="220"/>
        <v>0</v>
      </c>
      <c r="BG1589" s="586" t="e">
        <f t="shared" si="221"/>
        <v>#DIV/0!</v>
      </c>
      <c r="BH1589" s="571" t="e">
        <f t="shared" si="222"/>
        <v>#DIV/0!</v>
      </c>
    </row>
    <row r="1590" spans="55:60" s="39" customFormat="1">
      <c r="BC1590" s="573">
        <v>15.79</v>
      </c>
      <c r="BD1590" s="571">
        <f t="shared" si="219"/>
        <v>0</v>
      </c>
      <c r="BE1590" s="571">
        <f t="shared" si="223"/>
        <v>0</v>
      </c>
      <c r="BF1590" s="586">
        <f t="shared" si="220"/>
        <v>0</v>
      </c>
      <c r="BG1590" s="586" t="e">
        <f t="shared" si="221"/>
        <v>#DIV/0!</v>
      </c>
      <c r="BH1590" s="571" t="e">
        <f t="shared" si="222"/>
        <v>#DIV/0!</v>
      </c>
    </row>
    <row r="1591" spans="55:60" s="39" customFormat="1">
      <c r="BC1591" s="573">
        <v>15.8</v>
      </c>
      <c r="BD1591" s="571">
        <f t="shared" si="219"/>
        <v>0</v>
      </c>
      <c r="BE1591" s="571">
        <f t="shared" si="223"/>
        <v>0</v>
      </c>
      <c r="BF1591" s="586">
        <f t="shared" si="220"/>
        <v>0</v>
      </c>
      <c r="BG1591" s="586" t="e">
        <f t="shared" si="221"/>
        <v>#DIV/0!</v>
      </c>
      <c r="BH1591" s="571" t="e">
        <f t="shared" si="222"/>
        <v>#DIV/0!</v>
      </c>
    </row>
    <row r="1592" spans="55:60" s="39" customFormat="1">
      <c r="BC1592" s="573">
        <v>15.81</v>
      </c>
      <c r="BD1592" s="571">
        <f t="shared" si="219"/>
        <v>0</v>
      </c>
      <c r="BE1592" s="571">
        <f t="shared" si="223"/>
        <v>0</v>
      </c>
      <c r="BF1592" s="586">
        <f t="shared" si="220"/>
        <v>0</v>
      </c>
      <c r="BG1592" s="586" t="e">
        <f t="shared" si="221"/>
        <v>#DIV/0!</v>
      </c>
      <c r="BH1592" s="571" t="e">
        <f t="shared" si="222"/>
        <v>#DIV/0!</v>
      </c>
    </row>
    <row r="1593" spans="55:60" s="39" customFormat="1">
      <c r="BC1593" s="573">
        <v>15.82</v>
      </c>
      <c r="BD1593" s="571">
        <f t="shared" si="219"/>
        <v>0</v>
      </c>
      <c r="BE1593" s="571">
        <f t="shared" si="223"/>
        <v>0</v>
      </c>
      <c r="BF1593" s="586">
        <f t="shared" si="220"/>
        <v>0</v>
      </c>
      <c r="BG1593" s="586" t="e">
        <f t="shared" si="221"/>
        <v>#DIV/0!</v>
      </c>
      <c r="BH1593" s="571" t="e">
        <f t="shared" si="222"/>
        <v>#DIV/0!</v>
      </c>
    </row>
    <row r="1594" spans="55:60" s="39" customFormat="1">
      <c r="BC1594" s="573">
        <v>15.83</v>
      </c>
      <c r="BD1594" s="571">
        <f t="shared" si="219"/>
        <v>0</v>
      </c>
      <c r="BE1594" s="571">
        <f t="shared" si="223"/>
        <v>0</v>
      </c>
      <c r="BF1594" s="586">
        <f t="shared" si="220"/>
        <v>0</v>
      </c>
      <c r="BG1594" s="586" t="e">
        <f t="shared" si="221"/>
        <v>#DIV/0!</v>
      </c>
      <c r="BH1594" s="571" t="e">
        <f t="shared" si="222"/>
        <v>#DIV/0!</v>
      </c>
    </row>
    <row r="1595" spans="55:60" s="39" customFormat="1">
      <c r="BC1595" s="573">
        <v>15.84</v>
      </c>
      <c r="BD1595" s="571">
        <f t="shared" si="219"/>
        <v>0</v>
      </c>
      <c r="BE1595" s="571">
        <f t="shared" si="223"/>
        <v>0</v>
      </c>
      <c r="BF1595" s="586">
        <f t="shared" si="220"/>
        <v>0</v>
      </c>
      <c r="BG1595" s="586" t="e">
        <f t="shared" si="221"/>
        <v>#DIV/0!</v>
      </c>
      <c r="BH1595" s="571" t="e">
        <f t="shared" si="222"/>
        <v>#DIV/0!</v>
      </c>
    </row>
    <row r="1596" spans="55:60" s="39" customFormat="1">
      <c r="BC1596" s="573">
        <v>15.85</v>
      </c>
      <c r="BD1596" s="571">
        <f t="shared" si="219"/>
        <v>0</v>
      </c>
      <c r="BE1596" s="571">
        <f t="shared" si="223"/>
        <v>0</v>
      </c>
      <c r="BF1596" s="586">
        <f t="shared" si="220"/>
        <v>0</v>
      </c>
      <c r="BG1596" s="586" t="e">
        <f t="shared" si="221"/>
        <v>#DIV/0!</v>
      </c>
      <c r="BH1596" s="571" t="e">
        <f t="shared" si="222"/>
        <v>#DIV/0!</v>
      </c>
    </row>
    <row r="1597" spans="55:60" s="39" customFormat="1">
      <c r="BC1597" s="573">
        <v>15.86</v>
      </c>
      <c r="BD1597" s="571">
        <f t="shared" si="219"/>
        <v>0</v>
      </c>
      <c r="BE1597" s="571">
        <f t="shared" si="223"/>
        <v>0</v>
      </c>
      <c r="BF1597" s="586">
        <f t="shared" si="220"/>
        <v>0</v>
      </c>
      <c r="BG1597" s="586" t="e">
        <f t="shared" si="221"/>
        <v>#DIV/0!</v>
      </c>
      <c r="BH1597" s="571" t="e">
        <f t="shared" si="222"/>
        <v>#DIV/0!</v>
      </c>
    </row>
    <row r="1598" spans="55:60" s="39" customFormat="1">
      <c r="BC1598" s="573">
        <v>15.87</v>
      </c>
      <c r="BD1598" s="571">
        <f t="shared" si="219"/>
        <v>0</v>
      </c>
      <c r="BE1598" s="571">
        <f t="shared" si="223"/>
        <v>0</v>
      </c>
      <c r="BF1598" s="586">
        <f t="shared" si="220"/>
        <v>0</v>
      </c>
      <c r="BG1598" s="586" t="e">
        <f t="shared" si="221"/>
        <v>#DIV/0!</v>
      </c>
      <c r="BH1598" s="571" t="e">
        <f t="shared" si="222"/>
        <v>#DIV/0!</v>
      </c>
    </row>
    <row r="1599" spans="55:60" s="39" customFormat="1">
      <c r="BC1599" s="573">
        <v>15.88</v>
      </c>
      <c r="BD1599" s="571">
        <f t="shared" si="219"/>
        <v>0</v>
      </c>
      <c r="BE1599" s="571">
        <f t="shared" si="223"/>
        <v>0</v>
      </c>
      <c r="BF1599" s="586">
        <f t="shared" si="220"/>
        <v>0</v>
      </c>
      <c r="BG1599" s="586" t="e">
        <f t="shared" si="221"/>
        <v>#DIV/0!</v>
      </c>
      <c r="BH1599" s="571" t="e">
        <f t="shared" si="222"/>
        <v>#DIV/0!</v>
      </c>
    </row>
    <row r="1600" spans="55:60" s="39" customFormat="1">
      <c r="BC1600" s="573">
        <v>15.89</v>
      </c>
      <c r="BD1600" s="571">
        <f t="shared" si="219"/>
        <v>0</v>
      </c>
      <c r="BE1600" s="571">
        <f t="shared" si="223"/>
        <v>0</v>
      </c>
      <c r="BF1600" s="586">
        <f t="shared" si="220"/>
        <v>0</v>
      </c>
      <c r="BG1600" s="586" t="e">
        <f t="shared" si="221"/>
        <v>#DIV/0!</v>
      </c>
      <c r="BH1600" s="571" t="e">
        <f t="shared" si="222"/>
        <v>#DIV/0!</v>
      </c>
    </row>
    <row r="1601" spans="55:60" s="39" customFormat="1">
      <c r="BC1601" s="573">
        <v>15.9</v>
      </c>
      <c r="BD1601" s="571">
        <f t="shared" si="219"/>
        <v>0</v>
      </c>
      <c r="BE1601" s="571">
        <f t="shared" si="223"/>
        <v>0</v>
      </c>
      <c r="BF1601" s="586">
        <f t="shared" si="220"/>
        <v>0</v>
      </c>
      <c r="BG1601" s="586" t="e">
        <f t="shared" si="221"/>
        <v>#DIV/0!</v>
      </c>
      <c r="BH1601" s="571" t="e">
        <f t="shared" si="222"/>
        <v>#DIV/0!</v>
      </c>
    </row>
    <row r="1602" spans="55:60" s="39" customFormat="1">
      <c r="BC1602" s="573">
        <v>15.91</v>
      </c>
      <c r="BD1602" s="571">
        <f t="shared" si="219"/>
        <v>0</v>
      </c>
      <c r="BE1602" s="571">
        <f t="shared" si="223"/>
        <v>0</v>
      </c>
      <c r="BF1602" s="586">
        <f t="shared" si="220"/>
        <v>0</v>
      </c>
      <c r="BG1602" s="586" t="e">
        <f t="shared" si="221"/>
        <v>#DIV/0!</v>
      </c>
      <c r="BH1602" s="571" t="e">
        <f t="shared" si="222"/>
        <v>#DIV/0!</v>
      </c>
    </row>
    <row r="1603" spans="55:60" s="39" customFormat="1">
      <c r="BC1603" s="573">
        <v>15.92</v>
      </c>
      <c r="BD1603" s="571">
        <f t="shared" si="219"/>
        <v>0</v>
      </c>
      <c r="BE1603" s="571">
        <f t="shared" si="223"/>
        <v>0</v>
      </c>
      <c r="BF1603" s="586">
        <f t="shared" si="220"/>
        <v>0</v>
      </c>
      <c r="BG1603" s="586" t="e">
        <f t="shared" si="221"/>
        <v>#DIV/0!</v>
      </c>
      <c r="BH1603" s="571" t="e">
        <f t="shared" si="222"/>
        <v>#DIV/0!</v>
      </c>
    </row>
    <row r="1604" spans="55:60" s="39" customFormat="1">
      <c r="BC1604" s="573">
        <v>15.93</v>
      </c>
      <c r="BD1604" s="571">
        <f t="shared" si="219"/>
        <v>0</v>
      </c>
      <c r="BE1604" s="571">
        <f t="shared" si="223"/>
        <v>0</v>
      </c>
      <c r="BF1604" s="586">
        <f t="shared" si="220"/>
        <v>0</v>
      </c>
      <c r="BG1604" s="586" t="e">
        <f t="shared" si="221"/>
        <v>#DIV/0!</v>
      </c>
      <c r="BH1604" s="571" t="e">
        <f t="shared" si="222"/>
        <v>#DIV/0!</v>
      </c>
    </row>
    <row r="1605" spans="55:60" s="39" customFormat="1">
      <c r="BC1605" s="573">
        <v>15.94</v>
      </c>
      <c r="BD1605" s="571">
        <f t="shared" si="219"/>
        <v>0</v>
      </c>
      <c r="BE1605" s="571">
        <f t="shared" si="223"/>
        <v>0</v>
      </c>
      <c r="BF1605" s="586">
        <f t="shared" si="220"/>
        <v>0</v>
      </c>
      <c r="BG1605" s="586" t="e">
        <f t="shared" si="221"/>
        <v>#DIV/0!</v>
      </c>
      <c r="BH1605" s="571" t="e">
        <f t="shared" si="222"/>
        <v>#DIV/0!</v>
      </c>
    </row>
    <row r="1606" spans="55:60" s="39" customFormat="1">
      <c r="BC1606" s="573">
        <v>15.95</v>
      </c>
      <c r="BD1606" s="571">
        <f t="shared" si="219"/>
        <v>0</v>
      </c>
      <c r="BE1606" s="571">
        <f t="shared" si="223"/>
        <v>0</v>
      </c>
      <c r="BF1606" s="586">
        <f t="shared" si="220"/>
        <v>0</v>
      </c>
      <c r="BG1606" s="586" t="e">
        <f t="shared" si="221"/>
        <v>#DIV/0!</v>
      </c>
      <c r="BH1606" s="571" t="e">
        <f t="shared" si="222"/>
        <v>#DIV/0!</v>
      </c>
    </row>
    <row r="1607" spans="55:60" s="39" customFormat="1">
      <c r="BC1607" s="573">
        <v>15.96</v>
      </c>
      <c r="BD1607" s="571">
        <f t="shared" si="219"/>
        <v>0</v>
      </c>
      <c r="BE1607" s="571">
        <f t="shared" si="223"/>
        <v>0</v>
      </c>
      <c r="BF1607" s="586">
        <f t="shared" si="220"/>
        <v>0</v>
      </c>
      <c r="BG1607" s="586" t="e">
        <f t="shared" si="221"/>
        <v>#DIV/0!</v>
      </c>
      <c r="BH1607" s="571" t="e">
        <f t="shared" si="222"/>
        <v>#DIV/0!</v>
      </c>
    </row>
    <row r="1608" spans="55:60" s="39" customFormat="1">
      <c r="BC1608" s="573">
        <v>15.97</v>
      </c>
      <c r="BD1608" s="571">
        <f t="shared" si="219"/>
        <v>0</v>
      </c>
      <c r="BE1608" s="571">
        <f t="shared" si="223"/>
        <v>0</v>
      </c>
      <c r="BF1608" s="586">
        <f t="shared" si="220"/>
        <v>0</v>
      </c>
      <c r="BG1608" s="586" t="e">
        <f t="shared" si="221"/>
        <v>#DIV/0!</v>
      </c>
      <c r="BH1608" s="571" t="e">
        <f t="shared" si="222"/>
        <v>#DIV/0!</v>
      </c>
    </row>
    <row r="1609" spans="55:60" s="39" customFormat="1">
      <c r="BC1609" s="573">
        <v>15.98</v>
      </c>
      <c r="BD1609" s="571">
        <f t="shared" si="219"/>
        <v>0</v>
      </c>
      <c r="BE1609" s="571">
        <f t="shared" si="223"/>
        <v>0</v>
      </c>
      <c r="BF1609" s="586">
        <f t="shared" si="220"/>
        <v>0</v>
      </c>
      <c r="BG1609" s="586" t="e">
        <f t="shared" si="221"/>
        <v>#DIV/0!</v>
      </c>
      <c r="BH1609" s="571" t="e">
        <f t="shared" si="222"/>
        <v>#DIV/0!</v>
      </c>
    </row>
    <row r="1610" spans="55:60" s="39" customFormat="1">
      <c r="BC1610" s="573">
        <v>15.99</v>
      </c>
      <c r="BD1610" s="571">
        <f t="shared" si="219"/>
        <v>0</v>
      </c>
      <c r="BE1610" s="571">
        <f t="shared" si="223"/>
        <v>0</v>
      </c>
      <c r="BF1610" s="586">
        <f t="shared" si="220"/>
        <v>0</v>
      </c>
      <c r="BG1610" s="586" t="e">
        <f t="shared" si="221"/>
        <v>#DIV/0!</v>
      </c>
      <c r="BH1610" s="571" t="e">
        <f t="shared" si="222"/>
        <v>#DIV/0!</v>
      </c>
    </row>
    <row r="1611" spans="55:60" s="39" customFormat="1">
      <c r="BC1611" s="573">
        <v>16</v>
      </c>
      <c r="BD1611" s="571">
        <f t="shared" si="219"/>
        <v>0</v>
      </c>
      <c r="BE1611" s="571">
        <f t="shared" si="223"/>
        <v>0</v>
      </c>
      <c r="BF1611" s="586">
        <f t="shared" si="220"/>
        <v>0</v>
      </c>
      <c r="BG1611" s="586" t="e">
        <f t="shared" si="221"/>
        <v>#DIV/0!</v>
      </c>
      <c r="BH1611" s="571" t="e">
        <f t="shared" si="222"/>
        <v>#DIV/0!</v>
      </c>
    </row>
    <row r="1612" spans="55:60" s="39" customFormat="1">
      <c r="BC1612" s="573">
        <v>16.010000000000002</v>
      </c>
      <c r="BD1612" s="571">
        <f t="shared" ref="BD1612:BD1675" si="224">$AU$15/BC1612</f>
        <v>0</v>
      </c>
      <c r="BE1612" s="571">
        <f t="shared" si="223"/>
        <v>0</v>
      </c>
      <c r="BF1612" s="586">
        <f t="shared" ref="BF1612:BF1675" si="225">BC1612*(BE1612/1000)/$AO$12</f>
        <v>0</v>
      </c>
      <c r="BG1612" s="586" t="e">
        <f t="shared" ref="BG1612:BG1675" si="226">POWER((1/(-1.8*LOG((6.9/BF1612+POWER((($P$7/BE1612)/3.71),1.11)),10))),2)</f>
        <v>#DIV/0!</v>
      </c>
      <c r="BH1612" s="571" t="e">
        <f t="shared" ref="BH1612:BH1675" si="227">BG1612*0.5*$P$6*16*$AU$15*$AU$15/(POWER(PI(),2)*POWER((BE1612/1000),5))</f>
        <v>#DIV/0!</v>
      </c>
    </row>
    <row r="1613" spans="55:60" s="39" customFormat="1">
      <c r="BC1613" s="573">
        <v>16.02</v>
      </c>
      <c r="BD1613" s="571">
        <f t="shared" si="224"/>
        <v>0</v>
      </c>
      <c r="BE1613" s="571">
        <f t="shared" ref="BE1613:BE1676" si="228">((BD1613/PI())^0.5)*2*1000</f>
        <v>0</v>
      </c>
      <c r="BF1613" s="586">
        <f t="shared" si="225"/>
        <v>0</v>
      </c>
      <c r="BG1613" s="586" t="e">
        <f t="shared" si="226"/>
        <v>#DIV/0!</v>
      </c>
      <c r="BH1613" s="571" t="e">
        <f t="shared" si="227"/>
        <v>#DIV/0!</v>
      </c>
    </row>
    <row r="1614" spans="55:60" s="39" customFormat="1">
      <c r="BC1614" s="573">
        <v>16.03</v>
      </c>
      <c r="BD1614" s="571">
        <f t="shared" si="224"/>
        <v>0</v>
      </c>
      <c r="BE1614" s="571">
        <f t="shared" si="228"/>
        <v>0</v>
      </c>
      <c r="BF1614" s="586">
        <f t="shared" si="225"/>
        <v>0</v>
      </c>
      <c r="BG1614" s="586" t="e">
        <f t="shared" si="226"/>
        <v>#DIV/0!</v>
      </c>
      <c r="BH1614" s="571" t="e">
        <f t="shared" si="227"/>
        <v>#DIV/0!</v>
      </c>
    </row>
    <row r="1615" spans="55:60" s="39" customFormat="1">
      <c r="BC1615" s="573">
        <v>16.04</v>
      </c>
      <c r="BD1615" s="571">
        <f t="shared" si="224"/>
        <v>0</v>
      </c>
      <c r="BE1615" s="571">
        <f t="shared" si="228"/>
        <v>0</v>
      </c>
      <c r="BF1615" s="586">
        <f t="shared" si="225"/>
        <v>0</v>
      </c>
      <c r="BG1615" s="586" t="e">
        <f t="shared" si="226"/>
        <v>#DIV/0!</v>
      </c>
      <c r="BH1615" s="571" t="e">
        <f t="shared" si="227"/>
        <v>#DIV/0!</v>
      </c>
    </row>
    <row r="1616" spans="55:60" s="39" customFormat="1">
      <c r="BC1616" s="573">
        <v>16.05</v>
      </c>
      <c r="BD1616" s="571">
        <f t="shared" si="224"/>
        <v>0</v>
      </c>
      <c r="BE1616" s="571">
        <f t="shared" si="228"/>
        <v>0</v>
      </c>
      <c r="BF1616" s="586">
        <f t="shared" si="225"/>
        <v>0</v>
      </c>
      <c r="BG1616" s="586" t="e">
        <f t="shared" si="226"/>
        <v>#DIV/0!</v>
      </c>
      <c r="BH1616" s="571" t="e">
        <f t="shared" si="227"/>
        <v>#DIV/0!</v>
      </c>
    </row>
    <row r="1617" spans="55:60" s="39" customFormat="1">
      <c r="BC1617" s="573">
        <v>16.059999999999999</v>
      </c>
      <c r="BD1617" s="571">
        <f t="shared" si="224"/>
        <v>0</v>
      </c>
      <c r="BE1617" s="571">
        <f t="shared" si="228"/>
        <v>0</v>
      </c>
      <c r="BF1617" s="586">
        <f t="shared" si="225"/>
        <v>0</v>
      </c>
      <c r="BG1617" s="586" t="e">
        <f t="shared" si="226"/>
        <v>#DIV/0!</v>
      </c>
      <c r="BH1617" s="571" t="e">
        <f t="shared" si="227"/>
        <v>#DIV/0!</v>
      </c>
    </row>
    <row r="1618" spans="55:60" s="39" customFormat="1">
      <c r="BC1618" s="573">
        <v>16.07</v>
      </c>
      <c r="BD1618" s="571">
        <f t="shared" si="224"/>
        <v>0</v>
      </c>
      <c r="BE1618" s="571">
        <f t="shared" si="228"/>
        <v>0</v>
      </c>
      <c r="BF1618" s="586">
        <f t="shared" si="225"/>
        <v>0</v>
      </c>
      <c r="BG1618" s="586" t="e">
        <f t="shared" si="226"/>
        <v>#DIV/0!</v>
      </c>
      <c r="BH1618" s="571" t="e">
        <f t="shared" si="227"/>
        <v>#DIV/0!</v>
      </c>
    </row>
    <row r="1619" spans="55:60" s="39" customFormat="1">
      <c r="BC1619" s="573">
        <v>16.079999999999998</v>
      </c>
      <c r="BD1619" s="571">
        <f t="shared" si="224"/>
        <v>0</v>
      </c>
      <c r="BE1619" s="571">
        <f t="shared" si="228"/>
        <v>0</v>
      </c>
      <c r="BF1619" s="586">
        <f t="shared" si="225"/>
        <v>0</v>
      </c>
      <c r="BG1619" s="586" t="e">
        <f t="shared" si="226"/>
        <v>#DIV/0!</v>
      </c>
      <c r="BH1619" s="571" t="e">
        <f t="shared" si="227"/>
        <v>#DIV/0!</v>
      </c>
    </row>
    <row r="1620" spans="55:60" s="39" customFormat="1">
      <c r="BC1620" s="573">
        <v>16.09</v>
      </c>
      <c r="BD1620" s="571">
        <f t="shared" si="224"/>
        <v>0</v>
      </c>
      <c r="BE1620" s="571">
        <f t="shared" si="228"/>
        <v>0</v>
      </c>
      <c r="BF1620" s="586">
        <f t="shared" si="225"/>
        <v>0</v>
      </c>
      <c r="BG1620" s="586" t="e">
        <f t="shared" si="226"/>
        <v>#DIV/0!</v>
      </c>
      <c r="BH1620" s="571" t="e">
        <f t="shared" si="227"/>
        <v>#DIV/0!</v>
      </c>
    </row>
    <row r="1621" spans="55:60" s="39" customFormat="1">
      <c r="BC1621" s="573">
        <v>16.100000000000001</v>
      </c>
      <c r="BD1621" s="571">
        <f t="shared" si="224"/>
        <v>0</v>
      </c>
      <c r="BE1621" s="571">
        <f t="shared" si="228"/>
        <v>0</v>
      </c>
      <c r="BF1621" s="586">
        <f t="shared" si="225"/>
        <v>0</v>
      </c>
      <c r="BG1621" s="586" t="e">
        <f t="shared" si="226"/>
        <v>#DIV/0!</v>
      </c>
      <c r="BH1621" s="571" t="e">
        <f t="shared" si="227"/>
        <v>#DIV/0!</v>
      </c>
    </row>
    <row r="1622" spans="55:60" s="39" customFormat="1">
      <c r="BC1622" s="573">
        <v>16.11</v>
      </c>
      <c r="BD1622" s="571">
        <f t="shared" si="224"/>
        <v>0</v>
      </c>
      <c r="BE1622" s="571">
        <f t="shared" si="228"/>
        <v>0</v>
      </c>
      <c r="BF1622" s="586">
        <f t="shared" si="225"/>
        <v>0</v>
      </c>
      <c r="BG1622" s="586" t="e">
        <f t="shared" si="226"/>
        <v>#DIV/0!</v>
      </c>
      <c r="BH1622" s="571" t="e">
        <f t="shared" si="227"/>
        <v>#DIV/0!</v>
      </c>
    </row>
    <row r="1623" spans="55:60" s="39" customFormat="1">
      <c r="BC1623" s="573">
        <v>16.12</v>
      </c>
      <c r="BD1623" s="571">
        <f t="shared" si="224"/>
        <v>0</v>
      </c>
      <c r="BE1623" s="571">
        <f t="shared" si="228"/>
        <v>0</v>
      </c>
      <c r="BF1623" s="586">
        <f t="shared" si="225"/>
        <v>0</v>
      </c>
      <c r="BG1623" s="586" t="e">
        <f t="shared" si="226"/>
        <v>#DIV/0!</v>
      </c>
      <c r="BH1623" s="571" t="e">
        <f t="shared" si="227"/>
        <v>#DIV/0!</v>
      </c>
    </row>
    <row r="1624" spans="55:60" s="39" customFormat="1">
      <c r="BC1624" s="573">
        <v>16.13</v>
      </c>
      <c r="BD1624" s="571">
        <f t="shared" si="224"/>
        <v>0</v>
      </c>
      <c r="BE1624" s="571">
        <f t="shared" si="228"/>
        <v>0</v>
      </c>
      <c r="BF1624" s="586">
        <f t="shared" si="225"/>
        <v>0</v>
      </c>
      <c r="BG1624" s="586" t="e">
        <f t="shared" si="226"/>
        <v>#DIV/0!</v>
      </c>
      <c r="BH1624" s="571" t="e">
        <f t="shared" si="227"/>
        <v>#DIV/0!</v>
      </c>
    </row>
    <row r="1625" spans="55:60" s="39" customFormat="1">
      <c r="BC1625" s="573">
        <v>16.14</v>
      </c>
      <c r="BD1625" s="571">
        <f t="shared" si="224"/>
        <v>0</v>
      </c>
      <c r="BE1625" s="571">
        <f t="shared" si="228"/>
        <v>0</v>
      </c>
      <c r="BF1625" s="586">
        <f t="shared" si="225"/>
        <v>0</v>
      </c>
      <c r="BG1625" s="586" t="e">
        <f t="shared" si="226"/>
        <v>#DIV/0!</v>
      </c>
      <c r="BH1625" s="571" t="e">
        <f t="shared" si="227"/>
        <v>#DIV/0!</v>
      </c>
    </row>
    <row r="1626" spans="55:60" s="39" customFormat="1">
      <c r="BC1626" s="573">
        <v>16.149999999999999</v>
      </c>
      <c r="BD1626" s="571">
        <f t="shared" si="224"/>
        <v>0</v>
      </c>
      <c r="BE1626" s="571">
        <f t="shared" si="228"/>
        <v>0</v>
      </c>
      <c r="BF1626" s="586">
        <f t="shared" si="225"/>
        <v>0</v>
      </c>
      <c r="BG1626" s="586" t="e">
        <f t="shared" si="226"/>
        <v>#DIV/0!</v>
      </c>
      <c r="BH1626" s="571" t="e">
        <f t="shared" si="227"/>
        <v>#DIV/0!</v>
      </c>
    </row>
    <row r="1627" spans="55:60" s="39" customFormat="1">
      <c r="BC1627" s="573">
        <v>16.16</v>
      </c>
      <c r="BD1627" s="571">
        <f t="shared" si="224"/>
        <v>0</v>
      </c>
      <c r="BE1627" s="571">
        <f t="shared" si="228"/>
        <v>0</v>
      </c>
      <c r="BF1627" s="586">
        <f t="shared" si="225"/>
        <v>0</v>
      </c>
      <c r="BG1627" s="586" t="e">
        <f t="shared" si="226"/>
        <v>#DIV/0!</v>
      </c>
      <c r="BH1627" s="571" t="e">
        <f t="shared" si="227"/>
        <v>#DIV/0!</v>
      </c>
    </row>
    <row r="1628" spans="55:60" s="39" customFormat="1">
      <c r="BC1628" s="573">
        <v>16.170000000000002</v>
      </c>
      <c r="BD1628" s="571">
        <f t="shared" si="224"/>
        <v>0</v>
      </c>
      <c r="BE1628" s="571">
        <f t="shared" si="228"/>
        <v>0</v>
      </c>
      <c r="BF1628" s="586">
        <f t="shared" si="225"/>
        <v>0</v>
      </c>
      <c r="BG1628" s="586" t="e">
        <f t="shared" si="226"/>
        <v>#DIV/0!</v>
      </c>
      <c r="BH1628" s="571" t="e">
        <f t="shared" si="227"/>
        <v>#DIV/0!</v>
      </c>
    </row>
    <row r="1629" spans="55:60" s="39" customFormat="1">
      <c r="BC1629" s="573">
        <v>16.18</v>
      </c>
      <c r="BD1629" s="571">
        <f t="shared" si="224"/>
        <v>0</v>
      </c>
      <c r="BE1629" s="571">
        <f t="shared" si="228"/>
        <v>0</v>
      </c>
      <c r="BF1629" s="586">
        <f t="shared" si="225"/>
        <v>0</v>
      </c>
      <c r="BG1629" s="586" t="e">
        <f t="shared" si="226"/>
        <v>#DIV/0!</v>
      </c>
      <c r="BH1629" s="571" t="e">
        <f t="shared" si="227"/>
        <v>#DIV/0!</v>
      </c>
    </row>
    <row r="1630" spans="55:60" s="39" customFormat="1">
      <c r="BC1630" s="573">
        <v>16.190000000000001</v>
      </c>
      <c r="BD1630" s="571">
        <f t="shared" si="224"/>
        <v>0</v>
      </c>
      <c r="BE1630" s="571">
        <f t="shared" si="228"/>
        <v>0</v>
      </c>
      <c r="BF1630" s="586">
        <f t="shared" si="225"/>
        <v>0</v>
      </c>
      <c r="BG1630" s="586" t="e">
        <f t="shared" si="226"/>
        <v>#DIV/0!</v>
      </c>
      <c r="BH1630" s="571" t="e">
        <f t="shared" si="227"/>
        <v>#DIV/0!</v>
      </c>
    </row>
    <row r="1631" spans="55:60" s="39" customFormat="1">
      <c r="BC1631" s="573">
        <v>16.2</v>
      </c>
      <c r="BD1631" s="571">
        <f t="shared" si="224"/>
        <v>0</v>
      </c>
      <c r="BE1631" s="571">
        <f t="shared" si="228"/>
        <v>0</v>
      </c>
      <c r="BF1631" s="586">
        <f t="shared" si="225"/>
        <v>0</v>
      </c>
      <c r="BG1631" s="586" t="e">
        <f t="shared" si="226"/>
        <v>#DIV/0!</v>
      </c>
      <c r="BH1631" s="571" t="e">
        <f t="shared" si="227"/>
        <v>#DIV/0!</v>
      </c>
    </row>
    <row r="1632" spans="55:60" s="39" customFormat="1">
      <c r="BC1632" s="573">
        <v>16.21</v>
      </c>
      <c r="BD1632" s="571">
        <f t="shared" si="224"/>
        <v>0</v>
      </c>
      <c r="BE1632" s="571">
        <f t="shared" si="228"/>
        <v>0</v>
      </c>
      <c r="BF1632" s="586">
        <f t="shared" si="225"/>
        <v>0</v>
      </c>
      <c r="BG1632" s="586" t="e">
        <f t="shared" si="226"/>
        <v>#DIV/0!</v>
      </c>
      <c r="BH1632" s="571" t="e">
        <f t="shared" si="227"/>
        <v>#DIV/0!</v>
      </c>
    </row>
    <row r="1633" spans="55:60" s="39" customFormat="1">
      <c r="BC1633" s="573">
        <v>16.22</v>
      </c>
      <c r="BD1633" s="571">
        <f t="shared" si="224"/>
        <v>0</v>
      </c>
      <c r="BE1633" s="571">
        <f t="shared" si="228"/>
        <v>0</v>
      </c>
      <c r="BF1633" s="586">
        <f t="shared" si="225"/>
        <v>0</v>
      </c>
      <c r="BG1633" s="586" t="e">
        <f t="shared" si="226"/>
        <v>#DIV/0!</v>
      </c>
      <c r="BH1633" s="571" t="e">
        <f t="shared" si="227"/>
        <v>#DIV/0!</v>
      </c>
    </row>
    <row r="1634" spans="55:60" s="39" customFormat="1">
      <c r="BC1634" s="573">
        <v>16.23</v>
      </c>
      <c r="BD1634" s="571">
        <f t="shared" si="224"/>
        <v>0</v>
      </c>
      <c r="BE1634" s="571">
        <f t="shared" si="228"/>
        <v>0</v>
      </c>
      <c r="BF1634" s="586">
        <f t="shared" si="225"/>
        <v>0</v>
      </c>
      <c r="BG1634" s="586" t="e">
        <f t="shared" si="226"/>
        <v>#DIV/0!</v>
      </c>
      <c r="BH1634" s="571" t="e">
        <f t="shared" si="227"/>
        <v>#DIV/0!</v>
      </c>
    </row>
    <row r="1635" spans="55:60" s="39" customFormat="1">
      <c r="BC1635" s="573">
        <v>16.239999999999998</v>
      </c>
      <c r="BD1635" s="571">
        <f t="shared" si="224"/>
        <v>0</v>
      </c>
      <c r="BE1635" s="571">
        <f t="shared" si="228"/>
        <v>0</v>
      </c>
      <c r="BF1635" s="586">
        <f t="shared" si="225"/>
        <v>0</v>
      </c>
      <c r="BG1635" s="586" t="e">
        <f t="shared" si="226"/>
        <v>#DIV/0!</v>
      </c>
      <c r="BH1635" s="571" t="e">
        <f t="shared" si="227"/>
        <v>#DIV/0!</v>
      </c>
    </row>
    <row r="1636" spans="55:60" s="39" customFormat="1">
      <c r="BC1636" s="573">
        <v>16.25</v>
      </c>
      <c r="BD1636" s="571">
        <f t="shared" si="224"/>
        <v>0</v>
      </c>
      <c r="BE1636" s="571">
        <f t="shared" si="228"/>
        <v>0</v>
      </c>
      <c r="BF1636" s="586">
        <f t="shared" si="225"/>
        <v>0</v>
      </c>
      <c r="BG1636" s="586" t="e">
        <f t="shared" si="226"/>
        <v>#DIV/0!</v>
      </c>
      <c r="BH1636" s="571" t="e">
        <f t="shared" si="227"/>
        <v>#DIV/0!</v>
      </c>
    </row>
    <row r="1637" spans="55:60" s="39" customFormat="1">
      <c r="BC1637" s="573">
        <v>16.260000000000002</v>
      </c>
      <c r="BD1637" s="571">
        <f t="shared" si="224"/>
        <v>0</v>
      </c>
      <c r="BE1637" s="571">
        <f t="shared" si="228"/>
        <v>0</v>
      </c>
      <c r="BF1637" s="586">
        <f t="shared" si="225"/>
        <v>0</v>
      </c>
      <c r="BG1637" s="586" t="e">
        <f t="shared" si="226"/>
        <v>#DIV/0!</v>
      </c>
      <c r="BH1637" s="571" t="e">
        <f t="shared" si="227"/>
        <v>#DIV/0!</v>
      </c>
    </row>
    <row r="1638" spans="55:60" s="39" customFormat="1">
      <c r="BC1638" s="573">
        <v>16.27</v>
      </c>
      <c r="BD1638" s="571">
        <f t="shared" si="224"/>
        <v>0</v>
      </c>
      <c r="BE1638" s="571">
        <f t="shared" si="228"/>
        <v>0</v>
      </c>
      <c r="BF1638" s="586">
        <f t="shared" si="225"/>
        <v>0</v>
      </c>
      <c r="BG1638" s="586" t="e">
        <f t="shared" si="226"/>
        <v>#DIV/0!</v>
      </c>
      <c r="BH1638" s="571" t="e">
        <f t="shared" si="227"/>
        <v>#DIV/0!</v>
      </c>
    </row>
    <row r="1639" spans="55:60" s="39" customFormat="1">
      <c r="BC1639" s="573">
        <v>16.28</v>
      </c>
      <c r="BD1639" s="571">
        <f t="shared" si="224"/>
        <v>0</v>
      </c>
      <c r="BE1639" s="571">
        <f t="shared" si="228"/>
        <v>0</v>
      </c>
      <c r="BF1639" s="586">
        <f t="shared" si="225"/>
        <v>0</v>
      </c>
      <c r="BG1639" s="586" t="e">
        <f t="shared" si="226"/>
        <v>#DIV/0!</v>
      </c>
      <c r="BH1639" s="571" t="e">
        <f t="shared" si="227"/>
        <v>#DIV/0!</v>
      </c>
    </row>
    <row r="1640" spans="55:60" s="39" customFormat="1">
      <c r="BC1640" s="573">
        <v>16.29</v>
      </c>
      <c r="BD1640" s="571">
        <f t="shared" si="224"/>
        <v>0</v>
      </c>
      <c r="BE1640" s="571">
        <f t="shared" si="228"/>
        <v>0</v>
      </c>
      <c r="BF1640" s="586">
        <f t="shared" si="225"/>
        <v>0</v>
      </c>
      <c r="BG1640" s="586" t="e">
        <f t="shared" si="226"/>
        <v>#DIV/0!</v>
      </c>
      <c r="BH1640" s="571" t="e">
        <f t="shared" si="227"/>
        <v>#DIV/0!</v>
      </c>
    </row>
    <row r="1641" spans="55:60" s="39" customFormat="1">
      <c r="BC1641" s="573">
        <v>16.3</v>
      </c>
      <c r="BD1641" s="571">
        <f t="shared" si="224"/>
        <v>0</v>
      </c>
      <c r="BE1641" s="571">
        <f t="shared" si="228"/>
        <v>0</v>
      </c>
      <c r="BF1641" s="586">
        <f t="shared" si="225"/>
        <v>0</v>
      </c>
      <c r="BG1641" s="586" t="e">
        <f t="shared" si="226"/>
        <v>#DIV/0!</v>
      </c>
      <c r="BH1641" s="571" t="e">
        <f t="shared" si="227"/>
        <v>#DIV/0!</v>
      </c>
    </row>
    <row r="1642" spans="55:60" s="39" customFormat="1">
      <c r="BC1642" s="573">
        <v>16.309999999999999</v>
      </c>
      <c r="BD1642" s="571">
        <f t="shared" si="224"/>
        <v>0</v>
      </c>
      <c r="BE1642" s="571">
        <f t="shared" si="228"/>
        <v>0</v>
      </c>
      <c r="BF1642" s="586">
        <f t="shared" si="225"/>
        <v>0</v>
      </c>
      <c r="BG1642" s="586" t="e">
        <f t="shared" si="226"/>
        <v>#DIV/0!</v>
      </c>
      <c r="BH1642" s="571" t="e">
        <f t="shared" si="227"/>
        <v>#DIV/0!</v>
      </c>
    </row>
    <row r="1643" spans="55:60" s="39" customFormat="1">
      <c r="BC1643" s="573">
        <v>16.32</v>
      </c>
      <c r="BD1643" s="571">
        <f t="shared" si="224"/>
        <v>0</v>
      </c>
      <c r="BE1643" s="571">
        <f t="shared" si="228"/>
        <v>0</v>
      </c>
      <c r="BF1643" s="586">
        <f t="shared" si="225"/>
        <v>0</v>
      </c>
      <c r="BG1643" s="586" t="e">
        <f t="shared" si="226"/>
        <v>#DIV/0!</v>
      </c>
      <c r="BH1643" s="571" t="e">
        <f t="shared" si="227"/>
        <v>#DIV/0!</v>
      </c>
    </row>
    <row r="1644" spans="55:60" s="39" customFormat="1">
      <c r="BC1644" s="573">
        <v>16.329999999999998</v>
      </c>
      <c r="BD1644" s="571">
        <f t="shared" si="224"/>
        <v>0</v>
      </c>
      <c r="BE1644" s="571">
        <f t="shared" si="228"/>
        <v>0</v>
      </c>
      <c r="BF1644" s="586">
        <f t="shared" si="225"/>
        <v>0</v>
      </c>
      <c r="BG1644" s="586" t="e">
        <f t="shared" si="226"/>
        <v>#DIV/0!</v>
      </c>
      <c r="BH1644" s="571" t="e">
        <f t="shared" si="227"/>
        <v>#DIV/0!</v>
      </c>
    </row>
    <row r="1645" spans="55:60" s="39" customFormat="1">
      <c r="BC1645" s="573">
        <v>16.34</v>
      </c>
      <c r="BD1645" s="571">
        <f t="shared" si="224"/>
        <v>0</v>
      </c>
      <c r="BE1645" s="571">
        <f t="shared" si="228"/>
        <v>0</v>
      </c>
      <c r="BF1645" s="586">
        <f t="shared" si="225"/>
        <v>0</v>
      </c>
      <c r="BG1645" s="586" t="e">
        <f t="shared" si="226"/>
        <v>#DIV/0!</v>
      </c>
      <c r="BH1645" s="571" t="e">
        <f t="shared" si="227"/>
        <v>#DIV/0!</v>
      </c>
    </row>
    <row r="1646" spans="55:60" s="39" customFormat="1">
      <c r="BC1646" s="573">
        <v>16.350000000000001</v>
      </c>
      <c r="BD1646" s="571">
        <f t="shared" si="224"/>
        <v>0</v>
      </c>
      <c r="BE1646" s="571">
        <f t="shared" si="228"/>
        <v>0</v>
      </c>
      <c r="BF1646" s="586">
        <f t="shared" si="225"/>
        <v>0</v>
      </c>
      <c r="BG1646" s="586" t="e">
        <f t="shared" si="226"/>
        <v>#DIV/0!</v>
      </c>
      <c r="BH1646" s="571" t="e">
        <f t="shared" si="227"/>
        <v>#DIV/0!</v>
      </c>
    </row>
    <row r="1647" spans="55:60" s="39" customFormat="1">
      <c r="BC1647" s="573">
        <v>16.36</v>
      </c>
      <c r="BD1647" s="571">
        <f t="shared" si="224"/>
        <v>0</v>
      </c>
      <c r="BE1647" s="571">
        <f t="shared" si="228"/>
        <v>0</v>
      </c>
      <c r="BF1647" s="586">
        <f t="shared" si="225"/>
        <v>0</v>
      </c>
      <c r="BG1647" s="586" t="e">
        <f t="shared" si="226"/>
        <v>#DIV/0!</v>
      </c>
      <c r="BH1647" s="571" t="e">
        <f t="shared" si="227"/>
        <v>#DIV/0!</v>
      </c>
    </row>
    <row r="1648" spans="55:60" s="39" customFormat="1">
      <c r="BC1648" s="573">
        <v>16.37</v>
      </c>
      <c r="BD1648" s="571">
        <f t="shared" si="224"/>
        <v>0</v>
      </c>
      <c r="BE1648" s="571">
        <f t="shared" si="228"/>
        <v>0</v>
      </c>
      <c r="BF1648" s="586">
        <f t="shared" si="225"/>
        <v>0</v>
      </c>
      <c r="BG1648" s="586" t="e">
        <f t="shared" si="226"/>
        <v>#DIV/0!</v>
      </c>
      <c r="BH1648" s="571" t="e">
        <f t="shared" si="227"/>
        <v>#DIV/0!</v>
      </c>
    </row>
    <row r="1649" spans="55:60" s="39" customFormat="1">
      <c r="BC1649" s="573">
        <v>16.38</v>
      </c>
      <c r="BD1649" s="571">
        <f t="shared" si="224"/>
        <v>0</v>
      </c>
      <c r="BE1649" s="571">
        <f t="shared" si="228"/>
        <v>0</v>
      </c>
      <c r="BF1649" s="586">
        <f t="shared" si="225"/>
        <v>0</v>
      </c>
      <c r="BG1649" s="586" t="e">
        <f t="shared" si="226"/>
        <v>#DIV/0!</v>
      </c>
      <c r="BH1649" s="571" t="e">
        <f t="shared" si="227"/>
        <v>#DIV/0!</v>
      </c>
    </row>
    <row r="1650" spans="55:60" s="39" customFormat="1">
      <c r="BC1650" s="573">
        <v>16.39</v>
      </c>
      <c r="BD1650" s="571">
        <f t="shared" si="224"/>
        <v>0</v>
      </c>
      <c r="BE1650" s="571">
        <f t="shared" si="228"/>
        <v>0</v>
      </c>
      <c r="BF1650" s="586">
        <f t="shared" si="225"/>
        <v>0</v>
      </c>
      <c r="BG1650" s="586" t="e">
        <f t="shared" si="226"/>
        <v>#DIV/0!</v>
      </c>
      <c r="BH1650" s="571" t="e">
        <f t="shared" si="227"/>
        <v>#DIV/0!</v>
      </c>
    </row>
    <row r="1651" spans="55:60" s="39" customFormat="1">
      <c r="BC1651" s="573">
        <v>16.399999999999999</v>
      </c>
      <c r="BD1651" s="571">
        <f t="shared" si="224"/>
        <v>0</v>
      </c>
      <c r="BE1651" s="571">
        <f t="shared" si="228"/>
        <v>0</v>
      </c>
      <c r="BF1651" s="586">
        <f t="shared" si="225"/>
        <v>0</v>
      </c>
      <c r="BG1651" s="586" t="e">
        <f t="shared" si="226"/>
        <v>#DIV/0!</v>
      </c>
      <c r="BH1651" s="571" t="e">
        <f t="shared" si="227"/>
        <v>#DIV/0!</v>
      </c>
    </row>
    <row r="1652" spans="55:60" s="39" customFormat="1">
      <c r="BC1652" s="573">
        <v>16.41</v>
      </c>
      <c r="BD1652" s="571">
        <f t="shared" si="224"/>
        <v>0</v>
      </c>
      <c r="BE1652" s="571">
        <f t="shared" si="228"/>
        <v>0</v>
      </c>
      <c r="BF1652" s="586">
        <f t="shared" si="225"/>
        <v>0</v>
      </c>
      <c r="BG1652" s="586" t="e">
        <f t="shared" si="226"/>
        <v>#DIV/0!</v>
      </c>
      <c r="BH1652" s="571" t="e">
        <f t="shared" si="227"/>
        <v>#DIV/0!</v>
      </c>
    </row>
    <row r="1653" spans="55:60" s="39" customFormat="1">
      <c r="BC1653" s="573">
        <v>16.420000000000002</v>
      </c>
      <c r="BD1653" s="571">
        <f t="shared" si="224"/>
        <v>0</v>
      </c>
      <c r="BE1653" s="571">
        <f t="shared" si="228"/>
        <v>0</v>
      </c>
      <c r="BF1653" s="586">
        <f t="shared" si="225"/>
        <v>0</v>
      </c>
      <c r="BG1653" s="586" t="e">
        <f t="shared" si="226"/>
        <v>#DIV/0!</v>
      </c>
      <c r="BH1653" s="571" t="e">
        <f t="shared" si="227"/>
        <v>#DIV/0!</v>
      </c>
    </row>
    <row r="1654" spans="55:60" s="39" customFormat="1">
      <c r="BC1654" s="573">
        <v>16.43</v>
      </c>
      <c r="BD1654" s="571">
        <f t="shared" si="224"/>
        <v>0</v>
      </c>
      <c r="BE1654" s="571">
        <f t="shared" si="228"/>
        <v>0</v>
      </c>
      <c r="BF1654" s="586">
        <f t="shared" si="225"/>
        <v>0</v>
      </c>
      <c r="BG1654" s="586" t="e">
        <f t="shared" si="226"/>
        <v>#DIV/0!</v>
      </c>
      <c r="BH1654" s="571" t="e">
        <f t="shared" si="227"/>
        <v>#DIV/0!</v>
      </c>
    </row>
    <row r="1655" spans="55:60" s="39" customFormat="1">
      <c r="BC1655" s="573">
        <v>16.440000000000001</v>
      </c>
      <c r="BD1655" s="571">
        <f t="shared" si="224"/>
        <v>0</v>
      </c>
      <c r="BE1655" s="571">
        <f t="shared" si="228"/>
        <v>0</v>
      </c>
      <c r="BF1655" s="586">
        <f t="shared" si="225"/>
        <v>0</v>
      </c>
      <c r="BG1655" s="586" t="e">
        <f t="shared" si="226"/>
        <v>#DIV/0!</v>
      </c>
      <c r="BH1655" s="571" t="e">
        <f t="shared" si="227"/>
        <v>#DIV/0!</v>
      </c>
    </row>
    <row r="1656" spans="55:60" s="39" customFormat="1">
      <c r="BC1656" s="573">
        <v>16.45</v>
      </c>
      <c r="BD1656" s="571">
        <f t="shared" si="224"/>
        <v>0</v>
      </c>
      <c r="BE1656" s="571">
        <f t="shared" si="228"/>
        <v>0</v>
      </c>
      <c r="BF1656" s="586">
        <f t="shared" si="225"/>
        <v>0</v>
      </c>
      <c r="BG1656" s="586" t="e">
        <f t="shared" si="226"/>
        <v>#DIV/0!</v>
      </c>
      <c r="BH1656" s="571" t="e">
        <f t="shared" si="227"/>
        <v>#DIV/0!</v>
      </c>
    </row>
    <row r="1657" spans="55:60" s="39" customFormat="1">
      <c r="BC1657" s="573">
        <v>16.46</v>
      </c>
      <c r="BD1657" s="571">
        <f t="shared" si="224"/>
        <v>0</v>
      </c>
      <c r="BE1657" s="571">
        <f t="shared" si="228"/>
        <v>0</v>
      </c>
      <c r="BF1657" s="586">
        <f t="shared" si="225"/>
        <v>0</v>
      </c>
      <c r="BG1657" s="586" t="e">
        <f t="shared" si="226"/>
        <v>#DIV/0!</v>
      </c>
      <c r="BH1657" s="571" t="e">
        <f t="shared" si="227"/>
        <v>#DIV/0!</v>
      </c>
    </row>
    <row r="1658" spans="55:60" s="39" customFormat="1">
      <c r="BC1658" s="573">
        <v>16.47</v>
      </c>
      <c r="BD1658" s="571">
        <f t="shared" si="224"/>
        <v>0</v>
      </c>
      <c r="BE1658" s="571">
        <f t="shared" si="228"/>
        <v>0</v>
      </c>
      <c r="BF1658" s="586">
        <f t="shared" si="225"/>
        <v>0</v>
      </c>
      <c r="BG1658" s="586" t="e">
        <f t="shared" si="226"/>
        <v>#DIV/0!</v>
      </c>
      <c r="BH1658" s="571" t="e">
        <f t="shared" si="227"/>
        <v>#DIV/0!</v>
      </c>
    </row>
    <row r="1659" spans="55:60" s="39" customFormat="1">
      <c r="BC1659" s="573">
        <v>16.48</v>
      </c>
      <c r="BD1659" s="571">
        <f t="shared" si="224"/>
        <v>0</v>
      </c>
      <c r="BE1659" s="571">
        <f t="shared" si="228"/>
        <v>0</v>
      </c>
      <c r="BF1659" s="586">
        <f t="shared" si="225"/>
        <v>0</v>
      </c>
      <c r="BG1659" s="586" t="e">
        <f t="shared" si="226"/>
        <v>#DIV/0!</v>
      </c>
      <c r="BH1659" s="571" t="e">
        <f t="shared" si="227"/>
        <v>#DIV/0!</v>
      </c>
    </row>
    <row r="1660" spans="55:60" s="39" customFormat="1">
      <c r="BC1660" s="573">
        <v>16.489999999999998</v>
      </c>
      <c r="BD1660" s="571">
        <f t="shared" si="224"/>
        <v>0</v>
      </c>
      <c r="BE1660" s="571">
        <f t="shared" si="228"/>
        <v>0</v>
      </c>
      <c r="BF1660" s="586">
        <f t="shared" si="225"/>
        <v>0</v>
      </c>
      <c r="BG1660" s="586" t="e">
        <f t="shared" si="226"/>
        <v>#DIV/0!</v>
      </c>
      <c r="BH1660" s="571" t="e">
        <f t="shared" si="227"/>
        <v>#DIV/0!</v>
      </c>
    </row>
    <row r="1661" spans="55:60" s="39" customFormat="1">
      <c r="BC1661" s="573">
        <v>16.5</v>
      </c>
      <c r="BD1661" s="571">
        <f t="shared" si="224"/>
        <v>0</v>
      </c>
      <c r="BE1661" s="571">
        <f t="shared" si="228"/>
        <v>0</v>
      </c>
      <c r="BF1661" s="586">
        <f t="shared" si="225"/>
        <v>0</v>
      </c>
      <c r="BG1661" s="586" t="e">
        <f t="shared" si="226"/>
        <v>#DIV/0!</v>
      </c>
      <c r="BH1661" s="571" t="e">
        <f t="shared" si="227"/>
        <v>#DIV/0!</v>
      </c>
    </row>
    <row r="1662" spans="55:60" s="39" customFormat="1">
      <c r="BC1662" s="573">
        <v>16.510000000000002</v>
      </c>
      <c r="BD1662" s="571">
        <f t="shared" si="224"/>
        <v>0</v>
      </c>
      <c r="BE1662" s="571">
        <f t="shared" si="228"/>
        <v>0</v>
      </c>
      <c r="BF1662" s="586">
        <f t="shared" si="225"/>
        <v>0</v>
      </c>
      <c r="BG1662" s="586" t="e">
        <f t="shared" si="226"/>
        <v>#DIV/0!</v>
      </c>
      <c r="BH1662" s="571" t="e">
        <f t="shared" si="227"/>
        <v>#DIV/0!</v>
      </c>
    </row>
    <row r="1663" spans="55:60" s="39" customFormat="1">
      <c r="BC1663" s="573">
        <v>16.52</v>
      </c>
      <c r="BD1663" s="571">
        <f t="shared" si="224"/>
        <v>0</v>
      </c>
      <c r="BE1663" s="571">
        <f t="shared" si="228"/>
        <v>0</v>
      </c>
      <c r="BF1663" s="586">
        <f t="shared" si="225"/>
        <v>0</v>
      </c>
      <c r="BG1663" s="586" t="e">
        <f t="shared" si="226"/>
        <v>#DIV/0!</v>
      </c>
      <c r="BH1663" s="571" t="e">
        <f t="shared" si="227"/>
        <v>#DIV/0!</v>
      </c>
    </row>
    <row r="1664" spans="55:60" s="39" customFormat="1">
      <c r="BC1664" s="573">
        <v>16.53</v>
      </c>
      <c r="BD1664" s="571">
        <f t="shared" si="224"/>
        <v>0</v>
      </c>
      <c r="BE1664" s="571">
        <f t="shared" si="228"/>
        <v>0</v>
      </c>
      <c r="BF1664" s="586">
        <f t="shared" si="225"/>
        <v>0</v>
      </c>
      <c r="BG1664" s="586" t="e">
        <f t="shared" si="226"/>
        <v>#DIV/0!</v>
      </c>
      <c r="BH1664" s="571" t="e">
        <f t="shared" si="227"/>
        <v>#DIV/0!</v>
      </c>
    </row>
    <row r="1665" spans="55:60" s="39" customFormat="1">
      <c r="BC1665" s="573">
        <v>16.54</v>
      </c>
      <c r="BD1665" s="571">
        <f t="shared" si="224"/>
        <v>0</v>
      </c>
      <c r="BE1665" s="571">
        <f t="shared" si="228"/>
        <v>0</v>
      </c>
      <c r="BF1665" s="586">
        <f t="shared" si="225"/>
        <v>0</v>
      </c>
      <c r="BG1665" s="586" t="e">
        <f t="shared" si="226"/>
        <v>#DIV/0!</v>
      </c>
      <c r="BH1665" s="571" t="e">
        <f t="shared" si="227"/>
        <v>#DIV/0!</v>
      </c>
    </row>
    <row r="1666" spans="55:60" s="39" customFormat="1">
      <c r="BC1666" s="573">
        <v>16.55</v>
      </c>
      <c r="BD1666" s="571">
        <f t="shared" si="224"/>
        <v>0</v>
      </c>
      <c r="BE1666" s="571">
        <f t="shared" si="228"/>
        <v>0</v>
      </c>
      <c r="BF1666" s="586">
        <f t="shared" si="225"/>
        <v>0</v>
      </c>
      <c r="BG1666" s="586" t="e">
        <f t="shared" si="226"/>
        <v>#DIV/0!</v>
      </c>
      <c r="BH1666" s="571" t="e">
        <f t="shared" si="227"/>
        <v>#DIV/0!</v>
      </c>
    </row>
    <row r="1667" spans="55:60" s="39" customFormat="1">
      <c r="BC1667" s="573">
        <v>16.559999999999999</v>
      </c>
      <c r="BD1667" s="571">
        <f t="shared" si="224"/>
        <v>0</v>
      </c>
      <c r="BE1667" s="571">
        <f t="shared" si="228"/>
        <v>0</v>
      </c>
      <c r="BF1667" s="586">
        <f t="shared" si="225"/>
        <v>0</v>
      </c>
      <c r="BG1667" s="586" t="e">
        <f t="shared" si="226"/>
        <v>#DIV/0!</v>
      </c>
      <c r="BH1667" s="571" t="e">
        <f t="shared" si="227"/>
        <v>#DIV/0!</v>
      </c>
    </row>
    <row r="1668" spans="55:60" s="39" customFormat="1">
      <c r="BC1668" s="573">
        <v>16.57</v>
      </c>
      <c r="BD1668" s="571">
        <f t="shared" si="224"/>
        <v>0</v>
      </c>
      <c r="BE1668" s="571">
        <f t="shared" si="228"/>
        <v>0</v>
      </c>
      <c r="BF1668" s="586">
        <f t="shared" si="225"/>
        <v>0</v>
      </c>
      <c r="BG1668" s="586" t="e">
        <f t="shared" si="226"/>
        <v>#DIV/0!</v>
      </c>
      <c r="BH1668" s="571" t="e">
        <f t="shared" si="227"/>
        <v>#DIV/0!</v>
      </c>
    </row>
    <row r="1669" spans="55:60" s="39" customFormat="1">
      <c r="BC1669" s="573">
        <v>16.579999999999998</v>
      </c>
      <c r="BD1669" s="571">
        <f t="shared" si="224"/>
        <v>0</v>
      </c>
      <c r="BE1669" s="571">
        <f t="shared" si="228"/>
        <v>0</v>
      </c>
      <c r="BF1669" s="586">
        <f t="shared" si="225"/>
        <v>0</v>
      </c>
      <c r="BG1669" s="586" t="e">
        <f t="shared" si="226"/>
        <v>#DIV/0!</v>
      </c>
      <c r="BH1669" s="571" t="e">
        <f t="shared" si="227"/>
        <v>#DIV/0!</v>
      </c>
    </row>
    <row r="1670" spans="55:60" s="39" customFormat="1">
      <c r="BC1670" s="573">
        <v>16.59</v>
      </c>
      <c r="BD1670" s="571">
        <f t="shared" si="224"/>
        <v>0</v>
      </c>
      <c r="BE1670" s="571">
        <f t="shared" si="228"/>
        <v>0</v>
      </c>
      <c r="BF1670" s="586">
        <f t="shared" si="225"/>
        <v>0</v>
      </c>
      <c r="BG1670" s="586" t="e">
        <f t="shared" si="226"/>
        <v>#DIV/0!</v>
      </c>
      <c r="BH1670" s="571" t="e">
        <f t="shared" si="227"/>
        <v>#DIV/0!</v>
      </c>
    </row>
    <row r="1671" spans="55:60" s="39" customFormat="1">
      <c r="BC1671" s="573">
        <v>16.600000000000001</v>
      </c>
      <c r="BD1671" s="571">
        <f t="shared" si="224"/>
        <v>0</v>
      </c>
      <c r="BE1671" s="571">
        <f t="shared" si="228"/>
        <v>0</v>
      </c>
      <c r="BF1671" s="586">
        <f t="shared" si="225"/>
        <v>0</v>
      </c>
      <c r="BG1671" s="586" t="e">
        <f t="shared" si="226"/>
        <v>#DIV/0!</v>
      </c>
      <c r="BH1671" s="571" t="e">
        <f t="shared" si="227"/>
        <v>#DIV/0!</v>
      </c>
    </row>
    <row r="1672" spans="55:60" s="39" customFormat="1">
      <c r="BC1672" s="573">
        <v>16.61</v>
      </c>
      <c r="BD1672" s="571">
        <f t="shared" si="224"/>
        <v>0</v>
      </c>
      <c r="BE1672" s="571">
        <f t="shared" si="228"/>
        <v>0</v>
      </c>
      <c r="BF1672" s="586">
        <f t="shared" si="225"/>
        <v>0</v>
      </c>
      <c r="BG1672" s="586" t="e">
        <f t="shared" si="226"/>
        <v>#DIV/0!</v>
      </c>
      <c r="BH1672" s="571" t="e">
        <f t="shared" si="227"/>
        <v>#DIV/0!</v>
      </c>
    </row>
    <row r="1673" spans="55:60" s="39" customFormat="1">
      <c r="BC1673" s="573">
        <v>16.62</v>
      </c>
      <c r="BD1673" s="571">
        <f t="shared" si="224"/>
        <v>0</v>
      </c>
      <c r="BE1673" s="571">
        <f t="shared" si="228"/>
        <v>0</v>
      </c>
      <c r="BF1673" s="586">
        <f t="shared" si="225"/>
        <v>0</v>
      </c>
      <c r="BG1673" s="586" t="e">
        <f t="shared" si="226"/>
        <v>#DIV/0!</v>
      </c>
      <c r="BH1673" s="571" t="e">
        <f t="shared" si="227"/>
        <v>#DIV/0!</v>
      </c>
    </row>
    <row r="1674" spans="55:60" s="39" customFormat="1">
      <c r="BC1674" s="573">
        <v>16.63</v>
      </c>
      <c r="BD1674" s="571">
        <f t="shared" si="224"/>
        <v>0</v>
      </c>
      <c r="BE1674" s="571">
        <f t="shared" si="228"/>
        <v>0</v>
      </c>
      <c r="BF1674" s="586">
        <f t="shared" si="225"/>
        <v>0</v>
      </c>
      <c r="BG1674" s="586" t="e">
        <f t="shared" si="226"/>
        <v>#DIV/0!</v>
      </c>
      <c r="BH1674" s="571" t="e">
        <f t="shared" si="227"/>
        <v>#DIV/0!</v>
      </c>
    </row>
    <row r="1675" spans="55:60" s="39" customFormat="1">
      <c r="BC1675" s="573">
        <v>16.64</v>
      </c>
      <c r="BD1675" s="571">
        <f t="shared" si="224"/>
        <v>0</v>
      </c>
      <c r="BE1675" s="571">
        <f t="shared" si="228"/>
        <v>0</v>
      </c>
      <c r="BF1675" s="586">
        <f t="shared" si="225"/>
        <v>0</v>
      </c>
      <c r="BG1675" s="586" t="e">
        <f t="shared" si="226"/>
        <v>#DIV/0!</v>
      </c>
      <c r="BH1675" s="571" t="e">
        <f t="shared" si="227"/>
        <v>#DIV/0!</v>
      </c>
    </row>
    <row r="1676" spans="55:60" s="39" customFormat="1">
      <c r="BC1676" s="573">
        <v>16.649999999999999</v>
      </c>
      <c r="BD1676" s="571">
        <f t="shared" ref="BD1676:BD1739" si="229">$AU$15/BC1676</f>
        <v>0</v>
      </c>
      <c r="BE1676" s="571">
        <f t="shared" si="228"/>
        <v>0</v>
      </c>
      <c r="BF1676" s="586">
        <f t="shared" ref="BF1676:BF1739" si="230">BC1676*(BE1676/1000)/$AO$12</f>
        <v>0</v>
      </c>
      <c r="BG1676" s="586" t="e">
        <f t="shared" ref="BG1676:BG1739" si="231">POWER((1/(-1.8*LOG((6.9/BF1676+POWER((($P$7/BE1676)/3.71),1.11)),10))),2)</f>
        <v>#DIV/0!</v>
      </c>
      <c r="BH1676" s="571" t="e">
        <f t="shared" ref="BH1676:BH1739" si="232">BG1676*0.5*$P$6*16*$AU$15*$AU$15/(POWER(PI(),2)*POWER((BE1676/1000),5))</f>
        <v>#DIV/0!</v>
      </c>
    </row>
    <row r="1677" spans="55:60" s="39" customFormat="1">
      <c r="BC1677" s="573">
        <v>16.66</v>
      </c>
      <c r="BD1677" s="571">
        <f t="shared" si="229"/>
        <v>0</v>
      </c>
      <c r="BE1677" s="571">
        <f t="shared" ref="BE1677:BE1740" si="233">((BD1677/PI())^0.5)*2*1000</f>
        <v>0</v>
      </c>
      <c r="BF1677" s="586">
        <f t="shared" si="230"/>
        <v>0</v>
      </c>
      <c r="BG1677" s="586" t="e">
        <f t="shared" si="231"/>
        <v>#DIV/0!</v>
      </c>
      <c r="BH1677" s="571" t="e">
        <f t="shared" si="232"/>
        <v>#DIV/0!</v>
      </c>
    </row>
    <row r="1678" spans="55:60" s="39" customFormat="1">
      <c r="BC1678" s="573">
        <v>16.670000000000002</v>
      </c>
      <c r="BD1678" s="571">
        <f t="shared" si="229"/>
        <v>0</v>
      </c>
      <c r="BE1678" s="571">
        <f t="shared" si="233"/>
        <v>0</v>
      </c>
      <c r="BF1678" s="586">
        <f t="shared" si="230"/>
        <v>0</v>
      </c>
      <c r="BG1678" s="586" t="e">
        <f t="shared" si="231"/>
        <v>#DIV/0!</v>
      </c>
      <c r="BH1678" s="571" t="e">
        <f t="shared" si="232"/>
        <v>#DIV/0!</v>
      </c>
    </row>
    <row r="1679" spans="55:60" s="39" customFormat="1">
      <c r="BC1679" s="573">
        <v>16.68</v>
      </c>
      <c r="BD1679" s="571">
        <f t="shared" si="229"/>
        <v>0</v>
      </c>
      <c r="BE1679" s="571">
        <f t="shared" si="233"/>
        <v>0</v>
      </c>
      <c r="BF1679" s="586">
        <f t="shared" si="230"/>
        <v>0</v>
      </c>
      <c r="BG1679" s="586" t="e">
        <f t="shared" si="231"/>
        <v>#DIV/0!</v>
      </c>
      <c r="BH1679" s="571" t="e">
        <f t="shared" si="232"/>
        <v>#DIV/0!</v>
      </c>
    </row>
    <row r="1680" spans="55:60" s="39" customFormat="1">
      <c r="BC1680" s="573">
        <v>16.690000000000001</v>
      </c>
      <c r="BD1680" s="571">
        <f t="shared" si="229"/>
        <v>0</v>
      </c>
      <c r="BE1680" s="571">
        <f t="shared" si="233"/>
        <v>0</v>
      </c>
      <c r="BF1680" s="586">
        <f t="shared" si="230"/>
        <v>0</v>
      </c>
      <c r="BG1680" s="586" t="e">
        <f t="shared" si="231"/>
        <v>#DIV/0!</v>
      </c>
      <c r="BH1680" s="571" t="e">
        <f t="shared" si="232"/>
        <v>#DIV/0!</v>
      </c>
    </row>
    <row r="1681" spans="55:60" s="39" customFormat="1">
      <c r="BC1681" s="573">
        <v>16.7</v>
      </c>
      <c r="BD1681" s="571">
        <f t="shared" si="229"/>
        <v>0</v>
      </c>
      <c r="BE1681" s="571">
        <f t="shared" si="233"/>
        <v>0</v>
      </c>
      <c r="BF1681" s="586">
        <f t="shared" si="230"/>
        <v>0</v>
      </c>
      <c r="BG1681" s="586" t="e">
        <f t="shared" si="231"/>
        <v>#DIV/0!</v>
      </c>
      <c r="BH1681" s="571" t="e">
        <f t="shared" si="232"/>
        <v>#DIV/0!</v>
      </c>
    </row>
    <row r="1682" spans="55:60" s="39" customFormat="1">
      <c r="BC1682" s="573">
        <v>16.71</v>
      </c>
      <c r="BD1682" s="571">
        <f t="shared" si="229"/>
        <v>0</v>
      </c>
      <c r="BE1682" s="571">
        <f t="shared" si="233"/>
        <v>0</v>
      </c>
      <c r="BF1682" s="586">
        <f t="shared" si="230"/>
        <v>0</v>
      </c>
      <c r="BG1682" s="586" t="e">
        <f t="shared" si="231"/>
        <v>#DIV/0!</v>
      </c>
      <c r="BH1682" s="571" t="e">
        <f t="shared" si="232"/>
        <v>#DIV/0!</v>
      </c>
    </row>
    <row r="1683" spans="55:60" s="39" customFormat="1">
      <c r="BC1683" s="573">
        <v>16.72</v>
      </c>
      <c r="BD1683" s="571">
        <f t="shared" si="229"/>
        <v>0</v>
      </c>
      <c r="BE1683" s="571">
        <f t="shared" si="233"/>
        <v>0</v>
      </c>
      <c r="BF1683" s="586">
        <f t="shared" si="230"/>
        <v>0</v>
      </c>
      <c r="BG1683" s="586" t="e">
        <f t="shared" si="231"/>
        <v>#DIV/0!</v>
      </c>
      <c r="BH1683" s="571" t="e">
        <f t="shared" si="232"/>
        <v>#DIV/0!</v>
      </c>
    </row>
    <row r="1684" spans="55:60" s="39" customFormat="1">
      <c r="BC1684" s="573">
        <v>16.73</v>
      </c>
      <c r="BD1684" s="571">
        <f t="shared" si="229"/>
        <v>0</v>
      </c>
      <c r="BE1684" s="571">
        <f t="shared" si="233"/>
        <v>0</v>
      </c>
      <c r="BF1684" s="586">
        <f t="shared" si="230"/>
        <v>0</v>
      </c>
      <c r="BG1684" s="586" t="e">
        <f t="shared" si="231"/>
        <v>#DIV/0!</v>
      </c>
      <c r="BH1684" s="571" t="e">
        <f t="shared" si="232"/>
        <v>#DIV/0!</v>
      </c>
    </row>
    <row r="1685" spans="55:60" s="39" customFormat="1">
      <c r="BC1685" s="573">
        <v>16.739999999999998</v>
      </c>
      <c r="BD1685" s="571">
        <f t="shared" si="229"/>
        <v>0</v>
      </c>
      <c r="BE1685" s="571">
        <f t="shared" si="233"/>
        <v>0</v>
      </c>
      <c r="BF1685" s="586">
        <f t="shared" si="230"/>
        <v>0</v>
      </c>
      <c r="BG1685" s="586" t="e">
        <f t="shared" si="231"/>
        <v>#DIV/0!</v>
      </c>
      <c r="BH1685" s="571" t="e">
        <f t="shared" si="232"/>
        <v>#DIV/0!</v>
      </c>
    </row>
    <row r="1686" spans="55:60" s="39" customFormat="1">
      <c r="BC1686" s="573">
        <v>16.75</v>
      </c>
      <c r="BD1686" s="571">
        <f t="shared" si="229"/>
        <v>0</v>
      </c>
      <c r="BE1686" s="571">
        <f t="shared" si="233"/>
        <v>0</v>
      </c>
      <c r="BF1686" s="586">
        <f t="shared" si="230"/>
        <v>0</v>
      </c>
      <c r="BG1686" s="586" t="e">
        <f t="shared" si="231"/>
        <v>#DIV/0!</v>
      </c>
      <c r="BH1686" s="571" t="e">
        <f t="shared" si="232"/>
        <v>#DIV/0!</v>
      </c>
    </row>
    <row r="1687" spans="55:60" s="39" customFormat="1">
      <c r="BC1687" s="573">
        <v>16.760000000000002</v>
      </c>
      <c r="BD1687" s="571">
        <f t="shared" si="229"/>
        <v>0</v>
      </c>
      <c r="BE1687" s="571">
        <f t="shared" si="233"/>
        <v>0</v>
      </c>
      <c r="BF1687" s="586">
        <f t="shared" si="230"/>
        <v>0</v>
      </c>
      <c r="BG1687" s="586" t="e">
        <f t="shared" si="231"/>
        <v>#DIV/0!</v>
      </c>
      <c r="BH1687" s="571" t="e">
        <f t="shared" si="232"/>
        <v>#DIV/0!</v>
      </c>
    </row>
    <row r="1688" spans="55:60" s="39" customFormat="1">
      <c r="BC1688" s="573">
        <v>16.77</v>
      </c>
      <c r="BD1688" s="571">
        <f t="shared" si="229"/>
        <v>0</v>
      </c>
      <c r="BE1688" s="571">
        <f t="shared" si="233"/>
        <v>0</v>
      </c>
      <c r="BF1688" s="586">
        <f t="shared" si="230"/>
        <v>0</v>
      </c>
      <c r="BG1688" s="586" t="e">
        <f t="shared" si="231"/>
        <v>#DIV/0!</v>
      </c>
      <c r="BH1688" s="571" t="e">
        <f t="shared" si="232"/>
        <v>#DIV/0!</v>
      </c>
    </row>
    <row r="1689" spans="55:60" s="39" customFormat="1">
      <c r="BC1689" s="573">
        <v>16.78</v>
      </c>
      <c r="BD1689" s="571">
        <f t="shared" si="229"/>
        <v>0</v>
      </c>
      <c r="BE1689" s="571">
        <f t="shared" si="233"/>
        <v>0</v>
      </c>
      <c r="BF1689" s="586">
        <f t="shared" si="230"/>
        <v>0</v>
      </c>
      <c r="BG1689" s="586" t="e">
        <f t="shared" si="231"/>
        <v>#DIV/0!</v>
      </c>
      <c r="BH1689" s="571" t="e">
        <f t="shared" si="232"/>
        <v>#DIV/0!</v>
      </c>
    </row>
    <row r="1690" spans="55:60" s="39" customFormat="1">
      <c r="BC1690" s="573">
        <v>16.79</v>
      </c>
      <c r="BD1690" s="571">
        <f t="shared" si="229"/>
        <v>0</v>
      </c>
      <c r="BE1690" s="571">
        <f t="shared" si="233"/>
        <v>0</v>
      </c>
      <c r="BF1690" s="586">
        <f t="shared" si="230"/>
        <v>0</v>
      </c>
      <c r="BG1690" s="586" t="e">
        <f t="shared" si="231"/>
        <v>#DIV/0!</v>
      </c>
      <c r="BH1690" s="571" t="e">
        <f t="shared" si="232"/>
        <v>#DIV/0!</v>
      </c>
    </row>
    <row r="1691" spans="55:60" s="39" customFormat="1">
      <c r="BC1691" s="573">
        <v>16.8</v>
      </c>
      <c r="BD1691" s="571">
        <f t="shared" si="229"/>
        <v>0</v>
      </c>
      <c r="BE1691" s="571">
        <f t="shared" si="233"/>
        <v>0</v>
      </c>
      <c r="BF1691" s="586">
        <f t="shared" si="230"/>
        <v>0</v>
      </c>
      <c r="BG1691" s="586" t="e">
        <f t="shared" si="231"/>
        <v>#DIV/0!</v>
      </c>
      <c r="BH1691" s="571" t="e">
        <f t="shared" si="232"/>
        <v>#DIV/0!</v>
      </c>
    </row>
    <row r="1692" spans="55:60" s="39" customFormat="1">
      <c r="BC1692" s="573">
        <v>16.809999999999999</v>
      </c>
      <c r="BD1692" s="571">
        <f t="shared" si="229"/>
        <v>0</v>
      </c>
      <c r="BE1692" s="571">
        <f t="shared" si="233"/>
        <v>0</v>
      </c>
      <c r="BF1692" s="586">
        <f t="shared" si="230"/>
        <v>0</v>
      </c>
      <c r="BG1692" s="586" t="e">
        <f t="shared" si="231"/>
        <v>#DIV/0!</v>
      </c>
      <c r="BH1692" s="571" t="e">
        <f t="shared" si="232"/>
        <v>#DIV/0!</v>
      </c>
    </row>
    <row r="1693" spans="55:60" s="39" customFormat="1">
      <c r="BC1693" s="573">
        <v>16.82</v>
      </c>
      <c r="BD1693" s="571">
        <f t="shared" si="229"/>
        <v>0</v>
      </c>
      <c r="BE1693" s="571">
        <f t="shared" si="233"/>
        <v>0</v>
      </c>
      <c r="BF1693" s="586">
        <f t="shared" si="230"/>
        <v>0</v>
      </c>
      <c r="BG1693" s="586" t="e">
        <f t="shared" si="231"/>
        <v>#DIV/0!</v>
      </c>
      <c r="BH1693" s="571" t="e">
        <f t="shared" si="232"/>
        <v>#DIV/0!</v>
      </c>
    </row>
    <row r="1694" spans="55:60" s="39" customFormat="1">
      <c r="BC1694" s="573">
        <v>16.829999999999998</v>
      </c>
      <c r="BD1694" s="571">
        <f t="shared" si="229"/>
        <v>0</v>
      </c>
      <c r="BE1694" s="571">
        <f t="shared" si="233"/>
        <v>0</v>
      </c>
      <c r="BF1694" s="586">
        <f t="shared" si="230"/>
        <v>0</v>
      </c>
      <c r="BG1694" s="586" t="e">
        <f t="shared" si="231"/>
        <v>#DIV/0!</v>
      </c>
      <c r="BH1694" s="571" t="e">
        <f t="shared" si="232"/>
        <v>#DIV/0!</v>
      </c>
    </row>
    <row r="1695" spans="55:60" s="39" customFormat="1">
      <c r="BC1695" s="573">
        <v>16.84</v>
      </c>
      <c r="BD1695" s="571">
        <f t="shared" si="229"/>
        <v>0</v>
      </c>
      <c r="BE1695" s="571">
        <f t="shared" si="233"/>
        <v>0</v>
      </c>
      <c r="BF1695" s="586">
        <f t="shared" si="230"/>
        <v>0</v>
      </c>
      <c r="BG1695" s="586" t="e">
        <f t="shared" si="231"/>
        <v>#DIV/0!</v>
      </c>
      <c r="BH1695" s="571" t="e">
        <f t="shared" si="232"/>
        <v>#DIV/0!</v>
      </c>
    </row>
    <row r="1696" spans="55:60" s="39" customFormat="1">
      <c r="BC1696" s="573">
        <v>16.850000000000001</v>
      </c>
      <c r="BD1696" s="571">
        <f t="shared" si="229"/>
        <v>0</v>
      </c>
      <c r="BE1696" s="571">
        <f t="shared" si="233"/>
        <v>0</v>
      </c>
      <c r="BF1696" s="586">
        <f t="shared" si="230"/>
        <v>0</v>
      </c>
      <c r="BG1696" s="586" t="e">
        <f t="shared" si="231"/>
        <v>#DIV/0!</v>
      </c>
      <c r="BH1696" s="571" t="e">
        <f t="shared" si="232"/>
        <v>#DIV/0!</v>
      </c>
    </row>
    <row r="1697" spans="55:60" s="39" customFormat="1">
      <c r="BC1697" s="573">
        <v>16.86</v>
      </c>
      <c r="BD1697" s="571">
        <f t="shared" si="229"/>
        <v>0</v>
      </c>
      <c r="BE1697" s="571">
        <f t="shared" si="233"/>
        <v>0</v>
      </c>
      <c r="BF1697" s="586">
        <f t="shared" si="230"/>
        <v>0</v>
      </c>
      <c r="BG1697" s="586" t="e">
        <f t="shared" si="231"/>
        <v>#DIV/0!</v>
      </c>
      <c r="BH1697" s="571" t="e">
        <f t="shared" si="232"/>
        <v>#DIV/0!</v>
      </c>
    </row>
    <row r="1698" spans="55:60" s="39" customFormat="1">
      <c r="BC1698" s="573">
        <v>16.87</v>
      </c>
      <c r="BD1698" s="571">
        <f t="shared" si="229"/>
        <v>0</v>
      </c>
      <c r="BE1698" s="571">
        <f t="shared" si="233"/>
        <v>0</v>
      </c>
      <c r="BF1698" s="586">
        <f t="shared" si="230"/>
        <v>0</v>
      </c>
      <c r="BG1698" s="586" t="e">
        <f t="shared" si="231"/>
        <v>#DIV/0!</v>
      </c>
      <c r="BH1698" s="571" t="e">
        <f t="shared" si="232"/>
        <v>#DIV/0!</v>
      </c>
    </row>
    <row r="1699" spans="55:60" s="39" customFormat="1">
      <c r="BC1699" s="573">
        <v>16.88</v>
      </c>
      <c r="BD1699" s="571">
        <f t="shared" si="229"/>
        <v>0</v>
      </c>
      <c r="BE1699" s="571">
        <f t="shared" si="233"/>
        <v>0</v>
      </c>
      <c r="BF1699" s="586">
        <f t="shared" si="230"/>
        <v>0</v>
      </c>
      <c r="BG1699" s="586" t="e">
        <f t="shared" si="231"/>
        <v>#DIV/0!</v>
      </c>
      <c r="BH1699" s="571" t="e">
        <f t="shared" si="232"/>
        <v>#DIV/0!</v>
      </c>
    </row>
    <row r="1700" spans="55:60" s="39" customFormat="1">
      <c r="BC1700" s="573">
        <v>16.89</v>
      </c>
      <c r="BD1700" s="571">
        <f t="shared" si="229"/>
        <v>0</v>
      </c>
      <c r="BE1700" s="571">
        <f t="shared" si="233"/>
        <v>0</v>
      </c>
      <c r="BF1700" s="586">
        <f t="shared" si="230"/>
        <v>0</v>
      </c>
      <c r="BG1700" s="586" t="e">
        <f t="shared" si="231"/>
        <v>#DIV/0!</v>
      </c>
      <c r="BH1700" s="571" t="e">
        <f t="shared" si="232"/>
        <v>#DIV/0!</v>
      </c>
    </row>
    <row r="1701" spans="55:60" s="39" customFormat="1">
      <c r="BC1701" s="573">
        <v>16.899999999999999</v>
      </c>
      <c r="BD1701" s="571">
        <f t="shared" si="229"/>
        <v>0</v>
      </c>
      <c r="BE1701" s="571">
        <f t="shared" si="233"/>
        <v>0</v>
      </c>
      <c r="BF1701" s="586">
        <f t="shared" si="230"/>
        <v>0</v>
      </c>
      <c r="BG1701" s="586" t="e">
        <f t="shared" si="231"/>
        <v>#DIV/0!</v>
      </c>
      <c r="BH1701" s="571" t="e">
        <f t="shared" si="232"/>
        <v>#DIV/0!</v>
      </c>
    </row>
    <row r="1702" spans="55:60" s="39" customFormat="1">
      <c r="BC1702" s="573">
        <v>16.91</v>
      </c>
      <c r="BD1702" s="571">
        <f t="shared" si="229"/>
        <v>0</v>
      </c>
      <c r="BE1702" s="571">
        <f t="shared" si="233"/>
        <v>0</v>
      </c>
      <c r="BF1702" s="586">
        <f t="shared" si="230"/>
        <v>0</v>
      </c>
      <c r="BG1702" s="586" t="e">
        <f t="shared" si="231"/>
        <v>#DIV/0!</v>
      </c>
      <c r="BH1702" s="571" t="e">
        <f t="shared" si="232"/>
        <v>#DIV/0!</v>
      </c>
    </row>
    <row r="1703" spans="55:60" s="39" customFormat="1">
      <c r="BC1703" s="573">
        <v>16.920000000000002</v>
      </c>
      <c r="BD1703" s="571">
        <f t="shared" si="229"/>
        <v>0</v>
      </c>
      <c r="BE1703" s="571">
        <f t="shared" si="233"/>
        <v>0</v>
      </c>
      <c r="BF1703" s="586">
        <f t="shared" si="230"/>
        <v>0</v>
      </c>
      <c r="BG1703" s="586" t="e">
        <f t="shared" si="231"/>
        <v>#DIV/0!</v>
      </c>
      <c r="BH1703" s="571" t="e">
        <f t="shared" si="232"/>
        <v>#DIV/0!</v>
      </c>
    </row>
    <row r="1704" spans="55:60" s="39" customFormat="1">
      <c r="BC1704" s="573">
        <v>16.93</v>
      </c>
      <c r="BD1704" s="571">
        <f t="shared" si="229"/>
        <v>0</v>
      </c>
      <c r="BE1704" s="571">
        <f t="shared" si="233"/>
        <v>0</v>
      </c>
      <c r="BF1704" s="586">
        <f t="shared" si="230"/>
        <v>0</v>
      </c>
      <c r="BG1704" s="586" t="e">
        <f t="shared" si="231"/>
        <v>#DIV/0!</v>
      </c>
      <c r="BH1704" s="571" t="e">
        <f t="shared" si="232"/>
        <v>#DIV/0!</v>
      </c>
    </row>
    <row r="1705" spans="55:60" s="39" customFormat="1">
      <c r="BC1705" s="573">
        <v>16.940000000000001</v>
      </c>
      <c r="BD1705" s="571">
        <f t="shared" si="229"/>
        <v>0</v>
      </c>
      <c r="BE1705" s="571">
        <f t="shared" si="233"/>
        <v>0</v>
      </c>
      <c r="BF1705" s="586">
        <f t="shared" si="230"/>
        <v>0</v>
      </c>
      <c r="BG1705" s="586" t="e">
        <f t="shared" si="231"/>
        <v>#DIV/0!</v>
      </c>
      <c r="BH1705" s="571" t="e">
        <f t="shared" si="232"/>
        <v>#DIV/0!</v>
      </c>
    </row>
    <row r="1706" spans="55:60" s="39" customFormat="1">
      <c r="BC1706" s="573">
        <v>16.95</v>
      </c>
      <c r="BD1706" s="571">
        <f t="shared" si="229"/>
        <v>0</v>
      </c>
      <c r="BE1706" s="571">
        <f t="shared" si="233"/>
        <v>0</v>
      </c>
      <c r="BF1706" s="586">
        <f t="shared" si="230"/>
        <v>0</v>
      </c>
      <c r="BG1706" s="586" t="e">
        <f t="shared" si="231"/>
        <v>#DIV/0!</v>
      </c>
      <c r="BH1706" s="571" t="e">
        <f t="shared" si="232"/>
        <v>#DIV/0!</v>
      </c>
    </row>
    <row r="1707" spans="55:60" s="39" customFormat="1">
      <c r="BC1707" s="573">
        <v>16.96</v>
      </c>
      <c r="BD1707" s="571">
        <f t="shared" si="229"/>
        <v>0</v>
      </c>
      <c r="BE1707" s="571">
        <f t="shared" si="233"/>
        <v>0</v>
      </c>
      <c r="BF1707" s="586">
        <f t="shared" si="230"/>
        <v>0</v>
      </c>
      <c r="BG1707" s="586" t="e">
        <f t="shared" si="231"/>
        <v>#DIV/0!</v>
      </c>
      <c r="BH1707" s="571" t="e">
        <f t="shared" si="232"/>
        <v>#DIV/0!</v>
      </c>
    </row>
    <row r="1708" spans="55:60" s="39" customFormat="1">
      <c r="BC1708" s="573">
        <v>16.97</v>
      </c>
      <c r="BD1708" s="571">
        <f t="shared" si="229"/>
        <v>0</v>
      </c>
      <c r="BE1708" s="571">
        <f t="shared" si="233"/>
        <v>0</v>
      </c>
      <c r="BF1708" s="586">
        <f t="shared" si="230"/>
        <v>0</v>
      </c>
      <c r="BG1708" s="586" t="e">
        <f t="shared" si="231"/>
        <v>#DIV/0!</v>
      </c>
      <c r="BH1708" s="571" t="e">
        <f t="shared" si="232"/>
        <v>#DIV/0!</v>
      </c>
    </row>
    <row r="1709" spans="55:60" s="39" customFormat="1">
      <c r="BC1709" s="573">
        <v>16.98</v>
      </c>
      <c r="BD1709" s="571">
        <f t="shared" si="229"/>
        <v>0</v>
      </c>
      <c r="BE1709" s="571">
        <f t="shared" si="233"/>
        <v>0</v>
      </c>
      <c r="BF1709" s="586">
        <f t="shared" si="230"/>
        <v>0</v>
      </c>
      <c r="BG1709" s="586" t="e">
        <f t="shared" si="231"/>
        <v>#DIV/0!</v>
      </c>
      <c r="BH1709" s="571" t="e">
        <f t="shared" si="232"/>
        <v>#DIV/0!</v>
      </c>
    </row>
    <row r="1710" spans="55:60" s="39" customFormat="1">
      <c r="BC1710" s="573">
        <v>16.989999999999998</v>
      </c>
      <c r="BD1710" s="571">
        <f t="shared" si="229"/>
        <v>0</v>
      </c>
      <c r="BE1710" s="571">
        <f t="shared" si="233"/>
        <v>0</v>
      </c>
      <c r="BF1710" s="586">
        <f t="shared" si="230"/>
        <v>0</v>
      </c>
      <c r="BG1710" s="586" t="e">
        <f t="shared" si="231"/>
        <v>#DIV/0!</v>
      </c>
      <c r="BH1710" s="571" t="e">
        <f t="shared" si="232"/>
        <v>#DIV/0!</v>
      </c>
    </row>
    <row r="1711" spans="55:60" s="39" customFormat="1">
      <c r="BC1711" s="573">
        <v>17</v>
      </c>
      <c r="BD1711" s="571">
        <f t="shared" si="229"/>
        <v>0</v>
      </c>
      <c r="BE1711" s="571">
        <f t="shared" si="233"/>
        <v>0</v>
      </c>
      <c r="BF1711" s="586">
        <f t="shared" si="230"/>
        <v>0</v>
      </c>
      <c r="BG1711" s="586" t="e">
        <f t="shared" si="231"/>
        <v>#DIV/0!</v>
      </c>
      <c r="BH1711" s="571" t="e">
        <f t="shared" si="232"/>
        <v>#DIV/0!</v>
      </c>
    </row>
    <row r="1712" spans="55:60" s="39" customFormat="1">
      <c r="BC1712" s="573">
        <v>17.010000000000002</v>
      </c>
      <c r="BD1712" s="571">
        <f t="shared" si="229"/>
        <v>0</v>
      </c>
      <c r="BE1712" s="571">
        <f t="shared" si="233"/>
        <v>0</v>
      </c>
      <c r="BF1712" s="586">
        <f t="shared" si="230"/>
        <v>0</v>
      </c>
      <c r="BG1712" s="586" t="e">
        <f t="shared" si="231"/>
        <v>#DIV/0!</v>
      </c>
      <c r="BH1712" s="571" t="e">
        <f t="shared" si="232"/>
        <v>#DIV/0!</v>
      </c>
    </row>
    <row r="1713" spans="55:60" s="39" customFormat="1">
      <c r="BC1713" s="573">
        <v>17.02</v>
      </c>
      <c r="BD1713" s="571">
        <f t="shared" si="229"/>
        <v>0</v>
      </c>
      <c r="BE1713" s="571">
        <f t="shared" si="233"/>
        <v>0</v>
      </c>
      <c r="BF1713" s="586">
        <f t="shared" si="230"/>
        <v>0</v>
      </c>
      <c r="BG1713" s="586" t="e">
        <f t="shared" si="231"/>
        <v>#DIV/0!</v>
      </c>
      <c r="BH1713" s="571" t="e">
        <f t="shared" si="232"/>
        <v>#DIV/0!</v>
      </c>
    </row>
    <row r="1714" spans="55:60" s="39" customFormat="1">
      <c r="BC1714" s="573">
        <v>17.03</v>
      </c>
      <c r="BD1714" s="571">
        <f t="shared" si="229"/>
        <v>0</v>
      </c>
      <c r="BE1714" s="571">
        <f t="shared" si="233"/>
        <v>0</v>
      </c>
      <c r="BF1714" s="586">
        <f t="shared" si="230"/>
        <v>0</v>
      </c>
      <c r="BG1714" s="586" t="e">
        <f t="shared" si="231"/>
        <v>#DIV/0!</v>
      </c>
      <c r="BH1714" s="571" t="e">
        <f t="shared" si="232"/>
        <v>#DIV/0!</v>
      </c>
    </row>
    <row r="1715" spans="55:60" s="39" customFormat="1">
      <c r="BC1715" s="573">
        <v>17.04</v>
      </c>
      <c r="BD1715" s="571">
        <f t="shared" si="229"/>
        <v>0</v>
      </c>
      <c r="BE1715" s="571">
        <f t="shared" si="233"/>
        <v>0</v>
      </c>
      <c r="BF1715" s="586">
        <f t="shared" si="230"/>
        <v>0</v>
      </c>
      <c r="BG1715" s="586" t="e">
        <f t="shared" si="231"/>
        <v>#DIV/0!</v>
      </c>
      <c r="BH1715" s="571" t="e">
        <f t="shared" si="232"/>
        <v>#DIV/0!</v>
      </c>
    </row>
    <row r="1716" spans="55:60" s="39" customFormat="1">
      <c r="BC1716" s="573">
        <v>17.05</v>
      </c>
      <c r="BD1716" s="571">
        <f t="shared" si="229"/>
        <v>0</v>
      </c>
      <c r="BE1716" s="571">
        <f t="shared" si="233"/>
        <v>0</v>
      </c>
      <c r="BF1716" s="586">
        <f t="shared" si="230"/>
        <v>0</v>
      </c>
      <c r="BG1716" s="586" t="e">
        <f t="shared" si="231"/>
        <v>#DIV/0!</v>
      </c>
      <c r="BH1716" s="571" t="e">
        <f t="shared" si="232"/>
        <v>#DIV/0!</v>
      </c>
    </row>
    <row r="1717" spans="55:60" s="39" customFormat="1">
      <c r="BC1717" s="573">
        <v>17.059999999999999</v>
      </c>
      <c r="BD1717" s="571">
        <f t="shared" si="229"/>
        <v>0</v>
      </c>
      <c r="BE1717" s="571">
        <f t="shared" si="233"/>
        <v>0</v>
      </c>
      <c r="BF1717" s="586">
        <f t="shared" si="230"/>
        <v>0</v>
      </c>
      <c r="BG1717" s="586" t="e">
        <f t="shared" si="231"/>
        <v>#DIV/0!</v>
      </c>
      <c r="BH1717" s="571" t="e">
        <f t="shared" si="232"/>
        <v>#DIV/0!</v>
      </c>
    </row>
    <row r="1718" spans="55:60" s="39" customFormat="1">
      <c r="BC1718" s="573">
        <v>17.07</v>
      </c>
      <c r="BD1718" s="571">
        <f t="shared" si="229"/>
        <v>0</v>
      </c>
      <c r="BE1718" s="571">
        <f t="shared" si="233"/>
        <v>0</v>
      </c>
      <c r="BF1718" s="586">
        <f t="shared" si="230"/>
        <v>0</v>
      </c>
      <c r="BG1718" s="586" t="e">
        <f t="shared" si="231"/>
        <v>#DIV/0!</v>
      </c>
      <c r="BH1718" s="571" t="e">
        <f t="shared" si="232"/>
        <v>#DIV/0!</v>
      </c>
    </row>
    <row r="1719" spans="55:60" s="39" customFormat="1">
      <c r="BC1719" s="573">
        <v>17.079999999999998</v>
      </c>
      <c r="BD1719" s="571">
        <f t="shared" si="229"/>
        <v>0</v>
      </c>
      <c r="BE1719" s="571">
        <f t="shared" si="233"/>
        <v>0</v>
      </c>
      <c r="BF1719" s="586">
        <f t="shared" si="230"/>
        <v>0</v>
      </c>
      <c r="BG1719" s="586" t="e">
        <f t="shared" si="231"/>
        <v>#DIV/0!</v>
      </c>
      <c r="BH1719" s="571" t="e">
        <f t="shared" si="232"/>
        <v>#DIV/0!</v>
      </c>
    </row>
    <row r="1720" spans="55:60" s="39" customFormat="1">
      <c r="BC1720" s="573">
        <v>17.09</v>
      </c>
      <c r="BD1720" s="571">
        <f t="shared" si="229"/>
        <v>0</v>
      </c>
      <c r="BE1720" s="571">
        <f t="shared" si="233"/>
        <v>0</v>
      </c>
      <c r="BF1720" s="586">
        <f t="shared" si="230"/>
        <v>0</v>
      </c>
      <c r="BG1720" s="586" t="e">
        <f t="shared" si="231"/>
        <v>#DIV/0!</v>
      </c>
      <c r="BH1720" s="571" t="e">
        <f t="shared" si="232"/>
        <v>#DIV/0!</v>
      </c>
    </row>
    <row r="1721" spans="55:60" s="39" customFormat="1">
      <c r="BC1721" s="573">
        <v>17.100000000000001</v>
      </c>
      <c r="BD1721" s="571">
        <f t="shared" si="229"/>
        <v>0</v>
      </c>
      <c r="BE1721" s="571">
        <f t="shared" si="233"/>
        <v>0</v>
      </c>
      <c r="BF1721" s="586">
        <f t="shared" si="230"/>
        <v>0</v>
      </c>
      <c r="BG1721" s="586" t="e">
        <f t="shared" si="231"/>
        <v>#DIV/0!</v>
      </c>
      <c r="BH1721" s="571" t="e">
        <f t="shared" si="232"/>
        <v>#DIV/0!</v>
      </c>
    </row>
    <row r="1722" spans="55:60" s="39" customFormat="1">
      <c r="BC1722" s="573">
        <v>17.11</v>
      </c>
      <c r="BD1722" s="571">
        <f t="shared" si="229"/>
        <v>0</v>
      </c>
      <c r="BE1722" s="571">
        <f t="shared" si="233"/>
        <v>0</v>
      </c>
      <c r="BF1722" s="586">
        <f t="shared" si="230"/>
        <v>0</v>
      </c>
      <c r="BG1722" s="586" t="e">
        <f t="shared" si="231"/>
        <v>#DIV/0!</v>
      </c>
      <c r="BH1722" s="571" t="e">
        <f t="shared" si="232"/>
        <v>#DIV/0!</v>
      </c>
    </row>
    <row r="1723" spans="55:60" s="39" customFormat="1">
      <c r="BC1723" s="573">
        <v>17.12</v>
      </c>
      <c r="BD1723" s="571">
        <f t="shared" si="229"/>
        <v>0</v>
      </c>
      <c r="BE1723" s="571">
        <f t="shared" si="233"/>
        <v>0</v>
      </c>
      <c r="BF1723" s="586">
        <f t="shared" si="230"/>
        <v>0</v>
      </c>
      <c r="BG1723" s="586" t="e">
        <f t="shared" si="231"/>
        <v>#DIV/0!</v>
      </c>
      <c r="BH1723" s="571" t="e">
        <f t="shared" si="232"/>
        <v>#DIV/0!</v>
      </c>
    </row>
    <row r="1724" spans="55:60" s="39" customFormat="1">
      <c r="BC1724" s="573">
        <v>17.13</v>
      </c>
      <c r="BD1724" s="571">
        <f t="shared" si="229"/>
        <v>0</v>
      </c>
      <c r="BE1724" s="571">
        <f t="shared" si="233"/>
        <v>0</v>
      </c>
      <c r="BF1724" s="586">
        <f t="shared" si="230"/>
        <v>0</v>
      </c>
      <c r="BG1724" s="586" t="e">
        <f t="shared" si="231"/>
        <v>#DIV/0!</v>
      </c>
      <c r="BH1724" s="571" t="e">
        <f t="shared" si="232"/>
        <v>#DIV/0!</v>
      </c>
    </row>
    <row r="1725" spans="55:60" s="39" customFormat="1">
      <c r="BC1725" s="573">
        <v>17.14</v>
      </c>
      <c r="BD1725" s="571">
        <f t="shared" si="229"/>
        <v>0</v>
      </c>
      <c r="BE1725" s="571">
        <f t="shared" si="233"/>
        <v>0</v>
      </c>
      <c r="BF1725" s="586">
        <f t="shared" si="230"/>
        <v>0</v>
      </c>
      <c r="BG1725" s="586" t="e">
        <f t="shared" si="231"/>
        <v>#DIV/0!</v>
      </c>
      <c r="BH1725" s="571" t="e">
        <f t="shared" si="232"/>
        <v>#DIV/0!</v>
      </c>
    </row>
    <row r="1726" spans="55:60" s="39" customFormat="1">
      <c r="BC1726" s="573">
        <v>17.149999999999999</v>
      </c>
      <c r="BD1726" s="571">
        <f t="shared" si="229"/>
        <v>0</v>
      </c>
      <c r="BE1726" s="571">
        <f t="shared" si="233"/>
        <v>0</v>
      </c>
      <c r="BF1726" s="586">
        <f t="shared" si="230"/>
        <v>0</v>
      </c>
      <c r="BG1726" s="586" t="e">
        <f t="shared" si="231"/>
        <v>#DIV/0!</v>
      </c>
      <c r="BH1726" s="571" t="e">
        <f t="shared" si="232"/>
        <v>#DIV/0!</v>
      </c>
    </row>
    <row r="1727" spans="55:60" s="39" customFormat="1">
      <c r="BC1727" s="573">
        <v>17.16</v>
      </c>
      <c r="BD1727" s="571">
        <f t="shared" si="229"/>
        <v>0</v>
      </c>
      <c r="BE1727" s="571">
        <f t="shared" si="233"/>
        <v>0</v>
      </c>
      <c r="BF1727" s="586">
        <f t="shared" si="230"/>
        <v>0</v>
      </c>
      <c r="BG1727" s="586" t="e">
        <f t="shared" si="231"/>
        <v>#DIV/0!</v>
      </c>
      <c r="BH1727" s="571" t="e">
        <f t="shared" si="232"/>
        <v>#DIV/0!</v>
      </c>
    </row>
    <row r="1728" spans="55:60" s="39" customFormat="1">
      <c r="BC1728" s="573">
        <v>17.170000000000002</v>
      </c>
      <c r="BD1728" s="571">
        <f t="shared" si="229"/>
        <v>0</v>
      </c>
      <c r="BE1728" s="571">
        <f t="shared" si="233"/>
        <v>0</v>
      </c>
      <c r="BF1728" s="586">
        <f t="shared" si="230"/>
        <v>0</v>
      </c>
      <c r="BG1728" s="586" t="e">
        <f t="shared" si="231"/>
        <v>#DIV/0!</v>
      </c>
      <c r="BH1728" s="571" t="e">
        <f t="shared" si="232"/>
        <v>#DIV/0!</v>
      </c>
    </row>
    <row r="1729" spans="55:60" s="39" customFormat="1">
      <c r="BC1729" s="573">
        <v>17.18</v>
      </c>
      <c r="BD1729" s="571">
        <f t="shared" si="229"/>
        <v>0</v>
      </c>
      <c r="BE1729" s="571">
        <f t="shared" si="233"/>
        <v>0</v>
      </c>
      <c r="BF1729" s="586">
        <f t="shared" si="230"/>
        <v>0</v>
      </c>
      <c r="BG1729" s="586" t="e">
        <f t="shared" si="231"/>
        <v>#DIV/0!</v>
      </c>
      <c r="BH1729" s="571" t="e">
        <f t="shared" si="232"/>
        <v>#DIV/0!</v>
      </c>
    </row>
    <row r="1730" spans="55:60" s="39" customFormat="1">
      <c r="BC1730" s="573">
        <v>17.190000000000001</v>
      </c>
      <c r="BD1730" s="571">
        <f t="shared" si="229"/>
        <v>0</v>
      </c>
      <c r="BE1730" s="571">
        <f t="shared" si="233"/>
        <v>0</v>
      </c>
      <c r="BF1730" s="586">
        <f t="shared" si="230"/>
        <v>0</v>
      </c>
      <c r="BG1730" s="586" t="e">
        <f t="shared" si="231"/>
        <v>#DIV/0!</v>
      </c>
      <c r="BH1730" s="571" t="e">
        <f t="shared" si="232"/>
        <v>#DIV/0!</v>
      </c>
    </row>
    <row r="1731" spans="55:60" s="39" customFormat="1">
      <c r="BC1731" s="573">
        <v>17.2</v>
      </c>
      <c r="BD1731" s="571">
        <f t="shared" si="229"/>
        <v>0</v>
      </c>
      <c r="BE1731" s="571">
        <f t="shared" si="233"/>
        <v>0</v>
      </c>
      <c r="BF1731" s="586">
        <f t="shared" si="230"/>
        <v>0</v>
      </c>
      <c r="BG1731" s="586" t="e">
        <f t="shared" si="231"/>
        <v>#DIV/0!</v>
      </c>
      <c r="BH1731" s="571" t="e">
        <f t="shared" si="232"/>
        <v>#DIV/0!</v>
      </c>
    </row>
    <row r="1732" spans="55:60" s="39" customFormat="1">
      <c r="BC1732" s="573">
        <v>17.21</v>
      </c>
      <c r="BD1732" s="571">
        <f t="shared" si="229"/>
        <v>0</v>
      </c>
      <c r="BE1732" s="571">
        <f t="shared" si="233"/>
        <v>0</v>
      </c>
      <c r="BF1732" s="586">
        <f t="shared" si="230"/>
        <v>0</v>
      </c>
      <c r="BG1732" s="586" t="e">
        <f t="shared" si="231"/>
        <v>#DIV/0!</v>
      </c>
      <c r="BH1732" s="571" t="e">
        <f t="shared" si="232"/>
        <v>#DIV/0!</v>
      </c>
    </row>
    <row r="1733" spans="55:60" s="39" customFormat="1">
      <c r="BC1733" s="573">
        <v>17.22</v>
      </c>
      <c r="BD1733" s="571">
        <f t="shared" si="229"/>
        <v>0</v>
      </c>
      <c r="BE1733" s="571">
        <f t="shared" si="233"/>
        <v>0</v>
      </c>
      <c r="BF1733" s="586">
        <f t="shared" si="230"/>
        <v>0</v>
      </c>
      <c r="BG1733" s="586" t="e">
        <f t="shared" si="231"/>
        <v>#DIV/0!</v>
      </c>
      <c r="BH1733" s="571" t="e">
        <f t="shared" si="232"/>
        <v>#DIV/0!</v>
      </c>
    </row>
    <row r="1734" spans="55:60" s="39" customFormat="1">
      <c r="BC1734" s="573">
        <v>17.23</v>
      </c>
      <c r="BD1734" s="571">
        <f t="shared" si="229"/>
        <v>0</v>
      </c>
      <c r="BE1734" s="571">
        <f t="shared" si="233"/>
        <v>0</v>
      </c>
      <c r="BF1734" s="586">
        <f t="shared" si="230"/>
        <v>0</v>
      </c>
      <c r="BG1734" s="586" t="e">
        <f t="shared" si="231"/>
        <v>#DIV/0!</v>
      </c>
      <c r="BH1734" s="571" t="e">
        <f t="shared" si="232"/>
        <v>#DIV/0!</v>
      </c>
    </row>
    <row r="1735" spans="55:60" s="39" customFormat="1">
      <c r="BC1735" s="573">
        <v>17.239999999999998</v>
      </c>
      <c r="BD1735" s="571">
        <f t="shared" si="229"/>
        <v>0</v>
      </c>
      <c r="BE1735" s="571">
        <f t="shared" si="233"/>
        <v>0</v>
      </c>
      <c r="BF1735" s="586">
        <f t="shared" si="230"/>
        <v>0</v>
      </c>
      <c r="BG1735" s="586" t="e">
        <f t="shared" si="231"/>
        <v>#DIV/0!</v>
      </c>
      <c r="BH1735" s="571" t="e">
        <f t="shared" si="232"/>
        <v>#DIV/0!</v>
      </c>
    </row>
    <row r="1736" spans="55:60" s="39" customFormat="1">
      <c r="BC1736" s="573">
        <v>17.25</v>
      </c>
      <c r="BD1736" s="571">
        <f t="shared" si="229"/>
        <v>0</v>
      </c>
      <c r="BE1736" s="571">
        <f t="shared" si="233"/>
        <v>0</v>
      </c>
      <c r="BF1736" s="586">
        <f t="shared" si="230"/>
        <v>0</v>
      </c>
      <c r="BG1736" s="586" t="e">
        <f t="shared" si="231"/>
        <v>#DIV/0!</v>
      </c>
      <c r="BH1736" s="571" t="e">
        <f t="shared" si="232"/>
        <v>#DIV/0!</v>
      </c>
    </row>
    <row r="1737" spans="55:60" s="39" customFormat="1">
      <c r="BC1737" s="573">
        <v>17.260000000000002</v>
      </c>
      <c r="BD1737" s="571">
        <f t="shared" si="229"/>
        <v>0</v>
      </c>
      <c r="BE1737" s="571">
        <f t="shared" si="233"/>
        <v>0</v>
      </c>
      <c r="BF1737" s="586">
        <f t="shared" si="230"/>
        <v>0</v>
      </c>
      <c r="BG1737" s="586" t="e">
        <f t="shared" si="231"/>
        <v>#DIV/0!</v>
      </c>
      <c r="BH1737" s="571" t="e">
        <f t="shared" si="232"/>
        <v>#DIV/0!</v>
      </c>
    </row>
    <row r="1738" spans="55:60" s="39" customFormat="1">
      <c r="BC1738" s="573">
        <v>17.27</v>
      </c>
      <c r="BD1738" s="571">
        <f t="shared" si="229"/>
        <v>0</v>
      </c>
      <c r="BE1738" s="571">
        <f t="shared" si="233"/>
        <v>0</v>
      </c>
      <c r="BF1738" s="586">
        <f t="shared" si="230"/>
        <v>0</v>
      </c>
      <c r="BG1738" s="586" t="e">
        <f t="shared" si="231"/>
        <v>#DIV/0!</v>
      </c>
      <c r="BH1738" s="571" t="e">
        <f t="shared" si="232"/>
        <v>#DIV/0!</v>
      </c>
    </row>
    <row r="1739" spans="55:60" s="39" customFormat="1">
      <c r="BC1739" s="573">
        <v>17.28</v>
      </c>
      <c r="BD1739" s="571">
        <f t="shared" si="229"/>
        <v>0</v>
      </c>
      <c r="BE1739" s="571">
        <f t="shared" si="233"/>
        <v>0</v>
      </c>
      <c r="BF1739" s="586">
        <f t="shared" si="230"/>
        <v>0</v>
      </c>
      <c r="BG1739" s="586" t="e">
        <f t="shared" si="231"/>
        <v>#DIV/0!</v>
      </c>
      <c r="BH1739" s="571" t="e">
        <f t="shared" si="232"/>
        <v>#DIV/0!</v>
      </c>
    </row>
    <row r="1740" spans="55:60" s="39" customFormat="1">
      <c r="BC1740" s="573">
        <v>17.29</v>
      </c>
      <c r="BD1740" s="571">
        <f t="shared" ref="BD1740:BD1803" si="234">$AU$15/BC1740</f>
        <v>0</v>
      </c>
      <c r="BE1740" s="571">
        <f t="shared" si="233"/>
        <v>0</v>
      </c>
      <c r="BF1740" s="586">
        <f t="shared" ref="BF1740:BF1803" si="235">BC1740*(BE1740/1000)/$AO$12</f>
        <v>0</v>
      </c>
      <c r="BG1740" s="586" t="e">
        <f t="shared" ref="BG1740:BG1803" si="236">POWER((1/(-1.8*LOG((6.9/BF1740+POWER((($P$7/BE1740)/3.71),1.11)),10))),2)</f>
        <v>#DIV/0!</v>
      </c>
      <c r="BH1740" s="571" t="e">
        <f t="shared" ref="BH1740:BH1803" si="237">BG1740*0.5*$P$6*16*$AU$15*$AU$15/(POWER(PI(),2)*POWER((BE1740/1000),5))</f>
        <v>#DIV/0!</v>
      </c>
    </row>
    <row r="1741" spans="55:60" s="39" customFormat="1">
      <c r="BC1741" s="573">
        <v>17.3</v>
      </c>
      <c r="BD1741" s="571">
        <f t="shared" si="234"/>
        <v>0</v>
      </c>
      <c r="BE1741" s="571">
        <f t="shared" ref="BE1741:BE1804" si="238">((BD1741/PI())^0.5)*2*1000</f>
        <v>0</v>
      </c>
      <c r="BF1741" s="586">
        <f t="shared" si="235"/>
        <v>0</v>
      </c>
      <c r="BG1741" s="586" t="e">
        <f t="shared" si="236"/>
        <v>#DIV/0!</v>
      </c>
      <c r="BH1741" s="571" t="e">
        <f t="shared" si="237"/>
        <v>#DIV/0!</v>
      </c>
    </row>
    <row r="1742" spans="55:60" s="39" customFormat="1">
      <c r="BC1742" s="573">
        <v>17.309999999999999</v>
      </c>
      <c r="BD1742" s="571">
        <f t="shared" si="234"/>
        <v>0</v>
      </c>
      <c r="BE1742" s="571">
        <f t="shared" si="238"/>
        <v>0</v>
      </c>
      <c r="BF1742" s="586">
        <f t="shared" si="235"/>
        <v>0</v>
      </c>
      <c r="BG1742" s="586" t="e">
        <f t="shared" si="236"/>
        <v>#DIV/0!</v>
      </c>
      <c r="BH1742" s="571" t="e">
        <f t="shared" si="237"/>
        <v>#DIV/0!</v>
      </c>
    </row>
    <row r="1743" spans="55:60" s="39" customFormat="1">
      <c r="BC1743" s="573">
        <v>17.32</v>
      </c>
      <c r="BD1743" s="571">
        <f t="shared" si="234"/>
        <v>0</v>
      </c>
      <c r="BE1743" s="571">
        <f t="shared" si="238"/>
        <v>0</v>
      </c>
      <c r="BF1743" s="586">
        <f t="shared" si="235"/>
        <v>0</v>
      </c>
      <c r="BG1743" s="586" t="e">
        <f t="shared" si="236"/>
        <v>#DIV/0!</v>
      </c>
      <c r="BH1743" s="571" t="e">
        <f t="shared" si="237"/>
        <v>#DIV/0!</v>
      </c>
    </row>
    <row r="1744" spans="55:60" s="39" customFormat="1">
      <c r="BC1744" s="573">
        <v>17.329999999999998</v>
      </c>
      <c r="BD1744" s="571">
        <f t="shared" si="234"/>
        <v>0</v>
      </c>
      <c r="BE1744" s="571">
        <f t="shared" si="238"/>
        <v>0</v>
      </c>
      <c r="BF1744" s="586">
        <f t="shared" si="235"/>
        <v>0</v>
      </c>
      <c r="BG1744" s="586" t="e">
        <f t="shared" si="236"/>
        <v>#DIV/0!</v>
      </c>
      <c r="BH1744" s="571" t="e">
        <f t="shared" si="237"/>
        <v>#DIV/0!</v>
      </c>
    </row>
    <row r="1745" spans="55:60" s="39" customFormat="1">
      <c r="BC1745" s="573">
        <v>17.34</v>
      </c>
      <c r="BD1745" s="571">
        <f t="shared" si="234"/>
        <v>0</v>
      </c>
      <c r="BE1745" s="571">
        <f t="shared" si="238"/>
        <v>0</v>
      </c>
      <c r="BF1745" s="586">
        <f t="shared" si="235"/>
        <v>0</v>
      </c>
      <c r="BG1745" s="586" t="e">
        <f t="shared" si="236"/>
        <v>#DIV/0!</v>
      </c>
      <c r="BH1745" s="571" t="e">
        <f t="shared" si="237"/>
        <v>#DIV/0!</v>
      </c>
    </row>
    <row r="1746" spans="55:60" s="39" customFormat="1">
      <c r="BC1746" s="573">
        <v>17.350000000000001</v>
      </c>
      <c r="BD1746" s="571">
        <f t="shared" si="234"/>
        <v>0</v>
      </c>
      <c r="BE1746" s="571">
        <f t="shared" si="238"/>
        <v>0</v>
      </c>
      <c r="BF1746" s="586">
        <f t="shared" si="235"/>
        <v>0</v>
      </c>
      <c r="BG1746" s="586" t="e">
        <f t="shared" si="236"/>
        <v>#DIV/0!</v>
      </c>
      <c r="BH1746" s="571" t="e">
        <f t="shared" si="237"/>
        <v>#DIV/0!</v>
      </c>
    </row>
    <row r="1747" spans="55:60" s="39" customFormat="1">
      <c r="BC1747" s="573">
        <v>17.36</v>
      </c>
      <c r="BD1747" s="571">
        <f t="shared" si="234"/>
        <v>0</v>
      </c>
      <c r="BE1747" s="571">
        <f t="shared" si="238"/>
        <v>0</v>
      </c>
      <c r="BF1747" s="586">
        <f t="shared" si="235"/>
        <v>0</v>
      </c>
      <c r="BG1747" s="586" t="e">
        <f t="shared" si="236"/>
        <v>#DIV/0!</v>
      </c>
      <c r="BH1747" s="571" t="e">
        <f t="shared" si="237"/>
        <v>#DIV/0!</v>
      </c>
    </row>
    <row r="1748" spans="55:60" s="39" customFormat="1">
      <c r="BC1748" s="573">
        <v>17.37</v>
      </c>
      <c r="BD1748" s="571">
        <f t="shared" si="234"/>
        <v>0</v>
      </c>
      <c r="BE1748" s="571">
        <f t="shared" si="238"/>
        <v>0</v>
      </c>
      <c r="BF1748" s="586">
        <f t="shared" si="235"/>
        <v>0</v>
      </c>
      <c r="BG1748" s="586" t="e">
        <f t="shared" si="236"/>
        <v>#DIV/0!</v>
      </c>
      <c r="BH1748" s="571" t="e">
        <f t="shared" si="237"/>
        <v>#DIV/0!</v>
      </c>
    </row>
    <row r="1749" spans="55:60" s="39" customFormat="1">
      <c r="BC1749" s="573">
        <v>17.38</v>
      </c>
      <c r="BD1749" s="571">
        <f t="shared" si="234"/>
        <v>0</v>
      </c>
      <c r="BE1749" s="571">
        <f t="shared" si="238"/>
        <v>0</v>
      </c>
      <c r="BF1749" s="586">
        <f t="shared" si="235"/>
        <v>0</v>
      </c>
      <c r="BG1749" s="586" t="e">
        <f t="shared" si="236"/>
        <v>#DIV/0!</v>
      </c>
      <c r="BH1749" s="571" t="e">
        <f t="shared" si="237"/>
        <v>#DIV/0!</v>
      </c>
    </row>
    <row r="1750" spans="55:60" s="39" customFormat="1">
      <c r="BC1750" s="573">
        <v>17.39</v>
      </c>
      <c r="BD1750" s="571">
        <f t="shared" si="234"/>
        <v>0</v>
      </c>
      <c r="BE1750" s="571">
        <f t="shared" si="238"/>
        <v>0</v>
      </c>
      <c r="BF1750" s="586">
        <f t="shared" si="235"/>
        <v>0</v>
      </c>
      <c r="BG1750" s="586" t="e">
        <f t="shared" si="236"/>
        <v>#DIV/0!</v>
      </c>
      <c r="BH1750" s="571" t="e">
        <f t="shared" si="237"/>
        <v>#DIV/0!</v>
      </c>
    </row>
    <row r="1751" spans="55:60" s="39" customFormat="1">
      <c r="BC1751" s="573">
        <v>17.399999999999999</v>
      </c>
      <c r="BD1751" s="571">
        <f t="shared" si="234"/>
        <v>0</v>
      </c>
      <c r="BE1751" s="571">
        <f t="shared" si="238"/>
        <v>0</v>
      </c>
      <c r="BF1751" s="586">
        <f t="shared" si="235"/>
        <v>0</v>
      </c>
      <c r="BG1751" s="586" t="e">
        <f t="shared" si="236"/>
        <v>#DIV/0!</v>
      </c>
      <c r="BH1751" s="571" t="e">
        <f t="shared" si="237"/>
        <v>#DIV/0!</v>
      </c>
    </row>
    <row r="1752" spans="55:60" s="39" customFormat="1">
      <c r="BC1752" s="573">
        <v>17.41</v>
      </c>
      <c r="BD1752" s="571">
        <f t="shared" si="234"/>
        <v>0</v>
      </c>
      <c r="BE1752" s="571">
        <f t="shared" si="238"/>
        <v>0</v>
      </c>
      <c r="BF1752" s="586">
        <f t="shared" si="235"/>
        <v>0</v>
      </c>
      <c r="BG1752" s="586" t="e">
        <f t="shared" si="236"/>
        <v>#DIV/0!</v>
      </c>
      <c r="BH1752" s="571" t="e">
        <f t="shared" si="237"/>
        <v>#DIV/0!</v>
      </c>
    </row>
    <row r="1753" spans="55:60" s="39" customFormat="1">
      <c r="BC1753" s="573">
        <v>17.420000000000002</v>
      </c>
      <c r="BD1753" s="571">
        <f t="shared" si="234"/>
        <v>0</v>
      </c>
      <c r="BE1753" s="571">
        <f t="shared" si="238"/>
        <v>0</v>
      </c>
      <c r="BF1753" s="586">
        <f t="shared" si="235"/>
        <v>0</v>
      </c>
      <c r="BG1753" s="586" t="e">
        <f t="shared" si="236"/>
        <v>#DIV/0!</v>
      </c>
      <c r="BH1753" s="571" t="e">
        <f t="shared" si="237"/>
        <v>#DIV/0!</v>
      </c>
    </row>
    <row r="1754" spans="55:60" s="39" customFormat="1">
      <c r="BC1754" s="573">
        <v>17.43</v>
      </c>
      <c r="BD1754" s="571">
        <f t="shared" si="234"/>
        <v>0</v>
      </c>
      <c r="BE1754" s="571">
        <f t="shared" si="238"/>
        <v>0</v>
      </c>
      <c r="BF1754" s="586">
        <f t="shared" si="235"/>
        <v>0</v>
      </c>
      <c r="BG1754" s="586" t="e">
        <f t="shared" si="236"/>
        <v>#DIV/0!</v>
      </c>
      <c r="BH1754" s="571" t="e">
        <f t="shared" si="237"/>
        <v>#DIV/0!</v>
      </c>
    </row>
    <row r="1755" spans="55:60" s="39" customFormat="1">
      <c r="BC1755" s="573">
        <v>17.440000000000001</v>
      </c>
      <c r="BD1755" s="571">
        <f t="shared" si="234"/>
        <v>0</v>
      </c>
      <c r="BE1755" s="571">
        <f t="shared" si="238"/>
        <v>0</v>
      </c>
      <c r="BF1755" s="586">
        <f t="shared" si="235"/>
        <v>0</v>
      </c>
      <c r="BG1755" s="586" t="e">
        <f t="shared" si="236"/>
        <v>#DIV/0!</v>
      </c>
      <c r="BH1755" s="571" t="e">
        <f t="shared" si="237"/>
        <v>#DIV/0!</v>
      </c>
    </row>
    <row r="1756" spans="55:60" s="39" customFormat="1">
      <c r="BC1756" s="573">
        <v>17.45</v>
      </c>
      <c r="BD1756" s="571">
        <f t="shared" si="234"/>
        <v>0</v>
      </c>
      <c r="BE1756" s="571">
        <f t="shared" si="238"/>
        <v>0</v>
      </c>
      <c r="BF1756" s="586">
        <f t="shared" si="235"/>
        <v>0</v>
      </c>
      <c r="BG1756" s="586" t="e">
        <f t="shared" si="236"/>
        <v>#DIV/0!</v>
      </c>
      <c r="BH1756" s="571" t="e">
        <f t="shared" si="237"/>
        <v>#DIV/0!</v>
      </c>
    </row>
    <row r="1757" spans="55:60" s="39" customFormat="1">
      <c r="BC1757" s="573">
        <v>17.46</v>
      </c>
      <c r="BD1757" s="571">
        <f t="shared" si="234"/>
        <v>0</v>
      </c>
      <c r="BE1757" s="571">
        <f t="shared" si="238"/>
        <v>0</v>
      </c>
      <c r="BF1757" s="586">
        <f t="shared" si="235"/>
        <v>0</v>
      </c>
      <c r="BG1757" s="586" t="e">
        <f t="shared" si="236"/>
        <v>#DIV/0!</v>
      </c>
      <c r="BH1757" s="571" t="e">
        <f t="shared" si="237"/>
        <v>#DIV/0!</v>
      </c>
    </row>
    <row r="1758" spans="55:60" s="39" customFormat="1">
      <c r="BC1758" s="573">
        <v>17.47</v>
      </c>
      <c r="BD1758" s="571">
        <f t="shared" si="234"/>
        <v>0</v>
      </c>
      <c r="BE1758" s="571">
        <f t="shared" si="238"/>
        <v>0</v>
      </c>
      <c r="BF1758" s="586">
        <f t="shared" si="235"/>
        <v>0</v>
      </c>
      <c r="BG1758" s="586" t="e">
        <f t="shared" si="236"/>
        <v>#DIV/0!</v>
      </c>
      <c r="BH1758" s="571" t="e">
        <f t="shared" si="237"/>
        <v>#DIV/0!</v>
      </c>
    </row>
    <row r="1759" spans="55:60" s="39" customFormat="1">
      <c r="BC1759" s="573">
        <v>17.48</v>
      </c>
      <c r="BD1759" s="571">
        <f t="shared" si="234"/>
        <v>0</v>
      </c>
      <c r="BE1759" s="571">
        <f t="shared" si="238"/>
        <v>0</v>
      </c>
      <c r="BF1759" s="586">
        <f t="shared" si="235"/>
        <v>0</v>
      </c>
      <c r="BG1759" s="586" t="e">
        <f t="shared" si="236"/>
        <v>#DIV/0!</v>
      </c>
      <c r="BH1759" s="571" t="e">
        <f t="shared" si="237"/>
        <v>#DIV/0!</v>
      </c>
    </row>
    <row r="1760" spans="55:60" s="39" customFormat="1">
      <c r="BC1760" s="573">
        <v>17.489999999999998</v>
      </c>
      <c r="BD1760" s="571">
        <f t="shared" si="234"/>
        <v>0</v>
      </c>
      <c r="BE1760" s="571">
        <f t="shared" si="238"/>
        <v>0</v>
      </c>
      <c r="BF1760" s="586">
        <f t="shared" si="235"/>
        <v>0</v>
      </c>
      <c r="BG1760" s="586" t="e">
        <f t="shared" si="236"/>
        <v>#DIV/0!</v>
      </c>
      <c r="BH1760" s="571" t="e">
        <f t="shared" si="237"/>
        <v>#DIV/0!</v>
      </c>
    </row>
    <row r="1761" spans="55:60" s="39" customFormat="1">
      <c r="BC1761" s="573">
        <v>17.5</v>
      </c>
      <c r="BD1761" s="571">
        <f t="shared" si="234"/>
        <v>0</v>
      </c>
      <c r="BE1761" s="571">
        <f t="shared" si="238"/>
        <v>0</v>
      </c>
      <c r="BF1761" s="586">
        <f t="shared" si="235"/>
        <v>0</v>
      </c>
      <c r="BG1761" s="586" t="e">
        <f t="shared" si="236"/>
        <v>#DIV/0!</v>
      </c>
      <c r="BH1761" s="571" t="e">
        <f t="shared" si="237"/>
        <v>#DIV/0!</v>
      </c>
    </row>
    <row r="1762" spans="55:60" s="39" customFormat="1">
      <c r="BC1762" s="573">
        <v>17.510000000000002</v>
      </c>
      <c r="BD1762" s="571">
        <f t="shared" si="234"/>
        <v>0</v>
      </c>
      <c r="BE1762" s="571">
        <f t="shared" si="238"/>
        <v>0</v>
      </c>
      <c r="BF1762" s="586">
        <f t="shared" si="235"/>
        <v>0</v>
      </c>
      <c r="BG1762" s="586" t="e">
        <f t="shared" si="236"/>
        <v>#DIV/0!</v>
      </c>
      <c r="BH1762" s="571" t="e">
        <f t="shared" si="237"/>
        <v>#DIV/0!</v>
      </c>
    </row>
    <row r="1763" spans="55:60" s="39" customFormat="1">
      <c r="BC1763" s="573">
        <v>17.52</v>
      </c>
      <c r="BD1763" s="571">
        <f t="shared" si="234"/>
        <v>0</v>
      </c>
      <c r="BE1763" s="571">
        <f t="shared" si="238"/>
        <v>0</v>
      </c>
      <c r="BF1763" s="586">
        <f t="shared" si="235"/>
        <v>0</v>
      </c>
      <c r="BG1763" s="586" t="e">
        <f t="shared" si="236"/>
        <v>#DIV/0!</v>
      </c>
      <c r="BH1763" s="571" t="e">
        <f t="shared" si="237"/>
        <v>#DIV/0!</v>
      </c>
    </row>
    <row r="1764" spans="55:60" s="39" customFormat="1">
      <c r="BC1764" s="573">
        <v>17.53</v>
      </c>
      <c r="BD1764" s="571">
        <f t="shared" si="234"/>
        <v>0</v>
      </c>
      <c r="BE1764" s="571">
        <f t="shared" si="238"/>
        <v>0</v>
      </c>
      <c r="BF1764" s="586">
        <f t="shared" si="235"/>
        <v>0</v>
      </c>
      <c r="BG1764" s="586" t="e">
        <f t="shared" si="236"/>
        <v>#DIV/0!</v>
      </c>
      <c r="BH1764" s="571" t="e">
        <f t="shared" si="237"/>
        <v>#DIV/0!</v>
      </c>
    </row>
    <row r="1765" spans="55:60" s="39" customFormat="1">
      <c r="BC1765" s="573">
        <v>17.54</v>
      </c>
      <c r="BD1765" s="571">
        <f t="shared" si="234"/>
        <v>0</v>
      </c>
      <c r="BE1765" s="571">
        <f t="shared" si="238"/>
        <v>0</v>
      </c>
      <c r="BF1765" s="586">
        <f t="shared" si="235"/>
        <v>0</v>
      </c>
      <c r="BG1765" s="586" t="e">
        <f t="shared" si="236"/>
        <v>#DIV/0!</v>
      </c>
      <c r="BH1765" s="571" t="e">
        <f t="shared" si="237"/>
        <v>#DIV/0!</v>
      </c>
    </row>
    <row r="1766" spans="55:60" s="39" customFormat="1">
      <c r="BC1766" s="573">
        <v>17.55</v>
      </c>
      <c r="BD1766" s="571">
        <f t="shared" si="234"/>
        <v>0</v>
      </c>
      <c r="BE1766" s="571">
        <f t="shared" si="238"/>
        <v>0</v>
      </c>
      <c r="BF1766" s="586">
        <f t="shared" si="235"/>
        <v>0</v>
      </c>
      <c r="BG1766" s="586" t="e">
        <f t="shared" si="236"/>
        <v>#DIV/0!</v>
      </c>
      <c r="BH1766" s="571" t="e">
        <f t="shared" si="237"/>
        <v>#DIV/0!</v>
      </c>
    </row>
    <row r="1767" spans="55:60" s="39" customFormat="1">
      <c r="BC1767" s="573">
        <v>17.559999999999999</v>
      </c>
      <c r="BD1767" s="571">
        <f t="shared" si="234"/>
        <v>0</v>
      </c>
      <c r="BE1767" s="571">
        <f t="shared" si="238"/>
        <v>0</v>
      </c>
      <c r="BF1767" s="586">
        <f t="shared" si="235"/>
        <v>0</v>
      </c>
      <c r="BG1767" s="586" t="e">
        <f t="shared" si="236"/>
        <v>#DIV/0!</v>
      </c>
      <c r="BH1767" s="571" t="e">
        <f t="shared" si="237"/>
        <v>#DIV/0!</v>
      </c>
    </row>
    <row r="1768" spans="55:60" s="39" customFormat="1">
      <c r="BC1768" s="573">
        <v>17.57</v>
      </c>
      <c r="BD1768" s="571">
        <f t="shared" si="234"/>
        <v>0</v>
      </c>
      <c r="BE1768" s="571">
        <f t="shared" si="238"/>
        <v>0</v>
      </c>
      <c r="BF1768" s="586">
        <f t="shared" si="235"/>
        <v>0</v>
      </c>
      <c r="BG1768" s="586" t="e">
        <f t="shared" si="236"/>
        <v>#DIV/0!</v>
      </c>
      <c r="BH1768" s="571" t="e">
        <f t="shared" si="237"/>
        <v>#DIV/0!</v>
      </c>
    </row>
    <row r="1769" spans="55:60" s="39" customFormat="1">
      <c r="BC1769" s="573">
        <v>17.579999999999998</v>
      </c>
      <c r="BD1769" s="571">
        <f t="shared" si="234"/>
        <v>0</v>
      </c>
      <c r="BE1769" s="571">
        <f t="shared" si="238"/>
        <v>0</v>
      </c>
      <c r="BF1769" s="586">
        <f t="shared" si="235"/>
        <v>0</v>
      </c>
      <c r="BG1769" s="586" t="e">
        <f t="shared" si="236"/>
        <v>#DIV/0!</v>
      </c>
      <c r="BH1769" s="571" t="e">
        <f t="shared" si="237"/>
        <v>#DIV/0!</v>
      </c>
    </row>
    <row r="1770" spans="55:60" s="39" customFormat="1">
      <c r="BC1770" s="573">
        <v>17.59</v>
      </c>
      <c r="BD1770" s="571">
        <f t="shared" si="234"/>
        <v>0</v>
      </c>
      <c r="BE1770" s="571">
        <f t="shared" si="238"/>
        <v>0</v>
      </c>
      <c r="BF1770" s="586">
        <f t="shared" si="235"/>
        <v>0</v>
      </c>
      <c r="BG1770" s="586" t="e">
        <f t="shared" si="236"/>
        <v>#DIV/0!</v>
      </c>
      <c r="BH1770" s="571" t="e">
        <f t="shared" si="237"/>
        <v>#DIV/0!</v>
      </c>
    </row>
    <row r="1771" spans="55:60" s="39" customFormat="1">
      <c r="BC1771" s="573">
        <v>17.600000000000001</v>
      </c>
      <c r="BD1771" s="571">
        <f t="shared" si="234"/>
        <v>0</v>
      </c>
      <c r="BE1771" s="571">
        <f t="shared" si="238"/>
        <v>0</v>
      </c>
      <c r="BF1771" s="586">
        <f t="shared" si="235"/>
        <v>0</v>
      </c>
      <c r="BG1771" s="586" t="e">
        <f t="shared" si="236"/>
        <v>#DIV/0!</v>
      </c>
      <c r="BH1771" s="571" t="e">
        <f t="shared" si="237"/>
        <v>#DIV/0!</v>
      </c>
    </row>
    <row r="1772" spans="55:60" s="39" customFormat="1">
      <c r="BC1772" s="573">
        <v>17.61</v>
      </c>
      <c r="BD1772" s="571">
        <f t="shared" si="234"/>
        <v>0</v>
      </c>
      <c r="BE1772" s="571">
        <f t="shared" si="238"/>
        <v>0</v>
      </c>
      <c r="BF1772" s="586">
        <f t="shared" si="235"/>
        <v>0</v>
      </c>
      <c r="BG1772" s="586" t="e">
        <f t="shared" si="236"/>
        <v>#DIV/0!</v>
      </c>
      <c r="BH1772" s="571" t="e">
        <f t="shared" si="237"/>
        <v>#DIV/0!</v>
      </c>
    </row>
    <row r="1773" spans="55:60" s="39" customFormat="1">
      <c r="BC1773" s="573">
        <v>17.62</v>
      </c>
      <c r="BD1773" s="571">
        <f t="shared" si="234"/>
        <v>0</v>
      </c>
      <c r="BE1773" s="571">
        <f t="shared" si="238"/>
        <v>0</v>
      </c>
      <c r="BF1773" s="586">
        <f t="shared" si="235"/>
        <v>0</v>
      </c>
      <c r="BG1773" s="586" t="e">
        <f t="shared" si="236"/>
        <v>#DIV/0!</v>
      </c>
      <c r="BH1773" s="571" t="e">
        <f t="shared" si="237"/>
        <v>#DIV/0!</v>
      </c>
    </row>
    <row r="1774" spans="55:60" s="39" customFormat="1">
      <c r="BC1774" s="573">
        <v>17.63</v>
      </c>
      <c r="BD1774" s="571">
        <f t="shared" si="234"/>
        <v>0</v>
      </c>
      <c r="BE1774" s="571">
        <f t="shared" si="238"/>
        <v>0</v>
      </c>
      <c r="BF1774" s="586">
        <f t="shared" si="235"/>
        <v>0</v>
      </c>
      <c r="BG1774" s="586" t="e">
        <f t="shared" si="236"/>
        <v>#DIV/0!</v>
      </c>
      <c r="BH1774" s="571" t="e">
        <f t="shared" si="237"/>
        <v>#DIV/0!</v>
      </c>
    </row>
    <row r="1775" spans="55:60" s="39" customFormat="1">
      <c r="BC1775" s="573">
        <v>17.64</v>
      </c>
      <c r="BD1775" s="571">
        <f t="shared" si="234"/>
        <v>0</v>
      </c>
      <c r="BE1775" s="571">
        <f t="shared" si="238"/>
        <v>0</v>
      </c>
      <c r="BF1775" s="586">
        <f t="shared" si="235"/>
        <v>0</v>
      </c>
      <c r="BG1775" s="586" t="e">
        <f t="shared" si="236"/>
        <v>#DIV/0!</v>
      </c>
      <c r="BH1775" s="571" t="e">
        <f t="shared" si="237"/>
        <v>#DIV/0!</v>
      </c>
    </row>
    <row r="1776" spans="55:60" s="39" customFormat="1">
      <c r="BC1776" s="573">
        <v>17.649999999999999</v>
      </c>
      <c r="BD1776" s="571">
        <f t="shared" si="234"/>
        <v>0</v>
      </c>
      <c r="BE1776" s="571">
        <f t="shared" si="238"/>
        <v>0</v>
      </c>
      <c r="BF1776" s="586">
        <f t="shared" si="235"/>
        <v>0</v>
      </c>
      <c r="BG1776" s="586" t="e">
        <f t="shared" si="236"/>
        <v>#DIV/0!</v>
      </c>
      <c r="BH1776" s="571" t="e">
        <f t="shared" si="237"/>
        <v>#DIV/0!</v>
      </c>
    </row>
    <row r="1777" spans="55:60" s="39" customFormat="1">
      <c r="BC1777" s="573">
        <v>17.66</v>
      </c>
      <c r="BD1777" s="571">
        <f t="shared" si="234"/>
        <v>0</v>
      </c>
      <c r="BE1777" s="571">
        <f t="shared" si="238"/>
        <v>0</v>
      </c>
      <c r="BF1777" s="586">
        <f t="shared" si="235"/>
        <v>0</v>
      </c>
      <c r="BG1777" s="586" t="e">
        <f t="shared" si="236"/>
        <v>#DIV/0!</v>
      </c>
      <c r="BH1777" s="571" t="e">
        <f t="shared" si="237"/>
        <v>#DIV/0!</v>
      </c>
    </row>
    <row r="1778" spans="55:60" s="39" customFormat="1">
      <c r="BC1778" s="573">
        <v>17.670000000000002</v>
      </c>
      <c r="BD1778" s="571">
        <f t="shared" si="234"/>
        <v>0</v>
      </c>
      <c r="BE1778" s="571">
        <f t="shared" si="238"/>
        <v>0</v>
      </c>
      <c r="BF1778" s="586">
        <f t="shared" si="235"/>
        <v>0</v>
      </c>
      <c r="BG1778" s="586" t="e">
        <f t="shared" si="236"/>
        <v>#DIV/0!</v>
      </c>
      <c r="BH1778" s="571" t="e">
        <f t="shared" si="237"/>
        <v>#DIV/0!</v>
      </c>
    </row>
    <row r="1779" spans="55:60" s="39" customFormat="1">
      <c r="BC1779" s="573">
        <v>17.68</v>
      </c>
      <c r="BD1779" s="571">
        <f t="shared" si="234"/>
        <v>0</v>
      </c>
      <c r="BE1779" s="571">
        <f t="shared" si="238"/>
        <v>0</v>
      </c>
      <c r="BF1779" s="586">
        <f t="shared" si="235"/>
        <v>0</v>
      </c>
      <c r="BG1779" s="586" t="e">
        <f t="shared" si="236"/>
        <v>#DIV/0!</v>
      </c>
      <c r="BH1779" s="571" t="e">
        <f t="shared" si="237"/>
        <v>#DIV/0!</v>
      </c>
    </row>
    <row r="1780" spans="55:60" s="39" customFormat="1">
      <c r="BC1780" s="573">
        <v>17.690000000000001</v>
      </c>
      <c r="BD1780" s="571">
        <f t="shared" si="234"/>
        <v>0</v>
      </c>
      <c r="BE1780" s="571">
        <f t="shared" si="238"/>
        <v>0</v>
      </c>
      <c r="BF1780" s="586">
        <f t="shared" si="235"/>
        <v>0</v>
      </c>
      <c r="BG1780" s="586" t="e">
        <f t="shared" si="236"/>
        <v>#DIV/0!</v>
      </c>
      <c r="BH1780" s="571" t="e">
        <f t="shared" si="237"/>
        <v>#DIV/0!</v>
      </c>
    </row>
    <row r="1781" spans="55:60" s="39" customFormat="1">
      <c r="BC1781" s="573">
        <v>17.7</v>
      </c>
      <c r="BD1781" s="571">
        <f t="shared" si="234"/>
        <v>0</v>
      </c>
      <c r="BE1781" s="571">
        <f t="shared" si="238"/>
        <v>0</v>
      </c>
      <c r="BF1781" s="586">
        <f t="shared" si="235"/>
        <v>0</v>
      </c>
      <c r="BG1781" s="586" t="e">
        <f t="shared" si="236"/>
        <v>#DIV/0!</v>
      </c>
      <c r="BH1781" s="571" t="e">
        <f t="shared" si="237"/>
        <v>#DIV/0!</v>
      </c>
    </row>
    <row r="1782" spans="55:60" s="39" customFormat="1">
      <c r="BC1782" s="573">
        <v>17.71</v>
      </c>
      <c r="BD1782" s="571">
        <f t="shared" si="234"/>
        <v>0</v>
      </c>
      <c r="BE1782" s="571">
        <f t="shared" si="238"/>
        <v>0</v>
      </c>
      <c r="BF1782" s="586">
        <f t="shared" si="235"/>
        <v>0</v>
      </c>
      <c r="BG1782" s="586" t="e">
        <f t="shared" si="236"/>
        <v>#DIV/0!</v>
      </c>
      <c r="BH1782" s="571" t="e">
        <f t="shared" si="237"/>
        <v>#DIV/0!</v>
      </c>
    </row>
    <row r="1783" spans="55:60" s="39" customFormat="1">
      <c r="BC1783" s="573">
        <v>17.72</v>
      </c>
      <c r="BD1783" s="571">
        <f t="shared" si="234"/>
        <v>0</v>
      </c>
      <c r="BE1783" s="571">
        <f t="shared" si="238"/>
        <v>0</v>
      </c>
      <c r="BF1783" s="586">
        <f t="shared" si="235"/>
        <v>0</v>
      </c>
      <c r="BG1783" s="586" t="e">
        <f t="shared" si="236"/>
        <v>#DIV/0!</v>
      </c>
      <c r="BH1783" s="571" t="e">
        <f t="shared" si="237"/>
        <v>#DIV/0!</v>
      </c>
    </row>
    <row r="1784" spans="55:60" s="39" customFormat="1">
      <c r="BC1784" s="573">
        <v>17.73</v>
      </c>
      <c r="BD1784" s="571">
        <f t="shared" si="234"/>
        <v>0</v>
      </c>
      <c r="BE1784" s="571">
        <f t="shared" si="238"/>
        <v>0</v>
      </c>
      <c r="BF1784" s="586">
        <f t="shared" si="235"/>
        <v>0</v>
      </c>
      <c r="BG1784" s="586" t="e">
        <f t="shared" si="236"/>
        <v>#DIV/0!</v>
      </c>
      <c r="BH1784" s="571" t="e">
        <f t="shared" si="237"/>
        <v>#DIV/0!</v>
      </c>
    </row>
    <row r="1785" spans="55:60" s="39" customFormat="1">
      <c r="BC1785" s="573">
        <v>17.739999999999998</v>
      </c>
      <c r="BD1785" s="571">
        <f t="shared" si="234"/>
        <v>0</v>
      </c>
      <c r="BE1785" s="571">
        <f t="shared" si="238"/>
        <v>0</v>
      </c>
      <c r="BF1785" s="586">
        <f t="shared" si="235"/>
        <v>0</v>
      </c>
      <c r="BG1785" s="586" t="e">
        <f t="shared" si="236"/>
        <v>#DIV/0!</v>
      </c>
      <c r="BH1785" s="571" t="e">
        <f t="shared" si="237"/>
        <v>#DIV/0!</v>
      </c>
    </row>
    <row r="1786" spans="55:60" s="39" customFormat="1">
      <c r="BC1786" s="573">
        <v>17.75</v>
      </c>
      <c r="BD1786" s="571">
        <f t="shared" si="234"/>
        <v>0</v>
      </c>
      <c r="BE1786" s="571">
        <f t="shared" si="238"/>
        <v>0</v>
      </c>
      <c r="BF1786" s="586">
        <f t="shared" si="235"/>
        <v>0</v>
      </c>
      <c r="BG1786" s="586" t="e">
        <f t="shared" si="236"/>
        <v>#DIV/0!</v>
      </c>
      <c r="BH1786" s="571" t="e">
        <f t="shared" si="237"/>
        <v>#DIV/0!</v>
      </c>
    </row>
    <row r="1787" spans="55:60" s="39" customFormat="1">
      <c r="BC1787" s="573">
        <v>17.760000000000002</v>
      </c>
      <c r="BD1787" s="571">
        <f t="shared" si="234"/>
        <v>0</v>
      </c>
      <c r="BE1787" s="571">
        <f t="shared" si="238"/>
        <v>0</v>
      </c>
      <c r="BF1787" s="586">
        <f t="shared" si="235"/>
        <v>0</v>
      </c>
      <c r="BG1787" s="586" t="e">
        <f t="shared" si="236"/>
        <v>#DIV/0!</v>
      </c>
      <c r="BH1787" s="571" t="e">
        <f t="shared" si="237"/>
        <v>#DIV/0!</v>
      </c>
    </row>
    <row r="1788" spans="55:60" s="39" customFormat="1">
      <c r="BC1788" s="573">
        <v>17.77</v>
      </c>
      <c r="BD1788" s="571">
        <f t="shared" si="234"/>
        <v>0</v>
      </c>
      <c r="BE1788" s="571">
        <f t="shared" si="238"/>
        <v>0</v>
      </c>
      <c r="BF1788" s="586">
        <f t="shared" si="235"/>
        <v>0</v>
      </c>
      <c r="BG1788" s="586" t="e">
        <f t="shared" si="236"/>
        <v>#DIV/0!</v>
      </c>
      <c r="BH1788" s="571" t="e">
        <f t="shared" si="237"/>
        <v>#DIV/0!</v>
      </c>
    </row>
    <row r="1789" spans="55:60" s="39" customFormat="1">
      <c r="BC1789" s="573">
        <v>17.78</v>
      </c>
      <c r="BD1789" s="571">
        <f t="shared" si="234"/>
        <v>0</v>
      </c>
      <c r="BE1789" s="571">
        <f t="shared" si="238"/>
        <v>0</v>
      </c>
      <c r="BF1789" s="586">
        <f t="shared" si="235"/>
        <v>0</v>
      </c>
      <c r="BG1789" s="586" t="e">
        <f t="shared" si="236"/>
        <v>#DIV/0!</v>
      </c>
      <c r="BH1789" s="571" t="e">
        <f t="shared" si="237"/>
        <v>#DIV/0!</v>
      </c>
    </row>
    <row r="1790" spans="55:60" s="39" customFormat="1">
      <c r="BC1790" s="573">
        <v>17.79</v>
      </c>
      <c r="BD1790" s="571">
        <f t="shared" si="234"/>
        <v>0</v>
      </c>
      <c r="BE1790" s="571">
        <f t="shared" si="238"/>
        <v>0</v>
      </c>
      <c r="BF1790" s="586">
        <f t="shared" si="235"/>
        <v>0</v>
      </c>
      <c r="BG1790" s="586" t="e">
        <f t="shared" si="236"/>
        <v>#DIV/0!</v>
      </c>
      <c r="BH1790" s="571" t="e">
        <f t="shared" si="237"/>
        <v>#DIV/0!</v>
      </c>
    </row>
    <row r="1791" spans="55:60" s="39" customFormat="1">
      <c r="BC1791" s="573">
        <v>17.8</v>
      </c>
      <c r="BD1791" s="571">
        <f t="shared" si="234"/>
        <v>0</v>
      </c>
      <c r="BE1791" s="571">
        <f t="shared" si="238"/>
        <v>0</v>
      </c>
      <c r="BF1791" s="586">
        <f t="shared" si="235"/>
        <v>0</v>
      </c>
      <c r="BG1791" s="586" t="e">
        <f t="shared" si="236"/>
        <v>#DIV/0!</v>
      </c>
      <c r="BH1791" s="571" t="e">
        <f t="shared" si="237"/>
        <v>#DIV/0!</v>
      </c>
    </row>
    <row r="1792" spans="55:60" s="39" customFormat="1">
      <c r="BC1792" s="573">
        <v>17.809999999999999</v>
      </c>
      <c r="BD1792" s="571">
        <f t="shared" si="234"/>
        <v>0</v>
      </c>
      <c r="BE1792" s="571">
        <f t="shared" si="238"/>
        <v>0</v>
      </c>
      <c r="BF1792" s="586">
        <f t="shared" si="235"/>
        <v>0</v>
      </c>
      <c r="BG1792" s="586" t="e">
        <f t="shared" si="236"/>
        <v>#DIV/0!</v>
      </c>
      <c r="BH1792" s="571" t="e">
        <f t="shared" si="237"/>
        <v>#DIV/0!</v>
      </c>
    </row>
    <row r="1793" spans="55:60" s="39" customFormat="1">
      <c r="BC1793" s="573">
        <v>17.82</v>
      </c>
      <c r="BD1793" s="571">
        <f t="shared" si="234"/>
        <v>0</v>
      </c>
      <c r="BE1793" s="571">
        <f t="shared" si="238"/>
        <v>0</v>
      </c>
      <c r="BF1793" s="586">
        <f t="shared" si="235"/>
        <v>0</v>
      </c>
      <c r="BG1793" s="586" t="e">
        <f t="shared" si="236"/>
        <v>#DIV/0!</v>
      </c>
      <c r="BH1793" s="571" t="e">
        <f t="shared" si="237"/>
        <v>#DIV/0!</v>
      </c>
    </row>
    <row r="1794" spans="55:60" s="39" customFormat="1">
      <c r="BC1794" s="573">
        <v>17.829999999999998</v>
      </c>
      <c r="BD1794" s="571">
        <f t="shared" si="234"/>
        <v>0</v>
      </c>
      <c r="BE1794" s="571">
        <f t="shared" si="238"/>
        <v>0</v>
      </c>
      <c r="BF1794" s="586">
        <f t="shared" si="235"/>
        <v>0</v>
      </c>
      <c r="BG1794" s="586" t="e">
        <f t="shared" si="236"/>
        <v>#DIV/0!</v>
      </c>
      <c r="BH1794" s="571" t="e">
        <f t="shared" si="237"/>
        <v>#DIV/0!</v>
      </c>
    </row>
    <row r="1795" spans="55:60" s="39" customFormat="1">
      <c r="BC1795" s="573">
        <v>17.84</v>
      </c>
      <c r="BD1795" s="571">
        <f t="shared" si="234"/>
        <v>0</v>
      </c>
      <c r="BE1795" s="571">
        <f t="shared" si="238"/>
        <v>0</v>
      </c>
      <c r="BF1795" s="586">
        <f t="shared" si="235"/>
        <v>0</v>
      </c>
      <c r="BG1795" s="586" t="e">
        <f t="shared" si="236"/>
        <v>#DIV/0!</v>
      </c>
      <c r="BH1795" s="571" t="e">
        <f t="shared" si="237"/>
        <v>#DIV/0!</v>
      </c>
    </row>
    <row r="1796" spans="55:60" s="39" customFormat="1">
      <c r="BC1796" s="573">
        <v>17.850000000000001</v>
      </c>
      <c r="BD1796" s="571">
        <f t="shared" si="234"/>
        <v>0</v>
      </c>
      <c r="BE1796" s="571">
        <f t="shared" si="238"/>
        <v>0</v>
      </c>
      <c r="BF1796" s="586">
        <f t="shared" si="235"/>
        <v>0</v>
      </c>
      <c r="BG1796" s="586" t="e">
        <f t="shared" si="236"/>
        <v>#DIV/0!</v>
      </c>
      <c r="BH1796" s="571" t="e">
        <f t="shared" si="237"/>
        <v>#DIV/0!</v>
      </c>
    </row>
    <row r="1797" spans="55:60" s="39" customFormat="1">
      <c r="BC1797" s="573">
        <v>17.86</v>
      </c>
      <c r="BD1797" s="571">
        <f t="shared" si="234"/>
        <v>0</v>
      </c>
      <c r="BE1797" s="571">
        <f t="shared" si="238"/>
        <v>0</v>
      </c>
      <c r="BF1797" s="586">
        <f t="shared" si="235"/>
        <v>0</v>
      </c>
      <c r="BG1797" s="586" t="e">
        <f t="shared" si="236"/>
        <v>#DIV/0!</v>
      </c>
      <c r="BH1797" s="571" t="e">
        <f t="shared" si="237"/>
        <v>#DIV/0!</v>
      </c>
    </row>
    <row r="1798" spans="55:60" s="39" customFormat="1">
      <c r="BC1798" s="573">
        <v>17.87</v>
      </c>
      <c r="BD1798" s="571">
        <f t="shared" si="234"/>
        <v>0</v>
      </c>
      <c r="BE1798" s="571">
        <f t="shared" si="238"/>
        <v>0</v>
      </c>
      <c r="BF1798" s="586">
        <f t="shared" si="235"/>
        <v>0</v>
      </c>
      <c r="BG1798" s="586" t="e">
        <f t="shared" si="236"/>
        <v>#DIV/0!</v>
      </c>
      <c r="BH1798" s="571" t="e">
        <f t="shared" si="237"/>
        <v>#DIV/0!</v>
      </c>
    </row>
    <row r="1799" spans="55:60" s="39" customFormat="1">
      <c r="BC1799" s="573">
        <v>17.88</v>
      </c>
      <c r="BD1799" s="571">
        <f t="shared" si="234"/>
        <v>0</v>
      </c>
      <c r="BE1799" s="571">
        <f t="shared" si="238"/>
        <v>0</v>
      </c>
      <c r="BF1799" s="586">
        <f t="shared" si="235"/>
        <v>0</v>
      </c>
      <c r="BG1799" s="586" t="e">
        <f t="shared" si="236"/>
        <v>#DIV/0!</v>
      </c>
      <c r="BH1799" s="571" t="e">
        <f t="shared" si="237"/>
        <v>#DIV/0!</v>
      </c>
    </row>
    <row r="1800" spans="55:60" s="39" customFormat="1">
      <c r="BC1800" s="573">
        <v>17.89</v>
      </c>
      <c r="BD1800" s="571">
        <f t="shared" si="234"/>
        <v>0</v>
      </c>
      <c r="BE1800" s="571">
        <f t="shared" si="238"/>
        <v>0</v>
      </c>
      <c r="BF1800" s="586">
        <f t="shared" si="235"/>
        <v>0</v>
      </c>
      <c r="BG1800" s="586" t="e">
        <f t="shared" si="236"/>
        <v>#DIV/0!</v>
      </c>
      <c r="BH1800" s="571" t="e">
        <f t="shared" si="237"/>
        <v>#DIV/0!</v>
      </c>
    </row>
    <row r="1801" spans="55:60" s="39" customFormat="1">
      <c r="BC1801" s="573">
        <v>17.899999999999999</v>
      </c>
      <c r="BD1801" s="571">
        <f t="shared" si="234"/>
        <v>0</v>
      </c>
      <c r="BE1801" s="571">
        <f t="shared" si="238"/>
        <v>0</v>
      </c>
      <c r="BF1801" s="586">
        <f t="shared" si="235"/>
        <v>0</v>
      </c>
      <c r="BG1801" s="586" t="e">
        <f t="shared" si="236"/>
        <v>#DIV/0!</v>
      </c>
      <c r="BH1801" s="571" t="e">
        <f t="shared" si="237"/>
        <v>#DIV/0!</v>
      </c>
    </row>
    <row r="1802" spans="55:60" s="39" customFormat="1">
      <c r="BC1802" s="573">
        <v>17.91</v>
      </c>
      <c r="BD1802" s="571">
        <f t="shared" si="234"/>
        <v>0</v>
      </c>
      <c r="BE1802" s="571">
        <f t="shared" si="238"/>
        <v>0</v>
      </c>
      <c r="BF1802" s="586">
        <f t="shared" si="235"/>
        <v>0</v>
      </c>
      <c r="BG1802" s="586" t="e">
        <f t="shared" si="236"/>
        <v>#DIV/0!</v>
      </c>
      <c r="BH1802" s="571" t="e">
        <f t="shared" si="237"/>
        <v>#DIV/0!</v>
      </c>
    </row>
    <row r="1803" spans="55:60" s="39" customFormat="1">
      <c r="BC1803" s="573">
        <v>17.920000000000002</v>
      </c>
      <c r="BD1803" s="571">
        <f t="shared" si="234"/>
        <v>0</v>
      </c>
      <c r="BE1803" s="571">
        <f t="shared" si="238"/>
        <v>0</v>
      </c>
      <c r="BF1803" s="586">
        <f t="shared" si="235"/>
        <v>0</v>
      </c>
      <c r="BG1803" s="586" t="e">
        <f t="shared" si="236"/>
        <v>#DIV/0!</v>
      </c>
      <c r="BH1803" s="571" t="e">
        <f t="shared" si="237"/>
        <v>#DIV/0!</v>
      </c>
    </row>
    <row r="1804" spans="55:60" s="39" customFormat="1">
      <c r="BC1804" s="573">
        <v>17.93</v>
      </c>
      <c r="BD1804" s="571">
        <f t="shared" ref="BD1804:BD1867" si="239">$AU$15/BC1804</f>
        <v>0</v>
      </c>
      <c r="BE1804" s="571">
        <f t="shared" si="238"/>
        <v>0</v>
      </c>
      <c r="BF1804" s="586">
        <f t="shared" ref="BF1804:BF1867" si="240">BC1804*(BE1804/1000)/$AO$12</f>
        <v>0</v>
      </c>
      <c r="BG1804" s="586" t="e">
        <f t="shared" ref="BG1804:BG1867" si="241">POWER((1/(-1.8*LOG((6.9/BF1804+POWER((($P$7/BE1804)/3.71),1.11)),10))),2)</f>
        <v>#DIV/0!</v>
      </c>
      <c r="BH1804" s="571" t="e">
        <f t="shared" ref="BH1804:BH1867" si="242">BG1804*0.5*$P$6*16*$AU$15*$AU$15/(POWER(PI(),2)*POWER((BE1804/1000),5))</f>
        <v>#DIV/0!</v>
      </c>
    </row>
    <row r="1805" spans="55:60" s="39" customFormat="1">
      <c r="BC1805" s="573">
        <v>17.940000000000001</v>
      </c>
      <c r="BD1805" s="571">
        <f t="shared" si="239"/>
        <v>0</v>
      </c>
      <c r="BE1805" s="571">
        <f t="shared" ref="BE1805:BE1868" si="243">((BD1805/PI())^0.5)*2*1000</f>
        <v>0</v>
      </c>
      <c r="BF1805" s="586">
        <f t="shared" si="240"/>
        <v>0</v>
      </c>
      <c r="BG1805" s="586" t="e">
        <f t="shared" si="241"/>
        <v>#DIV/0!</v>
      </c>
      <c r="BH1805" s="571" t="e">
        <f t="shared" si="242"/>
        <v>#DIV/0!</v>
      </c>
    </row>
    <row r="1806" spans="55:60" s="39" customFormat="1">
      <c r="BC1806" s="573">
        <v>17.95</v>
      </c>
      <c r="BD1806" s="571">
        <f t="shared" si="239"/>
        <v>0</v>
      </c>
      <c r="BE1806" s="571">
        <f t="shared" si="243"/>
        <v>0</v>
      </c>
      <c r="BF1806" s="586">
        <f t="shared" si="240"/>
        <v>0</v>
      </c>
      <c r="BG1806" s="586" t="e">
        <f t="shared" si="241"/>
        <v>#DIV/0!</v>
      </c>
      <c r="BH1806" s="571" t="e">
        <f t="shared" si="242"/>
        <v>#DIV/0!</v>
      </c>
    </row>
    <row r="1807" spans="55:60" s="39" customFormat="1">
      <c r="BC1807" s="573">
        <v>17.96</v>
      </c>
      <c r="BD1807" s="571">
        <f t="shared" si="239"/>
        <v>0</v>
      </c>
      <c r="BE1807" s="571">
        <f t="shared" si="243"/>
        <v>0</v>
      </c>
      <c r="BF1807" s="586">
        <f t="shared" si="240"/>
        <v>0</v>
      </c>
      <c r="BG1807" s="586" t="e">
        <f t="shared" si="241"/>
        <v>#DIV/0!</v>
      </c>
      <c r="BH1807" s="571" t="e">
        <f t="shared" si="242"/>
        <v>#DIV/0!</v>
      </c>
    </row>
    <row r="1808" spans="55:60" s="39" customFormat="1">
      <c r="BC1808" s="573">
        <v>17.97</v>
      </c>
      <c r="BD1808" s="571">
        <f t="shared" si="239"/>
        <v>0</v>
      </c>
      <c r="BE1808" s="571">
        <f t="shared" si="243"/>
        <v>0</v>
      </c>
      <c r="BF1808" s="586">
        <f t="shared" si="240"/>
        <v>0</v>
      </c>
      <c r="BG1808" s="586" t="e">
        <f t="shared" si="241"/>
        <v>#DIV/0!</v>
      </c>
      <c r="BH1808" s="571" t="e">
        <f t="shared" si="242"/>
        <v>#DIV/0!</v>
      </c>
    </row>
    <row r="1809" spans="55:60" s="39" customFormat="1">
      <c r="BC1809" s="573">
        <v>17.98</v>
      </c>
      <c r="BD1809" s="571">
        <f t="shared" si="239"/>
        <v>0</v>
      </c>
      <c r="BE1809" s="571">
        <f t="shared" si="243"/>
        <v>0</v>
      </c>
      <c r="BF1809" s="586">
        <f t="shared" si="240"/>
        <v>0</v>
      </c>
      <c r="BG1809" s="586" t="e">
        <f t="shared" si="241"/>
        <v>#DIV/0!</v>
      </c>
      <c r="BH1809" s="571" t="e">
        <f t="shared" si="242"/>
        <v>#DIV/0!</v>
      </c>
    </row>
    <row r="1810" spans="55:60" s="39" customFormat="1">
      <c r="BC1810" s="573">
        <v>17.989999999999998</v>
      </c>
      <c r="BD1810" s="571">
        <f t="shared" si="239"/>
        <v>0</v>
      </c>
      <c r="BE1810" s="571">
        <f t="shared" si="243"/>
        <v>0</v>
      </c>
      <c r="BF1810" s="586">
        <f t="shared" si="240"/>
        <v>0</v>
      </c>
      <c r="BG1810" s="586" t="e">
        <f t="shared" si="241"/>
        <v>#DIV/0!</v>
      </c>
      <c r="BH1810" s="571" t="e">
        <f t="shared" si="242"/>
        <v>#DIV/0!</v>
      </c>
    </row>
    <row r="1811" spans="55:60" s="39" customFormat="1">
      <c r="BC1811" s="573">
        <v>18</v>
      </c>
      <c r="BD1811" s="571">
        <f t="shared" si="239"/>
        <v>0</v>
      </c>
      <c r="BE1811" s="571">
        <f t="shared" si="243"/>
        <v>0</v>
      </c>
      <c r="BF1811" s="586">
        <f t="shared" si="240"/>
        <v>0</v>
      </c>
      <c r="BG1811" s="586" t="e">
        <f t="shared" si="241"/>
        <v>#DIV/0!</v>
      </c>
      <c r="BH1811" s="571" t="e">
        <f t="shared" si="242"/>
        <v>#DIV/0!</v>
      </c>
    </row>
    <row r="1812" spans="55:60" s="39" customFormat="1">
      <c r="BC1812" s="573">
        <v>18.010000000000002</v>
      </c>
      <c r="BD1812" s="571">
        <f t="shared" si="239"/>
        <v>0</v>
      </c>
      <c r="BE1812" s="571">
        <f t="shared" si="243"/>
        <v>0</v>
      </c>
      <c r="BF1812" s="586">
        <f t="shared" si="240"/>
        <v>0</v>
      </c>
      <c r="BG1812" s="586" t="e">
        <f t="shared" si="241"/>
        <v>#DIV/0!</v>
      </c>
      <c r="BH1812" s="571" t="e">
        <f t="shared" si="242"/>
        <v>#DIV/0!</v>
      </c>
    </row>
    <row r="1813" spans="55:60" s="39" customFormat="1">
      <c r="BC1813" s="573">
        <v>18.02</v>
      </c>
      <c r="BD1813" s="571">
        <f t="shared" si="239"/>
        <v>0</v>
      </c>
      <c r="BE1813" s="571">
        <f t="shared" si="243"/>
        <v>0</v>
      </c>
      <c r="BF1813" s="586">
        <f t="shared" si="240"/>
        <v>0</v>
      </c>
      <c r="BG1813" s="586" t="e">
        <f t="shared" si="241"/>
        <v>#DIV/0!</v>
      </c>
      <c r="BH1813" s="571" t="e">
        <f t="shared" si="242"/>
        <v>#DIV/0!</v>
      </c>
    </row>
    <row r="1814" spans="55:60" s="39" customFormat="1">
      <c r="BC1814" s="573">
        <v>18.03</v>
      </c>
      <c r="BD1814" s="571">
        <f t="shared" si="239"/>
        <v>0</v>
      </c>
      <c r="BE1814" s="571">
        <f t="shared" si="243"/>
        <v>0</v>
      </c>
      <c r="BF1814" s="586">
        <f t="shared" si="240"/>
        <v>0</v>
      </c>
      <c r="BG1814" s="586" t="e">
        <f t="shared" si="241"/>
        <v>#DIV/0!</v>
      </c>
      <c r="BH1814" s="571" t="e">
        <f t="shared" si="242"/>
        <v>#DIV/0!</v>
      </c>
    </row>
    <row r="1815" spans="55:60" s="39" customFormat="1">
      <c r="BC1815" s="573">
        <v>18.04</v>
      </c>
      <c r="BD1815" s="571">
        <f t="shared" si="239"/>
        <v>0</v>
      </c>
      <c r="BE1815" s="571">
        <f t="shared" si="243"/>
        <v>0</v>
      </c>
      <c r="BF1815" s="586">
        <f t="shared" si="240"/>
        <v>0</v>
      </c>
      <c r="BG1815" s="586" t="e">
        <f t="shared" si="241"/>
        <v>#DIV/0!</v>
      </c>
      <c r="BH1815" s="571" t="e">
        <f t="shared" si="242"/>
        <v>#DIV/0!</v>
      </c>
    </row>
    <row r="1816" spans="55:60" s="39" customFormat="1">
      <c r="BC1816" s="573">
        <v>18.05</v>
      </c>
      <c r="BD1816" s="571">
        <f t="shared" si="239"/>
        <v>0</v>
      </c>
      <c r="BE1816" s="571">
        <f t="shared" si="243"/>
        <v>0</v>
      </c>
      <c r="BF1816" s="586">
        <f t="shared" si="240"/>
        <v>0</v>
      </c>
      <c r="BG1816" s="586" t="e">
        <f t="shared" si="241"/>
        <v>#DIV/0!</v>
      </c>
      <c r="BH1816" s="571" t="e">
        <f t="shared" si="242"/>
        <v>#DIV/0!</v>
      </c>
    </row>
    <row r="1817" spans="55:60" s="39" customFormat="1">
      <c r="BC1817" s="573">
        <v>18.059999999999999</v>
      </c>
      <c r="BD1817" s="571">
        <f t="shared" si="239"/>
        <v>0</v>
      </c>
      <c r="BE1817" s="571">
        <f t="shared" si="243"/>
        <v>0</v>
      </c>
      <c r="BF1817" s="586">
        <f t="shared" si="240"/>
        <v>0</v>
      </c>
      <c r="BG1817" s="586" t="e">
        <f t="shared" si="241"/>
        <v>#DIV/0!</v>
      </c>
      <c r="BH1817" s="571" t="e">
        <f t="shared" si="242"/>
        <v>#DIV/0!</v>
      </c>
    </row>
    <row r="1818" spans="55:60" s="39" customFormat="1">
      <c r="BC1818" s="573">
        <v>18.07</v>
      </c>
      <c r="BD1818" s="571">
        <f t="shared" si="239"/>
        <v>0</v>
      </c>
      <c r="BE1818" s="571">
        <f t="shared" si="243"/>
        <v>0</v>
      </c>
      <c r="BF1818" s="586">
        <f t="shared" si="240"/>
        <v>0</v>
      </c>
      <c r="BG1818" s="586" t="e">
        <f t="shared" si="241"/>
        <v>#DIV/0!</v>
      </c>
      <c r="BH1818" s="571" t="e">
        <f t="shared" si="242"/>
        <v>#DIV/0!</v>
      </c>
    </row>
    <row r="1819" spans="55:60" s="39" customFormat="1">
      <c r="BC1819" s="573">
        <v>18.079999999999998</v>
      </c>
      <c r="BD1819" s="571">
        <f t="shared" si="239"/>
        <v>0</v>
      </c>
      <c r="BE1819" s="571">
        <f t="shared" si="243"/>
        <v>0</v>
      </c>
      <c r="BF1819" s="586">
        <f t="shared" si="240"/>
        <v>0</v>
      </c>
      <c r="BG1819" s="586" t="e">
        <f t="shared" si="241"/>
        <v>#DIV/0!</v>
      </c>
      <c r="BH1819" s="571" t="e">
        <f t="shared" si="242"/>
        <v>#DIV/0!</v>
      </c>
    </row>
    <row r="1820" spans="55:60" s="39" customFormat="1">
      <c r="BC1820" s="573">
        <v>18.09</v>
      </c>
      <c r="BD1820" s="571">
        <f t="shared" si="239"/>
        <v>0</v>
      </c>
      <c r="BE1820" s="571">
        <f t="shared" si="243"/>
        <v>0</v>
      </c>
      <c r="BF1820" s="586">
        <f t="shared" si="240"/>
        <v>0</v>
      </c>
      <c r="BG1820" s="586" t="e">
        <f t="shared" si="241"/>
        <v>#DIV/0!</v>
      </c>
      <c r="BH1820" s="571" t="e">
        <f t="shared" si="242"/>
        <v>#DIV/0!</v>
      </c>
    </row>
    <row r="1821" spans="55:60" s="39" customFormat="1">
      <c r="BC1821" s="573">
        <v>18.100000000000001</v>
      </c>
      <c r="BD1821" s="571">
        <f t="shared" si="239"/>
        <v>0</v>
      </c>
      <c r="BE1821" s="571">
        <f t="shared" si="243"/>
        <v>0</v>
      </c>
      <c r="BF1821" s="586">
        <f t="shared" si="240"/>
        <v>0</v>
      </c>
      <c r="BG1821" s="586" t="e">
        <f t="shared" si="241"/>
        <v>#DIV/0!</v>
      </c>
      <c r="BH1821" s="571" t="e">
        <f t="shared" si="242"/>
        <v>#DIV/0!</v>
      </c>
    </row>
    <row r="1822" spans="55:60" s="39" customFormat="1">
      <c r="BC1822" s="573">
        <v>18.11</v>
      </c>
      <c r="BD1822" s="571">
        <f t="shared" si="239"/>
        <v>0</v>
      </c>
      <c r="BE1822" s="571">
        <f t="shared" si="243"/>
        <v>0</v>
      </c>
      <c r="BF1822" s="586">
        <f t="shared" si="240"/>
        <v>0</v>
      </c>
      <c r="BG1822" s="586" t="e">
        <f t="shared" si="241"/>
        <v>#DIV/0!</v>
      </c>
      <c r="BH1822" s="571" t="e">
        <f t="shared" si="242"/>
        <v>#DIV/0!</v>
      </c>
    </row>
    <row r="1823" spans="55:60" s="39" customFormat="1">
      <c r="BC1823" s="573">
        <v>18.12</v>
      </c>
      <c r="BD1823" s="571">
        <f t="shared" si="239"/>
        <v>0</v>
      </c>
      <c r="BE1823" s="571">
        <f t="shared" si="243"/>
        <v>0</v>
      </c>
      <c r="BF1823" s="586">
        <f t="shared" si="240"/>
        <v>0</v>
      </c>
      <c r="BG1823" s="586" t="e">
        <f t="shared" si="241"/>
        <v>#DIV/0!</v>
      </c>
      <c r="BH1823" s="571" t="e">
        <f t="shared" si="242"/>
        <v>#DIV/0!</v>
      </c>
    </row>
    <row r="1824" spans="55:60" s="39" customFormat="1">
      <c r="BC1824" s="573">
        <v>18.13</v>
      </c>
      <c r="BD1824" s="571">
        <f t="shared" si="239"/>
        <v>0</v>
      </c>
      <c r="BE1824" s="571">
        <f t="shared" si="243"/>
        <v>0</v>
      </c>
      <c r="BF1824" s="586">
        <f t="shared" si="240"/>
        <v>0</v>
      </c>
      <c r="BG1824" s="586" t="e">
        <f t="shared" si="241"/>
        <v>#DIV/0!</v>
      </c>
      <c r="BH1824" s="571" t="e">
        <f t="shared" si="242"/>
        <v>#DIV/0!</v>
      </c>
    </row>
    <row r="1825" spans="55:60" s="39" customFormat="1">
      <c r="BC1825" s="573">
        <v>18.14</v>
      </c>
      <c r="BD1825" s="571">
        <f t="shared" si="239"/>
        <v>0</v>
      </c>
      <c r="BE1825" s="571">
        <f t="shared" si="243"/>
        <v>0</v>
      </c>
      <c r="BF1825" s="586">
        <f t="shared" si="240"/>
        <v>0</v>
      </c>
      <c r="BG1825" s="586" t="e">
        <f t="shared" si="241"/>
        <v>#DIV/0!</v>
      </c>
      <c r="BH1825" s="571" t="e">
        <f t="shared" si="242"/>
        <v>#DIV/0!</v>
      </c>
    </row>
    <row r="1826" spans="55:60" s="39" customFormat="1">
      <c r="BC1826" s="573">
        <v>18.149999999999999</v>
      </c>
      <c r="BD1826" s="571">
        <f t="shared" si="239"/>
        <v>0</v>
      </c>
      <c r="BE1826" s="571">
        <f t="shared" si="243"/>
        <v>0</v>
      </c>
      <c r="BF1826" s="586">
        <f t="shared" si="240"/>
        <v>0</v>
      </c>
      <c r="BG1826" s="586" t="e">
        <f t="shared" si="241"/>
        <v>#DIV/0!</v>
      </c>
      <c r="BH1826" s="571" t="e">
        <f t="shared" si="242"/>
        <v>#DIV/0!</v>
      </c>
    </row>
    <row r="1827" spans="55:60" s="39" customFormat="1">
      <c r="BC1827" s="573">
        <v>18.16</v>
      </c>
      <c r="BD1827" s="571">
        <f t="shared" si="239"/>
        <v>0</v>
      </c>
      <c r="BE1827" s="571">
        <f t="shared" si="243"/>
        <v>0</v>
      </c>
      <c r="BF1827" s="586">
        <f t="shared" si="240"/>
        <v>0</v>
      </c>
      <c r="BG1827" s="586" t="e">
        <f t="shared" si="241"/>
        <v>#DIV/0!</v>
      </c>
      <c r="BH1827" s="571" t="e">
        <f t="shared" si="242"/>
        <v>#DIV/0!</v>
      </c>
    </row>
    <row r="1828" spans="55:60" s="39" customFormat="1">
      <c r="BC1828" s="573">
        <v>18.170000000000002</v>
      </c>
      <c r="BD1828" s="571">
        <f t="shared" si="239"/>
        <v>0</v>
      </c>
      <c r="BE1828" s="571">
        <f t="shared" si="243"/>
        <v>0</v>
      </c>
      <c r="BF1828" s="586">
        <f t="shared" si="240"/>
        <v>0</v>
      </c>
      <c r="BG1828" s="586" t="e">
        <f t="shared" si="241"/>
        <v>#DIV/0!</v>
      </c>
      <c r="BH1828" s="571" t="e">
        <f t="shared" si="242"/>
        <v>#DIV/0!</v>
      </c>
    </row>
    <row r="1829" spans="55:60" s="39" customFormat="1">
      <c r="BC1829" s="573">
        <v>18.18</v>
      </c>
      <c r="BD1829" s="571">
        <f t="shared" si="239"/>
        <v>0</v>
      </c>
      <c r="BE1829" s="571">
        <f t="shared" si="243"/>
        <v>0</v>
      </c>
      <c r="BF1829" s="586">
        <f t="shared" si="240"/>
        <v>0</v>
      </c>
      <c r="BG1829" s="586" t="e">
        <f t="shared" si="241"/>
        <v>#DIV/0!</v>
      </c>
      <c r="BH1829" s="571" t="e">
        <f t="shared" si="242"/>
        <v>#DIV/0!</v>
      </c>
    </row>
    <row r="1830" spans="55:60" s="39" customFormat="1">
      <c r="BC1830" s="573">
        <v>18.190000000000001</v>
      </c>
      <c r="BD1830" s="571">
        <f t="shared" si="239"/>
        <v>0</v>
      </c>
      <c r="BE1830" s="571">
        <f t="shared" si="243"/>
        <v>0</v>
      </c>
      <c r="BF1830" s="586">
        <f t="shared" si="240"/>
        <v>0</v>
      </c>
      <c r="BG1830" s="586" t="e">
        <f t="shared" si="241"/>
        <v>#DIV/0!</v>
      </c>
      <c r="BH1830" s="571" t="e">
        <f t="shared" si="242"/>
        <v>#DIV/0!</v>
      </c>
    </row>
    <row r="1831" spans="55:60" s="39" customFormat="1">
      <c r="BC1831" s="573">
        <v>18.2</v>
      </c>
      <c r="BD1831" s="571">
        <f t="shared" si="239"/>
        <v>0</v>
      </c>
      <c r="BE1831" s="571">
        <f t="shared" si="243"/>
        <v>0</v>
      </c>
      <c r="BF1831" s="586">
        <f t="shared" si="240"/>
        <v>0</v>
      </c>
      <c r="BG1831" s="586" t="e">
        <f t="shared" si="241"/>
        <v>#DIV/0!</v>
      </c>
      <c r="BH1831" s="571" t="e">
        <f t="shared" si="242"/>
        <v>#DIV/0!</v>
      </c>
    </row>
    <row r="1832" spans="55:60" s="39" customFormat="1">
      <c r="BC1832" s="573">
        <v>18.21</v>
      </c>
      <c r="BD1832" s="571">
        <f t="shared" si="239"/>
        <v>0</v>
      </c>
      <c r="BE1832" s="571">
        <f t="shared" si="243"/>
        <v>0</v>
      </c>
      <c r="BF1832" s="586">
        <f t="shared" si="240"/>
        <v>0</v>
      </c>
      <c r="BG1832" s="586" t="e">
        <f t="shared" si="241"/>
        <v>#DIV/0!</v>
      </c>
      <c r="BH1832" s="571" t="e">
        <f t="shared" si="242"/>
        <v>#DIV/0!</v>
      </c>
    </row>
    <row r="1833" spans="55:60" s="39" customFormat="1">
      <c r="BC1833" s="573">
        <v>18.22</v>
      </c>
      <c r="BD1833" s="571">
        <f t="shared" si="239"/>
        <v>0</v>
      </c>
      <c r="BE1833" s="571">
        <f t="shared" si="243"/>
        <v>0</v>
      </c>
      <c r="BF1833" s="586">
        <f t="shared" si="240"/>
        <v>0</v>
      </c>
      <c r="BG1833" s="586" t="e">
        <f t="shared" si="241"/>
        <v>#DIV/0!</v>
      </c>
      <c r="BH1833" s="571" t="e">
        <f t="shared" si="242"/>
        <v>#DIV/0!</v>
      </c>
    </row>
    <row r="1834" spans="55:60" s="39" customFormat="1">
      <c r="BC1834" s="573">
        <v>18.23</v>
      </c>
      <c r="BD1834" s="571">
        <f t="shared" si="239"/>
        <v>0</v>
      </c>
      <c r="BE1834" s="571">
        <f t="shared" si="243"/>
        <v>0</v>
      </c>
      <c r="BF1834" s="586">
        <f t="shared" si="240"/>
        <v>0</v>
      </c>
      <c r="BG1834" s="586" t="e">
        <f t="shared" si="241"/>
        <v>#DIV/0!</v>
      </c>
      <c r="BH1834" s="571" t="e">
        <f t="shared" si="242"/>
        <v>#DIV/0!</v>
      </c>
    </row>
    <row r="1835" spans="55:60" s="39" customFormat="1">
      <c r="BC1835" s="573">
        <v>18.239999999999998</v>
      </c>
      <c r="BD1835" s="571">
        <f t="shared" si="239"/>
        <v>0</v>
      </c>
      <c r="BE1835" s="571">
        <f t="shared" si="243"/>
        <v>0</v>
      </c>
      <c r="BF1835" s="586">
        <f t="shared" si="240"/>
        <v>0</v>
      </c>
      <c r="BG1835" s="586" t="e">
        <f t="shared" si="241"/>
        <v>#DIV/0!</v>
      </c>
      <c r="BH1835" s="571" t="e">
        <f t="shared" si="242"/>
        <v>#DIV/0!</v>
      </c>
    </row>
    <row r="1836" spans="55:60" s="39" customFormat="1">
      <c r="BC1836" s="573">
        <v>18.25</v>
      </c>
      <c r="BD1836" s="571">
        <f t="shared" si="239"/>
        <v>0</v>
      </c>
      <c r="BE1836" s="571">
        <f t="shared" si="243"/>
        <v>0</v>
      </c>
      <c r="BF1836" s="586">
        <f t="shared" si="240"/>
        <v>0</v>
      </c>
      <c r="BG1836" s="586" t="e">
        <f t="shared" si="241"/>
        <v>#DIV/0!</v>
      </c>
      <c r="BH1836" s="571" t="e">
        <f t="shared" si="242"/>
        <v>#DIV/0!</v>
      </c>
    </row>
    <row r="1837" spans="55:60" s="39" customFormat="1">
      <c r="BC1837" s="573">
        <v>18.260000000000002</v>
      </c>
      <c r="BD1837" s="571">
        <f t="shared" si="239"/>
        <v>0</v>
      </c>
      <c r="BE1837" s="571">
        <f t="shared" si="243"/>
        <v>0</v>
      </c>
      <c r="BF1837" s="586">
        <f t="shared" si="240"/>
        <v>0</v>
      </c>
      <c r="BG1837" s="586" t="e">
        <f t="shared" si="241"/>
        <v>#DIV/0!</v>
      </c>
      <c r="BH1837" s="571" t="e">
        <f t="shared" si="242"/>
        <v>#DIV/0!</v>
      </c>
    </row>
    <row r="1838" spans="55:60" s="39" customFormat="1">
      <c r="BC1838" s="573">
        <v>18.27</v>
      </c>
      <c r="BD1838" s="571">
        <f t="shared" si="239"/>
        <v>0</v>
      </c>
      <c r="BE1838" s="571">
        <f t="shared" si="243"/>
        <v>0</v>
      </c>
      <c r="BF1838" s="586">
        <f t="shared" si="240"/>
        <v>0</v>
      </c>
      <c r="BG1838" s="586" t="e">
        <f t="shared" si="241"/>
        <v>#DIV/0!</v>
      </c>
      <c r="BH1838" s="571" t="e">
        <f t="shared" si="242"/>
        <v>#DIV/0!</v>
      </c>
    </row>
    <row r="1839" spans="55:60" s="39" customFormat="1">
      <c r="BC1839" s="573">
        <v>18.28</v>
      </c>
      <c r="BD1839" s="571">
        <f t="shared" si="239"/>
        <v>0</v>
      </c>
      <c r="BE1839" s="571">
        <f t="shared" si="243"/>
        <v>0</v>
      </c>
      <c r="BF1839" s="586">
        <f t="shared" si="240"/>
        <v>0</v>
      </c>
      <c r="BG1839" s="586" t="e">
        <f t="shared" si="241"/>
        <v>#DIV/0!</v>
      </c>
      <c r="BH1839" s="571" t="e">
        <f t="shared" si="242"/>
        <v>#DIV/0!</v>
      </c>
    </row>
    <row r="1840" spans="55:60" s="39" customFormat="1">
      <c r="BC1840" s="573">
        <v>18.29</v>
      </c>
      <c r="BD1840" s="571">
        <f t="shared" si="239"/>
        <v>0</v>
      </c>
      <c r="BE1840" s="571">
        <f t="shared" si="243"/>
        <v>0</v>
      </c>
      <c r="BF1840" s="586">
        <f t="shared" si="240"/>
        <v>0</v>
      </c>
      <c r="BG1840" s="586" t="e">
        <f t="shared" si="241"/>
        <v>#DIV/0!</v>
      </c>
      <c r="BH1840" s="571" t="e">
        <f t="shared" si="242"/>
        <v>#DIV/0!</v>
      </c>
    </row>
    <row r="1841" spans="55:60" s="39" customFormat="1">
      <c r="BC1841" s="573">
        <v>18.3</v>
      </c>
      <c r="BD1841" s="571">
        <f t="shared" si="239"/>
        <v>0</v>
      </c>
      <c r="BE1841" s="571">
        <f t="shared" si="243"/>
        <v>0</v>
      </c>
      <c r="BF1841" s="586">
        <f t="shared" si="240"/>
        <v>0</v>
      </c>
      <c r="BG1841" s="586" t="e">
        <f t="shared" si="241"/>
        <v>#DIV/0!</v>
      </c>
      <c r="BH1841" s="571" t="e">
        <f t="shared" si="242"/>
        <v>#DIV/0!</v>
      </c>
    </row>
    <row r="1842" spans="55:60" s="39" customFormat="1">
      <c r="BC1842" s="573">
        <v>18.309999999999999</v>
      </c>
      <c r="BD1842" s="571">
        <f t="shared" si="239"/>
        <v>0</v>
      </c>
      <c r="BE1842" s="571">
        <f t="shared" si="243"/>
        <v>0</v>
      </c>
      <c r="BF1842" s="586">
        <f t="shared" si="240"/>
        <v>0</v>
      </c>
      <c r="BG1842" s="586" t="e">
        <f t="shared" si="241"/>
        <v>#DIV/0!</v>
      </c>
      <c r="BH1842" s="571" t="e">
        <f t="shared" si="242"/>
        <v>#DIV/0!</v>
      </c>
    </row>
    <row r="1843" spans="55:60" s="39" customFormat="1">
      <c r="BC1843" s="573">
        <v>18.32</v>
      </c>
      <c r="BD1843" s="571">
        <f t="shared" si="239"/>
        <v>0</v>
      </c>
      <c r="BE1843" s="571">
        <f t="shared" si="243"/>
        <v>0</v>
      </c>
      <c r="BF1843" s="586">
        <f t="shared" si="240"/>
        <v>0</v>
      </c>
      <c r="BG1843" s="586" t="e">
        <f t="shared" si="241"/>
        <v>#DIV/0!</v>
      </c>
      <c r="BH1843" s="571" t="e">
        <f t="shared" si="242"/>
        <v>#DIV/0!</v>
      </c>
    </row>
    <row r="1844" spans="55:60" s="39" customFormat="1">
      <c r="BC1844" s="573">
        <v>18.329999999999998</v>
      </c>
      <c r="BD1844" s="571">
        <f t="shared" si="239"/>
        <v>0</v>
      </c>
      <c r="BE1844" s="571">
        <f t="shared" si="243"/>
        <v>0</v>
      </c>
      <c r="BF1844" s="586">
        <f t="shared" si="240"/>
        <v>0</v>
      </c>
      <c r="BG1844" s="586" t="e">
        <f t="shared" si="241"/>
        <v>#DIV/0!</v>
      </c>
      <c r="BH1844" s="571" t="e">
        <f t="shared" si="242"/>
        <v>#DIV/0!</v>
      </c>
    </row>
    <row r="1845" spans="55:60" s="39" customFormat="1">
      <c r="BC1845" s="573">
        <v>18.34</v>
      </c>
      <c r="BD1845" s="571">
        <f t="shared" si="239"/>
        <v>0</v>
      </c>
      <c r="BE1845" s="571">
        <f t="shared" si="243"/>
        <v>0</v>
      </c>
      <c r="BF1845" s="586">
        <f t="shared" si="240"/>
        <v>0</v>
      </c>
      <c r="BG1845" s="586" t="e">
        <f t="shared" si="241"/>
        <v>#DIV/0!</v>
      </c>
      <c r="BH1845" s="571" t="e">
        <f t="shared" si="242"/>
        <v>#DIV/0!</v>
      </c>
    </row>
    <row r="1846" spans="55:60" s="39" customFormat="1">
      <c r="BC1846" s="573">
        <v>18.350000000000001</v>
      </c>
      <c r="BD1846" s="571">
        <f t="shared" si="239"/>
        <v>0</v>
      </c>
      <c r="BE1846" s="571">
        <f t="shared" si="243"/>
        <v>0</v>
      </c>
      <c r="BF1846" s="586">
        <f t="shared" si="240"/>
        <v>0</v>
      </c>
      <c r="BG1846" s="586" t="e">
        <f t="shared" si="241"/>
        <v>#DIV/0!</v>
      </c>
      <c r="BH1846" s="571" t="e">
        <f t="shared" si="242"/>
        <v>#DIV/0!</v>
      </c>
    </row>
    <row r="1847" spans="55:60" s="39" customFormat="1">
      <c r="BC1847" s="573">
        <v>18.36</v>
      </c>
      <c r="BD1847" s="571">
        <f t="shared" si="239"/>
        <v>0</v>
      </c>
      <c r="BE1847" s="571">
        <f t="shared" si="243"/>
        <v>0</v>
      </c>
      <c r="BF1847" s="586">
        <f t="shared" si="240"/>
        <v>0</v>
      </c>
      <c r="BG1847" s="586" t="e">
        <f t="shared" si="241"/>
        <v>#DIV/0!</v>
      </c>
      <c r="BH1847" s="571" t="e">
        <f t="shared" si="242"/>
        <v>#DIV/0!</v>
      </c>
    </row>
    <row r="1848" spans="55:60" s="39" customFormat="1">
      <c r="BC1848" s="573">
        <v>18.37</v>
      </c>
      <c r="BD1848" s="571">
        <f t="shared" si="239"/>
        <v>0</v>
      </c>
      <c r="BE1848" s="571">
        <f t="shared" si="243"/>
        <v>0</v>
      </c>
      <c r="BF1848" s="586">
        <f t="shared" si="240"/>
        <v>0</v>
      </c>
      <c r="BG1848" s="586" t="e">
        <f t="shared" si="241"/>
        <v>#DIV/0!</v>
      </c>
      <c r="BH1848" s="571" t="e">
        <f t="shared" si="242"/>
        <v>#DIV/0!</v>
      </c>
    </row>
    <row r="1849" spans="55:60" s="39" customFormat="1">
      <c r="BC1849" s="573">
        <v>18.38</v>
      </c>
      <c r="BD1849" s="571">
        <f t="shared" si="239"/>
        <v>0</v>
      </c>
      <c r="BE1849" s="571">
        <f t="shared" si="243"/>
        <v>0</v>
      </c>
      <c r="BF1849" s="586">
        <f t="shared" si="240"/>
        <v>0</v>
      </c>
      <c r="BG1849" s="586" t="e">
        <f t="shared" si="241"/>
        <v>#DIV/0!</v>
      </c>
      <c r="BH1849" s="571" t="e">
        <f t="shared" si="242"/>
        <v>#DIV/0!</v>
      </c>
    </row>
    <row r="1850" spans="55:60" s="39" customFormat="1">
      <c r="BC1850" s="573">
        <v>18.39</v>
      </c>
      <c r="BD1850" s="571">
        <f t="shared" si="239"/>
        <v>0</v>
      </c>
      <c r="BE1850" s="571">
        <f t="shared" si="243"/>
        <v>0</v>
      </c>
      <c r="BF1850" s="586">
        <f t="shared" si="240"/>
        <v>0</v>
      </c>
      <c r="BG1850" s="586" t="e">
        <f t="shared" si="241"/>
        <v>#DIV/0!</v>
      </c>
      <c r="BH1850" s="571" t="e">
        <f t="shared" si="242"/>
        <v>#DIV/0!</v>
      </c>
    </row>
    <row r="1851" spans="55:60" s="39" customFormat="1">
      <c r="BC1851" s="573">
        <v>18.399999999999999</v>
      </c>
      <c r="BD1851" s="571">
        <f t="shared" si="239"/>
        <v>0</v>
      </c>
      <c r="BE1851" s="571">
        <f t="shared" si="243"/>
        <v>0</v>
      </c>
      <c r="BF1851" s="586">
        <f t="shared" si="240"/>
        <v>0</v>
      </c>
      <c r="BG1851" s="586" t="e">
        <f t="shared" si="241"/>
        <v>#DIV/0!</v>
      </c>
      <c r="BH1851" s="571" t="e">
        <f t="shared" si="242"/>
        <v>#DIV/0!</v>
      </c>
    </row>
    <row r="1852" spans="55:60" s="39" customFormat="1">
      <c r="BC1852" s="573">
        <v>18.41</v>
      </c>
      <c r="BD1852" s="571">
        <f t="shared" si="239"/>
        <v>0</v>
      </c>
      <c r="BE1852" s="571">
        <f t="shared" si="243"/>
        <v>0</v>
      </c>
      <c r="BF1852" s="586">
        <f t="shared" si="240"/>
        <v>0</v>
      </c>
      <c r="BG1852" s="586" t="e">
        <f t="shared" si="241"/>
        <v>#DIV/0!</v>
      </c>
      <c r="BH1852" s="571" t="e">
        <f t="shared" si="242"/>
        <v>#DIV/0!</v>
      </c>
    </row>
    <row r="1853" spans="55:60" s="39" customFormat="1">
      <c r="BC1853" s="573">
        <v>18.420000000000002</v>
      </c>
      <c r="BD1853" s="571">
        <f t="shared" si="239"/>
        <v>0</v>
      </c>
      <c r="BE1853" s="571">
        <f t="shared" si="243"/>
        <v>0</v>
      </c>
      <c r="BF1853" s="586">
        <f t="shared" si="240"/>
        <v>0</v>
      </c>
      <c r="BG1853" s="586" t="e">
        <f t="shared" si="241"/>
        <v>#DIV/0!</v>
      </c>
      <c r="BH1853" s="571" t="e">
        <f t="shared" si="242"/>
        <v>#DIV/0!</v>
      </c>
    </row>
    <row r="1854" spans="55:60" s="39" customFormat="1">
      <c r="BC1854" s="573">
        <v>18.43</v>
      </c>
      <c r="BD1854" s="571">
        <f t="shared" si="239"/>
        <v>0</v>
      </c>
      <c r="BE1854" s="571">
        <f t="shared" si="243"/>
        <v>0</v>
      </c>
      <c r="BF1854" s="586">
        <f t="shared" si="240"/>
        <v>0</v>
      </c>
      <c r="BG1854" s="586" t="e">
        <f t="shared" si="241"/>
        <v>#DIV/0!</v>
      </c>
      <c r="BH1854" s="571" t="e">
        <f t="shared" si="242"/>
        <v>#DIV/0!</v>
      </c>
    </row>
    <row r="1855" spans="55:60" s="39" customFormat="1">
      <c r="BC1855" s="573">
        <v>18.440000000000001</v>
      </c>
      <c r="BD1855" s="571">
        <f t="shared" si="239"/>
        <v>0</v>
      </c>
      <c r="BE1855" s="571">
        <f t="shared" si="243"/>
        <v>0</v>
      </c>
      <c r="BF1855" s="586">
        <f t="shared" si="240"/>
        <v>0</v>
      </c>
      <c r="BG1855" s="586" t="e">
        <f t="shared" si="241"/>
        <v>#DIV/0!</v>
      </c>
      <c r="BH1855" s="571" t="e">
        <f t="shared" si="242"/>
        <v>#DIV/0!</v>
      </c>
    </row>
    <row r="1856" spans="55:60" s="39" customFormat="1">
      <c r="BC1856" s="573">
        <v>18.45</v>
      </c>
      <c r="BD1856" s="571">
        <f t="shared" si="239"/>
        <v>0</v>
      </c>
      <c r="BE1856" s="571">
        <f t="shared" si="243"/>
        <v>0</v>
      </c>
      <c r="BF1856" s="586">
        <f t="shared" si="240"/>
        <v>0</v>
      </c>
      <c r="BG1856" s="586" t="e">
        <f t="shared" si="241"/>
        <v>#DIV/0!</v>
      </c>
      <c r="BH1856" s="571" t="e">
        <f t="shared" si="242"/>
        <v>#DIV/0!</v>
      </c>
    </row>
    <row r="1857" spans="55:60" s="39" customFormat="1">
      <c r="BC1857" s="573">
        <v>18.46</v>
      </c>
      <c r="BD1857" s="571">
        <f t="shared" si="239"/>
        <v>0</v>
      </c>
      <c r="BE1857" s="571">
        <f t="shared" si="243"/>
        <v>0</v>
      </c>
      <c r="BF1857" s="586">
        <f t="shared" si="240"/>
        <v>0</v>
      </c>
      <c r="BG1857" s="586" t="e">
        <f t="shared" si="241"/>
        <v>#DIV/0!</v>
      </c>
      <c r="BH1857" s="571" t="e">
        <f t="shared" si="242"/>
        <v>#DIV/0!</v>
      </c>
    </row>
    <row r="1858" spans="55:60" s="39" customFormat="1">
      <c r="BC1858" s="573">
        <v>18.47</v>
      </c>
      <c r="BD1858" s="571">
        <f t="shared" si="239"/>
        <v>0</v>
      </c>
      <c r="BE1858" s="571">
        <f t="shared" si="243"/>
        <v>0</v>
      </c>
      <c r="BF1858" s="586">
        <f t="shared" si="240"/>
        <v>0</v>
      </c>
      <c r="BG1858" s="586" t="e">
        <f t="shared" si="241"/>
        <v>#DIV/0!</v>
      </c>
      <c r="BH1858" s="571" t="e">
        <f t="shared" si="242"/>
        <v>#DIV/0!</v>
      </c>
    </row>
    <row r="1859" spans="55:60" s="39" customFormat="1">
      <c r="BC1859" s="573">
        <v>18.48</v>
      </c>
      <c r="BD1859" s="571">
        <f t="shared" si="239"/>
        <v>0</v>
      </c>
      <c r="BE1859" s="571">
        <f t="shared" si="243"/>
        <v>0</v>
      </c>
      <c r="BF1859" s="586">
        <f t="shared" si="240"/>
        <v>0</v>
      </c>
      <c r="BG1859" s="586" t="e">
        <f t="shared" si="241"/>
        <v>#DIV/0!</v>
      </c>
      <c r="BH1859" s="571" t="e">
        <f t="shared" si="242"/>
        <v>#DIV/0!</v>
      </c>
    </row>
    <row r="1860" spans="55:60" s="39" customFormat="1">
      <c r="BC1860" s="573">
        <v>18.489999999999998</v>
      </c>
      <c r="BD1860" s="571">
        <f t="shared" si="239"/>
        <v>0</v>
      </c>
      <c r="BE1860" s="571">
        <f t="shared" si="243"/>
        <v>0</v>
      </c>
      <c r="BF1860" s="586">
        <f t="shared" si="240"/>
        <v>0</v>
      </c>
      <c r="BG1860" s="586" t="e">
        <f t="shared" si="241"/>
        <v>#DIV/0!</v>
      </c>
      <c r="BH1860" s="571" t="e">
        <f t="shared" si="242"/>
        <v>#DIV/0!</v>
      </c>
    </row>
    <row r="1861" spans="55:60" s="39" customFormat="1">
      <c r="BC1861" s="573">
        <v>18.5</v>
      </c>
      <c r="BD1861" s="571">
        <f t="shared" si="239"/>
        <v>0</v>
      </c>
      <c r="BE1861" s="571">
        <f t="shared" si="243"/>
        <v>0</v>
      </c>
      <c r="BF1861" s="586">
        <f t="shared" si="240"/>
        <v>0</v>
      </c>
      <c r="BG1861" s="586" t="e">
        <f t="shared" si="241"/>
        <v>#DIV/0!</v>
      </c>
      <c r="BH1861" s="571" t="e">
        <f t="shared" si="242"/>
        <v>#DIV/0!</v>
      </c>
    </row>
    <row r="1862" spans="55:60" s="39" customFormat="1">
      <c r="BC1862" s="573">
        <v>18.510000000000002</v>
      </c>
      <c r="BD1862" s="571">
        <f t="shared" si="239"/>
        <v>0</v>
      </c>
      <c r="BE1862" s="571">
        <f t="shared" si="243"/>
        <v>0</v>
      </c>
      <c r="BF1862" s="586">
        <f t="shared" si="240"/>
        <v>0</v>
      </c>
      <c r="BG1862" s="586" t="e">
        <f t="shared" si="241"/>
        <v>#DIV/0!</v>
      </c>
      <c r="BH1862" s="571" t="e">
        <f t="shared" si="242"/>
        <v>#DIV/0!</v>
      </c>
    </row>
    <row r="1863" spans="55:60" s="39" customFormat="1">
      <c r="BC1863" s="573">
        <v>18.52</v>
      </c>
      <c r="BD1863" s="571">
        <f t="shared" si="239"/>
        <v>0</v>
      </c>
      <c r="BE1863" s="571">
        <f t="shared" si="243"/>
        <v>0</v>
      </c>
      <c r="BF1863" s="586">
        <f t="shared" si="240"/>
        <v>0</v>
      </c>
      <c r="BG1863" s="586" t="e">
        <f t="shared" si="241"/>
        <v>#DIV/0!</v>
      </c>
      <c r="BH1863" s="571" t="e">
        <f t="shared" si="242"/>
        <v>#DIV/0!</v>
      </c>
    </row>
    <row r="1864" spans="55:60" s="39" customFormat="1">
      <c r="BC1864" s="573">
        <v>18.53</v>
      </c>
      <c r="BD1864" s="571">
        <f t="shared" si="239"/>
        <v>0</v>
      </c>
      <c r="BE1864" s="571">
        <f t="shared" si="243"/>
        <v>0</v>
      </c>
      <c r="BF1864" s="586">
        <f t="shared" si="240"/>
        <v>0</v>
      </c>
      <c r="BG1864" s="586" t="e">
        <f t="shared" si="241"/>
        <v>#DIV/0!</v>
      </c>
      <c r="BH1864" s="571" t="e">
        <f t="shared" si="242"/>
        <v>#DIV/0!</v>
      </c>
    </row>
    <row r="1865" spans="55:60" s="39" customFormat="1">
      <c r="BC1865" s="573">
        <v>18.54</v>
      </c>
      <c r="BD1865" s="571">
        <f t="shared" si="239"/>
        <v>0</v>
      </c>
      <c r="BE1865" s="571">
        <f t="shared" si="243"/>
        <v>0</v>
      </c>
      <c r="BF1865" s="586">
        <f t="shared" si="240"/>
        <v>0</v>
      </c>
      <c r="BG1865" s="586" t="e">
        <f t="shared" si="241"/>
        <v>#DIV/0!</v>
      </c>
      <c r="BH1865" s="571" t="e">
        <f t="shared" si="242"/>
        <v>#DIV/0!</v>
      </c>
    </row>
    <row r="1866" spans="55:60" s="39" customFormat="1">
      <c r="BC1866" s="573">
        <v>18.55</v>
      </c>
      <c r="BD1866" s="571">
        <f t="shared" si="239"/>
        <v>0</v>
      </c>
      <c r="BE1866" s="571">
        <f t="shared" si="243"/>
        <v>0</v>
      </c>
      <c r="BF1866" s="586">
        <f t="shared" si="240"/>
        <v>0</v>
      </c>
      <c r="BG1866" s="586" t="e">
        <f t="shared" si="241"/>
        <v>#DIV/0!</v>
      </c>
      <c r="BH1866" s="571" t="e">
        <f t="shared" si="242"/>
        <v>#DIV/0!</v>
      </c>
    </row>
    <row r="1867" spans="55:60" s="39" customFormat="1">
      <c r="BC1867" s="573">
        <v>18.559999999999999</v>
      </c>
      <c r="BD1867" s="571">
        <f t="shared" si="239"/>
        <v>0</v>
      </c>
      <c r="BE1867" s="571">
        <f t="shared" si="243"/>
        <v>0</v>
      </c>
      <c r="BF1867" s="586">
        <f t="shared" si="240"/>
        <v>0</v>
      </c>
      <c r="BG1867" s="586" t="e">
        <f t="shared" si="241"/>
        <v>#DIV/0!</v>
      </c>
      <c r="BH1867" s="571" t="e">
        <f t="shared" si="242"/>
        <v>#DIV/0!</v>
      </c>
    </row>
    <row r="1868" spans="55:60" s="39" customFormat="1">
      <c r="BC1868" s="573">
        <v>18.57</v>
      </c>
      <c r="BD1868" s="571">
        <f t="shared" ref="BD1868:BD1931" si="244">$AU$15/BC1868</f>
        <v>0</v>
      </c>
      <c r="BE1868" s="571">
        <f t="shared" si="243"/>
        <v>0</v>
      </c>
      <c r="BF1868" s="586">
        <f t="shared" ref="BF1868:BF1931" si="245">BC1868*(BE1868/1000)/$AO$12</f>
        <v>0</v>
      </c>
      <c r="BG1868" s="586" t="e">
        <f t="shared" ref="BG1868:BG1931" si="246">POWER((1/(-1.8*LOG((6.9/BF1868+POWER((($P$7/BE1868)/3.71),1.11)),10))),2)</f>
        <v>#DIV/0!</v>
      </c>
      <c r="BH1868" s="571" t="e">
        <f t="shared" ref="BH1868:BH1931" si="247">BG1868*0.5*$P$6*16*$AU$15*$AU$15/(POWER(PI(),2)*POWER((BE1868/1000),5))</f>
        <v>#DIV/0!</v>
      </c>
    </row>
    <row r="1869" spans="55:60" s="39" customFormat="1">
      <c r="BC1869" s="573">
        <v>18.579999999999998</v>
      </c>
      <c r="BD1869" s="571">
        <f t="shared" si="244"/>
        <v>0</v>
      </c>
      <c r="BE1869" s="571">
        <f t="shared" ref="BE1869:BE1932" si="248">((BD1869/PI())^0.5)*2*1000</f>
        <v>0</v>
      </c>
      <c r="BF1869" s="586">
        <f t="shared" si="245"/>
        <v>0</v>
      </c>
      <c r="BG1869" s="586" t="e">
        <f t="shared" si="246"/>
        <v>#DIV/0!</v>
      </c>
      <c r="BH1869" s="571" t="e">
        <f t="shared" si="247"/>
        <v>#DIV/0!</v>
      </c>
    </row>
    <row r="1870" spans="55:60" s="39" customFormat="1">
      <c r="BC1870" s="573">
        <v>18.59</v>
      </c>
      <c r="BD1870" s="571">
        <f t="shared" si="244"/>
        <v>0</v>
      </c>
      <c r="BE1870" s="571">
        <f t="shared" si="248"/>
        <v>0</v>
      </c>
      <c r="BF1870" s="586">
        <f t="shared" si="245"/>
        <v>0</v>
      </c>
      <c r="BG1870" s="586" t="e">
        <f t="shared" si="246"/>
        <v>#DIV/0!</v>
      </c>
      <c r="BH1870" s="571" t="e">
        <f t="shared" si="247"/>
        <v>#DIV/0!</v>
      </c>
    </row>
    <row r="1871" spans="55:60" s="39" customFormat="1">
      <c r="BC1871" s="573">
        <v>18.600000000000001</v>
      </c>
      <c r="BD1871" s="571">
        <f t="shared" si="244"/>
        <v>0</v>
      </c>
      <c r="BE1871" s="571">
        <f t="shared" si="248"/>
        <v>0</v>
      </c>
      <c r="BF1871" s="586">
        <f t="shared" si="245"/>
        <v>0</v>
      </c>
      <c r="BG1871" s="586" t="e">
        <f t="shared" si="246"/>
        <v>#DIV/0!</v>
      </c>
      <c r="BH1871" s="571" t="e">
        <f t="shared" si="247"/>
        <v>#DIV/0!</v>
      </c>
    </row>
    <row r="1872" spans="55:60" s="39" customFormat="1">
      <c r="BC1872" s="573">
        <v>18.61</v>
      </c>
      <c r="BD1872" s="571">
        <f t="shared" si="244"/>
        <v>0</v>
      </c>
      <c r="BE1872" s="571">
        <f t="shared" si="248"/>
        <v>0</v>
      </c>
      <c r="BF1872" s="586">
        <f t="shared" si="245"/>
        <v>0</v>
      </c>
      <c r="BG1872" s="586" t="e">
        <f t="shared" si="246"/>
        <v>#DIV/0!</v>
      </c>
      <c r="BH1872" s="571" t="e">
        <f t="shared" si="247"/>
        <v>#DIV/0!</v>
      </c>
    </row>
    <row r="1873" spans="55:60" s="39" customFormat="1">
      <c r="BC1873" s="573">
        <v>18.62</v>
      </c>
      <c r="BD1873" s="571">
        <f t="shared" si="244"/>
        <v>0</v>
      </c>
      <c r="BE1873" s="571">
        <f t="shared" si="248"/>
        <v>0</v>
      </c>
      <c r="BF1873" s="586">
        <f t="shared" si="245"/>
        <v>0</v>
      </c>
      <c r="BG1873" s="586" t="e">
        <f t="shared" si="246"/>
        <v>#DIV/0!</v>
      </c>
      <c r="BH1873" s="571" t="e">
        <f t="shared" si="247"/>
        <v>#DIV/0!</v>
      </c>
    </row>
    <row r="1874" spans="55:60" s="39" customFormat="1">
      <c r="BC1874" s="573">
        <v>18.63</v>
      </c>
      <c r="BD1874" s="571">
        <f t="shared" si="244"/>
        <v>0</v>
      </c>
      <c r="BE1874" s="571">
        <f t="shared" si="248"/>
        <v>0</v>
      </c>
      <c r="BF1874" s="586">
        <f t="shared" si="245"/>
        <v>0</v>
      </c>
      <c r="BG1874" s="586" t="e">
        <f t="shared" si="246"/>
        <v>#DIV/0!</v>
      </c>
      <c r="BH1874" s="571" t="e">
        <f t="shared" si="247"/>
        <v>#DIV/0!</v>
      </c>
    </row>
    <row r="1875" spans="55:60" s="39" customFormat="1">
      <c r="BC1875" s="573">
        <v>18.64</v>
      </c>
      <c r="BD1875" s="571">
        <f t="shared" si="244"/>
        <v>0</v>
      </c>
      <c r="BE1875" s="571">
        <f t="shared" si="248"/>
        <v>0</v>
      </c>
      <c r="BF1875" s="586">
        <f t="shared" si="245"/>
        <v>0</v>
      </c>
      <c r="BG1875" s="586" t="e">
        <f t="shared" si="246"/>
        <v>#DIV/0!</v>
      </c>
      <c r="BH1875" s="571" t="e">
        <f t="shared" si="247"/>
        <v>#DIV/0!</v>
      </c>
    </row>
    <row r="1876" spans="55:60" s="39" customFormat="1">
      <c r="BC1876" s="573">
        <v>18.649999999999999</v>
      </c>
      <c r="BD1876" s="571">
        <f t="shared" si="244"/>
        <v>0</v>
      </c>
      <c r="BE1876" s="571">
        <f t="shared" si="248"/>
        <v>0</v>
      </c>
      <c r="BF1876" s="586">
        <f t="shared" si="245"/>
        <v>0</v>
      </c>
      <c r="BG1876" s="586" t="e">
        <f t="shared" si="246"/>
        <v>#DIV/0!</v>
      </c>
      <c r="BH1876" s="571" t="e">
        <f t="shared" si="247"/>
        <v>#DIV/0!</v>
      </c>
    </row>
    <row r="1877" spans="55:60" s="39" customFormat="1">
      <c r="BC1877" s="573">
        <v>18.66</v>
      </c>
      <c r="BD1877" s="571">
        <f t="shared" si="244"/>
        <v>0</v>
      </c>
      <c r="BE1877" s="571">
        <f t="shared" si="248"/>
        <v>0</v>
      </c>
      <c r="BF1877" s="586">
        <f t="shared" si="245"/>
        <v>0</v>
      </c>
      <c r="BG1877" s="586" t="e">
        <f t="shared" si="246"/>
        <v>#DIV/0!</v>
      </c>
      <c r="BH1877" s="571" t="e">
        <f t="shared" si="247"/>
        <v>#DIV/0!</v>
      </c>
    </row>
    <row r="1878" spans="55:60" s="39" customFormat="1">
      <c r="BC1878" s="573">
        <v>18.670000000000002</v>
      </c>
      <c r="BD1878" s="571">
        <f t="shared" si="244"/>
        <v>0</v>
      </c>
      <c r="BE1878" s="571">
        <f t="shared" si="248"/>
        <v>0</v>
      </c>
      <c r="BF1878" s="586">
        <f t="shared" si="245"/>
        <v>0</v>
      </c>
      <c r="BG1878" s="586" t="e">
        <f t="shared" si="246"/>
        <v>#DIV/0!</v>
      </c>
      <c r="BH1878" s="571" t="e">
        <f t="shared" si="247"/>
        <v>#DIV/0!</v>
      </c>
    </row>
    <row r="1879" spans="55:60" s="39" customFormat="1">
      <c r="BC1879" s="573">
        <v>18.68</v>
      </c>
      <c r="BD1879" s="571">
        <f t="shared" si="244"/>
        <v>0</v>
      </c>
      <c r="BE1879" s="571">
        <f t="shared" si="248"/>
        <v>0</v>
      </c>
      <c r="BF1879" s="586">
        <f t="shared" si="245"/>
        <v>0</v>
      </c>
      <c r="BG1879" s="586" t="e">
        <f t="shared" si="246"/>
        <v>#DIV/0!</v>
      </c>
      <c r="BH1879" s="571" t="e">
        <f t="shared" si="247"/>
        <v>#DIV/0!</v>
      </c>
    </row>
    <row r="1880" spans="55:60" s="39" customFormat="1">
      <c r="BC1880" s="573">
        <v>18.690000000000001</v>
      </c>
      <c r="BD1880" s="571">
        <f t="shared" si="244"/>
        <v>0</v>
      </c>
      <c r="BE1880" s="571">
        <f t="shared" si="248"/>
        <v>0</v>
      </c>
      <c r="BF1880" s="586">
        <f t="shared" si="245"/>
        <v>0</v>
      </c>
      <c r="BG1880" s="586" t="e">
        <f t="shared" si="246"/>
        <v>#DIV/0!</v>
      </c>
      <c r="BH1880" s="571" t="e">
        <f t="shared" si="247"/>
        <v>#DIV/0!</v>
      </c>
    </row>
    <row r="1881" spans="55:60" s="39" customFormat="1">
      <c r="BC1881" s="573">
        <v>18.7</v>
      </c>
      <c r="BD1881" s="571">
        <f t="shared" si="244"/>
        <v>0</v>
      </c>
      <c r="BE1881" s="571">
        <f t="shared" si="248"/>
        <v>0</v>
      </c>
      <c r="BF1881" s="586">
        <f t="shared" si="245"/>
        <v>0</v>
      </c>
      <c r="BG1881" s="586" t="e">
        <f t="shared" si="246"/>
        <v>#DIV/0!</v>
      </c>
      <c r="BH1881" s="571" t="e">
        <f t="shared" si="247"/>
        <v>#DIV/0!</v>
      </c>
    </row>
    <row r="1882" spans="55:60" s="39" customFormat="1">
      <c r="BC1882" s="573">
        <v>18.71</v>
      </c>
      <c r="BD1882" s="571">
        <f t="shared" si="244"/>
        <v>0</v>
      </c>
      <c r="BE1882" s="571">
        <f t="shared" si="248"/>
        <v>0</v>
      </c>
      <c r="BF1882" s="586">
        <f t="shared" si="245"/>
        <v>0</v>
      </c>
      <c r="BG1882" s="586" t="e">
        <f t="shared" si="246"/>
        <v>#DIV/0!</v>
      </c>
      <c r="BH1882" s="571" t="e">
        <f t="shared" si="247"/>
        <v>#DIV/0!</v>
      </c>
    </row>
    <row r="1883" spans="55:60" s="39" customFormat="1">
      <c r="BC1883" s="573">
        <v>18.72</v>
      </c>
      <c r="BD1883" s="571">
        <f t="shared" si="244"/>
        <v>0</v>
      </c>
      <c r="BE1883" s="571">
        <f t="shared" si="248"/>
        <v>0</v>
      </c>
      <c r="BF1883" s="586">
        <f t="shared" si="245"/>
        <v>0</v>
      </c>
      <c r="BG1883" s="586" t="e">
        <f t="shared" si="246"/>
        <v>#DIV/0!</v>
      </c>
      <c r="BH1883" s="571" t="e">
        <f t="shared" si="247"/>
        <v>#DIV/0!</v>
      </c>
    </row>
    <row r="1884" spans="55:60" s="39" customFormat="1">
      <c r="BC1884" s="573">
        <v>18.73</v>
      </c>
      <c r="BD1884" s="571">
        <f t="shared" si="244"/>
        <v>0</v>
      </c>
      <c r="BE1884" s="571">
        <f t="shared" si="248"/>
        <v>0</v>
      </c>
      <c r="BF1884" s="586">
        <f t="shared" si="245"/>
        <v>0</v>
      </c>
      <c r="BG1884" s="586" t="e">
        <f t="shared" si="246"/>
        <v>#DIV/0!</v>
      </c>
      <c r="BH1884" s="571" t="e">
        <f t="shared" si="247"/>
        <v>#DIV/0!</v>
      </c>
    </row>
    <row r="1885" spans="55:60" s="39" customFormat="1">
      <c r="BC1885" s="573">
        <v>18.739999999999998</v>
      </c>
      <c r="BD1885" s="571">
        <f t="shared" si="244"/>
        <v>0</v>
      </c>
      <c r="BE1885" s="571">
        <f t="shared" si="248"/>
        <v>0</v>
      </c>
      <c r="BF1885" s="586">
        <f t="shared" si="245"/>
        <v>0</v>
      </c>
      <c r="BG1885" s="586" t="e">
        <f t="shared" si="246"/>
        <v>#DIV/0!</v>
      </c>
      <c r="BH1885" s="571" t="e">
        <f t="shared" si="247"/>
        <v>#DIV/0!</v>
      </c>
    </row>
    <row r="1886" spans="55:60" s="39" customFormat="1">
      <c r="BC1886" s="573">
        <v>18.75</v>
      </c>
      <c r="BD1886" s="571">
        <f t="shared" si="244"/>
        <v>0</v>
      </c>
      <c r="BE1886" s="571">
        <f t="shared" si="248"/>
        <v>0</v>
      </c>
      <c r="BF1886" s="586">
        <f t="shared" si="245"/>
        <v>0</v>
      </c>
      <c r="BG1886" s="586" t="e">
        <f t="shared" si="246"/>
        <v>#DIV/0!</v>
      </c>
      <c r="BH1886" s="571" t="e">
        <f t="shared" si="247"/>
        <v>#DIV/0!</v>
      </c>
    </row>
    <row r="1887" spans="55:60" s="39" customFormat="1">
      <c r="BC1887" s="573">
        <v>18.760000000000002</v>
      </c>
      <c r="BD1887" s="571">
        <f t="shared" si="244"/>
        <v>0</v>
      </c>
      <c r="BE1887" s="571">
        <f t="shared" si="248"/>
        <v>0</v>
      </c>
      <c r="BF1887" s="586">
        <f t="shared" si="245"/>
        <v>0</v>
      </c>
      <c r="BG1887" s="586" t="e">
        <f t="shared" si="246"/>
        <v>#DIV/0!</v>
      </c>
      <c r="BH1887" s="571" t="e">
        <f t="shared" si="247"/>
        <v>#DIV/0!</v>
      </c>
    </row>
    <row r="1888" spans="55:60" s="39" customFormat="1">
      <c r="BC1888" s="573">
        <v>18.77</v>
      </c>
      <c r="BD1888" s="571">
        <f t="shared" si="244"/>
        <v>0</v>
      </c>
      <c r="BE1888" s="571">
        <f t="shared" si="248"/>
        <v>0</v>
      </c>
      <c r="BF1888" s="586">
        <f t="shared" si="245"/>
        <v>0</v>
      </c>
      <c r="BG1888" s="586" t="e">
        <f t="shared" si="246"/>
        <v>#DIV/0!</v>
      </c>
      <c r="BH1888" s="571" t="e">
        <f t="shared" si="247"/>
        <v>#DIV/0!</v>
      </c>
    </row>
    <row r="1889" spans="55:60" s="39" customFormat="1">
      <c r="BC1889" s="573">
        <v>18.78</v>
      </c>
      <c r="BD1889" s="571">
        <f t="shared" si="244"/>
        <v>0</v>
      </c>
      <c r="BE1889" s="571">
        <f t="shared" si="248"/>
        <v>0</v>
      </c>
      <c r="BF1889" s="586">
        <f t="shared" si="245"/>
        <v>0</v>
      </c>
      <c r="BG1889" s="586" t="e">
        <f t="shared" si="246"/>
        <v>#DIV/0!</v>
      </c>
      <c r="BH1889" s="571" t="e">
        <f t="shared" si="247"/>
        <v>#DIV/0!</v>
      </c>
    </row>
    <row r="1890" spans="55:60" s="39" customFormat="1">
      <c r="BC1890" s="573">
        <v>18.79</v>
      </c>
      <c r="BD1890" s="571">
        <f t="shared" si="244"/>
        <v>0</v>
      </c>
      <c r="BE1890" s="571">
        <f t="shared" si="248"/>
        <v>0</v>
      </c>
      <c r="BF1890" s="586">
        <f t="shared" si="245"/>
        <v>0</v>
      </c>
      <c r="BG1890" s="586" t="e">
        <f t="shared" si="246"/>
        <v>#DIV/0!</v>
      </c>
      <c r="BH1890" s="571" t="e">
        <f t="shared" si="247"/>
        <v>#DIV/0!</v>
      </c>
    </row>
    <row r="1891" spans="55:60" s="39" customFormat="1">
      <c r="BC1891" s="573">
        <v>18.8</v>
      </c>
      <c r="BD1891" s="571">
        <f t="shared" si="244"/>
        <v>0</v>
      </c>
      <c r="BE1891" s="571">
        <f t="shared" si="248"/>
        <v>0</v>
      </c>
      <c r="BF1891" s="586">
        <f t="shared" si="245"/>
        <v>0</v>
      </c>
      <c r="BG1891" s="586" t="e">
        <f t="shared" si="246"/>
        <v>#DIV/0!</v>
      </c>
      <c r="BH1891" s="571" t="e">
        <f t="shared" si="247"/>
        <v>#DIV/0!</v>
      </c>
    </row>
    <row r="1892" spans="55:60" s="39" customFormat="1">
      <c r="BC1892" s="573">
        <v>18.809999999999999</v>
      </c>
      <c r="BD1892" s="571">
        <f t="shared" si="244"/>
        <v>0</v>
      </c>
      <c r="BE1892" s="571">
        <f t="shared" si="248"/>
        <v>0</v>
      </c>
      <c r="BF1892" s="586">
        <f t="shared" si="245"/>
        <v>0</v>
      </c>
      <c r="BG1892" s="586" t="e">
        <f t="shared" si="246"/>
        <v>#DIV/0!</v>
      </c>
      <c r="BH1892" s="571" t="e">
        <f t="shared" si="247"/>
        <v>#DIV/0!</v>
      </c>
    </row>
    <row r="1893" spans="55:60" s="39" customFormat="1">
      <c r="BC1893" s="573">
        <v>18.82</v>
      </c>
      <c r="BD1893" s="571">
        <f t="shared" si="244"/>
        <v>0</v>
      </c>
      <c r="BE1893" s="571">
        <f t="shared" si="248"/>
        <v>0</v>
      </c>
      <c r="BF1893" s="586">
        <f t="shared" si="245"/>
        <v>0</v>
      </c>
      <c r="BG1893" s="586" t="e">
        <f t="shared" si="246"/>
        <v>#DIV/0!</v>
      </c>
      <c r="BH1893" s="571" t="e">
        <f t="shared" si="247"/>
        <v>#DIV/0!</v>
      </c>
    </row>
    <row r="1894" spans="55:60" s="39" customFormat="1">
      <c r="BC1894" s="573">
        <v>18.829999999999998</v>
      </c>
      <c r="BD1894" s="571">
        <f t="shared" si="244"/>
        <v>0</v>
      </c>
      <c r="BE1894" s="571">
        <f t="shared" si="248"/>
        <v>0</v>
      </c>
      <c r="BF1894" s="586">
        <f t="shared" si="245"/>
        <v>0</v>
      </c>
      <c r="BG1894" s="586" t="e">
        <f t="shared" si="246"/>
        <v>#DIV/0!</v>
      </c>
      <c r="BH1894" s="571" t="e">
        <f t="shared" si="247"/>
        <v>#DIV/0!</v>
      </c>
    </row>
    <row r="1895" spans="55:60" s="39" customFormat="1">
      <c r="BC1895" s="573">
        <v>18.84</v>
      </c>
      <c r="BD1895" s="571">
        <f t="shared" si="244"/>
        <v>0</v>
      </c>
      <c r="BE1895" s="571">
        <f t="shared" si="248"/>
        <v>0</v>
      </c>
      <c r="BF1895" s="586">
        <f t="shared" si="245"/>
        <v>0</v>
      </c>
      <c r="BG1895" s="586" t="e">
        <f t="shared" si="246"/>
        <v>#DIV/0!</v>
      </c>
      <c r="BH1895" s="571" t="e">
        <f t="shared" si="247"/>
        <v>#DIV/0!</v>
      </c>
    </row>
    <row r="1896" spans="55:60" s="39" customFormat="1">
      <c r="BC1896" s="573">
        <v>18.850000000000001</v>
      </c>
      <c r="BD1896" s="571">
        <f t="shared" si="244"/>
        <v>0</v>
      </c>
      <c r="BE1896" s="571">
        <f t="shared" si="248"/>
        <v>0</v>
      </c>
      <c r="BF1896" s="586">
        <f t="shared" si="245"/>
        <v>0</v>
      </c>
      <c r="BG1896" s="586" t="e">
        <f t="shared" si="246"/>
        <v>#DIV/0!</v>
      </c>
      <c r="BH1896" s="571" t="e">
        <f t="shared" si="247"/>
        <v>#DIV/0!</v>
      </c>
    </row>
    <row r="1897" spans="55:60" s="39" customFormat="1">
      <c r="BC1897" s="573">
        <v>18.86</v>
      </c>
      <c r="BD1897" s="571">
        <f t="shared" si="244"/>
        <v>0</v>
      </c>
      <c r="BE1897" s="571">
        <f t="shared" si="248"/>
        <v>0</v>
      </c>
      <c r="BF1897" s="586">
        <f t="shared" si="245"/>
        <v>0</v>
      </c>
      <c r="BG1897" s="586" t="e">
        <f t="shared" si="246"/>
        <v>#DIV/0!</v>
      </c>
      <c r="BH1897" s="571" t="e">
        <f t="shared" si="247"/>
        <v>#DIV/0!</v>
      </c>
    </row>
    <row r="1898" spans="55:60" s="39" customFormat="1">
      <c r="BC1898" s="573">
        <v>18.87</v>
      </c>
      <c r="BD1898" s="571">
        <f t="shared" si="244"/>
        <v>0</v>
      </c>
      <c r="BE1898" s="571">
        <f t="shared" si="248"/>
        <v>0</v>
      </c>
      <c r="BF1898" s="586">
        <f t="shared" si="245"/>
        <v>0</v>
      </c>
      <c r="BG1898" s="586" t="e">
        <f t="shared" si="246"/>
        <v>#DIV/0!</v>
      </c>
      <c r="BH1898" s="571" t="e">
        <f t="shared" si="247"/>
        <v>#DIV/0!</v>
      </c>
    </row>
    <row r="1899" spans="55:60" s="39" customFormat="1">
      <c r="BC1899" s="573">
        <v>18.88</v>
      </c>
      <c r="BD1899" s="571">
        <f t="shared" si="244"/>
        <v>0</v>
      </c>
      <c r="BE1899" s="571">
        <f t="shared" si="248"/>
        <v>0</v>
      </c>
      <c r="BF1899" s="586">
        <f t="shared" si="245"/>
        <v>0</v>
      </c>
      <c r="BG1899" s="586" t="e">
        <f t="shared" si="246"/>
        <v>#DIV/0!</v>
      </c>
      <c r="BH1899" s="571" t="e">
        <f t="shared" si="247"/>
        <v>#DIV/0!</v>
      </c>
    </row>
    <row r="1900" spans="55:60" s="39" customFormat="1">
      <c r="BC1900" s="573">
        <v>18.89</v>
      </c>
      <c r="BD1900" s="571">
        <f t="shared" si="244"/>
        <v>0</v>
      </c>
      <c r="BE1900" s="571">
        <f t="shared" si="248"/>
        <v>0</v>
      </c>
      <c r="BF1900" s="586">
        <f t="shared" si="245"/>
        <v>0</v>
      </c>
      <c r="BG1900" s="586" t="e">
        <f t="shared" si="246"/>
        <v>#DIV/0!</v>
      </c>
      <c r="BH1900" s="571" t="e">
        <f t="shared" si="247"/>
        <v>#DIV/0!</v>
      </c>
    </row>
    <row r="1901" spans="55:60" s="39" customFormat="1">
      <c r="BC1901" s="573">
        <v>18.899999999999999</v>
      </c>
      <c r="BD1901" s="571">
        <f t="shared" si="244"/>
        <v>0</v>
      </c>
      <c r="BE1901" s="571">
        <f t="shared" si="248"/>
        <v>0</v>
      </c>
      <c r="BF1901" s="586">
        <f t="shared" si="245"/>
        <v>0</v>
      </c>
      <c r="BG1901" s="586" t="e">
        <f t="shared" si="246"/>
        <v>#DIV/0!</v>
      </c>
      <c r="BH1901" s="571" t="e">
        <f t="shared" si="247"/>
        <v>#DIV/0!</v>
      </c>
    </row>
    <row r="1902" spans="55:60" s="39" customFormat="1">
      <c r="BC1902" s="573">
        <v>18.91</v>
      </c>
      <c r="BD1902" s="571">
        <f t="shared" si="244"/>
        <v>0</v>
      </c>
      <c r="BE1902" s="571">
        <f t="shared" si="248"/>
        <v>0</v>
      </c>
      <c r="BF1902" s="586">
        <f t="shared" si="245"/>
        <v>0</v>
      </c>
      <c r="BG1902" s="586" t="e">
        <f t="shared" si="246"/>
        <v>#DIV/0!</v>
      </c>
      <c r="BH1902" s="571" t="e">
        <f t="shared" si="247"/>
        <v>#DIV/0!</v>
      </c>
    </row>
    <row r="1903" spans="55:60" s="39" customFormat="1">
      <c r="BC1903" s="573">
        <v>18.920000000000002</v>
      </c>
      <c r="BD1903" s="571">
        <f t="shared" si="244"/>
        <v>0</v>
      </c>
      <c r="BE1903" s="571">
        <f t="shared" si="248"/>
        <v>0</v>
      </c>
      <c r="BF1903" s="586">
        <f t="shared" si="245"/>
        <v>0</v>
      </c>
      <c r="BG1903" s="586" t="e">
        <f t="shared" si="246"/>
        <v>#DIV/0!</v>
      </c>
      <c r="BH1903" s="571" t="e">
        <f t="shared" si="247"/>
        <v>#DIV/0!</v>
      </c>
    </row>
    <row r="1904" spans="55:60" s="39" customFormat="1">
      <c r="BC1904" s="573">
        <v>18.93</v>
      </c>
      <c r="BD1904" s="571">
        <f t="shared" si="244"/>
        <v>0</v>
      </c>
      <c r="BE1904" s="571">
        <f t="shared" si="248"/>
        <v>0</v>
      </c>
      <c r="BF1904" s="586">
        <f t="shared" si="245"/>
        <v>0</v>
      </c>
      <c r="BG1904" s="586" t="e">
        <f t="shared" si="246"/>
        <v>#DIV/0!</v>
      </c>
      <c r="BH1904" s="571" t="e">
        <f t="shared" si="247"/>
        <v>#DIV/0!</v>
      </c>
    </row>
    <row r="1905" spans="55:60" s="39" customFormat="1">
      <c r="BC1905" s="573">
        <v>18.940000000000001</v>
      </c>
      <c r="BD1905" s="571">
        <f t="shared" si="244"/>
        <v>0</v>
      </c>
      <c r="BE1905" s="571">
        <f t="shared" si="248"/>
        <v>0</v>
      </c>
      <c r="BF1905" s="586">
        <f t="shared" si="245"/>
        <v>0</v>
      </c>
      <c r="BG1905" s="586" t="e">
        <f t="shared" si="246"/>
        <v>#DIV/0!</v>
      </c>
      <c r="BH1905" s="571" t="e">
        <f t="shared" si="247"/>
        <v>#DIV/0!</v>
      </c>
    </row>
    <row r="1906" spans="55:60" s="39" customFormat="1">
      <c r="BC1906" s="573">
        <v>18.95</v>
      </c>
      <c r="BD1906" s="571">
        <f t="shared" si="244"/>
        <v>0</v>
      </c>
      <c r="BE1906" s="571">
        <f t="shared" si="248"/>
        <v>0</v>
      </c>
      <c r="BF1906" s="586">
        <f t="shared" si="245"/>
        <v>0</v>
      </c>
      <c r="BG1906" s="586" t="e">
        <f t="shared" si="246"/>
        <v>#DIV/0!</v>
      </c>
      <c r="BH1906" s="571" t="e">
        <f t="shared" si="247"/>
        <v>#DIV/0!</v>
      </c>
    </row>
    <row r="1907" spans="55:60" s="39" customFormat="1">
      <c r="BC1907" s="573">
        <v>18.96</v>
      </c>
      <c r="BD1907" s="571">
        <f t="shared" si="244"/>
        <v>0</v>
      </c>
      <c r="BE1907" s="571">
        <f t="shared" si="248"/>
        <v>0</v>
      </c>
      <c r="BF1907" s="586">
        <f t="shared" si="245"/>
        <v>0</v>
      </c>
      <c r="BG1907" s="586" t="e">
        <f t="shared" si="246"/>
        <v>#DIV/0!</v>
      </c>
      <c r="BH1907" s="571" t="e">
        <f t="shared" si="247"/>
        <v>#DIV/0!</v>
      </c>
    </row>
    <row r="1908" spans="55:60" s="39" customFormat="1">
      <c r="BC1908" s="573">
        <v>18.97</v>
      </c>
      <c r="BD1908" s="571">
        <f t="shared" si="244"/>
        <v>0</v>
      </c>
      <c r="BE1908" s="571">
        <f t="shared" si="248"/>
        <v>0</v>
      </c>
      <c r="BF1908" s="586">
        <f t="shared" si="245"/>
        <v>0</v>
      </c>
      <c r="BG1908" s="586" t="e">
        <f t="shared" si="246"/>
        <v>#DIV/0!</v>
      </c>
      <c r="BH1908" s="571" t="e">
        <f t="shared" si="247"/>
        <v>#DIV/0!</v>
      </c>
    </row>
    <row r="1909" spans="55:60" s="39" customFormat="1">
      <c r="BC1909" s="573">
        <v>18.98</v>
      </c>
      <c r="BD1909" s="571">
        <f t="shared" si="244"/>
        <v>0</v>
      </c>
      <c r="BE1909" s="571">
        <f t="shared" si="248"/>
        <v>0</v>
      </c>
      <c r="BF1909" s="586">
        <f t="shared" si="245"/>
        <v>0</v>
      </c>
      <c r="BG1909" s="586" t="e">
        <f t="shared" si="246"/>
        <v>#DIV/0!</v>
      </c>
      <c r="BH1909" s="571" t="e">
        <f t="shared" si="247"/>
        <v>#DIV/0!</v>
      </c>
    </row>
    <row r="1910" spans="55:60" s="39" customFormat="1">
      <c r="BC1910" s="573">
        <v>18.989999999999998</v>
      </c>
      <c r="BD1910" s="571">
        <f t="shared" si="244"/>
        <v>0</v>
      </c>
      <c r="BE1910" s="571">
        <f t="shared" si="248"/>
        <v>0</v>
      </c>
      <c r="BF1910" s="586">
        <f t="shared" si="245"/>
        <v>0</v>
      </c>
      <c r="BG1910" s="586" t="e">
        <f t="shared" si="246"/>
        <v>#DIV/0!</v>
      </c>
      <c r="BH1910" s="571" t="e">
        <f t="shared" si="247"/>
        <v>#DIV/0!</v>
      </c>
    </row>
    <row r="1911" spans="55:60" s="39" customFormat="1">
      <c r="BC1911" s="573">
        <v>19</v>
      </c>
      <c r="BD1911" s="571">
        <f t="shared" si="244"/>
        <v>0</v>
      </c>
      <c r="BE1911" s="571">
        <f t="shared" si="248"/>
        <v>0</v>
      </c>
      <c r="BF1911" s="586">
        <f t="shared" si="245"/>
        <v>0</v>
      </c>
      <c r="BG1911" s="586" t="e">
        <f t="shared" si="246"/>
        <v>#DIV/0!</v>
      </c>
      <c r="BH1911" s="571" t="e">
        <f t="shared" si="247"/>
        <v>#DIV/0!</v>
      </c>
    </row>
    <row r="1912" spans="55:60" s="39" customFormat="1">
      <c r="BC1912" s="573">
        <v>19.010000000000002</v>
      </c>
      <c r="BD1912" s="571">
        <f t="shared" si="244"/>
        <v>0</v>
      </c>
      <c r="BE1912" s="571">
        <f t="shared" si="248"/>
        <v>0</v>
      </c>
      <c r="BF1912" s="586">
        <f t="shared" si="245"/>
        <v>0</v>
      </c>
      <c r="BG1912" s="586" t="e">
        <f t="shared" si="246"/>
        <v>#DIV/0!</v>
      </c>
      <c r="BH1912" s="571" t="e">
        <f t="shared" si="247"/>
        <v>#DIV/0!</v>
      </c>
    </row>
    <row r="1913" spans="55:60" s="39" customFormat="1">
      <c r="BC1913" s="573">
        <v>19.02</v>
      </c>
      <c r="BD1913" s="571">
        <f t="shared" si="244"/>
        <v>0</v>
      </c>
      <c r="BE1913" s="571">
        <f t="shared" si="248"/>
        <v>0</v>
      </c>
      <c r="BF1913" s="586">
        <f t="shared" si="245"/>
        <v>0</v>
      </c>
      <c r="BG1913" s="586" t="e">
        <f t="shared" si="246"/>
        <v>#DIV/0!</v>
      </c>
      <c r="BH1913" s="571" t="e">
        <f t="shared" si="247"/>
        <v>#DIV/0!</v>
      </c>
    </row>
    <row r="1914" spans="55:60" s="39" customFormat="1">
      <c r="BC1914" s="573">
        <v>19.03</v>
      </c>
      <c r="BD1914" s="571">
        <f t="shared" si="244"/>
        <v>0</v>
      </c>
      <c r="BE1914" s="571">
        <f t="shared" si="248"/>
        <v>0</v>
      </c>
      <c r="BF1914" s="586">
        <f t="shared" si="245"/>
        <v>0</v>
      </c>
      <c r="BG1914" s="586" t="e">
        <f t="shared" si="246"/>
        <v>#DIV/0!</v>
      </c>
      <c r="BH1914" s="571" t="e">
        <f t="shared" si="247"/>
        <v>#DIV/0!</v>
      </c>
    </row>
    <row r="1915" spans="55:60" s="39" customFormat="1">
      <c r="BC1915" s="573">
        <v>19.04</v>
      </c>
      <c r="BD1915" s="571">
        <f t="shared" si="244"/>
        <v>0</v>
      </c>
      <c r="BE1915" s="571">
        <f t="shared" si="248"/>
        <v>0</v>
      </c>
      <c r="BF1915" s="586">
        <f t="shared" si="245"/>
        <v>0</v>
      </c>
      <c r="BG1915" s="586" t="e">
        <f t="shared" si="246"/>
        <v>#DIV/0!</v>
      </c>
      <c r="BH1915" s="571" t="e">
        <f t="shared" si="247"/>
        <v>#DIV/0!</v>
      </c>
    </row>
    <row r="1916" spans="55:60" s="39" customFormat="1">
      <c r="BC1916" s="573">
        <v>19.05</v>
      </c>
      <c r="BD1916" s="571">
        <f t="shared" si="244"/>
        <v>0</v>
      </c>
      <c r="BE1916" s="571">
        <f t="shared" si="248"/>
        <v>0</v>
      </c>
      <c r="BF1916" s="586">
        <f t="shared" si="245"/>
        <v>0</v>
      </c>
      <c r="BG1916" s="586" t="e">
        <f t="shared" si="246"/>
        <v>#DIV/0!</v>
      </c>
      <c r="BH1916" s="571" t="e">
        <f t="shared" si="247"/>
        <v>#DIV/0!</v>
      </c>
    </row>
    <row r="1917" spans="55:60" s="39" customFormat="1">
      <c r="BC1917" s="573">
        <v>19.059999999999999</v>
      </c>
      <c r="BD1917" s="571">
        <f t="shared" si="244"/>
        <v>0</v>
      </c>
      <c r="BE1917" s="571">
        <f t="shared" si="248"/>
        <v>0</v>
      </c>
      <c r="BF1917" s="586">
        <f t="shared" si="245"/>
        <v>0</v>
      </c>
      <c r="BG1917" s="586" t="e">
        <f t="shared" si="246"/>
        <v>#DIV/0!</v>
      </c>
      <c r="BH1917" s="571" t="e">
        <f t="shared" si="247"/>
        <v>#DIV/0!</v>
      </c>
    </row>
    <row r="1918" spans="55:60" s="39" customFormat="1">
      <c r="BC1918" s="573">
        <v>19.07</v>
      </c>
      <c r="BD1918" s="571">
        <f t="shared" si="244"/>
        <v>0</v>
      </c>
      <c r="BE1918" s="571">
        <f t="shared" si="248"/>
        <v>0</v>
      </c>
      <c r="BF1918" s="586">
        <f t="shared" si="245"/>
        <v>0</v>
      </c>
      <c r="BG1918" s="586" t="e">
        <f t="shared" si="246"/>
        <v>#DIV/0!</v>
      </c>
      <c r="BH1918" s="571" t="e">
        <f t="shared" si="247"/>
        <v>#DIV/0!</v>
      </c>
    </row>
    <row r="1919" spans="55:60" s="39" customFormat="1">
      <c r="BC1919" s="573">
        <v>19.079999999999998</v>
      </c>
      <c r="BD1919" s="571">
        <f t="shared" si="244"/>
        <v>0</v>
      </c>
      <c r="BE1919" s="571">
        <f t="shared" si="248"/>
        <v>0</v>
      </c>
      <c r="BF1919" s="586">
        <f t="shared" si="245"/>
        <v>0</v>
      </c>
      <c r="BG1919" s="586" t="e">
        <f t="shared" si="246"/>
        <v>#DIV/0!</v>
      </c>
      <c r="BH1919" s="571" t="e">
        <f t="shared" si="247"/>
        <v>#DIV/0!</v>
      </c>
    </row>
    <row r="1920" spans="55:60" s="39" customFormat="1">
      <c r="BC1920" s="573">
        <v>19.09</v>
      </c>
      <c r="BD1920" s="571">
        <f t="shared" si="244"/>
        <v>0</v>
      </c>
      <c r="BE1920" s="571">
        <f t="shared" si="248"/>
        <v>0</v>
      </c>
      <c r="BF1920" s="586">
        <f t="shared" si="245"/>
        <v>0</v>
      </c>
      <c r="BG1920" s="586" t="e">
        <f t="shared" si="246"/>
        <v>#DIV/0!</v>
      </c>
      <c r="BH1920" s="571" t="e">
        <f t="shared" si="247"/>
        <v>#DIV/0!</v>
      </c>
    </row>
    <row r="1921" spans="55:60" s="39" customFormat="1">
      <c r="BC1921" s="573">
        <v>19.100000000000001</v>
      </c>
      <c r="BD1921" s="571">
        <f t="shared" si="244"/>
        <v>0</v>
      </c>
      <c r="BE1921" s="571">
        <f t="shared" si="248"/>
        <v>0</v>
      </c>
      <c r="BF1921" s="586">
        <f t="shared" si="245"/>
        <v>0</v>
      </c>
      <c r="BG1921" s="586" t="e">
        <f t="shared" si="246"/>
        <v>#DIV/0!</v>
      </c>
      <c r="BH1921" s="571" t="e">
        <f t="shared" si="247"/>
        <v>#DIV/0!</v>
      </c>
    </row>
    <row r="1922" spans="55:60" s="39" customFormat="1">
      <c r="BC1922" s="573">
        <v>19.11</v>
      </c>
      <c r="BD1922" s="571">
        <f t="shared" si="244"/>
        <v>0</v>
      </c>
      <c r="BE1922" s="571">
        <f t="shared" si="248"/>
        <v>0</v>
      </c>
      <c r="BF1922" s="586">
        <f t="shared" si="245"/>
        <v>0</v>
      </c>
      <c r="BG1922" s="586" t="e">
        <f t="shared" si="246"/>
        <v>#DIV/0!</v>
      </c>
      <c r="BH1922" s="571" t="e">
        <f t="shared" si="247"/>
        <v>#DIV/0!</v>
      </c>
    </row>
    <row r="1923" spans="55:60" s="39" customFormat="1">
      <c r="BC1923" s="573">
        <v>19.12</v>
      </c>
      <c r="BD1923" s="571">
        <f t="shared" si="244"/>
        <v>0</v>
      </c>
      <c r="BE1923" s="571">
        <f t="shared" si="248"/>
        <v>0</v>
      </c>
      <c r="BF1923" s="586">
        <f t="shared" si="245"/>
        <v>0</v>
      </c>
      <c r="BG1923" s="586" t="e">
        <f t="shared" si="246"/>
        <v>#DIV/0!</v>
      </c>
      <c r="BH1923" s="571" t="e">
        <f t="shared" si="247"/>
        <v>#DIV/0!</v>
      </c>
    </row>
    <row r="1924" spans="55:60" s="39" customFormat="1">
      <c r="BC1924" s="573">
        <v>19.13</v>
      </c>
      <c r="BD1924" s="571">
        <f t="shared" si="244"/>
        <v>0</v>
      </c>
      <c r="BE1924" s="571">
        <f t="shared" si="248"/>
        <v>0</v>
      </c>
      <c r="BF1924" s="586">
        <f t="shared" si="245"/>
        <v>0</v>
      </c>
      <c r="BG1924" s="586" t="e">
        <f t="shared" si="246"/>
        <v>#DIV/0!</v>
      </c>
      <c r="BH1924" s="571" t="e">
        <f t="shared" si="247"/>
        <v>#DIV/0!</v>
      </c>
    </row>
    <row r="1925" spans="55:60" s="39" customFormat="1">
      <c r="BC1925" s="573">
        <v>19.14</v>
      </c>
      <c r="BD1925" s="571">
        <f t="shared" si="244"/>
        <v>0</v>
      </c>
      <c r="BE1925" s="571">
        <f t="shared" si="248"/>
        <v>0</v>
      </c>
      <c r="BF1925" s="586">
        <f t="shared" si="245"/>
        <v>0</v>
      </c>
      <c r="BG1925" s="586" t="e">
        <f t="shared" si="246"/>
        <v>#DIV/0!</v>
      </c>
      <c r="BH1925" s="571" t="e">
        <f t="shared" si="247"/>
        <v>#DIV/0!</v>
      </c>
    </row>
    <row r="1926" spans="55:60" s="39" customFormat="1">
      <c r="BC1926" s="573">
        <v>19.149999999999999</v>
      </c>
      <c r="BD1926" s="571">
        <f t="shared" si="244"/>
        <v>0</v>
      </c>
      <c r="BE1926" s="571">
        <f t="shared" si="248"/>
        <v>0</v>
      </c>
      <c r="BF1926" s="586">
        <f t="shared" si="245"/>
        <v>0</v>
      </c>
      <c r="BG1926" s="586" t="e">
        <f t="shared" si="246"/>
        <v>#DIV/0!</v>
      </c>
      <c r="BH1926" s="571" t="e">
        <f t="shared" si="247"/>
        <v>#DIV/0!</v>
      </c>
    </row>
    <row r="1927" spans="55:60" s="39" customFormat="1">
      <c r="BC1927" s="573">
        <v>19.16</v>
      </c>
      <c r="BD1927" s="571">
        <f t="shared" si="244"/>
        <v>0</v>
      </c>
      <c r="BE1927" s="571">
        <f t="shared" si="248"/>
        <v>0</v>
      </c>
      <c r="BF1927" s="586">
        <f t="shared" si="245"/>
        <v>0</v>
      </c>
      <c r="BG1927" s="586" t="e">
        <f t="shared" si="246"/>
        <v>#DIV/0!</v>
      </c>
      <c r="BH1927" s="571" t="e">
        <f t="shared" si="247"/>
        <v>#DIV/0!</v>
      </c>
    </row>
    <row r="1928" spans="55:60" s="39" customFormat="1">
      <c r="BC1928" s="573">
        <v>19.170000000000002</v>
      </c>
      <c r="BD1928" s="571">
        <f t="shared" si="244"/>
        <v>0</v>
      </c>
      <c r="BE1928" s="571">
        <f t="shared" si="248"/>
        <v>0</v>
      </c>
      <c r="BF1928" s="586">
        <f t="shared" si="245"/>
        <v>0</v>
      </c>
      <c r="BG1928" s="586" t="e">
        <f t="shared" si="246"/>
        <v>#DIV/0!</v>
      </c>
      <c r="BH1928" s="571" t="e">
        <f t="shared" si="247"/>
        <v>#DIV/0!</v>
      </c>
    </row>
    <row r="1929" spans="55:60" s="39" customFormat="1">
      <c r="BC1929" s="573">
        <v>19.18</v>
      </c>
      <c r="BD1929" s="571">
        <f t="shared" si="244"/>
        <v>0</v>
      </c>
      <c r="BE1929" s="571">
        <f t="shared" si="248"/>
        <v>0</v>
      </c>
      <c r="BF1929" s="586">
        <f t="shared" si="245"/>
        <v>0</v>
      </c>
      <c r="BG1929" s="586" t="e">
        <f t="shared" si="246"/>
        <v>#DIV/0!</v>
      </c>
      <c r="BH1929" s="571" t="e">
        <f t="shared" si="247"/>
        <v>#DIV/0!</v>
      </c>
    </row>
    <row r="1930" spans="55:60" s="39" customFormat="1">
      <c r="BC1930" s="573">
        <v>19.190000000000001</v>
      </c>
      <c r="BD1930" s="571">
        <f t="shared" si="244"/>
        <v>0</v>
      </c>
      <c r="BE1930" s="571">
        <f t="shared" si="248"/>
        <v>0</v>
      </c>
      <c r="BF1930" s="586">
        <f t="shared" si="245"/>
        <v>0</v>
      </c>
      <c r="BG1930" s="586" t="e">
        <f t="shared" si="246"/>
        <v>#DIV/0!</v>
      </c>
      <c r="BH1930" s="571" t="e">
        <f t="shared" si="247"/>
        <v>#DIV/0!</v>
      </c>
    </row>
    <row r="1931" spans="55:60" s="39" customFormat="1">
      <c r="BC1931" s="573">
        <v>19.2</v>
      </c>
      <c r="BD1931" s="571">
        <f t="shared" si="244"/>
        <v>0</v>
      </c>
      <c r="BE1931" s="571">
        <f t="shared" si="248"/>
        <v>0</v>
      </c>
      <c r="BF1931" s="586">
        <f t="shared" si="245"/>
        <v>0</v>
      </c>
      <c r="BG1931" s="586" t="e">
        <f t="shared" si="246"/>
        <v>#DIV/0!</v>
      </c>
      <c r="BH1931" s="571" t="e">
        <f t="shared" si="247"/>
        <v>#DIV/0!</v>
      </c>
    </row>
    <row r="1932" spans="55:60" s="39" customFormat="1">
      <c r="BC1932" s="573">
        <v>19.21</v>
      </c>
      <c r="BD1932" s="571">
        <f t="shared" ref="BD1932:BD1995" si="249">$AU$15/BC1932</f>
        <v>0</v>
      </c>
      <c r="BE1932" s="571">
        <f t="shared" si="248"/>
        <v>0</v>
      </c>
      <c r="BF1932" s="586">
        <f t="shared" ref="BF1932:BF1995" si="250">BC1932*(BE1932/1000)/$AO$12</f>
        <v>0</v>
      </c>
      <c r="BG1932" s="586" t="e">
        <f t="shared" ref="BG1932:BG1995" si="251">POWER((1/(-1.8*LOG((6.9/BF1932+POWER((($P$7/BE1932)/3.71),1.11)),10))),2)</f>
        <v>#DIV/0!</v>
      </c>
      <c r="BH1932" s="571" t="e">
        <f t="shared" ref="BH1932:BH1995" si="252">BG1932*0.5*$P$6*16*$AU$15*$AU$15/(POWER(PI(),2)*POWER((BE1932/1000),5))</f>
        <v>#DIV/0!</v>
      </c>
    </row>
    <row r="1933" spans="55:60" s="39" customFormat="1">
      <c r="BC1933" s="573">
        <v>19.22</v>
      </c>
      <c r="BD1933" s="571">
        <f t="shared" si="249"/>
        <v>0</v>
      </c>
      <c r="BE1933" s="571">
        <f t="shared" ref="BE1933:BE1996" si="253">((BD1933/PI())^0.5)*2*1000</f>
        <v>0</v>
      </c>
      <c r="BF1933" s="586">
        <f t="shared" si="250"/>
        <v>0</v>
      </c>
      <c r="BG1933" s="586" t="e">
        <f t="shared" si="251"/>
        <v>#DIV/0!</v>
      </c>
      <c r="BH1933" s="571" t="e">
        <f t="shared" si="252"/>
        <v>#DIV/0!</v>
      </c>
    </row>
    <row r="1934" spans="55:60" s="39" customFormat="1">
      <c r="BC1934" s="573">
        <v>19.23</v>
      </c>
      <c r="BD1934" s="571">
        <f t="shared" si="249"/>
        <v>0</v>
      </c>
      <c r="BE1934" s="571">
        <f t="shared" si="253"/>
        <v>0</v>
      </c>
      <c r="BF1934" s="586">
        <f t="shared" si="250"/>
        <v>0</v>
      </c>
      <c r="BG1934" s="586" t="e">
        <f t="shared" si="251"/>
        <v>#DIV/0!</v>
      </c>
      <c r="BH1934" s="571" t="e">
        <f t="shared" si="252"/>
        <v>#DIV/0!</v>
      </c>
    </row>
    <row r="1935" spans="55:60" s="39" customFormat="1">
      <c r="BC1935" s="573">
        <v>19.239999999999998</v>
      </c>
      <c r="BD1935" s="571">
        <f t="shared" si="249"/>
        <v>0</v>
      </c>
      <c r="BE1935" s="571">
        <f t="shared" si="253"/>
        <v>0</v>
      </c>
      <c r="BF1935" s="586">
        <f t="shared" si="250"/>
        <v>0</v>
      </c>
      <c r="BG1935" s="586" t="e">
        <f t="shared" si="251"/>
        <v>#DIV/0!</v>
      </c>
      <c r="BH1935" s="571" t="e">
        <f t="shared" si="252"/>
        <v>#DIV/0!</v>
      </c>
    </row>
    <row r="1936" spans="55:60" s="39" customFormat="1">
      <c r="BC1936" s="573">
        <v>19.25</v>
      </c>
      <c r="BD1936" s="571">
        <f t="shared" si="249"/>
        <v>0</v>
      </c>
      <c r="BE1936" s="571">
        <f t="shared" si="253"/>
        <v>0</v>
      </c>
      <c r="BF1936" s="586">
        <f t="shared" si="250"/>
        <v>0</v>
      </c>
      <c r="BG1936" s="586" t="e">
        <f t="shared" si="251"/>
        <v>#DIV/0!</v>
      </c>
      <c r="BH1936" s="571" t="e">
        <f t="shared" si="252"/>
        <v>#DIV/0!</v>
      </c>
    </row>
    <row r="1937" spans="55:60" s="39" customFormat="1">
      <c r="BC1937" s="573">
        <v>19.260000000000002</v>
      </c>
      <c r="BD1937" s="571">
        <f t="shared" si="249"/>
        <v>0</v>
      </c>
      <c r="BE1937" s="571">
        <f t="shared" si="253"/>
        <v>0</v>
      </c>
      <c r="BF1937" s="586">
        <f t="shared" si="250"/>
        <v>0</v>
      </c>
      <c r="BG1937" s="586" t="e">
        <f t="shared" si="251"/>
        <v>#DIV/0!</v>
      </c>
      <c r="BH1937" s="571" t="e">
        <f t="shared" si="252"/>
        <v>#DIV/0!</v>
      </c>
    </row>
    <row r="1938" spans="55:60" s="39" customFormat="1">
      <c r="BC1938" s="573">
        <v>19.27</v>
      </c>
      <c r="BD1938" s="571">
        <f t="shared" si="249"/>
        <v>0</v>
      </c>
      <c r="BE1938" s="571">
        <f t="shared" si="253"/>
        <v>0</v>
      </c>
      <c r="BF1938" s="586">
        <f t="shared" si="250"/>
        <v>0</v>
      </c>
      <c r="BG1938" s="586" t="e">
        <f t="shared" si="251"/>
        <v>#DIV/0!</v>
      </c>
      <c r="BH1938" s="571" t="e">
        <f t="shared" si="252"/>
        <v>#DIV/0!</v>
      </c>
    </row>
    <row r="1939" spans="55:60" s="39" customFormat="1">
      <c r="BC1939" s="573">
        <v>19.28</v>
      </c>
      <c r="BD1939" s="571">
        <f t="shared" si="249"/>
        <v>0</v>
      </c>
      <c r="BE1939" s="571">
        <f t="shared" si="253"/>
        <v>0</v>
      </c>
      <c r="BF1939" s="586">
        <f t="shared" si="250"/>
        <v>0</v>
      </c>
      <c r="BG1939" s="586" t="e">
        <f t="shared" si="251"/>
        <v>#DIV/0!</v>
      </c>
      <c r="BH1939" s="571" t="e">
        <f t="shared" si="252"/>
        <v>#DIV/0!</v>
      </c>
    </row>
    <row r="1940" spans="55:60" s="39" customFormat="1">
      <c r="BC1940" s="573">
        <v>19.29</v>
      </c>
      <c r="BD1940" s="571">
        <f t="shared" si="249"/>
        <v>0</v>
      </c>
      <c r="BE1940" s="571">
        <f t="shared" si="253"/>
        <v>0</v>
      </c>
      <c r="BF1940" s="586">
        <f t="shared" si="250"/>
        <v>0</v>
      </c>
      <c r="BG1940" s="586" t="e">
        <f t="shared" si="251"/>
        <v>#DIV/0!</v>
      </c>
      <c r="BH1940" s="571" t="e">
        <f t="shared" si="252"/>
        <v>#DIV/0!</v>
      </c>
    </row>
    <row r="1941" spans="55:60" s="39" customFormat="1">
      <c r="BC1941" s="573">
        <v>19.3</v>
      </c>
      <c r="BD1941" s="571">
        <f t="shared" si="249"/>
        <v>0</v>
      </c>
      <c r="BE1941" s="571">
        <f t="shared" si="253"/>
        <v>0</v>
      </c>
      <c r="BF1941" s="586">
        <f t="shared" si="250"/>
        <v>0</v>
      </c>
      <c r="BG1941" s="586" t="e">
        <f t="shared" si="251"/>
        <v>#DIV/0!</v>
      </c>
      <c r="BH1941" s="571" t="e">
        <f t="shared" si="252"/>
        <v>#DIV/0!</v>
      </c>
    </row>
    <row r="1942" spans="55:60" s="39" customFormat="1">
      <c r="BC1942" s="573">
        <v>19.309999999999999</v>
      </c>
      <c r="BD1942" s="571">
        <f t="shared" si="249"/>
        <v>0</v>
      </c>
      <c r="BE1942" s="571">
        <f t="shared" si="253"/>
        <v>0</v>
      </c>
      <c r="BF1942" s="586">
        <f t="shared" si="250"/>
        <v>0</v>
      </c>
      <c r="BG1942" s="586" t="e">
        <f t="shared" si="251"/>
        <v>#DIV/0!</v>
      </c>
      <c r="BH1942" s="571" t="e">
        <f t="shared" si="252"/>
        <v>#DIV/0!</v>
      </c>
    </row>
    <row r="1943" spans="55:60" s="39" customFormat="1">
      <c r="BC1943" s="573">
        <v>19.32</v>
      </c>
      <c r="BD1943" s="571">
        <f t="shared" si="249"/>
        <v>0</v>
      </c>
      <c r="BE1943" s="571">
        <f t="shared" si="253"/>
        <v>0</v>
      </c>
      <c r="BF1943" s="586">
        <f t="shared" si="250"/>
        <v>0</v>
      </c>
      <c r="BG1943" s="586" t="e">
        <f t="shared" si="251"/>
        <v>#DIV/0!</v>
      </c>
      <c r="BH1943" s="571" t="e">
        <f t="shared" si="252"/>
        <v>#DIV/0!</v>
      </c>
    </row>
    <row r="1944" spans="55:60" s="39" customFormat="1">
      <c r="BC1944" s="573">
        <v>19.329999999999998</v>
      </c>
      <c r="BD1944" s="571">
        <f t="shared" si="249"/>
        <v>0</v>
      </c>
      <c r="BE1944" s="571">
        <f t="shared" si="253"/>
        <v>0</v>
      </c>
      <c r="BF1944" s="586">
        <f t="shared" si="250"/>
        <v>0</v>
      </c>
      <c r="BG1944" s="586" t="e">
        <f t="shared" si="251"/>
        <v>#DIV/0!</v>
      </c>
      <c r="BH1944" s="571" t="e">
        <f t="shared" si="252"/>
        <v>#DIV/0!</v>
      </c>
    </row>
    <row r="1945" spans="55:60" s="39" customFormat="1">
      <c r="BC1945" s="573">
        <v>19.34</v>
      </c>
      <c r="BD1945" s="571">
        <f t="shared" si="249"/>
        <v>0</v>
      </c>
      <c r="BE1945" s="571">
        <f t="shared" si="253"/>
        <v>0</v>
      </c>
      <c r="BF1945" s="586">
        <f t="shared" si="250"/>
        <v>0</v>
      </c>
      <c r="BG1945" s="586" t="e">
        <f t="shared" si="251"/>
        <v>#DIV/0!</v>
      </c>
      <c r="BH1945" s="571" t="e">
        <f t="shared" si="252"/>
        <v>#DIV/0!</v>
      </c>
    </row>
    <row r="1946" spans="55:60" s="39" customFormat="1">
      <c r="BC1946" s="573">
        <v>19.350000000000001</v>
      </c>
      <c r="BD1946" s="571">
        <f t="shared" si="249"/>
        <v>0</v>
      </c>
      <c r="BE1946" s="571">
        <f t="shared" si="253"/>
        <v>0</v>
      </c>
      <c r="BF1946" s="586">
        <f t="shared" si="250"/>
        <v>0</v>
      </c>
      <c r="BG1946" s="586" t="e">
        <f t="shared" si="251"/>
        <v>#DIV/0!</v>
      </c>
      <c r="BH1946" s="571" t="e">
        <f t="shared" si="252"/>
        <v>#DIV/0!</v>
      </c>
    </row>
    <row r="1947" spans="55:60" s="39" customFormat="1">
      <c r="BC1947" s="573">
        <v>19.36</v>
      </c>
      <c r="BD1947" s="571">
        <f t="shared" si="249"/>
        <v>0</v>
      </c>
      <c r="BE1947" s="571">
        <f t="shared" si="253"/>
        <v>0</v>
      </c>
      <c r="BF1947" s="586">
        <f t="shared" si="250"/>
        <v>0</v>
      </c>
      <c r="BG1947" s="586" t="e">
        <f t="shared" si="251"/>
        <v>#DIV/0!</v>
      </c>
      <c r="BH1947" s="571" t="e">
        <f t="shared" si="252"/>
        <v>#DIV/0!</v>
      </c>
    </row>
    <row r="1948" spans="55:60" s="39" customFormat="1">
      <c r="BC1948" s="573">
        <v>19.37</v>
      </c>
      <c r="BD1948" s="571">
        <f t="shared" si="249"/>
        <v>0</v>
      </c>
      <c r="BE1948" s="571">
        <f t="shared" si="253"/>
        <v>0</v>
      </c>
      <c r="BF1948" s="586">
        <f t="shared" si="250"/>
        <v>0</v>
      </c>
      <c r="BG1948" s="586" t="e">
        <f t="shared" si="251"/>
        <v>#DIV/0!</v>
      </c>
      <c r="BH1948" s="571" t="e">
        <f t="shared" si="252"/>
        <v>#DIV/0!</v>
      </c>
    </row>
    <row r="1949" spans="55:60" s="39" customFormat="1">
      <c r="BC1949" s="573">
        <v>19.38</v>
      </c>
      <c r="BD1949" s="571">
        <f t="shared" si="249"/>
        <v>0</v>
      </c>
      <c r="BE1949" s="571">
        <f t="shared" si="253"/>
        <v>0</v>
      </c>
      <c r="BF1949" s="586">
        <f t="shared" si="250"/>
        <v>0</v>
      </c>
      <c r="BG1949" s="586" t="e">
        <f t="shared" si="251"/>
        <v>#DIV/0!</v>
      </c>
      <c r="BH1949" s="571" t="e">
        <f t="shared" si="252"/>
        <v>#DIV/0!</v>
      </c>
    </row>
    <row r="1950" spans="55:60" s="39" customFormat="1">
      <c r="BC1950" s="573">
        <v>19.39</v>
      </c>
      <c r="BD1950" s="571">
        <f t="shared" si="249"/>
        <v>0</v>
      </c>
      <c r="BE1950" s="571">
        <f t="shared" si="253"/>
        <v>0</v>
      </c>
      <c r="BF1950" s="586">
        <f t="shared" si="250"/>
        <v>0</v>
      </c>
      <c r="BG1950" s="586" t="e">
        <f t="shared" si="251"/>
        <v>#DIV/0!</v>
      </c>
      <c r="BH1950" s="571" t="e">
        <f t="shared" si="252"/>
        <v>#DIV/0!</v>
      </c>
    </row>
    <row r="1951" spans="55:60" s="39" customFormat="1">
      <c r="BC1951" s="573">
        <v>19.399999999999999</v>
      </c>
      <c r="BD1951" s="571">
        <f t="shared" si="249"/>
        <v>0</v>
      </c>
      <c r="BE1951" s="571">
        <f t="shared" si="253"/>
        <v>0</v>
      </c>
      <c r="BF1951" s="586">
        <f t="shared" si="250"/>
        <v>0</v>
      </c>
      <c r="BG1951" s="586" t="e">
        <f t="shared" si="251"/>
        <v>#DIV/0!</v>
      </c>
      <c r="BH1951" s="571" t="e">
        <f t="shared" si="252"/>
        <v>#DIV/0!</v>
      </c>
    </row>
    <row r="1952" spans="55:60" s="39" customFormat="1">
      <c r="BC1952" s="573">
        <v>19.41</v>
      </c>
      <c r="BD1952" s="571">
        <f t="shared" si="249"/>
        <v>0</v>
      </c>
      <c r="BE1952" s="571">
        <f t="shared" si="253"/>
        <v>0</v>
      </c>
      <c r="BF1952" s="586">
        <f t="shared" si="250"/>
        <v>0</v>
      </c>
      <c r="BG1952" s="586" t="e">
        <f t="shared" si="251"/>
        <v>#DIV/0!</v>
      </c>
      <c r="BH1952" s="571" t="e">
        <f t="shared" si="252"/>
        <v>#DIV/0!</v>
      </c>
    </row>
    <row r="1953" spans="55:60" s="39" customFormat="1">
      <c r="BC1953" s="573">
        <v>19.420000000000002</v>
      </c>
      <c r="BD1953" s="571">
        <f t="shared" si="249"/>
        <v>0</v>
      </c>
      <c r="BE1953" s="571">
        <f t="shared" si="253"/>
        <v>0</v>
      </c>
      <c r="BF1953" s="586">
        <f t="shared" si="250"/>
        <v>0</v>
      </c>
      <c r="BG1953" s="586" t="e">
        <f t="shared" si="251"/>
        <v>#DIV/0!</v>
      </c>
      <c r="BH1953" s="571" t="e">
        <f t="shared" si="252"/>
        <v>#DIV/0!</v>
      </c>
    </row>
    <row r="1954" spans="55:60" s="39" customFormat="1">
      <c r="BC1954" s="573">
        <v>19.43</v>
      </c>
      <c r="BD1954" s="571">
        <f t="shared" si="249"/>
        <v>0</v>
      </c>
      <c r="BE1954" s="571">
        <f t="shared" si="253"/>
        <v>0</v>
      </c>
      <c r="BF1954" s="586">
        <f t="shared" si="250"/>
        <v>0</v>
      </c>
      <c r="BG1954" s="586" t="e">
        <f t="shared" si="251"/>
        <v>#DIV/0!</v>
      </c>
      <c r="BH1954" s="571" t="e">
        <f t="shared" si="252"/>
        <v>#DIV/0!</v>
      </c>
    </row>
    <row r="1955" spans="55:60" s="39" customFormat="1">
      <c r="BC1955" s="573">
        <v>19.440000000000001</v>
      </c>
      <c r="BD1955" s="571">
        <f t="shared" si="249"/>
        <v>0</v>
      </c>
      <c r="BE1955" s="571">
        <f t="shared" si="253"/>
        <v>0</v>
      </c>
      <c r="BF1955" s="586">
        <f t="shared" si="250"/>
        <v>0</v>
      </c>
      <c r="BG1955" s="586" t="e">
        <f t="shared" si="251"/>
        <v>#DIV/0!</v>
      </c>
      <c r="BH1955" s="571" t="e">
        <f t="shared" si="252"/>
        <v>#DIV/0!</v>
      </c>
    </row>
    <row r="1956" spans="55:60" s="39" customFormat="1">
      <c r="BC1956" s="573">
        <v>19.45</v>
      </c>
      <c r="BD1956" s="571">
        <f t="shared" si="249"/>
        <v>0</v>
      </c>
      <c r="BE1956" s="571">
        <f t="shared" si="253"/>
        <v>0</v>
      </c>
      <c r="BF1956" s="586">
        <f t="shared" si="250"/>
        <v>0</v>
      </c>
      <c r="BG1956" s="586" t="e">
        <f t="shared" si="251"/>
        <v>#DIV/0!</v>
      </c>
      <c r="BH1956" s="571" t="e">
        <f t="shared" si="252"/>
        <v>#DIV/0!</v>
      </c>
    </row>
    <row r="1957" spans="55:60" s="39" customFormat="1">
      <c r="BC1957" s="573">
        <v>19.46</v>
      </c>
      <c r="BD1957" s="571">
        <f t="shared" si="249"/>
        <v>0</v>
      </c>
      <c r="BE1957" s="571">
        <f t="shared" si="253"/>
        <v>0</v>
      </c>
      <c r="BF1957" s="586">
        <f t="shared" si="250"/>
        <v>0</v>
      </c>
      <c r="BG1957" s="586" t="e">
        <f t="shared" si="251"/>
        <v>#DIV/0!</v>
      </c>
      <c r="BH1957" s="571" t="e">
        <f t="shared" si="252"/>
        <v>#DIV/0!</v>
      </c>
    </row>
    <row r="1958" spans="55:60" s="39" customFormat="1">
      <c r="BC1958" s="573">
        <v>19.47</v>
      </c>
      <c r="BD1958" s="571">
        <f t="shared" si="249"/>
        <v>0</v>
      </c>
      <c r="BE1958" s="571">
        <f t="shared" si="253"/>
        <v>0</v>
      </c>
      <c r="BF1958" s="586">
        <f t="shared" si="250"/>
        <v>0</v>
      </c>
      <c r="BG1958" s="586" t="e">
        <f t="shared" si="251"/>
        <v>#DIV/0!</v>
      </c>
      <c r="BH1958" s="571" t="e">
        <f t="shared" si="252"/>
        <v>#DIV/0!</v>
      </c>
    </row>
    <row r="1959" spans="55:60" s="39" customFormat="1">
      <c r="BC1959" s="573">
        <v>19.48</v>
      </c>
      <c r="BD1959" s="571">
        <f t="shared" si="249"/>
        <v>0</v>
      </c>
      <c r="BE1959" s="571">
        <f t="shared" si="253"/>
        <v>0</v>
      </c>
      <c r="BF1959" s="586">
        <f t="shared" si="250"/>
        <v>0</v>
      </c>
      <c r="BG1959" s="586" t="e">
        <f t="shared" si="251"/>
        <v>#DIV/0!</v>
      </c>
      <c r="BH1959" s="571" t="e">
        <f t="shared" si="252"/>
        <v>#DIV/0!</v>
      </c>
    </row>
    <row r="1960" spans="55:60" s="39" customFormat="1">
      <c r="BC1960" s="573">
        <v>19.489999999999998</v>
      </c>
      <c r="BD1960" s="571">
        <f t="shared" si="249"/>
        <v>0</v>
      </c>
      <c r="BE1960" s="571">
        <f t="shared" si="253"/>
        <v>0</v>
      </c>
      <c r="BF1960" s="586">
        <f t="shared" si="250"/>
        <v>0</v>
      </c>
      <c r="BG1960" s="586" t="e">
        <f t="shared" si="251"/>
        <v>#DIV/0!</v>
      </c>
      <c r="BH1960" s="571" t="e">
        <f t="shared" si="252"/>
        <v>#DIV/0!</v>
      </c>
    </row>
    <row r="1961" spans="55:60" s="39" customFormat="1">
      <c r="BC1961" s="573">
        <v>19.5</v>
      </c>
      <c r="BD1961" s="571">
        <f t="shared" si="249"/>
        <v>0</v>
      </c>
      <c r="BE1961" s="571">
        <f t="shared" si="253"/>
        <v>0</v>
      </c>
      <c r="BF1961" s="586">
        <f t="shared" si="250"/>
        <v>0</v>
      </c>
      <c r="BG1961" s="586" t="e">
        <f t="shared" si="251"/>
        <v>#DIV/0!</v>
      </c>
      <c r="BH1961" s="571" t="e">
        <f t="shared" si="252"/>
        <v>#DIV/0!</v>
      </c>
    </row>
    <row r="1962" spans="55:60" s="39" customFormat="1">
      <c r="BC1962" s="573">
        <v>19.510000000000002</v>
      </c>
      <c r="BD1962" s="571">
        <f t="shared" si="249"/>
        <v>0</v>
      </c>
      <c r="BE1962" s="571">
        <f t="shared" si="253"/>
        <v>0</v>
      </c>
      <c r="BF1962" s="586">
        <f t="shared" si="250"/>
        <v>0</v>
      </c>
      <c r="BG1962" s="586" t="e">
        <f t="shared" si="251"/>
        <v>#DIV/0!</v>
      </c>
      <c r="BH1962" s="571" t="e">
        <f t="shared" si="252"/>
        <v>#DIV/0!</v>
      </c>
    </row>
    <row r="1963" spans="55:60" s="39" customFormat="1">
      <c r="BC1963" s="573">
        <v>19.52</v>
      </c>
      <c r="BD1963" s="571">
        <f t="shared" si="249"/>
        <v>0</v>
      </c>
      <c r="BE1963" s="571">
        <f t="shared" si="253"/>
        <v>0</v>
      </c>
      <c r="BF1963" s="586">
        <f t="shared" si="250"/>
        <v>0</v>
      </c>
      <c r="BG1963" s="586" t="e">
        <f t="shared" si="251"/>
        <v>#DIV/0!</v>
      </c>
      <c r="BH1963" s="571" t="e">
        <f t="shared" si="252"/>
        <v>#DIV/0!</v>
      </c>
    </row>
    <row r="1964" spans="55:60" s="39" customFormat="1">
      <c r="BC1964" s="573">
        <v>19.53</v>
      </c>
      <c r="BD1964" s="571">
        <f t="shared" si="249"/>
        <v>0</v>
      </c>
      <c r="BE1964" s="571">
        <f t="shared" si="253"/>
        <v>0</v>
      </c>
      <c r="BF1964" s="586">
        <f t="shared" si="250"/>
        <v>0</v>
      </c>
      <c r="BG1964" s="586" t="e">
        <f t="shared" si="251"/>
        <v>#DIV/0!</v>
      </c>
      <c r="BH1964" s="571" t="e">
        <f t="shared" si="252"/>
        <v>#DIV/0!</v>
      </c>
    </row>
    <row r="1965" spans="55:60" s="39" customFormat="1">
      <c r="BC1965" s="573">
        <v>19.54</v>
      </c>
      <c r="BD1965" s="571">
        <f t="shared" si="249"/>
        <v>0</v>
      </c>
      <c r="BE1965" s="571">
        <f t="shared" si="253"/>
        <v>0</v>
      </c>
      <c r="BF1965" s="586">
        <f t="shared" si="250"/>
        <v>0</v>
      </c>
      <c r="BG1965" s="586" t="e">
        <f t="shared" si="251"/>
        <v>#DIV/0!</v>
      </c>
      <c r="BH1965" s="571" t="e">
        <f t="shared" si="252"/>
        <v>#DIV/0!</v>
      </c>
    </row>
    <row r="1966" spans="55:60" s="39" customFormat="1">
      <c r="BC1966" s="573">
        <v>19.55</v>
      </c>
      <c r="BD1966" s="571">
        <f t="shared" si="249"/>
        <v>0</v>
      </c>
      <c r="BE1966" s="571">
        <f t="shared" si="253"/>
        <v>0</v>
      </c>
      <c r="BF1966" s="586">
        <f t="shared" si="250"/>
        <v>0</v>
      </c>
      <c r="BG1966" s="586" t="e">
        <f t="shared" si="251"/>
        <v>#DIV/0!</v>
      </c>
      <c r="BH1966" s="571" t="e">
        <f t="shared" si="252"/>
        <v>#DIV/0!</v>
      </c>
    </row>
    <row r="1967" spans="55:60" s="39" customFormat="1">
      <c r="BC1967" s="573">
        <v>19.559999999999999</v>
      </c>
      <c r="BD1967" s="571">
        <f t="shared" si="249"/>
        <v>0</v>
      </c>
      <c r="BE1967" s="571">
        <f t="shared" si="253"/>
        <v>0</v>
      </c>
      <c r="BF1967" s="586">
        <f t="shared" si="250"/>
        <v>0</v>
      </c>
      <c r="BG1967" s="586" t="e">
        <f t="shared" si="251"/>
        <v>#DIV/0!</v>
      </c>
      <c r="BH1967" s="571" t="e">
        <f t="shared" si="252"/>
        <v>#DIV/0!</v>
      </c>
    </row>
    <row r="1968" spans="55:60" s="39" customFormat="1">
      <c r="BC1968" s="573">
        <v>19.57</v>
      </c>
      <c r="BD1968" s="571">
        <f t="shared" si="249"/>
        <v>0</v>
      </c>
      <c r="BE1968" s="571">
        <f t="shared" si="253"/>
        <v>0</v>
      </c>
      <c r="BF1968" s="586">
        <f t="shared" si="250"/>
        <v>0</v>
      </c>
      <c r="BG1968" s="586" t="e">
        <f t="shared" si="251"/>
        <v>#DIV/0!</v>
      </c>
      <c r="BH1968" s="571" t="e">
        <f t="shared" si="252"/>
        <v>#DIV/0!</v>
      </c>
    </row>
    <row r="1969" spans="55:60" s="39" customFormat="1">
      <c r="BC1969" s="573">
        <v>19.579999999999998</v>
      </c>
      <c r="BD1969" s="571">
        <f t="shared" si="249"/>
        <v>0</v>
      </c>
      <c r="BE1969" s="571">
        <f t="shared" si="253"/>
        <v>0</v>
      </c>
      <c r="BF1969" s="586">
        <f t="shared" si="250"/>
        <v>0</v>
      </c>
      <c r="BG1969" s="586" t="e">
        <f t="shared" si="251"/>
        <v>#DIV/0!</v>
      </c>
      <c r="BH1969" s="571" t="e">
        <f t="shared" si="252"/>
        <v>#DIV/0!</v>
      </c>
    </row>
    <row r="1970" spans="55:60" s="39" customFormat="1">
      <c r="BC1970" s="573">
        <v>19.59</v>
      </c>
      <c r="BD1970" s="571">
        <f t="shared" si="249"/>
        <v>0</v>
      </c>
      <c r="BE1970" s="571">
        <f t="shared" si="253"/>
        <v>0</v>
      </c>
      <c r="BF1970" s="586">
        <f t="shared" si="250"/>
        <v>0</v>
      </c>
      <c r="BG1970" s="586" t="e">
        <f t="shared" si="251"/>
        <v>#DIV/0!</v>
      </c>
      <c r="BH1970" s="571" t="e">
        <f t="shared" si="252"/>
        <v>#DIV/0!</v>
      </c>
    </row>
    <row r="1971" spans="55:60" s="39" customFormat="1">
      <c r="BC1971" s="573">
        <v>19.600000000000001</v>
      </c>
      <c r="BD1971" s="571">
        <f t="shared" si="249"/>
        <v>0</v>
      </c>
      <c r="BE1971" s="571">
        <f t="shared" si="253"/>
        <v>0</v>
      </c>
      <c r="BF1971" s="586">
        <f t="shared" si="250"/>
        <v>0</v>
      </c>
      <c r="BG1971" s="586" t="e">
        <f t="shared" si="251"/>
        <v>#DIV/0!</v>
      </c>
      <c r="BH1971" s="571" t="e">
        <f t="shared" si="252"/>
        <v>#DIV/0!</v>
      </c>
    </row>
    <row r="1972" spans="55:60" s="39" customFormat="1">
      <c r="BC1972" s="573">
        <v>19.61</v>
      </c>
      <c r="BD1972" s="571">
        <f t="shared" si="249"/>
        <v>0</v>
      </c>
      <c r="BE1972" s="571">
        <f t="shared" si="253"/>
        <v>0</v>
      </c>
      <c r="BF1972" s="586">
        <f t="shared" si="250"/>
        <v>0</v>
      </c>
      <c r="BG1972" s="586" t="e">
        <f t="shared" si="251"/>
        <v>#DIV/0!</v>
      </c>
      <c r="BH1972" s="571" t="e">
        <f t="shared" si="252"/>
        <v>#DIV/0!</v>
      </c>
    </row>
    <row r="1973" spans="55:60" s="39" customFormat="1">
      <c r="BC1973" s="573">
        <v>19.62</v>
      </c>
      <c r="BD1973" s="571">
        <f t="shared" si="249"/>
        <v>0</v>
      </c>
      <c r="BE1973" s="571">
        <f t="shared" si="253"/>
        <v>0</v>
      </c>
      <c r="BF1973" s="586">
        <f t="shared" si="250"/>
        <v>0</v>
      </c>
      <c r="BG1973" s="586" t="e">
        <f t="shared" si="251"/>
        <v>#DIV/0!</v>
      </c>
      <c r="BH1973" s="571" t="e">
        <f t="shared" si="252"/>
        <v>#DIV/0!</v>
      </c>
    </row>
    <row r="1974" spans="55:60" s="39" customFormat="1">
      <c r="BC1974" s="573">
        <v>19.63</v>
      </c>
      <c r="BD1974" s="571">
        <f t="shared" si="249"/>
        <v>0</v>
      </c>
      <c r="BE1974" s="571">
        <f t="shared" si="253"/>
        <v>0</v>
      </c>
      <c r="BF1974" s="586">
        <f t="shared" si="250"/>
        <v>0</v>
      </c>
      <c r="BG1974" s="586" t="e">
        <f t="shared" si="251"/>
        <v>#DIV/0!</v>
      </c>
      <c r="BH1974" s="571" t="e">
        <f t="shared" si="252"/>
        <v>#DIV/0!</v>
      </c>
    </row>
    <row r="1975" spans="55:60" s="39" customFormat="1">
      <c r="BC1975" s="573">
        <v>19.64</v>
      </c>
      <c r="BD1975" s="571">
        <f t="shared" si="249"/>
        <v>0</v>
      </c>
      <c r="BE1975" s="571">
        <f t="shared" si="253"/>
        <v>0</v>
      </c>
      <c r="BF1975" s="586">
        <f t="shared" si="250"/>
        <v>0</v>
      </c>
      <c r="BG1975" s="586" t="e">
        <f t="shared" si="251"/>
        <v>#DIV/0!</v>
      </c>
      <c r="BH1975" s="571" t="e">
        <f t="shared" si="252"/>
        <v>#DIV/0!</v>
      </c>
    </row>
    <row r="1976" spans="55:60" s="39" customFormat="1">
      <c r="BC1976" s="573">
        <v>19.649999999999999</v>
      </c>
      <c r="BD1976" s="571">
        <f t="shared" si="249"/>
        <v>0</v>
      </c>
      <c r="BE1976" s="571">
        <f t="shared" si="253"/>
        <v>0</v>
      </c>
      <c r="BF1976" s="586">
        <f t="shared" si="250"/>
        <v>0</v>
      </c>
      <c r="BG1976" s="586" t="e">
        <f t="shared" si="251"/>
        <v>#DIV/0!</v>
      </c>
      <c r="BH1976" s="571" t="e">
        <f t="shared" si="252"/>
        <v>#DIV/0!</v>
      </c>
    </row>
    <row r="1977" spans="55:60" s="39" customFormat="1">
      <c r="BC1977" s="573">
        <v>19.66</v>
      </c>
      <c r="BD1977" s="571">
        <f t="shared" si="249"/>
        <v>0</v>
      </c>
      <c r="BE1977" s="571">
        <f t="shared" si="253"/>
        <v>0</v>
      </c>
      <c r="BF1977" s="586">
        <f t="shared" si="250"/>
        <v>0</v>
      </c>
      <c r="BG1977" s="586" t="e">
        <f t="shared" si="251"/>
        <v>#DIV/0!</v>
      </c>
      <c r="BH1977" s="571" t="e">
        <f t="shared" si="252"/>
        <v>#DIV/0!</v>
      </c>
    </row>
    <row r="1978" spans="55:60" s="39" customFormat="1">
      <c r="BC1978" s="573">
        <v>19.670000000000002</v>
      </c>
      <c r="BD1978" s="571">
        <f t="shared" si="249"/>
        <v>0</v>
      </c>
      <c r="BE1978" s="571">
        <f t="shared" si="253"/>
        <v>0</v>
      </c>
      <c r="BF1978" s="586">
        <f t="shared" si="250"/>
        <v>0</v>
      </c>
      <c r="BG1978" s="586" t="e">
        <f t="shared" si="251"/>
        <v>#DIV/0!</v>
      </c>
      <c r="BH1978" s="571" t="e">
        <f t="shared" si="252"/>
        <v>#DIV/0!</v>
      </c>
    </row>
    <row r="1979" spans="55:60" s="39" customFormat="1">
      <c r="BC1979" s="573">
        <v>19.68</v>
      </c>
      <c r="BD1979" s="571">
        <f t="shared" si="249"/>
        <v>0</v>
      </c>
      <c r="BE1979" s="571">
        <f t="shared" si="253"/>
        <v>0</v>
      </c>
      <c r="BF1979" s="586">
        <f t="shared" si="250"/>
        <v>0</v>
      </c>
      <c r="BG1979" s="586" t="e">
        <f t="shared" si="251"/>
        <v>#DIV/0!</v>
      </c>
      <c r="BH1979" s="571" t="e">
        <f t="shared" si="252"/>
        <v>#DIV/0!</v>
      </c>
    </row>
    <row r="1980" spans="55:60" s="39" customFormat="1">
      <c r="BC1980" s="573">
        <v>19.690000000000001</v>
      </c>
      <c r="BD1980" s="571">
        <f t="shared" si="249"/>
        <v>0</v>
      </c>
      <c r="BE1980" s="571">
        <f t="shared" si="253"/>
        <v>0</v>
      </c>
      <c r="BF1980" s="586">
        <f t="shared" si="250"/>
        <v>0</v>
      </c>
      <c r="BG1980" s="586" t="e">
        <f t="shared" si="251"/>
        <v>#DIV/0!</v>
      </c>
      <c r="BH1980" s="571" t="e">
        <f t="shared" si="252"/>
        <v>#DIV/0!</v>
      </c>
    </row>
    <row r="1981" spans="55:60" s="39" customFormat="1">
      <c r="BC1981" s="573">
        <v>19.7</v>
      </c>
      <c r="BD1981" s="571">
        <f t="shared" si="249"/>
        <v>0</v>
      </c>
      <c r="BE1981" s="571">
        <f t="shared" si="253"/>
        <v>0</v>
      </c>
      <c r="BF1981" s="586">
        <f t="shared" si="250"/>
        <v>0</v>
      </c>
      <c r="BG1981" s="586" t="e">
        <f t="shared" si="251"/>
        <v>#DIV/0!</v>
      </c>
      <c r="BH1981" s="571" t="e">
        <f t="shared" si="252"/>
        <v>#DIV/0!</v>
      </c>
    </row>
    <row r="1982" spans="55:60" s="39" customFormat="1">
      <c r="BC1982" s="573">
        <v>19.71</v>
      </c>
      <c r="BD1982" s="571">
        <f t="shared" si="249"/>
        <v>0</v>
      </c>
      <c r="BE1982" s="571">
        <f t="shared" si="253"/>
        <v>0</v>
      </c>
      <c r="BF1982" s="586">
        <f t="shared" si="250"/>
        <v>0</v>
      </c>
      <c r="BG1982" s="586" t="e">
        <f t="shared" si="251"/>
        <v>#DIV/0!</v>
      </c>
      <c r="BH1982" s="571" t="e">
        <f t="shared" si="252"/>
        <v>#DIV/0!</v>
      </c>
    </row>
    <row r="1983" spans="55:60" s="39" customFormat="1">
      <c r="BC1983" s="573">
        <v>19.72</v>
      </c>
      <c r="BD1983" s="571">
        <f t="shared" si="249"/>
        <v>0</v>
      </c>
      <c r="BE1983" s="571">
        <f t="shared" si="253"/>
        <v>0</v>
      </c>
      <c r="BF1983" s="586">
        <f t="shared" si="250"/>
        <v>0</v>
      </c>
      <c r="BG1983" s="586" t="e">
        <f t="shared" si="251"/>
        <v>#DIV/0!</v>
      </c>
      <c r="BH1983" s="571" t="e">
        <f t="shared" si="252"/>
        <v>#DIV/0!</v>
      </c>
    </row>
    <row r="1984" spans="55:60" s="39" customFormat="1">
      <c r="BC1984" s="573">
        <v>19.73</v>
      </c>
      <c r="BD1984" s="571">
        <f t="shared" si="249"/>
        <v>0</v>
      </c>
      <c r="BE1984" s="571">
        <f t="shared" si="253"/>
        <v>0</v>
      </c>
      <c r="BF1984" s="586">
        <f t="shared" si="250"/>
        <v>0</v>
      </c>
      <c r="BG1984" s="586" t="e">
        <f t="shared" si="251"/>
        <v>#DIV/0!</v>
      </c>
      <c r="BH1984" s="571" t="e">
        <f t="shared" si="252"/>
        <v>#DIV/0!</v>
      </c>
    </row>
    <row r="1985" spans="55:60" s="39" customFormat="1">
      <c r="BC1985" s="573">
        <v>19.739999999999998</v>
      </c>
      <c r="BD1985" s="571">
        <f t="shared" si="249"/>
        <v>0</v>
      </c>
      <c r="BE1985" s="571">
        <f t="shared" si="253"/>
        <v>0</v>
      </c>
      <c r="BF1985" s="586">
        <f t="shared" si="250"/>
        <v>0</v>
      </c>
      <c r="BG1985" s="586" t="e">
        <f t="shared" si="251"/>
        <v>#DIV/0!</v>
      </c>
      <c r="BH1985" s="571" t="e">
        <f t="shared" si="252"/>
        <v>#DIV/0!</v>
      </c>
    </row>
    <row r="1986" spans="55:60" s="39" customFormat="1">
      <c r="BC1986" s="573">
        <v>19.75</v>
      </c>
      <c r="BD1986" s="571">
        <f t="shared" si="249"/>
        <v>0</v>
      </c>
      <c r="BE1986" s="571">
        <f t="shared" si="253"/>
        <v>0</v>
      </c>
      <c r="BF1986" s="586">
        <f t="shared" si="250"/>
        <v>0</v>
      </c>
      <c r="BG1986" s="586" t="e">
        <f t="shared" si="251"/>
        <v>#DIV/0!</v>
      </c>
      <c r="BH1986" s="571" t="e">
        <f t="shared" si="252"/>
        <v>#DIV/0!</v>
      </c>
    </row>
    <row r="1987" spans="55:60" s="39" customFormat="1">
      <c r="BC1987" s="573">
        <v>19.760000000000002</v>
      </c>
      <c r="BD1987" s="571">
        <f t="shared" si="249"/>
        <v>0</v>
      </c>
      <c r="BE1987" s="571">
        <f t="shared" si="253"/>
        <v>0</v>
      </c>
      <c r="BF1987" s="586">
        <f t="shared" si="250"/>
        <v>0</v>
      </c>
      <c r="BG1987" s="586" t="e">
        <f t="shared" si="251"/>
        <v>#DIV/0!</v>
      </c>
      <c r="BH1987" s="571" t="e">
        <f t="shared" si="252"/>
        <v>#DIV/0!</v>
      </c>
    </row>
    <row r="1988" spans="55:60" s="39" customFormat="1">
      <c r="BC1988" s="573">
        <v>19.77</v>
      </c>
      <c r="BD1988" s="571">
        <f t="shared" si="249"/>
        <v>0</v>
      </c>
      <c r="BE1988" s="571">
        <f t="shared" si="253"/>
        <v>0</v>
      </c>
      <c r="BF1988" s="586">
        <f t="shared" si="250"/>
        <v>0</v>
      </c>
      <c r="BG1988" s="586" t="e">
        <f t="shared" si="251"/>
        <v>#DIV/0!</v>
      </c>
      <c r="BH1988" s="571" t="e">
        <f t="shared" si="252"/>
        <v>#DIV/0!</v>
      </c>
    </row>
    <row r="1989" spans="55:60" s="39" customFormat="1">
      <c r="BC1989" s="573">
        <v>19.78</v>
      </c>
      <c r="BD1989" s="571">
        <f t="shared" si="249"/>
        <v>0</v>
      </c>
      <c r="BE1989" s="571">
        <f t="shared" si="253"/>
        <v>0</v>
      </c>
      <c r="BF1989" s="586">
        <f t="shared" si="250"/>
        <v>0</v>
      </c>
      <c r="BG1989" s="586" t="e">
        <f t="shared" si="251"/>
        <v>#DIV/0!</v>
      </c>
      <c r="BH1989" s="571" t="e">
        <f t="shared" si="252"/>
        <v>#DIV/0!</v>
      </c>
    </row>
    <row r="1990" spans="55:60" s="39" customFormat="1">
      <c r="BC1990" s="573">
        <v>19.79</v>
      </c>
      <c r="BD1990" s="571">
        <f t="shared" si="249"/>
        <v>0</v>
      </c>
      <c r="BE1990" s="571">
        <f t="shared" si="253"/>
        <v>0</v>
      </c>
      <c r="BF1990" s="586">
        <f t="shared" si="250"/>
        <v>0</v>
      </c>
      <c r="BG1990" s="586" t="e">
        <f t="shared" si="251"/>
        <v>#DIV/0!</v>
      </c>
      <c r="BH1990" s="571" t="e">
        <f t="shared" si="252"/>
        <v>#DIV/0!</v>
      </c>
    </row>
    <row r="1991" spans="55:60" s="39" customFormat="1">
      <c r="BC1991" s="573">
        <v>19.8</v>
      </c>
      <c r="BD1991" s="571">
        <f t="shared" si="249"/>
        <v>0</v>
      </c>
      <c r="BE1991" s="571">
        <f t="shared" si="253"/>
        <v>0</v>
      </c>
      <c r="BF1991" s="586">
        <f t="shared" si="250"/>
        <v>0</v>
      </c>
      <c r="BG1991" s="586" t="e">
        <f t="shared" si="251"/>
        <v>#DIV/0!</v>
      </c>
      <c r="BH1991" s="571" t="e">
        <f t="shared" si="252"/>
        <v>#DIV/0!</v>
      </c>
    </row>
    <row r="1992" spans="55:60" s="39" customFormat="1">
      <c r="BC1992" s="573">
        <v>19.809999999999999</v>
      </c>
      <c r="BD1992" s="571">
        <f t="shared" si="249"/>
        <v>0</v>
      </c>
      <c r="BE1992" s="571">
        <f t="shared" si="253"/>
        <v>0</v>
      </c>
      <c r="BF1992" s="586">
        <f t="shared" si="250"/>
        <v>0</v>
      </c>
      <c r="BG1992" s="586" t="e">
        <f t="shared" si="251"/>
        <v>#DIV/0!</v>
      </c>
      <c r="BH1992" s="571" t="e">
        <f t="shared" si="252"/>
        <v>#DIV/0!</v>
      </c>
    </row>
    <row r="1993" spans="55:60" s="39" customFormat="1">
      <c r="BC1993" s="573">
        <v>19.82</v>
      </c>
      <c r="BD1993" s="571">
        <f t="shared" si="249"/>
        <v>0</v>
      </c>
      <c r="BE1993" s="571">
        <f t="shared" si="253"/>
        <v>0</v>
      </c>
      <c r="BF1993" s="586">
        <f t="shared" si="250"/>
        <v>0</v>
      </c>
      <c r="BG1993" s="586" t="e">
        <f t="shared" si="251"/>
        <v>#DIV/0!</v>
      </c>
      <c r="BH1993" s="571" t="e">
        <f t="shared" si="252"/>
        <v>#DIV/0!</v>
      </c>
    </row>
    <row r="1994" spans="55:60" s="39" customFormat="1">
      <c r="BC1994" s="573">
        <v>19.829999999999998</v>
      </c>
      <c r="BD1994" s="571">
        <f t="shared" si="249"/>
        <v>0</v>
      </c>
      <c r="BE1994" s="571">
        <f t="shared" si="253"/>
        <v>0</v>
      </c>
      <c r="BF1994" s="586">
        <f t="shared" si="250"/>
        <v>0</v>
      </c>
      <c r="BG1994" s="586" t="e">
        <f t="shared" si="251"/>
        <v>#DIV/0!</v>
      </c>
      <c r="BH1994" s="571" t="e">
        <f t="shared" si="252"/>
        <v>#DIV/0!</v>
      </c>
    </row>
    <row r="1995" spans="55:60" s="39" customFormat="1">
      <c r="BC1995" s="573">
        <v>19.84</v>
      </c>
      <c r="BD1995" s="571">
        <f t="shared" si="249"/>
        <v>0</v>
      </c>
      <c r="BE1995" s="571">
        <f t="shared" si="253"/>
        <v>0</v>
      </c>
      <c r="BF1995" s="586">
        <f t="shared" si="250"/>
        <v>0</v>
      </c>
      <c r="BG1995" s="586" t="e">
        <f t="shared" si="251"/>
        <v>#DIV/0!</v>
      </c>
      <c r="BH1995" s="571" t="e">
        <f t="shared" si="252"/>
        <v>#DIV/0!</v>
      </c>
    </row>
    <row r="1996" spans="55:60" s="39" customFormat="1">
      <c r="BC1996" s="573">
        <v>19.850000000000001</v>
      </c>
      <c r="BD1996" s="571">
        <f t="shared" ref="BD1996:BD2059" si="254">$AU$15/BC1996</f>
        <v>0</v>
      </c>
      <c r="BE1996" s="571">
        <f t="shared" si="253"/>
        <v>0</v>
      </c>
      <c r="BF1996" s="586">
        <f t="shared" ref="BF1996:BF2059" si="255">BC1996*(BE1996/1000)/$AO$12</f>
        <v>0</v>
      </c>
      <c r="BG1996" s="586" t="e">
        <f t="shared" ref="BG1996:BG2059" si="256">POWER((1/(-1.8*LOG((6.9/BF1996+POWER((($P$7/BE1996)/3.71),1.11)),10))),2)</f>
        <v>#DIV/0!</v>
      </c>
      <c r="BH1996" s="571" t="e">
        <f t="shared" ref="BH1996:BH2059" si="257">BG1996*0.5*$P$6*16*$AU$15*$AU$15/(POWER(PI(),2)*POWER((BE1996/1000),5))</f>
        <v>#DIV/0!</v>
      </c>
    </row>
    <row r="1997" spans="55:60" s="39" customFormat="1">
      <c r="BC1997" s="573">
        <v>19.86</v>
      </c>
      <c r="BD1997" s="571">
        <f t="shared" si="254"/>
        <v>0</v>
      </c>
      <c r="BE1997" s="571">
        <f t="shared" ref="BE1997:BE2060" si="258">((BD1997/PI())^0.5)*2*1000</f>
        <v>0</v>
      </c>
      <c r="BF1997" s="586">
        <f t="shared" si="255"/>
        <v>0</v>
      </c>
      <c r="BG1997" s="586" t="e">
        <f t="shared" si="256"/>
        <v>#DIV/0!</v>
      </c>
      <c r="BH1997" s="571" t="e">
        <f t="shared" si="257"/>
        <v>#DIV/0!</v>
      </c>
    </row>
    <row r="1998" spans="55:60" s="39" customFormat="1">
      <c r="BC1998" s="573">
        <v>19.87</v>
      </c>
      <c r="BD1998" s="571">
        <f t="shared" si="254"/>
        <v>0</v>
      </c>
      <c r="BE1998" s="571">
        <f t="shared" si="258"/>
        <v>0</v>
      </c>
      <c r="BF1998" s="586">
        <f t="shared" si="255"/>
        <v>0</v>
      </c>
      <c r="BG1998" s="586" t="e">
        <f t="shared" si="256"/>
        <v>#DIV/0!</v>
      </c>
      <c r="BH1998" s="571" t="e">
        <f t="shared" si="257"/>
        <v>#DIV/0!</v>
      </c>
    </row>
    <row r="1999" spans="55:60" s="39" customFormat="1">
      <c r="BC1999" s="573">
        <v>19.88</v>
      </c>
      <c r="BD1999" s="571">
        <f t="shared" si="254"/>
        <v>0</v>
      </c>
      <c r="BE1999" s="571">
        <f t="shared" si="258"/>
        <v>0</v>
      </c>
      <c r="BF1999" s="586">
        <f t="shared" si="255"/>
        <v>0</v>
      </c>
      <c r="BG1999" s="586" t="e">
        <f t="shared" si="256"/>
        <v>#DIV/0!</v>
      </c>
      <c r="BH1999" s="571" t="e">
        <f t="shared" si="257"/>
        <v>#DIV/0!</v>
      </c>
    </row>
    <row r="2000" spans="55:60" s="39" customFormat="1">
      <c r="BC2000" s="573">
        <v>19.89</v>
      </c>
      <c r="BD2000" s="571">
        <f t="shared" si="254"/>
        <v>0</v>
      </c>
      <c r="BE2000" s="571">
        <f t="shared" si="258"/>
        <v>0</v>
      </c>
      <c r="BF2000" s="586">
        <f t="shared" si="255"/>
        <v>0</v>
      </c>
      <c r="BG2000" s="586" t="e">
        <f t="shared" si="256"/>
        <v>#DIV/0!</v>
      </c>
      <c r="BH2000" s="571" t="e">
        <f t="shared" si="257"/>
        <v>#DIV/0!</v>
      </c>
    </row>
    <row r="2001" spans="55:60" s="39" customFormat="1">
      <c r="BC2001" s="573">
        <v>19.899999999999999</v>
      </c>
      <c r="BD2001" s="571">
        <f t="shared" si="254"/>
        <v>0</v>
      </c>
      <c r="BE2001" s="571">
        <f t="shared" si="258"/>
        <v>0</v>
      </c>
      <c r="BF2001" s="586">
        <f t="shared" si="255"/>
        <v>0</v>
      </c>
      <c r="BG2001" s="586" t="e">
        <f t="shared" si="256"/>
        <v>#DIV/0!</v>
      </c>
      <c r="BH2001" s="571" t="e">
        <f t="shared" si="257"/>
        <v>#DIV/0!</v>
      </c>
    </row>
    <row r="2002" spans="55:60" s="39" customFormat="1">
      <c r="BC2002" s="573">
        <v>19.91</v>
      </c>
      <c r="BD2002" s="571">
        <f t="shared" si="254"/>
        <v>0</v>
      </c>
      <c r="BE2002" s="571">
        <f t="shared" si="258"/>
        <v>0</v>
      </c>
      <c r="BF2002" s="586">
        <f t="shared" si="255"/>
        <v>0</v>
      </c>
      <c r="BG2002" s="586" t="e">
        <f t="shared" si="256"/>
        <v>#DIV/0!</v>
      </c>
      <c r="BH2002" s="571" t="e">
        <f t="shared" si="257"/>
        <v>#DIV/0!</v>
      </c>
    </row>
    <row r="2003" spans="55:60" s="39" customFormat="1">
      <c r="BC2003" s="573">
        <v>19.920000000000002</v>
      </c>
      <c r="BD2003" s="571">
        <f t="shared" si="254"/>
        <v>0</v>
      </c>
      <c r="BE2003" s="571">
        <f t="shared" si="258"/>
        <v>0</v>
      </c>
      <c r="BF2003" s="586">
        <f t="shared" si="255"/>
        <v>0</v>
      </c>
      <c r="BG2003" s="586" t="e">
        <f t="shared" si="256"/>
        <v>#DIV/0!</v>
      </c>
      <c r="BH2003" s="571" t="e">
        <f t="shared" si="257"/>
        <v>#DIV/0!</v>
      </c>
    </row>
    <row r="2004" spans="55:60" s="39" customFormat="1">
      <c r="BC2004" s="573">
        <v>19.93</v>
      </c>
      <c r="BD2004" s="571">
        <f t="shared" si="254"/>
        <v>0</v>
      </c>
      <c r="BE2004" s="571">
        <f t="shared" si="258"/>
        <v>0</v>
      </c>
      <c r="BF2004" s="586">
        <f t="shared" si="255"/>
        <v>0</v>
      </c>
      <c r="BG2004" s="586" t="e">
        <f t="shared" si="256"/>
        <v>#DIV/0!</v>
      </c>
      <c r="BH2004" s="571" t="e">
        <f t="shared" si="257"/>
        <v>#DIV/0!</v>
      </c>
    </row>
    <row r="2005" spans="55:60" s="39" customFormat="1">
      <c r="BC2005" s="573">
        <v>19.940000000000001</v>
      </c>
      <c r="BD2005" s="571">
        <f t="shared" si="254"/>
        <v>0</v>
      </c>
      <c r="BE2005" s="571">
        <f t="shared" si="258"/>
        <v>0</v>
      </c>
      <c r="BF2005" s="586">
        <f t="shared" si="255"/>
        <v>0</v>
      </c>
      <c r="BG2005" s="586" t="e">
        <f t="shared" si="256"/>
        <v>#DIV/0!</v>
      </c>
      <c r="BH2005" s="571" t="e">
        <f t="shared" si="257"/>
        <v>#DIV/0!</v>
      </c>
    </row>
    <row r="2006" spans="55:60" s="39" customFormat="1">
      <c r="BC2006" s="573">
        <v>19.95</v>
      </c>
      <c r="BD2006" s="571">
        <f t="shared" si="254"/>
        <v>0</v>
      </c>
      <c r="BE2006" s="571">
        <f t="shared" si="258"/>
        <v>0</v>
      </c>
      <c r="BF2006" s="586">
        <f t="shared" si="255"/>
        <v>0</v>
      </c>
      <c r="BG2006" s="586" t="e">
        <f t="shared" si="256"/>
        <v>#DIV/0!</v>
      </c>
      <c r="BH2006" s="571" t="e">
        <f t="shared" si="257"/>
        <v>#DIV/0!</v>
      </c>
    </row>
    <row r="2007" spans="55:60" s="39" customFormat="1">
      <c r="BC2007" s="573">
        <v>19.96</v>
      </c>
      <c r="BD2007" s="571">
        <f t="shared" si="254"/>
        <v>0</v>
      </c>
      <c r="BE2007" s="571">
        <f t="shared" si="258"/>
        <v>0</v>
      </c>
      <c r="BF2007" s="586">
        <f t="shared" si="255"/>
        <v>0</v>
      </c>
      <c r="BG2007" s="586" t="e">
        <f t="shared" si="256"/>
        <v>#DIV/0!</v>
      </c>
      <c r="BH2007" s="571" t="e">
        <f t="shared" si="257"/>
        <v>#DIV/0!</v>
      </c>
    </row>
    <row r="2008" spans="55:60" s="39" customFormat="1">
      <c r="BC2008" s="573">
        <v>19.97</v>
      </c>
      <c r="BD2008" s="571">
        <f t="shared" si="254"/>
        <v>0</v>
      </c>
      <c r="BE2008" s="571">
        <f t="shared" si="258"/>
        <v>0</v>
      </c>
      <c r="BF2008" s="586">
        <f t="shared" si="255"/>
        <v>0</v>
      </c>
      <c r="BG2008" s="586" t="e">
        <f t="shared" si="256"/>
        <v>#DIV/0!</v>
      </c>
      <c r="BH2008" s="571" t="e">
        <f t="shared" si="257"/>
        <v>#DIV/0!</v>
      </c>
    </row>
    <row r="2009" spans="55:60" s="39" customFormat="1">
      <c r="BC2009" s="573">
        <v>19.98</v>
      </c>
      <c r="BD2009" s="571">
        <f t="shared" si="254"/>
        <v>0</v>
      </c>
      <c r="BE2009" s="571">
        <f t="shared" si="258"/>
        <v>0</v>
      </c>
      <c r="BF2009" s="586">
        <f t="shared" si="255"/>
        <v>0</v>
      </c>
      <c r="BG2009" s="586" t="e">
        <f t="shared" si="256"/>
        <v>#DIV/0!</v>
      </c>
      <c r="BH2009" s="571" t="e">
        <f t="shared" si="257"/>
        <v>#DIV/0!</v>
      </c>
    </row>
    <row r="2010" spans="55:60" s="39" customFormat="1">
      <c r="BC2010" s="573">
        <v>19.989999999999998</v>
      </c>
      <c r="BD2010" s="571">
        <f t="shared" si="254"/>
        <v>0</v>
      </c>
      <c r="BE2010" s="571">
        <f t="shared" si="258"/>
        <v>0</v>
      </c>
      <c r="BF2010" s="586">
        <f t="shared" si="255"/>
        <v>0</v>
      </c>
      <c r="BG2010" s="586" t="e">
        <f t="shared" si="256"/>
        <v>#DIV/0!</v>
      </c>
      <c r="BH2010" s="571" t="e">
        <f t="shared" si="257"/>
        <v>#DIV/0!</v>
      </c>
    </row>
    <row r="2011" spans="55:60" s="39" customFormat="1">
      <c r="BC2011" s="573">
        <v>20</v>
      </c>
      <c r="BD2011" s="571">
        <f t="shared" si="254"/>
        <v>0</v>
      </c>
      <c r="BE2011" s="571">
        <f t="shared" si="258"/>
        <v>0</v>
      </c>
      <c r="BF2011" s="586">
        <f t="shared" si="255"/>
        <v>0</v>
      </c>
      <c r="BG2011" s="586" t="e">
        <f t="shared" si="256"/>
        <v>#DIV/0!</v>
      </c>
      <c r="BH2011" s="571" t="e">
        <f t="shared" si="257"/>
        <v>#DIV/0!</v>
      </c>
    </row>
    <row r="2012" spans="55:60" s="39" customFormat="1">
      <c r="BC2012" s="573">
        <v>20.010000000000002</v>
      </c>
      <c r="BD2012" s="571">
        <f t="shared" si="254"/>
        <v>0</v>
      </c>
      <c r="BE2012" s="571">
        <f t="shared" si="258"/>
        <v>0</v>
      </c>
      <c r="BF2012" s="586">
        <f t="shared" si="255"/>
        <v>0</v>
      </c>
      <c r="BG2012" s="586" t="e">
        <f t="shared" si="256"/>
        <v>#DIV/0!</v>
      </c>
      <c r="BH2012" s="571" t="e">
        <f t="shared" si="257"/>
        <v>#DIV/0!</v>
      </c>
    </row>
    <row r="2013" spans="55:60" s="39" customFormat="1">
      <c r="BC2013" s="573">
        <v>20.02</v>
      </c>
      <c r="BD2013" s="571">
        <f t="shared" si="254"/>
        <v>0</v>
      </c>
      <c r="BE2013" s="571">
        <f t="shared" si="258"/>
        <v>0</v>
      </c>
      <c r="BF2013" s="586">
        <f t="shared" si="255"/>
        <v>0</v>
      </c>
      <c r="BG2013" s="586" t="e">
        <f t="shared" si="256"/>
        <v>#DIV/0!</v>
      </c>
      <c r="BH2013" s="571" t="e">
        <f t="shared" si="257"/>
        <v>#DIV/0!</v>
      </c>
    </row>
    <row r="2014" spans="55:60" s="39" customFormat="1">
      <c r="BC2014" s="573">
        <v>20.03</v>
      </c>
      <c r="BD2014" s="571">
        <f t="shared" si="254"/>
        <v>0</v>
      </c>
      <c r="BE2014" s="571">
        <f t="shared" si="258"/>
        <v>0</v>
      </c>
      <c r="BF2014" s="586">
        <f t="shared" si="255"/>
        <v>0</v>
      </c>
      <c r="BG2014" s="586" t="e">
        <f t="shared" si="256"/>
        <v>#DIV/0!</v>
      </c>
      <c r="BH2014" s="571" t="e">
        <f t="shared" si="257"/>
        <v>#DIV/0!</v>
      </c>
    </row>
    <row r="2015" spans="55:60" s="39" customFormat="1">
      <c r="BC2015" s="573">
        <v>20.04</v>
      </c>
      <c r="BD2015" s="571">
        <f t="shared" si="254"/>
        <v>0</v>
      </c>
      <c r="BE2015" s="571">
        <f t="shared" si="258"/>
        <v>0</v>
      </c>
      <c r="BF2015" s="586">
        <f t="shared" si="255"/>
        <v>0</v>
      </c>
      <c r="BG2015" s="586" t="e">
        <f t="shared" si="256"/>
        <v>#DIV/0!</v>
      </c>
      <c r="BH2015" s="571" t="e">
        <f t="shared" si="257"/>
        <v>#DIV/0!</v>
      </c>
    </row>
    <row r="2016" spans="55:60" s="39" customFormat="1">
      <c r="BC2016" s="573">
        <v>20.05</v>
      </c>
      <c r="BD2016" s="571">
        <f t="shared" si="254"/>
        <v>0</v>
      </c>
      <c r="BE2016" s="571">
        <f t="shared" si="258"/>
        <v>0</v>
      </c>
      <c r="BF2016" s="586">
        <f t="shared" si="255"/>
        <v>0</v>
      </c>
      <c r="BG2016" s="586" t="e">
        <f t="shared" si="256"/>
        <v>#DIV/0!</v>
      </c>
      <c r="BH2016" s="571" t="e">
        <f t="shared" si="257"/>
        <v>#DIV/0!</v>
      </c>
    </row>
    <row r="2017" spans="55:60" s="39" customFormat="1">
      <c r="BC2017" s="573">
        <v>20.059999999999999</v>
      </c>
      <c r="BD2017" s="571">
        <f t="shared" si="254"/>
        <v>0</v>
      </c>
      <c r="BE2017" s="571">
        <f t="shared" si="258"/>
        <v>0</v>
      </c>
      <c r="BF2017" s="586">
        <f t="shared" si="255"/>
        <v>0</v>
      </c>
      <c r="BG2017" s="586" t="e">
        <f t="shared" si="256"/>
        <v>#DIV/0!</v>
      </c>
      <c r="BH2017" s="571" t="e">
        <f t="shared" si="257"/>
        <v>#DIV/0!</v>
      </c>
    </row>
    <row r="2018" spans="55:60" s="39" customFormat="1">
      <c r="BC2018" s="573">
        <v>20.07</v>
      </c>
      <c r="BD2018" s="571">
        <f t="shared" si="254"/>
        <v>0</v>
      </c>
      <c r="BE2018" s="571">
        <f t="shared" si="258"/>
        <v>0</v>
      </c>
      <c r="BF2018" s="586">
        <f t="shared" si="255"/>
        <v>0</v>
      </c>
      <c r="BG2018" s="586" t="e">
        <f t="shared" si="256"/>
        <v>#DIV/0!</v>
      </c>
      <c r="BH2018" s="571" t="e">
        <f t="shared" si="257"/>
        <v>#DIV/0!</v>
      </c>
    </row>
    <row r="2019" spans="55:60" s="39" customFormat="1">
      <c r="BC2019" s="573">
        <v>20.079999999999998</v>
      </c>
      <c r="BD2019" s="571">
        <f t="shared" si="254"/>
        <v>0</v>
      </c>
      <c r="BE2019" s="571">
        <f t="shared" si="258"/>
        <v>0</v>
      </c>
      <c r="BF2019" s="586">
        <f t="shared" si="255"/>
        <v>0</v>
      </c>
      <c r="BG2019" s="586" t="e">
        <f t="shared" si="256"/>
        <v>#DIV/0!</v>
      </c>
      <c r="BH2019" s="571" t="e">
        <f t="shared" si="257"/>
        <v>#DIV/0!</v>
      </c>
    </row>
    <row r="2020" spans="55:60" s="39" customFormat="1">
      <c r="BC2020" s="573">
        <v>20.09</v>
      </c>
      <c r="BD2020" s="571">
        <f t="shared" si="254"/>
        <v>0</v>
      </c>
      <c r="BE2020" s="571">
        <f t="shared" si="258"/>
        <v>0</v>
      </c>
      <c r="BF2020" s="586">
        <f t="shared" si="255"/>
        <v>0</v>
      </c>
      <c r="BG2020" s="586" t="e">
        <f t="shared" si="256"/>
        <v>#DIV/0!</v>
      </c>
      <c r="BH2020" s="571" t="e">
        <f t="shared" si="257"/>
        <v>#DIV/0!</v>
      </c>
    </row>
    <row r="2021" spans="55:60" s="39" customFormat="1">
      <c r="BC2021" s="573">
        <v>20.100000000000001</v>
      </c>
      <c r="BD2021" s="571">
        <f t="shared" si="254"/>
        <v>0</v>
      </c>
      <c r="BE2021" s="571">
        <f t="shared" si="258"/>
        <v>0</v>
      </c>
      <c r="BF2021" s="586">
        <f t="shared" si="255"/>
        <v>0</v>
      </c>
      <c r="BG2021" s="586" t="e">
        <f t="shared" si="256"/>
        <v>#DIV/0!</v>
      </c>
      <c r="BH2021" s="571" t="e">
        <f t="shared" si="257"/>
        <v>#DIV/0!</v>
      </c>
    </row>
    <row r="2022" spans="55:60" s="39" customFormat="1">
      <c r="BC2022" s="573">
        <v>20.11</v>
      </c>
      <c r="BD2022" s="571">
        <f t="shared" si="254"/>
        <v>0</v>
      </c>
      <c r="BE2022" s="571">
        <f t="shared" si="258"/>
        <v>0</v>
      </c>
      <c r="BF2022" s="586">
        <f t="shared" si="255"/>
        <v>0</v>
      </c>
      <c r="BG2022" s="586" t="e">
        <f t="shared" si="256"/>
        <v>#DIV/0!</v>
      </c>
      <c r="BH2022" s="571" t="e">
        <f t="shared" si="257"/>
        <v>#DIV/0!</v>
      </c>
    </row>
    <row r="2023" spans="55:60" s="39" customFormat="1">
      <c r="BC2023" s="573">
        <v>20.12</v>
      </c>
      <c r="BD2023" s="571">
        <f t="shared" si="254"/>
        <v>0</v>
      </c>
      <c r="BE2023" s="571">
        <f t="shared" si="258"/>
        <v>0</v>
      </c>
      <c r="BF2023" s="586">
        <f t="shared" si="255"/>
        <v>0</v>
      </c>
      <c r="BG2023" s="586" t="e">
        <f t="shared" si="256"/>
        <v>#DIV/0!</v>
      </c>
      <c r="BH2023" s="571" t="e">
        <f t="shared" si="257"/>
        <v>#DIV/0!</v>
      </c>
    </row>
    <row r="2024" spans="55:60" s="39" customFormat="1">
      <c r="BC2024" s="573">
        <v>20.13</v>
      </c>
      <c r="BD2024" s="571">
        <f t="shared" si="254"/>
        <v>0</v>
      </c>
      <c r="BE2024" s="571">
        <f t="shared" si="258"/>
        <v>0</v>
      </c>
      <c r="BF2024" s="586">
        <f t="shared" si="255"/>
        <v>0</v>
      </c>
      <c r="BG2024" s="586" t="e">
        <f t="shared" si="256"/>
        <v>#DIV/0!</v>
      </c>
      <c r="BH2024" s="571" t="e">
        <f t="shared" si="257"/>
        <v>#DIV/0!</v>
      </c>
    </row>
    <row r="2025" spans="55:60" s="39" customFormat="1">
      <c r="BC2025" s="573">
        <v>20.14</v>
      </c>
      <c r="BD2025" s="571">
        <f t="shared" si="254"/>
        <v>0</v>
      </c>
      <c r="BE2025" s="571">
        <f t="shared" si="258"/>
        <v>0</v>
      </c>
      <c r="BF2025" s="586">
        <f t="shared" si="255"/>
        <v>0</v>
      </c>
      <c r="BG2025" s="586" t="e">
        <f t="shared" si="256"/>
        <v>#DIV/0!</v>
      </c>
      <c r="BH2025" s="571" t="e">
        <f t="shared" si="257"/>
        <v>#DIV/0!</v>
      </c>
    </row>
    <row r="2026" spans="55:60" s="39" customFormat="1">
      <c r="BC2026" s="573">
        <v>20.149999999999999</v>
      </c>
      <c r="BD2026" s="571">
        <f t="shared" si="254"/>
        <v>0</v>
      </c>
      <c r="BE2026" s="571">
        <f t="shared" si="258"/>
        <v>0</v>
      </c>
      <c r="BF2026" s="586">
        <f t="shared" si="255"/>
        <v>0</v>
      </c>
      <c r="BG2026" s="586" t="e">
        <f t="shared" si="256"/>
        <v>#DIV/0!</v>
      </c>
      <c r="BH2026" s="571" t="e">
        <f t="shared" si="257"/>
        <v>#DIV/0!</v>
      </c>
    </row>
    <row r="2027" spans="55:60" s="39" customFormat="1">
      <c r="BC2027" s="573">
        <v>20.16</v>
      </c>
      <c r="BD2027" s="571">
        <f t="shared" si="254"/>
        <v>0</v>
      </c>
      <c r="BE2027" s="571">
        <f t="shared" si="258"/>
        <v>0</v>
      </c>
      <c r="BF2027" s="586">
        <f t="shared" si="255"/>
        <v>0</v>
      </c>
      <c r="BG2027" s="586" t="e">
        <f t="shared" si="256"/>
        <v>#DIV/0!</v>
      </c>
      <c r="BH2027" s="571" t="e">
        <f t="shared" si="257"/>
        <v>#DIV/0!</v>
      </c>
    </row>
    <row r="2028" spans="55:60" s="39" customFormat="1">
      <c r="BC2028" s="573">
        <v>20.170000000000002</v>
      </c>
      <c r="BD2028" s="571">
        <f t="shared" si="254"/>
        <v>0</v>
      </c>
      <c r="BE2028" s="571">
        <f t="shared" si="258"/>
        <v>0</v>
      </c>
      <c r="BF2028" s="586">
        <f t="shared" si="255"/>
        <v>0</v>
      </c>
      <c r="BG2028" s="586" t="e">
        <f t="shared" si="256"/>
        <v>#DIV/0!</v>
      </c>
      <c r="BH2028" s="571" t="e">
        <f t="shared" si="257"/>
        <v>#DIV/0!</v>
      </c>
    </row>
    <row r="2029" spans="55:60" s="39" customFormat="1">
      <c r="BC2029" s="573">
        <v>20.18</v>
      </c>
      <c r="BD2029" s="571">
        <f t="shared" si="254"/>
        <v>0</v>
      </c>
      <c r="BE2029" s="571">
        <f t="shared" si="258"/>
        <v>0</v>
      </c>
      <c r="BF2029" s="586">
        <f t="shared" si="255"/>
        <v>0</v>
      </c>
      <c r="BG2029" s="586" t="e">
        <f t="shared" si="256"/>
        <v>#DIV/0!</v>
      </c>
      <c r="BH2029" s="571" t="e">
        <f t="shared" si="257"/>
        <v>#DIV/0!</v>
      </c>
    </row>
    <row r="2030" spans="55:60" s="39" customFormat="1">
      <c r="BC2030" s="573">
        <v>20.190000000000001</v>
      </c>
      <c r="BD2030" s="571">
        <f t="shared" si="254"/>
        <v>0</v>
      </c>
      <c r="BE2030" s="571">
        <f t="shared" si="258"/>
        <v>0</v>
      </c>
      <c r="BF2030" s="586">
        <f t="shared" si="255"/>
        <v>0</v>
      </c>
      <c r="BG2030" s="586" t="e">
        <f t="shared" si="256"/>
        <v>#DIV/0!</v>
      </c>
      <c r="BH2030" s="571" t="e">
        <f t="shared" si="257"/>
        <v>#DIV/0!</v>
      </c>
    </row>
    <row r="2031" spans="55:60" s="39" customFormat="1">
      <c r="BC2031" s="573">
        <v>20.2</v>
      </c>
      <c r="BD2031" s="571">
        <f t="shared" si="254"/>
        <v>0</v>
      </c>
      <c r="BE2031" s="571">
        <f t="shared" si="258"/>
        <v>0</v>
      </c>
      <c r="BF2031" s="586">
        <f t="shared" si="255"/>
        <v>0</v>
      </c>
      <c r="BG2031" s="586" t="e">
        <f t="shared" si="256"/>
        <v>#DIV/0!</v>
      </c>
      <c r="BH2031" s="571" t="e">
        <f t="shared" si="257"/>
        <v>#DIV/0!</v>
      </c>
    </row>
    <row r="2032" spans="55:60" s="39" customFormat="1">
      <c r="BC2032" s="573">
        <v>20.21</v>
      </c>
      <c r="BD2032" s="571">
        <f t="shared" si="254"/>
        <v>0</v>
      </c>
      <c r="BE2032" s="571">
        <f t="shared" si="258"/>
        <v>0</v>
      </c>
      <c r="BF2032" s="586">
        <f t="shared" si="255"/>
        <v>0</v>
      </c>
      <c r="BG2032" s="586" t="e">
        <f t="shared" si="256"/>
        <v>#DIV/0!</v>
      </c>
      <c r="BH2032" s="571" t="e">
        <f t="shared" si="257"/>
        <v>#DIV/0!</v>
      </c>
    </row>
    <row r="2033" spans="55:60" s="39" customFormat="1">
      <c r="BC2033" s="573">
        <v>20.22</v>
      </c>
      <c r="BD2033" s="571">
        <f t="shared" si="254"/>
        <v>0</v>
      </c>
      <c r="BE2033" s="571">
        <f t="shared" si="258"/>
        <v>0</v>
      </c>
      <c r="BF2033" s="586">
        <f t="shared" si="255"/>
        <v>0</v>
      </c>
      <c r="BG2033" s="586" t="e">
        <f t="shared" si="256"/>
        <v>#DIV/0!</v>
      </c>
      <c r="BH2033" s="571" t="e">
        <f t="shared" si="257"/>
        <v>#DIV/0!</v>
      </c>
    </row>
    <row r="2034" spans="55:60" s="39" customFormat="1">
      <c r="BC2034" s="573">
        <v>20.23</v>
      </c>
      <c r="BD2034" s="571">
        <f t="shared" si="254"/>
        <v>0</v>
      </c>
      <c r="BE2034" s="571">
        <f t="shared" si="258"/>
        <v>0</v>
      </c>
      <c r="BF2034" s="586">
        <f t="shared" si="255"/>
        <v>0</v>
      </c>
      <c r="BG2034" s="586" t="e">
        <f t="shared" si="256"/>
        <v>#DIV/0!</v>
      </c>
      <c r="BH2034" s="571" t="e">
        <f t="shared" si="257"/>
        <v>#DIV/0!</v>
      </c>
    </row>
    <row r="2035" spans="55:60" s="39" customFormat="1">
      <c r="BC2035" s="573">
        <v>20.239999999999998</v>
      </c>
      <c r="BD2035" s="571">
        <f t="shared" si="254"/>
        <v>0</v>
      </c>
      <c r="BE2035" s="571">
        <f t="shared" si="258"/>
        <v>0</v>
      </c>
      <c r="BF2035" s="586">
        <f t="shared" si="255"/>
        <v>0</v>
      </c>
      <c r="BG2035" s="586" t="e">
        <f t="shared" si="256"/>
        <v>#DIV/0!</v>
      </c>
      <c r="BH2035" s="571" t="e">
        <f t="shared" si="257"/>
        <v>#DIV/0!</v>
      </c>
    </row>
    <row r="2036" spans="55:60" s="39" customFormat="1">
      <c r="BC2036" s="573">
        <v>20.25</v>
      </c>
      <c r="BD2036" s="571">
        <f t="shared" si="254"/>
        <v>0</v>
      </c>
      <c r="BE2036" s="571">
        <f t="shared" si="258"/>
        <v>0</v>
      </c>
      <c r="BF2036" s="586">
        <f t="shared" si="255"/>
        <v>0</v>
      </c>
      <c r="BG2036" s="586" t="e">
        <f t="shared" si="256"/>
        <v>#DIV/0!</v>
      </c>
      <c r="BH2036" s="571" t="e">
        <f t="shared" si="257"/>
        <v>#DIV/0!</v>
      </c>
    </row>
    <row r="2037" spans="55:60" s="39" customFormat="1">
      <c r="BC2037" s="573">
        <v>20.260000000000002</v>
      </c>
      <c r="BD2037" s="571">
        <f t="shared" si="254"/>
        <v>0</v>
      </c>
      <c r="BE2037" s="571">
        <f t="shared" si="258"/>
        <v>0</v>
      </c>
      <c r="BF2037" s="586">
        <f t="shared" si="255"/>
        <v>0</v>
      </c>
      <c r="BG2037" s="586" t="e">
        <f t="shared" si="256"/>
        <v>#DIV/0!</v>
      </c>
      <c r="BH2037" s="571" t="e">
        <f t="shared" si="257"/>
        <v>#DIV/0!</v>
      </c>
    </row>
    <row r="2038" spans="55:60" s="39" customFormat="1">
      <c r="BC2038" s="573">
        <v>20.27</v>
      </c>
      <c r="BD2038" s="571">
        <f t="shared" si="254"/>
        <v>0</v>
      </c>
      <c r="BE2038" s="571">
        <f t="shared" si="258"/>
        <v>0</v>
      </c>
      <c r="BF2038" s="586">
        <f t="shared" si="255"/>
        <v>0</v>
      </c>
      <c r="BG2038" s="586" t="e">
        <f t="shared" si="256"/>
        <v>#DIV/0!</v>
      </c>
      <c r="BH2038" s="571" t="e">
        <f t="shared" si="257"/>
        <v>#DIV/0!</v>
      </c>
    </row>
    <row r="2039" spans="55:60" s="39" customFormat="1">
      <c r="BC2039" s="573">
        <v>20.28</v>
      </c>
      <c r="BD2039" s="571">
        <f t="shared" si="254"/>
        <v>0</v>
      </c>
      <c r="BE2039" s="571">
        <f t="shared" si="258"/>
        <v>0</v>
      </c>
      <c r="BF2039" s="586">
        <f t="shared" si="255"/>
        <v>0</v>
      </c>
      <c r="BG2039" s="586" t="e">
        <f t="shared" si="256"/>
        <v>#DIV/0!</v>
      </c>
      <c r="BH2039" s="571" t="e">
        <f t="shared" si="257"/>
        <v>#DIV/0!</v>
      </c>
    </row>
    <row r="2040" spans="55:60" s="39" customFormat="1">
      <c r="BC2040" s="573">
        <v>20.29</v>
      </c>
      <c r="BD2040" s="571">
        <f t="shared" si="254"/>
        <v>0</v>
      </c>
      <c r="BE2040" s="571">
        <f t="shared" si="258"/>
        <v>0</v>
      </c>
      <c r="BF2040" s="586">
        <f t="shared" si="255"/>
        <v>0</v>
      </c>
      <c r="BG2040" s="586" t="e">
        <f t="shared" si="256"/>
        <v>#DIV/0!</v>
      </c>
      <c r="BH2040" s="571" t="e">
        <f t="shared" si="257"/>
        <v>#DIV/0!</v>
      </c>
    </row>
    <row r="2041" spans="55:60" s="39" customFormat="1">
      <c r="BC2041" s="573">
        <v>20.3</v>
      </c>
      <c r="BD2041" s="571">
        <f t="shared" si="254"/>
        <v>0</v>
      </c>
      <c r="BE2041" s="571">
        <f t="shared" si="258"/>
        <v>0</v>
      </c>
      <c r="BF2041" s="586">
        <f t="shared" si="255"/>
        <v>0</v>
      </c>
      <c r="BG2041" s="586" t="e">
        <f t="shared" si="256"/>
        <v>#DIV/0!</v>
      </c>
      <c r="BH2041" s="571" t="e">
        <f t="shared" si="257"/>
        <v>#DIV/0!</v>
      </c>
    </row>
    <row r="2042" spans="55:60" s="39" customFormat="1">
      <c r="BC2042" s="573">
        <v>20.309999999999999</v>
      </c>
      <c r="BD2042" s="571">
        <f t="shared" si="254"/>
        <v>0</v>
      </c>
      <c r="BE2042" s="571">
        <f t="shared" si="258"/>
        <v>0</v>
      </c>
      <c r="BF2042" s="586">
        <f t="shared" si="255"/>
        <v>0</v>
      </c>
      <c r="BG2042" s="586" t="e">
        <f t="shared" si="256"/>
        <v>#DIV/0!</v>
      </c>
      <c r="BH2042" s="571" t="e">
        <f t="shared" si="257"/>
        <v>#DIV/0!</v>
      </c>
    </row>
    <row r="2043" spans="55:60" s="39" customFormat="1">
      <c r="BC2043" s="573">
        <v>20.32</v>
      </c>
      <c r="BD2043" s="571">
        <f t="shared" si="254"/>
        <v>0</v>
      </c>
      <c r="BE2043" s="571">
        <f t="shared" si="258"/>
        <v>0</v>
      </c>
      <c r="BF2043" s="586">
        <f t="shared" si="255"/>
        <v>0</v>
      </c>
      <c r="BG2043" s="586" t="e">
        <f t="shared" si="256"/>
        <v>#DIV/0!</v>
      </c>
      <c r="BH2043" s="571" t="e">
        <f t="shared" si="257"/>
        <v>#DIV/0!</v>
      </c>
    </row>
    <row r="2044" spans="55:60" s="39" customFormat="1">
      <c r="BC2044" s="573">
        <v>20.329999999999998</v>
      </c>
      <c r="BD2044" s="571">
        <f t="shared" si="254"/>
        <v>0</v>
      </c>
      <c r="BE2044" s="571">
        <f t="shared" si="258"/>
        <v>0</v>
      </c>
      <c r="BF2044" s="586">
        <f t="shared" si="255"/>
        <v>0</v>
      </c>
      <c r="BG2044" s="586" t="e">
        <f t="shared" si="256"/>
        <v>#DIV/0!</v>
      </c>
      <c r="BH2044" s="571" t="e">
        <f t="shared" si="257"/>
        <v>#DIV/0!</v>
      </c>
    </row>
    <row r="2045" spans="55:60" s="39" customFormat="1">
      <c r="BC2045" s="573">
        <v>20.34</v>
      </c>
      <c r="BD2045" s="571">
        <f t="shared" si="254"/>
        <v>0</v>
      </c>
      <c r="BE2045" s="571">
        <f t="shared" si="258"/>
        <v>0</v>
      </c>
      <c r="BF2045" s="586">
        <f t="shared" si="255"/>
        <v>0</v>
      </c>
      <c r="BG2045" s="586" t="e">
        <f t="shared" si="256"/>
        <v>#DIV/0!</v>
      </c>
      <c r="BH2045" s="571" t="e">
        <f t="shared" si="257"/>
        <v>#DIV/0!</v>
      </c>
    </row>
    <row r="2046" spans="55:60" s="39" customFormat="1">
      <c r="BC2046" s="573">
        <v>20.350000000000001</v>
      </c>
      <c r="BD2046" s="571">
        <f t="shared" si="254"/>
        <v>0</v>
      </c>
      <c r="BE2046" s="571">
        <f t="shared" si="258"/>
        <v>0</v>
      </c>
      <c r="BF2046" s="586">
        <f t="shared" si="255"/>
        <v>0</v>
      </c>
      <c r="BG2046" s="586" t="e">
        <f t="shared" si="256"/>
        <v>#DIV/0!</v>
      </c>
      <c r="BH2046" s="571" t="e">
        <f t="shared" si="257"/>
        <v>#DIV/0!</v>
      </c>
    </row>
    <row r="2047" spans="55:60" s="39" customFormat="1">
      <c r="BC2047" s="573">
        <v>20.36</v>
      </c>
      <c r="BD2047" s="571">
        <f t="shared" si="254"/>
        <v>0</v>
      </c>
      <c r="BE2047" s="571">
        <f t="shared" si="258"/>
        <v>0</v>
      </c>
      <c r="BF2047" s="586">
        <f t="shared" si="255"/>
        <v>0</v>
      </c>
      <c r="BG2047" s="586" t="e">
        <f t="shared" si="256"/>
        <v>#DIV/0!</v>
      </c>
      <c r="BH2047" s="571" t="e">
        <f t="shared" si="257"/>
        <v>#DIV/0!</v>
      </c>
    </row>
    <row r="2048" spans="55:60" s="39" customFormat="1">
      <c r="BC2048" s="573">
        <v>20.37</v>
      </c>
      <c r="BD2048" s="571">
        <f t="shared" si="254"/>
        <v>0</v>
      </c>
      <c r="BE2048" s="571">
        <f t="shared" si="258"/>
        <v>0</v>
      </c>
      <c r="BF2048" s="586">
        <f t="shared" si="255"/>
        <v>0</v>
      </c>
      <c r="BG2048" s="586" t="e">
        <f t="shared" si="256"/>
        <v>#DIV/0!</v>
      </c>
      <c r="BH2048" s="571" t="e">
        <f t="shared" si="257"/>
        <v>#DIV/0!</v>
      </c>
    </row>
    <row r="2049" spans="55:60" s="39" customFormat="1">
      <c r="BC2049" s="573">
        <v>20.38</v>
      </c>
      <c r="BD2049" s="571">
        <f t="shared" si="254"/>
        <v>0</v>
      </c>
      <c r="BE2049" s="571">
        <f t="shared" si="258"/>
        <v>0</v>
      </c>
      <c r="BF2049" s="586">
        <f t="shared" si="255"/>
        <v>0</v>
      </c>
      <c r="BG2049" s="586" t="e">
        <f t="shared" si="256"/>
        <v>#DIV/0!</v>
      </c>
      <c r="BH2049" s="571" t="e">
        <f t="shared" si="257"/>
        <v>#DIV/0!</v>
      </c>
    </row>
    <row r="2050" spans="55:60" s="39" customFormat="1">
      <c r="BC2050" s="573">
        <v>20.39</v>
      </c>
      <c r="BD2050" s="571">
        <f t="shared" si="254"/>
        <v>0</v>
      </c>
      <c r="BE2050" s="571">
        <f t="shared" si="258"/>
        <v>0</v>
      </c>
      <c r="BF2050" s="586">
        <f t="shared" si="255"/>
        <v>0</v>
      </c>
      <c r="BG2050" s="586" t="e">
        <f t="shared" si="256"/>
        <v>#DIV/0!</v>
      </c>
      <c r="BH2050" s="571" t="e">
        <f t="shared" si="257"/>
        <v>#DIV/0!</v>
      </c>
    </row>
    <row r="2051" spans="55:60" s="39" customFormat="1">
      <c r="BC2051" s="573">
        <v>20.399999999999999</v>
      </c>
      <c r="BD2051" s="571">
        <f t="shared" si="254"/>
        <v>0</v>
      </c>
      <c r="BE2051" s="571">
        <f t="shared" si="258"/>
        <v>0</v>
      </c>
      <c r="BF2051" s="586">
        <f t="shared" si="255"/>
        <v>0</v>
      </c>
      <c r="BG2051" s="586" t="e">
        <f t="shared" si="256"/>
        <v>#DIV/0!</v>
      </c>
      <c r="BH2051" s="571" t="e">
        <f t="shared" si="257"/>
        <v>#DIV/0!</v>
      </c>
    </row>
    <row r="2052" spans="55:60" s="39" customFormat="1">
      <c r="BC2052" s="573">
        <v>20.41</v>
      </c>
      <c r="BD2052" s="571">
        <f t="shared" si="254"/>
        <v>0</v>
      </c>
      <c r="BE2052" s="571">
        <f t="shared" si="258"/>
        <v>0</v>
      </c>
      <c r="BF2052" s="586">
        <f t="shared" si="255"/>
        <v>0</v>
      </c>
      <c r="BG2052" s="586" t="e">
        <f t="shared" si="256"/>
        <v>#DIV/0!</v>
      </c>
      <c r="BH2052" s="571" t="e">
        <f t="shared" si="257"/>
        <v>#DIV/0!</v>
      </c>
    </row>
    <row r="2053" spans="55:60" s="39" customFormat="1">
      <c r="BC2053" s="573">
        <v>20.420000000000002</v>
      </c>
      <c r="BD2053" s="571">
        <f t="shared" si="254"/>
        <v>0</v>
      </c>
      <c r="BE2053" s="571">
        <f t="shared" si="258"/>
        <v>0</v>
      </c>
      <c r="BF2053" s="586">
        <f t="shared" si="255"/>
        <v>0</v>
      </c>
      <c r="BG2053" s="586" t="e">
        <f t="shared" si="256"/>
        <v>#DIV/0!</v>
      </c>
      <c r="BH2053" s="571" t="e">
        <f t="shared" si="257"/>
        <v>#DIV/0!</v>
      </c>
    </row>
    <row r="2054" spans="55:60" s="39" customFormat="1">
      <c r="BC2054" s="573">
        <v>20.43</v>
      </c>
      <c r="BD2054" s="571">
        <f t="shared" si="254"/>
        <v>0</v>
      </c>
      <c r="BE2054" s="571">
        <f t="shared" si="258"/>
        <v>0</v>
      </c>
      <c r="BF2054" s="586">
        <f t="shared" si="255"/>
        <v>0</v>
      </c>
      <c r="BG2054" s="586" t="e">
        <f t="shared" si="256"/>
        <v>#DIV/0!</v>
      </c>
      <c r="BH2054" s="571" t="e">
        <f t="shared" si="257"/>
        <v>#DIV/0!</v>
      </c>
    </row>
    <row r="2055" spans="55:60" s="39" customFormat="1">
      <c r="BC2055" s="573">
        <v>20.440000000000001</v>
      </c>
      <c r="BD2055" s="571">
        <f t="shared" si="254"/>
        <v>0</v>
      </c>
      <c r="BE2055" s="571">
        <f t="shared" si="258"/>
        <v>0</v>
      </c>
      <c r="BF2055" s="586">
        <f t="shared" si="255"/>
        <v>0</v>
      </c>
      <c r="BG2055" s="586" t="e">
        <f t="shared" si="256"/>
        <v>#DIV/0!</v>
      </c>
      <c r="BH2055" s="571" t="e">
        <f t="shared" si="257"/>
        <v>#DIV/0!</v>
      </c>
    </row>
    <row r="2056" spans="55:60" s="39" customFormat="1">
      <c r="BC2056" s="573">
        <v>20.45</v>
      </c>
      <c r="BD2056" s="571">
        <f t="shared" si="254"/>
        <v>0</v>
      </c>
      <c r="BE2056" s="571">
        <f t="shared" si="258"/>
        <v>0</v>
      </c>
      <c r="BF2056" s="586">
        <f t="shared" si="255"/>
        <v>0</v>
      </c>
      <c r="BG2056" s="586" t="e">
        <f t="shared" si="256"/>
        <v>#DIV/0!</v>
      </c>
      <c r="BH2056" s="571" t="e">
        <f t="shared" si="257"/>
        <v>#DIV/0!</v>
      </c>
    </row>
    <row r="2057" spans="55:60" s="39" customFormat="1">
      <c r="BC2057" s="573">
        <v>20.46</v>
      </c>
      <c r="BD2057" s="571">
        <f t="shared" si="254"/>
        <v>0</v>
      </c>
      <c r="BE2057" s="571">
        <f t="shared" si="258"/>
        <v>0</v>
      </c>
      <c r="BF2057" s="586">
        <f t="shared" si="255"/>
        <v>0</v>
      </c>
      <c r="BG2057" s="586" t="e">
        <f t="shared" si="256"/>
        <v>#DIV/0!</v>
      </c>
      <c r="BH2057" s="571" t="e">
        <f t="shared" si="257"/>
        <v>#DIV/0!</v>
      </c>
    </row>
    <row r="2058" spans="55:60" s="39" customFormat="1">
      <c r="BC2058" s="573">
        <v>20.47</v>
      </c>
      <c r="BD2058" s="571">
        <f t="shared" si="254"/>
        <v>0</v>
      </c>
      <c r="BE2058" s="571">
        <f t="shared" si="258"/>
        <v>0</v>
      </c>
      <c r="BF2058" s="586">
        <f t="shared" si="255"/>
        <v>0</v>
      </c>
      <c r="BG2058" s="586" t="e">
        <f t="shared" si="256"/>
        <v>#DIV/0!</v>
      </c>
      <c r="BH2058" s="571" t="e">
        <f t="shared" si="257"/>
        <v>#DIV/0!</v>
      </c>
    </row>
    <row r="2059" spans="55:60" s="39" customFormat="1">
      <c r="BC2059" s="573">
        <v>20.48</v>
      </c>
      <c r="BD2059" s="571">
        <f t="shared" si="254"/>
        <v>0</v>
      </c>
      <c r="BE2059" s="571">
        <f t="shared" si="258"/>
        <v>0</v>
      </c>
      <c r="BF2059" s="586">
        <f t="shared" si="255"/>
        <v>0</v>
      </c>
      <c r="BG2059" s="586" t="e">
        <f t="shared" si="256"/>
        <v>#DIV/0!</v>
      </c>
      <c r="BH2059" s="571" t="e">
        <f t="shared" si="257"/>
        <v>#DIV/0!</v>
      </c>
    </row>
    <row r="2060" spans="55:60" s="39" customFormat="1">
      <c r="BC2060" s="573">
        <v>20.49</v>
      </c>
      <c r="BD2060" s="571">
        <f t="shared" ref="BD2060:BD2123" si="259">$AU$15/BC2060</f>
        <v>0</v>
      </c>
      <c r="BE2060" s="571">
        <f t="shared" si="258"/>
        <v>0</v>
      </c>
      <c r="BF2060" s="586">
        <f t="shared" ref="BF2060:BF2123" si="260">BC2060*(BE2060/1000)/$AO$12</f>
        <v>0</v>
      </c>
      <c r="BG2060" s="586" t="e">
        <f t="shared" ref="BG2060:BG2123" si="261">POWER((1/(-1.8*LOG((6.9/BF2060+POWER((($P$7/BE2060)/3.71),1.11)),10))),2)</f>
        <v>#DIV/0!</v>
      </c>
      <c r="BH2060" s="571" t="e">
        <f t="shared" ref="BH2060:BH2123" si="262">BG2060*0.5*$P$6*16*$AU$15*$AU$15/(POWER(PI(),2)*POWER((BE2060/1000),5))</f>
        <v>#DIV/0!</v>
      </c>
    </row>
    <row r="2061" spans="55:60" s="39" customFormat="1">
      <c r="BC2061" s="573">
        <v>20.5</v>
      </c>
      <c r="BD2061" s="571">
        <f t="shared" si="259"/>
        <v>0</v>
      </c>
      <c r="BE2061" s="571">
        <f t="shared" ref="BE2061:BE2124" si="263">((BD2061/PI())^0.5)*2*1000</f>
        <v>0</v>
      </c>
      <c r="BF2061" s="586">
        <f t="shared" si="260"/>
        <v>0</v>
      </c>
      <c r="BG2061" s="586" t="e">
        <f t="shared" si="261"/>
        <v>#DIV/0!</v>
      </c>
      <c r="BH2061" s="571" t="e">
        <f t="shared" si="262"/>
        <v>#DIV/0!</v>
      </c>
    </row>
    <row r="2062" spans="55:60" s="39" customFormat="1">
      <c r="BC2062" s="573">
        <v>20.51</v>
      </c>
      <c r="BD2062" s="571">
        <f t="shared" si="259"/>
        <v>0</v>
      </c>
      <c r="BE2062" s="571">
        <f t="shared" si="263"/>
        <v>0</v>
      </c>
      <c r="BF2062" s="586">
        <f t="shared" si="260"/>
        <v>0</v>
      </c>
      <c r="BG2062" s="586" t="e">
        <f t="shared" si="261"/>
        <v>#DIV/0!</v>
      </c>
      <c r="BH2062" s="571" t="e">
        <f t="shared" si="262"/>
        <v>#DIV/0!</v>
      </c>
    </row>
    <row r="2063" spans="55:60" s="39" customFormat="1">
      <c r="BC2063" s="573">
        <v>20.52</v>
      </c>
      <c r="BD2063" s="571">
        <f t="shared" si="259"/>
        <v>0</v>
      </c>
      <c r="BE2063" s="571">
        <f t="shared" si="263"/>
        <v>0</v>
      </c>
      <c r="BF2063" s="586">
        <f t="shared" si="260"/>
        <v>0</v>
      </c>
      <c r="BG2063" s="586" t="e">
        <f t="shared" si="261"/>
        <v>#DIV/0!</v>
      </c>
      <c r="BH2063" s="571" t="e">
        <f t="shared" si="262"/>
        <v>#DIV/0!</v>
      </c>
    </row>
    <row r="2064" spans="55:60" s="39" customFormat="1">
      <c r="BC2064" s="573">
        <v>20.53</v>
      </c>
      <c r="BD2064" s="571">
        <f t="shared" si="259"/>
        <v>0</v>
      </c>
      <c r="BE2064" s="571">
        <f t="shared" si="263"/>
        <v>0</v>
      </c>
      <c r="BF2064" s="586">
        <f t="shared" si="260"/>
        <v>0</v>
      </c>
      <c r="BG2064" s="586" t="e">
        <f t="shared" si="261"/>
        <v>#DIV/0!</v>
      </c>
      <c r="BH2064" s="571" t="e">
        <f t="shared" si="262"/>
        <v>#DIV/0!</v>
      </c>
    </row>
    <row r="2065" spans="55:60" s="39" customFormat="1">
      <c r="BC2065" s="573">
        <v>20.54</v>
      </c>
      <c r="BD2065" s="571">
        <f t="shared" si="259"/>
        <v>0</v>
      </c>
      <c r="BE2065" s="571">
        <f t="shared" si="263"/>
        <v>0</v>
      </c>
      <c r="BF2065" s="586">
        <f t="shared" si="260"/>
        <v>0</v>
      </c>
      <c r="BG2065" s="586" t="e">
        <f t="shared" si="261"/>
        <v>#DIV/0!</v>
      </c>
      <c r="BH2065" s="571" t="e">
        <f t="shared" si="262"/>
        <v>#DIV/0!</v>
      </c>
    </row>
    <row r="2066" spans="55:60" s="39" customFormat="1">
      <c r="BC2066" s="573">
        <v>20.55</v>
      </c>
      <c r="BD2066" s="571">
        <f t="shared" si="259"/>
        <v>0</v>
      </c>
      <c r="BE2066" s="571">
        <f t="shared" si="263"/>
        <v>0</v>
      </c>
      <c r="BF2066" s="586">
        <f t="shared" si="260"/>
        <v>0</v>
      </c>
      <c r="BG2066" s="586" t="e">
        <f t="shared" si="261"/>
        <v>#DIV/0!</v>
      </c>
      <c r="BH2066" s="571" t="e">
        <f t="shared" si="262"/>
        <v>#DIV/0!</v>
      </c>
    </row>
    <row r="2067" spans="55:60" s="39" customFormat="1">
      <c r="BC2067" s="573">
        <v>20.56</v>
      </c>
      <c r="BD2067" s="571">
        <f t="shared" si="259"/>
        <v>0</v>
      </c>
      <c r="BE2067" s="571">
        <f t="shared" si="263"/>
        <v>0</v>
      </c>
      <c r="BF2067" s="586">
        <f t="shared" si="260"/>
        <v>0</v>
      </c>
      <c r="BG2067" s="586" t="e">
        <f t="shared" si="261"/>
        <v>#DIV/0!</v>
      </c>
      <c r="BH2067" s="571" t="e">
        <f t="shared" si="262"/>
        <v>#DIV/0!</v>
      </c>
    </row>
    <row r="2068" spans="55:60" s="39" customFormat="1">
      <c r="BC2068" s="573">
        <v>20.57</v>
      </c>
      <c r="BD2068" s="571">
        <f t="shared" si="259"/>
        <v>0</v>
      </c>
      <c r="BE2068" s="571">
        <f t="shared" si="263"/>
        <v>0</v>
      </c>
      <c r="BF2068" s="586">
        <f t="shared" si="260"/>
        <v>0</v>
      </c>
      <c r="BG2068" s="586" t="e">
        <f t="shared" si="261"/>
        <v>#DIV/0!</v>
      </c>
      <c r="BH2068" s="571" t="e">
        <f t="shared" si="262"/>
        <v>#DIV/0!</v>
      </c>
    </row>
    <row r="2069" spans="55:60" s="39" customFormat="1">
      <c r="BC2069" s="573">
        <v>20.58</v>
      </c>
      <c r="BD2069" s="571">
        <f t="shared" si="259"/>
        <v>0</v>
      </c>
      <c r="BE2069" s="571">
        <f t="shared" si="263"/>
        <v>0</v>
      </c>
      <c r="BF2069" s="586">
        <f t="shared" si="260"/>
        <v>0</v>
      </c>
      <c r="BG2069" s="586" t="e">
        <f t="shared" si="261"/>
        <v>#DIV/0!</v>
      </c>
      <c r="BH2069" s="571" t="e">
        <f t="shared" si="262"/>
        <v>#DIV/0!</v>
      </c>
    </row>
    <row r="2070" spans="55:60" s="39" customFormat="1">
      <c r="BC2070" s="573">
        <v>20.59</v>
      </c>
      <c r="BD2070" s="571">
        <f t="shared" si="259"/>
        <v>0</v>
      </c>
      <c r="BE2070" s="571">
        <f t="shared" si="263"/>
        <v>0</v>
      </c>
      <c r="BF2070" s="586">
        <f t="shared" si="260"/>
        <v>0</v>
      </c>
      <c r="BG2070" s="586" t="e">
        <f t="shared" si="261"/>
        <v>#DIV/0!</v>
      </c>
      <c r="BH2070" s="571" t="e">
        <f t="shared" si="262"/>
        <v>#DIV/0!</v>
      </c>
    </row>
    <row r="2071" spans="55:60" s="39" customFormat="1">
      <c r="BC2071" s="573">
        <v>20.6</v>
      </c>
      <c r="BD2071" s="571">
        <f t="shared" si="259"/>
        <v>0</v>
      </c>
      <c r="BE2071" s="571">
        <f t="shared" si="263"/>
        <v>0</v>
      </c>
      <c r="BF2071" s="586">
        <f t="shared" si="260"/>
        <v>0</v>
      </c>
      <c r="BG2071" s="586" t="e">
        <f t="shared" si="261"/>
        <v>#DIV/0!</v>
      </c>
      <c r="BH2071" s="571" t="e">
        <f t="shared" si="262"/>
        <v>#DIV/0!</v>
      </c>
    </row>
    <row r="2072" spans="55:60" s="39" customFormat="1">
      <c r="BC2072" s="573">
        <v>20.61</v>
      </c>
      <c r="BD2072" s="571">
        <f t="shared" si="259"/>
        <v>0</v>
      </c>
      <c r="BE2072" s="571">
        <f t="shared" si="263"/>
        <v>0</v>
      </c>
      <c r="BF2072" s="586">
        <f t="shared" si="260"/>
        <v>0</v>
      </c>
      <c r="BG2072" s="586" t="e">
        <f t="shared" si="261"/>
        <v>#DIV/0!</v>
      </c>
      <c r="BH2072" s="571" t="e">
        <f t="shared" si="262"/>
        <v>#DIV/0!</v>
      </c>
    </row>
    <row r="2073" spans="55:60" s="39" customFormat="1">
      <c r="BC2073" s="573">
        <v>20.62</v>
      </c>
      <c r="BD2073" s="571">
        <f t="shared" si="259"/>
        <v>0</v>
      </c>
      <c r="BE2073" s="571">
        <f t="shared" si="263"/>
        <v>0</v>
      </c>
      <c r="BF2073" s="586">
        <f t="shared" si="260"/>
        <v>0</v>
      </c>
      <c r="BG2073" s="586" t="e">
        <f t="shared" si="261"/>
        <v>#DIV/0!</v>
      </c>
      <c r="BH2073" s="571" t="e">
        <f t="shared" si="262"/>
        <v>#DIV/0!</v>
      </c>
    </row>
    <row r="2074" spans="55:60" s="39" customFormat="1">
      <c r="BC2074" s="573">
        <v>20.63</v>
      </c>
      <c r="BD2074" s="571">
        <f t="shared" si="259"/>
        <v>0</v>
      </c>
      <c r="BE2074" s="571">
        <f t="shared" si="263"/>
        <v>0</v>
      </c>
      <c r="BF2074" s="586">
        <f t="shared" si="260"/>
        <v>0</v>
      </c>
      <c r="BG2074" s="586" t="e">
        <f t="shared" si="261"/>
        <v>#DIV/0!</v>
      </c>
      <c r="BH2074" s="571" t="e">
        <f t="shared" si="262"/>
        <v>#DIV/0!</v>
      </c>
    </row>
    <row r="2075" spans="55:60" s="39" customFormat="1">
      <c r="BC2075" s="573">
        <v>20.64</v>
      </c>
      <c r="BD2075" s="571">
        <f t="shared" si="259"/>
        <v>0</v>
      </c>
      <c r="BE2075" s="571">
        <f t="shared" si="263"/>
        <v>0</v>
      </c>
      <c r="BF2075" s="586">
        <f t="shared" si="260"/>
        <v>0</v>
      </c>
      <c r="BG2075" s="586" t="e">
        <f t="shared" si="261"/>
        <v>#DIV/0!</v>
      </c>
      <c r="BH2075" s="571" t="e">
        <f t="shared" si="262"/>
        <v>#DIV/0!</v>
      </c>
    </row>
    <row r="2076" spans="55:60" s="39" customFormat="1">
      <c r="BC2076" s="573">
        <v>20.65</v>
      </c>
      <c r="BD2076" s="571">
        <f t="shared" si="259"/>
        <v>0</v>
      </c>
      <c r="BE2076" s="571">
        <f t="shared" si="263"/>
        <v>0</v>
      </c>
      <c r="BF2076" s="586">
        <f t="shared" si="260"/>
        <v>0</v>
      </c>
      <c r="BG2076" s="586" t="e">
        <f t="shared" si="261"/>
        <v>#DIV/0!</v>
      </c>
      <c r="BH2076" s="571" t="e">
        <f t="shared" si="262"/>
        <v>#DIV/0!</v>
      </c>
    </row>
    <row r="2077" spans="55:60" s="39" customFormat="1">
      <c r="BC2077" s="573">
        <v>20.66</v>
      </c>
      <c r="BD2077" s="571">
        <f t="shared" si="259"/>
        <v>0</v>
      </c>
      <c r="BE2077" s="571">
        <f t="shared" si="263"/>
        <v>0</v>
      </c>
      <c r="BF2077" s="586">
        <f t="shared" si="260"/>
        <v>0</v>
      </c>
      <c r="BG2077" s="586" t="e">
        <f t="shared" si="261"/>
        <v>#DIV/0!</v>
      </c>
      <c r="BH2077" s="571" t="e">
        <f t="shared" si="262"/>
        <v>#DIV/0!</v>
      </c>
    </row>
    <row r="2078" spans="55:60" s="39" customFormat="1">
      <c r="BC2078" s="573">
        <v>20.67</v>
      </c>
      <c r="BD2078" s="571">
        <f t="shared" si="259"/>
        <v>0</v>
      </c>
      <c r="BE2078" s="571">
        <f t="shared" si="263"/>
        <v>0</v>
      </c>
      <c r="BF2078" s="586">
        <f t="shared" si="260"/>
        <v>0</v>
      </c>
      <c r="BG2078" s="586" t="e">
        <f t="shared" si="261"/>
        <v>#DIV/0!</v>
      </c>
      <c r="BH2078" s="571" t="e">
        <f t="shared" si="262"/>
        <v>#DIV/0!</v>
      </c>
    </row>
    <row r="2079" spans="55:60" s="39" customFormat="1">
      <c r="BC2079" s="573">
        <v>20.68</v>
      </c>
      <c r="BD2079" s="571">
        <f t="shared" si="259"/>
        <v>0</v>
      </c>
      <c r="BE2079" s="571">
        <f t="shared" si="263"/>
        <v>0</v>
      </c>
      <c r="BF2079" s="586">
        <f t="shared" si="260"/>
        <v>0</v>
      </c>
      <c r="BG2079" s="586" t="e">
        <f t="shared" si="261"/>
        <v>#DIV/0!</v>
      </c>
      <c r="BH2079" s="571" t="e">
        <f t="shared" si="262"/>
        <v>#DIV/0!</v>
      </c>
    </row>
    <row r="2080" spans="55:60" s="39" customFormat="1">
      <c r="BC2080" s="573">
        <v>20.69</v>
      </c>
      <c r="BD2080" s="571">
        <f t="shared" si="259"/>
        <v>0</v>
      </c>
      <c r="BE2080" s="571">
        <f t="shared" si="263"/>
        <v>0</v>
      </c>
      <c r="BF2080" s="586">
        <f t="shared" si="260"/>
        <v>0</v>
      </c>
      <c r="BG2080" s="586" t="e">
        <f t="shared" si="261"/>
        <v>#DIV/0!</v>
      </c>
      <c r="BH2080" s="571" t="e">
        <f t="shared" si="262"/>
        <v>#DIV/0!</v>
      </c>
    </row>
    <row r="2081" spans="55:60" s="39" customFormat="1">
      <c r="BC2081" s="573">
        <v>20.7</v>
      </c>
      <c r="BD2081" s="571">
        <f t="shared" si="259"/>
        <v>0</v>
      </c>
      <c r="BE2081" s="571">
        <f t="shared" si="263"/>
        <v>0</v>
      </c>
      <c r="BF2081" s="586">
        <f t="shared" si="260"/>
        <v>0</v>
      </c>
      <c r="BG2081" s="586" t="e">
        <f t="shared" si="261"/>
        <v>#DIV/0!</v>
      </c>
      <c r="BH2081" s="571" t="e">
        <f t="shared" si="262"/>
        <v>#DIV/0!</v>
      </c>
    </row>
    <row r="2082" spans="55:60" s="39" customFormat="1">
      <c r="BC2082" s="573">
        <v>20.71</v>
      </c>
      <c r="BD2082" s="571">
        <f t="shared" si="259"/>
        <v>0</v>
      </c>
      <c r="BE2082" s="571">
        <f t="shared" si="263"/>
        <v>0</v>
      </c>
      <c r="BF2082" s="586">
        <f t="shared" si="260"/>
        <v>0</v>
      </c>
      <c r="BG2082" s="586" t="e">
        <f t="shared" si="261"/>
        <v>#DIV/0!</v>
      </c>
      <c r="BH2082" s="571" t="e">
        <f t="shared" si="262"/>
        <v>#DIV/0!</v>
      </c>
    </row>
    <row r="2083" spans="55:60" s="39" customFormat="1">
      <c r="BC2083" s="573">
        <v>20.72</v>
      </c>
      <c r="BD2083" s="571">
        <f t="shared" si="259"/>
        <v>0</v>
      </c>
      <c r="BE2083" s="571">
        <f t="shared" si="263"/>
        <v>0</v>
      </c>
      <c r="BF2083" s="586">
        <f t="shared" si="260"/>
        <v>0</v>
      </c>
      <c r="BG2083" s="586" t="e">
        <f t="shared" si="261"/>
        <v>#DIV/0!</v>
      </c>
      <c r="BH2083" s="571" t="e">
        <f t="shared" si="262"/>
        <v>#DIV/0!</v>
      </c>
    </row>
    <row r="2084" spans="55:60" s="39" customFormat="1">
      <c r="BC2084" s="573">
        <v>20.73</v>
      </c>
      <c r="BD2084" s="571">
        <f t="shared" si="259"/>
        <v>0</v>
      </c>
      <c r="BE2084" s="571">
        <f t="shared" si="263"/>
        <v>0</v>
      </c>
      <c r="BF2084" s="586">
        <f t="shared" si="260"/>
        <v>0</v>
      </c>
      <c r="BG2084" s="586" t="e">
        <f t="shared" si="261"/>
        <v>#DIV/0!</v>
      </c>
      <c r="BH2084" s="571" t="e">
        <f t="shared" si="262"/>
        <v>#DIV/0!</v>
      </c>
    </row>
    <row r="2085" spans="55:60" s="39" customFormat="1">
      <c r="BC2085" s="573">
        <v>20.74</v>
      </c>
      <c r="BD2085" s="571">
        <f t="shared" si="259"/>
        <v>0</v>
      </c>
      <c r="BE2085" s="571">
        <f t="shared" si="263"/>
        <v>0</v>
      </c>
      <c r="BF2085" s="586">
        <f t="shared" si="260"/>
        <v>0</v>
      </c>
      <c r="BG2085" s="586" t="e">
        <f t="shared" si="261"/>
        <v>#DIV/0!</v>
      </c>
      <c r="BH2085" s="571" t="e">
        <f t="shared" si="262"/>
        <v>#DIV/0!</v>
      </c>
    </row>
    <row r="2086" spans="55:60" s="39" customFormat="1">
      <c r="BC2086" s="573">
        <v>20.75</v>
      </c>
      <c r="BD2086" s="571">
        <f t="shared" si="259"/>
        <v>0</v>
      </c>
      <c r="BE2086" s="571">
        <f t="shared" si="263"/>
        <v>0</v>
      </c>
      <c r="BF2086" s="586">
        <f t="shared" si="260"/>
        <v>0</v>
      </c>
      <c r="BG2086" s="586" t="e">
        <f t="shared" si="261"/>
        <v>#DIV/0!</v>
      </c>
      <c r="BH2086" s="571" t="e">
        <f t="shared" si="262"/>
        <v>#DIV/0!</v>
      </c>
    </row>
    <row r="2087" spans="55:60" s="39" customFormat="1">
      <c r="BC2087" s="573">
        <v>20.76</v>
      </c>
      <c r="BD2087" s="571">
        <f t="shared" si="259"/>
        <v>0</v>
      </c>
      <c r="BE2087" s="571">
        <f t="shared" si="263"/>
        <v>0</v>
      </c>
      <c r="BF2087" s="586">
        <f t="shared" si="260"/>
        <v>0</v>
      </c>
      <c r="BG2087" s="586" t="e">
        <f t="shared" si="261"/>
        <v>#DIV/0!</v>
      </c>
      <c r="BH2087" s="571" t="e">
        <f t="shared" si="262"/>
        <v>#DIV/0!</v>
      </c>
    </row>
    <row r="2088" spans="55:60" s="39" customFormat="1">
      <c r="BC2088" s="573">
        <v>20.77</v>
      </c>
      <c r="BD2088" s="571">
        <f t="shared" si="259"/>
        <v>0</v>
      </c>
      <c r="BE2088" s="571">
        <f t="shared" si="263"/>
        <v>0</v>
      </c>
      <c r="BF2088" s="586">
        <f t="shared" si="260"/>
        <v>0</v>
      </c>
      <c r="BG2088" s="586" t="e">
        <f t="shared" si="261"/>
        <v>#DIV/0!</v>
      </c>
      <c r="BH2088" s="571" t="e">
        <f t="shared" si="262"/>
        <v>#DIV/0!</v>
      </c>
    </row>
    <row r="2089" spans="55:60" s="39" customFormat="1">
      <c r="BC2089" s="573">
        <v>20.78</v>
      </c>
      <c r="BD2089" s="571">
        <f t="shared" si="259"/>
        <v>0</v>
      </c>
      <c r="BE2089" s="571">
        <f t="shared" si="263"/>
        <v>0</v>
      </c>
      <c r="BF2089" s="586">
        <f t="shared" si="260"/>
        <v>0</v>
      </c>
      <c r="BG2089" s="586" t="e">
        <f t="shared" si="261"/>
        <v>#DIV/0!</v>
      </c>
      <c r="BH2089" s="571" t="e">
        <f t="shared" si="262"/>
        <v>#DIV/0!</v>
      </c>
    </row>
    <row r="2090" spans="55:60" s="39" customFormat="1">
      <c r="BC2090" s="573">
        <v>20.79</v>
      </c>
      <c r="BD2090" s="571">
        <f t="shared" si="259"/>
        <v>0</v>
      </c>
      <c r="BE2090" s="571">
        <f t="shared" si="263"/>
        <v>0</v>
      </c>
      <c r="BF2090" s="586">
        <f t="shared" si="260"/>
        <v>0</v>
      </c>
      <c r="BG2090" s="586" t="e">
        <f t="shared" si="261"/>
        <v>#DIV/0!</v>
      </c>
      <c r="BH2090" s="571" t="e">
        <f t="shared" si="262"/>
        <v>#DIV/0!</v>
      </c>
    </row>
    <row r="2091" spans="55:60" s="39" customFormat="1">
      <c r="BC2091" s="573">
        <v>20.8</v>
      </c>
      <c r="BD2091" s="571">
        <f t="shared" si="259"/>
        <v>0</v>
      </c>
      <c r="BE2091" s="571">
        <f t="shared" si="263"/>
        <v>0</v>
      </c>
      <c r="BF2091" s="586">
        <f t="shared" si="260"/>
        <v>0</v>
      </c>
      <c r="BG2091" s="586" t="e">
        <f t="shared" si="261"/>
        <v>#DIV/0!</v>
      </c>
      <c r="BH2091" s="571" t="e">
        <f t="shared" si="262"/>
        <v>#DIV/0!</v>
      </c>
    </row>
    <row r="2092" spans="55:60" s="39" customFormat="1">
      <c r="BC2092" s="573">
        <v>20.81</v>
      </c>
      <c r="BD2092" s="571">
        <f t="shared" si="259"/>
        <v>0</v>
      </c>
      <c r="BE2092" s="571">
        <f t="shared" si="263"/>
        <v>0</v>
      </c>
      <c r="BF2092" s="586">
        <f t="shared" si="260"/>
        <v>0</v>
      </c>
      <c r="BG2092" s="586" t="e">
        <f t="shared" si="261"/>
        <v>#DIV/0!</v>
      </c>
      <c r="BH2092" s="571" t="e">
        <f t="shared" si="262"/>
        <v>#DIV/0!</v>
      </c>
    </row>
    <row r="2093" spans="55:60" s="39" customFormat="1">
      <c r="BC2093" s="573">
        <v>20.82</v>
      </c>
      <c r="BD2093" s="571">
        <f t="shared" si="259"/>
        <v>0</v>
      </c>
      <c r="BE2093" s="571">
        <f t="shared" si="263"/>
        <v>0</v>
      </c>
      <c r="BF2093" s="586">
        <f t="shared" si="260"/>
        <v>0</v>
      </c>
      <c r="BG2093" s="586" t="e">
        <f t="shared" si="261"/>
        <v>#DIV/0!</v>
      </c>
      <c r="BH2093" s="571" t="e">
        <f t="shared" si="262"/>
        <v>#DIV/0!</v>
      </c>
    </row>
    <row r="2094" spans="55:60" s="39" customFormat="1">
      <c r="BC2094" s="573">
        <v>20.83</v>
      </c>
      <c r="BD2094" s="571">
        <f t="shared" si="259"/>
        <v>0</v>
      </c>
      <c r="BE2094" s="571">
        <f t="shared" si="263"/>
        <v>0</v>
      </c>
      <c r="BF2094" s="586">
        <f t="shared" si="260"/>
        <v>0</v>
      </c>
      <c r="BG2094" s="586" t="e">
        <f t="shared" si="261"/>
        <v>#DIV/0!</v>
      </c>
      <c r="BH2094" s="571" t="e">
        <f t="shared" si="262"/>
        <v>#DIV/0!</v>
      </c>
    </row>
    <row r="2095" spans="55:60" s="39" customFormat="1">
      <c r="BC2095" s="573">
        <v>20.84</v>
      </c>
      <c r="BD2095" s="571">
        <f t="shared" si="259"/>
        <v>0</v>
      </c>
      <c r="BE2095" s="571">
        <f t="shared" si="263"/>
        <v>0</v>
      </c>
      <c r="BF2095" s="586">
        <f t="shared" si="260"/>
        <v>0</v>
      </c>
      <c r="BG2095" s="586" t="e">
        <f t="shared" si="261"/>
        <v>#DIV/0!</v>
      </c>
      <c r="BH2095" s="571" t="e">
        <f t="shared" si="262"/>
        <v>#DIV/0!</v>
      </c>
    </row>
    <row r="2096" spans="55:60" s="39" customFormat="1">
      <c r="BC2096" s="573">
        <v>20.85</v>
      </c>
      <c r="BD2096" s="571">
        <f t="shared" si="259"/>
        <v>0</v>
      </c>
      <c r="BE2096" s="571">
        <f t="shared" si="263"/>
        <v>0</v>
      </c>
      <c r="BF2096" s="586">
        <f t="shared" si="260"/>
        <v>0</v>
      </c>
      <c r="BG2096" s="586" t="e">
        <f t="shared" si="261"/>
        <v>#DIV/0!</v>
      </c>
      <c r="BH2096" s="571" t="e">
        <f t="shared" si="262"/>
        <v>#DIV/0!</v>
      </c>
    </row>
    <row r="2097" spans="55:60" s="39" customFormat="1">
      <c r="BC2097" s="573">
        <v>20.86</v>
      </c>
      <c r="BD2097" s="571">
        <f t="shared" si="259"/>
        <v>0</v>
      </c>
      <c r="BE2097" s="571">
        <f t="shared" si="263"/>
        <v>0</v>
      </c>
      <c r="BF2097" s="586">
        <f t="shared" si="260"/>
        <v>0</v>
      </c>
      <c r="BG2097" s="586" t="e">
        <f t="shared" si="261"/>
        <v>#DIV/0!</v>
      </c>
      <c r="BH2097" s="571" t="e">
        <f t="shared" si="262"/>
        <v>#DIV/0!</v>
      </c>
    </row>
    <row r="2098" spans="55:60" s="39" customFormat="1">
      <c r="BC2098" s="573">
        <v>20.87</v>
      </c>
      <c r="BD2098" s="571">
        <f t="shared" si="259"/>
        <v>0</v>
      </c>
      <c r="BE2098" s="571">
        <f t="shared" si="263"/>
        <v>0</v>
      </c>
      <c r="BF2098" s="586">
        <f t="shared" si="260"/>
        <v>0</v>
      </c>
      <c r="BG2098" s="586" t="e">
        <f t="shared" si="261"/>
        <v>#DIV/0!</v>
      </c>
      <c r="BH2098" s="571" t="e">
        <f t="shared" si="262"/>
        <v>#DIV/0!</v>
      </c>
    </row>
    <row r="2099" spans="55:60" s="39" customFormat="1">
      <c r="BC2099" s="573">
        <v>20.88</v>
      </c>
      <c r="BD2099" s="571">
        <f t="shared" si="259"/>
        <v>0</v>
      </c>
      <c r="BE2099" s="571">
        <f t="shared" si="263"/>
        <v>0</v>
      </c>
      <c r="BF2099" s="586">
        <f t="shared" si="260"/>
        <v>0</v>
      </c>
      <c r="BG2099" s="586" t="e">
        <f t="shared" si="261"/>
        <v>#DIV/0!</v>
      </c>
      <c r="BH2099" s="571" t="e">
        <f t="shared" si="262"/>
        <v>#DIV/0!</v>
      </c>
    </row>
    <row r="2100" spans="55:60" s="39" customFormat="1">
      <c r="BC2100" s="573">
        <v>20.89</v>
      </c>
      <c r="BD2100" s="571">
        <f t="shared" si="259"/>
        <v>0</v>
      </c>
      <c r="BE2100" s="571">
        <f t="shared" si="263"/>
        <v>0</v>
      </c>
      <c r="BF2100" s="586">
        <f t="shared" si="260"/>
        <v>0</v>
      </c>
      <c r="BG2100" s="586" t="e">
        <f t="shared" si="261"/>
        <v>#DIV/0!</v>
      </c>
      <c r="BH2100" s="571" t="e">
        <f t="shared" si="262"/>
        <v>#DIV/0!</v>
      </c>
    </row>
    <row r="2101" spans="55:60" s="39" customFormat="1">
      <c r="BC2101" s="573">
        <v>20.9</v>
      </c>
      <c r="BD2101" s="571">
        <f t="shared" si="259"/>
        <v>0</v>
      </c>
      <c r="BE2101" s="571">
        <f t="shared" si="263"/>
        <v>0</v>
      </c>
      <c r="BF2101" s="586">
        <f t="shared" si="260"/>
        <v>0</v>
      </c>
      <c r="BG2101" s="586" t="e">
        <f t="shared" si="261"/>
        <v>#DIV/0!</v>
      </c>
      <c r="BH2101" s="571" t="e">
        <f t="shared" si="262"/>
        <v>#DIV/0!</v>
      </c>
    </row>
    <row r="2102" spans="55:60" s="39" customFormat="1">
      <c r="BC2102" s="573">
        <v>20.91</v>
      </c>
      <c r="BD2102" s="571">
        <f t="shared" si="259"/>
        <v>0</v>
      </c>
      <c r="BE2102" s="571">
        <f t="shared" si="263"/>
        <v>0</v>
      </c>
      <c r="BF2102" s="586">
        <f t="shared" si="260"/>
        <v>0</v>
      </c>
      <c r="BG2102" s="586" t="e">
        <f t="shared" si="261"/>
        <v>#DIV/0!</v>
      </c>
      <c r="BH2102" s="571" t="e">
        <f t="shared" si="262"/>
        <v>#DIV/0!</v>
      </c>
    </row>
    <row r="2103" spans="55:60" s="39" customFormat="1">
      <c r="BC2103" s="573">
        <v>20.92</v>
      </c>
      <c r="BD2103" s="571">
        <f t="shared" si="259"/>
        <v>0</v>
      </c>
      <c r="BE2103" s="571">
        <f t="shared" si="263"/>
        <v>0</v>
      </c>
      <c r="BF2103" s="586">
        <f t="shared" si="260"/>
        <v>0</v>
      </c>
      <c r="BG2103" s="586" t="e">
        <f t="shared" si="261"/>
        <v>#DIV/0!</v>
      </c>
      <c r="BH2103" s="571" t="e">
        <f t="shared" si="262"/>
        <v>#DIV/0!</v>
      </c>
    </row>
    <row r="2104" spans="55:60" s="39" customFormat="1">
      <c r="BC2104" s="573">
        <v>20.93</v>
      </c>
      <c r="BD2104" s="571">
        <f t="shared" si="259"/>
        <v>0</v>
      </c>
      <c r="BE2104" s="571">
        <f t="shared" si="263"/>
        <v>0</v>
      </c>
      <c r="BF2104" s="586">
        <f t="shared" si="260"/>
        <v>0</v>
      </c>
      <c r="BG2104" s="586" t="e">
        <f t="shared" si="261"/>
        <v>#DIV/0!</v>
      </c>
      <c r="BH2104" s="571" t="e">
        <f t="shared" si="262"/>
        <v>#DIV/0!</v>
      </c>
    </row>
    <row r="2105" spans="55:60" s="39" customFormat="1">
      <c r="BC2105" s="573">
        <v>20.94</v>
      </c>
      <c r="BD2105" s="571">
        <f t="shared" si="259"/>
        <v>0</v>
      </c>
      <c r="BE2105" s="571">
        <f t="shared" si="263"/>
        <v>0</v>
      </c>
      <c r="BF2105" s="586">
        <f t="shared" si="260"/>
        <v>0</v>
      </c>
      <c r="BG2105" s="586" t="e">
        <f t="shared" si="261"/>
        <v>#DIV/0!</v>
      </c>
      <c r="BH2105" s="571" t="e">
        <f t="shared" si="262"/>
        <v>#DIV/0!</v>
      </c>
    </row>
    <row r="2106" spans="55:60" s="39" customFormat="1">
      <c r="BC2106" s="573">
        <v>20.95</v>
      </c>
      <c r="BD2106" s="571">
        <f t="shared" si="259"/>
        <v>0</v>
      </c>
      <c r="BE2106" s="571">
        <f t="shared" si="263"/>
        <v>0</v>
      </c>
      <c r="BF2106" s="586">
        <f t="shared" si="260"/>
        <v>0</v>
      </c>
      <c r="BG2106" s="586" t="e">
        <f t="shared" si="261"/>
        <v>#DIV/0!</v>
      </c>
      <c r="BH2106" s="571" t="e">
        <f t="shared" si="262"/>
        <v>#DIV/0!</v>
      </c>
    </row>
    <row r="2107" spans="55:60" s="39" customFormat="1">
      <c r="BC2107" s="573">
        <v>20.96</v>
      </c>
      <c r="BD2107" s="571">
        <f t="shared" si="259"/>
        <v>0</v>
      </c>
      <c r="BE2107" s="571">
        <f t="shared" si="263"/>
        <v>0</v>
      </c>
      <c r="BF2107" s="586">
        <f t="shared" si="260"/>
        <v>0</v>
      </c>
      <c r="BG2107" s="586" t="e">
        <f t="shared" si="261"/>
        <v>#DIV/0!</v>
      </c>
      <c r="BH2107" s="571" t="e">
        <f t="shared" si="262"/>
        <v>#DIV/0!</v>
      </c>
    </row>
    <row r="2108" spans="55:60" s="39" customFormat="1">
      <c r="BC2108" s="573">
        <v>20.97</v>
      </c>
      <c r="BD2108" s="571">
        <f t="shared" si="259"/>
        <v>0</v>
      </c>
      <c r="BE2108" s="571">
        <f t="shared" si="263"/>
        <v>0</v>
      </c>
      <c r="BF2108" s="586">
        <f t="shared" si="260"/>
        <v>0</v>
      </c>
      <c r="BG2108" s="586" t="e">
        <f t="shared" si="261"/>
        <v>#DIV/0!</v>
      </c>
      <c r="BH2108" s="571" t="e">
        <f t="shared" si="262"/>
        <v>#DIV/0!</v>
      </c>
    </row>
    <row r="2109" spans="55:60" s="39" customFormat="1">
      <c r="BC2109" s="573">
        <v>20.98</v>
      </c>
      <c r="BD2109" s="571">
        <f t="shared" si="259"/>
        <v>0</v>
      </c>
      <c r="BE2109" s="571">
        <f t="shared" si="263"/>
        <v>0</v>
      </c>
      <c r="BF2109" s="586">
        <f t="shared" si="260"/>
        <v>0</v>
      </c>
      <c r="BG2109" s="586" t="e">
        <f t="shared" si="261"/>
        <v>#DIV/0!</v>
      </c>
      <c r="BH2109" s="571" t="e">
        <f t="shared" si="262"/>
        <v>#DIV/0!</v>
      </c>
    </row>
    <row r="2110" spans="55:60" s="39" customFormat="1">
      <c r="BC2110" s="573">
        <v>20.99</v>
      </c>
      <c r="BD2110" s="571">
        <f t="shared" si="259"/>
        <v>0</v>
      </c>
      <c r="BE2110" s="571">
        <f t="shared" si="263"/>
        <v>0</v>
      </c>
      <c r="BF2110" s="586">
        <f t="shared" si="260"/>
        <v>0</v>
      </c>
      <c r="BG2110" s="586" t="e">
        <f t="shared" si="261"/>
        <v>#DIV/0!</v>
      </c>
      <c r="BH2110" s="571" t="e">
        <f t="shared" si="262"/>
        <v>#DIV/0!</v>
      </c>
    </row>
    <row r="2111" spans="55:60" s="39" customFormat="1">
      <c r="BC2111" s="573">
        <v>21</v>
      </c>
      <c r="BD2111" s="571">
        <f t="shared" si="259"/>
        <v>0</v>
      </c>
      <c r="BE2111" s="571">
        <f t="shared" si="263"/>
        <v>0</v>
      </c>
      <c r="BF2111" s="586">
        <f t="shared" si="260"/>
        <v>0</v>
      </c>
      <c r="BG2111" s="586" t="e">
        <f t="shared" si="261"/>
        <v>#DIV/0!</v>
      </c>
      <c r="BH2111" s="571" t="e">
        <f t="shared" si="262"/>
        <v>#DIV/0!</v>
      </c>
    </row>
    <row r="2112" spans="55:60" s="39" customFormat="1">
      <c r="BC2112" s="573">
        <v>21.01</v>
      </c>
      <c r="BD2112" s="571">
        <f t="shared" si="259"/>
        <v>0</v>
      </c>
      <c r="BE2112" s="571">
        <f t="shared" si="263"/>
        <v>0</v>
      </c>
      <c r="BF2112" s="586">
        <f t="shared" si="260"/>
        <v>0</v>
      </c>
      <c r="BG2112" s="586" t="e">
        <f t="shared" si="261"/>
        <v>#DIV/0!</v>
      </c>
      <c r="BH2112" s="571" t="e">
        <f t="shared" si="262"/>
        <v>#DIV/0!</v>
      </c>
    </row>
    <row r="2113" spans="55:60" s="39" customFormat="1">
      <c r="BC2113" s="573">
        <v>21.02</v>
      </c>
      <c r="BD2113" s="571">
        <f t="shared" si="259"/>
        <v>0</v>
      </c>
      <c r="BE2113" s="571">
        <f t="shared" si="263"/>
        <v>0</v>
      </c>
      <c r="BF2113" s="586">
        <f t="shared" si="260"/>
        <v>0</v>
      </c>
      <c r="BG2113" s="586" t="e">
        <f t="shared" si="261"/>
        <v>#DIV/0!</v>
      </c>
      <c r="BH2113" s="571" t="e">
        <f t="shared" si="262"/>
        <v>#DIV/0!</v>
      </c>
    </row>
    <row r="2114" spans="55:60" s="39" customFormat="1">
      <c r="BC2114" s="573">
        <v>21.03</v>
      </c>
      <c r="BD2114" s="571">
        <f t="shared" si="259"/>
        <v>0</v>
      </c>
      <c r="BE2114" s="571">
        <f t="shared" si="263"/>
        <v>0</v>
      </c>
      <c r="BF2114" s="586">
        <f t="shared" si="260"/>
        <v>0</v>
      </c>
      <c r="BG2114" s="586" t="e">
        <f t="shared" si="261"/>
        <v>#DIV/0!</v>
      </c>
      <c r="BH2114" s="571" t="e">
        <f t="shared" si="262"/>
        <v>#DIV/0!</v>
      </c>
    </row>
    <row r="2115" spans="55:60" s="39" customFormat="1">
      <c r="BC2115" s="573">
        <v>21.04</v>
      </c>
      <c r="BD2115" s="571">
        <f t="shared" si="259"/>
        <v>0</v>
      </c>
      <c r="BE2115" s="571">
        <f t="shared" si="263"/>
        <v>0</v>
      </c>
      <c r="BF2115" s="586">
        <f t="shared" si="260"/>
        <v>0</v>
      </c>
      <c r="BG2115" s="586" t="e">
        <f t="shared" si="261"/>
        <v>#DIV/0!</v>
      </c>
      <c r="BH2115" s="571" t="e">
        <f t="shared" si="262"/>
        <v>#DIV/0!</v>
      </c>
    </row>
    <row r="2116" spans="55:60" s="39" customFormat="1">
      <c r="BC2116" s="573">
        <v>21.05</v>
      </c>
      <c r="BD2116" s="571">
        <f t="shared" si="259"/>
        <v>0</v>
      </c>
      <c r="BE2116" s="571">
        <f t="shared" si="263"/>
        <v>0</v>
      </c>
      <c r="BF2116" s="586">
        <f t="shared" si="260"/>
        <v>0</v>
      </c>
      <c r="BG2116" s="586" t="e">
        <f t="shared" si="261"/>
        <v>#DIV/0!</v>
      </c>
      <c r="BH2116" s="571" t="e">
        <f t="shared" si="262"/>
        <v>#DIV/0!</v>
      </c>
    </row>
    <row r="2117" spans="55:60" s="39" customFormat="1">
      <c r="BC2117" s="573">
        <v>21.06</v>
      </c>
      <c r="BD2117" s="571">
        <f t="shared" si="259"/>
        <v>0</v>
      </c>
      <c r="BE2117" s="571">
        <f t="shared" si="263"/>
        <v>0</v>
      </c>
      <c r="BF2117" s="586">
        <f t="shared" si="260"/>
        <v>0</v>
      </c>
      <c r="BG2117" s="586" t="e">
        <f t="shared" si="261"/>
        <v>#DIV/0!</v>
      </c>
      <c r="BH2117" s="571" t="e">
        <f t="shared" si="262"/>
        <v>#DIV/0!</v>
      </c>
    </row>
    <row r="2118" spans="55:60" s="39" customFormat="1">
      <c r="BC2118" s="573">
        <v>21.07</v>
      </c>
      <c r="BD2118" s="571">
        <f t="shared" si="259"/>
        <v>0</v>
      </c>
      <c r="BE2118" s="571">
        <f t="shared" si="263"/>
        <v>0</v>
      </c>
      <c r="BF2118" s="586">
        <f t="shared" si="260"/>
        <v>0</v>
      </c>
      <c r="BG2118" s="586" t="e">
        <f t="shared" si="261"/>
        <v>#DIV/0!</v>
      </c>
      <c r="BH2118" s="571" t="e">
        <f t="shared" si="262"/>
        <v>#DIV/0!</v>
      </c>
    </row>
    <row r="2119" spans="55:60" s="39" customFormat="1">
      <c r="BC2119" s="573">
        <v>21.08</v>
      </c>
      <c r="BD2119" s="571">
        <f t="shared" si="259"/>
        <v>0</v>
      </c>
      <c r="BE2119" s="571">
        <f t="shared" si="263"/>
        <v>0</v>
      </c>
      <c r="BF2119" s="586">
        <f t="shared" si="260"/>
        <v>0</v>
      </c>
      <c r="BG2119" s="586" t="e">
        <f t="shared" si="261"/>
        <v>#DIV/0!</v>
      </c>
      <c r="BH2119" s="571" t="e">
        <f t="shared" si="262"/>
        <v>#DIV/0!</v>
      </c>
    </row>
    <row r="2120" spans="55:60" s="39" customFormat="1">
      <c r="BC2120" s="573">
        <v>21.09</v>
      </c>
      <c r="BD2120" s="571">
        <f t="shared" si="259"/>
        <v>0</v>
      </c>
      <c r="BE2120" s="571">
        <f t="shared" si="263"/>
        <v>0</v>
      </c>
      <c r="BF2120" s="586">
        <f t="shared" si="260"/>
        <v>0</v>
      </c>
      <c r="BG2120" s="586" t="e">
        <f t="shared" si="261"/>
        <v>#DIV/0!</v>
      </c>
      <c r="BH2120" s="571" t="e">
        <f t="shared" si="262"/>
        <v>#DIV/0!</v>
      </c>
    </row>
    <row r="2121" spans="55:60" s="39" customFormat="1">
      <c r="BC2121" s="573">
        <v>21.1</v>
      </c>
      <c r="BD2121" s="571">
        <f t="shared" si="259"/>
        <v>0</v>
      </c>
      <c r="BE2121" s="571">
        <f t="shared" si="263"/>
        <v>0</v>
      </c>
      <c r="BF2121" s="586">
        <f t="shared" si="260"/>
        <v>0</v>
      </c>
      <c r="BG2121" s="586" t="e">
        <f t="shared" si="261"/>
        <v>#DIV/0!</v>
      </c>
      <c r="BH2121" s="571" t="e">
        <f t="shared" si="262"/>
        <v>#DIV/0!</v>
      </c>
    </row>
    <row r="2122" spans="55:60" s="39" customFormat="1">
      <c r="BC2122" s="573">
        <v>21.11</v>
      </c>
      <c r="BD2122" s="571">
        <f t="shared" si="259"/>
        <v>0</v>
      </c>
      <c r="BE2122" s="571">
        <f t="shared" si="263"/>
        <v>0</v>
      </c>
      <c r="BF2122" s="586">
        <f t="shared" si="260"/>
        <v>0</v>
      </c>
      <c r="BG2122" s="586" t="e">
        <f t="shared" si="261"/>
        <v>#DIV/0!</v>
      </c>
      <c r="BH2122" s="571" t="e">
        <f t="shared" si="262"/>
        <v>#DIV/0!</v>
      </c>
    </row>
    <row r="2123" spans="55:60" s="39" customFormat="1">
      <c r="BC2123" s="573">
        <v>21.12</v>
      </c>
      <c r="BD2123" s="571">
        <f t="shared" si="259"/>
        <v>0</v>
      </c>
      <c r="BE2123" s="571">
        <f t="shared" si="263"/>
        <v>0</v>
      </c>
      <c r="BF2123" s="586">
        <f t="shared" si="260"/>
        <v>0</v>
      </c>
      <c r="BG2123" s="586" t="e">
        <f t="shared" si="261"/>
        <v>#DIV/0!</v>
      </c>
      <c r="BH2123" s="571" t="e">
        <f t="shared" si="262"/>
        <v>#DIV/0!</v>
      </c>
    </row>
    <row r="2124" spans="55:60" s="39" customFormat="1">
      <c r="BC2124" s="573">
        <v>21.13</v>
      </c>
      <c r="BD2124" s="571">
        <f t="shared" ref="BD2124:BD2187" si="264">$AU$15/BC2124</f>
        <v>0</v>
      </c>
      <c r="BE2124" s="571">
        <f t="shared" si="263"/>
        <v>0</v>
      </c>
      <c r="BF2124" s="586">
        <f t="shared" ref="BF2124:BF2187" si="265">BC2124*(BE2124/1000)/$AO$12</f>
        <v>0</v>
      </c>
      <c r="BG2124" s="586" t="e">
        <f t="shared" ref="BG2124:BG2187" si="266">POWER((1/(-1.8*LOG((6.9/BF2124+POWER((($P$7/BE2124)/3.71),1.11)),10))),2)</f>
        <v>#DIV/0!</v>
      </c>
      <c r="BH2124" s="571" t="e">
        <f t="shared" ref="BH2124:BH2187" si="267">BG2124*0.5*$P$6*16*$AU$15*$AU$15/(POWER(PI(),2)*POWER((BE2124/1000),5))</f>
        <v>#DIV/0!</v>
      </c>
    </row>
    <row r="2125" spans="55:60" s="39" customFormat="1">
      <c r="BC2125" s="573">
        <v>21.14</v>
      </c>
      <c r="BD2125" s="571">
        <f t="shared" si="264"/>
        <v>0</v>
      </c>
      <c r="BE2125" s="571">
        <f t="shared" ref="BE2125:BE2188" si="268">((BD2125/PI())^0.5)*2*1000</f>
        <v>0</v>
      </c>
      <c r="BF2125" s="586">
        <f t="shared" si="265"/>
        <v>0</v>
      </c>
      <c r="BG2125" s="586" t="e">
        <f t="shared" si="266"/>
        <v>#DIV/0!</v>
      </c>
      <c r="BH2125" s="571" t="e">
        <f t="shared" si="267"/>
        <v>#DIV/0!</v>
      </c>
    </row>
    <row r="2126" spans="55:60" s="39" customFormat="1">
      <c r="BC2126" s="573">
        <v>21.15</v>
      </c>
      <c r="BD2126" s="571">
        <f t="shared" si="264"/>
        <v>0</v>
      </c>
      <c r="BE2126" s="571">
        <f t="shared" si="268"/>
        <v>0</v>
      </c>
      <c r="BF2126" s="586">
        <f t="shared" si="265"/>
        <v>0</v>
      </c>
      <c r="BG2126" s="586" t="e">
        <f t="shared" si="266"/>
        <v>#DIV/0!</v>
      </c>
      <c r="BH2126" s="571" t="e">
        <f t="shared" si="267"/>
        <v>#DIV/0!</v>
      </c>
    </row>
    <row r="2127" spans="55:60" s="39" customFormat="1">
      <c r="BC2127" s="573">
        <v>21.16</v>
      </c>
      <c r="BD2127" s="571">
        <f t="shared" si="264"/>
        <v>0</v>
      </c>
      <c r="BE2127" s="571">
        <f t="shared" si="268"/>
        <v>0</v>
      </c>
      <c r="BF2127" s="586">
        <f t="shared" si="265"/>
        <v>0</v>
      </c>
      <c r="BG2127" s="586" t="e">
        <f t="shared" si="266"/>
        <v>#DIV/0!</v>
      </c>
      <c r="BH2127" s="571" t="e">
        <f t="shared" si="267"/>
        <v>#DIV/0!</v>
      </c>
    </row>
    <row r="2128" spans="55:60" s="39" customFormat="1">
      <c r="BC2128" s="573">
        <v>21.17</v>
      </c>
      <c r="BD2128" s="571">
        <f t="shared" si="264"/>
        <v>0</v>
      </c>
      <c r="BE2128" s="571">
        <f t="shared" si="268"/>
        <v>0</v>
      </c>
      <c r="BF2128" s="586">
        <f t="shared" si="265"/>
        <v>0</v>
      </c>
      <c r="BG2128" s="586" t="e">
        <f t="shared" si="266"/>
        <v>#DIV/0!</v>
      </c>
      <c r="BH2128" s="571" t="e">
        <f t="shared" si="267"/>
        <v>#DIV/0!</v>
      </c>
    </row>
    <row r="2129" spans="55:60" s="39" customFormat="1">
      <c r="BC2129" s="573">
        <v>21.18</v>
      </c>
      <c r="BD2129" s="571">
        <f t="shared" si="264"/>
        <v>0</v>
      </c>
      <c r="BE2129" s="571">
        <f t="shared" si="268"/>
        <v>0</v>
      </c>
      <c r="BF2129" s="586">
        <f t="shared" si="265"/>
        <v>0</v>
      </c>
      <c r="BG2129" s="586" t="e">
        <f t="shared" si="266"/>
        <v>#DIV/0!</v>
      </c>
      <c r="BH2129" s="571" t="e">
        <f t="shared" si="267"/>
        <v>#DIV/0!</v>
      </c>
    </row>
    <row r="2130" spans="55:60" s="39" customFormat="1">
      <c r="BC2130" s="573">
        <v>21.19</v>
      </c>
      <c r="BD2130" s="571">
        <f t="shared" si="264"/>
        <v>0</v>
      </c>
      <c r="BE2130" s="571">
        <f t="shared" si="268"/>
        <v>0</v>
      </c>
      <c r="BF2130" s="586">
        <f t="shared" si="265"/>
        <v>0</v>
      </c>
      <c r="BG2130" s="586" t="e">
        <f t="shared" si="266"/>
        <v>#DIV/0!</v>
      </c>
      <c r="BH2130" s="571" t="e">
        <f t="shared" si="267"/>
        <v>#DIV/0!</v>
      </c>
    </row>
    <row r="2131" spans="55:60" s="39" customFormat="1">
      <c r="BC2131" s="573">
        <v>21.2</v>
      </c>
      <c r="BD2131" s="571">
        <f t="shared" si="264"/>
        <v>0</v>
      </c>
      <c r="BE2131" s="571">
        <f t="shared" si="268"/>
        <v>0</v>
      </c>
      <c r="BF2131" s="586">
        <f t="shared" si="265"/>
        <v>0</v>
      </c>
      <c r="BG2131" s="586" t="e">
        <f t="shared" si="266"/>
        <v>#DIV/0!</v>
      </c>
      <c r="BH2131" s="571" t="e">
        <f t="shared" si="267"/>
        <v>#DIV/0!</v>
      </c>
    </row>
    <row r="2132" spans="55:60" s="39" customFormat="1">
      <c r="BC2132" s="573">
        <v>21.21</v>
      </c>
      <c r="BD2132" s="571">
        <f t="shared" si="264"/>
        <v>0</v>
      </c>
      <c r="BE2132" s="571">
        <f t="shared" si="268"/>
        <v>0</v>
      </c>
      <c r="BF2132" s="586">
        <f t="shared" si="265"/>
        <v>0</v>
      </c>
      <c r="BG2132" s="586" t="e">
        <f t="shared" si="266"/>
        <v>#DIV/0!</v>
      </c>
      <c r="BH2132" s="571" t="e">
        <f t="shared" si="267"/>
        <v>#DIV/0!</v>
      </c>
    </row>
    <row r="2133" spans="55:60" s="39" customFormat="1">
      <c r="BC2133" s="573">
        <v>21.22</v>
      </c>
      <c r="BD2133" s="571">
        <f t="shared" si="264"/>
        <v>0</v>
      </c>
      <c r="BE2133" s="571">
        <f t="shared" si="268"/>
        <v>0</v>
      </c>
      <c r="BF2133" s="586">
        <f t="shared" si="265"/>
        <v>0</v>
      </c>
      <c r="BG2133" s="586" t="e">
        <f t="shared" si="266"/>
        <v>#DIV/0!</v>
      </c>
      <c r="BH2133" s="571" t="e">
        <f t="shared" si="267"/>
        <v>#DIV/0!</v>
      </c>
    </row>
    <row r="2134" spans="55:60" s="39" customFormat="1">
      <c r="BC2134" s="573">
        <v>21.23</v>
      </c>
      <c r="BD2134" s="571">
        <f t="shared" si="264"/>
        <v>0</v>
      </c>
      <c r="BE2134" s="571">
        <f t="shared" si="268"/>
        <v>0</v>
      </c>
      <c r="BF2134" s="586">
        <f t="shared" si="265"/>
        <v>0</v>
      </c>
      <c r="BG2134" s="586" t="e">
        <f t="shared" si="266"/>
        <v>#DIV/0!</v>
      </c>
      <c r="BH2134" s="571" t="e">
        <f t="shared" si="267"/>
        <v>#DIV/0!</v>
      </c>
    </row>
    <row r="2135" spans="55:60" s="39" customFormat="1">
      <c r="BC2135" s="573">
        <v>21.24</v>
      </c>
      <c r="BD2135" s="571">
        <f t="shared" si="264"/>
        <v>0</v>
      </c>
      <c r="BE2135" s="571">
        <f t="shared" si="268"/>
        <v>0</v>
      </c>
      <c r="BF2135" s="586">
        <f t="shared" si="265"/>
        <v>0</v>
      </c>
      <c r="BG2135" s="586" t="e">
        <f t="shared" si="266"/>
        <v>#DIV/0!</v>
      </c>
      <c r="BH2135" s="571" t="e">
        <f t="shared" si="267"/>
        <v>#DIV/0!</v>
      </c>
    </row>
    <row r="2136" spans="55:60" s="39" customFormat="1">
      <c r="BC2136" s="573">
        <v>21.25</v>
      </c>
      <c r="BD2136" s="571">
        <f t="shared" si="264"/>
        <v>0</v>
      </c>
      <c r="BE2136" s="571">
        <f t="shared" si="268"/>
        <v>0</v>
      </c>
      <c r="BF2136" s="586">
        <f t="shared" si="265"/>
        <v>0</v>
      </c>
      <c r="BG2136" s="586" t="e">
        <f t="shared" si="266"/>
        <v>#DIV/0!</v>
      </c>
      <c r="BH2136" s="571" t="e">
        <f t="shared" si="267"/>
        <v>#DIV/0!</v>
      </c>
    </row>
    <row r="2137" spans="55:60" s="39" customFormat="1">
      <c r="BC2137" s="573">
        <v>21.26</v>
      </c>
      <c r="BD2137" s="571">
        <f t="shared" si="264"/>
        <v>0</v>
      </c>
      <c r="BE2137" s="571">
        <f t="shared" si="268"/>
        <v>0</v>
      </c>
      <c r="BF2137" s="586">
        <f t="shared" si="265"/>
        <v>0</v>
      </c>
      <c r="BG2137" s="586" t="e">
        <f t="shared" si="266"/>
        <v>#DIV/0!</v>
      </c>
      <c r="BH2137" s="571" t="e">
        <f t="shared" si="267"/>
        <v>#DIV/0!</v>
      </c>
    </row>
    <row r="2138" spans="55:60" s="39" customFormat="1">
      <c r="BC2138" s="573">
        <v>21.27</v>
      </c>
      <c r="BD2138" s="571">
        <f t="shared" si="264"/>
        <v>0</v>
      </c>
      <c r="BE2138" s="571">
        <f t="shared" si="268"/>
        <v>0</v>
      </c>
      <c r="BF2138" s="586">
        <f t="shared" si="265"/>
        <v>0</v>
      </c>
      <c r="BG2138" s="586" t="e">
        <f t="shared" si="266"/>
        <v>#DIV/0!</v>
      </c>
      <c r="BH2138" s="571" t="e">
        <f t="shared" si="267"/>
        <v>#DIV/0!</v>
      </c>
    </row>
    <row r="2139" spans="55:60" s="39" customFormat="1">
      <c r="BC2139" s="573">
        <v>21.28</v>
      </c>
      <c r="BD2139" s="571">
        <f t="shared" si="264"/>
        <v>0</v>
      </c>
      <c r="BE2139" s="571">
        <f t="shared" si="268"/>
        <v>0</v>
      </c>
      <c r="BF2139" s="586">
        <f t="shared" si="265"/>
        <v>0</v>
      </c>
      <c r="BG2139" s="586" t="e">
        <f t="shared" si="266"/>
        <v>#DIV/0!</v>
      </c>
      <c r="BH2139" s="571" t="e">
        <f t="shared" si="267"/>
        <v>#DIV/0!</v>
      </c>
    </row>
    <row r="2140" spans="55:60" s="39" customFormat="1">
      <c r="BC2140" s="573">
        <v>21.29</v>
      </c>
      <c r="BD2140" s="571">
        <f t="shared" si="264"/>
        <v>0</v>
      </c>
      <c r="BE2140" s="571">
        <f t="shared" si="268"/>
        <v>0</v>
      </c>
      <c r="BF2140" s="586">
        <f t="shared" si="265"/>
        <v>0</v>
      </c>
      <c r="BG2140" s="586" t="e">
        <f t="shared" si="266"/>
        <v>#DIV/0!</v>
      </c>
      <c r="BH2140" s="571" t="e">
        <f t="shared" si="267"/>
        <v>#DIV/0!</v>
      </c>
    </row>
    <row r="2141" spans="55:60" s="39" customFormat="1">
      <c r="BC2141" s="573">
        <v>21.3</v>
      </c>
      <c r="BD2141" s="571">
        <f t="shared" si="264"/>
        <v>0</v>
      </c>
      <c r="BE2141" s="571">
        <f t="shared" si="268"/>
        <v>0</v>
      </c>
      <c r="BF2141" s="586">
        <f t="shared" si="265"/>
        <v>0</v>
      </c>
      <c r="BG2141" s="586" t="e">
        <f t="shared" si="266"/>
        <v>#DIV/0!</v>
      </c>
      <c r="BH2141" s="571" t="e">
        <f t="shared" si="267"/>
        <v>#DIV/0!</v>
      </c>
    </row>
    <row r="2142" spans="55:60" s="39" customFormat="1">
      <c r="BC2142" s="573">
        <v>21.31</v>
      </c>
      <c r="BD2142" s="571">
        <f t="shared" si="264"/>
        <v>0</v>
      </c>
      <c r="BE2142" s="571">
        <f t="shared" si="268"/>
        <v>0</v>
      </c>
      <c r="BF2142" s="586">
        <f t="shared" si="265"/>
        <v>0</v>
      </c>
      <c r="BG2142" s="586" t="e">
        <f t="shared" si="266"/>
        <v>#DIV/0!</v>
      </c>
      <c r="BH2142" s="571" t="e">
        <f t="shared" si="267"/>
        <v>#DIV/0!</v>
      </c>
    </row>
    <row r="2143" spans="55:60" s="39" customFormat="1">
      <c r="BC2143" s="573">
        <v>21.32</v>
      </c>
      <c r="BD2143" s="571">
        <f t="shared" si="264"/>
        <v>0</v>
      </c>
      <c r="BE2143" s="571">
        <f t="shared" si="268"/>
        <v>0</v>
      </c>
      <c r="BF2143" s="586">
        <f t="shared" si="265"/>
        <v>0</v>
      </c>
      <c r="BG2143" s="586" t="e">
        <f t="shared" si="266"/>
        <v>#DIV/0!</v>
      </c>
      <c r="BH2143" s="571" t="e">
        <f t="shared" si="267"/>
        <v>#DIV/0!</v>
      </c>
    </row>
    <row r="2144" spans="55:60" s="39" customFormat="1">
      <c r="BC2144" s="573">
        <v>21.33</v>
      </c>
      <c r="BD2144" s="571">
        <f t="shared" si="264"/>
        <v>0</v>
      </c>
      <c r="BE2144" s="571">
        <f t="shared" si="268"/>
        <v>0</v>
      </c>
      <c r="BF2144" s="586">
        <f t="shared" si="265"/>
        <v>0</v>
      </c>
      <c r="BG2144" s="586" t="e">
        <f t="shared" si="266"/>
        <v>#DIV/0!</v>
      </c>
      <c r="BH2144" s="571" t="e">
        <f t="shared" si="267"/>
        <v>#DIV/0!</v>
      </c>
    </row>
    <row r="2145" spans="55:60" s="39" customFormat="1">
      <c r="BC2145" s="573">
        <v>21.34</v>
      </c>
      <c r="BD2145" s="571">
        <f t="shared" si="264"/>
        <v>0</v>
      </c>
      <c r="BE2145" s="571">
        <f t="shared" si="268"/>
        <v>0</v>
      </c>
      <c r="BF2145" s="586">
        <f t="shared" si="265"/>
        <v>0</v>
      </c>
      <c r="BG2145" s="586" t="e">
        <f t="shared" si="266"/>
        <v>#DIV/0!</v>
      </c>
      <c r="BH2145" s="571" t="e">
        <f t="shared" si="267"/>
        <v>#DIV/0!</v>
      </c>
    </row>
    <row r="2146" spans="55:60" s="39" customFormat="1">
      <c r="BC2146" s="573">
        <v>21.35</v>
      </c>
      <c r="BD2146" s="571">
        <f t="shared" si="264"/>
        <v>0</v>
      </c>
      <c r="BE2146" s="571">
        <f t="shared" si="268"/>
        <v>0</v>
      </c>
      <c r="BF2146" s="586">
        <f t="shared" si="265"/>
        <v>0</v>
      </c>
      <c r="BG2146" s="586" t="e">
        <f t="shared" si="266"/>
        <v>#DIV/0!</v>
      </c>
      <c r="BH2146" s="571" t="e">
        <f t="shared" si="267"/>
        <v>#DIV/0!</v>
      </c>
    </row>
    <row r="2147" spans="55:60" s="39" customFormat="1">
      <c r="BC2147" s="573">
        <v>21.36</v>
      </c>
      <c r="BD2147" s="571">
        <f t="shared" si="264"/>
        <v>0</v>
      </c>
      <c r="BE2147" s="571">
        <f t="shared" si="268"/>
        <v>0</v>
      </c>
      <c r="BF2147" s="586">
        <f t="shared" si="265"/>
        <v>0</v>
      </c>
      <c r="BG2147" s="586" t="e">
        <f t="shared" si="266"/>
        <v>#DIV/0!</v>
      </c>
      <c r="BH2147" s="571" t="e">
        <f t="shared" si="267"/>
        <v>#DIV/0!</v>
      </c>
    </row>
    <row r="2148" spans="55:60" s="39" customFormat="1">
      <c r="BC2148" s="573">
        <v>21.37</v>
      </c>
      <c r="BD2148" s="571">
        <f t="shared" si="264"/>
        <v>0</v>
      </c>
      <c r="BE2148" s="571">
        <f t="shared" si="268"/>
        <v>0</v>
      </c>
      <c r="BF2148" s="586">
        <f t="shared" si="265"/>
        <v>0</v>
      </c>
      <c r="BG2148" s="586" t="e">
        <f t="shared" si="266"/>
        <v>#DIV/0!</v>
      </c>
      <c r="BH2148" s="571" t="e">
        <f t="shared" si="267"/>
        <v>#DIV/0!</v>
      </c>
    </row>
    <row r="2149" spans="55:60" s="39" customFormat="1">
      <c r="BC2149" s="573">
        <v>21.38</v>
      </c>
      <c r="BD2149" s="571">
        <f t="shared" si="264"/>
        <v>0</v>
      </c>
      <c r="BE2149" s="571">
        <f t="shared" si="268"/>
        <v>0</v>
      </c>
      <c r="BF2149" s="586">
        <f t="shared" si="265"/>
        <v>0</v>
      </c>
      <c r="BG2149" s="586" t="e">
        <f t="shared" si="266"/>
        <v>#DIV/0!</v>
      </c>
      <c r="BH2149" s="571" t="e">
        <f t="shared" si="267"/>
        <v>#DIV/0!</v>
      </c>
    </row>
    <row r="2150" spans="55:60" s="39" customFormat="1">
      <c r="BC2150" s="573">
        <v>21.39</v>
      </c>
      <c r="BD2150" s="571">
        <f t="shared" si="264"/>
        <v>0</v>
      </c>
      <c r="BE2150" s="571">
        <f t="shared" si="268"/>
        <v>0</v>
      </c>
      <c r="BF2150" s="586">
        <f t="shared" si="265"/>
        <v>0</v>
      </c>
      <c r="BG2150" s="586" t="e">
        <f t="shared" si="266"/>
        <v>#DIV/0!</v>
      </c>
      <c r="BH2150" s="571" t="e">
        <f t="shared" si="267"/>
        <v>#DIV/0!</v>
      </c>
    </row>
    <row r="2151" spans="55:60" s="39" customFormat="1">
      <c r="BC2151" s="573">
        <v>21.4</v>
      </c>
      <c r="BD2151" s="571">
        <f t="shared" si="264"/>
        <v>0</v>
      </c>
      <c r="BE2151" s="571">
        <f t="shared" si="268"/>
        <v>0</v>
      </c>
      <c r="BF2151" s="586">
        <f t="shared" si="265"/>
        <v>0</v>
      </c>
      <c r="BG2151" s="586" t="e">
        <f t="shared" si="266"/>
        <v>#DIV/0!</v>
      </c>
      <c r="BH2151" s="571" t="e">
        <f t="shared" si="267"/>
        <v>#DIV/0!</v>
      </c>
    </row>
    <row r="2152" spans="55:60" s="39" customFormat="1">
      <c r="BC2152" s="573">
        <v>21.41</v>
      </c>
      <c r="BD2152" s="571">
        <f t="shared" si="264"/>
        <v>0</v>
      </c>
      <c r="BE2152" s="571">
        <f t="shared" si="268"/>
        <v>0</v>
      </c>
      <c r="BF2152" s="586">
        <f t="shared" si="265"/>
        <v>0</v>
      </c>
      <c r="BG2152" s="586" t="e">
        <f t="shared" si="266"/>
        <v>#DIV/0!</v>
      </c>
      <c r="BH2152" s="571" t="e">
        <f t="shared" si="267"/>
        <v>#DIV/0!</v>
      </c>
    </row>
    <row r="2153" spans="55:60" s="39" customFormat="1">
      <c r="BC2153" s="573">
        <v>21.42</v>
      </c>
      <c r="BD2153" s="571">
        <f t="shared" si="264"/>
        <v>0</v>
      </c>
      <c r="BE2153" s="571">
        <f t="shared" si="268"/>
        <v>0</v>
      </c>
      <c r="BF2153" s="586">
        <f t="shared" si="265"/>
        <v>0</v>
      </c>
      <c r="BG2153" s="586" t="e">
        <f t="shared" si="266"/>
        <v>#DIV/0!</v>
      </c>
      <c r="BH2153" s="571" t="e">
        <f t="shared" si="267"/>
        <v>#DIV/0!</v>
      </c>
    </row>
    <row r="2154" spans="55:60" s="39" customFormat="1">
      <c r="BC2154" s="573">
        <v>21.43</v>
      </c>
      <c r="BD2154" s="571">
        <f t="shared" si="264"/>
        <v>0</v>
      </c>
      <c r="BE2154" s="571">
        <f t="shared" si="268"/>
        <v>0</v>
      </c>
      <c r="BF2154" s="586">
        <f t="shared" si="265"/>
        <v>0</v>
      </c>
      <c r="BG2154" s="586" t="e">
        <f t="shared" si="266"/>
        <v>#DIV/0!</v>
      </c>
      <c r="BH2154" s="571" t="e">
        <f t="shared" si="267"/>
        <v>#DIV/0!</v>
      </c>
    </row>
    <row r="2155" spans="55:60" s="39" customFormat="1">
      <c r="BC2155" s="573">
        <v>21.44</v>
      </c>
      <c r="BD2155" s="571">
        <f t="shared" si="264"/>
        <v>0</v>
      </c>
      <c r="BE2155" s="571">
        <f t="shared" si="268"/>
        <v>0</v>
      </c>
      <c r="BF2155" s="586">
        <f t="shared" si="265"/>
        <v>0</v>
      </c>
      <c r="BG2155" s="586" t="e">
        <f t="shared" si="266"/>
        <v>#DIV/0!</v>
      </c>
      <c r="BH2155" s="571" t="e">
        <f t="shared" si="267"/>
        <v>#DIV/0!</v>
      </c>
    </row>
    <row r="2156" spans="55:60" s="39" customFormat="1">
      <c r="BC2156" s="573">
        <v>21.45</v>
      </c>
      <c r="BD2156" s="571">
        <f t="shared" si="264"/>
        <v>0</v>
      </c>
      <c r="BE2156" s="571">
        <f t="shared" si="268"/>
        <v>0</v>
      </c>
      <c r="BF2156" s="586">
        <f t="shared" si="265"/>
        <v>0</v>
      </c>
      <c r="BG2156" s="586" t="e">
        <f t="shared" si="266"/>
        <v>#DIV/0!</v>
      </c>
      <c r="BH2156" s="571" t="e">
        <f t="shared" si="267"/>
        <v>#DIV/0!</v>
      </c>
    </row>
    <row r="2157" spans="55:60" s="39" customFormat="1">
      <c r="BC2157" s="573">
        <v>21.46</v>
      </c>
      <c r="BD2157" s="571">
        <f t="shared" si="264"/>
        <v>0</v>
      </c>
      <c r="BE2157" s="571">
        <f t="shared" si="268"/>
        <v>0</v>
      </c>
      <c r="BF2157" s="586">
        <f t="shared" si="265"/>
        <v>0</v>
      </c>
      <c r="BG2157" s="586" t="e">
        <f t="shared" si="266"/>
        <v>#DIV/0!</v>
      </c>
      <c r="BH2157" s="571" t="e">
        <f t="shared" si="267"/>
        <v>#DIV/0!</v>
      </c>
    </row>
    <row r="2158" spans="55:60" s="39" customFormat="1">
      <c r="BC2158" s="573">
        <v>21.47</v>
      </c>
      <c r="BD2158" s="571">
        <f t="shared" si="264"/>
        <v>0</v>
      </c>
      <c r="BE2158" s="571">
        <f t="shared" si="268"/>
        <v>0</v>
      </c>
      <c r="BF2158" s="586">
        <f t="shared" si="265"/>
        <v>0</v>
      </c>
      <c r="BG2158" s="586" t="e">
        <f t="shared" si="266"/>
        <v>#DIV/0!</v>
      </c>
      <c r="BH2158" s="571" t="e">
        <f t="shared" si="267"/>
        <v>#DIV/0!</v>
      </c>
    </row>
    <row r="2159" spans="55:60" s="39" customFormat="1">
      <c r="BC2159" s="573">
        <v>21.48</v>
      </c>
      <c r="BD2159" s="571">
        <f t="shared" si="264"/>
        <v>0</v>
      </c>
      <c r="BE2159" s="571">
        <f t="shared" si="268"/>
        <v>0</v>
      </c>
      <c r="BF2159" s="586">
        <f t="shared" si="265"/>
        <v>0</v>
      </c>
      <c r="BG2159" s="586" t="e">
        <f t="shared" si="266"/>
        <v>#DIV/0!</v>
      </c>
      <c r="BH2159" s="571" t="e">
        <f t="shared" si="267"/>
        <v>#DIV/0!</v>
      </c>
    </row>
    <row r="2160" spans="55:60" s="39" customFormat="1">
      <c r="BC2160" s="573">
        <v>21.49</v>
      </c>
      <c r="BD2160" s="571">
        <f t="shared" si="264"/>
        <v>0</v>
      </c>
      <c r="BE2160" s="571">
        <f t="shared" si="268"/>
        <v>0</v>
      </c>
      <c r="BF2160" s="586">
        <f t="shared" si="265"/>
        <v>0</v>
      </c>
      <c r="BG2160" s="586" t="e">
        <f t="shared" si="266"/>
        <v>#DIV/0!</v>
      </c>
      <c r="BH2160" s="571" t="e">
        <f t="shared" si="267"/>
        <v>#DIV/0!</v>
      </c>
    </row>
    <row r="2161" spans="55:60" s="39" customFormat="1">
      <c r="BC2161" s="573">
        <v>21.5</v>
      </c>
      <c r="BD2161" s="571">
        <f t="shared" si="264"/>
        <v>0</v>
      </c>
      <c r="BE2161" s="571">
        <f t="shared" si="268"/>
        <v>0</v>
      </c>
      <c r="BF2161" s="586">
        <f t="shared" si="265"/>
        <v>0</v>
      </c>
      <c r="BG2161" s="586" t="e">
        <f t="shared" si="266"/>
        <v>#DIV/0!</v>
      </c>
      <c r="BH2161" s="571" t="e">
        <f t="shared" si="267"/>
        <v>#DIV/0!</v>
      </c>
    </row>
    <row r="2162" spans="55:60" s="39" customFormat="1">
      <c r="BC2162" s="573">
        <v>21.51</v>
      </c>
      <c r="BD2162" s="571">
        <f t="shared" si="264"/>
        <v>0</v>
      </c>
      <c r="BE2162" s="571">
        <f t="shared" si="268"/>
        <v>0</v>
      </c>
      <c r="BF2162" s="586">
        <f t="shared" si="265"/>
        <v>0</v>
      </c>
      <c r="BG2162" s="586" t="e">
        <f t="shared" si="266"/>
        <v>#DIV/0!</v>
      </c>
      <c r="BH2162" s="571" t="e">
        <f t="shared" si="267"/>
        <v>#DIV/0!</v>
      </c>
    </row>
    <row r="2163" spans="55:60" s="39" customFormat="1">
      <c r="BC2163" s="573">
        <v>21.52</v>
      </c>
      <c r="BD2163" s="571">
        <f t="shared" si="264"/>
        <v>0</v>
      </c>
      <c r="BE2163" s="571">
        <f t="shared" si="268"/>
        <v>0</v>
      </c>
      <c r="BF2163" s="586">
        <f t="shared" si="265"/>
        <v>0</v>
      </c>
      <c r="BG2163" s="586" t="e">
        <f t="shared" si="266"/>
        <v>#DIV/0!</v>
      </c>
      <c r="BH2163" s="571" t="e">
        <f t="shared" si="267"/>
        <v>#DIV/0!</v>
      </c>
    </row>
    <row r="2164" spans="55:60" s="39" customFormat="1">
      <c r="BC2164" s="573">
        <v>21.53</v>
      </c>
      <c r="BD2164" s="571">
        <f t="shared" si="264"/>
        <v>0</v>
      </c>
      <c r="BE2164" s="571">
        <f t="shared" si="268"/>
        <v>0</v>
      </c>
      <c r="BF2164" s="586">
        <f t="shared" si="265"/>
        <v>0</v>
      </c>
      <c r="BG2164" s="586" t="e">
        <f t="shared" si="266"/>
        <v>#DIV/0!</v>
      </c>
      <c r="BH2164" s="571" t="e">
        <f t="shared" si="267"/>
        <v>#DIV/0!</v>
      </c>
    </row>
    <row r="2165" spans="55:60" s="39" customFormat="1">
      <c r="BC2165" s="573">
        <v>21.54</v>
      </c>
      <c r="BD2165" s="571">
        <f t="shared" si="264"/>
        <v>0</v>
      </c>
      <c r="BE2165" s="571">
        <f t="shared" si="268"/>
        <v>0</v>
      </c>
      <c r="BF2165" s="586">
        <f t="shared" si="265"/>
        <v>0</v>
      </c>
      <c r="BG2165" s="586" t="e">
        <f t="shared" si="266"/>
        <v>#DIV/0!</v>
      </c>
      <c r="BH2165" s="571" t="e">
        <f t="shared" si="267"/>
        <v>#DIV/0!</v>
      </c>
    </row>
    <row r="2166" spans="55:60" s="39" customFormat="1">
      <c r="BC2166" s="573">
        <v>21.55</v>
      </c>
      <c r="BD2166" s="571">
        <f t="shared" si="264"/>
        <v>0</v>
      </c>
      <c r="BE2166" s="571">
        <f t="shared" si="268"/>
        <v>0</v>
      </c>
      <c r="BF2166" s="586">
        <f t="shared" si="265"/>
        <v>0</v>
      </c>
      <c r="BG2166" s="586" t="e">
        <f t="shared" si="266"/>
        <v>#DIV/0!</v>
      </c>
      <c r="BH2166" s="571" t="e">
        <f t="shared" si="267"/>
        <v>#DIV/0!</v>
      </c>
    </row>
    <row r="2167" spans="55:60" s="39" customFormat="1">
      <c r="BC2167" s="573">
        <v>21.56</v>
      </c>
      <c r="BD2167" s="571">
        <f t="shared" si="264"/>
        <v>0</v>
      </c>
      <c r="BE2167" s="571">
        <f t="shared" si="268"/>
        <v>0</v>
      </c>
      <c r="BF2167" s="586">
        <f t="shared" si="265"/>
        <v>0</v>
      </c>
      <c r="BG2167" s="586" t="e">
        <f t="shared" si="266"/>
        <v>#DIV/0!</v>
      </c>
      <c r="BH2167" s="571" t="e">
        <f t="shared" si="267"/>
        <v>#DIV/0!</v>
      </c>
    </row>
    <row r="2168" spans="55:60" s="39" customFormat="1">
      <c r="BC2168" s="573">
        <v>21.57</v>
      </c>
      <c r="BD2168" s="571">
        <f t="shared" si="264"/>
        <v>0</v>
      </c>
      <c r="BE2168" s="571">
        <f t="shared" si="268"/>
        <v>0</v>
      </c>
      <c r="BF2168" s="586">
        <f t="shared" si="265"/>
        <v>0</v>
      </c>
      <c r="BG2168" s="586" t="e">
        <f t="shared" si="266"/>
        <v>#DIV/0!</v>
      </c>
      <c r="BH2168" s="571" t="e">
        <f t="shared" si="267"/>
        <v>#DIV/0!</v>
      </c>
    </row>
    <row r="2169" spans="55:60" s="39" customFormat="1">
      <c r="BC2169" s="573">
        <v>21.58</v>
      </c>
      <c r="BD2169" s="571">
        <f t="shared" si="264"/>
        <v>0</v>
      </c>
      <c r="BE2169" s="571">
        <f t="shared" si="268"/>
        <v>0</v>
      </c>
      <c r="BF2169" s="586">
        <f t="shared" si="265"/>
        <v>0</v>
      </c>
      <c r="BG2169" s="586" t="e">
        <f t="shared" si="266"/>
        <v>#DIV/0!</v>
      </c>
      <c r="BH2169" s="571" t="e">
        <f t="shared" si="267"/>
        <v>#DIV/0!</v>
      </c>
    </row>
    <row r="2170" spans="55:60" s="39" customFormat="1">
      <c r="BC2170" s="573">
        <v>21.59</v>
      </c>
      <c r="BD2170" s="571">
        <f t="shared" si="264"/>
        <v>0</v>
      </c>
      <c r="BE2170" s="571">
        <f t="shared" si="268"/>
        <v>0</v>
      </c>
      <c r="BF2170" s="586">
        <f t="shared" si="265"/>
        <v>0</v>
      </c>
      <c r="BG2170" s="586" t="e">
        <f t="shared" si="266"/>
        <v>#DIV/0!</v>
      </c>
      <c r="BH2170" s="571" t="e">
        <f t="shared" si="267"/>
        <v>#DIV/0!</v>
      </c>
    </row>
    <row r="2171" spans="55:60" s="39" customFormat="1">
      <c r="BC2171" s="573">
        <v>21.6</v>
      </c>
      <c r="BD2171" s="571">
        <f t="shared" si="264"/>
        <v>0</v>
      </c>
      <c r="BE2171" s="571">
        <f t="shared" si="268"/>
        <v>0</v>
      </c>
      <c r="BF2171" s="586">
        <f t="shared" si="265"/>
        <v>0</v>
      </c>
      <c r="BG2171" s="586" t="e">
        <f t="shared" si="266"/>
        <v>#DIV/0!</v>
      </c>
      <c r="BH2171" s="571" t="e">
        <f t="shared" si="267"/>
        <v>#DIV/0!</v>
      </c>
    </row>
    <row r="2172" spans="55:60" s="39" customFormat="1">
      <c r="BC2172" s="573">
        <v>21.61</v>
      </c>
      <c r="BD2172" s="571">
        <f t="shared" si="264"/>
        <v>0</v>
      </c>
      <c r="BE2172" s="571">
        <f t="shared" si="268"/>
        <v>0</v>
      </c>
      <c r="BF2172" s="586">
        <f t="shared" si="265"/>
        <v>0</v>
      </c>
      <c r="BG2172" s="586" t="e">
        <f t="shared" si="266"/>
        <v>#DIV/0!</v>
      </c>
      <c r="BH2172" s="571" t="e">
        <f t="shared" si="267"/>
        <v>#DIV/0!</v>
      </c>
    </row>
    <row r="2173" spans="55:60" s="39" customFormat="1">
      <c r="BC2173" s="573">
        <v>21.62</v>
      </c>
      <c r="BD2173" s="571">
        <f t="shared" si="264"/>
        <v>0</v>
      </c>
      <c r="BE2173" s="571">
        <f t="shared" si="268"/>
        <v>0</v>
      </c>
      <c r="BF2173" s="586">
        <f t="shared" si="265"/>
        <v>0</v>
      </c>
      <c r="BG2173" s="586" t="e">
        <f t="shared" si="266"/>
        <v>#DIV/0!</v>
      </c>
      <c r="BH2173" s="571" t="e">
        <f t="shared" si="267"/>
        <v>#DIV/0!</v>
      </c>
    </row>
    <row r="2174" spans="55:60" s="39" customFormat="1">
      <c r="BC2174" s="573">
        <v>21.63</v>
      </c>
      <c r="BD2174" s="571">
        <f t="shared" si="264"/>
        <v>0</v>
      </c>
      <c r="BE2174" s="571">
        <f t="shared" si="268"/>
        <v>0</v>
      </c>
      <c r="BF2174" s="586">
        <f t="shared" si="265"/>
        <v>0</v>
      </c>
      <c r="BG2174" s="586" t="e">
        <f t="shared" si="266"/>
        <v>#DIV/0!</v>
      </c>
      <c r="BH2174" s="571" t="e">
        <f t="shared" si="267"/>
        <v>#DIV/0!</v>
      </c>
    </row>
    <row r="2175" spans="55:60" s="39" customFormat="1">
      <c r="BC2175" s="573">
        <v>21.64</v>
      </c>
      <c r="BD2175" s="571">
        <f t="shared" si="264"/>
        <v>0</v>
      </c>
      <c r="BE2175" s="571">
        <f t="shared" si="268"/>
        <v>0</v>
      </c>
      <c r="BF2175" s="586">
        <f t="shared" si="265"/>
        <v>0</v>
      </c>
      <c r="BG2175" s="586" t="e">
        <f t="shared" si="266"/>
        <v>#DIV/0!</v>
      </c>
      <c r="BH2175" s="571" t="e">
        <f t="shared" si="267"/>
        <v>#DIV/0!</v>
      </c>
    </row>
    <row r="2176" spans="55:60" s="39" customFormat="1">
      <c r="BC2176" s="573">
        <v>21.65</v>
      </c>
      <c r="BD2176" s="571">
        <f t="shared" si="264"/>
        <v>0</v>
      </c>
      <c r="BE2176" s="571">
        <f t="shared" si="268"/>
        <v>0</v>
      </c>
      <c r="BF2176" s="586">
        <f t="shared" si="265"/>
        <v>0</v>
      </c>
      <c r="BG2176" s="586" t="e">
        <f t="shared" si="266"/>
        <v>#DIV/0!</v>
      </c>
      <c r="BH2176" s="571" t="e">
        <f t="shared" si="267"/>
        <v>#DIV/0!</v>
      </c>
    </row>
    <row r="2177" spans="55:60" s="39" customFormat="1">
      <c r="BC2177" s="573">
        <v>21.66</v>
      </c>
      <c r="BD2177" s="571">
        <f t="shared" si="264"/>
        <v>0</v>
      </c>
      <c r="BE2177" s="571">
        <f t="shared" si="268"/>
        <v>0</v>
      </c>
      <c r="BF2177" s="586">
        <f t="shared" si="265"/>
        <v>0</v>
      </c>
      <c r="BG2177" s="586" t="e">
        <f t="shared" si="266"/>
        <v>#DIV/0!</v>
      </c>
      <c r="BH2177" s="571" t="e">
        <f t="shared" si="267"/>
        <v>#DIV/0!</v>
      </c>
    </row>
    <row r="2178" spans="55:60" s="39" customFormat="1">
      <c r="BC2178" s="573">
        <v>21.67</v>
      </c>
      <c r="BD2178" s="571">
        <f t="shared" si="264"/>
        <v>0</v>
      </c>
      <c r="BE2178" s="571">
        <f t="shared" si="268"/>
        <v>0</v>
      </c>
      <c r="BF2178" s="586">
        <f t="shared" si="265"/>
        <v>0</v>
      </c>
      <c r="BG2178" s="586" t="e">
        <f t="shared" si="266"/>
        <v>#DIV/0!</v>
      </c>
      <c r="BH2178" s="571" t="e">
        <f t="shared" si="267"/>
        <v>#DIV/0!</v>
      </c>
    </row>
    <row r="2179" spans="55:60" s="39" customFormat="1">
      <c r="BC2179" s="573">
        <v>21.68</v>
      </c>
      <c r="BD2179" s="571">
        <f t="shared" si="264"/>
        <v>0</v>
      </c>
      <c r="BE2179" s="571">
        <f t="shared" si="268"/>
        <v>0</v>
      </c>
      <c r="BF2179" s="586">
        <f t="shared" si="265"/>
        <v>0</v>
      </c>
      <c r="BG2179" s="586" t="e">
        <f t="shared" si="266"/>
        <v>#DIV/0!</v>
      </c>
      <c r="BH2179" s="571" t="e">
        <f t="shared" si="267"/>
        <v>#DIV/0!</v>
      </c>
    </row>
    <row r="2180" spans="55:60" s="39" customFormat="1">
      <c r="BC2180" s="573">
        <v>21.69</v>
      </c>
      <c r="BD2180" s="571">
        <f t="shared" si="264"/>
        <v>0</v>
      </c>
      <c r="BE2180" s="571">
        <f t="shared" si="268"/>
        <v>0</v>
      </c>
      <c r="BF2180" s="586">
        <f t="shared" si="265"/>
        <v>0</v>
      </c>
      <c r="BG2180" s="586" t="e">
        <f t="shared" si="266"/>
        <v>#DIV/0!</v>
      </c>
      <c r="BH2180" s="571" t="e">
        <f t="shared" si="267"/>
        <v>#DIV/0!</v>
      </c>
    </row>
    <row r="2181" spans="55:60" s="39" customFormat="1">
      <c r="BC2181" s="573">
        <v>21.7</v>
      </c>
      <c r="BD2181" s="571">
        <f t="shared" si="264"/>
        <v>0</v>
      </c>
      <c r="BE2181" s="571">
        <f t="shared" si="268"/>
        <v>0</v>
      </c>
      <c r="BF2181" s="586">
        <f t="shared" si="265"/>
        <v>0</v>
      </c>
      <c r="BG2181" s="586" t="e">
        <f t="shared" si="266"/>
        <v>#DIV/0!</v>
      </c>
      <c r="BH2181" s="571" t="e">
        <f t="shared" si="267"/>
        <v>#DIV/0!</v>
      </c>
    </row>
    <row r="2182" spans="55:60" s="39" customFormat="1">
      <c r="BC2182" s="573">
        <v>21.71</v>
      </c>
      <c r="BD2182" s="571">
        <f t="shared" si="264"/>
        <v>0</v>
      </c>
      <c r="BE2182" s="571">
        <f t="shared" si="268"/>
        <v>0</v>
      </c>
      <c r="BF2182" s="586">
        <f t="shared" si="265"/>
        <v>0</v>
      </c>
      <c r="BG2182" s="586" t="e">
        <f t="shared" si="266"/>
        <v>#DIV/0!</v>
      </c>
      <c r="BH2182" s="571" t="e">
        <f t="shared" si="267"/>
        <v>#DIV/0!</v>
      </c>
    </row>
    <row r="2183" spans="55:60" s="39" customFormat="1">
      <c r="BC2183" s="573">
        <v>21.72</v>
      </c>
      <c r="BD2183" s="571">
        <f t="shared" si="264"/>
        <v>0</v>
      </c>
      <c r="BE2183" s="571">
        <f t="shared" si="268"/>
        <v>0</v>
      </c>
      <c r="BF2183" s="586">
        <f t="shared" si="265"/>
        <v>0</v>
      </c>
      <c r="BG2183" s="586" t="e">
        <f t="shared" si="266"/>
        <v>#DIV/0!</v>
      </c>
      <c r="BH2183" s="571" t="e">
        <f t="shared" si="267"/>
        <v>#DIV/0!</v>
      </c>
    </row>
    <row r="2184" spans="55:60" s="39" customFormat="1">
      <c r="BC2184" s="573">
        <v>21.73</v>
      </c>
      <c r="BD2184" s="571">
        <f t="shared" si="264"/>
        <v>0</v>
      </c>
      <c r="BE2184" s="571">
        <f t="shared" si="268"/>
        <v>0</v>
      </c>
      <c r="BF2184" s="586">
        <f t="shared" si="265"/>
        <v>0</v>
      </c>
      <c r="BG2184" s="586" t="e">
        <f t="shared" si="266"/>
        <v>#DIV/0!</v>
      </c>
      <c r="BH2184" s="571" t="e">
        <f t="shared" si="267"/>
        <v>#DIV/0!</v>
      </c>
    </row>
    <row r="2185" spans="55:60" s="39" customFormat="1">
      <c r="BC2185" s="573">
        <v>21.74</v>
      </c>
      <c r="BD2185" s="571">
        <f t="shared" si="264"/>
        <v>0</v>
      </c>
      <c r="BE2185" s="571">
        <f t="shared" si="268"/>
        <v>0</v>
      </c>
      <c r="BF2185" s="586">
        <f t="shared" si="265"/>
        <v>0</v>
      </c>
      <c r="BG2185" s="586" t="e">
        <f t="shared" si="266"/>
        <v>#DIV/0!</v>
      </c>
      <c r="BH2185" s="571" t="e">
        <f t="shared" si="267"/>
        <v>#DIV/0!</v>
      </c>
    </row>
    <row r="2186" spans="55:60" s="39" customFormat="1">
      <c r="BC2186" s="573">
        <v>21.75</v>
      </c>
      <c r="BD2186" s="571">
        <f t="shared" si="264"/>
        <v>0</v>
      </c>
      <c r="BE2186" s="571">
        <f t="shared" si="268"/>
        <v>0</v>
      </c>
      <c r="BF2186" s="586">
        <f t="shared" si="265"/>
        <v>0</v>
      </c>
      <c r="BG2186" s="586" t="e">
        <f t="shared" si="266"/>
        <v>#DIV/0!</v>
      </c>
      <c r="BH2186" s="571" t="e">
        <f t="shared" si="267"/>
        <v>#DIV/0!</v>
      </c>
    </row>
    <row r="2187" spans="55:60" s="39" customFormat="1">
      <c r="BC2187" s="573">
        <v>21.76</v>
      </c>
      <c r="BD2187" s="571">
        <f t="shared" si="264"/>
        <v>0</v>
      </c>
      <c r="BE2187" s="571">
        <f t="shared" si="268"/>
        <v>0</v>
      </c>
      <c r="BF2187" s="586">
        <f t="shared" si="265"/>
        <v>0</v>
      </c>
      <c r="BG2187" s="586" t="e">
        <f t="shared" si="266"/>
        <v>#DIV/0!</v>
      </c>
      <c r="BH2187" s="571" t="e">
        <f t="shared" si="267"/>
        <v>#DIV/0!</v>
      </c>
    </row>
    <row r="2188" spans="55:60" s="39" customFormat="1">
      <c r="BC2188" s="573">
        <v>21.77</v>
      </c>
      <c r="BD2188" s="571">
        <f t="shared" ref="BD2188:BD2251" si="269">$AU$15/BC2188</f>
        <v>0</v>
      </c>
      <c r="BE2188" s="571">
        <f t="shared" si="268"/>
        <v>0</v>
      </c>
      <c r="BF2188" s="586">
        <f t="shared" ref="BF2188:BF2251" si="270">BC2188*(BE2188/1000)/$AO$12</f>
        <v>0</v>
      </c>
      <c r="BG2188" s="586" t="e">
        <f t="shared" ref="BG2188:BG2251" si="271">POWER((1/(-1.8*LOG((6.9/BF2188+POWER((($P$7/BE2188)/3.71),1.11)),10))),2)</f>
        <v>#DIV/0!</v>
      </c>
      <c r="BH2188" s="571" t="e">
        <f t="shared" ref="BH2188:BH2251" si="272">BG2188*0.5*$P$6*16*$AU$15*$AU$15/(POWER(PI(),2)*POWER((BE2188/1000),5))</f>
        <v>#DIV/0!</v>
      </c>
    </row>
    <row r="2189" spans="55:60" s="39" customFormat="1">
      <c r="BC2189" s="573">
        <v>21.78</v>
      </c>
      <c r="BD2189" s="571">
        <f t="shared" si="269"/>
        <v>0</v>
      </c>
      <c r="BE2189" s="571">
        <f t="shared" ref="BE2189:BE2252" si="273">((BD2189/PI())^0.5)*2*1000</f>
        <v>0</v>
      </c>
      <c r="BF2189" s="586">
        <f t="shared" si="270"/>
        <v>0</v>
      </c>
      <c r="BG2189" s="586" t="e">
        <f t="shared" si="271"/>
        <v>#DIV/0!</v>
      </c>
      <c r="BH2189" s="571" t="e">
        <f t="shared" si="272"/>
        <v>#DIV/0!</v>
      </c>
    </row>
    <row r="2190" spans="55:60" s="39" customFormat="1">
      <c r="BC2190" s="573">
        <v>21.79</v>
      </c>
      <c r="BD2190" s="571">
        <f t="shared" si="269"/>
        <v>0</v>
      </c>
      <c r="BE2190" s="571">
        <f t="shared" si="273"/>
        <v>0</v>
      </c>
      <c r="BF2190" s="586">
        <f t="shared" si="270"/>
        <v>0</v>
      </c>
      <c r="BG2190" s="586" t="e">
        <f t="shared" si="271"/>
        <v>#DIV/0!</v>
      </c>
      <c r="BH2190" s="571" t="e">
        <f t="shared" si="272"/>
        <v>#DIV/0!</v>
      </c>
    </row>
    <row r="2191" spans="55:60" s="39" customFormat="1">
      <c r="BC2191" s="573">
        <v>21.8</v>
      </c>
      <c r="BD2191" s="571">
        <f t="shared" si="269"/>
        <v>0</v>
      </c>
      <c r="BE2191" s="571">
        <f t="shared" si="273"/>
        <v>0</v>
      </c>
      <c r="BF2191" s="586">
        <f t="shared" si="270"/>
        <v>0</v>
      </c>
      <c r="BG2191" s="586" t="e">
        <f t="shared" si="271"/>
        <v>#DIV/0!</v>
      </c>
      <c r="BH2191" s="571" t="e">
        <f t="shared" si="272"/>
        <v>#DIV/0!</v>
      </c>
    </row>
    <row r="2192" spans="55:60" s="39" customFormat="1">
      <c r="BC2192" s="573">
        <v>21.81</v>
      </c>
      <c r="BD2192" s="571">
        <f t="shared" si="269"/>
        <v>0</v>
      </c>
      <c r="BE2192" s="571">
        <f t="shared" si="273"/>
        <v>0</v>
      </c>
      <c r="BF2192" s="586">
        <f t="shared" si="270"/>
        <v>0</v>
      </c>
      <c r="BG2192" s="586" t="e">
        <f t="shared" si="271"/>
        <v>#DIV/0!</v>
      </c>
      <c r="BH2192" s="571" t="e">
        <f t="shared" si="272"/>
        <v>#DIV/0!</v>
      </c>
    </row>
    <row r="2193" spans="55:60" s="39" customFormat="1">
      <c r="BC2193" s="573">
        <v>21.82</v>
      </c>
      <c r="BD2193" s="571">
        <f t="shared" si="269"/>
        <v>0</v>
      </c>
      <c r="BE2193" s="571">
        <f t="shared" si="273"/>
        <v>0</v>
      </c>
      <c r="BF2193" s="586">
        <f t="shared" si="270"/>
        <v>0</v>
      </c>
      <c r="BG2193" s="586" t="e">
        <f t="shared" si="271"/>
        <v>#DIV/0!</v>
      </c>
      <c r="BH2193" s="571" t="e">
        <f t="shared" si="272"/>
        <v>#DIV/0!</v>
      </c>
    </row>
    <row r="2194" spans="55:60" s="39" customFormat="1">
      <c r="BC2194" s="573">
        <v>21.83</v>
      </c>
      <c r="BD2194" s="571">
        <f t="shared" si="269"/>
        <v>0</v>
      </c>
      <c r="BE2194" s="571">
        <f t="shared" si="273"/>
        <v>0</v>
      </c>
      <c r="BF2194" s="586">
        <f t="shared" si="270"/>
        <v>0</v>
      </c>
      <c r="BG2194" s="586" t="e">
        <f t="shared" si="271"/>
        <v>#DIV/0!</v>
      </c>
      <c r="BH2194" s="571" t="e">
        <f t="shared" si="272"/>
        <v>#DIV/0!</v>
      </c>
    </row>
    <row r="2195" spans="55:60" s="39" customFormat="1">
      <c r="BC2195" s="573">
        <v>21.84</v>
      </c>
      <c r="BD2195" s="571">
        <f t="shared" si="269"/>
        <v>0</v>
      </c>
      <c r="BE2195" s="571">
        <f t="shared" si="273"/>
        <v>0</v>
      </c>
      <c r="BF2195" s="586">
        <f t="shared" si="270"/>
        <v>0</v>
      </c>
      <c r="BG2195" s="586" t="e">
        <f t="shared" si="271"/>
        <v>#DIV/0!</v>
      </c>
      <c r="BH2195" s="571" t="e">
        <f t="shared" si="272"/>
        <v>#DIV/0!</v>
      </c>
    </row>
    <row r="2196" spans="55:60" s="39" customFormat="1">
      <c r="BC2196" s="573">
        <v>21.85</v>
      </c>
      <c r="BD2196" s="571">
        <f t="shared" si="269"/>
        <v>0</v>
      </c>
      <c r="BE2196" s="571">
        <f t="shared" si="273"/>
        <v>0</v>
      </c>
      <c r="BF2196" s="586">
        <f t="shared" si="270"/>
        <v>0</v>
      </c>
      <c r="BG2196" s="586" t="e">
        <f t="shared" si="271"/>
        <v>#DIV/0!</v>
      </c>
      <c r="BH2196" s="571" t="e">
        <f t="shared" si="272"/>
        <v>#DIV/0!</v>
      </c>
    </row>
    <row r="2197" spans="55:60" s="39" customFormat="1">
      <c r="BC2197" s="573">
        <v>21.86</v>
      </c>
      <c r="BD2197" s="571">
        <f t="shared" si="269"/>
        <v>0</v>
      </c>
      <c r="BE2197" s="571">
        <f t="shared" si="273"/>
        <v>0</v>
      </c>
      <c r="BF2197" s="586">
        <f t="shared" si="270"/>
        <v>0</v>
      </c>
      <c r="BG2197" s="586" t="e">
        <f t="shared" si="271"/>
        <v>#DIV/0!</v>
      </c>
      <c r="BH2197" s="571" t="e">
        <f t="shared" si="272"/>
        <v>#DIV/0!</v>
      </c>
    </row>
    <row r="2198" spans="55:60" s="39" customFormat="1">
      <c r="BC2198" s="573">
        <v>21.87</v>
      </c>
      <c r="BD2198" s="571">
        <f t="shared" si="269"/>
        <v>0</v>
      </c>
      <c r="BE2198" s="571">
        <f t="shared" si="273"/>
        <v>0</v>
      </c>
      <c r="BF2198" s="586">
        <f t="shared" si="270"/>
        <v>0</v>
      </c>
      <c r="BG2198" s="586" t="e">
        <f t="shared" si="271"/>
        <v>#DIV/0!</v>
      </c>
      <c r="BH2198" s="571" t="e">
        <f t="shared" si="272"/>
        <v>#DIV/0!</v>
      </c>
    </row>
    <row r="2199" spans="55:60" s="39" customFormat="1">
      <c r="BC2199" s="573">
        <v>21.88</v>
      </c>
      <c r="BD2199" s="571">
        <f t="shared" si="269"/>
        <v>0</v>
      </c>
      <c r="BE2199" s="571">
        <f t="shared" si="273"/>
        <v>0</v>
      </c>
      <c r="BF2199" s="586">
        <f t="shared" si="270"/>
        <v>0</v>
      </c>
      <c r="BG2199" s="586" t="e">
        <f t="shared" si="271"/>
        <v>#DIV/0!</v>
      </c>
      <c r="BH2199" s="571" t="e">
        <f t="shared" si="272"/>
        <v>#DIV/0!</v>
      </c>
    </row>
    <row r="2200" spans="55:60" s="39" customFormat="1">
      <c r="BC2200" s="573">
        <v>21.89</v>
      </c>
      <c r="BD2200" s="571">
        <f t="shared" si="269"/>
        <v>0</v>
      </c>
      <c r="BE2200" s="571">
        <f t="shared" si="273"/>
        <v>0</v>
      </c>
      <c r="BF2200" s="586">
        <f t="shared" si="270"/>
        <v>0</v>
      </c>
      <c r="BG2200" s="586" t="e">
        <f t="shared" si="271"/>
        <v>#DIV/0!</v>
      </c>
      <c r="BH2200" s="571" t="e">
        <f t="shared" si="272"/>
        <v>#DIV/0!</v>
      </c>
    </row>
    <row r="2201" spans="55:60" s="39" customFormat="1">
      <c r="BC2201" s="573">
        <v>21.9</v>
      </c>
      <c r="BD2201" s="571">
        <f t="shared" si="269"/>
        <v>0</v>
      </c>
      <c r="BE2201" s="571">
        <f t="shared" si="273"/>
        <v>0</v>
      </c>
      <c r="BF2201" s="586">
        <f t="shared" si="270"/>
        <v>0</v>
      </c>
      <c r="BG2201" s="586" t="e">
        <f t="shared" si="271"/>
        <v>#DIV/0!</v>
      </c>
      <c r="BH2201" s="571" t="e">
        <f t="shared" si="272"/>
        <v>#DIV/0!</v>
      </c>
    </row>
    <row r="2202" spans="55:60" s="39" customFormat="1">
      <c r="BC2202" s="573">
        <v>21.91</v>
      </c>
      <c r="BD2202" s="571">
        <f t="shared" si="269"/>
        <v>0</v>
      </c>
      <c r="BE2202" s="571">
        <f t="shared" si="273"/>
        <v>0</v>
      </c>
      <c r="BF2202" s="586">
        <f t="shared" si="270"/>
        <v>0</v>
      </c>
      <c r="BG2202" s="586" t="e">
        <f t="shared" si="271"/>
        <v>#DIV/0!</v>
      </c>
      <c r="BH2202" s="571" t="e">
        <f t="shared" si="272"/>
        <v>#DIV/0!</v>
      </c>
    </row>
    <row r="2203" spans="55:60" s="39" customFormat="1">
      <c r="BC2203" s="573">
        <v>21.92</v>
      </c>
      <c r="BD2203" s="571">
        <f t="shared" si="269"/>
        <v>0</v>
      </c>
      <c r="BE2203" s="571">
        <f t="shared" si="273"/>
        <v>0</v>
      </c>
      <c r="BF2203" s="586">
        <f t="shared" si="270"/>
        <v>0</v>
      </c>
      <c r="BG2203" s="586" t="e">
        <f t="shared" si="271"/>
        <v>#DIV/0!</v>
      </c>
      <c r="BH2203" s="571" t="e">
        <f t="shared" si="272"/>
        <v>#DIV/0!</v>
      </c>
    </row>
    <row r="2204" spans="55:60" s="39" customFormat="1">
      <c r="BC2204" s="573">
        <v>21.93</v>
      </c>
      <c r="BD2204" s="571">
        <f t="shared" si="269"/>
        <v>0</v>
      </c>
      <c r="BE2204" s="571">
        <f t="shared" si="273"/>
        <v>0</v>
      </c>
      <c r="BF2204" s="586">
        <f t="shared" si="270"/>
        <v>0</v>
      </c>
      <c r="BG2204" s="586" t="e">
        <f t="shared" si="271"/>
        <v>#DIV/0!</v>
      </c>
      <c r="BH2204" s="571" t="e">
        <f t="shared" si="272"/>
        <v>#DIV/0!</v>
      </c>
    </row>
    <row r="2205" spans="55:60" s="39" customFormat="1">
      <c r="BC2205" s="573">
        <v>21.94</v>
      </c>
      <c r="BD2205" s="571">
        <f t="shared" si="269"/>
        <v>0</v>
      </c>
      <c r="BE2205" s="571">
        <f t="shared" si="273"/>
        <v>0</v>
      </c>
      <c r="BF2205" s="586">
        <f t="shared" si="270"/>
        <v>0</v>
      </c>
      <c r="BG2205" s="586" t="e">
        <f t="shared" si="271"/>
        <v>#DIV/0!</v>
      </c>
      <c r="BH2205" s="571" t="e">
        <f t="shared" si="272"/>
        <v>#DIV/0!</v>
      </c>
    </row>
    <row r="2206" spans="55:60" s="39" customFormat="1">
      <c r="BC2206" s="573">
        <v>21.95</v>
      </c>
      <c r="BD2206" s="571">
        <f t="shared" si="269"/>
        <v>0</v>
      </c>
      <c r="BE2206" s="571">
        <f t="shared" si="273"/>
        <v>0</v>
      </c>
      <c r="BF2206" s="586">
        <f t="shared" si="270"/>
        <v>0</v>
      </c>
      <c r="BG2206" s="586" t="e">
        <f t="shared" si="271"/>
        <v>#DIV/0!</v>
      </c>
      <c r="BH2206" s="571" t="e">
        <f t="shared" si="272"/>
        <v>#DIV/0!</v>
      </c>
    </row>
    <row r="2207" spans="55:60" s="39" customFormat="1">
      <c r="BC2207" s="573">
        <v>21.96</v>
      </c>
      <c r="BD2207" s="571">
        <f t="shared" si="269"/>
        <v>0</v>
      </c>
      <c r="BE2207" s="571">
        <f t="shared" si="273"/>
        <v>0</v>
      </c>
      <c r="BF2207" s="586">
        <f t="shared" si="270"/>
        <v>0</v>
      </c>
      <c r="BG2207" s="586" t="e">
        <f t="shared" si="271"/>
        <v>#DIV/0!</v>
      </c>
      <c r="BH2207" s="571" t="e">
        <f t="shared" si="272"/>
        <v>#DIV/0!</v>
      </c>
    </row>
    <row r="2208" spans="55:60" s="39" customFormat="1">
      <c r="BC2208" s="573">
        <v>21.97</v>
      </c>
      <c r="BD2208" s="571">
        <f t="shared" si="269"/>
        <v>0</v>
      </c>
      <c r="BE2208" s="571">
        <f t="shared" si="273"/>
        <v>0</v>
      </c>
      <c r="BF2208" s="586">
        <f t="shared" si="270"/>
        <v>0</v>
      </c>
      <c r="BG2208" s="586" t="e">
        <f t="shared" si="271"/>
        <v>#DIV/0!</v>
      </c>
      <c r="BH2208" s="571" t="e">
        <f t="shared" si="272"/>
        <v>#DIV/0!</v>
      </c>
    </row>
    <row r="2209" spans="55:60" s="39" customFormat="1">
      <c r="BC2209" s="573">
        <v>21.98</v>
      </c>
      <c r="BD2209" s="571">
        <f t="shared" si="269"/>
        <v>0</v>
      </c>
      <c r="BE2209" s="571">
        <f t="shared" si="273"/>
        <v>0</v>
      </c>
      <c r="BF2209" s="586">
        <f t="shared" si="270"/>
        <v>0</v>
      </c>
      <c r="BG2209" s="586" t="e">
        <f t="shared" si="271"/>
        <v>#DIV/0!</v>
      </c>
      <c r="BH2209" s="571" t="e">
        <f t="shared" si="272"/>
        <v>#DIV/0!</v>
      </c>
    </row>
    <row r="2210" spans="55:60" s="39" customFormat="1">
      <c r="BC2210" s="573">
        <v>21.99</v>
      </c>
      <c r="BD2210" s="571">
        <f t="shared" si="269"/>
        <v>0</v>
      </c>
      <c r="BE2210" s="571">
        <f t="shared" si="273"/>
        <v>0</v>
      </c>
      <c r="BF2210" s="586">
        <f t="shared" si="270"/>
        <v>0</v>
      </c>
      <c r="BG2210" s="586" t="e">
        <f t="shared" si="271"/>
        <v>#DIV/0!</v>
      </c>
      <c r="BH2210" s="571" t="e">
        <f t="shared" si="272"/>
        <v>#DIV/0!</v>
      </c>
    </row>
    <row r="2211" spans="55:60" s="39" customFormat="1">
      <c r="BC2211" s="573">
        <v>22</v>
      </c>
      <c r="BD2211" s="571">
        <f t="shared" si="269"/>
        <v>0</v>
      </c>
      <c r="BE2211" s="571">
        <f t="shared" si="273"/>
        <v>0</v>
      </c>
      <c r="BF2211" s="586">
        <f t="shared" si="270"/>
        <v>0</v>
      </c>
      <c r="BG2211" s="586" t="e">
        <f t="shared" si="271"/>
        <v>#DIV/0!</v>
      </c>
      <c r="BH2211" s="571" t="e">
        <f t="shared" si="272"/>
        <v>#DIV/0!</v>
      </c>
    </row>
    <row r="2212" spans="55:60" s="39" customFormat="1">
      <c r="BC2212" s="573">
        <v>22.01</v>
      </c>
      <c r="BD2212" s="571">
        <f t="shared" si="269"/>
        <v>0</v>
      </c>
      <c r="BE2212" s="571">
        <f t="shared" si="273"/>
        <v>0</v>
      </c>
      <c r="BF2212" s="586">
        <f t="shared" si="270"/>
        <v>0</v>
      </c>
      <c r="BG2212" s="586" t="e">
        <f t="shared" si="271"/>
        <v>#DIV/0!</v>
      </c>
      <c r="BH2212" s="571" t="e">
        <f t="shared" si="272"/>
        <v>#DIV/0!</v>
      </c>
    </row>
    <row r="2213" spans="55:60" s="39" customFormat="1">
      <c r="BC2213" s="573">
        <v>22.02</v>
      </c>
      <c r="BD2213" s="571">
        <f t="shared" si="269"/>
        <v>0</v>
      </c>
      <c r="BE2213" s="571">
        <f t="shared" si="273"/>
        <v>0</v>
      </c>
      <c r="BF2213" s="586">
        <f t="shared" si="270"/>
        <v>0</v>
      </c>
      <c r="BG2213" s="586" t="e">
        <f t="shared" si="271"/>
        <v>#DIV/0!</v>
      </c>
      <c r="BH2213" s="571" t="e">
        <f t="shared" si="272"/>
        <v>#DIV/0!</v>
      </c>
    </row>
    <row r="2214" spans="55:60" s="39" customFormat="1">
      <c r="BC2214" s="573">
        <v>22.03</v>
      </c>
      <c r="BD2214" s="571">
        <f t="shared" si="269"/>
        <v>0</v>
      </c>
      <c r="BE2214" s="571">
        <f t="shared" si="273"/>
        <v>0</v>
      </c>
      <c r="BF2214" s="586">
        <f t="shared" si="270"/>
        <v>0</v>
      </c>
      <c r="BG2214" s="586" t="e">
        <f t="shared" si="271"/>
        <v>#DIV/0!</v>
      </c>
      <c r="BH2214" s="571" t="e">
        <f t="shared" si="272"/>
        <v>#DIV/0!</v>
      </c>
    </row>
    <row r="2215" spans="55:60" s="39" customFormat="1">
      <c r="BC2215" s="573">
        <v>22.04</v>
      </c>
      <c r="BD2215" s="571">
        <f t="shared" si="269"/>
        <v>0</v>
      </c>
      <c r="BE2215" s="571">
        <f t="shared" si="273"/>
        <v>0</v>
      </c>
      <c r="BF2215" s="586">
        <f t="shared" si="270"/>
        <v>0</v>
      </c>
      <c r="BG2215" s="586" t="e">
        <f t="shared" si="271"/>
        <v>#DIV/0!</v>
      </c>
      <c r="BH2215" s="571" t="e">
        <f t="shared" si="272"/>
        <v>#DIV/0!</v>
      </c>
    </row>
    <row r="2216" spans="55:60" s="39" customFormat="1">
      <c r="BC2216" s="573">
        <v>22.05</v>
      </c>
      <c r="BD2216" s="571">
        <f t="shared" si="269"/>
        <v>0</v>
      </c>
      <c r="BE2216" s="571">
        <f t="shared" si="273"/>
        <v>0</v>
      </c>
      <c r="BF2216" s="586">
        <f t="shared" si="270"/>
        <v>0</v>
      </c>
      <c r="BG2216" s="586" t="e">
        <f t="shared" si="271"/>
        <v>#DIV/0!</v>
      </c>
      <c r="BH2216" s="571" t="e">
        <f t="shared" si="272"/>
        <v>#DIV/0!</v>
      </c>
    </row>
    <row r="2217" spans="55:60" s="39" customFormat="1">
      <c r="BC2217" s="573">
        <v>22.06</v>
      </c>
      <c r="BD2217" s="571">
        <f t="shared" si="269"/>
        <v>0</v>
      </c>
      <c r="BE2217" s="571">
        <f t="shared" si="273"/>
        <v>0</v>
      </c>
      <c r="BF2217" s="586">
        <f t="shared" si="270"/>
        <v>0</v>
      </c>
      <c r="BG2217" s="586" t="e">
        <f t="shared" si="271"/>
        <v>#DIV/0!</v>
      </c>
      <c r="BH2217" s="571" t="e">
        <f t="shared" si="272"/>
        <v>#DIV/0!</v>
      </c>
    </row>
    <row r="2218" spans="55:60" s="39" customFormat="1">
      <c r="BC2218" s="573">
        <v>22.07</v>
      </c>
      <c r="BD2218" s="571">
        <f t="shared" si="269"/>
        <v>0</v>
      </c>
      <c r="BE2218" s="571">
        <f t="shared" si="273"/>
        <v>0</v>
      </c>
      <c r="BF2218" s="586">
        <f t="shared" si="270"/>
        <v>0</v>
      </c>
      <c r="BG2218" s="586" t="e">
        <f t="shared" si="271"/>
        <v>#DIV/0!</v>
      </c>
      <c r="BH2218" s="571" t="e">
        <f t="shared" si="272"/>
        <v>#DIV/0!</v>
      </c>
    </row>
    <row r="2219" spans="55:60" s="39" customFormat="1">
      <c r="BC2219" s="573">
        <v>22.08</v>
      </c>
      <c r="BD2219" s="571">
        <f t="shared" si="269"/>
        <v>0</v>
      </c>
      <c r="BE2219" s="571">
        <f t="shared" si="273"/>
        <v>0</v>
      </c>
      <c r="BF2219" s="586">
        <f t="shared" si="270"/>
        <v>0</v>
      </c>
      <c r="BG2219" s="586" t="e">
        <f t="shared" si="271"/>
        <v>#DIV/0!</v>
      </c>
      <c r="BH2219" s="571" t="e">
        <f t="shared" si="272"/>
        <v>#DIV/0!</v>
      </c>
    </row>
    <row r="2220" spans="55:60" s="39" customFormat="1">
      <c r="BC2220" s="573">
        <v>22.09</v>
      </c>
      <c r="BD2220" s="571">
        <f t="shared" si="269"/>
        <v>0</v>
      </c>
      <c r="BE2220" s="571">
        <f t="shared" si="273"/>
        <v>0</v>
      </c>
      <c r="BF2220" s="586">
        <f t="shared" si="270"/>
        <v>0</v>
      </c>
      <c r="BG2220" s="586" t="e">
        <f t="shared" si="271"/>
        <v>#DIV/0!</v>
      </c>
      <c r="BH2220" s="571" t="e">
        <f t="shared" si="272"/>
        <v>#DIV/0!</v>
      </c>
    </row>
    <row r="2221" spans="55:60" s="39" customFormat="1">
      <c r="BC2221" s="573">
        <v>22.1</v>
      </c>
      <c r="BD2221" s="571">
        <f t="shared" si="269"/>
        <v>0</v>
      </c>
      <c r="BE2221" s="571">
        <f t="shared" si="273"/>
        <v>0</v>
      </c>
      <c r="BF2221" s="586">
        <f t="shared" si="270"/>
        <v>0</v>
      </c>
      <c r="BG2221" s="586" t="e">
        <f t="shared" si="271"/>
        <v>#DIV/0!</v>
      </c>
      <c r="BH2221" s="571" t="e">
        <f t="shared" si="272"/>
        <v>#DIV/0!</v>
      </c>
    </row>
    <row r="2222" spans="55:60" s="39" customFormat="1">
      <c r="BC2222" s="573">
        <v>22.11</v>
      </c>
      <c r="BD2222" s="571">
        <f t="shared" si="269"/>
        <v>0</v>
      </c>
      <c r="BE2222" s="571">
        <f t="shared" si="273"/>
        <v>0</v>
      </c>
      <c r="BF2222" s="586">
        <f t="shared" si="270"/>
        <v>0</v>
      </c>
      <c r="BG2222" s="586" t="e">
        <f t="shared" si="271"/>
        <v>#DIV/0!</v>
      </c>
      <c r="BH2222" s="571" t="e">
        <f t="shared" si="272"/>
        <v>#DIV/0!</v>
      </c>
    </row>
    <row r="2223" spans="55:60" s="39" customFormat="1">
      <c r="BC2223" s="573">
        <v>22.12</v>
      </c>
      <c r="BD2223" s="571">
        <f t="shared" si="269"/>
        <v>0</v>
      </c>
      <c r="BE2223" s="571">
        <f t="shared" si="273"/>
        <v>0</v>
      </c>
      <c r="BF2223" s="586">
        <f t="shared" si="270"/>
        <v>0</v>
      </c>
      <c r="BG2223" s="586" t="e">
        <f t="shared" si="271"/>
        <v>#DIV/0!</v>
      </c>
      <c r="BH2223" s="571" t="e">
        <f t="shared" si="272"/>
        <v>#DIV/0!</v>
      </c>
    </row>
    <row r="2224" spans="55:60" s="39" customFormat="1">
      <c r="BC2224" s="573">
        <v>22.13</v>
      </c>
      <c r="BD2224" s="571">
        <f t="shared" si="269"/>
        <v>0</v>
      </c>
      <c r="BE2224" s="571">
        <f t="shared" si="273"/>
        <v>0</v>
      </c>
      <c r="BF2224" s="586">
        <f t="shared" si="270"/>
        <v>0</v>
      </c>
      <c r="BG2224" s="586" t="e">
        <f t="shared" si="271"/>
        <v>#DIV/0!</v>
      </c>
      <c r="BH2224" s="571" t="e">
        <f t="shared" si="272"/>
        <v>#DIV/0!</v>
      </c>
    </row>
    <row r="2225" spans="55:60" s="39" customFormat="1">
      <c r="BC2225" s="573">
        <v>22.14</v>
      </c>
      <c r="BD2225" s="571">
        <f t="shared" si="269"/>
        <v>0</v>
      </c>
      <c r="BE2225" s="571">
        <f t="shared" si="273"/>
        <v>0</v>
      </c>
      <c r="BF2225" s="586">
        <f t="shared" si="270"/>
        <v>0</v>
      </c>
      <c r="BG2225" s="586" t="e">
        <f t="shared" si="271"/>
        <v>#DIV/0!</v>
      </c>
      <c r="BH2225" s="571" t="e">
        <f t="shared" si="272"/>
        <v>#DIV/0!</v>
      </c>
    </row>
    <row r="2226" spans="55:60" s="39" customFormat="1">
      <c r="BC2226" s="573">
        <v>22.15</v>
      </c>
      <c r="BD2226" s="571">
        <f t="shared" si="269"/>
        <v>0</v>
      </c>
      <c r="BE2226" s="571">
        <f t="shared" si="273"/>
        <v>0</v>
      </c>
      <c r="BF2226" s="586">
        <f t="shared" si="270"/>
        <v>0</v>
      </c>
      <c r="BG2226" s="586" t="e">
        <f t="shared" si="271"/>
        <v>#DIV/0!</v>
      </c>
      <c r="BH2226" s="571" t="e">
        <f t="shared" si="272"/>
        <v>#DIV/0!</v>
      </c>
    </row>
    <row r="2227" spans="55:60" s="39" customFormat="1">
      <c r="BC2227" s="573">
        <v>22.16</v>
      </c>
      <c r="BD2227" s="571">
        <f t="shared" si="269"/>
        <v>0</v>
      </c>
      <c r="BE2227" s="571">
        <f t="shared" si="273"/>
        <v>0</v>
      </c>
      <c r="BF2227" s="586">
        <f t="shared" si="270"/>
        <v>0</v>
      </c>
      <c r="BG2227" s="586" t="e">
        <f t="shared" si="271"/>
        <v>#DIV/0!</v>
      </c>
      <c r="BH2227" s="571" t="e">
        <f t="shared" si="272"/>
        <v>#DIV/0!</v>
      </c>
    </row>
    <row r="2228" spans="55:60" s="39" customFormat="1">
      <c r="BC2228" s="573">
        <v>22.17</v>
      </c>
      <c r="BD2228" s="571">
        <f t="shared" si="269"/>
        <v>0</v>
      </c>
      <c r="BE2228" s="571">
        <f t="shared" si="273"/>
        <v>0</v>
      </c>
      <c r="BF2228" s="586">
        <f t="shared" si="270"/>
        <v>0</v>
      </c>
      <c r="BG2228" s="586" t="e">
        <f t="shared" si="271"/>
        <v>#DIV/0!</v>
      </c>
      <c r="BH2228" s="571" t="e">
        <f t="shared" si="272"/>
        <v>#DIV/0!</v>
      </c>
    </row>
    <row r="2229" spans="55:60" s="39" customFormat="1">
      <c r="BC2229" s="573">
        <v>22.18</v>
      </c>
      <c r="BD2229" s="571">
        <f t="shared" si="269"/>
        <v>0</v>
      </c>
      <c r="BE2229" s="571">
        <f t="shared" si="273"/>
        <v>0</v>
      </c>
      <c r="BF2229" s="586">
        <f t="shared" si="270"/>
        <v>0</v>
      </c>
      <c r="BG2229" s="586" t="e">
        <f t="shared" si="271"/>
        <v>#DIV/0!</v>
      </c>
      <c r="BH2229" s="571" t="e">
        <f t="shared" si="272"/>
        <v>#DIV/0!</v>
      </c>
    </row>
    <row r="2230" spans="55:60" s="39" customFormat="1">
      <c r="BC2230" s="573">
        <v>22.19</v>
      </c>
      <c r="BD2230" s="571">
        <f t="shared" si="269"/>
        <v>0</v>
      </c>
      <c r="BE2230" s="571">
        <f t="shared" si="273"/>
        <v>0</v>
      </c>
      <c r="BF2230" s="586">
        <f t="shared" si="270"/>
        <v>0</v>
      </c>
      <c r="BG2230" s="586" t="e">
        <f t="shared" si="271"/>
        <v>#DIV/0!</v>
      </c>
      <c r="BH2230" s="571" t="e">
        <f t="shared" si="272"/>
        <v>#DIV/0!</v>
      </c>
    </row>
    <row r="2231" spans="55:60" s="39" customFormat="1">
      <c r="BC2231" s="573">
        <v>22.2</v>
      </c>
      <c r="BD2231" s="571">
        <f t="shared" si="269"/>
        <v>0</v>
      </c>
      <c r="BE2231" s="571">
        <f t="shared" si="273"/>
        <v>0</v>
      </c>
      <c r="BF2231" s="586">
        <f t="shared" si="270"/>
        <v>0</v>
      </c>
      <c r="BG2231" s="586" t="e">
        <f t="shared" si="271"/>
        <v>#DIV/0!</v>
      </c>
      <c r="BH2231" s="571" t="e">
        <f t="shared" si="272"/>
        <v>#DIV/0!</v>
      </c>
    </row>
    <row r="2232" spans="55:60" s="39" customFormat="1">
      <c r="BC2232" s="573">
        <v>22.21</v>
      </c>
      <c r="BD2232" s="571">
        <f t="shared" si="269"/>
        <v>0</v>
      </c>
      <c r="BE2232" s="571">
        <f t="shared" si="273"/>
        <v>0</v>
      </c>
      <c r="BF2232" s="586">
        <f t="shared" si="270"/>
        <v>0</v>
      </c>
      <c r="BG2232" s="586" t="e">
        <f t="shared" si="271"/>
        <v>#DIV/0!</v>
      </c>
      <c r="BH2232" s="571" t="e">
        <f t="shared" si="272"/>
        <v>#DIV/0!</v>
      </c>
    </row>
    <row r="2233" spans="55:60" s="39" customFormat="1">
      <c r="BC2233" s="573">
        <v>22.22</v>
      </c>
      <c r="BD2233" s="571">
        <f t="shared" si="269"/>
        <v>0</v>
      </c>
      <c r="BE2233" s="571">
        <f t="shared" si="273"/>
        <v>0</v>
      </c>
      <c r="BF2233" s="586">
        <f t="shared" si="270"/>
        <v>0</v>
      </c>
      <c r="BG2233" s="586" t="e">
        <f t="shared" si="271"/>
        <v>#DIV/0!</v>
      </c>
      <c r="BH2233" s="571" t="e">
        <f t="shared" si="272"/>
        <v>#DIV/0!</v>
      </c>
    </row>
    <row r="2234" spans="55:60" s="39" customFormat="1">
      <c r="BC2234" s="573">
        <v>22.23</v>
      </c>
      <c r="BD2234" s="571">
        <f t="shared" si="269"/>
        <v>0</v>
      </c>
      <c r="BE2234" s="571">
        <f t="shared" si="273"/>
        <v>0</v>
      </c>
      <c r="BF2234" s="586">
        <f t="shared" si="270"/>
        <v>0</v>
      </c>
      <c r="BG2234" s="586" t="e">
        <f t="shared" si="271"/>
        <v>#DIV/0!</v>
      </c>
      <c r="BH2234" s="571" t="e">
        <f t="shared" si="272"/>
        <v>#DIV/0!</v>
      </c>
    </row>
    <row r="2235" spans="55:60" s="39" customFormat="1">
      <c r="BC2235" s="573">
        <v>22.24</v>
      </c>
      <c r="BD2235" s="571">
        <f t="shared" si="269"/>
        <v>0</v>
      </c>
      <c r="BE2235" s="571">
        <f t="shared" si="273"/>
        <v>0</v>
      </c>
      <c r="BF2235" s="586">
        <f t="shared" si="270"/>
        <v>0</v>
      </c>
      <c r="BG2235" s="586" t="e">
        <f t="shared" si="271"/>
        <v>#DIV/0!</v>
      </c>
      <c r="BH2235" s="571" t="e">
        <f t="shared" si="272"/>
        <v>#DIV/0!</v>
      </c>
    </row>
    <row r="2236" spans="55:60" s="39" customFormat="1">
      <c r="BC2236" s="573">
        <v>22.25</v>
      </c>
      <c r="BD2236" s="571">
        <f t="shared" si="269"/>
        <v>0</v>
      </c>
      <c r="BE2236" s="571">
        <f t="shared" si="273"/>
        <v>0</v>
      </c>
      <c r="BF2236" s="586">
        <f t="shared" si="270"/>
        <v>0</v>
      </c>
      <c r="BG2236" s="586" t="e">
        <f t="shared" si="271"/>
        <v>#DIV/0!</v>
      </c>
      <c r="BH2236" s="571" t="e">
        <f t="shared" si="272"/>
        <v>#DIV/0!</v>
      </c>
    </row>
    <row r="2237" spans="55:60" s="39" customFormat="1">
      <c r="BC2237" s="573">
        <v>22.26</v>
      </c>
      <c r="BD2237" s="571">
        <f t="shared" si="269"/>
        <v>0</v>
      </c>
      <c r="BE2237" s="571">
        <f t="shared" si="273"/>
        <v>0</v>
      </c>
      <c r="BF2237" s="586">
        <f t="shared" si="270"/>
        <v>0</v>
      </c>
      <c r="BG2237" s="586" t="e">
        <f t="shared" si="271"/>
        <v>#DIV/0!</v>
      </c>
      <c r="BH2237" s="571" t="e">
        <f t="shared" si="272"/>
        <v>#DIV/0!</v>
      </c>
    </row>
    <row r="2238" spans="55:60" s="39" customFormat="1">
      <c r="BC2238" s="573">
        <v>22.27</v>
      </c>
      <c r="BD2238" s="571">
        <f t="shared" si="269"/>
        <v>0</v>
      </c>
      <c r="BE2238" s="571">
        <f t="shared" si="273"/>
        <v>0</v>
      </c>
      <c r="BF2238" s="586">
        <f t="shared" si="270"/>
        <v>0</v>
      </c>
      <c r="BG2238" s="586" t="e">
        <f t="shared" si="271"/>
        <v>#DIV/0!</v>
      </c>
      <c r="BH2238" s="571" t="e">
        <f t="shared" si="272"/>
        <v>#DIV/0!</v>
      </c>
    </row>
    <row r="2239" spans="55:60" s="39" customFormat="1">
      <c r="BC2239" s="573">
        <v>22.28</v>
      </c>
      <c r="BD2239" s="571">
        <f t="shared" si="269"/>
        <v>0</v>
      </c>
      <c r="BE2239" s="571">
        <f t="shared" si="273"/>
        <v>0</v>
      </c>
      <c r="BF2239" s="586">
        <f t="shared" si="270"/>
        <v>0</v>
      </c>
      <c r="BG2239" s="586" t="e">
        <f t="shared" si="271"/>
        <v>#DIV/0!</v>
      </c>
      <c r="BH2239" s="571" t="e">
        <f t="shared" si="272"/>
        <v>#DIV/0!</v>
      </c>
    </row>
    <row r="2240" spans="55:60" s="39" customFormat="1">
      <c r="BC2240" s="573">
        <v>22.29</v>
      </c>
      <c r="BD2240" s="571">
        <f t="shared" si="269"/>
        <v>0</v>
      </c>
      <c r="BE2240" s="571">
        <f t="shared" si="273"/>
        <v>0</v>
      </c>
      <c r="BF2240" s="586">
        <f t="shared" si="270"/>
        <v>0</v>
      </c>
      <c r="BG2240" s="586" t="e">
        <f t="shared" si="271"/>
        <v>#DIV/0!</v>
      </c>
      <c r="BH2240" s="571" t="e">
        <f t="shared" si="272"/>
        <v>#DIV/0!</v>
      </c>
    </row>
    <row r="2241" spans="55:60" s="39" customFormat="1">
      <c r="BC2241" s="573">
        <v>22.3</v>
      </c>
      <c r="BD2241" s="571">
        <f t="shared" si="269"/>
        <v>0</v>
      </c>
      <c r="BE2241" s="571">
        <f t="shared" si="273"/>
        <v>0</v>
      </c>
      <c r="BF2241" s="586">
        <f t="shared" si="270"/>
        <v>0</v>
      </c>
      <c r="BG2241" s="586" t="e">
        <f t="shared" si="271"/>
        <v>#DIV/0!</v>
      </c>
      <c r="BH2241" s="571" t="e">
        <f t="shared" si="272"/>
        <v>#DIV/0!</v>
      </c>
    </row>
    <row r="2242" spans="55:60" s="39" customFormat="1">
      <c r="BC2242" s="573">
        <v>22.31</v>
      </c>
      <c r="BD2242" s="571">
        <f t="shared" si="269"/>
        <v>0</v>
      </c>
      <c r="BE2242" s="571">
        <f t="shared" si="273"/>
        <v>0</v>
      </c>
      <c r="BF2242" s="586">
        <f t="shared" si="270"/>
        <v>0</v>
      </c>
      <c r="BG2242" s="586" t="e">
        <f t="shared" si="271"/>
        <v>#DIV/0!</v>
      </c>
      <c r="BH2242" s="571" t="e">
        <f t="shared" si="272"/>
        <v>#DIV/0!</v>
      </c>
    </row>
    <row r="2243" spans="55:60" s="39" customFormat="1">
      <c r="BC2243" s="573">
        <v>22.32</v>
      </c>
      <c r="BD2243" s="571">
        <f t="shared" si="269"/>
        <v>0</v>
      </c>
      <c r="BE2243" s="571">
        <f t="shared" si="273"/>
        <v>0</v>
      </c>
      <c r="BF2243" s="586">
        <f t="shared" si="270"/>
        <v>0</v>
      </c>
      <c r="BG2243" s="586" t="e">
        <f t="shared" si="271"/>
        <v>#DIV/0!</v>
      </c>
      <c r="BH2243" s="571" t="e">
        <f t="shared" si="272"/>
        <v>#DIV/0!</v>
      </c>
    </row>
    <row r="2244" spans="55:60" s="39" customFormat="1">
      <c r="BC2244" s="573">
        <v>22.33</v>
      </c>
      <c r="BD2244" s="571">
        <f t="shared" si="269"/>
        <v>0</v>
      </c>
      <c r="BE2244" s="571">
        <f t="shared" si="273"/>
        <v>0</v>
      </c>
      <c r="BF2244" s="586">
        <f t="shared" si="270"/>
        <v>0</v>
      </c>
      <c r="BG2244" s="586" t="e">
        <f t="shared" si="271"/>
        <v>#DIV/0!</v>
      </c>
      <c r="BH2244" s="571" t="e">
        <f t="shared" si="272"/>
        <v>#DIV/0!</v>
      </c>
    </row>
    <row r="2245" spans="55:60" s="39" customFormat="1">
      <c r="BC2245" s="573">
        <v>22.34</v>
      </c>
      <c r="BD2245" s="571">
        <f t="shared" si="269"/>
        <v>0</v>
      </c>
      <c r="BE2245" s="571">
        <f t="shared" si="273"/>
        <v>0</v>
      </c>
      <c r="BF2245" s="586">
        <f t="shared" si="270"/>
        <v>0</v>
      </c>
      <c r="BG2245" s="586" t="e">
        <f t="shared" si="271"/>
        <v>#DIV/0!</v>
      </c>
      <c r="BH2245" s="571" t="e">
        <f t="shared" si="272"/>
        <v>#DIV/0!</v>
      </c>
    </row>
    <row r="2246" spans="55:60" s="39" customFormat="1">
      <c r="BC2246" s="573">
        <v>22.35</v>
      </c>
      <c r="BD2246" s="571">
        <f t="shared" si="269"/>
        <v>0</v>
      </c>
      <c r="BE2246" s="571">
        <f t="shared" si="273"/>
        <v>0</v>
      </c>
      <c r="BF2246" s="586">
        <f t="shared" si="270"/>
        <v>0</v>
      </c>
      <c r="BG2246" s="586" t="e">
        <f t="shared" si="271"/>
        <v>#DIV/0!</v>
      </c>
      <c r="BH2246" s="571" t="e">
        <f t="shared" si="272"/>
        <v>#DIV/0!</v>
      </c>
    </row>
    <row r="2247" spans="55:60" s="39" customFormat="1">
      <c r="BC2247" s="573">
        <v>22.36</v>
      </c>
      <c r="BD2247" s="571">
        <f t="shared" si="269"/>
        <v>0</v>
      </c>
      <c r="BE2247" s="571">
        <f t="shared" si="273"/>
        <v>0</v>
      </c>
      <c r="BF2247" s="586">
        <f t="shared" si="270"/>
        <v>0</v>
      </c>
      <c r="BG2247" s="586" t="e">
        <f t="shared" si="271"/>
        <v>#DIV/0!</v>
      </c>
      <c r="BH2247" s="571" t="e">
        <f t="shared" si="272"/>
        <v>#DIV/0!</v>
      </c>
    </row>
    <row r="2248" spans="55:60" s="39" customFormat="1">
      <c r="BC2248" s="573">
        <v>22.37</v>
      </c>
      <c r="BD2248" s="571">
        <f t="shared" si="269"/>
        <v>0</v>
      </c>
      <c r="BE2248" s="571">
        <f t="shared" si="273"/>
        <v>0</v>
      </c>
      <c r="BF2248" s="586">
        <f t="shared" si="270"/>
        <v>0</v>
      </c>
      <c r="BG2248" s="586" t="e">
        <f t="shared" si="271"/>
        <v>#DIV/0!</v>
      </c>
      <c r="BH2248" s="571" t="e">
        <f t="shared" si="272"/>
        <v>#DIV/0!</v>
      </c>
    </row>
    <row r="2249" spans="55:60" s="39" customFormat="1">
      <c r="BC2249" s="573">
        <v>22.38</v>
      </c>
      <c r="BD2249" s="571">
        <f t="shared" si="269"/>
        <v>0</v>
      </c>
      <c r="BE2249" s="571">
        <f t="shared" si="273"/>
        <v>0</v>
      </c>
      <c r="BF2249" s="586">
        <f t="shared" si="270"/>
        <v>0</v>
      </c>
      <c r="BG2249" s="586" t="e">
        <f t="shared" si="271"/>
        <v>#DIV/0!</v>
      </c>
      <c r="BH2249" s="571" t="e">
        <f t="shared" si="272"/>
        <v>#DIV/0!</v>
      </c>
    </row>
    <row r="2250" spans="55:60" s="39" customFormat="1">
      <c r="BC2250" s="573">
        <v>22.39</v>
      </c>
      <c r="BD2250" s="571">
        <f t="shared" si="269"/>
        <v>0</v>
      </c>
      <c r="BE2250" s="571">
        <f t="shared" si="273"/>
        <v>0</v>
      </c>
      <c r="BF2250" s="586">
        <f t="shared" si="270"/>
        <v>0</v>
      </c>
      <c r="BG2250" s="586" t="e">
        <f t="shared" si="271"/>
        <v>#DIV/0!</v>
      </c>
      <c r="BH2250" s="571" t="e">
        <f t="shared" si="272"/>
        <v>#DIV/0!</v>
      </c>
    </row>
    <row r="2251" spans="55:60" s="39" customFormat="1">
      <c r="BC2251" s="573">
        <v>22.4</v>
      </c>
      <c r="BD2251" s="571">
        <f t="shared" si="269"/>
        <v>0</v>
      </c>
      <c r="BE2251" s="571">
        <f t="shared" si="273"/>
        <v>0</v>
      </c>
      <c r="BF2251" s="586">
        <f t="shared" si="270"/>
        <v>0</v>
      </c>
      <c r="BG2251" s="586" t="e">
        <f t="shared" si="271"/>
        <v>#DIV/0!</v>
      </c>
      <c r="BH2251" s="571" t="e">
        <f t="shared" si="272"/>
        <v>#DIV/0!</v>
      </c>
    </row>
    <row r="2252" spans="55:60" s="39" customFormat="1">
      <c r="BC2252" s="573">
        <v>22.41</v>
      </c>
      <c r="BD2252" s="571">
        <f t="shared" ref="BD2252:BD2315" si="274">$AU$15/BC2252</f>
        <v>0</v>
      </c>
      <c r="BE2252" s="571">
        <f t="shared" si="273"/>
        <v>0</v>
      </c>
      <c r="BF2252" s="586">
        <f t="shared" ref="BF2252:BF2315" si="275">BC2252*(BE2252/1000)/$AO$12</f>
        <v>0</v>
      </c>
      <c r="BG2252" s="586" t="e">
        <f t="shared" ref="BG2252:BG2315" si="276">POWER((1/(-1.8*LOG((6.9/BF2252+POWER((($P$7/BE2252)/3.71),1.11)),10))),2)</f>
        <v>#DIV/0!</v>
      </c>
      <c r="BH2252" s="571" t="e">
        <f t="shared" ref="BH2252:BH2315" si="277">BG2252*0.5*$P$6*16*$AU$15*$AU$15/(POWER(PI(),2)*POWER((BE2252/1000),5))</f>
        <v>#DIV/0!</v>
      </c>
    </row>
    <row r="2253" spans="55:60" s="39" customFormat="1">
      <c r="BC2253" s="573">
        <v>22.42</v>
      </c>
      <c r="BD2253" s="571">
        <f t="shared" si="274"/>
        <v>0</v>
      </c>
      <c r="BE2253" s="571">
        <f t="shared" ref="BE2253:BE2316" si="278">((BD2253/PI())^0.5)*2*1000</f>
        <v>0</v>
      </c>
      <c r="BF2253" s="586">
        <f t="shared" si="275"/>
        <v>0</v>
      </c>
      <c r="BG2253" s="586" t="e">
        <f t="shared" si="276"/>
        <v>#DIV/0!</v>
      </c>
      <c r="BH2253" s="571" t="e">
        <f t="shared" si="277"/>
        <v>#DIV/0!</v>
      </c>
    </row>
    <row r="2254" spans="55:60" s="39" customFormat="1">
      <c r="BC2254" s="573">
        <v>22.43</v>
      </c>
      <c r="BD2254" s="571">
        <f t="shared" si="274"/>
        <v>0</v>
      </c>
      <c r="BE2254" s="571">
        <f t="shared" si="278"/>
        <v>0</v>
      </c>
      <c r="BF2254" s="586">
        <f t="shared" si="275"/>
        <v>0</v>
      </c>
      <c r="BG2254" s="586" t="e">
        <f t="shared" si="276"/>
        <v>#DIV/0!</v>
      </c>
      <c r="BH2254" s="571" t="e">
        <f t="shared" si="277"/>
        <v>#DIV/0!</v>
      </c>
    </row>
    <row r="2255" spans="55:60" s="39" customFormat="1">
      <c r="BC2255" s="573">
        <v>22.44</v>
      </c>
      <c r="BD2255" s="571">
        <f t="shared" si="274"/>
        <v>0</v>
      </c>
      <c r="BE2255" s="571">
        <f t="shared" si="278"/>
        <v>0</v>
      </c>
      <c r="BF2255" s="586">
        <f t="shared" si="275"/>
        <v>0</v>
      </c>
      <c r="BG2255" s="586" t="e">
        <f t="shared" si="276"/>
        <v>#DIV/0!</v>
      </c>
      <c r="BH2255" s="571" t="e">
        <f t="shared" si="277"/>
        <v>#DIV/0!</v>
      </c>
    </row>
    <row r="2256" spans="55:60" s="39" customFormat="1">
      <c r="BC2256" s="573">
        <v>22.45</v>
      </c>
      <c r="BD2256" s="571">
        <f t="shared" si="274"/>
        <v>0</v>
      </c>
      <c r="BE2256" s="571">
        <f t="shared" si="278"/>
        <v>0</v>
      </c>
      <c r="BF2256" s="586">
        <f t="shared" si="275"/>
        <v>0</v>
      </c>
      <c r="BG2256" s="586" t="e">
        <f t="shared" si="276"/>
        <v>#DIV/0!</v>
      </c>
      <c r="BH2256" s="571" t="e">
        <f t="shared" si="277"/>
        <v>#DIV/0!</v>
      </c>
    </row>
    <row r="2257" spans="55:60" s="39" customFormat="1">
      <c r="BC2257" s="573">
        <v>22.46</v>
      </c>
      <c r="BD2257" s="571">
        <f t="shared" si="274"/>
        <v>0</v>
      </c>
      <c r="BE2257" s="571">
        <f t="shared" si="278"/>
        <v>0</v>
      </c>
      <c r="BF2257" s="586">
        <f t="shared" si="275"/>
        <v>0</v>
      </c>
      <c r="BG2257" s="586" t="e">
        <f t="shared" si="276"/>
        <v>#DIV/0!</v>
      </c>
      <c r="BH2257" s="571" t="e">
        <f t="shared" si="277"/>
        <v>#DIV/0!</v>
      </c>
    </row>
    <row r="2258" spans="55:60" s="39" customFormat="1">
      <c r="BC2258" s="573">
        <v>22.47</v>
      </c>
      <c r="BD2258" s="571">
        <f t="shared" si="274"/>
        <v>0</v>
      </c>
      <c r="BE2258" s="571">
        <f t="shared" si="278"/>
        <v>0</v>
      </c>
      <c r="BF2258" s="586">
        <f t="shared" si="275"/>
        <v>0</v>
      </c>
      <c r="BG2258" s="586" t="e">
        <f t="shared" si="276"/>
        <v>#DIV/0!</v>
      </c>
      <c r="BH2258" s="571" t="e">
        <f t="shared" si="277"/>
        <v>#DIV/0!</v>
      </c>
    </row>
    <row r="2259" spans="55:60" s="39" customFormat="1">
      <c r="BC2259" s="573">
        <v>22.48</v>
      </c>
      <c r="BD2259" s="571">
        <f t="shared" si="274"/>
        <v>0</v>
      </c>
      <c r="BE2259" s="571">
        <f t="shared" si="278"/>
        <v>0</v>
      </c>
      <c r="BF2259" s="586">
        <f t="shared" si="275"/>
        <v>0</v>
      </c>
      <c r="BG2259" s="586" t="e">
        <f t="shared" si="276"/>
        <v>#DIV/0!</v>
      </c>
      <c r="BH2259" s="571" t="e">
        <f t="shared" si="277"/>
        <v>#DIV/0!</v>
      </c>
    </row>
    <row r="2260" spans="55:60" s="39" customFormat="1">
      <c r="BC2260" s="573">
        <v>22.49</v>
      </c>
      <c r="BD2260" s="571">
        <f t="shared" si="274"/>
        <v>0</v>
      </c>
      <c r="BE2260" s="571">
        <f t="shared" si="278"/>
        <v>0</v>
      </c>
      <c r="BF2260" s="586">
        <f t="shared" si="275"/>
        <v>0</v>
      </c>
      <c r="BG2260" s="586" t="e">
        <f t="shared" si="276"/>
        <v>#DIV/0!</v>
      </c>
      <c r="BH2260" s="571" t="e">
        <f t="shared" si="277"/>
        <v>#DIV/0!</v>
      </c>
    </row>
    <row r="2261" spans="55:60" s="39" customFormat="1">
      <c r="BC2261" s="573">
        <v>22.5</v>
      </c>
      <c r="BD2261" s="571">
        <f t="shared" si="274"/>
        <v>0</v>
      </c>
      <c r="BE2261" s="571">
        <f t="shared" si="278"/>
        <v>0</v>
      </c>
      <c r="BF2261" s="586">
        <f t="shared" si="275"/>
        <v>0</v>
      </c>
      <c r="BG2261" s="586" t="e">
        <f t="shared" si="276"/>
        <v>#DIV/0!</v>
      </c>
      <c r="BH2261" s="571" t="e">
        <f t="shared" si="277"/>
        <v>#DIV/0!</v>
      </c>
    </row>
    <row r="2262" spans="55:60" s="39" customFormat="1">
      <c r="BC2262" s="573">
        <v>22.51</v>
      </c>
      <c r="BD2262" s="571">
        <f t="shared" si="274"/>
        <v>0</v>
      </c>
      <c r="BE2262" s="571">
        <f t="shared" si="278"/>
        <v>0</v>
      </c>
      <c r="BF2262" s="586">
        <f t="shared" si="275"/>
        <v>0</v>
      </c>
      <c r="BG2262" s="586" t="e">
        <f t="shared" si="276"/>
        <v>#DIV/0!</v>
      </c>
      <c r="BH2262" s="571" t="e">
        <f t="shared" si="277"/>
        <v>#DIV/0!</v>
      </c>
    </row>
    <row r="2263" spans="55:60" s="39" customFormat="1">
      <c r="BC2263" s="573">
        <v>22.52</v>
      </c>
      <c r="BD2263" s="571">
        <f t="shared" si="274"/>
        <v>0</v>
      </c>
      <c r="BE2263" s="571">
        <f t="shared" si="278"/>
        <v>0</v>
      </c>
      <c r="BF2263" s="586">
        <f t="shared" si="275"/>
        <v>0</v>
      </c>
      <c r="BG2263" s="586" t="e">
        <f t="shared" si="276"/>
        <v>#DIV/0!</v>
      </c>
      <c r="BH2263" s="571" t="e">
        <f t="shared" si="277"/>
        <v>#DIV/0!</v>
      </c>
    </row>
    <row r="2264" spans="55:60" s="39" customFormat="1">
      <c r="BC2264" s="573">
        <v>22.53</v>
      </c>
      <c r="BD2264" s="571">
        <f t="shared" si="274"/>
        <v>0</v>
      </c>
      <c r="BE2264" s="571">
        <f t="shared" si="278"/>
        <v>0</v>
      </c>
      <c r="BF2264" s="586">
        <f t="shared" si="275"/>
        <v>0</v>
      </c>
      <c r="BG2264" s="586" t="e">
        <f t="shared" si="276"/>
        <v>#DIV/0!</v>
      </c>
      <c r="BH2264" s="571" t="e">
        <f t="shared" si="277"/>
        <v>#DIV/0!</v>
      </c>
    </row>
    <row r="2265" spans="55:60" s="39" customFormat="1">
      <c r="BC2265" s="573">
        <v>22.54</v>
      </c>
      <c r="BD2265" s="571">
        <f t="shared" si="274"/>
        <v>0</v>
      </c>
      <c r="BE2265" s="571">
        <f t="shared" si="278"/>
        <v>0</v>
      </c>
      <c r="BF2265" s="586">
        <f t="shared" si="275"/>
        <v>0</v>
      </c>
      <c r="BG2265" s="586" t="e">
        <f t="shared" si="276"/>
        <v>#DIV/0!</v>
      </c>
      <c r="BH2265" s="571" t="e">
        <f t="shared" si="277"/>
        <v>#DIV/0!</v>
      </c>
    </row>
    <row r="2266" spans="55:60" s="39" customFormat="1">
      <c r="BC2266" s="573">
        <v>22.55</v>
      </c>
      <c r="BD2266" s="571">
        <f t="shared" si="274"/>
        <v>0</v>
      </c>
      <c r="BE2266" s="571">
        <f t="shared" si="278"/>
        <v>0</v>
      </c>
      <c r="BF2266" s="586">
        <f t="shared" si="275"/>
        <v>0</v>
      </c>
      <c r="BG2266" s="586" t="e">
        <f t="shared" si="276"/>
        <v>#DIV/0!</v>
      </c>
      <c r="BH2266" s="571" t="e">
        <f t="shared" si="277"/>
        <v>#DIV/0!</v>
      </c>
    </row>
    <row r="2267" spans="55:60" s="39" customFormat="1">
      <c r="BC2267" s="573">
        <v>22.56</v>
      </c>
      <c r="BD2267" s="571">
        <f t="shared" si="274"/>
        <v>0</v>
      </c>
      <c r="BE2267" s="571">
        <f t="shared" si="278"/>
        <v>0</v>
      </c>
      <c r="BF2267" s="586">
        <f t="shared" si="275"/>
        <v>0</v>
      </c>
      <c r="BG2267" s="586" t="e">
        <f t="shared" si="276"/>
        <v>#DIV/0!</v>
      </c>
      <c r="BH2267" s="571" t="e">
        <f t="shared" si="277"/>
        <v>#DIV/0!</v>
      </c>
    </row>
    <row r="2268" spans="55:60" s="39" customFormat="1">
      <c r="BC2268" s="573">
        <v>22.57</v>
      </c>
      <c r="BD2268" s="571">
        <f t="shared" si="274"/>
        <v>0</v>
      </c>
      <c r="BE2268" s="571">
        <f t="shared" si="278"/>
        <v>0</v>
      </c>
      <c r="BF2268" s="586">
        <f t="shared" si="275"/>
        <v>0</v>
      </c>
      <c r="BG2268" s="586" t="e">
        <f t="shared" si="276"/>
        <v>#DIV/0!</v>
      </c>
      <c r="BH2268" s="571" t="e">
        <f t="shared" si="277"/>
        <v>#DIV/0!</v>
      </c>
    </row>
    <row r="2269" spans="55:60" s="39" customFormat="1">
      <c r="BC2269" s="573">
        <v>22.58</v>
      </c>
      <c r="BD2269" s="571">
        <f t="shared" si="274"/>
        <v>0</v>
      </c>
      <c r="BE2269" s="571">
        <f t="shared" si="278"/>
        <v>0</v>
      </c>
      <c r="BF2269" s="586">
        <f t="shared" si="275"/>
        <v>0</v>
      </c>
      <c r="BG2269" s="586" t="e">
        <f t="shared" si="276"/>
        <v>#DIV/0!</v>
      </c>
      <c r="BH2269" s="571" t="e">
        <f t="shared" si="277"/>
        <v>#DIV/0!</v>
      </c>
    </row>
    <row r="2270" spans="55:60" s="39" customFormat="1">
      <c r="BC2270" s="573">
        <v>22.59</v>
      </c>
      <c r="BD2270" s="571">
        <f t="shared" si="274"/>
        <v>0</v>
      </c>
      <c r="BE2270" s="571">
        <f t="shared" si="278"/>
        <v>0</v>
      </c>
      <c r="BF2270" s="586">
        <f t="shared" si="275"/>
        <v>0</v>
      </c>
      <c r="BG2270" s="586" t="e">
        <f t="shared" si="276"/>
        <v>#DIV/0!</v>
      </c>
      <c r="BH2270" s="571" t="e">
        <f t="shared" si="277"/>
        <v>#DIV/0!</v>
      </c>
    </row>
    <row r="2271" spans="55:60" s="39" customFormat="1">
      <c r="BC2271" s="573">
        <v>22.6</v>
      </c>
      <c r="BD2271" s="571">
        <f t="shared" si="274"/>
        <v>0</v>
      </c>
      <c r="BE2271" s="571">
        <f t="shared" si="278"/>
        <v>0</v>
      </c>
      <c r="BF2271" s="586">
        <f t="shared" si="275"/>
        <v>0</v>
      </c>
      <c r="BG2271" s="586" t="e">
        <f t="shared" si="276"/>
        <v>#DIV/0!</v>
      </c>
      <c r="BH2271" s="571" t="e">
        <f t="shared" si="277"/>
        <v>#DIV/0!</v>
      </c>
    </row>
    <row r="2272" spans="55:60" s="39" customFormat="1">
      <c r="BC2272" s="573">
        <v>22.61</v>
      </c>
      <c r="BD2272" s="571">
        <f t="shared" si="274"/>
        <v>0</v>
      </c>
      <c r="BE2272" s="571">
        <f t="shared" si="278"/>
        <v>0</v>
      </c>
      <c r="BF2272" s="586">
        <f t="shared" si="275"/>
        <v>0</v>
      </c>
      <c r="BG2272" s="586" t="e">
        <f t="shared" si="276"/>
        <v>#DIV/0!</v>
      </c>
      <c r="BH2272" s="571" t="e">
        <f t="shared" si="277"/>
        <v>#DIV/0!</v>
      </c>
    </row>
    <row r="2273" spans="55:60" s="39" customFormat="1">
      <c r="BC2273" s="573">
        <v>22.62</v>
      </c>
      <c r="BD2273" s="571">
        <f t="shared" si="274"/>
        <v>0</v>
      </c>
      <c r="BE2273" s="571">
        <f t="shared" si="278"/>
        <v>0</v>
      </c>
      <c r="BF2273" s="586">
        <f t="shared" si="275"/>
        <v>0</v>
      </c>
      <c r="BG2273" s="586" t="e">
        <f t="shared" si="276"/>
        <v>#DIV/0!</v>
      </c>
      <c r="BH2273" s="571" t="e">
        <f t="shared" si="277"/>
        <v>#DIV/0!</v>
      </c>
    </row>
    <row r="2274" spans="55:60" s="39" customFormat="1">
      <c r="BC2274" s="573">
        <v>22.63</v>
      </c>
      <c r="BD2274" s="571">
        <f t="shared" si="274"/>
        <v>0</v>
      </c>
      <c r="BE2274" s="571">
        <f t="shared" si="278"/>
        <v>0</v>
      </c>
      <c r="BF2274" s="586">
        <f t="shared" si="275"/>
        <v>0</v>
      </c>
      <c r="BG2274" s="586" t="e">
        <f t="shared" si="276"/>
        <v>#DIV/0!</v>
      </c>
      <c r="BH2274" s="571" t="e">
        <f t="shared" si="277"/>
        <v>#DIV/0!</v>
      </c>
    </row>
    <row r="2275" spans="55:60" s="39" customFormat="1">
      <c r="BC2275" s="573">
        <v>22.64</v>
      </c>
      <c r="BD2275" s="571">
        <f t="shared" si="274"/>
        <v>0</v>
      </c>
      <c r="BE2275" s="571">
        <f t="shared" si="278"/>
        <v>0</v>
      </c>
      <c r="BF2275" s="586">
        <f t="shared" si="275"/>
        <v>0</v>
      </c>
      <c r="BG2275" s="586" t="e">
        <f t="shared" si="276"/>
        <v>#DIV/0!</v>
      </c>
      <c r="BH2275" s="571" t="e">
        <f t="shared" si="277"/>
        <v>#DIV/0!</v>
      </c>
    </row>
    <row r="2276" spans="55:60" s="39" customFormat="1">
      <c r="BC2276" s="573">
        <v>22.65</v>
      </c>
      <c r="BD2276" s="571">
        <f t="shared" si="274"/>
        <v>0</v>
      </c>
      <c r="BE2276" s="571">
        <f t="shared" si="278"/>
        <v>0</v>
      </c>
      <c r="BF2276" s="586">
        <f t="shared" si="275"/>
        <v>0</v>
      </c>
      <c r="BG2276" s="586" t="e">
        <f t="shared" si="276"/>
        <v>#DIV/0!</v>
      </c>
      <c r="BH2276" s="571" t="e">
        <f t="shared" si="277"/>
        <v>#DIV/0!</v>
      </c>
    </row>
    <row r="2277" spans="55:60" s="39" customFormat="1">
      <c r="BC2277" s="573">
        <v>22.66</v>
      </c>
      <c r="BD2277" s="571">
        <f t="shared" si="274"/>
        <v>0</v>
      </c>
      <c r="BE2277" s="571">
        <f t="shared" si="278"/>
        <v>0</v>
      </c>
      <c r="BF2277" s="586">
        <f t="shared" si="275"/>
        <v>0</v>
      </c>
      <c r="BG2277" s="586" t="e">
        <f t="shared" si="276"/>
        <v>#DIV/0!</v>
      </c>
      <c r="BH2277" s="571" t="e">
        <f t="shared" si="277"/>
        <v>#DIV/0!</v>
      </c>
    </row>
    <row r="2278" spans="55:60" s="39" customFormat="1">
      <c r="BC2278" s="573">
        <v>22.67</v>
      </c>
      <c r="BD2278" s="571">
        <f t="shared" si="274"/>
        <v>0</v>
      </c>
      <c r="BE2278" s="571">
        <f t="shared" si="278"/>
        <v>0</v>
      </c>
      <c r="BF2278" s="586">
        <f t="shared" si="275"/>
        <v>0</v>
      </c>
      <c r="BG2278" s="586" t="e">
        <f t="shared" si="276"/>
        <v>#DIV/0!</v>
      </c>
      <c r="BH2278" s="571" t="e">
        <f t="shared" si="277"/>
        <v>#DIV/0!</v>
      </c>
    </row>
    <row r="2279" spans="55:60" s="39" customFormat="1">
      <c r="BC2279" s="573">
        <v>22.68</v>
      </c>
      <c r="BD2279" s="571">
        <f t="shared" si="274"/>
        <v>0</v>
      </c>
      <c r="BE2279" s="571">
        <f t="shared" si="278"/>
        <v>0</v>
      </c>
      <c r="BF2279" s="586">
        <f t="shared" si="275"/>
        <v>0</v>
      </c>
      <c r="BG2279" s="586" t="e">
        <f t="shared" si="276"/>
        <v>#DIV/0!</v>
      </c>
      <c r="BH2279" s="571" t="e">
        <f t="shared" si="277"/>
        <v>#DIV/0!</v>
      </c>
    </row>
    <row r="2280" spans="55:60" s="39" customFormat="1">
      <c r="BC2280" s="573">
        <v>22.69</v>
      </c>
      <c r="BD2280" s="571">
        <f t="shared" si="274"/>
        <v>0</v>
      </c>
      <c r="BE2280" s="571">
        <f t="shared" si="278"/>
        <v>0</v>
      </c>
      <c r="BF2280" s="586">
        <f t="shared" si="275"/>
        <v>0</v>
      </c>
      <c r="BG2280" s="586" t="e">
        <f t="shared" si="276"/>
        <v>#DIV/0!</v>
      </c>
      <c r="BH2280" s="571" t="e">
        <f t="shared" si="277"/>
        <v>#DIV/0!</v>
      </c>
    </row>
    <row r="2281" spans="55:60" s="39" customFormat="1">
      <c r="BC2281" s="573">
        <v>22.7</v>
      </c>
      <c r="BD2281" s="571">
        <f t="shared" si="274"/>
        <v>0</v>
      </c>
      <c r="BE2281" s="571">
        <f t="shared" si="278"/>
        <v>0</v>
      </c>
      <c r="BF2281" s="586">
        <f t="shared" si="275"/>
        <v>0</v>
      </c>
      <c r="BG2281" s="586" t="e">
        <f t="shared" si="276"/>
        <v>#DIV/0!</v>
      </c>
      <c r="BH2281" s="571" t="e">
        <f t="shared" si="277"/>
        <v>#DIV/0!</v>
      </c>
    </row>
    <row r="2282" spans="55:60" s="39" customFormat="1">
      <c r="BC2282" s="573">
        <v>22.71</v>
      </c>
      <c r="BD2282" s="571">
        <f t="shared" si="274"/>
        <v>0</v>
      </c>
      <c r="BE2282" s="571">
        <f t="shared" si="278"/>
        <v>0</v>
      </c>
      <c r="BF2282" s="586">
        <f t="shared" si="275"/>
        <v>0</v>
      </c>
      <c r="BG2282" s="586" t="e">
        <f t="shared" si="276"/>
        <v>#DIV/0!</v>
      </c>
      <c r="BH2282" s="571" t="e">
        <f t="shared" si="277"/>
        <v>#DIV/0!</v>
      </c>
    </row>
    <row r="2283" spans="55:60" s="39" customFormat="1">
      <c r="BC2283" s="573">
        <v>22.72</v>
      </c>
      <c r="BD2283" s="571">
        <f t="shared" si="274"/>
        <v>0</v>
      </c>
      <c r="BE2283" s="571">
        <f t="shared" si="278"/>
        <v>0</v>
      </c>
      <c r="BF2283" s="586">
        <f t="shared" si="275"/>
        <v>0</v>
      </c>
      <c r="BG2283" s="586" t="e">
        <f t="shared" si="276"/>
        <v>#DIV/0!</v>
      </c>
      <c r="BH2283" s="571" t="e">
        <f t="shared" si="277"/>
        <v>#DIV/0!</v>
      </c>
    </row>
    <row r="2284" spans="55:60" s="39" customFormat="1">
      <c r="BC2284" s="573">
        <v>22.73</v>
      </c>
      <c r="BD2284" s="571">
        <f t="shared" si="274"/>
        <v>0</v>
      </c>
      <c r="BE2284" s="571">
        <f t="shared" si="278"/>
        <v>0</v>
      </c>
      <c r="BF2284" s="586">
        <f t="shared" si="275"/>
        <v>0</v>
      </c>
      <c r="BG2284" s="586" t="e">
        <f t="shared" si="276"/>
        <v>#DIV/0!</v>
      </c>
      <c r="BH2284" s="571" t="e">
        <f t="shared" si="277"/>
        <v>#DIV/0!</v>
      </c>
    </row>
    <row r="2285" spans="55:60" s="39" customFormat="1">
      <c r="BC2285" s="573">
        <v>22.74</v>
      </c>
      <c r="BD2285" s="571">
        <f t="shared" si="274"/>
        <v>0</v>
      </c>
      <c r="BE2285" s="571">
        <f t="shared" si="278"/>
        <v>0</v>
      </c>
      <c r="BF2285" s="586">
        <f t="shared" si="275"/>
        <v>0</v>
      </c>
      <c r="BG2285" s="586" t="e">
        <f t="shared" si="276"/>
        <v>#DIV/0!</v>
      </c>
      <c r="BH2285" s="571" t="e">
        <f t="shared" si="277"/>
        <v>#DIV/0!</v>
      </c>
    </row>
    <row r="2286" spans="55:60" s="39" customFormat="1">
      <c r="BC2286" s="573">
        <v>22.75</v>
      </c>
      <c r="BD2286" s="571">
        <f t="shared" si="274"/>
        <v>0</v>
      </c>
      <c r="BE2286" s="571">
        <f t="shared" si="278"/>
        <v>0</v>
      </c>
      <c r="BF2286" s="586">
        <f t="shared" si="275"/>
        <v>0</v>
      </c>
      <c r="BG2286" s="586" t="e">
        <f t="shared" si="276"/>
        <v>#DIV/0!</v>
      </c>
      <c r="BH2286" s="571" t="e">
        <f t="shared" si="277"/>
        <v>#DIV/0!</v>
      </c>
    </row>
    <row r="2287" spans="55:60" s="39" customFormat="1">
      <c r="BC2287" s="573">
        <v>22.76</v>
      </c>
      <c r="BD2287" s="571">
        <f t="shared" si="274"/>
        <v>0</v>
      </c>
      <c r="BE2287" s="571">
        <f t="shared" si="278"/>
        <v>0</v>
      </c>
      <c r="BF2287" s="586">
        <f t="shared" si="275"/>
        <v>0</v>
      </c>
      <c r="BG2287" s="586" t="e">
        <f t="shared" si="276"/>
        <v>#DIV/0!</v>
      </c>
      <c r="BH2287" s="571" t="e">
        <f t="shared" si="277"/>
        <v>#DIV/0!</v>
      </c>
    </row>
    <row r="2288" spans="55:60" s="39" customFormat="1">
      <c r="BC2288" s="573">
        <v>22.77</v>
      </c>
      <c r="BD2288" s="571">
        <f t="shared" si="274"/>
        <v>0</v>
      </c>
      <c r="BE2288" s="571">
        <f t="shared" si="278"/>
        <v>0</v>
      </c>
      <c r="BF2288" s="586">
        <f t="shared" si="275"/>
        <v>0</v>
      </c>
      <c r="BG2288" s="586" t="e">
        <f t="shared" si="276"/>
        <v>#DIV/0!</v>
      </c>
      <c r="BH2288" s="571" t="e">
        <f t="shared" si="277"/>
        <v>#DIV/0!</v>
      </c>
    </row>
    <row r="2289" spans="55:60" s="39" customFormat="1">
      <c r="BC2289" s="573">
        <v>22.78</v>
      </c>
      <c r="BD2289" s="571">
        <f t="shared" si="274"/>
        <v>0</v>
      </c>
      <c r="BE2289" s="571">
        <f t="shared" si="278"/>
        <v>0</v>
      </c>
      <c r="BF2289" s="586">
        <f t="shared" si="275"/>
        <v>0</v>
      </c>
      <c r="BG2289" s="586" t="e">
        <f t="shared" si="276"/>
        <v>#DIV/0!</v>
      </c>
      <c r="BH2289" s="571" t="e">
        <f t="shared" si="277"/>
        <v>#DIV/0!</v>
      </c>
    </row>
    <row r="2290" spans="55:60" s="39" customFormat="1">
      <c r="BC2290" s="573">
        <v>22.79</v>
      </c>
      <c r="BD2290" s="571">
        <f t="shared" si="274"/>
        <v>0</v>
      </c>
      <c r="BE2290" s="571">
        <f t="shared" si="278"/>
        <v>0</v>
      </c>
      <c r="BF2290" s="586">
        <f t="shared" si="275"/>
        <v>0</v>
      </c>
      <c r="BG2290" s="586" t="e">
        <f t="shared" si="276"/>
        <v>#DIV/0!</v>
      </c>
      <c r="BH2290" s="571" t="e">
        <f t="shared" si="277"/>
        <v>#DIV/0!</v>
      </c>
    </row>
    <row r="2291" spans="55:60" s="39" customFormat="1">
      <c r="BC2291" s="573">
        <v>22.8</v>
      </c>
      <c r="BD2291" s="571">
        <f t="shared" si="274"/>
        <v>0</v>
      </c>
      <c r="BE2291" s="571">
        <f t="shared" si="278"/>
        <v>0</v>
      </c>
      <c r="BF2291" s="586">
        <f t="shared" si="275"/>
        <v>0</v>
      </c>
      <c r="BG2291" s="586" t="e">
        <f t="shared" si="276"/>
        <v>#DIV/0!</v>
      </c>
      <c r="BH2291" s="571" t="e">
        <f t="shared" si="277"/>
        <v>#DIV/0!</v>
      </c>
    </row>
    <row r="2292" spans="55:60" s="39" customFormat="1">
      <c r="BC2292" s="573">
        <v>22.81</v>
      </c>
      <c r="BD2292" s="571">
        <f t="shared" si="274"/>
        <v>0</v>
      </c>
      <c r="BE2292" s="571">
        <f t="shared" si="278"/>
        <v>0</v>
      </c>
      <c r="BF2292" s="586">
        <f t="shared" si="275"/>
        <v>0</v>
      </c>
      <c r="BG2292" s="586" t="e">
        <f t="shared" si="276"/>
        <v>#DIV/0!</v>
      </c>
      <c r="BH2292" s="571" t="e">
        <f t="shared" si="277"/>
        <v>#DIV/0!</v>
      </c>
    </row>
    <row r="2293" spans="55:60" s="39" customFormat="1">
      <c r="BC2293" s="573">
        <v>22.82</v>
      </c>
      <c r="BD2293" s="571">
        <f t="shared" si="274"/>
        <v>0</v>
      </c>
      <c r="BE2293" s="571">
        <f t="shared" si="278"/>
        <v>0</v>
      </c>
      <c r="BF2293" s="586">
        <f t="shared" si="275"/>
        <v>0</v>
      </c>
      <c r="BG2293" s="586" t="e">
        <f t="shared" si="276"/>
        <v>#DIV/0!</v>
      </c>
      <c r="BH2293" s="571" t="e">
        <f t="shared" si="277"/>
        <v>#DIV/0!</v>
      </c>
    </row>
    <row r="2294" spans="55:60" s="39" customFormat="1">
      <c r="BC2294" s="573">
        <v>22.83</v>
      </c>
      <c r="BD2294" s="571">
        <f t="shared" si="274"/>
        <v>0</v>
      </c>
      <c r="BE2294" s="571">
        <f t="shared" si="278"/>
        <v>0</v>
      </c>
      <c r="BF2294" s="586">
        <f t="shared" si="275"/>
        <v>0</v>
      </c>
      <c r="BG2294" s="586" t="e">
        <f t="shared" si="276"/>
        <v>#DIV/0!</v>
      </c>
      <c r="BH2294" s="571" t="e">
        <f t="shared" si="277"/>
        <v>#DIV/0!</v>
      </c>
    </row>
    <row r="2295" spans="55:60" s="39" customFormat="1">
      <c r="BC2295" s="573">
        <v>22.84</v>
      </c>
      <c r="BD2295" s="571">
        <f t="shared" si="274"/>
        <v>0</v>
      </c>
      <c r="BE2295" s="571">
        <f t="shared" si="278"/>
        <v>0</v>
      </c>
      <c r="BF2295" s="586">
        <f t="shared" si="275"/>
        <v>0</v>
      </c>
      <c r="BG2295" s="586" t="e">
        <f t="shared" si="276"/>
        <v>#DIV/0!</v>
      </c>
      <c r="BH2295" s="571" t="e">
        <f t="shared" si="277"/>
        <v>#DIV/0!</v>
      </c>
    </row>
    <row r="2296" spans="55:60" s="39" customFormat="1">
      <c r="BC2296" s="573">
        <v>22.85</v>
      </c>
      <c r="BD2296" s="571">
        <f t="shared" si="274"/>
        <v>0</v>
      </c>
      <c r="BE2296" s="571">
        <f t="shared" si="278"/>
        <v>0</v>
      </c>
      <c r="BF2296" s="586">
        <f t="shared" si="275"/>
        <v>0</v>
      </c>
      <c r="BG2296" s="586" t="e">
        <f t="shared" si="276"/>
        <v>#DIV/0!</v>
      </c>
      <c r="BH2296" s="571" t="e">
        <f t="shared" si="277"/>
        <v>#DIV/0!</v>
      </c>
    </row>
    <row r="2297" spans="55:60" s="39" customFormat="1">
      <c r="BC2297" s="573">
        <v>22.86</v>
      </c>
      <c r="BD2297" s="571">
        <f t="shared" si="274"/>
        <v>0</v>
      </c>
      <c r="BE2297" s="571">
        <f t="shared" si="278"/>
        <v>0</v>
      </c>
      <c r="BF2297" s="586">
        <f t="shared" si="275"/>
        <v>0</v>
      </c>
      <c r="BG2297" s="586" t="e">
        <f t="shared" si="276"/>
        <v>#DIV/0!</v>
      </c>
      <c r="BH2297" s="571" t="e">
        <f t="shared" si="277"/>
        <v>#DIV/0!</v>
      </c>
    </row>
    <row r="2298" spans="55:60" s="39" customFormat="1">
      <c r="BC2298" s="573">
        <v>22.87</v>
      </c>
      <c r="BD2298" s="571">
        <f t="shared" si="274"/>
        <v>0</v>
      </c>
      <c r="BE2298" s="571">
        <f t="shared" si="278"/>
        <v>0</v>
      </c>
      <c r="BF2298" s="586">
        <f t="shared" si="275"/>
        <v>0</v>
      </c>
      <c r="BG2298" s="586" t="e">
        <f t="shared" si="276"/>
        <v>#DIV/0!</v>
      </c>
      <c r="BH2298" s="571" t="e">
        <f t="shared" si="277"/>
        <v>#DIV/0!</v>
      </c>
    </row>
    <row r="2299" spans="55:60" s="39" customFormat="1">
      <c r="BC2299" s="573">
        <v>22.88</v>
      </c>
      <c r="BD2299" s="571">
        <f t="shared" si="274"/>
        <v>0</v>
      </c>
      <c r="BE2299" s="571">
        <f t="shared" si="278"/>
        <v>0</v>
      </c>
      <c r="BF2299" s="586">
        <f t="shared" si="275"/>
        <v>0</v>
      </c>
      <c r="BG2299" s="586" t="e">
        <f t="shared" si="276"/>
        <v>#DIV/0!</v>
      </c>
      <c r="BH2299" s="571" t="e">
        <f t="shared" si="277"/>
        <v>#DIV/0!</v>
      </c>
    </row>
    <row r="2300" spans="55:60" s="39" customFormat="1">
      <c r="BC2300" s="573">
        <v>22.89</v>
      </c>
      <c r="BD2300" s="571">
        <f t="shared" si="274"/>
        <v>0</v>
      </c>
      <c r="BE2300" s="571">
        <f t="shared" si="278"/>
        <v>0</v>
      </c>
      <c r="BF2300" s="586">
        <f t="shared" si="275"/>
        <v>0</v>
      </c>
      <c r="BG2300" s="586" t="e">
        <f t="shared" si="276"/>
        <v>#DIV/0!</v>
      </c>
      <c r="BH2300" s="571" t="e">
        <f t="shared" si="277"/>
        <v>#DIV/0!</v>
      </c>
    </row>
    <row r="2301" spans="55:60" s="39" customFormat="1">
      <c r="BC2301" s="573">
        <v>22.9</v>
      </c>
      <c r="BD2301" s="571">
        <f t="shared" si="274"/>
        <v>0</v>
      </c>
      <c r="BE2301" s="571">
        <f t="shared" si="278"/>
        <v>0</v>
      </c>
      <c r="BF2301" s="586">
        <f t="shared" si="275"/>
        <v>0</v>
      </c>
      <c r="BG2301" s="586" t="e">
        <f t="shared" si="276"/>
        <v>#DIV/0!</v>
      </c>
      <c r="BH2301" s="571" t="e">
        <f t="shared" si="277"/>
        <v>#DIV/0!</v>
      </c>
    </row>
    <row r="2302" spans="55:60" s="39" customFormat="1">
      <c r="BC2302" s="573">
        <v>22.91</v>
      </c>
      <c r="BD2302" s="571">
        <f t="shared" si="274"/>
        <v>0</v>
      </c>
      <c r="BE2302" s="571">
        <f t="shared" si="278"/>
        <v>0</v>
      </c>
      <c r="BF2302" s="586">
        <f t="shared" si="275"/>
        <v>0</v>
      </c>
      <c r="BG2302" s="586" t="e">
        <f t="shared" si="276"/>
        <v>#DIV/0!</v>
      </c>
      <c r="BH2302" s="571" t="e">
        <f t="shared" si="277"/>
        <v>#DIV/0!</v>
      </c>
    </row>
    <row r="2303" spans="55:60" s="39" customFormat="1">
      <c r="BC2303" s="573">
        <v>22.92</v>
      </c>
      <c r="BD2303" s="571">
        <f t="shared" si="274"/>
        <v>0</v>
      </c>
      <c r="BE2303" s="571">
        <f t="shared" si="278"/>
        <v>0</v>
      </c>
      <c r="BF2303" s="586">
        <f t="shared" si="275"/>
        <v>0</v>
      </c>
      <c r="BG2303" s="586" t="e">
        <f t="shared" si="276"/>
        <v>#DIV/0!</v>
      </c>
      <c r="BH2303" s="571" t="e">
        <f t="shared" si="277"/>
        <v>#DIV/0!</v>
      </c>
    </row>
    <row r="2304" spans="55:60" s="39" customFormat="1">
      <c r="BC2304" s="573">
        <v>22.93</v>
      </c>
      <c r="BD2304" s="571">
        <f t="shared" si="274"/>
        <v>0</v>
      </c>
      <c r="BE2304" s="571">
        <f t="shared" si="278"/>
        <v>0</v>
      </c>
      <c r="BF2304" s="586">
        <f t="shared" si="275"/>
        <v>0</v>
      </c>
      <c r="BG2304" s="586" t="e">
        <f t="shared" si="276"/>
        <v>#DIV/0!</v>
      </c>
      <c r="BH2304" s="571" t="e">
        <f t="shared" si="277"/>
        <v>#DIV/0!</v>
      </c>
    </row>
    <row r="2305" spans="55:60" s="39" customFormat="1">
      <c r="BC2305" s="573">
        <v>22.94</v>
      </c>
      <c r="BD2305" s="571">
        <f t="shared" si="274"/>
        <v>0</v>
      </c>
      <c r="BE2305" s="571">
        <f t="shared" si="278"/>
        <v>0</v>
      </c>
      <c r="BF2305" s="586">
        <f t="shared" si="275"/>
        <v>0</v>
      </c>
      <c r="BG2305" s="586" t="e">
        <f t="shared" si="276"/>
        <v>#DIV/0!</v>
      </c>
      <c r="BH2305" s="571" t="e">
        <f t="shared" si="277"/>
        <v>#DIV/0!</v>
      </c>
    </row>
    <row r="2306" spans="55:60" s="39" customFormat="1">
      <c r="BC2306" s="573">
        <v>22.95</v>
      </c>
      <c r="BD2306" s="571">
        <f t="shared" si="274"/>
        <v>0</v>
      </c>
      <c r="BE2306" s="571">
        <f t="shared" si="278"/>
        <v>0</v>
      </c>
      <c r="BF2306" s="586">
        <f t="shared" si="275"/>
        <v>0</v>
      </c>
      <c r="BG2306" s="586" t="e">
        <f t="shared" si="276"/>
        <v>#DIV/0!</v>
      </c>
      <c r="BH2306" s="571" t="e">
        <f t="shared" si="277"/>
        <v>#DIV/0!</v>
      </c>
    </row>
    <row r="2307" spans="55:60" s="39" customFormat="1">
      <c r="BC2307" s="573">
        <v>22.96</v>
      </c>
      <c r="BD2307" s="571">
        <f t="shared" si="274"/>
        <v>0</v>
      </c>
      <c r="BE2307" s="571">
        <f t="shared" si="278"/>
        <v>0</v>
      </c>
      <c r="BF2307" s="586">
        <f t="shared" si="275"/>
        <v>0</v>
      </c>
      <c r="BG2307" s="586" t="e">
        <f t="shared" si="276"/>
        <v>#DIV/0!</v>
      </c>
      <c r="BH2307" s="571" t="e">
        <f t="shared" si="277"/>
        <v>#DIV/0!</v>
      </c>
    </row>
    <row r="2308" spans="55:60" s="39" customFormat="1">
      <c r="BC2308" s="573">
        <v>22.97</v>
      </c>
      <c r="BD2308" s="571">
        <f t="shared" si="274"/>
        <v>0</v>
      </c>
      <c r="BE2308" s="571">
        <f t="shared" si="278"/>
        <v>0</v>
      </c>
      <c r="BF2308" s="586">
        <f t="shared" si="275"/>
        <v>0</v>
      </c>
      <c r="BG2308" s="586" t="e">
        <f t="shared" si="276"/>
        <v>#DIV/0!</v>
      </c>
      <c r="BH2308" s="571" t="e">
        <f t="shared" si="277"/>
        <v>#DIV/0!</v>
      </c>
    </row>
    <row r="2309" spans="55:60" s="39" customFormat="1">
      <c r="BC2309" s="573">
        <v>22.98</v>
      </c>
      <c r="BD2309" s="571">
        <f t="shared" si="274"/>
        <v>0</v>
      </c>
      <c r="BE2309" s="571">
        <f t="shared" si="278"/>
        <v>0</v>
      </c>
      <c r="BF2309" s="586">
        <f t="shared" si="275"/>
        <v>0</v>
      </c>
      <c r="BG2309" s="586" t="e">
        <f t="shared" si="276"/>
        <v>#DIV/0!</v>
      </c>
      <c r="BH2309" s="571" t="e">
        <f t="shared" si="277"/>
        <v>#DIV/0!</v>
      </c>
    </row>
    <row r="2310" spans="55:60" s="39" customFormat="1">
      <c r="BC2310" s="573">
        <v>22.99</v>
      </c>
      <c r="BD2310" s="571">
        <f t="shared" si="274"/>
        <v>0</v>
      </c>
      <c r="BE2310" s="571">
        <f t="shared" si="278"/>
        <v>0</v>
      </c>
      <c r="BF2310" s="586">
        <f t="shared" si="275"/>
        <v>0</v>
      </c>
      <c r="BG2310" s="586" t="e">
        <f t="shared" si="276"/>
        <v>#DIV/0!</v>
      </c>
      <c r="BH2310" s="571" t="e">
        <f t="shared" si="277"/>
        <v>#DIV/0!</v>
      </c>
    </row>
    <row r="2311" spans="55:60" s="39" customFormat="1">
      <c r="BC2311" s="573">
        <v>23</v>
      </c>
      <c r="BD2311" s="571">
        <f t="shared" si="274"/>
        <v>0</v>
      </c>
      <c r="BE2311" s="571">
        <f t="shared" si="278"/>
        <v>0</v>
      </c>
      <c r="BF2311" s="586">
        <f t="shared" si="275"/>
        <v>0</v>
      </c>
      <c r="BG2311" s="586" t="e">
        <f t="shared" si="276"/>
        <v>#DIV/0!</v>
      </c>
      <c r="BH2311" s="571" t="e">
        <f t="shared" si="277"/>
        <v>#DIV/0!</v>
      </c>
    </row>
    <row r="2312" spans="55:60" s="39" customFormat="1">
      <c r="BC2312" s="573">
        <v>23.01</v>
      </c>
      <c r="BD2312" s="571">
        <f t="shared" si="274"/>
        <v>0</v>
      </c>
      <c r="BE2312" s="571">
        <f t="shared" si="278"/>
        <v>0</v>
      </c>
      <c r="BF2312" s="586">
        <f t="shared" si="275"/>
        <v>0</v>
      </c>
      <c r="BG2312" s="586" t="e">
        <f t="shared" si="276"/>
        <v>#DIV/0!</v>
      </c>
      <c r="BH2312" s="571" t="e">
        <f t="shared" si="277"/>
        <v>#DIV/0!</v>
      </c>
    </row>
    <row r="2313" spans="55:60" s="39" customFormat="1">
      <c r="BC2313" s="573">
        <v>23.02</v>
      </c>
      <c r="BD2313" s="571">
        <f t="shared" si="274"/>
        <v>0</v>
      </c>
      <c r="BE2313" s="571">
        <f t="shared" si="278"/>
        <v>0</v>
      </c>
      <c r="BF2313" s="586">
        <f t="shared" si="275"/>
        <v>0</v>
      </c>
      <c r="BG2313" s="586" t="e">
        <f t="shared" si="276"/>
        <v>#DIV/0!</v>
      </c>
      <c r="BH2313" s="571" t="e">
        <f t="shared" si="277"/>
        <v>#DIV/0!</v>
      </c>
    </row>
    <row r="2314" spans="55:60" s="39" customFormat="1">
      <c r="BC2314" s="573">
        <v>23.03</v>
      </c>
      <c r="BD2314" s="571">
        <f t="shared" si="274"/>
        <v>0</v>
      </c>
      <c r="BE2314" s="571">
        <f t="shared" si="278"/>
        <v>0</v>
      </c>
      <c r="BF2314" s="586">
        <f t="shared" si="275"/>
        <v>0</v>
      </c>
      <c r="BG2314" s="586" t="e">
        <f t="shared" si="276"/>
        <v>#DIV/0!</v>
      </c>
      <c r="BH2314" s="571" t="e">
        <f t="shared" si="277"/>
        <v>#DIV/0!</v>
      </c>
    </row>
    <row r="2315" spans="55:60" s="39" customFormat="1">
      <c r="BC2315" s="573">
        <v>23.04</v>
      </c>
      <c r="BD2315" s="571">
        <f t="shared" si="274"/>
        <v>0</v>
      </c>
      <c r="BE2315" s="571">
        <f t="shared" si="278"/>
        <v>0</v>
      </c>
      <c r="BF2315" s="586">
        <f t="shared" si="275"/>
        <v>0</v>
      </c>
      <c r="BG2315" s="586" t="e">
        <f t="shared" si="276"/>
        <v>#DIV/0!</v>
      </c>
      <c r="BH2315" s="571" t="e">
        <f t="shared" si="277"/>
        <v>#DIV/0!</v>
      </c>
    </row>
    <row r="2316" spans="55:60" s="39" customFormat="1">
      <c r="BC2316" s="573">
        <v>23.05</v>
      </c>
      <c r="BD2316" s="571">
        <f t="shared" ref="BD2316:BD2379" si="279">$AU$15/BC2316</f>
        <v>0</v>
      </c>
      <c r="BE2316" s="571">
        <f t="shared" si="278"/>
        <v>0</v>
      </c>
      <c r="BF2316" s="586">
        <f t="shared" ref="BF2316:BF2379" si="280">BC2316*(BE2316/1000)/$AO$12</f>
        <v>0</v>
      </c>
      <c r="BG2316" s="586" t="e">
        <f t="shared" ref="BG2316:BG2379" si="281">POWER((1/(-1.8*LOG((6.9/BF2316+POWER((($P$7/BE2316)/3.71),1.11)),10))),2)</f>
        <v>#DIV/0!</v>
      </c>
      <c r="BH2316" s="571" t="e">
        <f t="shared" ref="BH2316:BH2379" si="282">BG2316*0.5*$P$6*16*$AU$15*$AU$15/(POWER(PI(),2)*POWER((BE2316/1000),5))</f>
        <v>#DIV/0!</v>
      </c>
    </row>
    <row r="2317" spans="55:60" s="39" customFormat="1">
      <c r="BC2317" s="573">
        <v>23.06</v>
      </c>
      <c r="BD2317" s="571">
        <f t="shared" si="279"/>
        <v>0</v>
      </c>
      <c r="BE2317" s="571">
        <f t="shared" ref="BE2317:BE2380" si="283">((BD2317/PI())^0.5)*2*1000</f>
        <v>0</v>
      </c>
      <c r="BF2317" s="586">
        <f t="shared" si="280"/>
        <v>0</v>
      </c>
      <c r="BG2317" s="586" t="e">
        <f t="shared" si="281"/>
        <v>#DIV/0!</v>
      </c>
      <c r="BH2317" s="571" t="e">
        <f t="shared" si="282"/>
        <v>#DIV/0!</v>
      </c>
    </row>
    <row r="2318" spans="55:60" s="39" customFormat="1">
      <c r="BC2318" s="573">
        <v>23.07</v>
      </c>
      <c r="BD2318" s="571">
        <f t="shared" si="279"/>
        <v>0</v>
      </c>
      <c r="BE2318" s="571">
        <f t="shared" si="283"/>
        <v>0</v>
      </c>
      <c r="BF2318" s="586">
        <f t="shared" si="280"/>
        <v>0</v>
      </c>
      <c r="BG2318" s="586" t="e">
        <f t="shared" si="281"/>
        <v>#DIV/0!</v>
      </c>
      <c r="BH2318" s="571" t="e">
        <f t="shared" si="282"/>
        <v>#DIV/0!</v>
      </c>
    </row>
    <row r="2319" spans="55:60" s="39" customFormat="1">
      <c r="BC2319" s="573">
        <v>23.08</v>
      </c>
      <c r="BD2319" s="571">
        <f t="shared" si="279"/>
        <v>0</v>
      </c>
      <c r="BE2319" s="571">
        <f t="shared" si="283"/>
        <v>0</v>
      </c>
      <c r="BF2319" s="586">
        <f t="shared" si="280"/>
        <v>0</v>
      </c>
      <c r="BG2319" s="586" t="e">
        <f t="shared" si="281"/>
        <v>#DIV/0!</v>
      </c>
      <c r="BH2319" s="571" t="e">
        <f t="shared" si="282"/>
        <v>#DIV/0!</v>
      </c>
    </row>
    <row r="2320" spans="55:60" s="39" customFormat="1">
      <c r="BC2320" s="573">
        <v>23.09</v>
      </c>
      <c r="BD2320" s="571">
        <f t="shared" si="279"/>
        <v>0</v>
      </c>
      <c r="BE2320" s="571">
        <f t="shared" si="283"/>
        <v>0</v>
      </c>
      <c r="BF2320" s="586">
        <f t="shared" si="280"/>
        <v>0</v>
      </c>
      <c r="BG2320" s="586" t="e">
        <f t="shared" si="281"/>
        <v>#DIV/0!</v>
      </c>
      <c r="BH2320" s="571" t="e">
        <f t="shared" si="282"/>
        <v>#DIV/0!</v>
      </c>
    </row>
    <row r="2321" spans="55:60" s="39" customFormat="1">
      <c r="BC2321" s="573">
        <v>23.1</v>
      </c>
      <c r="BD2321" s="571">
        <f t="shared" si="279"/>
        <v>0</v>
      </c>
      <c r="BE2321" s="571">
        <f t="shared" si="283"/>
        <v>0</v>
      </c>
      <c r="BF2321" s="586">
        <f t="shared" si="280"/>
        <v>0</v>
      </c>
      <c r="BG2321" s="586" t="e">
        <f t="shared" si="281"/>
        <v>#DIV/0!</v>
      </c>
      <c r="BH2321" s="571" t="e">
        <f t="shared" si="282"/>
        <v>#DIV/0!</v>
      </c>
    </row>
    <row r="2322" spans="55:60" s="39" customFormat="1">
      <c r="BC2322" s="573">
        <v>23.11</v>
      </c>
      <c r="BD2322" s="571">
        <f t="shared" si="279"/>
        <v>0</v>
      </c>
      <c r="BE2322" s="571">
        <f t="shared" si="283"/>
        <v>0</v>
      </c>
      <c r="BF2322" s="586">
        <f t="shared" si="280"/>
        <v>0</v>
      </c>
      <c r="BG2322" s="586" t="e">
        <f t="shared" si="281"/>
        <v>#DIV/0!</v>
      </c>
      <c r="BH2322" s="571" t="e">
        <f t="shared" si="282"/>
        <v>#DIV/0!</v>
      </c>
    </row>
    <row r="2323" spans="55:60" s="39" customFormat="1">
      <c r="BC2323" s="573">
        <v>23.12</v>
      </c>
      <c r="BD2323" s="571">
        <f t="shared" si="279"/>
        <v>0</v>
      </c>
      <c r="BE2323" s="571">
        <f t="shared" si="283"/>
        <v>0</v>
      </c>
      <c r="BF2323" s="586">
        <f t="shared" si="280"/>
        <v>0</v>
      </c>
      <c r="BG2323" s="586" t="e">
        <f t="shared" si="281"/>
        <v>#DIV/0!</v>
      </c>
      <c r="BH2323" s="571" t="e">
        <f t="shared" si="282"/>
        <v>#DIV/0!</v>
      </c>
    </row>
    <row r="2324" spans="55:60" s="39" customFormat="1">
      <c r="BC2324" s="573">
        <v>23.13</v>
      </c>
      <c r="BD2324" s="571">
        <f t="shared" si="279"/>
        <v>0</v>
      </c>
      <c r="BE2324" s="571">
        <f t="shared" si="283"/>
        <v>0</v>
      </c>
      <c r="BF2324" s="586">
        <f t="shared" si="280"/>
        <v>0</v>
      </c>
      <c r="BG2324" s="586" t="e">
        <f t="shared" si="281"/>
        <v>#DIV/0!</v>
      </c>
      <c r="BH2324" s="571" t="e">
        <f t="shared" si="282"/>
        <v>#DIV/0!</v>
      </c>
    </row>
    <row r="2325" spans="55:60" s="39" customFormat="1">
      <c r="BC2325" s="573">
        <v>23.14</v>
      </c>
      <c r="BD2325" s="571">
        <f t="shared" si="279"/>
        <v>0</v>
      </c>
      <c r="BE2325" s="571">
        <f t="shared" si="283"/>
        <v>0</v>
      </c>
      <c r="BF2325" s="586">
        <f t="shared" si="280"/>
        <v>0</v>
      </c>
      <c r="BG2325" s="586" t="e">
        <f t="shared" si="281"/>
        <v>#DIV/0!</v>
      </c>
      <c r="BH2325" s="571" t="e">
        <f t="shared" si="282"/>
        <v>#DIV/0!</v>
      </c>
    </row>
    <row r="2326" spans="55:60" s="39" customFormat="1">
      <c r="BC2326" s="573">
        <v>23.15</v>
      </c>
      <c r="BD2326" s="571">
        <f t="shared" si="279"/>
        <v>0</v>
      </c>
      <c r="BE2326" s="571">
        <f t="shared" si="283"/>
        <v>0</v>
      </c>
      <c r="BF2326" s="586">
        <f t="shared" si="280"/>
        <v>0</v>
      </c>
      <c r="BG2326" s="586" t="e">
        <f t="shared" si="281"/>
        <v>#DIV/0!</v>
      </c>
      <c r="BH2326" s="571" t="e">
        <f t="shared" si="282"/>
        <v>#DIV/0!</v>
      </c>
    </row>
    <row r="2327" spans="55:60" s="39" customFormat="1">
      <c r="BC2327" s="573">
        <v>23.16</v>
      </c>
      <c r="BD2327" s="571">
        <f t="shared" si="279"/>
        <v>0</v>
      </c>
      <c r="BE2327" s="571">
        <f t="shared" si="283"/>
        <v>0</v>
      </c>
      <c r="BF2327" s="586">
        <f t="shared" si="280"/>
        <v>0</v>
      </c>
      <c r="BG2327" s="586" t="e">
        <f t="shared" si="281"/>
        <v>#DIV/0!</v>
      </c>
      <c r="BH2327" s="571" t="e">
        <f t="shared" si="282"/>
        <v>#DIV/0!</v>
      </c>
    </row>
    <row r="2328" spans="55:60" s="39" customFormat="1">
      <c r="BC2328" s="573">
        <v>23.17</v>
      </c>
      <c r="BD2328" s="571">
        <f t="shared" si="279"/>
        <v>0</v>
      </c>
      <c r="BE2328" s="571">
        <f t="shared" si="283"/>
        <v>0</v>
      </c>
      <c r="BF2328" s="586">
        <f t="shared" si="280"/>
        <v>0</v>
      </c>
      <c r="BG2328" s="586" t="e">
        <f t="shared" si="281"/>
        <v>#DIV/0!</v>
      </c>
      <c r="BH2328" s="571" t="e">
        <f t="shared" si="282"/>
        <v>#DIV/0!</v>
      </c>
    </row>
    <row r="2329" spans="55:60" s="39" customFormat="1">
      <c r="BC2329" s="573">
        <v>23.18</v>
      </c>
      <c r="BD2329" s="571">
        <f t="shared" si="279"/>
        <v>0</v>
      </c>
      <c r="BE2329" s="571">
        <f t="shared" si="283"/>
        <v>0</v>
      </c>
      <c r="BF2329" s="586">
        <f t="shared" si="280"/>
        <v>0</v>
      </c>
      <c r="BG2329" s="586" t="e">
        <f t="shared" si="281"/>
        <v>#DIV/0!</v>
      </c>
      <c r="BH2329" s="571" t="e">
        <f t="shared" si="282"/>
        <v>#DIV/0!</v>
      </c>
    </row>
    <row r="2330" spans="55:60" s="39" customFormat="1">
      <c r="BC2330" s="573">
        <v>23.19</v>
      </c>
      <c r="BD2330" s="571">
        <f t="shared" si="279"/>
        <v>0</v>
      </c>
      <c r="BE2330" s="571">
        <f t="shared" si="283"/>
        <v>0</v>
      </c>
      <c r="BF2330" s="586">
        <f t="shared" si="280"/>
        <v>0</v>
      </c>
      <c r="BG2330" s="586" t="e">
        <f t="shared" si="281"/>
        <v>#DIV/0!</v>
      </c>
      <c r="BH2330" s="571" t="e">
        <f t="shared" si="282"/>
        <v>#DIV/0!</v>
      </c>
    </row>
    <row r="2331" spans="55:60" s="39" customFormat="1">
      <c r="BC2331" s="573">
        <v>23.2</v>
      </c>
      <c r="BD2331" s="571">
        <f t="shared" si="279"/>
        <v>0</v>
      </c>
      <c r="BE2331" s="571">
        <f t="shared" si="283"/>
        <v>0</v>
      </c>
      <c r="BF2331" s="586">
        <f t="shared" si="280"/>
        <v>0</v>
      </c>
      <c r="BG2331" s="586" t="e">
        <f t="shared" si="281"/>
        <v>#DIV/0!</v>
      </c>
      <c r="BH2331" s="571" t="e">
        <f t="shared" si="282"/>
        <v>#DIV/0!</v>
      </c>
    </row>
    <row r="2332" spans="55:60" s="39" customFormat="1">
      <c r="BC2332" s="573">
        <v>23.21</v>
      </c>
      <c r="BD2332" s="571">
        <f t="shared" si="279"/>
        <v>0</v>
      </c>
      <c r="BE2332" s="571">
        <f t="shared" si="283"/>
        <v>0</v>
      </c>
      <c r="BF2332" s="586">
        <f t="shared" si="280"/>
        <v>0</v>
      </c>
      <c r="BG2332" s="586" t="e">
        <f t="shared" si="281"/>
        <v>#DIV/0!</v>
      </c>
      <c r="BH2332" s="571" t="e">
        <f t="shared" si="282"/>
        <v>#DIV/0!</v>
      </c>
    </row>
    <row r="2333" spans="55:60" s="39" customFormat="1">
      <c r="BC2333" s="573">
        <v>23.22</v>
      </c>
      <c r="BD2333" s="571">
        <f t="shared" si="279"/>
        <v>0</v>
      </c>
      <c r="BE2333" s="571">
        <f t="shared" si="283"/>
        <v>0</v>
      </c>
      <c r="BF2333" s="586">
        <f t="shared" si="280"/>
        <v>0</v>
      </c>
      <c r="BG2333" s="586" t="e">
        <f t="shared" si="281"/>
        <v>#DIV/0!</v>
      </c>
      <c r="BH2333" s="571" t="e">
        <f t="shared" si="282"/>
        <v>#DIV/0!</v>
      </c>
    </row>
    <row r="2334" spans="55:60" s="39" customFormat="1">
      <c r="BC2334" s="573">
        <v>23.23</v>
      </c>
      <c r="BD2334" s="571">
        <f t="shared" si="279"/>
        <v>0</v>
      </c>
      <c r="BE2334" s="571">
        <f t="shared" si="283"/>
        <v>0</v>
      </c>
      <c r="BF2334" s="586">
        <f t="shared" si="280"/>
        <v>0</v>
      </c>
      <c r="BG2334" s="586" t="e">
        <f t="shared" si="281"/>
        <v>#DIV/0!</v>
      </c>
      <c r="BH2334" s="571" t="e">
        <f t="shared" si="282"/>
        <v>#DIV/0!</v>
      </c>
    </row>
    <row r="2335" spans="55:60" s="39" customFormat="1">
      <c r="BC2335" s="573">
        <v>23.24</v>
      </c>
      <c r="BD2335" s="571">
        <f t="shared" si="279"/>
        <v>0</v>
      </c>
      <c r="BE2335" s="571">
        <f t="shared" si="283"/>
        <v>0</v>
      </c>
      <c r="BF2335" s="586">
        <f t="shared" si="280"/>
        <v>0</v>
      </c>
      <c r="BG2335" s="586" t="e">
        <f t="shared" si="281"/>
        <v>#DIV/0!</v>
      </c>
      <c r="BH2335" s="571" t="e">
        <f t="shared" si="282"/>
        <v>#DIV/0!</v>
      </c>
    </row>
    <row r="2336" spans="55:60" s="39" customFormat="1">
      <c r="BC2336" s="573">
        <v>23.25</v>
      </c>
      <c r="BD2336" s="571">
        <f t="shared" si="279"/>
        <v>0</v>
      </c>
      <c r="BE2336" s="571">
        <f t="shared" si="283"/>
        <v>0</v>
      </c>
      <c r="BF2336" s="586">
        <f t="shared" si="280"/>
        <v>0</v>
      </c>
      <c r="BG2336" s="586" t="e">
        <f t="shared" si="281"/>
        <v>#DIV/0!</v>
      </c>
      <c r="BH2336" s="571" t="e">
        <f t="shared" si="282"/>
        <v>#DIV/0!</v>
      </c>
    </row>
    <row r="2337" spans="55:60" s="39" customFormat="1">
      <c r="BC2337" s="573">
        <v>23.26</v>
      </c>
      <c r="BD2337" s="571">
        <f t="shared" si="279"/>
        <v>0</v>
      </c>
      <c r="BE2337" s="571">
        <f t="shared" si="283"/>
        <v>0</v>
      </c>
      <c r="BF2337" s="586">
        <f t="shared" si="280"/>
        <v>0</v>
      </c>
      <c r="BG2337" s="586" t="e">
        <f t="shared" si="281"/>
        <v>#DIV/0!</v>
      </c>
      <c r="BH2337" s="571" t="e">
        <f t="shared" si="282"/>
        <v>#DIV/0!</v>
      </c>
    </row>
    <row r="2338" spans="55:60" s="39" customFormat="1">
      <c r="BC2338" s="573">
        <v>23.27</v>
      </c>
      <c r="BD2338" s="571">
        <f t="shared" si="279"/>
        <v>0</v>
      </c>
      <c r="BE2338" s="571">
        <f t="shared" si="283"/>
        <v>0</v>
      </c>
      <c r="BF2338" s="586">
        <f t="shared" si="280"/>
        <v>0</v>
      </c>
      <c r="BG2338" s="586" t="e">
        <f t="shared" si="281"/>
        <v>#DIV/0!</v>
      </c>
      <c r="BH2338" s="571" t="e">
        <f t="shared" si="282"/>
        <v>#DIV/0!</v>
      </c>
    </row>
    <row r="2339" spans="55:60" s="39" customFormat="1">
      <c r="BC2339" s="573">
        <v>23.28</v>
      </c>
      <c r="BD2339" s="571">
        <f t="shared" si="279"/>
        <v>0</v>
      </c>
      <c r="BE2339" s="571">
        <f t="shared" si="283"/>
        <v>0</v>
      </c>
      <c r="BF2339" s="586">
        <f t="shared" si="280"/>
        <v>0</v>
      </c>
      <c r="BG2339" s="586" t="e">
        <f t="shared" si="281"/>
        <v>#DIV/0!</v>
      </c>
      <c r="BH2339" s="571" t="e">
        <f t="shared" si="282"/>
        <v>#DIV/0!</v>
      </c>
    </row>
    <row r="2340" spans="55:60" s="39" customFormat="1">
      <c r="BC2340" s="573">
        <v>23.29</v>
      </c>
      <c r="BD2340" s="571">
        <f t="shared" si="279"/>
        <v>0</v>
      </c>
      <c r="BE2340" s="571">
        <f t="shared" si="283"/>
        <v>0</v>
      </c>
      <c r="BF2340" s="586">
        <f t="shared" si="280"/>
        <v>0</v>
      </c>
      <c r="BG2340" s="586" t="e">
        <f t="shared" si="281"/>
        <v>#DIV/0!</v>
      </c>
      <c r="BH2340" s="571" t="e">
        <f t="shared" si="282"/>
        <v>#DIV/0!</v>
      </c>
    </row>
    <row r="2341" spans="55:60" s="39" customFormat="1">
      <c r="BC2341" s="573">
        <v>23.3</v>
      </c>
      <c r="BD2341" s="571">
        <f t="shared" si="279"/>
        <v>0</v>
      </c>
      <c r="BE2341" s="571">
        <f t="shared" si="283"/>
        <v>0</v>
      </c>
      <c r="BF2341" s="586">
        <f t="shared" si="280"/>
        <v>0</v>
      </c>
      <c r="BG2341" s="586" t="e">
        <f t="shared" si="281"/>
        <v>#DIV/0!</v>
      </c>
      <c r="BH2341" s="571" t="e">
        <f t="shared" si="282"/>
        <v>#DIV/0!</v>
      </c>
    </row>
    <row r="2342" spans="55:60" s="39" customFormat="1">
      <c r="BC2342" s="573">
        <v>23.31</v>
      </c>
      <c r="BD2342" s="571">
        <f t="shared" si="279"/>
        <v>0</v>
      </c>
      <c r="BE2342" s="571">
        <f t="shared" si="283"/>
        <v>0</v>
      </c>
      <c r="BF2342" s="586">
        <f t="shared" si="280"/>
        <v>0</v>
      </c>
      <c r="BG2342" s="586" t="e">
        <f t="shared" si="281"/>
        <v>#DIV/0!</v>
      </c>
      <c r="BH2342" s="571" t="e">
        <f t="shared" si="282"/>
        <v>#DIV/0!</v>
      </c>
    </row>
    <row r="2343" spans="55:60" s="39" customFormat="1">
      <c r="BC2343" s="573">
        <v>23.32</v>
      </c>
      <c r="BD2343" s="571">
        <f t="shared" si="279"/>
        <v>0</v>
      </c>
      <c r="BE2343" s="571">
        <f t="shared" si="283"/>
        <v>0</v>
      </c>
      <c r="BF2343" s="586">
        <f t="shared" si="280"/>
        <v>0</v>
      </c>
      <c r="BG2343" s="586" t="e">
        <f t="shared" si="281"/>
        <v>#DIV/0!</v>
      </c>
      <c r="BH2343" s="571" t="e">
        <f t="shared" si="282"/>
        <v>#DIV/0!</v>
      </c>
    </row>
    <row r="2344" spans="55:60" s="39" customFormat="1">
      <c r="BC2344" s="573">
        <v>23.33</v>
      </c>
      <c r="BD2344" s="571">
        <f t="shared" si="279"/>
        <v>0</v>
      </c>
      <c r="BE2344" s="571">
        <f t="shared" si="283"/>
        <v>0</v>
      </c>
      <c r="BF2344" s="586">
        <f t="shared" si="280"/>
        <v>0</v>
      </c>
      <c r="BG2344" s="586" t="e">
        <f t="shared" si="281"/>
        <v>#DIV/0!</v>
      </c>
      <c r="BH2344" s="571" t="e">
        <f t="shared" si="282"/>
        <v>#DIV/0!</v>
      </c>
    </row>
    <row r="2345" spans="55:60" s="39" customFormat="1">
      <c r="BC2345" s="573">
        <v>23.34</v>
      </c>
      <c r="BD2345" s="571">
        <f t="shared" si="279"/>
        <v>0</v>
      </c>
      <c r="BE2345" s="571">
        <f t="shared" si="283"/>
        <v>0</v>
      </c>
      <c r="BF2345" s="586">
        <f t="shared" si="280"/>
        <v>0</v>
      </c>
      <c r="BG2345" s="586" t="e">
        <f t="shared" si="281"/>
        <v>#DIV/0!</v>
      </c>
      <c r="BH2345" s="571" t="e">
        <f t="shared" si="282"/>
        <v>#DIV/0!</v>
      </c>
    </row>
    <row r="2346" spans="55:60" s="39" customFormat="1">
      <c r="BC2346" s="573">
        <v>23.35</v>
      </c>
      <c r="BD2346" s="571">
        <f t="shared" si="279"/>
        <v>0</v>
      </c>
      <c r="BE2346" s="571">
        <f t="shared" si="283"/>
        <v>0</v>
      </c>
      <c r="BF2346" s="586">
        <f t="shared" si="280"/>
        <v>0</v>
      </c>
      <c r="BG2346" s="586" t="e">
        <f t="shared" si="281"/>
        <v>#DIV/0!</v>
      </c>
      <c r="BH2346" s="571" t="e">
        <f t="shared" si="282"/>
        <v>#DIV/0!</v>
      </c>
    </row>
    <row r="2347" spans="55:60" s="39" customFormat="1">
      <c r="BC2347" s="573">
        <v>23.36</v>
      </c>
      <c r="BD2347" s="571">
        <f t="shared" si="279"/>
        <v>0</v>
      </c>
      <c r="BE2347" s="571">
        <f t="shared" si="283"/>
        <v>0</v>
      </c>
      <c r="BF2347" s="586">
        <f t="shared" si="280"/>
        <v>0</v>
      </c>
      <c r="BG2347" s="586" t="e">
        <f t="shared" si="281"/>
        <v>#DIV/0!</v>
      </c>
      <c r="BH2347" s="571" t="e">
        <f t="shared" si="282"/>
        <v>#DIV/0!</v>
      </c>
    </row>
    <row r="2348" spans="55:60" s="39" customFormat="1">
      <c r="BC2348" s="573">
        <v>23.37</v>
      </c>
      <c r="BD2348" s="571">
        <f t="shared" si="279"/>
        <v>0</v>
      </c>
      <c r="BE2348" s="571">
        <f t="shared" si="283"/>
        <v>0</v>
      </c>
      <c r="BF2348" s="586">
        <f t="shared" si="280"/>
        <v>0</v>
      </c>
      <c r="BG2348" s="586" t="e">
        <f t="shared" si="281"/>
        <v>#DIV/0!</v>
      </c>
      <c r="BH2348" s="571" t="e">
        <f t="shared" si="282"/>
        <v>#DIV/0!</v>
      </c>
    </row>
    <row r="2349" spans="55:60" s="39" customFormat="1">
      <c r="BC2349" s="573">
        <v>23.38</v>
      </c>
      <c r="BD2349" s="571">
        <f t="shared" si="279"/>
        <v>0</v>
      </c>
      <c r="BE2349" s="571">
        <f t="shared" si="283"/>
        <v>0</v>
      </c>
      <c r="BF2349" s="586">
        <f t="shared" si="280"/>
        <v>0</v>
      </c>
      <c r="BG2349" s="586" t="e">
        <f t="shared" si="281"/>
        <v>#DIV/0!</v>
      </c>
      <c r="BH2349" s="571" t="e">
        <f t="shared" si="282"/>
        <v>#DIV/0!</v>
      </c>
    </row>
    <row r="2350" spans="55:60" s="39" customFormat="1">
      <c r="BC2350" s="573">
        <v>23.39</v>
      </c>
      <c r="BD2350" s="571">
        <f t="shared" si="279"/>
        <v>0</v>
      </c>
      <c r="BE2350" s="571">
        <f t="shared" si="283"/>
        <v>0</v>
      </c>
      <c r="BF2350" s="586">
        <f t="shared" si="280"/>
        <v>0</v>
      </c>
      <c r="BG2350" s="586" t="e">
        <f t="shared" si="281"/>
        <v>#DIV/0!</v>
      </c>
      <c r="BH2350" s="571" t="e">
        <f t="shared" si="282"/>
        <v>#DIV/0!</v>
      </c>
    </row>
    <row r="2351" spans="55:60" s="39" customFormat="1">
      <c r="BC2351" s="573">
        <v>23.4</v>
      </c>
      <c r="BD2351" s="571">
        <f t="shared" si="279"/>
        <v>0</v>
      </c>
      <c r="BE2351" s="571">
        <f t="shared" si="283"/>
        <v>0</v>
      </c>
      <c r="BF2351" s="586">
        <f t="shared" si="280"/>
        <v>0</v>
      </c>
      <c r="BG2351" s="586" t="e">
        <f t="shared" si="281"/>
        <v>#DIV/0!</v>
      </c>
      <c r="BH2351" s="571" t="e">
        <f t="shared" si="282"/>
        <v>#DIV/0!</v>
      </c>
    </row>
    <row r="2352" spans="55:60" s="39" customFormat="1">
      <c r="BC2352" s="573">
        <v>23.41</v>
      </c>
      <c r="BD2352" s="571">
        <f t="shared" si="279"/>
        <v>0</v>
      </c>
      <c r="BE2352" s="571">
        <f t="shared" si="283"/>
        <v>0</v>
      </c>
      <c r="BF2352" s="586">
        <f t="shared" si="280"/>
        <v>0</v>
      </c>
      <c r="BG2352" s="586" t="e">
        <f t="shared" si="281"/>
        <v>#DIV/0!</v>
      </c>
      <c r="BH2352" s="571" t="e">
        <f t="shared" si="282"/>
        <v>#DIV/0!</v>
      </c>
    </row>
    <row r="2353" spans="55:60" s="39" customFormat="1">
      <c r="BC2353" s="573">
        <v>23.42</v>
      </c>
      <c r="BD2353" s="571">
        <f t="shared" si="279"/>
        <v>0</v>
      </c>
      <c r="BE2353" s="571">
        <f t="shared" si="283"/>
        <v>0</v>
      </c>
      <c r="BF2353" s="586">
        <f t="shared" si="280"/>
        <v>0</v>
      </c>
      <c r="BG2353" s="586" t="e">
        <f t="shared" si="281"/>
        <v>#DIV/0!</v>
      </c>
      <c r="BH2353" s="571" t="e">
        <f t="shared" si="282"/>
        <v>#DIV/0!</v>
      </c>
    </row>
    <row r="2354" spans="55:60" s="39" customFormat="1">
      <c r="BC2354" s="573">
        <v>23.43</v>
      </c>
      <c r="BD2354" s="571">
        <f t="shared" si="279"/>
        <v>0</v>
      </c>
      <c r="BE2354" s="571">
        <f t="shared" si="283"/>
        <v>0</v>
      </c>
      <c r="BF2354" s="586">
        <f t="shared" si="280"/>
        <v>0</v>
      </c>
      <c r="BG2354" s="586" t="e">
        <f t="shared" si="281"/>
        <v>#DIV/0!</v>
      </c>
      <c r="BH2354" s="571" t="e">
        <f t="shared" si="282"/>
        <v>#DIV/0!</v>
      </c>
    </row>
    <row r="2355" spans="55:60" s="39" customFormat="1">
      <c r="BC2355" s="573">
        <v>23.44</v>
      </c>
      <c r="BD2355" s="571">
        <f t="shared" si="279"/>
        <v>0</v>
      </c>
      <c r="BE2355" s="571">
        <f t="shared" si="283"/>
        <v>0</v>
      </c>
      <c r="BF2355" s="586">
        <f t="shared" si="280"/>
        <v>0</v>
      </c>
      <c r="BG2355" s="586" t="e">
        <f t="shared" si="281"/>
        <v>#DIV/0!</v>
      </c>
      <c r="BH2355" s="571" t="e">
        <f t="shared" si="282"/>
        <v>#DIV/0!</v>
      </c>
    </row>
    <row r="2356" spans="55:60" s="39" customFormat="1">
      <c r="BC2356" s="573">
        <v>23.45</v>
      </c>
      <c r="BD2356" s="571">
        <f t="shared" si="279"/>
        <v>0</v>
      </c>
      <c r="BE2356" s="571">
        <f t="shared" si="283"/>
        <v>0</v>
      </c>
      <c r="BF2356" s="586">
        <f t="shared" si="280"/>
        <v>0</v>
      </c>
      <c r="BG2356" s="586" t="e">
        <f t="shared" si="281"/>
        <v>#DIV/0!</v>
      </c>
      <c r="BH2356" s="571" t="e">
        <f t="shared" si="282"/>
        <v>#DIV/0!</v>
      </c>
    </row>
    <row r="2357" spans="55:60" s="39" customFormat="1">
      <c r="BC2357" s="573">
        <v>23.46</v>
      </c>
      <c r="BD2357" s="571">
        <f t="shared" si="279"/>
        <v>0</v>
      </c>
      <c r="BE2357" s="571">
        <f t="shared" si="283"/>
        <v>0</v>
      </c>
      <c r="BF2357" s="586">
        <f t="shared" si="280"/>
        <v>0</v>
      </c>
      <c r="BG2357" s="586" t="e">
        <f t="shared" si="281"/>
        <v>#DIV/0!</v>
      </c>
      <c r="BH2357" s="571" t="e">
        <f t="shared" si="282"/>
        <v>#DIV/0!</v>
      </c>
    </row>
    <row r="2358" spans="55:60" s="39" customFormat="1">
      <c r="BC2358" s="573">
        <v>23.47</v>
      </c>
      <c r="BD2358" s="571">
        <f t="shared" si="279"/>
        <v>0</v>
      </c>
      <c r="BE2358" s="571">
        <f t="shared" si="283"/>
        <v>0</v>
      </c>
      <c r="BF2358" s="586">
        <f t="shared" si="280"/>
        <v>0</v>
      </c>
      <c r="BG2358" s="586" t="e">
        <f t="shared" si="281"/>
        <v>#DIV/0!</v>
      </c>
      <c r="BH2358" s="571" t="e">
        <f t="shared" si="282"/>
        <v>#DIV/0!</v>
      </c>
    </row>
    <row r="2359" spans="55:60" s="39" customFormat="1">
      <c r="BC2359" s="573">
        <v>23.48</v>
      </c>
      <c r="BD2359" s="571">
        <f t="shared" si="279"/>
        <v>0</v>
      </c>
      <c r="BE2359" s="571">
        <f t="shared" si="283"/>
        <v>0</v>
      </c>
      <c r="BF2359" s="586">
        <f t="shared" si="280"/>
        <v>0</v>
      </c>
      <c r="BG2359" s="586" t="e">
        <f t="shared" si="281"/>
        <v>#DIV/0!</v>
      </c>
      <c r="BH2359" s="571" t="e">
        <f t="shared" si="282"/>
        <v>#DIV/0!</v>
      </c>
    </row>
    <row r="2360" spans="55:60" s="39" customFormat="1">
      <c r="BC2360" s="573">
        <v>23.49</v>
      </c>
      <c r="BD2360" s="571">
        <f t="shared" si="279"/>
        <v>0</v>
      </c>
      <c r="BE2360" s="571">
        <f t="shared" si="283"/>
        <v>0</v>
      </c>
      <c r="BF2360" s="586">
        <f t="shared" si="280"/>
        <v>0</v>
      </c>
      <c r="BG2360" s="586" t="e">
        <f t="shared" si="281"/>
        <v>#DIV/0!</v>
      </c>
      <c r="BH2360" s="571" t="e">
        <f t="shared" si="282"/>
        <v>#DIV/0!</v>
      </c>
    </row>
    <row r="2361" spans="55:60" s="39" customFormat="1">
      <c r="BC2361" s="573">
        <v>23.5</v>
      </c>
      <c r="BD2361" s="571">
        <f t="shared" si="279"/>
        <v>0</v>
      </c>
      <c r="BE2361" s="571">
        <f t="shared" si="283"/>
        <v>0</v>
      </c>
      <c r="BF2361" s="586">
        <f t="shared" si="280"/>
        <v>0</v>
      </c>
      <c r="BG2361" s="586" t="e">
        <f t="shared" si="281"/>
        <v>#DIV/0!</v>
      </c>
      <c r="BH2361" s="571" t="e">
        <f t="shared" si="282"/>
        <v>#DIV/0!</v>
      </c>
    </row>
    <row r="2362" spans="55:60" s="39" customFormat="1">
      <c r="BC2362" s="573">
        <v>23.51</v>
      </c>
      <c r="BD2362" s="571">
        <f t="shared" si="279"/>
        <v>0</v>
      </c>
      <c r="BE2362" s="571">
        <f t="shared" si="283"/>
        <v>0</v>
      </c>
      <c r="BF2362" s="586">
        <f t="shared" si="280"/>
        <v>0</v>
      </c>
      <c r="BG2362" s="586" t="e">
        <f t="shared" si="281"/>
        <v>#DIV/0!</v>
      </c>
      <c r="BH2362" s="571" t="e">
        <f t="shared" si="282"/>
        <v>#DIV/0!</v>
      </c>
    </row>
    <row r="2363" spans="55:60" s="39" customFormat="1">
      <c r="BC2363" s="573">
        <v>23.52</v>
      </c>
      <c r="BD2363" s="571">
        <f t="shared" si="279"/>
        <v>0</v>
      </c>
      <c r="BE2363" s="571">
        <f t="shared" si="283"/>
        <v>0</v>
      </c>
      <c r="BF2363" s="586">
        <f t="shared" si="280"/>
        <v>0</v>
      </c>
      <c r="BG2363" s="586" t="e">
        <f t="shared" si="281"/>
        <v>#DIV/0!</v>
      </c>
      <c r="BH2363" s="571" t="e">
        <f t="shared" si="282"/>
        <v>#DIV/0!</v>
      </c>
    </row>
    <row r="2364" spans="55:60" s="39" customFormat="1">
      <c r="BC2364" s="573">
        <v>23.53</v>
      </c>
      <c r="BD2364" s="571">
        <f t="shared" si="279"/>
        <v>0</v>
      </c>
      <c r="BE2364" s="571">
        <f t="shared" si="283"/>
        <v>0</v>
      </c>
      <c r="BF2364" s="586">
        <f t="shared" si="280"/>
        <v>0</v>
      </c>
      <c r="BG2364" s="586" t="e">
        <f t="shared" si="281"/>
        <v>#DIV/0!</v>
      </c>
      <c r="BH2364" s="571" t="e">
        <f t="shared" si="282"/>
        <v>#DIV/0!</v>
      </c>
    </row>
    <row r="2365" spans="55:60" s="39" customFormat="1">
      <c r="BC2365" s="573">
        <v>23.54</v>
      </c>
      <c r="BD2365" s="571">
        <f t="shared" si="279"/>
        <v>0</v>
      </c>
      <c r="BE2365" s="571">
        <f t="shared" si="283"/>
        <v>0</v>
      </c>
      <c r="BF2365" s="586">
        <f t="shared" si="280"/>
        <v>0</v>
      </c>
      <c r="BG2365" s="586" t="e">
        <f t="shared" si="281"/>
        <v>#DIV/0!</v>
      </c>
      <c r="BH2365" s="571" t="e">
        <f t="shared" si="282"/>
        <v>#DIV/0!</v>
      </c>
    </row>
    <row r="2366" spans="55:60" s="39" customFormat="1">
      <c r="BC2366" s="573">
        <v>23.55</v>
      </c>
      <c r="BD2366" s="571">
        <f t="shared" si="279"/>
        <v>0</v>
      </c>
      <c r="BE2366" s="571">
        <f t="shared" si="283"/>
        <v>0</v>
      </c>
      <c r="BF2366" s="586">
        <f t="shared" si="280"/>
        <v>0</v>
      </c>
      <c r="BG2366" s="586" t="e">
        <f t="shared" si="281"/>
        <v>#DIV/0!</v>
      </c>
      <c r="BH2366" s="571" t="e">
        <f t="shared" si="282"/>
        <v>#DIV/0!</v>
      </c>
    </row>
    <row r="2367" spans="55:60" s="39" customFormat="1">
      <c r="BC2367" s="573">
        <v>23.56</v>
      </c>
      <c r="BD2367" s="571">
        <f t="shared" si="279"/>
        <v>0</v>
      </c>
      <c r="BE2367" s="571">
        <f t="shared" si="283"/>
        <v>0</v>
      </c>
      <c r="BF2367" s="586">
        <f t="shared" si="280"/>
        <v>0</v>
      </c>
      <c r="BG2367" s="586" t="e">
        <f t="shared" si="281"/>
        <v>#DIV/0!</v>
      </c>
      <c r="BH2367" s="571" t="e">
        <f t="shared" si="282"/>
        <v>#DIV/0!</v>
      </c>
    </row>
    <row r="2368" spans="55:60" s="39" customFormat="1">
      <c r="BC2368" s="573">
        <v>23.57</v>
      </c>
      <c r="BD2368" s="571">
        <f t="shared" si="279"/>
        <v>0</v>
      </c>
      <c r="BE2368" s="571">
        <f t="shared" si="283"/>
        <v>0</v>
      </c>
      <c r="BF2368" s="586">
        <f t="shared" si="280"/>
        <v>0</v>
      </c>
      <c r="BG2368" s="586" t="e">
        <f t="shared" si="281"/>
        <v>#DIV/0!</v>
      </c>
      <c r="BH2368" s="571" t="e">
        <f t="shared" si="282"/>
        <v>#DIV/0!</v>
      </c>
    </row>
    <row r="2369" spans="55:60" s="39" customFormat="1">
      <c r="BC2369" s="573">
        <v>23.58</v>
      </c>
      <c r="BD2369" s="571">
        <f t="shared" si="279"/>
        <v>0</v>
      </c>
      <c r="BE2369" s="571">
        <f t="shared" si="283"/>
        <v>0</v>
      </c>
      <c r="BF2369" s="586">
        <f t="shared" si="280"/>
        <v>0</v>
      </c>
      <c r="BG2369" s="586" t="e">
        <f t="shared" si="281"/>
        <v>#DIV/0!</v>
      </c>
      <c r="BH2369" s="571" t="e">
        <f t="shared" si="282"/>
        <v>#DIV/0!</v>
      </c>
    </row>
    <row r="2370" spans="55:60" s="39" customFormat="1">
      <c r="BC2370" s="573">
        <v>23.59</v>
      </c>
      <c r="BD2370" s="571">
        <f t="shared" si="279"/>
        <v>0</v>
      </c>
      <c r="BE2370" s="571">
        <f t="shared" si="283"/>
        <v>0</v>
      </c>
      <c r="BF2370" s="586">
        <f t="shared" si="280"/>
        <v>0</v>
      </c>
      <c r="BG2370" s="586" t="e">
        <f t="shared" si="281"/>
        <v>#DIV/0!</v>
      </c>
      <c r="BH2370" s="571" t="e">
        <f t="shared" si="282"/>
        <v>#DIV/0!</v>
      </c>
    </row>
    <row r="2371" spans="55:60" s="39" customFormat="1">
      <c r="BC2371" s="573">
        <v>23.6</v>
      </c>
      <c r="BD2371" s="571">
        <f t="shared" si="279"/>
        <v>0</v>
      </c>
      <c r="BE2371" s="571">
        <f t="shared" si="283"/>
        <v>0</v>
      </c>
      <c r="BF2371" s="586">
        <f t="shared" si="280"/>
        <v>0</v>
      </c>
      <c r="BG2371" s="586" t="e">
        <f t="shared" si="281"/>
        <v>#DIV/0!</v>
      </c>
      <c r="BH2371" s="571" t="e">
        <f t="shared" si="282"/>
        <v>#DIV/0!</v>
      </c>
    </row>
    <row r="2372" spans="55:60" s="39" customFormat="1">
      <c r="BC2372" s="573">
        <v>23.61</v>
      </c>
      <c r="BD2372" s="571">
        <f t="shared" si="279"/>
        <v>0</v>
      </c>
      <c r="BE2372" s="571">
        <f t="shared" si="283"/>
        <v>0</v>
      </c>
      <c r="BF2372" s="586">
        <f t="shared" si="280"/>
        <v>0</v>
      </c>
      <c r="BG2372" s="586" t="e">
        <f t="shared" si="281"/>
        <v>#DIV/0!</v>
      </c>
      <c r="BH2372" s="571" t="e">
        <f t="shared" si="282"/>
        <v>#DIV/0!</v>
      </c>
    </row>
    <row r="2373" spans="55:60" s="39" customFormat="1">
      <c r="BC2373" s="573">
        <v>23.62</v>
      </c>
      <c r="BD2373" s="571">
        <f t="shared" si="279"/>
        <v>0</v>
      </c>
      <c r="BE2373" s="571">
        <f t="shared" si="283"/>
        <v>0</v>
      </c>
      <c r="BF2373" s="586">
        <f t="shared" si="280"/>
        <v>0</v>
      </c>
      <c r="BG2373" s="586" t="e">
        <f t="shared" si="281"/>
        <v>#DIV/0!</v>
      </c>
      <c r="BH2373" s="571" t="e">
        <f t="shared" si="282"/>
        <v>#DIV/0!</v>
      </c>
    </row>
    <row r="2374" spans="55:60" s="39" customFormat="1">
      <c r="BC2374" s="573">
        <v>23.63</v>
      </c>
      <c r="BD2374" s="571">
        <f t="shared" si="279"/>
        <v>0</v>
      </c>
      <c r="BE2374" s="571">
        <f t="shared" si="283"/>
        <v>0</v>
      </c>
      <c r="BF2374" s="586">
        <f t="shared" si="280"/>
        <v>0</v>
      </c>
      <c r="BG2374" s="586" t="e">
        <f t="shared" si="281"/>
        <v>#DIV/0!</v>
      </c>
      <c r="BH2374" s="571" t="e">
        <f t="shared" si="282"/>
        <v>#DIV/0!</v>
      </c>
    </row>
    <row r="2375" spans="55:60" s="39" customFormat="1">
      <c r="BC2375" s="573">
        <v>23.64</v>
      </c>
      <c r="BD2375" s="571">
        <f t="shared" si="279"/>
        <v>0</v>
      </c>
      <c r="BE2375" s="571">
        <f t="shared" si="283"/>
        <v>0</v>
      </c>
      <c r="BF2375" s="586">
        <f t="shared" si="280"/>
        <v>0</v>
      </c>
      <c r="BG2375" s="586" t="e">
        <f t="shared" si="281"/>
        <v>#DIV/0!</v>
      </c>
      <c r="BH2375" s="571" t="e">
        <f t="shared" si="282"/>
        <v>#DIV/0!</v>
      </c>
    </row>
    <row r="2376" spans="55:60" s="39" customFormat="1">
      <c r="BC2376" s="573">
        <v>23.65</v>
      </c>
      <c r="BD2376" s="571">
        <f t="shared" si="279"/>
        <v>0</v>
      </c>
      <c r="BE2376" s="571">
        <f t="shared" si="283"/>
        <v>0</v>
      </c>
      <c r="BF2376" s="586">
        <f t="shared" si="280"/>
        <v>0</v>
      </c>
      <c r="BG2376" s="586" t="e">
        <f t="shared" si="281"/>
        <v>#DIV/0!</v>
      </c>
      <c r="BH2376" s="571" t="e">
        <f t="shared" si="282"/>
        <v>#DIV/0!</v>
      </c>
    </row>
    <row r="2377" spans="55:60" s="39" customFormat="1">
      <c r="BC2377" s="573">
        <v>23.66</v>
      </c>
      <c r="BD2377" s="571">
        <f t="shared" si="279"/>
        <v>0</v>
      </c>
      <c r="BE2377" s="571">
        <f t="shared" si="283"/>
        <v>0</v>
      </c>
      <c r="BF2377" s="586">
        <f t="shared" si="280"/>
        <v>0</v>
      </c>
      <c r="BG2377" s="586" t="e">
        <f t="shared" si="281"/>
        <v>#DIV/0!</v>
      </c>
      <c r="BH2377" s="571" t="e">
        <f t="shared" si="282"/>
        <v>#DIV/0!</v>
      </c>
    </row>
    <row r="2378" spans="55:60" s="39" customFormat="1">
      <c r="BC2378" s="573">
        <v>23.67</v>
      </c>
      <c r="BD2378" s="571">
        <f t="shared" si="279"/>
        <v>0</v>
      </c>
      <c r="BE2378" s="571">
        <f t="shared" si="283"/>
        <v>0</v>
      </c>
      <c r="BF2378" s="586">
        <f t="shared" si="280"/>
        <v>0</v>
      </c>
      <c r="BG2378" s="586" t="e">
        <f t="shared" si="281"/>
        <v>#DIV/0!</v>
      </c>
      <c r="BH2378" s="571" t="e">
        <f t="shared" si="282"/>
        <v>#DIV/0!</v>
      </c>
    </row>
    <row r="2379" spans="55:60" s="39" customFormat="1">
      <c r="BC2379" s="573">
        <v>23.68</v>
      </c>
      <c r="BD2379" s="571">
        <f t="shared" si="279"/>
        <v>0</v>
      </c>
      <c r="BE2379" s="571">
        <f t="shared" si="283"/>
        <v>0</v>
      </c>
      <c r="BF2379" s="586">
        <f t="shared" si="280"/>
        <v>0</v>
      </c>
      <c r="BG2379" s="586" t="e">
        <f t="shared" si="281"/>
        <v>#DIV/0!</v>
      </c>
      <c r="BH2379" s="571" t="e">
        <f t="shared" si="282"/>
        <v>#DIV/0!</v>
      </c>
    </row>
    <row r="2380" spans="55:60" s="39" customFormat="1">
      <c r="BC2380" s="573">
        <v>23.69</v>
      </c>
      <c r="BD2380" s="571">
        <f t="shared" ref="BD2380:BD2443" si="284">$AU$15/BC2380</f>
        <v>0</v>
      </c>
      <c r="BE2380" s="571">
        <f t="shared" si="283"/>
        <v>0</v>
      </c>
      <c r="BF2380" s="586">
        <f t="shared" ref="BF2380:BF2443" si="285">BC2380*(BE2380/1000)/$AO$12</f>
        <v>0</v>
      </c>
      <c r="BG2380" s="586" t="e">
        <f t="shared" ref="BG2380:BG2443" si="286">POWER((1/(-1.8*LOG((6.9/BF2380+POWER((($P$7/BE2380)/3.71),1.11)),10))),2)</f>
        <v>#DIV/0!</v>
      </c>
      <c r="BH2380" s="571" t="e">
        <f t="shared" ref="BH2380:BH2443" si="287">BG2380*0.5*$P$6*16*$AU$15*$AU$15/(POWER(PI(),2)*POWER((BE2380/1000),5))</f>
        <v>#DIV/0!</v>
      </c>
    </row>
    <row r="2381" spans="55:60" s="39" customFormat="1">
      <c r="BC2381" s="573">
        <v>23.7</v>
      </c>
      <c r="BD2381" s="571">
        <f t="shared" si="284"/>
        <v>0</v>
      </c>
      <c r="BE2381" s="571">
        <f t="shared" ref="BE2381:BE2444" si="288">((BD2381/PI())^0.5)*2*1000</f>
        <v>0</v>
      </c>
      <c r="BF2381" s="586">
        <f t="shared" si="285"/>
        <v>0</v>
      </c>
      <c r="BG2381" s="586" t="e">
        <f t="shared" si="286"/>
        <v>#DIV/0!</v>
      </c>
      <c r="BH2381" s="571" t="e">
        <f t="shared" si="287"/>
        <v>#DIV/0!</v>
      </c>
    </row>
    <row r="2382" spans="55:60" s="39" customFormat="1">
      <c r="BC2382" s="573">
        <v>23.71</v>
      </c>
      <c r="BD2382" s="571">
        <f t="shared" si="284"/>
        <v>0</v>
      </c>
      <c r="BE2382" s="571">
        <f t="shared" si="288"/>
        <v>0</v>
      </c>
      <c r="BF2382" s="586">
        <f t="shared" si="285"/>
        <v>0</v>
      </c>
      <c r="BG2382" s="586" t="e">
        <f t="shared" si="286"/>
        <v>#DIV/0!</v>
      </c>
      <c r="BH2382" s="571" t="e">
        <f t="shared" si="287"/>
        <v>#DIV/0!</v>
      </c>
    </row>
    <row r="2383" spans="55:60" s="39" customFormat="1">
      <c r="BC2383" s="573">
        <v>23.72</v>
      </c>
      <c r="BD2383" s="571">
        <f t="shared" si="284"/>
        <v>0</v>
      </c>
      <c r="BE2383" s="571">
        <f t="shared" si="288"/>
        <v>0</v>
      </c>
      <c r="BF2383" s="586">
        <f t="shared" si="285"/>
        <v>0</v>
      </c>
      <c r="BG2383" s="586" t="e">
        <f t="shared" si="286"/>
        <v>#DIV/0!</v>
      </c>
      <c r="BH2383" s="571" t="e">
        <f t="shared" si="287"/>
        <v>#DIV/0!</v>
      </c>
    </row>
    <row r="2384" spans="55:60" s="39" customFormat="1">
      <c r="BC2384" s="573">
        <v>23.73</v>
      </c>
      <c r="BD2384" s="571">
        <f t="shared" si="284"/>
        <v>0</v>
      </c>
      <c r="BE2384" s="571">
        <f t="shared" si="288"/>
        <v>0</v>
      </c>
      <c r="BF2384" s="586">
        <f t="shared" si="285"/>
        <v>0</v>
      </c>
      <c r="BG2384" s="586" t="e">
        <f t="shared" si="286"/>
        <v>#DIV/0!</v>
      </c>
      <c r="BH2384" s="571" t="e">
        <f t="shared" si="287"/>
        <v>#DIV/0!</v>
      </c>
    </row>
    <row r="2385" spans="55:60" s="39" customFormat="1">
      <c r="BC2385" s="573">
        <v>23.74</v>
      </c>
      <c r="BD2385" s="571">
        <f t="shared" si="284"/>
        <v>0</v>
      </c>
      <c r="BE2385" s="571">
        <f t="shared" si="288"/>
        <v>0</v>
      </c>
      <c r="BF2385" s="586">
        <f t="shared" si="285"/>
        <v>0</v>
      </c>
      <c r="BG2385" s="586" t="e">
        <f t="shared" si="286"/>
        <v>#DIV/0!</v>
      </c>
      <c r="BH2385" s="571" t="e">
        <f t="shared" si="287"/>
        <v>#DIV/0!</v>
      </c>
    </row>
    <row r="2386" spans="55:60" s="39" customFormat="1">
      <c r="BC2386" s="573">
        <v>23.75</v>
      </c>
      <c r="BD2386" s="571">
        <f t="shared" si="284"/>
        <v>0</v>
      </c>
      <c r="BE2386" s="571">
        <f t="shared" si="288"/>
        <v>0</v>
      </c>
      <c r="BF2386" s="586">
        <f t="shared" si="285"/>
        <v>0</v>
      </c>
      <c r="BG2386" s="586" t="e">
        <f t="shared" si="286"/>
        <v>#DIV/0!</v>
      </c>
      <c r="BH2386" s="571" t="e">
        <f t="shared" si="287"/>
        <v>#DIV/0!</v>
      </c>
    </row>
    <row r="2387" spans="55:60" s="39" customFormat="1">
      <c r="BC2387" s="573">
        <v>23.76</v>
      </c>
      <c r="BD2387" s="571">
        <f t="shared" si="284"/>
        <v>0</v>
      </c>
      <c r="BE2387" s="571">
        <f t="shared" si="288"/>
        <v>0</v>
      </c>
      <c r="BF2387" s="586">
        <f t="shared" si="285"/>
        <v>0</v>
      </c>
      <c r="BG2387" s="586" t="e">
        <f t="shared" si="286"/>
        <v>#DIV/0!</v>
      </c>
      <c r="BH2387" s="571" t="e">
        <f t="shared" si="287"/>
        <v>#DIV/0!</v>
      </c>
    </row>
    <row r="2388" spans="55:60" s="39" customFormat="1">
      <c r="BC2388" s="573">
        <v>23.77</v>
      </c>
      <c r="BD2388" s="571">
        <f t="shared" si="284"/>
        <v>0</v>
      </c>
      <c r="BE2388" s="571">
        <f t="shared" si="288"/>
        <v>0</v>
      </c>
      <c r="BF2388" s="586">
        <f t="shared" si="285"/>
        <v>0</v>
      </c>
      <c r="BG2388" s="586" t="e">
        <f t="shared" si="286"/>
        <v>#DIV/0!</v>
      </c>
      <c r="BH2388" s="571" t="e">
        <f t="shared" si="287"/>
        <v>#DIV/0!</v>
      </c>
    </row>
    <row r="2389" spans="55:60" s="39" customFormat="1">
      <c r="BC2389" s="573">
        <v>23.78</v>
      </c>
      <c r="BD2389" s="571">
        <f t="shared" si="284"/>
        <v>0</v>
      </c>
      <c r="BE2389" s="571">
        <f t="shared" si="288"/>
        <v>0</v>
      </c>
      <c r="BF2389" s="586">
        <f t="shared" si="285"/>
        <v>0</v>
      </c>
      <c r="BG2389" s="586" t="e">
        <f t="shared" si="286"/>
        <v>#DIV/0!</v>
      </c>
      <c r="BH2389" s="571" t="e">
        <f t="shared" si="287"/>
        <v>#DIV/0!</v>
      </c>
    </row>
    <row r="2390" spans="55:60" s="39" customFormat="1">
      <c r="BC2390" s="573">
        <v>23.79</v>
      </c>
      <c r="BD2390" s="571">
        <f t="shared" si="284"/>
        <v>0</v>
      </c>
      <c r="BE2390" s="571">
        <f t="shared" si="288"/>
        <v>0</v>
      </c>
      <c r="BF2390" s="586">
        <f t="shared" si="285"/>
        <v>0</v>
      </c>
      <c r="BG2390" s="586" t="e">
        <f t="shared" si="286"/>
        <v>#DIV/0!</v>
      </c>
      <c r="BH2390" s="571" t="e">
        <f t="shared" si="287"/>
        <v>#DIV/0!</v>
      </c>
    </row>
    <row r="2391" spans="55:60" s="39" customFormat="1">
      <c r="BC2391" s="573">
        <v>23.8</v>
      </c>
      <c r="BD2391" s="571">
        <f t="shared" si="284"/>
        <v>0</v>
      </c>
      <c r="BE2391" s="571">
        <f t="shared" si="288"/>
        <v>0</v>
      </c>
      <c r="BF2391" s="586">
        <f t="shared" si="285"/>
        <v>0</v>
      </c>
      <c r="BG2391" s="586" t="e">
        <f t="shared" si="286"/>
        <v>#DIV/0!</v>
      </c>
      <c r="BH2391" s="571" t="e">
        <f t="shared" si="287"/>
        <v>#DIV/0!</v>
      </c>
    </row>
    <row r="2392" spans="55:60" s="39" customFormat="1">
      <c r="BC2392" s="573">
        <v>23.81</v>
      </c>
      <c r="BD2392" s="571">
        <f t="shared" si="284"/>
        <v>0</v>
      </c>
      <c r="BE2392" s="571">
        <f t="shared" si="288"/>
        <v>0</v>
      </c>
      <c r="BF2392" s="586">
        <f t="shared" si="285"/>
        <v>0</v>
      </c>
      <c r="BG2392" s="586" t="e">
        <f t="shared" si="286"/>
        <v>#DIV/0!</v>
      </c>
      <c r="BH2392" s="571" t="e">
        <f t="shared" si="287"/>
        <v>#DIV/0!</v>
      </c>
    </row>
    <row r="2393" spans="55:60" s="39" customFormat="1">
      <c r="BC2393" s="573">
        <v>23.82</v>
      </c>
      <c r="BD2393" s="571">
        <f t="shared" si="284"/>
        <v>0</v>
      </c>
      <c r="BE2393" s="571">
        <f t="shared" si="288"/>
        <v>0</v>
      </c>
      <c r="BF2393" s="586">
        <f t="shared" si="285"/>
        <v>0</v>
      </c>
      <c r="BG2393" s="586" t="e">
        <f t="shared" si="286"/>
        <v>#DIV/0!</v>
      </c>
      <c r="BH2393" s="571" t="e">
        <f t="shared" si="287"/>
        <v>#DIV/0!</v>
      </c>
    </row>
    <row r="2394" spans="55:60" s="39" customFormat="1">
      <c r="BC2394" s="573">
        <v>23.83</v>
      </c>
      <c r="BD2394" s="571">
        <f t="shared" si="284"/>
        <v>0</v>
      </c>
      <c r="BE2394" s="571">
        <f t="shared" si="288"/>
        <v>0</v>
      </c>
      <c r="BF2394" s="586">
        <f t="shared" si="285"/>
        <v>0</v>
      </c>
      <c r="BG2394" s="586" t="e">
        <f t="shared" si="286"/>
        <v>#DIV/0!</v>
      </c>
      <c r="BH2394" s="571" t="e">
        <f t="shared" si="287"/>
        <v>#DIV/0!</v>
      </c>
    </row>
    <row r="2395" spans="55:60" s="39" customFormat="1">
      <c r="BC2395" s="573">
        <v>23.84</v>
      </c>
      <c r="BD2395" s="571">
        <f t="shared" si="284"/>
        <v>0</v>
      </c>
      <c r="BE2395" s="571">
        <f t="shared" si="288"/>
        <v>0</v>
      </c>
      <c r="BF2395" s="586">
        <f t="shared" si="285"/>
        <v>0</v>
      </c>
      <c r="BG2395" s="586" t="e">
        <f t="shared" si="286"/>
        <v>#DIV/0!</v>
      </c>
      <c r="BH2395" s="571" t="e">
        <f t="shared" si="287"/>
        <v>#DIV/0!</v>
      </c>
    </row>
    <row r="2396" spans="55:60" s="39" customFormat="1">
      <c r="BC2396" s="573">
        <v>23.85</v>
      </c>
      <c r="BD2396" s="571">
        <f t="shared" si="284"/>
        <v>0</v>
      </c>
      <c r="BE2396" s="571">
        <f t="shared" si="288"/>
        <v>0</v>
      </c>
      <c r="BF2396" s="586">
        <f t="shared" si="285"/>
        <v>0</v>
      </c>
      <c r="BG2396" s="586" t="e">
        <f t="shared" si="286"/>
        <v>#DIV/0!</v>
      </c>
      <c r="BH2396" s="571" t="e">
        <f t="shared" si="287"/>
        <v>#DIV/0!</v>
      </c>
    </row>
    <row r="2397" spans="55:60" s="39" customFormat="1">
      <c r="BC2397" s="573">
        <v>23.86</v>
      </c>
      <c r="BD2397" s="571">
        <f t="shared" si="284"/>
        <v>0</v>
      </c>
      <c r="BE2397" s="571">
        <f t="shared" si="288"/>
        <v>0</v>
      </c>
      <c r="BF2397" s="586">
        <f t="shared" si="285"/>
        <v>0</v>
      </c>
      <c r="BG2397" s="586" t="e">
        <f t="shared" si="286"/>
        <v>#DIV/0!</v>
      </c>
      <c r="BH2397" s="571" t="e">
        <f t="shared" si="287"/>
        <v>#DIV/0!</v>
      </c>
    </row>
    <row r="2398" spans="55:60" s="39" customFormat="1">
      <c r="BC2398" s="573">
        <v>23.87</v>
      </c>
      <c r="BD2398" s="571">
        <f t="shared" si="284"/>
        <v>0</v>
      </c>
      <c r="BE2398" s="571">
        <f t="shared" si="288"/>
        <v>0</v>
      </c>
      <c r="BF2398" s="586">
        <f t="shared" si="285"/>
        <v>0</v>
      </c>
      <c r="BG2398" s="586" t="e">
        <f t="shared" si="286"/>
        <v>#DIV/0!</v>
      </c>
      <c r="BH2398" s="571" t="e">
        <f t="shared" si="287"/>
        <v>#DIV/0!</v>
      </c>
    </row>
    <row r="2399" spans="55:60" s="39" customFormat="1">
      <c r="BC2399" s="573">
        <v>23.88</v>
      </c>
      <c r="BD2399" s="571">
        <f t="shared" si="284"/>
        <v>0</v>
      </c>
      <c r="BE2399" s="571">
        <f t="shared" si="288"/>
        <v>0</v>
      </c>
      <c r="BF2399" s="586">
        <f t="shared" si="285"/>
        <v>0</v>
      </c>
      <c r="BG2399" s="586" t="e">
        <f t="shared" si="286"/>
        <v>#DIV/0!</v>
      </c>
      <c r="BH2399" s="571" t="e">
        <f t="shared" si="287"/>
        <v>#DIV/0!</v>
      </c>
    </row>
    <row r="2400" spans="55:60" s="39" customFormat="1">
      <c r="BC2400" s="573">
        <v>23.89</v>
      </c>
      <c r="BD2400" s="571">
        <f t="shared" si="284"/>
        <v>0</v>
      </c>
      <c r="BE2400" s="571">
        <f t="shared" si="288"/>
        <v>0</v>
      </c>
      <c r="BF2400" s="586">
        <f t="shared" si="285"/>
        <v>0</v>
      </c>
      <c r="BG2400" s="586" t="e">
        <f t="shared" si="286"/>
        <v>#DIV/0!</v>
      </c>
      <c r="BH2400" s="571" t="e">
        <f t="shared" si="287"/>
        <v>#DIV/0!</v>
      </c>
    </row>
    <row r="2401" spans="55:60" s="39" customFormat="1">
      <c r="BC2401" s="573">
        <v>23.9</v>
      </c>
      <c r="BD2401" s="571">
        <f t="shared" si="284"/>
        <v>0</v>
      </c>
      <c r="BE2401" s="571">
        <f t="shared" si="288"/>
        <v>0</v>
      </c>
      <c r="BF2401" s="586">
        <f t="shared" si="285"/>
        <v>0</v>
      </c>
      <c r="BG2401" s="586" t="e">
        <f t="shared" si="286"/>
        <v>#DIV/0!</v>
      </c>
      <c r="BH2401" s="571" t="e">
        <f t="shared" si="287"/>
        <v>#DIV/0!</v>
      </c>
    </row>
    <row r="2402" spans="55:60" s="39" customFormat="1">
      <c r="BC2402" s="573">
        <v>23.91</v>
      </c>
      <c r="BD2402" s="571">
        <f t="shared" si="284"/>
        <v>0</v>
      </c>
      <c r="BE2402" s="571">
        <f t="shared" si="288"/>
        <v>0</v>
      </c>
      <c r="BF2402" s="586">
        <f t="shared" si="285"/>
        <v>0</v>
      </c>
      <c r="BG2402" s="586" t="e">
        <f t="shared" si="286"/>
        <v>#DIV/0!</v>
      </c>
      <c r="BH2402" s="571" t="e">
        <f t="shared" si="287"/>
        <v>#DIV/0!</v>
      </c>
    </row>
    <row r="2403" spans="55:60" s="39" customFormat="1">
      <c r="BC2403" s="573">
        <v>23.92</v>
      </c>
      <c r="BD2403" s="571">
        <f t="shared" si="284"/>
        <v>0</v>
      </c>
      <c r="BE2403" s="571">
        <f t="shared" si="288"/>
        <v>0</v>
      </c>
      <c r="BF2403" s="586">
        <f t="shared" si="285"/>
        <v>0</v>
      </c>
      <c r="BG2403" s="586" t="e">
        <f t="shared" si="286"/>
        <v>#DIV/0!</v>
      </c>
      <c r="BH2403" s="571" t="e">
        <f t="shared" si="287"/>
        <v>#DIV/0!</v>
      </c>
    </row>
    <row r="2404" spans="55:60" s="39" customFormat="1">
      <c r="BC2404" s="573">
        <v>23.93</v>
      </c>
      <c r="BD2404" s="571">
        <f t="shared" si="284"/>
        <v>0</v>
      </c>
      <c r="BE2404" s="571">
        <f t="shared" si="288"/>
        <v>0</v>
      </c>
      <c r="BF2404" s="586">
        <f t="shared" si="285"/>
        <v>0</v>
      </c>
      <c r="BG2404" s="586" t="e">
        <f t="shared" si="286"/>
        <v>#DIV/0!</v>
      </c>
      <c r="BH2404" s="571" t="e">
        <f t="shared" si="287"/>
        <v>#DIV/0!</v>
      </c>
    </row>
    <row r="2405" spans="55:60" s="39" customFormat="1">
      <c r="BC2405" s="573">
        <v>23.94</v>
      </c>
      <c r="BD2405" s="571">
        <f t="shared" si="284"/>
        <v>0</v>
      </c>
      <c r="BE2405" s="571">
        <f t="shared" si="288"/>
        <v>0</v>
      </c>
      <c r="BF2405" s="586">
        <f t="shared" si="285"/>
        <v>0</v>
      </c>
      <c r="BG2405" s="586" t="e">
        <f t="shared" si="286"/>
        <v>#DIV/0!</v>
      </c>
      <c r="BH2405" s="571" t="e">
        <f t="shared" si="287"/>
        <v>#DIV/0!</v>
      </c>
    </row>
    <row r="2406" spans="55:60" s="39" customFormat="1">
      <c r="BC2406" s="573">
        <v>23.95</v>
      </c>
      <c r="BD2406" s="571">
        <f t="shared" si="284"/>
        <v>0</v>
      </c>
      <c r="BE2406" s="571">
        <f t="shared" si="288"/>
        <v>0</v>
      </c>
      <c r="BF2406" s="586">
        <f t="shared" si="285"/>
        <v>0</v>
      </c>
      <c r="BG2406" s="586" t="e">
        <f t="shared" si="286"/>
        <v>#DIV/0!</v>
      </c>
      <c r="BH2406" s="571" t="e">
        <f t="shared" si="287"/>
        <v>#DIV/0!</v>
      </c>
    </row>
    <row r="2407" spans="55:60" s="39" customFormat="1">
      <c r="BC2407" s="573">
        <v>23.96</v>
      </c>
      <c r="BD2407" s="571">
        <f t="shared" si="284"/>
        <v>0</v>
      </c>
      <c r="BE2407" s="571">
        <f t="shared" si="288"/>
        <v>0</v>
      </c>
      <c r="BF2407" s="586">
        <f t="shared" si="285"/>
        <v>0</v>
      </c>
      <c r="BG2407" s="586" t="e">
        <f t="shared" si="286"/>
        <v>#DIV/0!</v>
      </c>
      <c r="BH2407" s="571" t="e">
        <f t="shared" si="287"/>
        <v>#DIV/0!</v>
      </c>
    </row>
    <row r="2408" spans="55:60" s="39" customFormat="1">
      <c r="BC2408" s="573">
        <v>23.97</v>
      </c>
      <c r="BD2408" s="571">
        <f t="shared" si="284"/>
        <v>0</v>
      </c>
      <c r="BE2408" s="571">
        <f t="shared" si="288"/>
        <v>0</v>
      </c>
      <c r="BF2408" s="586">
        <f t="shared" si="285"/>
        <v>0</v>
      </c>
      <c r="BG2408" s="586" t="e">
        <f t="shared" si="286"/>
        <v>#DIV/0!</v>
      </c>
      <c r="BH2408" s="571" t="e">
        <f t="shared" si="287"/>
        <v>#DIV/0!</v>
      </c>
    </row>
    <row r="2409" spans="55:60" s="39" customFormat="1">
      <c r="BC2409" s="573">
        <v>23.98</v>
      </c>
      <c r="BD2409" s="571">
        <f t="shared" si="284"/>
        <v>0</v>
      </c>
      <c r="BE2409" s="571">
        <f t="shared" si="288"/>
        <v>0</v>
      </c>
      <c r="BF2409" s="586">
        <f t="shared" si="285"/>
        <v>0</v>
      </c>
      <c r="BG2409" s="586" t="e">
        <f t="shared" si="286"/>
        <v>#DIV/0!</v>
      </c>
      <c r="BH2409" s="571" t="e">
        <f t="shared" si="287"/>
        <v>#DIV/0!</v>
      </c>
    </row>
    <row r="2410" spans="55:60" s="39" customFormat="1">
      <c r="BC2410" s="573">
        <v>23.99</v>
      </c>
      <c r="BD2410" s="571">
        <f t="shared" si="284"/>
        <v>0</v>
      </c>
      <c r="BE2410" s="571">
        <f t="shared" si="288"/>
        <v>0</v>
      </c>
      <c r="BF2410" s="586">
        <f t="shared" si="285"/>
        <v>0</v>
      </c>
      <c r="BG2410" s="586" t="e">
        <f t="shared" si="286"/>
        <v>#DIV/0!</v>
      </c>
      <c r="BH2410" s="571" t="e">
        <f t="shared" si="287"/>
        <v>#DIV/0!</v>
      </c>
    </row>
    <row r="2411" spans="55:60" s="39" customFormat="1">
      <c r="BC2411" s="573">
        <v>24</v>
      </c>
      <c r="BD2411" s="571">
        <f t="shared" si="284"/>
        <v>0</v>
      </c>
      <c r="BE2411" s="571">
        <f t="shared" si="288"/>
        <v>0</v>
      </c>
      <c r="BF2411" s="586">
        <f t="shared" si="285"/>
        <v>0</v>
      </c>
      <c r="BG2411" s="586" t="e">
        <f t="shared" si="286"/>
        <v>#DIV/0!</v>
      </c>
      <c r="BH2411" s="571" t="e">
        <f t="shared" si="287"/>
        <v>#DIV/0!</v>
      </c>
    </row>
    <row r="2412" spans="55:60" s="39" customFormat="1">
      <c r="BC2412" s="573">
        <v>24.01</v>
      </c>
      <c r="BD2412" s="571">
        <f t="shared" si="284"/>
        <v>0</v>
      </c>
      <c r="BE2412" s="571">
        <f t="shared" si="288"/>
        <v>0</v>
      </c>
      <c r="BF2412" s="586">
        <f t="shared" si="285"/>
        <v>0</v>
      </c>
      <c r="BG2412" s="586" t="e">
        <f t="shared" si="286"/>
        <v>#DIV/0!</v>
      </c>
      <c r="BH2412" s="571" t="e">
        <f t="shared" si="287"/>
        <v>#DIV/0!</v>
      </c>
    </row>
    <row r="2413" spans="55:60" s="39" customFormat="1">
      <c r="BC2413" s="573">
        <v>24.02</v>
      </c>
      <c r="BD2413" s="571">
        <f t="shared" si="284"/>
        <v>0</v>
      </c>
      <c r="BE2413" s="571">
        <f t="shared" si="288"/>
        <v>0</v>
      </c>
      <c r="BF2413" s="586">
        <f t="shared" si="285"/>
        <v>0</v>
      </c>
      <c r="BG2413" s="586" t="e">
        <f t="shared" si="286"/>
        <v>#DIV/0!</v>
      </c>
      <c r="BH2413" s="571" t="e">
        <f t="shared" si="287"/>
        <v>#DIV/0!</v>
      </c>
    </row>
    <row r="2414" spans="55:60" s="39" customFormat="1">
      <c r="BC2414" s="573">
        <v>24.03</v>
      </c>
      <c r="BD2414" s="571">
        <f t="shared" si="284"/>
        <v>0</v>
      </c>
      <c r="BE2414" s="571">
        <f t="shared" si="288"/>
        <v>0</v>
      </c>
      <c r="BF2414" s="586">
        <f t="shared" si="285"/>
        <v>0</v>
      </c>
      <c r="BG2414" s="586" t="e">
        <f t="shared" si="286"/>
        <v>#DIV/0!</v>
      </c>
      <c r="BH2414" s="571" t="e">
        <f t="shared" si="287"/>
        <v>#DIV/0!</v>
      </c>
    </row>
    <row r="2415" spans="55:60" s="39" customFormat="1">
      <c r="BC2415" s="573">
        <v>24.04</v>
      </c>
      <c r="BD2415" s="571">
        <f t="shared" si="284"/>
        <v>0</v>
      </c>
      <c r="BE2415" s="571">
        <f t="shared" si="288"/>
        <v>0</v>
      </c>
      <c r="BF2415" s="586">
        <f t="shared" si="285"/>
        <v>0</v>
      </c>
      <c r="BG2415" s="586" t="e">
        <f t="shared" si="286"/>
        <v>#DIV/0!</v>
      </c>
      <c r="BH2415" s="571" t="e">
        <f t="shared" si="287"/>
        <v>#DIV/0!</v>
      </c>
    </row>
    <row r="2416" spans="55:60" s="39" customFormat="1">
      <c r="BC2416" s="573">
        <v>24.05</v>
      </c>
      <c r="BD2416" s="571">
        <f t="shared" si="284"/>
        <v>0</v>
      </c>
      <c r="BE2416" s="571">
        <f t="shared" si="288"/>
        <v>0</v>
      </c>
      <c r="BF2416" s="586">
        <f t="shared" si="285"/>
        <v>0</v>
      </c>
      <c r="BG2416" s="586" t="e">
        <f t="shared" si="286"/>
        <v>#DIV/0!</v>
      </c>
      <c r="BH2416" s="571" t="e">
        <f t="shared" si="287"/>
        <v>#DIV/0!</v>
      </c>
    </row>
    <row r="2417" spans="55:60" s="39" customFormat="1">
      <c r="BC2417" s="573">
        <v>24.06</v>
      </c>
      <c r="BD2417" s="571">
        <f t="shared" si="284"/>
        <v>0</v>
      </c>
      <c r="BE2417" s="571">
        <f t="shared" si="288"/>
        <v>0</v>
      </c>
      <c r="BF2417" s="586">
        <f t="shared" si="285"/>
        <v>0</v>
      </c>
      <c r="BG2417" s="586" t="e">
        <f t="shared" si="286"/>
        <v>#DIV/0!</v>
      </c>
      <c r="BH2417" s="571" t="e">
        <f t="shared" si="287"/>
        <v>#DIV/0!</v>
      </c>
    </row>
    <row r="2418" spans="55:60" s="39" customFormat="1">
      <c r="BC2418" s="573">
        <v>24.07</v>
      </c>
      <c r="BD2418" s="571">
        <f t="shared" si="284"/>
        <v>0</v>
      </c>
      <c r="BE2418" s="571">
        <f t="shared" si="288"/>
        <v>0</v>
      </c>
      <c r="BF2418" s="586">
        <f t="shared" si="285"/>
        <v>0</v>
      </c>
      <c r="BG2418" s="586" t="e">
        <f t="shared" si="286"/>
        <v>#DIV/0!</v>
      </c>
      <c r="BH2418" s="571" t="e">
        <f t="shared" si="287"/>
        <v>#DIV/0!</v>
      </c>
    </row>
    <row r="2419" spans="55:60" s="39" customFormat="1">
      <c r="BC2419" s="573">
        <v>24.08</v>
      </c>
      <c r="BD2419" s="571">
        <f t="shared" si="284"/>
        <v>0</v>
      </c>
      <c r="BE2419" s="571">
        <f t="shared" si="288"/>
        <v>0</v>
      </c>
      <c r="BF2419" s="586">
        <f t="shared" si="285"/>
        <v>0</v>
      </c>
      <c r="BG2419" s="586" t="e">
        <f t="shared" si="286"/>
        <v>#DIV/0!</v>
      </c>
      <c r="BH2419" s="571" t="e">
        <f t="shared" si="287"/>
        <v>#DIV/0!</v>
      </c>
    </row>
    <row r="2420" spans="55:60" s="39" customFormat="1">
      <c r="BC2420" s="573">
        <v>24.09</v>
      </c>
      <c r="BD2420" s="571">
        <f t="shared" si="284"/>
        <v>0</v>
      </c>
      <c r="BE2420" s="571">
        <f t="shared" si="288"/>
        <v>0</v>
      </c>
      <c r="BF2420" s="586">
        <f t="shared" si="285"/>
        <v>0</v>
      </c>
      <c r="BG2420" s="586" t="e">
        <f t="shared" si="286"/>
        <v>#DIV/0!</v>
      </c>
      <c r="BH2420" s="571" t="e">
        <f t="shared" si="287"/>
        <v>#DIV/0!</v>
      </c>
    </row>
    <row r="2421" spans="55:60" s="39" customFormat="1">
      <c r="BC2421" s="573">
        <v>24.1</v>
      </c>
      <c r="BD2421" s="571">
        <f t="shared" si="284"/>
        <v>0</v>
      </c>
      <c r="BE2421" s="571">
        <f t="shared" si="288"/>
        <v>0</v>
      </c>
      <c r="BF2421" s="586">
        <f t="shared" si="285"/>
        <v>0</v>
      </c>
      <c r="BG2421" s="586" t="e">
        <f t="shared" si="286"/>
        <v>#DIV/0!</v>
      </c>
      <c r="BH2421" s="571" t="e">
        <f t="shared" si="287"/>
        <v>#DIV/0!</v>
      </c>
    </row>
    <row r="2422" spans="55:60" s="39" customFormat="1">
      <c r="BC2422" s="573">
        <v>24.11</v>
      </c>
      <c r="BD2422" s="571">
        <f t="shared" si="284"/>
        <v>0</v>
      </c>
      <c r="BE2422" s="571">
        <f t="shared" si="288"/>
        <v>0</v>
      </c>
      <c r="BF2422" s="586">
        <f t="shared" si="285"/>
        <v>0</v>
      </c>
      <c r="BG2422" s="586" t="e">
        <f t="shared" si="286"/>
        <v>#DIV/0!</v>
      </c>
      <c r="BH2422" s="571" t="e">
        <f t="shared" si="287"/>
        <v>#DIV/0!</v>
      </c>
    </row>
    <row r="2423" spans="55:60" s="39" customFormat="1">
      <c r="BC2423" s="573">
        <v>24.12</v>
      </c>
      <c r="BD2423" s="571">
        <f t="shared" si="284"/>
        <v>0</v>
      </c>
      <c r="BE2423" s="571">
        <f t="shared" si="288"/>
        <v>0</v>
      </c>
      <c r="BF2423" s="586">
        <f t="shared" si="285"/>
        <v>0</v>
      </c>
      <c r="BG2423" s="586" t="e">
        <f t="shared" si="286"/>
        <v>#DIV/0!</v>
      </c>
      <c r="BH2423" s="571" t="e">
        <f t="shared" si="287"/>
        <v>#DIV/0!</v>
      </c>
    </row>
    <row r="2424" spans="55:60" s="39" customFormat="1">
      <c r="BC2424" s="573">
        <v>24.13</v>
      </c>
      <c r="BD2424" s="571">
        <f t="shared" si="284"/>
        <v>0</v>
      </c>
      <c r="BE2424" s="571">
        <f t="shared" si="288"/>
        <v>0</v>
      </c>
      <c r="BF2424" s="586">
        <f t="shared" si="285"/>
        <v>0</v>
      </c>
      <c r="BG2424" s="586" t="e">
        <f t="shared" si="286"/>
        <v>#DIV/0!</v>
      </c>
      <c r="BH2424" s="571" t="e">
        <f t="shared" si="287"/>
        <v>#DIV/0!</v>
      </c>
    </row>
    <row r="2425" spans="55:60" s="39" customFormat="1">
      <c r="BC2425" s="573">
        <v>24.14</v>
      </c>
      <c r="BD2425" s="571">
        <f t="shared" si="284"/>
        <v>0</v>
      </c>
      <c r="BE2425" s="571">
        <f t="shared" si="288"/>
        <v>0</v>
      </c>
      <c r="BF2425" s="586">
        <f t="shared" si="285"/>
        <v>0</v>
      </c>
      <c r="BG2425" s="586" t="e">
        <f t="shared" si="286"/>
        <v>#DIV/0!</v>
      </c>
      <c r="BH2425" s="571" t="e">
        <f t="shared" si="287"/>
        <v>#DIV/0!</v>
      </c>
    </row>
    <row r="2426" spans="55:60" s="39" customFormat="1">
      <c r="BC2426" s="573">
        <v>24.15</v>
      </c>
      <c r="BD2426" s="571">
        <f t="shared" si="284"/>
        <v>0</v>
      </c>
      <c r="BE2426" s="571">
        <f t="shared" si="288"/>
        <v>0</v>
      </c>
      <c r="BF2426" s="586">
        <f t="shared" si="285"/>
        <v>0</v>
      </c>
      <c r="BG2426" s="586" t="e">
        <f t="shared" si="286"/>
        <v>#DIV/0!</v>
      </c>
      <c r="BH2426" s="571" t="e">
        <f t="shared" si="287"/>
        <v>#DIV/0!</v>
      </c>
    </row>
    <row r="2427" spans="55:60" s="39" customFormat="1">
      <c r="BC2427" s="573">
        <v>24.16</v>
      </c>
      <c r="BD2427" s="571">
        <f t="shared" si="284"/>
        <v>0</v>
      </c>
      <c r="BE2427" s="571">
        <f t="shared" si="288"/>
        <v>0</v>
      </c>
      <c r="BF2427" s="586">
        <f t="shared" si="285"/>
        <v>0</v>
      </c>
      <c r="BG2427" s="586" t="e">
        <f t="shared" si="286"/>
        <v>#DIV/0!</v>
      </c>
      <c r="BH2427" s="571" t="e">
        <f t="shared" si="287"/>
        <v>#DIV/0!</v>
      </c>
    </row>
    <row r="2428" spans="55:60" s="39" customFormat="1">
      <c r="BC2428" s="573">
        <v>24.17</v>
      </c>
      <c r="BD2428" s="571">
        <f t="shared" si="284"/>
        <v>0</v>
      </c>
      <c r="BE2428" s="571">
        <f t="shared" si="288"/>
        <v>0</v>
      </c>
      <c r="BF2428" s="586">
        <f t="shared" si="285"/>
        <v>0</v>
      </c>
      <c r="BG2428" s="586" t="e">
        <f t="shared" si="286"/>
        <v>#DIV/0!</v>
      </c>
      <c r="BH2428" s="571" t="e">
        <f t="shared" si="287"/>
        <v>#DIV/0!</v>
      </c>
    </row>
    <row r="2429" spans="55:60" s="39" customFormat="1">
      <c r="BC2429" s="573">
        <v>24.18</v>
      </c>
      <c r="BD2429" s="571">
        <f t="shared" si="284"/>
        <v>0</v>
      </c>
      <c r="BE2429" s="571">
        <f t="shared" si="288"/>
        <v>0</v>
      </c>
      <c r="BF2429" s="586">
        <f t="shared" si="285"/>
        <v>0</v>
      </c>
      <c r="BG2429" s="586" t="e">
        <f t="shared" si="286"/>
        <v>#DIV/0!</v>
      </c>
      <c r="BH2429" s="571" t="e">
        <f t="shared" si="287"/>
        <v>#DIV/0!</v>
      </c>
    </row>
    <row r="2430" spans="55:60" s="39" customFormat="1">
      <c r="BC2430" s="573">
        <v>24.19</v>
      </c>
      <c r="BD2430" s="571">
        <f t="shared" si="284"/>
        <v>0</v>
      </c>
      <c r="BE2430" s="571">
        <f t="shared" si="288"/>
        <v>0</v>
      </c>
      <c r="BF2430" s="586">
        <f t="shared" si="285"/>
        <v>0</v>
      </c>
      <c r="BG2430" s="586" t="e">
        <f t="shared" si="286"/>
        <v>#DIV/0!</v>
      </c>
      <c r="BH2430" s="571" t="e">
        <f t="shared" si="287"/>
        <v>#DIV/0!</v>
      </c>
    </row>
    <row r="2431" spans="55:60" s="39" customFormat="1">
      <c r="BC2431" s="573">
        <v>24.2</v>
      </c>
      <c r="BD2431" s="571">
        <f t="shared" si="284"/>
        <v>0</v>
      </c>
      <c r="BE2431" s="571">
        <f t="shared" si="288"/>
        <v>0</v>
      </c>
      <c r="BF2431" s="586">
        <f t="shared" si="285"/>
        <v>0</v>
      </c>
      <c r="BG2431" s="586" t="e">
        <f t="shared" si="286"/>
        <v>#DIV/0!</v>
      </c>
      <c r="BH2431" s="571" t="e">
        <f t="shared" si="287"/>
        <v>#DIV/0!</v>
      </c>
    </row>
    <row r="2432" spans="55:60" s="39" customFormat="1">
      <c r="BC2432" s="573">
        <v>24.21</v>
      </c>
      <c r="BD2432" s="571">
        <f t="shared" si="284"/>
        <v>0</v>
      </c>
      <c r="BE2432" s="571">
        <f t="shared" si="288"/>
        <v>0</v>
      </c>
      <c r="BF2432" s="586">
        <f t="shared" si="285"/>
        <v>0</v>
      </c>
      <c r="BG2432" s="586" t="e">
        <f t="shared" si="286"/>
        <v>#DIV/0!</v>
      </c>
      <c r="BH2432" s="571" t="e">
        <f t="shared" si="287"/>
        <v>#DIV/0!</v>
      </c>
    </row>
    <row r="2433" spans="55:60" s="39" customFormat="1">
      <c r="BC2433" s="573">
        <v>24.22</v>
      </c>
      <c r="BD2433" s="571">
        <f t="shared" si="284"/>
        <v>0</v>
      </c>
      <c r="BE2433" s="571">
        <f t="shared" si="288"/>
        <v>0</v>
      </c>
      <c r="BF2433" s="586">
        <f t="shared" si="285"/>
        <v>0</v>
      </c>
      <c r="BG2433" s="586" t="e">
        <f t="shared" si="286"/>
        <v>#DIV/0!</v>
      </c>
      <c r="BH2433" s="571" t="e">
        <f t="shared" si="287"/>
        <v>#DIV/0!</v>
      </c>
    </row>
    <row r="2434" spans="55:60" s="39" customFormat="1">
      <c r="BC2434" s="573">
        <v>24.23</v>
      </c>
      <c r="BD2434" s="571">
        <f t="shared" si="284"/>
        <v>0</v>
      </c>
      <c r="BE2434" s="571">
        <f t="shared" si="288"/>
        <v>0</v>
      </c>
      <c r="BF2434" s="586">
        <f t="shared" si="285"/>
        <v>0</v>
      </c>
      <c r="BG2434" s="586" t="e">
        <f t="shared" si="286"/>
        <v>#DIV/0!</v>
      </c>
      <c r="BH2434" s="571" t="e">
        <f t="shared" si="287"/>
        <v>#DIV/0!</v>
      </c>
    </row>
    <row r="2435" spans="55:60" s="39" customFormat="1">
      <c r="BC2435" s="573">
        <v>24.24</v>
      </c>
      <c r="BD2435" s="571">
        <f t="shared" si="284"/>
        <v>0</v>
      </c>
      <c r="BE2435" s="571">
        <f t="shared" si="288"/>
        <v>0</v>
      </c>
      <c r="BF2435" s="586">
        <f t="shared" si="285"/>
        <v>0</v>
      </c>
      <c r="BG2435" s="586" t="e">
        <f t="shared" si="286"/>
        <v>#DIV/0!</v>
      </c>
      <c r="BH2435" s="571" t="e">
        <f t="shared" si="287"/>
        <v>#DIV/0!</v>
      </c>
    </row>
    <row r="2436" spans="55:60" s="39" customFormat="1">
      <c r="BC2436" s="573">
        <v>24.25</v>
      </c>
      <c r="BD2436" s="571">
        <f t="shared" si="284"/>
        <v>0</v>
      </c>
      <c r="BE2436" s="571">
        <f t="shared" si="288"/>
        <v>0</v>
      </c>
      <c r="BF2436" s="586">
        <f t="shared" si="285"/>
        <v>0</v>
      </c>
      <c r="BG2436" s="586" t="e">
        <f t="shared" si="286"/>
        <v>#DIV/0!</v>
      </c>
      <c r="BH2436" s="571" t="e">
        <f t="shared" si="287"/>
        <v>#DIV/0!</v>
      </c>
    </row>
    <row r="2437" spans="55:60" s="39" customFormat="1">
      <c r="BC2437" s="573">
        <v>24.26</v>
      </c>
      <c r="BD2437" s="571">
        <f t="shared" si="284"/>
        <v>0</v>
      </c>
      <c r="BE2437" s="571">
        <f t="shared" si="288"/>
        <v>0</v>
      </c>
      <c r="BF2437" s="586">
        <f t="shared" si="285"/>
        <v>0</v>
      </c>
      <c r="BG2437" s="586" t="e">
        <f t="shared" si="286"/>
        <v>#DIV/0!</v>
      </c>
      <c r="BH2437" s="571" t="e">
        <f t="shared" si="287"/>
        <v>#DIV/0!</v>
      </c>
    </row>
    <row r="2438" spans="55:60" s="39" customFormat="1">
      <c r="BC2438" s="573">
        <v>24.27</v>
      </c>
      <c r="BD2438" s="571">
        <f t="shared" si="284"/>
        <v>0</v>
      </c>
      <c r="BE2438" s="571">
        <f t="shared" si="288"/>
        <v>0</v>
      </c>
      <c r="BF2438" s="586">
        <f t="shared" si="285"/>
        <v>0</v>
      </c>
      <c r="BG2438" s="586" t="e">
        <f t="shared" si="286"/>
        <v>#DIV/0!</v>
      </c>
      <c r="BH2438" s="571" t="e">
        <f t="shared" si="287"/>
        <v>#DIV/0!</v>
      </c>
    </row>
    <row r="2439" spans="55:60" s="39" customFormat="1">
      <c r="BC2439" s="573">
        <v>24.28</v>
      </c>
      <c r="BD2439" s="571">
        <f t="shared" si="284"/>
        <v>0</v>
      </c>
      <c r="BE2439" s="571">
        <f t="shared" si="288"/>
        <v>0</v>
      </c>
      <c r="BF2439" s="586">
        <f t="shared" si="285"/>
        <v>0</v>
      </c>
      <c r="BG2439" s="586" t="e">
        <f t="shared" si="286"/>
        <v>#DIV/0!</v>
      </c>
      <c r="BH2439" s="571" t="e">
        <f t="shared" si="287"/>
        <v>#DIV/0!</v>
      </c>
    </row>
    <row r="2440" spans="55:60" s="39" customFormat="1">
      <c r="BC2440" s="573">
        <v>24.29</v>
      </c>
      <c r="BD2440" s="571">
        <f t="shared" si="284"/>
        <v>0</v>
      </c>
      <c r="BE2440" s="571">
        <f t="shared" si="288"/>
        <v>0</v>
      </c>
      <c r="BF2440" s="586">
        <f t="shared" si="285"/>
        <v>0</v>
      </c>
      <c r="BG2440" s="586" t="e">
        <f t="shared" si="286"/>
        <v>#DIV/0!</v>
      </c>
      <c r="BH2440" s="571" t="e">
        <f t="shared" si="287"/>
        <v>#DIV/0!</v>
      </c>
    </row>
    <row r="2441" spans="55:60" s="39" customFormat="1">
      <c r="BC2441" s="573">
        <v>24.3</v>
      </c>
      <c r="BD2441" s="571">
        <f t="shared" si="284"/>
        <v>0</v>
      </c>
      <c r="BE2441" s="571">
        <f t="shared" si="288"/>
        <v>0</v>
      </c>
      <c r="BF2441" s="586">
        <f t="shared" si="285"/>
        <v>0</v>
      </c>
      <c r="BG2441" s="586" t="e">
        <f t="shared" si="286"/>
        <v>#DIV/0!</v>
      </c>
      <c r="BH2441" s="571" t="e">
        <f t="shared" si="287"/>
        <v>#DIV/0!</v>
      </c>
    </row>
    <row r="2442" spans="55:60" s="39" customFormat="1">
      <c r="BC2442" s="573">
        <v>24.31</v>
      </c>
      <c r="BD2442" s="571">
        <f t="shared" si="284"/>
        <v>0</v>
      </c>
      <c r="BE2442" s="571">
        <f t="shared" si="288"/>
        <v>0</v>
      </c>
      <c r="BF2442" s="586">
        <f t="shared" si="285"/>
        <v>0</v>
      </c>
      <c r="BG2442" s="586" t="e">
        <f t="shared" si="286"/>
        <v>#DIV/0!</v>
      </c>
      <c r="BH2442" s="571" t="e">
        <f t="shared" si="287"/>
        <v>#DIV/0!</v>
      </c>
    </row>
    <row r="2443" spans="55:60" s="39" customFormat="1">
      <c r="BC2443" s="573">
        <v>24.32</v>
      </c>
      <c r="BD2443" s="571">
        <f t="shared" si="284"/>
        <v>0</v>
      </c>
      <c r="BE2443" s="571">
        <f t="shared" si="288"/>
        <v>0</v>
      </c>
      <c r="BF2443" s="586">
        <f t="shared" si="285"/>
        <v>0</v>
      </c>
      <c r="BG2443" s="586" t="e">
        <f t="shared" si="286"/>
        <v>#DIV/0!</v>
      </c>
      <c r="BH2443" s="571" t="e">
        <f t="shared" si="287"/>
        <v>#DIV/0!</v>
      </c>
    </row>
    <row r="2444" spans="55:60" s="39" customFormat="1">
      <c r="BC2444" s="573">
        <v>24.33</v>
      </c>
      <c r="BD2444" s="571">
        <f t="shared" ref="BD2444:BD2507" si="289">$AU$15/BC2444</f>
        <v>0</v>
      </c>
      <c r="BE2444" s="571">
        <f t="shared" si="288"/>
        <v>0</v>
      </c>
      <c r="BF2444" s="586">
        <f t="shared" ref="BF2444:BF2507" si="290">BC2444*(BE2444/1000)/$AO$12</f>
        <v>0</v>
      </c>
      <c r="BG2444" s="586" t="e">
        <f t="shared" ref="BG2444:BG2507" si="291">POWER((1/(-1.8*LOG((6.9/BF2444+POWER((($P$7/BE2444)/3.71),1.11)),10))),2)</f>
        <v>#DIV/0!</v>
      </c>
      <c r="BH2444" s="571" t="e">
        <f t="shared" ref="BH2444:BH2507" si="292">BG2444*0.5*$P$6*16*$AU$15*$AU$15/(POWER(PI(),2)*POWER((BE2444/1000),5))</f>
        <v>#DIV/0!</v>
      </c>
    </row>
    <row r="2445" spans="55:60" s="39" customFormat="1">
      <c r="BC2445" s="573">
        <v>24.34</v>
      </c>
      <c r="BD2445" s="571">
        <f t="shared" si="289"/>
        <v>0</v>
      </c>
      <c r="BE2445" s="571">
        <f t="shared" ref="BE2445:BE2508" si="293">((BD2445/PI())^0.5)*2*1000</f>
        <v>0</v>
      </c>
      <c r="BF2445" s="586">
        <f t="shared" si="290"/>
        <v>0</v>
      </c>
      <c r="BG2445" s="586" t="e">
        <f t="shared" si="291"/>
        <v>#DIV/0!</v>
      </c>
      <c r="BH2445" s="571" t="e">
        <f t="shared" si="292"/>
        <v>#DIV/0!</v>
      </c>
    </row>
    <row r="2446" spans="55:60" s="39" customFormat="1">
      <c r="BC2446" s="573">
        <v>24.35</v>
      </c>
      <c r="BD2446" s="571">
        <f t="shared" si="289"/>
        <v>0</v>
      </c>
      <c r="BE2446" s="571">
        <f t="shared" si="293"/>
        <v>0</v>
      </c>
      <c r="BF2446" s="586">
        <f t="shared" si="290"/>
        <v>0</v>
      </c>
      <c r="BG2446" s="586" t="e">
        <f t="shared" si="291"/>
        <v>#DIV/0!</v>
      </c>
      <c r="BH2446" s="571" t="e">
        <f t="shared" si="292"/>
        <v>#DIV/0!</v>
      </c>
    </row>
    <row r="2447" spans="55:60" s="39" customFormat="1">
      <c r="BC2447" s="573">
        <v>24.36</v>
      </c>
      <c r="BD2447" s="571">
        <f t="shared" si="289"/>
        <v>0</v>
      </c>
      <c r="BE2447" s="571">
        <f t="shared" si="293"/>
        <v>0</v>
      </c>
      <c r="BF2447" s="586">
        <f t="shared" si="290"/>
        <v>0</v>
      </c>
      <c r="BG2447" s="586" t="e">
        <f t="shared" si="291"/>
        <v>#DIV/0!</v>
      </c>
      <c r="BH2447" s="571" t="e">
        <f t="shared" si="292"/>
        <v>#DIV/0!</v>
      </c>
    </row>
    <row r="2448" spans="55:60" s="39" customFormat="1">
      <c r="BC2448" s="573">
        <v>24.37</v>
      </c>
      <c r="BD2448" s="571">
        <f t="shared" si="289"/>
        <v>0</v>
      </c>
      <c r="BE2448" s="571">
        <f t="shared" si="293"/>
        <v>0</v>
      </c>
      <c r="BF2448" s="586">
        <f t="shared" si="290"/>
        <v>0</v>
      </c>
      <c r="BG2448" s="586" t="e">
        <f t="shared" si="291"/>
        <v>#DIV/0!</v>
      </c>
      <c r="BH2448" s="571" t="e">
        <f t="shared" si="292"/>
        <v>#DIV/0!</v>
      </c>
    </row>
    <row r="2449" spans="55:60" s="39" customFormat="1">
      <c r="BC2449" s="573">
        <v>24.38</v>
      </c>
      <c r="BD2449" s="571">
        <f t="shared" si="289"/>
        <v>0</v>
      </c>
      <c r="BE2449" s="571">
        <f t="shared" si="293"/>
        <v>0</v>
      </c>
      <c r="BF2449" s="586">
        <f t="shared" si="290"/>
        <v>0</v>
      </c>
      <c r="BG2449" s="586" t="e">
        <f t="shared" si="291"/>
        <v>#DIV/0!</v>
      </c>
      <c r="BH2449" s="571" t="e">
        <f t="shared" si="292"/>
        <v>#DIV/0!</v>
      </c>
    </row>
    <row r="2450" spans="55:60" s="39" customFormat="1">
      <c r="BC2450" s="573">
        <v>24.39</v>
      </c>
      <c r="BD2450" s="571">
        <f t="shared" si="289"/>
        <v>0</v>
      </c>
      <c r="BE2450" s="571">
        <f t="shared" si="293"/>
        <v>0</v>
      </c>
      <c r="BF2450" s="586">
        <f t="shared" si="290"/>
        <v>0</v>
      </c>
      <c r="BG2450" s="586" t="e">
        <f t="shared" si="291"/>
        <v>#DIV/0!</v>
      </c>
      <c r="BH2450" s="571" t="e">
        <f t="shared" si="292"/>
        <v>#DIV/0!</v>
      </c>
    </row>
    <row r="2451" spans="55:60" s="39" customFormat="1">
      <c r="BC2451" s="573">
        <v>24.4</v>
      </c>
      <c r="BD2451" s="571">
        <f t="shared" si="289"/>
        <v>0</v>
      </c>
      <c r="BE2451" s="571">
        <f t="shared" si="293"/>
        <v>0</v>
      </c>
      <c r="BF2451" s="586">
        <f t="shared" si="290"/>
        <v>0</v>
      </c>
      <c r="BG2451" s="586" t="e">
        <f t="shared" si="291"/>
        <v>#DIV/0!</v>
      </c>
      <c r="BH2451" s="571" t="e">
        <f t="shared" si="292"/>
        <v>#DIV/0!</v>
      </c>
    </row>
    <row r="2452" spans="55:60" s="39" customFormat="1">
      <c r="BC2452" s="573">
        <v>24.41</v>
      </c>
      <c r="BD2452" s="571">
        <f t="shared" si="289"/>
        <v>0</v>
      </c>
      <c r="BE2452" s="571">
        <f t="shared" si="293"/>
        <v>0</v>
      </c>
      <c r="BF2452" s="586">
        <f t="shared" si="290"/>
        <v>0</v>
      </c>
      <c r="BG2452" s="586" t="e">
        <f t="shared" si="291"/>
        <v>#DIV/0!</v>
      </c>
      <c r="BH2452" s="571" t="e">
        <f t="shared" si="292"/>
        <v>#DIV/0!</v>
      </c>
    </row>
    <row r="2453" spans="55:60" s="39" customFormat="1">
      <c r="BC2453" s="573">
        <v>24.42</v>
      </c>
      <c r="BD2453" s="571">
        <f t="shared" si="289"/>
        <v>0</v>
      </c>
      <c r="BE2453" s="571">
        <f t="shared" si="293"/>
        <v>0</v>
      </c>
      <c r="BF2453" s="586">
        <f t="shared" si="290"/>
        <v>0</v>
      </c>
      <c r="BG2453" s="586" t="e">
        <f t="shared" si="291"/>
        <v>#DIV/0!</v>
      </c>
      <c r="BH2453" s="571" t="e">
        <f t="shared" si="292"/>
        <v>#DIV/0!</v>
      </c>
    </row>
    <row r="2454" spans="55:60" s="39" customFormat="1">
      <c r="BC2454" s="573">
        <v>24.43</v>
      </c>
      <c r="BD2454" s="571">
        <f t="shared" si="289"/>
        <v>0</v>
      </c>
      <c r="BE2454" s="571">
        <f t="shared" si="293"/>
        <v>0</v>
      </c>
      <c r="BF2454" s="586">
        <f t="shared" si="290"/>
        <v>0</v>
      </c>
      <c r="BG2454" s="586" t="e">
        <f t="shared" si="291"/>
        <v>#DIV/0!</v>
      </c>
      <c r="BH2454" s="571" t="e">
        <f t="shared" si="292"/>
        <v>#DIV/0!</v>
      </c>
    </row>
    <row r="2455" spans="55:60" s="39" customFormat="1">
      <c r="BC2455" s="573">
        <v>24.44</v>
      </c>
      <c r="BD2455" s="571">
        <f t="shared" si="289"/>
        <v>0</v>
      </c>
      <c r="BE2455" s="571">
        <f t="shared" si="293"/>
        <v>0</v>
      </c>
      <c r="BF2455" s="586">
        <f t="shared" si="290"/>
        <v>0</v>
      </c>
      <c r="BG2455" s="586" t="e">
        <f t="shared" si="291"/>
        <v>#DIV/0!</v>
      </c>
      <c r="BH2455" s="571" t="e">
        <f t="shared" si="292"/>
        <v>#DIV/0!</v>
      </c>
    </row>
    <row r="2456" spans="55:60" s="39" customFormat="1">
      <c r="BC2456" s="573">
        <v>24.45</v>
      </c>
      <c r="BD2456" s="571">
        <f t="shared" si="289"/>
        <v>0</v>
      </c>
      <c r="BE2456" s="571">
        <f t="shared" si="293"/>
        <v>0</v>
      </c>
      <c r="BF2456" s="586">
        <f t="shared" si="290"/>
        <v>0</v>
      </c>
      <c r="BG2456" s="586" t="e">
        <f t="shared" si="291"/>
        <v>#DIV/0!</v>
      </c>
      <c r="BH2456" s="571" t="e">
        <f t="shared" si="292"/>
        <v>#DIV/0!</v>
      </c>
    </row>
    <row r="2457" spans="55:60" s="39" customFormat="1">
      <c r="BC2457" s="573">
        <v>24.46</v>
      </c>
      <c r="BD2457" s="571">
        <f t="shared" si="289"/>
        <v>0</v>
      </c>
      <c r="BE2457" s="571">
        <f t="shared" si="293"/>
        <v>0</v>
      </c>
      <c r="BF2457" s="586">
        <f t="shared" si="290"/>
        <v>0</v>
      </c>
      <c r="BG2457" s="586" t="e">
        <f t="shared" si="291"/>
        <v>#DIV/0!</v>
      </c>
      <c r="BH2457" s="571" t="e">
        <f t="shared" si="292"/>
        <v>#DIV/0!</v>
      </c>
    </row>
    <row r="2458" spans="55:60" s="39" customFormat="1">
      <c r="BC2458" s="573">
        <v>24.47</v>
      </c>
      <c r="BD2458" s="571">
        <f t="shared" si="289"/>
        <v>0</v>
      </c>
      <c r="BE2458" s="571">
        <f t="shared" si="293"/>
        <v>0</v>
      </c>
      <c r="BF2458" s="586">
        <f t="shared" si="290"/>
        <v>0</v>
      </c>
      <c r="BG2458" s="586" t="e">
        <f t="shared" si="291"/>
        <v>#DIV/0!</v>
      </c>
      <c r="BH2458" s="571" t="e">
        <f t="shared" si="292"/>
        <v>#DIV/0!</v>
      </c>
    </row>
    <row r="2459" spans="55:60" s="39" customFormat="1">
      <c r="BC2459" s="573">
        <v>24.48</v>
      </c>
      <c r="BD2459" s="571">
        <f t="shared" si="289"/>
        <v>0</v>
      </c>
      <c r="BE2459" s="571">
        <f t="shared" si="293"/>
        <v>0</v>
      </c>
      <c r="BF2459" s="586">
        <f t="shared" si="290"/>
        <v>0</v>
      </c>
      <c r="BG2459" s="586" t="e">
        <f t="shared" si="291"/>
        <v>#DIV/0!</v>
      </c>
      <c r="BH2459" s="571" t="e">
        <f t="shared" si="292"/>
        <v>#DIV/0!</v>
      </c>
    </row>
    <row r="2460" spans="55:60" s="39" customFormat="1">
      <c r="BC2460" s="573">
        <v>24.49</v>
      </c>
      <c r="BD2460" s="571">
        <f t="shared" si="289"/>
        <v>0</v>
      </c>
      <c r="BE2460" s="571">
        <f t="shared" si="293"/>
        <v>0</v>
      </c>
      <c r="BF2460" s="586">
        <f t="shared" si="290"/>
        <v>0</v>
      </c>
      <c r="BG2460" s="586" t="e">
        <f t="shared" si="291"/>
        <v>#DIV/0!</v>
      </c>
      <c r="BH2460" s="571" t="e">
        <f t="shared" si="292"/>
        <v>#DIV/0!</v>
      </c>
    </row>
    <row r="2461" spans="55:60" s="39" customFormat="1">
      <c r="BC2461" s="573">
        <v>24.5</v>
      </c>
      <c r="BD2461" s="571">
        <f t="shared" si="289"/>
        <v>0</v>
      </c>
      <c r="BE2461" s="571">
        <f t="shared" si="293"/>
        <v>0</v>
      </c>
      <c r="BF2461" s="586">
        <f t="shared" si="290"/>
        <v>0</v>
      </c>
      <c r="BG2461" s="586" t="e">
        <f t="shared" si="291"/>
        <v>#DIV/0!</v>
      </c>
      <c r="BH2461" s="571" t="e">
        <f t="shared" si="292"/>
        <v>#DIV/0!</v>
      </c>
    </row>
    <row r="2462" spans="55:60" s="39" customFormat="1">
      <c r="BC2462" s="573">
        <v>24.51</v>
      </c>
      <c r="BD2462" s="571">
        <f t="shared" si="289"/>
        <v>0</v>
      </c>
      <c r="BE2462" s="571">
        <f t="shared" si="293"/>
        <v>0</v>
      </c>
      <c r="BF2462" s="586">
        <f t="shared" si="290"/>
        <v>0</v>
      </c>
      <c r="BG2462" s="586" t="e">
        <f t="shared" si="291"/>
        <v>#DIV/0!</v>
      </c>
      <c r="BH2462" s="571" t="e">
        <f t="shared" si="292"/>
        <v>#DIV/0!</v>
      </c>
    </row>
    <row r="2463" spans="55:60" s="39" customFormat="1">
      <c r="BC2463" s="573">
        <v>24.52</v>
      </c>
      <c r="BD2463" s="571">
        <f t="shared" si="289"/>
        <v>0</v>
      </c>
      <c r="BE2463" s="571">
        <f t="shared" si="293"/>
        <v>0</v>
      </c>
      <c r="BF2463" s="586">
        <f t="shared" si="290"/>
        <v>0</v>
      </c>
      <c r="BG2463" s="586" t="e">
        <f t="shared" si="291"/>
        <v>#DIV/0!</v>
      </c>
      <c r="BH2463" s="571" t="e">
        <f t="shared" si="292"/>
        <v>#DIV/0!</v>
      </c>
    </row>
    <row r="2464" spans="55:60" s="39" customFormat="1">
      <c r="BC2464" s="573">
        <v>24.53</v>
      </c>
      <c r="BD2464" s="571">
        <f t="shared" si="289"/>
        <v>0</v>
      </c>
      <c r="BE2464" s="571">
        <f t="shared" si="293"/>
        <v>0</v>
      </c>
      <c r="BF2464" s="586">
        <f t="shared" si="290"/>
        <v>0</v>
      </c>
      <c r="BG2464" s="586" t="e">
        <f t="shared" si="291"/>
        <v>#DIV/0!</v>
      </c>
      <c r="BH2464" s="571" t="e">
        <f t="shared" si="292"/>
        <v>#DIV/0!</v>
      </c>
    </row>
    <row r="2465" spans="55:60" s="39" customFormat="1">
      <c r="BC2465" s="573">
        <v>24.54</v>
      </c>
      <c r="BD2465" s="571">
        <f t="shared" si="289"/>
        <v>0</v>
      </c>
      <c r="BE2465" s="571">
        <f t="shared" si="293"/>
        <v>0</v>
      </c>
      <c r="BF2465" s="586">
        <f t="shared" si="290"/>
        <v>0</v>
      </c>
      <c r="BG2465" s="586" t="e">
        <f t="shared" si="291"/>
        <v>#DIV/0!</v>
      </c>
      <c r="BH2465" s="571" t="e">
        <f t="shared" si="292"/>
        <v>#DIV/0!</v>
      </c>
    </row>
    <row r="2466" spans="55:60" s="39" customFormat="1">
      <c r="BC2466" s="573">
        <v>24.55</v>
      </c>
      <c r="BD2466" s="571">
        <f t="shared" si="289"/>
        <v>0</v>
      </c>
      <c r="BE2466" s="571">
        <f t="shared" si="293"/>
        <v>0</v>
      </c>
      <c r="BF2466" s="586">
        <f t="shared" si="290"/>
        <v>0</v>
      </c>
      <c r="BG2466" s="586" t="e">
        <f t="shared" si="291"/>
        <v>#DIV/0!</v>
      </c>
      <c r="BH2466" s="571" t="e">
        <f t="shared" si="292"/>
        <v>#DIV/0!</v>
      </c>
    </row>
    <row r="2467" spans="55:60" s="39" customFormat="1">
      <c r="BC2467" s="573">
        <v>24.56</v>
      </c>
      <c r="BD2467" s="571">
        <f t="shared" si="289"/>
        <v>0</v>
      </c>
      <c r="BE2467" s="571">
        <f t="shared" si="293"/>
        <v>0</v>
      </c>
      <c r="BF2467" s="586">
        <f t="shared" si="290"/>
        <v>0</v>
      </c>
      <c r="BG2467" s="586" t="e">
        <f t="shared" si="291"/>
        <v>#DIV/0!</v>
      </c>
      <c r="BH2467" s="571" t="e">
        <f t="shared" si="292"/>
        <v>#DIV/0!</v>
      </c>
    </row>
    <row r="2468" spans="55:60" s="39" customFormat="1">
      <c r="BC2468" s="573">
        <v>24.57</v>
      </c>
      <c r="BD2468" s="571">
        <f t="shared" si="289"/>
        <v>0</v>
      </c>
      <c r="BE2468" s="571">
        <f t="shared" si="293"/>
        <v>0</v>
      </c>
      <c r="BF2468" s="586">
        <f t="shared" si="290"/>
        <v>0</v>
      </c>
      <c r="BG2468" s="586" t="e">
        <f t="shared" si="291"/>
        <v>#DIV/0!</v>
      </c>
      <c r="BH2468" s="571" t="e">
        <f t="shared" si="292"/>
        <v>#DIV/0!</v>
      </c>
    </row>
    <row r="2469" spans="55:60" s="39" customFormat="1">
      <c r="BC2469" s="573">
        <v>24.58</v>
      </c>
      <c r="BD2469" s="571">
        <f t="shared" si="289"/>
        <v>0</v>
      </c>
      <c r="BE2469" s="571">
        <f t="shared" si="293"/>
        <v>0</v>
      </c>
      <c r="BF2469" s="586">
        <f t="shared" si="290"/>
        <v>0</v>
      </c>
      <c r="BG2469" s="586" t="e">
        <f t="shared" si="291"/>
        <v>#DIV/0!</v>
      </c>
      <c r="BH2469" s="571" t="e">
        <f t="shared" si="292"/>
        <v>#DIV/0!</v>
      </c>
    </row>
    <row r="2470" spans="55:60" s="39" customFormat="1">
      <c r="BC2470" s="573">
        <v>24.59</v>
      </c>
      <c r="BD2470" s="571">
        <f t="shared" si="289"/>
        <v>0</v>
      </c>
      <c r="BE2470" s="571">
        <f t="shared" si="293"/>
        <v>0</v>
      </c>
      <c r="BF2470" s="586">
        <f t="shared" si="290"/>
        <v>0</v>
      </c>
      <c r="BG2470" s="586" t="e">
        <f t="shared" si="291"/>
        <v>#DIV/0!</v>
      </c>
      <c r="BH2470" s="571" t="e">
        <f t="shared" si="292"/>
        <v>#DIV/0!</v>
      </c>
    </row>
    <row r="2471" spans="55:60" s="39" customFormat="1">
      <c r="BC2471" s="573">
        <v>24.6</v>
      </c>
      <c r="BD2471" s="571">
        <f t="shared" si="289"/>
        <v>0</v>
      </c>
      <c r="BE2471" s="571">
        <f t="shared" si="293"/>
        <v>0</v>
      </c>
      <c r="BF2471" s="586">
        <f t="shared" si="290"/>
        <v>0</v>
      </c>
      <c r="BG2471" s="586" t="e">
        <f t="shared" si="291"/>
        <v>#DIV/0!</v>
      </c>
      <c r="BH2471" s="571" t="e">
        <f t="shared" si="292"/>
        <v>#DIV/0!</v>
      </c>
    </row>
    <row r="2472" spans="55:60" s="39" customFormat="1">
      <c r="BC2472" s="573">
        <v>24.61</v>
      </c>
      <c r="BD2472" s="571">
        <f t="shared" si="289"/>
        <v>0</v>
      </c>
      <c r="BE2472" s="571">
        <f t="shared" si="293"/>
        <v>0</v>
      </c>
      <c r="BF2472" s="586">
        <f t="shared" si="290"/>
        <v>0</v>
      </c>
      <c r="BG2472" s="586" t="e">
        <f t="shared" si="291"/>
        <v>#DIV/0!</v>
      </c>
      <c r="BH2472" s="571" t="e">
        <f t="shared" si="292"/>
        <v>#DIV/0!</v>
      </c>
    </row>
    <row r="2473" spans="55:60" s="39" customFormat="1">
      <c r="BC2473" s="573">
        <v>24.62</v>
      </c>
      <c r="BD2473" s="571">
        <f t="shared" si="289"/>
        <v>0</v>
      </c>
      <c r="BE2473" s="571">
        <f t="shared" si="293"/>
        <v>0</v>
      </c>
      <c r="BF2473" s="586">
        <f t="shared" si="290"/>
        <v>0</v>
      </c>
      <c r="BG2473" s="586" t="e">
        <f t="shared" si="291"/>
        <v>#DIV/0!</v>
      </c>
      <c r="BH2473" s="571" t="e">
        <f t="shared" si="292"/>
        <v>#DIV/0!</v>
      </c>
    </row>
    <row r="2474" spans="55:60" s="39" customFormat="1">
      <c r="BC2474" s="573">
        <v>24.63</v>
      </c>
      <c r="BD2474" s="571">
        <f t="shared" si="289"/>
        <v>0</v>
      </c>
      <c r="BE2474" s="571">
        <f t="shared" si="293"/>
        <v>0</v>
      </c>
      <c r="BF2474" s="586">
        <f t="shared" si="290"/>
        <v>0</v>
      </c>
      <c r="BG2474" s="586" t="e">
        <f t="shared" si="291"/>
        <v>#DIV/0!</v>
      </c>
      <c r="BH2474" s="571" t="e">
        <f t="shared" si="292"/>
        <v>#DIV/0!</v>
      </c>
    </row>
    <row r="2475" spans="55:60" s="39" customFormat="1">
      <c r="BC2475" s="573">
        <v>24.64</v>
      </c>
      <c r="BD2475" s="571">
        <f t="shared" si="289"/>
        <v>0</v>
      </c>
      <c r="BE2475" s="571">
        <f t="shared" si="293"/>
        <v>0</v>
      </c>
      <c r="BF2475" s="586">
        <f t="shared" si="290"/>
        <v>0</v>
      </c>
      <c r="BG2475" s="586" t="e">
        <f t="shared" si="291"/>
        <v>#DIV/0!</v>
      </c>
      <c r="BH2475" s="571" t="e">
        <f t="shared" si="292"/>
        <v>#DIV/0!</v>
      </c>
    </row>
    <row r="2476" spans="55:60" s="39" customFormat="1">
      <c r="BC2476" s="573">
        <v>24.65</v>
      </c>
      <c r="BD2476" s="571">
        <f t="shared" si="289"/>
        <v>0</v>
      </c>
      <c r="BE2476" s="571">
        <f t="shared" si="293"/>
        <v>0</v>
      </c>
      <c r="BF2476" s="586">
        <f t="shared" si="290"/>
        <v>0</v>
      </c>
      <c r="BG2476" s="586" t="e">
        <f t="shared" si="291"/>
        <v>#DIV/0!</v>
      </c>
      <c r="BH2476" s="571" t="e">
        <f t="shared" si="292"/>
        <v>#DIV/0!</v>
      </c>
    </row>
    <row r="2477" spans="55:60" s="39" customFormat="1">
      <c r="BC2477" s="573">
        <v>24.66</v>
      </c>
      <c r="BD2477" s="571">
        <f t="shared" si="289"/>
        <v>0</v>
      </c>
      <c r="BE2477" s="571">
        <f t="shared" si="293"/>
        <v>0</v>
      </c>
      <c r="BF2477" s="586">
        <f t="shared" si="290"/>
        <v>0</v>
      </c>
      <c r="BG2477" s="586" t="e">
        <f t="shared" si="291"/>
        <v>#DIV/0!</v>
      </c>
      <c r="BH2477" s="571" t="e">
        <f t="shared" si="292"/>
        <v>#DIV/0!</v>
      </c>
    </row>
    <row r="2478" spans="55:60" s="39" customFormat="1">
      <c r="BC2478" s="573">
        <v>24.67</v>
      </c>
      <c r="BD2478" s="571">
        <f t="shared" si="289"/>
        <v>0</v>
      </c>
      <c r="BE2478" s="571">
        <f t="shared" si="293"/>
        <v>0</v>
      </c>
      <c r="BF2478" s="586">
        <f t="shared" si="290"/>
        <v>0</v>
      </c>
      <c r="BG2478" s="586" t="e">
        <f t="shared" si="291"/>
        <v>#DIV/0!</v>
      </c>
      <c r="BH2478" s="571" t="e">
        <f t="shared" si="292"/>
        <v>#DIV/0!</v>
      </c>
    </row>
    <row r="2479" spans="55:60" s="39" customFormat="1">
      <c r="BC2479" s="573">
        <v>24.68</v>
      </c>
      <c r="BD2479" s="571">
        <f t="shared" si="289"/>
        <v>0</v>
      </c>
      <c r="BE2479" s="571">
        <f t="shared" si="293"/>
        <v>0</v>
      </c>
      <c r="BF2479" s="586">
        <f t="shared" si="290"/>
        <v>0</v>
      </c>
      <c r="BG2479" s="586" t="e">
        <f t="shared" si="291"/>
        <v>#DIV/0!</v>
      </c>
      <c r="BH2479" s="571" t="e">
        <f t="shared" si="292"/>
        <v>#DIV/0!</v>
      </c>
    </row>
    <row r="2480" spans="55:60" s="39" customFormat="1">
      <c r="BC2480" s="573">
        <v>24.69</v>
      </c>
      <c r="BD2480" s="571">
        <f t="shared" si="289"/>
        <v>0</v>
      </c>
      <c r="BE2480" s="571">
        <f t="shared" si="293"/>
        <v>0</v>
      </c>
      <c r="BF2480" s="586">
        <f t="shared" si="290"/>
        <v>0</v>
      </c>
      <c r="BG2480" s="586" t="e">
        <f t="shared" si="291"/>
        <v>#DIV/0!</v>
      </c>
      <c r="BH2480" s="571" t="e">
        <f t="shared" si="292"/>
        <v>#DIV/0!</v>
      </c>
    </row>
    <row r="2481" spans="55:60" s="39" customFormat="1">
      <c r="BC2481" s="573">
        <v>24.7</v>
      </c>
      <c r="BD2481" s="571">
        <f t="shared" si="289"/>
        <v>0</v>
      </c>
      <c r="BE2481" s="571">
        <f t="shared" si="293"/>
        <v>0</v>
      </c>
      <c r="BF2481" s="586">
        <f t="shared" si="290"/>
        <v>0</v>
      </c>
      <c r="BG2481" s="586" t="e">
        <f t="shared" si="291"/>
        <v>#DIV/0!</v>
      </c>
      <c r="BH2481" s="571" t="e">
        <f t="shared" si="292"/>
        <v>#DIV/0!</v>
      </c>
    </row>
    <row r="2482" spans="55:60" s="39" customFormat="1">
      <c r="BC2482" s="573">
        <v>24.71</v>
      </c>
      <c r="BD2482" s="571">
        <f t="shared" si="289"/>
        <v>0</v>
      </c>
      <c r="BE2482" s="571">
        <f t="shared" si="293"/>
        <v>0</v>
      </c>
      <c r="BF2482" s="586">
        <f t="shared" si="290"/>
        <v>0</v>
      </c>
      <c r="BG2482" s="586" t="e">
        <f t="shared" si="291"/>
        <v>#DIV/0!</v>
      </c>
      <c r="BH2482" s="571" t="e">
        <f t="shared" si="292"/>
        <v>#DIV/0!</v>
      </c>
    </row>
    <row r="2483" spans="55:60" s="39" customFormat="1">
      <c r="BC2483" s="573">
        <v>24.72</v>
      </c>
      <c r="BD2483" s="571">
        <f t="shared" si="289"/>
        <v>0</v>
      </c>
      <c r="BE2483" s="571">
        <f t="shared" si="293"/>
        <v>0</v>
      </c>
      <c r="BF2483" s="586">
        <f t="shared" si="290"/>
        <v>0</v>
      </c>
      <c r="BG2483" s="586" t="e">
        <f t="shared" si="291"/>
        <v>#DIV/0!</v>
      </c>
      <c r="BH2483" s="571" t="e">
        <f t="shared" si="292"/>
        <v>#DIV/0!</v>
      </c>
    </row>
    <row r="2484" spans="55:60" s="39" customFormat="1">
      <c r="BC2484" s="573">
        <v>24.73</v>
      </c>
      <c r="BD2484" s="571">
        <f t="shared" si="289"/>
        <v>0</v>
      </c>
      <c r="BE2484" s="571">
        <f t="shared" si="293"/>
        <v>0</v>
      </c>
      <c r="BF2484" s="586">
        <f t="shared" si="290"/>
        <v>0</v>
      </c>
      <c r="BG2484" s="586" t="e">
        <f t="shared" si="291"/>
        <v>#DIV/0!</v>
      </c>
      <c r="BH2484" s="571" t="e">
        <f t="shared" si="292"/>
        <v>#DIV/0!</v>
      </c>
    </row>
    <row r="2485" spans="55:60" s="39" customFormat="1">
      <c r="BC2485" s="573">
        <v>24.74</v>
      </c>
      <c r="BD2485" s="571">
        <f t="shared" si="289"/>
        <v>0</v>
      </c>
      <c r="BE2485" s="571">
        <f t="shared" si="293"/>
        <v>0</v>
      </c>
      <c r="BF2485" s="586">
        <f t="shared" si="290"/>
        <v>0</v>
      </c>
      <c r="BG2485" s="586" t="e">
        <f t="shared" si="291"/>
        <v>#DIV/0!</v>
      </c>
      <c r="BH2485" s="571" t="e">
        <f t="shared" si="292"/>
        <v>#DIV/0!</v>
      </c>
    </row>
    <row r="2486" spans="55:60" s="39" customFormat="1">
      <c r="BC2486" s="573">
        <v>24.75</v>
      </c>
      <c r="BD2486" s="571">
        <f t="shared" si="289"/>
        <v>0</v>
      </c>
      <c r="BE2486" s="571">
        <f t="shared" si="293"/>
        <v>0</v>
      </c>
      <c r="BF2486" s="586">
        <f t="shared" si="290"/>
        <v>0</v>
      </c>
      <c r="BG2486" s="586" t="e">
        <f t="shared" si="291"/>
        <v>#DIV/0!</v>
      </c>
      <c r="BH2486" s="571" t="e">
        <f t="shared" si="292"/>
        <v>#DIV/0!</v>
      </c>
    </row>
    <row r="2487" spans="55:60" s="39" customFormat="1">
      <c r="BC2487" s="573">
        <v>24.76</v>
      </c>
      <c r="BD2487" s="571">
        <f t="shared" si="289"/>
        <v>0</v>
      </c>
      <c r="BE2487" s="571">
        <f t="shared" si="293"/>
        <v>0</v>
      </c>
      <c r="BF2487" s="586">
        <f t="shared" si="290"/>
        <v>0</v>
      </c>
      <c r="BG2487" s="586" t="e">
        <f t="shared" si="291"/>
        <v>#DIV/0!</v>
      </c>
      <c r="BH2487" s="571" t="e">
        <f t="shared" si="292"/>
        <v>#DIV/0!</v>
      </c>
    </row>
    <row r="2488" spans="55:60" s="39" customFormat="1">
      <c r="BC2488" s="573">
        <v>24.77</v>
      </c>
      <c r="BD2488" s="571">
        <f t="shared" si="289"/>
        <v>0</v>
      </c>
      <c r="BE2488" s="571">
        <f t="shared" si="293"/>
        <v>0</v>
      </c>
      <c r="BF2488" s="586">
        <f t="shared" si="290"/>
        <v>0</v>
      </c>
      <c r="BG2488" s="586" t="e">
        <f t="shared" si="291"/>
        <v>#DIV/0!</v>
      </c>
      <c r="BH2488" s="571" t="e">
        <f t="shared" si="292"/>
        <v>#DIV/0!</v>
      </c>
    </row>
    <row r="2489" spans="55:60" s="39" customFormat="1">
      <c r="BC2489" s="573">
        <v>24.78</v>
      </c>
      <c r="BD2489" s="571">
        <f t="shared" si="289"/>
        <v>0</v>
      </c>
      <c r="BE2489" s="571">
        <f t="shared" si="293"/>
        <v>0</v>
      </c>
      <c r="BF2489" s="586">
        <f t="shared" si="290"/>
        <v>0</v>
      </c>
      <c r="BG2489" s="586" t="e">
        <f t="shared" si="291"/>
        <v>#DIV/0!</v>
      </c>
      <c r="BH2489" s="571" t="e">
        <f t="shared" si="292"/>
        <v>#DIV/0!</v>
      </c>
    </row>
    <row r="2490" spans="55:60" s="39" customFormat="1">
      <c r="BC2490" s="573">
        <v>24.79</v>
      </c>
      <c r="BD2490" s="571">
        <f t="shared" si="289"/>
        <v>0</v>
      </c>
      <c r="BE2490" s="571">
        <f t="shared" si="293"/>
        <v>0</v>
      </c>
      <c r="BF2490" s="586">
        <f t="shared" si="290"/>
        <v>0</v>
      </c>
      <c r="BG2490" s="586" t="e">
        <f t="shared" si="291"/>
        <v>#DIV/0!</v>
      </c>
      <c r="BH2490" s="571" t="e">
        <f t="shared" si="292"/>
        <v>#DIV/0!</v>
      </c>
    </row>
    <row r="2491" spans="55:60" s="39" customFormat="1">
      <c r="BC2491" s="573">
        <v>24.8</v>
      </c>
      <c r="BD2491" s="571">
        <f t="shared" si="289"/>
        <v>0</v>
      </c>
      <c r="BE2491" s="571">
        <f t="shared" si="293"/>
        <v>0</v>
      </c>
      <c r="BF2491" s="586">
        <f t="shared" si="290"/>
        <v>0</v>
      </c>
      <c r="BG2491" s="586" t="e">
        <f t="shared" si="291"/>
        <v>#DIV/0!</v>
      </c>
      <c r="BH2491" s="571" t="e">
        <f t="shared" si="292"/>
        <v>#DIV/0!</v>
      </c>
    </row>
    <row r="2492" spans="55:60" s="39" customFormat="1">
      <c r="BC2492" s="573">
        <v>24.81</v>
      </c>
      <c r="BD2492" s="571">
        <f t="shared" si="289"/>
        <v>0</v>
      </c>
      <c r="BE2492" s="571">
        <f t="shared" si="293"/>
        <v>0</v>
      </c>
      <c r="BF2492" s="586">
        <f t="shared" si="290"/>
        <v>0</v>
      </c>
      <c r="BG2492" s="586" t="e">
        <f t="shared" si="291"/>
        <v>#DIV/0!</v>
      </c>
      <c r="BH2492" s="571" t="e">
        <f t="shared" si="292"/>
        <v>#DIV/0!</v>
      </c>
    </row>
    <row r="2493" spans="55:60" s="39" customFormat="1">
      <c r="BC2493" s="573">
        <v>24.82</v>
      </c>
      <c r="BD2493" s="571">
        <f t="shared" si="289"/>
        <v>0</v>
      </c>
      <c r="BE2493" s="571">
        <f t="shared" si="293"/>
        <v>0</v>
      </c>
      <c r="BF2493" s="586">
        <f t="shared" si="290"/>
        <v>0</v>
      </c>
      <c r="BG2493" s="586" t="e">
        <f t="shared" si="291"/>
        <v>#DIV/0!</v>
      </c>
      <c r="BH2493" s="571" t="e">
        <f t="shared" si="292"/>
        <v>#DIV/0!</v>
      </c>
    </row>
    <row r="2494" spans="55:60" s="39" customFormat="1">
      <c r="BC2494" s="573">
        <v>24.83</v>
      </c>
      <c r="BD2494" s="571">
        <f t="shared" si="289"/>
        <v>0</v>
      </c>
      <c r="BE2494" s="571">
        <f t="shared" si="293"/>
        <v>0</v>
      </c>
      <c r="BF2494" s="586">
        <f t="shared" si="290"/>
        <v>0</v>
      </c>
      <c r="BG2494" s="586" t="e">
        <f t="shared" si="291"/>
        <v>#DIV/0!</v>
      </c>
      <c r="BH2494" s="571" t="e">
        <f t="shared" si="292"/>
        <v>#DIV/0!</v>
      </c>
    </row>
    <row r="2495" spans="55:60" s="39" customFormat="1">
      <c r="BC2495" s="573">
        <v>24.84</v>
      </c>
      <c r="BD2495" s="571">
        <f t="shared" si="289"/>
        <v>0</v>
      </c>
      <c r="BE2495" s="571">
        <f t="shared" si="293"/>
        <v>0</v>
      </c>
      <c r="BF2495" s="586">
        <f t="shared" si="290"/>
        <v>0</v>
      </c>
      <c r="BG2495" s="586" t="e">
        <f t="shared" si="291"/>
        <v>#DIV/0!</v>
      </c>
      <c r="BH2495" s="571" t="e">
        <f t="shared" si="292"/>
        <v>#DIV/0!</v>
      </c>
    </row>
    <row r="2496" spans="55:60" s="39" customFormat="1">
      <c r="BC2496" s="573">
        <v>24.85</v>
      </c>
      <c r="BD2496" s="571">
        <f t="shared" si="289"/>
        <v>0</v>
      </c>
      <c r="BE2496" s="571">
        <f t="shared" si="293"/>
        <v>0</v>
      </c>
      <c r="BF2496" s="586">
        <f t="shared" si="290"/>
        <v>0</v>
      </c>
      <c r="BG2496" s="586" t="e">
        <f t="shared" si="291"/>
        <v>#DIV/0!</v>
      </c>
      <c r="BH2496" s="571" t="e">
        <f t="shared" si="292"/>
        <v>#DIV/0!</v>
      </c>
    </row>
    <row r="2497" spans="55:60" s="39" customFormat="1">
      <c r="BC2497" s="573">
        <v>24.86</v>
      </c>
      <c r="BD2497" s="571">
        <f t="shared" si="289"/>
        <v>0</v>
      </c>
      <c r="BE2497" s="571">
        <f t="shared" si="293"/>
        <v>0</v>
      </c>
      <c r="BF2497" s="586">
        <f t="shared" si="290"/>
        <v>0</v>
      </c>
      <c r="BG2497" s="586" t="e">
        <f t="shared" si="291"/>
        <v>#DIV/0!</v>
      </c>
      <c r="BH2497" s="571" t="e">
        <f t="shared" si="292"/>
        <v>#DIV/0!</v>
      </c>
    </row>
    <row r="2498" spans="55:60" s="39" customFormat="1">
      <c r="BC2498" s="573">
        <v>24.87</v>
      </c>
      <c r="BD2498" s="571">
        <f t="shared" si="289"/>
        <v>0</v>
      </c>
      <c r="BE2498" s="571">
        <f t="shared" si="293"/>
        <v>0</v>
      </c>
      <c r="BF2498" s="586">
        <f t="shared" si="290"/>
        <v>0</v>
      </c>
      <c r="BG2498" s="586" t="e">
        <f t="shared" si="291"/>
        <v>#DIV/0!</v>
      </c>
      <c r="BH2498" s="571" t="e">
        <f t="shared" si="292"/>
        <v>#DIV/0!</v>
      </c>
    </row>
    <row r="2499" spans="55:60" s="39" customFormat="1">
      <c r="BC2499" s="573">
        <v>24.88</v>
      </c>
      <c r="BD2499" s="571">
        <f t="shared" si="289"/>
        <v>0</v>
      </c>
      <c r="BE2499" s="571">
        <f t="shared" si="293"/>
        <v>0</v>
      </c>
      <c r="BF2499" s="586">
        <f t="shared" si="290"/>
        <v>0</v>
      </c>
      <c r="BG2499" s="586" t="e">
        <f t="shared" si="291"/>
        <v>#DIV/0!</v>
      </c>
      <c r="BH2499" s="571" t="e">
        <f t="shared" si="292"/>
        <v>#DIV/0!</v>
      </c>
    </row>
    <row r="2500" spans="55:60" s="39" customFormat="1">
      <c r="BC2500" s="573">
        <v>24.89</v>
      </c>
      <c r="BD2500" s="571">
        <f t="shared" si="289"/>
        <v>0</v>
      </c>
      <c r="BE2500" s="571">
        <f t="shared" si="293"/>
        <v>0</v>
      </c>
      <c r="BF2500" s="586">
        <f t="shared" si="290"/>
        <v>0</v>
      </c>
      <c r="BG2500" s="586" t="e">
        <f t="shared" si="291"/>
        <v>#DIV/0!</v>
      </c>
      <c r="BH2500" s="571" t="e">
        <f t="shared" si="292"/>
        <v>#DIV/0!</v>
      </c>
    </row>
    <row r="2501" spans="55:60" s="39" customFormat="1">
      <c r="BC2501" s="573">
        <v>24.9</v>
      </c>
      <c r="BD2501" s="571">
        <f t="shared" si="289"/>
        <v>0</v>
      </c>
      <c r="BE2501" s="571">
        <f t="shared" si="293"/>
        <v>0</v>
      </c>
      <c r="BF2501" s="586">
        <f t="shared" si="290"/>
        <v>0</v>
      </c>
      <c r="BG2501" s="586" t="e">
        <f t="shared" si="291"/>
        <v>#DIV/0!</v>
      </c>
      <c r="BH2501" s="571" t="e">
        <f t="shared" si="292"/>
        <v>#DIV/0!</v>
      </c>
    </row>
    <row r="2502" spans="55:60" s="39" customFormat="1">
      <c r="BC2502" s="573">
        <v>24.91</v>
      </c>
      <c r="BD2502" s="571">
        <f t="shared" si="289"/>
        <v>0</v>
      </c>
      <c r="BE2502" s="571">
        <f t="shared" si="293"/>
        <v>0</v>
      </c>
      <c r="BF2502" s="586">
        <f t="shared" si="290"/>
        <v>0</v>
      </c>
      <c r="BG2502" s="586" t="e">
        <f t="shared" si="291"/>
        <v>#DIV/0!</v>
      </c>
      <c r="BH2502" s="571" t="e">
        <f t="shared" si="292"/>
        <v>#DIV/0!</v>
      </c>
    </row>
    <row r="2503" spans="55:60" s="39" customFormat="1">
      <c r="BC2503" s="573">
        <v>24.92</v>
      </c>
      <c r="BD2503" s="571">
        <f t="shared" si="289"/>
        <v>0</v>
      </c>
      <c r="BE2503" s="571">
        <f t="shared" si="293"/>
        <v>0</v>
      </c>
      <c r="BF2503" s="586">
        <f t="shared" si="290"/>
        <v>0</v>
      </c>
      <c r="BG2503" s="586" t="e">
        <f t="shared" si="291"/>
        <v>#DIV/0!</v>
      </c>
      <c r="BH2503" s="571" t="e">
        <f t="shared" si="292"/>
        <v>#DIV/0!</v>
      </c>
    </row>
    <row r="2504" spans="55:60" s="39" customFormat="1">
      <c r="BC2504" s="573">
        <v>24.93</v>
      </c>
      <c r="BD2504" s="571">
        <f t="shared" si="289"/>
        <v>0</v>
      </c>
      <c r="BE2504" s="571">
        <f t="shared" si="293"/>
        <v>0</v>
      </c>
      <c r="BF2504" s="586">
        <f t="shared" si="290"/>
        <v>0</v>
      </c>
      <c r="BG2504" s="586" t="e">
        <f t="shared" si="291"/>
        <v>#DIV/0!</v>
      </c>
      <c r="BH2504" s="571" t="e">
        <f t="shared" si="292"/>
        <v>#DIV/0!</v>
      </c>
    </row>
    <row r="2505" spans="55:60" s="39" customFormat="1">
      <c r="BC2505" s="573">
        <v>24.94</v>
      </c>
      <c r="BD2505" s="571">
        <f t="shared" si="289"/>
        <v>0</v>
      </c>
      <c r="BE2505" s="571">
        <f t="shared" si="293"/>
        <v>0</v>
      </c>
      <c r="BF2505" s="586">
        <f t="shared" si="290"/>
        <v>0</v>
      </c>
      <c r="BG2505" s="586" t="e">
        <f t="shared" si="291"/>
        <v>#DIV/0!</v>
      </c>
      <c r="BH2505" s="571" t="e">
        <f t="shared" si="292"/>
        <v>#DIV/0!</v>
      </c>
    </row>
    <row r="2506" spans="55:60" s="39" customFormat="1">
      <c r="BC2506" s="573">
        <v>24.95</v>
      </c>
      <c r="BD2506" s="571">
        <f t="shared" si="289"/>
        <v>0</v>
      </c>
      <c r="BE2506" s="571">
        <f t="shared" si="293"/>
        <v>0</v>
      </c>
      <c r="BF2506" s="586">
        <f t="shared" si="290"/>
        <v>0</v>
      </c>
      <c r="BG2506" s="586" t="e">
        <f t="shared" si="291"/>
        <v>#DIV/0!</v>
      </c>
      <c r="BH2506" s="571" t="e">
        <f t="shared" si="292"/>
        <v>#DIV/0!</v>
      </c>
    </row>
    <row r="2507" spans="55:60" s="39" customFormat="1">
      <c r="BC2507" s="573">
        <v>24.96</v>
      </c>
      <c r="BD2507" s="571">
        <f t="shared" si="289"/>
        <v>0</v>
      </c>
      <c r="BE2507" s="571">
        <f t="shared" si="293"/>
        <v>0</v>
      </c>
      <c r="BF2507" s="586">
        <f t="shared" si="290"/>
        <v>0</v>
      </c>
      <c r="BG2507" s="586" t="e">
        <f t="shared" si="291"/>
        <v>#DIV/0!</v>
      </c>
      <c r="BH2507" s="571" t="e">
        <f t="shared" si="292"/>
        <v>#DIV/0!</v>
      </c>
    </row>
    <row r="2508" spans="55:60" s="39" customFormat="1">
      <c r="BC2508" s="573">
        <v>24.97</v>
      </c>
      <c r="BD2508" s="571">
        <f t="shared" ref="BD2508:BD2571" si="294">$AU$15/BC2508</f>
        <v>0</v>
      </c>
      <c r="BE2508" s="571">
        <f t="shared" si="293"/>
        <v>0</v>
      </c>
      <c r="BF2508" s="586">
        <f t="shared" ref="BF2508:BF2571" si="295">BC2508*(BE2508/1000)/$AO$12</f>
        <v>0</v>
      </c>
      <c r="BG2508" s="586" t="e">
        <f t="shared" ref="BG2508:BG2571" si="296">POWER((1/(-1.8*LOG((6.9/BF2508+POWER((($P$7/BE2508)/3.71),1.11)),10))),2)</f>
        <v>#DIV/0!</v>
      </c>
      <c r="BH2508" s="571" t="e">
        <f t="shared" ref="BH2508:BH2571" si="297">BG2508*0.5*$P$6*16*$AU$15*$AU$15/(POWER(PI(),2)*POWER((BE2508/1000),5))</f>
        <v>#DIV/0!</v>
      </c>
    </row>
    <row r="2509" spans="55:60" s="39" customFormat="1">
      <c r="BC2509" s="573">
        <v>24.98</v>
      </c>
      <c r="BD2509" s="571">
        <f t="shared" si="294"/>
        <v>0</v>
      </c>
      <c r="BE2509" s="571">
        <f t="shared" ref="BE2509:BE2572" si="298">((BD2509/PI())^0.5)*2*1000</f>
        <v>0</v>
      </c>
      <c r="BF2509" s="586">
        <f t="shared" si="295"/>
        <v>0</v>
      </c>
      <c r="BG2509" s="586" t="e">
        <f t="shared" si="296"/>
        <v>#DIV/0!</v>
      </c>
      <c r="BH2509" s="571" t="e">
        <f t="shared" si="297"/>
        <v>#DIV/0!</v>
      </c>
    </row>
    <row r="2510" spans="55:60" s="39" customFormat="1">
      <c r="BC2510" s="573">
        <v>24.99</v>
      </c>
      <c r="BD2510" s="571">
        <f t="shared" si="294"/>
        <v>0</v>
      </c>
      <c r="BE2510" s="571">
        <f t="shared" si="298"/>
        <v>0</v>
      </c>
      <c r="BF2510" s="586">
        <f t="shared" si="295"/>
        <v>0</v>
      </c>
      <c r="BG2510" s="586" t="e">
        <f t="shared" si="296"/>
        <v>#DIV/0!</v>
      </c>
      <c r="BH2510" s="571" t="e">
        <f t="shared" si="297"/>
        <v>#DIV/0!</v>
      </c>
    </row>
    <row r="2511" spans="55:60" s="39" customFormat="1">
      <c r="BC2511" s="573">
        <v>25</v>
      </c>
      <c r="BD2511" s="571">
        <f t="shared" si="294"/>
        <v>0</v>
      </c>
      <c r="BE2511" s="571">
        <f t="shared" si="298"/>
        <v>0</v>
      </c>
      <c r="BF2511" s="586">
        <f t="shared" si="295"/>
        <v>0</v>
      </c>
      <c r="BG2511" s="586" t="e">
        <f t="shared" si="296"/>
        <v>#DIV/0!</v>
      </c>
      <c r="BH2511" s="571" t="e">
        <f t="shared" si="297"/>
        <v>#DIV/0!</v>
      </c>
    </row>
    <row r="2512" spans="55:60" s="39" customFormat="1">
      <c r="BC2512" s="573">
        <v>25.01</v>
      </c>
      <c r="BD2512" s="571">
        <f t="shared" si="294"/>
        <v>0</v>
      </c>
      <c r="BE2512" s="571">
        <f t="shared" si="298"/>
        <v>0</v>
      </c>
      <c r="BF2512" s="586">
        <f t="shared" si="295"/>
        <v>0</v>
      </c>
      <c r="BG2512" s="586" t="e">
        <f t="shared" si="296"/>
        <v>#DIV/0!</v>
      </c>
      <c r="BH2512" s="571" t="e">
        <f t="shared" si="297"/>
        <v>#DIV/0!</v>
      </c>
    </row>
    <row r="2513" spans="55:60" s="39" customFormat="1">
      <c r="BC2513" s="573">
        <v>25.02</v>
      </c>
      <c r="BD2513" s="571">
        <f t="shared" si="294"/>
        <v>0</v>
      </c>
      <c r="BE2513" s="571">
        <f t="shared" si="298"/>
        <v>0</v>
      </c>
      <c r="BF2513" s="586">
        <f t="shared" si="295"/>
        <v>0</v>
      </c>
      <c r="BG2513" s="586" t="e">
        <f t="shared" si="296"/>
        <v>#DIV/0!</v>
      </c>
      <c r="BH2513" s="571" t="e">
        <f t="shared" si="297"/>
        <v>#DIV/0!</v>
      </c>
    </row>
    <row r="2514" spans="55:60" s="39" customFormat="1">
      <c r="BC2514" s="573">
        <v>25.03</v>
      </c>
      <c r="BD2514" s="571">
        <f t="shared" si="294"/>
        <v>0</v>
      </c>
      <c r="BE2514" s="571">
        <f t="shared" si="298"/>
        <v>0</v>
      </c>
      <c r="BF2514" s="586">
        <f t="shared" si="295"/>
        <v>0</v>
      </c>
      <c r="BG2514" s="586" t="e">
        <f t="shared" si="296"/>
        <v>#DIV/0!</v>
      </c>
      <c r="BH2514" s="571" t="e">
        <f t="shared" si="297"/>
        <v>#DIV/0!</v>
      </c>
    </row>
    <row r="2515" spans="55:60" s="39" customFormat="1">
      <c r="BC2515" s="573">
        <v>25.04</v>
      </c>
      <c r="BD2515" s="571">
        <f t="shared" si="294"/>
        <v>0</v>
      </c>
      <c r="BE2515" s="571">
        <f t="shared" si="298"/>
        <v>0</v>
      </c>
      <c r="BF2515" s="586">
        <f t="shared" si="295"/>
        <v>0</v>
      </c>
      <c r="BG2515" s="586" t="e">
        <f t="shared" si="296"/>
        <v>#DIV/0!</v>
      </c>
      <c r="BH2515" s="571" t="e">
        <f t="shared" si="297"/>
        <v>#DIV/0!</v>
      </c>
    </row>
    <row r="2516" spans="55:60" s="39" customFormat="1">
      <c r="BC2516" s="573">
        <v>25.05</v>
      </c>
      <c r="BD2516" s="571">
        <f t="shared" si="294"/>
        <v>0</v>
      </c>
      <c r="BE2516" s="571">
        <f t="shared" si="298"/>
        <v>0</v>
      </c>
      <c r="BF2516" s="586">
        <f t="shared" si="295"/>
        <v>0</v>
      </c>
      <c r="BG2516" s="586" t="e">
        <f t="shared" si="296"/>
        <v>#DIV/0!</v>
      </c>
      <c r="BH2516" s="571" t="e">
        <f t="shared" si="297"/>
        <v>#DIV/0!</v>
      </c>
    </row>
    <row r="2517" spans="55:60" s="39" customFormat="1">
      <c r="BC2517" s="573">
        <v>25.06</v>
      </c>
      <c r="BD2517" s="571">
        <f t="shared" si="294"/>
        <v>0</v>
      </c>
      <c r="BE2517" s="571">
        <f t="shared" si="298"/>
        <v>0</v>
      </c>
      <c r="BF2517" s="586">
        <f t="shared" si="295"/>
        <v>0</v>
      </c>
      <c r="BG2517" s="586" t="e">
        <f t="shared" si="296"/>
        <v>#DIV/0!</v>
      </c>
      <c r="BH2517" s="571" t="e">
        <f t="shared" si="297"/>
        <v>#DIV/0!</v>
      </c>
    </row>
    <row r="2518" spans="55:60" s="39" customFormat="1">
      <c r="BC2518" s="573">
        <v>25.07</v>
      </c>
      <c r="BD2518" s="571">
        <f t="shared" si="294"/>
        <v>0</v>
      </c>
      <c r="BE2518" s="571">
        <f t="shared" si="298"/>
        <v>0</v>
      </c>
      <c r="BF2518" s="586">
        <f t="shared" si="295"/>
        <v>0</v>
      </c>
      <c r="BG2518" s="586" t="e">
        <f t="shared" si="296"/>
        <v>#DIV/0!</v>
      </c>
      <c r="BH2518" s="571" t="e">
        <f t="shared" si="297"/>
        <v>#DIV/0!</v>
      </c>
    </row>
    <row r="2519" spans="55:60" s="39" customFormat="1">
      <c r="BC2519" s="573">
        <v>25.08</v>
      </c>
      <c r="BD2519" s="571">
        <f t="shared" si="294"/>
        <v>0</v>
      </c>
      <c r="BE2519" s="571">
        <f t="shared" si="298"/>
        <v>0</v>
      </c>
      <c r="BF2519" s="586">
        <f t="shared" si="295"/>
        <v>0</v>
      </c>
      <c r="BG2519" s="586" t="e">
        <f t="shared" si="296"/>
        <v>#DIV/0!</v>
      </c>
      <c r="BH2519" s="571" t="e">
        <f t="shared" si="297"/>
        <v>#DIV/0!</v>
      </c>
    </row>
    <row r="2520" spans="55:60" s="39" customFormat="1">
      <c r="BC2520" s="573">
        <v>25.09</v>
      </c>
      <c r="BD2520" s="571">
        <f t="shared" si="294"/>
        <v>0</v>
      </c>
      <c r="BE2520" s="571">
        <f t="shared" si="298"/>
        <v>0</v>
      </c>
      <c r="BF2520" s="586">
        <f t="shared" si="295"/>
        <v>0</v>
      </c>
      <c r="BG2520" s="586" t="e">
        <f t="shared" si="296"/>
        <v>#DIV/0!</v>
      </c>
      <c r="BH2520" s="571" t="e">
        <f t="shared" si="297"/>
        <v>#DIV/0!</v>
      </c>
    </row>
    <row r="2521" spans="55:60" s="39" customFormat="1">
      <c r="BC2521" s="573">
        <v>25.1</v>
      </c>
      <c r="BD2521" s="571">
        <f t="shared" si="294"/>
        <v>0</v>
      </c>
      <c r="BE2521" s="571">
        <f t="shared" si="298"/>
        <v>0</v>
      </c>
      <c r="BF2521" s="586">
        <f t="shared" si="295"/>
        <v>0</v>
      </c>
      <c r="BG2521" s="586" t="e">
        <f t="shared" si="296"/>
        <v>#DIV/0!</v>
      </c>
      <c r="BH2521" s="571" t="e">
        <f t="shared" si="297"/>
        <v>#DIV/0!</v>
      </c>
    </row>
    <row r="2522" spans="55:60" s="39" customFormat="1">
      <c r="BC2522" s="573">
        <v>25.11</v>
      </c>
      <c r="BD2522" s="571">
        <f t="shared" si="294"/>
        <v>0</v>
      </c>
      <c r="BE2522" s="571">
        <f t="shared" si="298"/>
        <v>0</v>
      </c>
      <c r="BF2522" s="586">
        <f t="shared" si="295"/>
        <v>0</v>
      </c>
      <c r="BG2522" s="586" t="e">
        <f t="shared" si="296"/>
        <v>#DIV/0!</v>
      </c>
      <c r="BH2522" s="571" t="e">
        <f t="shared" si="297"/>
        <v>#DIV/0!</v>
      </c>
    </row>
    <row r="2523" spans="55:60" s="39" customFormat="1">
      <c r="BC2523" s="573">
        <v>25.12</v>
      </c>
      <c r="BD2523" s="571">
        <f t="shared" si="294"/>
        <v>0</v>
      </c>
      <c r="BE2523" s="571">
        <f t="shared" si="298"/>
        <v>0</v>
      </c>
      <c r="BF2523" s="586">
        <f t="shared" si="295"/>
        <v>0</v>
      </c>
      <c r="BG2523" s="586" t="e">
        <f t="shared" si="296"/>
        <v>#DIV/0!</v>
      </c>
      <c r="BH2523" s="571" t="e">
        <f t="shared" si="297"/>
        <v>#DIV/0!</v>
      </c>
    </row>
    <row r="2524" spans="55:60" s="39" customFormat="1">
      <c r="BC2524" s="573">
        <v>25.13</v>
      </c>
      <c r="BD2524" s="571">
        <f t="shared" si="294"/>
        <v>0</v>
      </c>
      <c r="BE2524" s="571">
        <f t="shared" si="298"/>
        <v>0</v>
      </c>
      <c r="BF2524" s="586">
        <f t="shared" si="295"/>
        <v>0</v>
      </c>
      <c r="BG2524" s="586" t="e">
        <f t="shared" si="296"/>
        <v>#DIV/0!</v>
      </c>
      <c r="BH2524" s="571" t="e">
        <f t="shared" si="297"/>
        <v>#DIV/0!</v>
      </c>
    </row>
    <row r="2525" spans="55:60" s="39" customFormat="1">
      <c r="BC2525" s="573">
        <v>25.14</v>
      </c>
      <c r="BD2525" s="571">
        <f t="shared" si="294"/>
        <v>0</v>
      </c>
      <c r="BE2525" s="571">
        <f t="shared" si="298"/>
        <v>0</v>
      </c>
      <c r="BF2525" s="586">
        <f t="shared" si="295"/>
        <v>0</v>
      </c>
      <c r="BG2525" s="586" t="e">
        <f t="shared" si="296"/>
        <v>#DIV/0!</v>
      </c>
      <c r="BH2525" s="571" t="e">
        <f t="shared" si="297"/>
        <v>#DIV/0!</v>
      </c>
    </row>
    <row r="2526" spans="55:60" s="39" customFormat="1">
      <c r="BC2526" s="573">
        <v>25.15</v>
      </c>
      <c r="BD2526" s="571">
        <f t="shared" si="294"/>
        <v>0</v>
      </c>
      <c r="BE2526" s="571">
        <f t="shared" si="298"/>
        <v>0</v>
      </c>
      <c r="BF2526" s="586">
        <f t="shared" si="295"/>
        <v>0</v>
      </c>
      <c r="BG2526" s="586" t="e">
        <f t="shared" si="296"/>
        <v>#DIV/0!</v>
      </c>
      <c r="BH2526" s="571" t="e">
        <f t="shared" si="297"/>
        <v>#DIV/0!</v>
      </c>
    </row>
    <row r="2527" spans="55:60" s="39" customFormat="1">
      <c r="BC2527" s="573">
        <v>25.16</v>
      </c>
      <c r="BD2527" s="571">
        <f t="shared" si="294"/>
        <v>0</v>
      </c>
      <c r="BE2527" s="571">
        <f t="shared" si="298"/>
        <v>0</v>
      </c>
      <c r="BF2527" s="586">
        <f t="shared" si="295"/>
        <v>0</v>
      </c>
      <c r="BG2527" s="586" t="e">
        <f t="shared" si="296"/>
        <v>#DIV/0!</v>
      </c>
      <c r="BH2527" s="571" t="e">
        <f t="shared" si="297"/>
        <v>#DIV/0!</v>
      </c>
    </row>
    <row r="2528" spans="55:60" s="39" customFormat="1">
      <c r="BC2528" s="573">
        <v>25.17</v>
      </c>
      <c r="BD2528" s="571">
        <f t="shared" si="294"/>
        <v>0</v>
      </c>
      <c r="BE2528" s="571">
        <f t="shared" si="298"/>
        <v>0</v>
      </c>
      <c r="BF2528" s="586">
        <f t="shared" si="295"/>
        <v>0</v>
      </c>
      <c r="BG2528" s="586" t="e">
        <f t="shared" si="296"/>
        <v>#DIV/0!</v>
      </c>
      <c r="BH2528" s="571" t="e">
        <f t="shared" si="297"/>
        <v>#DIV/0!</v>
      </c>
    </row>
    <row r="2529" spans="55:60" s="39" customFormat="1">
      <c r="BC2529" s="573">
        <v>25.18</v>
      </c>
      <c r="BD2529" s="571">
        <f t="shared" si="294"/>
        <v>0</v>
      </c>
      <c r="BE2529" s="571">
        <f t="shared" si="298"/>
        <v>0</v>
      </c>
      <c r="BF2529" s="586">
        <f t="shared" si="295"/>
        <v>0</v>
      </c>
      <c r="BG2529" s="586" t="e">
        <f t="shared" si="296"/>
        <v>#DIV/0!</v>
      </c>
      <c r="BH2529" s="571" t="e">
        <f t="shared" si="297"/>
        <v>#DIV/0!</v>
      </c>
    </row>
    <row r="2530" spans="55:60" s="39" customFormat="1">
      <c r="BC2530" s="573">
        <v>25.19</v>
      </c>
      <c r="BD2530" s="571">
        <f t="shared" si="294"/>
        <v>0</v>
      </c>
      <c r="BE2530" s="571">
        <f t="shared" si="298"/>
        <v>0</v>
      </c>
      <c r="BF2530" s="586">
        <f t="shared" si="295"/>
        <v>0</v>
      </c>
      <c r="BG2530" s="586" t="e">
        <f t="shared" si="296"/>
        <v>#DIV/0!</v>
      </c>
      <c r="BH2530" s="571" t="e">
        <f t="shared" si="297"/>
        <v>#DIV/0!</v>
      </c>
    </row>
    <row r="2531" spans="55:60" s="39" customFormat="1">
      <c r="BC2531" s="573">
        <v>25.2</v>
      </c>
      <c r="BD2531" s="571">
        <f t="shared" si="294"/>
        <v>0</v>
      </c>
      <c r="BE2531" s="571">
        <f t="shared" si="298"/>
        <v>0</v>
      </c>
      <c r="BF2531" s="586">
        <f t="shared" si="295"/>
        <v>0</v>
      </c>
      <c r="BG2531" s="586" t="e">
        <f t="shared" si="296"/>
        <v>#DIV/0!</v>
      </c>
      <c r="BH2531" s="571" t="e">
        <f t="shared" si="297"/>
        <v>#DIV/0!</v>
      </c>
    </row>
    <row r="2532" spans="55:60" s="39" customFormat="1">
      <c r="BC2532" s="573">
        <v>25.21</v>
      </c>
      <c r="BD2532" s="571">
        <f t="shared" si="294"/>
        <v>0</v>
      </c>
      <c r="BE2532" s="571">
        <f t="shared" si="298"/>
        <v>0</v>
      </c>
      <c r="BF2532" s="586">
        <f t="shared" si="295"/>
        <v>0</v>
      </c>
      <c r="BG2532" s="586" t="e">
        <f t="shared" si="296"/>
        <v>#DIV/0!</v>
      </c>
      <c r="BH2532" s="571" t="e">
        <f t="shared" si="297"/>
        <v>#DIV/0!</v>
      </c>
    </row>
    <row r="2533" spans="55:60" s="39" customFormat="1">
      <c r="BC2533" s="573">
        <v>25.22</v>
      </c>
      <c r="BD2533" s="571">
        <f t="shared" si="294"/>
        <v>0</v>
      </c>
      <c r="BE2533" s="571">
        <f t="shared" si="298"/>
        <v>0</v>
      </c>
      <c r="BF2533" s="586">
        <f t="shared" si="295"/>
        <v>0</v>
      </c>
      <c r="BG2533" s="586" t="e">
        <f t="shared" si="296"/>
        <v>#DIV/0!</v>
      </c>
      <c r="BH2533" s="571" t="e">
        <f t="shared" si="297"/>
        <v>#DIV/0!</v>
      </c>
    </row>
    <row r="2534" spans="55:60" s="39" customFormat="1">
      <c r="BC2534" s="573">
        <v>25.23</v>
      </c>
      <c r="BD2534" s="571">
        <f t="shared" si="294"/>
        <v>0</v>
      </c>
      <c r="BE2534" s="571">
        <f t="shared" si="298"/>
        <v>0</v>
      </c>
      <c r="BF2534" s="586">
        <f t="shared" si="295"/>
        <v>0</v>
      </c>
      <c r="BG2534" s="586" t="e">
        <f t="shared" si="296"/>
        <v>#DIV/0!</v>
      </c>
      <c r="BH2534" s="571" t="e">
        <f t="shared" si="297"/>
        <v>#DIV/0!</v>
      </c>
    </row>
    <row r="2535" spans="55:60" s="39" customFormat="1">
      <c r="BC2535" s="573">
        <v>25.24</v>
      </c>
      <c r="BD2535" s="571">
        <f t="shared" si="294"/>
        <v>0</v>
      </c>
      <c r="BE2535" s="571">
        <f t="shared" si="298"/>
        <v>0</v>
      </c>
      <c r="BF2535" s="586">
        <f t="shared" si="295"/>
        <v>0</v>
      </c>
      <c r="BG2535" s="586" t="e">
        <f t="shared" si="296"/>
        <v>#DIV/0!</v>
      </c>
      <c r="BH2535" s="571" t="e">
        <f t="shared" si="297"/>
        <v>#DIV/0!</v>
      </c>
    </row>
    <row r="2536" spans="55:60" s="39" customFormat="1">
      <c r="BC2536" s="573">
        <v>25.25</v>
      </c>
      <c r="BD2536" s="571">
        <f t="shared" si="294"/>
        <v>0</v>
      </c>
      <c r="BE2536" s="571">
        <f t="shared" si="298"/>
        <v>0</v>
      </c>
      <c r="BF2536" s="586">
        <f t="shared" si="295"/>
        <v>0</v>
      </c>
      <c r="BG2536" s="586" t="e">
        <f t="shared" si="296"/>
        <v>#DIV/0!</v>
      </c>
      <c r="BH2536" s="571" t="e">
        <f t="shared" si="297"/>
        <v>#DIV/0!</v>
      </c>
    </row>
    <row r="2537" spans="55:60" s="39" customFormat="1">
      <c r="BC2537" s="573">
        <v>25.26</v>
      </c>
      <c r="BD2537" s="571">
        <f t="shared" si="294"/>
        <v>0</v>
      </c>
      <c r="BE2537" s="571">
        <f t="shared" si="298"/>
        <v>0</v>
      </c>
      <c r="BF2537" s="586">
        <f t="shared" si="295"/>
        <v>0</v>
      </c>
      <c r="BG2537" s="586" t="e">
        <f t="shared" si="296"/>
        <v>#DIV/0!</v>
      </c>
      <c r="BH2537" s="571" t="e">
        <f t="shared" si="297"/>
        <v>#DIV/0!</v>
      </c>
    </row>
    <row r="2538" spans="55:60" s="39" customFormat="1">
      <c r="BC2538" s="573">
        <v>25.27</v>
      </c>
      <c r="BD2538" s="571">
        <f t="shared" si="294"/>
        <v>0</v>
      </c>
      <c r="BE2538" s="571">
        <f t="shared" si="298"/>
        <v>0</v>
      </c>
      <c r="BF2538" s="586">
        <f t="shared" si="295"/>
        <v>0</v>
      </c>
      <c r="BG2538" s="586" t="e">
        <f t="shared" si="296"/>
        <v>#DIV/0!</v>
      </c>
      <c r="BH2538" s="571" t="e">
        <f t="shared" si="297"/>
        <v>#DIV/0!</v>
      </c>
    </row>
    <row r="2539" spans="55:60" s="39" customFormat="1">
      <c r="BC2539" s="573">
        <v>25.28</v>
      </c>
      <c r="BD2539" s="571">
        <f t="shared" si="294"/>
        <v>0</v>
      </c>
      <c r="BE2539" s="571">
        <f t="shared" si="298"/>
        <v>0</v>
      </c>
      <c r="BF2539" s="586">
        <f t="shared" si="295"/>
        <v>0</v>
      </c>
      <c r="BG2539" s="586" t="e">
        <f t="shared" si="296"/>
        <v>#DIV/0!</v>
      </c>
      <c r="BH2539" s="571" t="e">
        <f t="shared" si="297"/>
        <v>#DIV/0!</v>
      </c>
    </row>
    <row r="2540" spans="55:60" s="39" customFormat="1">
      <c r="BC2540" s="573">
        <v>25.29</v>
      </c>
      <c r="BD2540" s="571">
        <f t="shared" si="294"/>
        <v>0</v>
      </c>
      <c r="BE2540" s="571">
        <f t="shared" si="298"/>
        <v>0</v>
      </c>
      <c r="BF2540" s="586">
        <f t="shared" si="295"/>
        <v>0</v>
      </c>
      <c r="BG2540" s="586" t="e">
        <f t="shared" si="296"/>
        <v>#DIV/0!</v>
      </c>
      <c r="BH2540" s="571" t="e">
        <f t="shared" si="297"/>
        <v>#DIV/0!</v>
      </c>
    </row>
    <row r="2541" spans="55:60" s="39" customFormat="1">
      <c r="BC2541" s="573">
        <v>25.3</v>
      </c>
      <c r="BD2541" s="571">
        <f t="shared" si="294"/>
        <v>0</v>
      </c>
      <c r="BE2541" s="571">
        <f t="shared" si="298"/>
        <v>0</v>
      </c>
      <c r="BF2541" s="586">
        <f t="shared" si="295"/>
        <v>0</v>
      </c>
      <c r="BG2541" s="586" t="e">
        <f t="shared" si="296"/>
        <v>#DIV/0!</v>
      </c>
      <c r="BH2541" s="571" t="e">
        <f t="shared" si="297"/>
        <v>#DIV/0!</v>
      </c>
    </row>
    <row r="2542" spans="55:60" s="39" customFormat="1">
      <c r="BC2542" s="573">
        <v>25.31</v>
      </c>
      <c r="BD2542" s="571">
        <f t="shared" si="294"/>
        <v>0</v>
      </c>
      <c r="BE2542" s="571">
        <f t="shared" si="298"/>
        <v>0</v>
      </c>
      <c r="BF2542" s="586">
        <f t="shared" si="295"/>
        <v>0</v>
      </c>
      <c r="BG2542" s="586" t="e">
        <f t="shared" si="296"/>
        <v>#DIV/0!</v>
      </c>
      <c r="BH2542" s="571" t="e">
        <f t="shared" si="297"/>
        <v>#DIV/0!</v>
      </c>
    </row>
    <row r="2543" spans="55:60" s="39" customFormat="1">
      <c r="BC2543" s="573">
        <v>25.32</v>
      </c>
      <c r="BD2543" s="571">
        <f t="shared" si="294"/>
        <v>0</v>
      </c>
      <c r="BE2543" s="571">
        <f t="shared" si="298"/>
        <v>0</v>
      </c>
      <c r="BF2543" s="586">
        <f t="shared" si="295"/>
        <v>0</v>
      </c>
      <c r="BG2543" s="586" t="e">
        <f t="shared" si="296"/>
        <v>#DIV/0!</v>
      </c>
      <c r="BH2543" s="571" t="e">
        <f t="shared" si="297"/>
        <v>#DIV/0!</v>
      </c>
    </row>
    <row r="2544" spans="55:60" s="39" customFormat="1">
      <c r="BC2544" s="573">
        <v>25.33</v>
      </c>
      <c r="BD2544" s="571">
        <f t="shared" si="294"/>
        <v>0</v>
      </c>
      <c r="BE2544" s="571">
        <f t="shared" si="298"/>
        <v>0</v>
      </c>
      <c r="BF2544" s="586">
        <f t="shared" si="295"/>
        <v>0</v>
      </c>
      <c r="BG2544" s="586" t="e">
        <f t="shared" si="296"/>
        <v>#DIV/0!</v>
      </c>
      <c r="BH2544" s="571" t="e">
        <f t="shared" si="297"/>
        <v>#DIV/0!</v>
      </c>
    </row>
    <row r="2545" spans="55:60" s="39" customFormat="1">
      <c r="BC2545" s="573">
        <v>25.34</v>
      </c>
      <c r="BD2545" s="571">
        <f t="shared" si="294"/>
        <v>0</v>
      </c>
      <c r="BE2545" s="571">
        <f t="shared" si="298"/>
        <v>0</v>
      </c>
      <c r="BF2545" s="586">
        <f t="shared" si="295"/>
        <v>0</v>
      </c>
      <c r="BG2545" s="586" t="e">
        <f t="shared" si="296"/>
        <v>#DIV/0!</v>
      </c>
      <c r="BH2545" s="571" t="e">
        <f t="shared" si="297"/>
        <v>#DIV/0!</v>
      </c>
    </row>
    <row r="2546" spans="55:60" s="39" customFormat="1">
      <c r="BC2546" s="573">
        <v>25.35</v>
      </c>
      <c r="BD2546" s="571">
        <f t="shared" si="294"/>
        <v>0</v>
      </c>
      <c r="BE2546" s="571">
        <f t="shared" si="298"/>
        <v>0</v>
      </c>
      <c r="BF2546" s="586">
        <f t="shared" si="295"/>
        <v>0</v>
      </c>
      <c r="BG2546" s="586" t="e">
        <f t="shared" si="296"/>
        <v>#DIV/0!</v>
      </c>
      <c r="BH2546" s="571" t="e">
        <f t="shared" si="297"/>
        <v>#DIV/0!</v>
      </c>
    </row>
    <row r="2547" spans="55:60" s="39" customFormat="1">
      <c r="BC2547" s="573">
        <v>25.36</v>
      </c>
      <c r="BD2547" s="571">
        <f t="shared" si="294"/>
        <v>0</v>
      </c>
      <c r="BE2547" s="571">
        <f t="shared" si="298"/>
        <v>0</v>
      </c>
      <c r="BF2547" s="586">
        <f t="shared" si="295"/>
        <v>0</v>
      </c>
      <c r="BG2547" s="586" t="e">
        <f t="shared" si="296"/>
        <v>#DIV/0!</v>
      </c>
      <c r="BH2547" s="571" t="e">
        <f t="shared" si="297"/>
        <v>#DIV/0!</v>
      </c>
    </row>
    <row r="2548" spans="55:60" s="39" customFormat="1">
      <c r="BC2548" s="573">
        <v>25.37</v>
      </c>
      <c r="BD2548" s="571">
        <f t="shared" si="294"/>
        <v>0</v>
      </c>
      <c r="BE2548" s="571">
        <f t="shared" si="298"/>
        <v>0</v>
      </c>
      <c r="BF2548" s="586">
        <f t="shared" si="295"/>
        <v>0</v>
      </c>
      <c r="BG2548" s="586" t="e">
        <f t="shared" si="296"/>
        <v>#DIV/0!</v>
      </c>
      <c r="BH2548" s="571" t="e">
        <f t="shared" si="297"/>
        <v>#DIV/0!</v>
      </c>
    </row>
    <row r="2549" spans="55:60" s="39" customFormat="1">
      <c r="BC2549" s="573">
        <v>25.38</v>
      </c>
      <c r="BD2549" s="571">
        <f t="shared" si="294"/>
        <v>0</v>
      </c>
      <c r="BE2549" s="571">
        <f t="shared" si="298"/>
        <v>0</v>
      </c>
      <c r="BF2549" s="586">
        <f t="shared" si="295"/>
        <v>0</v>
      </c>
      <c r="BG2549" s="586" t="e">
        <f t="shared" si="296"/>
        <v>#DIV/0!</v>
      </c>
      <c r="BH2549" s="571" t="e">
        <f t="shared" si="297"/>
        <v>#DIV/0!</v>
      </c>
    </row>
    <row r="2550" spans="55:60" s="39" customFormat="1">
      <c r="BC2550" s="573">
        <v>25.39</v>
      </c>
      <c r="BD2550" s="571">
        <f t="shared" si="294"/>
        <v>0</v>
      </c>
      <c r="BE2550" s="571">
        <f t="shared" si="298"/>
        <v>0</v>
      </c>
      <c r="BF2550" s="586">
        <f t="shared" si="295"/>
        <v>0</v>
      </c>
      <c r="BG2550" s="586" t="e">
        <f t="shared" si="296"/>
        <v>#DIV/0!</v>
      </c>
      <c r="BH2550" s="571" t="e">
        <f t="shared" si="297"/>
        <v>#DIV/0!</v>
      </c>
    </row>
    <row r="2551" spans="55:60" s="39" customFormat="1">
      <c r="BC2551" s="573">
        <v>25.4</v>
      </c>
      <c r="BD2551" s="571">
        <f t="shared" si="294"/>
        <v>0</v>
      </c>
      <c r="BE2551" s="571">
        <f t="shared" si="298"/>
        <v>0</v>
      </c>
      <c r="BF2551" s="586">
        <f t="shared" si="295"/>
        <v>0</v>
      </c>
      <c r="BG2551" s="586" t="e">
        <f t="shared" si="296"/>
        <v>#DIV/0!</v>
      </c>
      <c r="BH2551" s="571" t="e">
        <f t="shared" si="297"/>
        <v>#DIV/0!</v>
      </c>
    </row>
    <row r="2552" spans="55:60" s="39" customFormat="1">
      <c r="BC2552" s="573">
        <v>25.41</v>
      </c>
      <c r="BD2552" s="571">
        <f t="shared" si="294"/>
        <v>0</v>
      </c>
      <c r="BE2552" s="571">
        <f t="shared" si="298"/>
        <v>0</v>
      </c>
      <c r="BF2552" s="586">
        <f t="shared" si="295"/>
        <v>0</v>
      </c>
      <c r="BG2552" s="586" t="e">
        <f t="shared" si="296"/>
        <v>#DIV/0!</v>
      </c>
      <c r="BH2552" s="571" t="e">
        <f t="shared" si="297"/>
        <v>#DIV/0!</v>
      </c>
    </row>
    <row r="2553" spans="55:60" s="39" customFormat="1">
      <c r="BC2553" s="573">
        <v>25.42</v>
      </c>
      <c r="BD2553" s="571">
        <f t="shared" si="294"/>
        <v>0</v>
      </c>
      <c r="BE2553" s="571">
        <f t="shared" si="298"/>
        <v>0</v>
      </c>
      <c r="BF2553" s="586">
        <f t="shared" si="295"/>
        <v>0</v>
      </c>
      <c r="BG2553" s="586" t="e">
        <f t="shared" si="296"/>
        <v>#DIV/0!</v>
      </c>
      <c r="BH2553" s="571" t="e">
        <f t="shared" si="297"/>
        <v>#DIV/0!</v>
      </c>
    </row>
    <row r="2554" spans="55:60" s="39" customFormat="1">
      <c r="BC2554" s="573">
        <v>25.43</v>
      </c>
      <c r="BD2554" s="571">
        <f t="shared" si="294"/>
        <v>0</v>
      </c>
      <c r="BE2554" s="571">
        <f t="shared" si="298"/>
        <v>0</v>
      </c>
      <c r="BF2554" s="586">
        <f t="shared" si="295"/>
        <v>0</v>
      </c>
      <c r="BG2554" s="586" t="e">
        <f t="shared" si="296"/>
        <v>#DIV/0!</v>
      </c>
      <c r="BH2554" s="571" t="e">
        <f t="shared" si="297"/>
        <v>#DIV/0!</v>
      </c>
    </row>
    <row r="2555" spans="55:60" s="39" customFormat="1">
      <c r="BC2555" s="573">
        <v>25.44</v>
      </c>
      <c r="BD2555" s="571">
        <f t="shared" si="294"/>
        <v>0</v>
      </c>
      <c r="BE2555" s="571">
        <f t="shared" si="298"/>
        <v>0</v>
      </c>
      <c r="BF2555" s="586">
        <f t="shared" si="295"/>
        <v>0</v>
      </c>
      <c r="BG2555" s="586" t="e">
        <f t="shared" si="296"/>
        <v>#DIV/0!</v>
      </c>
      <c r="BH2555" s="571" t="e">
        <f t="shared" si="297"/>
        <v>#DIV/0!</v>
      </c>
    </row>
    <row r="2556" spans="55:60" s="39" customFormat="1">
      <c r="BC2556" s="573">
        <v>25.45</v>
      </c>
      <c r="BD2556" s="571">
        <f t="shared" si="294"/>
        <v>0</v>
      </c>
      <c r="BE2556" s="571">
        <f t="shared" si="298"/>
        <v>0</v>
      </c>
      <c r="BF2556" s="586">
        <f t="shared" si="295"/>
        <v>0</v>
      </c>
      <c r="BG2556" s="586" t="e">
        <f t="shared" si="296"/>
        <v>#DIV/0!</v>
      </c>
      <c r="BH2556" s="571" t="e">
        <f t="shared" si="297"/>
        <v>#DIV/0!</v>
      </c>
    </row>
    <row r="2557" spans="55:60" s="39" customFormat="1">
      <c r="BC2557" s="573">
        <v>25.46</v>
      </c>
      <c r="BD2557" s="571">
        <f t="shared" si="294"/>
        <v>0</v>
      </c>
      <c r="BE2557" s="571">
        <f t="shared" si="298"/>
        <v>0</v>
      </c>
      <c r="BF2557" s="586">
        <f t="shared" si="295"/>
        <v>0</v>
      </c>
      <c r="BG2557" s="586" t="e">
        <f t="shared" si="296"/>
        <v>#DIV/0!</v>
      </c>
      <c r="BH2557" s="571" t="e">
        <f t="shared" si="297"/>
        <v>#DIV/0!</v>
      </c>
    </row>
    <row r="2558" spans="55:60" s="39" customFormat="1">
      <c r="BC2558" s="573">
        <v>25.47</v>
      </c>
      <c r="BD2558" s="571">
        <f t="shared" si="294"/>
        <v>0</v>
      </c>
      <c r="BE2558" s="571">
        <f t="shared" si="298"/>
        <v>0</v>
      </c>
      <c r="BF2558" s="586">
        <f t="shared" si="295"/>
        <v>0</v>
      </c>
      <c r="BG2558" s="586" t="e">
        <f t="shared" si="296"/>
        <v>#DIV/0!</v>
      </c>
      <c r="BH2558" s="571" t="e">
        <f t="shared" si="297"/>
        <v>#DIV/0!</v>
      </c>
    </row>
    <row r="2559" spans="55:60" s="39" customFormat="1">
      <c r="BC2559" s="573">
        <v>25.48</v>
      </c>
      <c r="BD2559" s="571">
        <f t="shared" si="294"/>
        <v>0</v>
      </c>
      <c r="BE2559" s="571">
        <f t="shared" si="298"/>
        <v>0</v>
      </c>
      <c r="BF2559" s="586">
        <f t="shared" si="295"/>
        <v>0</v>
      </c>
      <c r="BG2559" s="586" t="e">
        <f t="shared" si="296"/>
        <v>#DIV/0!</v>
      </c>
      <c r="BH2559" s="571" t="e">
        <f t="shared" si="297"/>
        <v>#DIV/0!</v>
      </c>
    </row>
    <row r="2560" spans="55:60" s="39" customFormat="1">
      <c r="BC2560" s="573">
        <v>25.49</v>
      </c>
      <c r="BD2560" s="571">
        <f t="shared" si="294"/>
        <v>0</v>
      </c>
      <c r="BE2560" s="571">
        <f t="shared" si="298"/>
        <v>0</v>
      </c>
      <c r="BF2560" s="586">
        <f t="shared" si="295"/>
        <v>0</v>
      </c>
      <c r="BG2560" s="586" t="e">
        <f t="shared" si="296"/>
        <v>#DIV/0!</v>
      </c>
      <c r="BH2560" s="571" t="e">
        <f t="shared" si="297"/>
        <v>#DIV/0!</v>
      </c>
    </row>
    <row r="2561" spans="55:60" s="39" customFormat="1">
      <c r="BC2561" s="573">
        <v>25.5</v>
      </c>
      <c r="BD2561" s="571">
        <f t="shared" si="294"/>
        <v>0</v>
      </c>
      <c r="BE2561" s="571">
        <f t="shared" si="298"/>
        <v>0</v>
      </c>
      <c r="BF2561" s="586">
        <f t="shared" si="295"/>
        <v>0</v>
      </c>
      <c r="BG2561" s="586" t="e">
        <f t="shared" si="296"/>
        <v>#DIV/0!</v>
      </c>
      <c r="BH2561" s="571" t="e">
        <f t="shared" si="297"/>
        <v>#DIV/0!</v>
      </c>
    </row>
    <row r="2562" spans="55:60" s="39" customFormat="1">
      <c r="BC2562" s="573">
        <v>25.51</v>
      </c>
      <c r="BD2562" s="571">
        <f t="shared" si="294"/>
        <v>0</v>
      </c>
      <c r="BE2562" s="571">
        <f t="shared" si="298"/>
        <v>0</v>
      </c>
      <c r="BF2562" s="586">
        <f t="shared" si="295"/>
        <v>0</v>
      </c>
      <c r="BG2562" s="586" t="e">
        <f t="shared" si="296"/>
        <v>#DIV/0!</v>
      </c>
      <c r="BH2562" s="571" t="e">
        <f t="shared" si="297"/>
        <v>#DIV/0!</v>
      </c>
    </row>
    <row r="2563" spans="55:60" s="39" customFormat="1">
      <c r="BC2563" s="573">
        <v>25.52</v>
      </c>
      <c r="BD2563" s="571">
        <f t="shared" si="294"/>
        <v>0</v>
      </c>
      <c r="BE2563" s="571">
        <f t="shared" si="298"/>
        <v>0</v>
      </c>
      <c r="BF2563" s="586">
        <f t="shared" si="295"/>
        <v>0</v>
      </c>
      <c r="BG2563" s="586" t="e">
        <f t="shared" si="296"/>
        <v>#DIV/0!</v>
      </c>
      <c r="BH2563" s="571" t="e">
        <f t="shared" si="297"/>
        <v>#DIV/0!</v>
      </c>
    </row>
    <row r="2564" spans="55:60" s="39" customFormat="1">
      <c r="BC2564" s="573">
        <v>25.53</v>
      </c>
      <c r="BD2564" s="571">
        <f t="shared" si="294"/>
        <v>0</v>
      </c>
      <c r="BE2564" s="571">
        <f t="shared" si="298"/>
        <v>0</v>
      </c>
      <c r="BF2564" s="586">
        <f t="shared" si="295"/>
        <v>0</v>
      </c>
      <c r="BG2564" s="586" t="e">
        <f t="shared" si="296"/>
        <v>#DIV/0!</v>
      </c>
      <c r="BH2564" s="571" t="e">
        <f t="shared" si="297"/>
        <v>#DIV/0!</v>
      </c>
    </row>
    <row r="2565" spans="55:60" s="39" customFormat="1">
      <c r="BC2565" s="573">
        <v>25.54</v>
      </c>
      <c r="BD2565" s="571">
        <f t="shared" si="294"/>
        <v>0</v>
      </c>
      <c r="BE2565" s="571">
        <f t="shared" si="298"/>
        <v>0</v>
      </c>
      <c r="BF2565" s="586">
        <f t="shared" si="295"/>
        <v>0</v>
      </c>
      <c r="BG2565" s="586" t="e">
        <f t="shared" si="296"/>
        <v>#DIV/0!</v>
      </c>
      <c r="BH2565" s="571" t="e">
        <f t="shared" si="297"/>
        <v>#DIV/0!</v>
      </c>
    </row>
    <row r="2566" spans="55:60" s="39" customFormat="1">
      <c r="BC2566" s="573">
        <v>25.55</v>
      </c>
      <c r="BD2566" s="571">
        <f t="shared" si="294"/>
        <v>0</v>
      </c>
      <c r="BE2566" s="571">
        <f t="shared" si="298"/>
        <v>0</v>
      </c>
      <c r="BF2566" s="586">
        <f t="shared" si="295"/>
        <v>0</v>
      </c>
      <c r="BG2566" s="586" t="e">
        <f t="shared" si="296"/>
        <v>#DIV/0!</v>
      </c>
      <c r="BH2566" s="571" t="e">
        <f t="shared" si="297"/>
        <v>#DIV/0!</v>
      </c>
    </row>
    <row r="2567" spans="55:60" s="39" customFormat="1">
      <c r="BC2567" s="573">
        <v>25.56</v>
      </c>
      <c r="BD2567" s="571">
        <f t="shared" si="294"/>
        <v>0</v>
      </c>
      <c r="BE2567" s="571">
        <f t="shared" si="298"/>
        <v>0</v>
      </c>
      <c r="BF2567" s="586">
        <f t="shared" si="295"/>
        <v>0</v>
      </c>
      <c r="BG2567" s="586" t="e">
        <f t="shared" si="296"/>
        <v>#DIV/0!</v>
      </c>
      <c r="BH2567" s="571" t="e">
        <f t="shared" si="297"/>
        <v>#DIV/0!</v>
      </c>
    </row>
    <row r="2568" spans="55:60" s="39" customFormat="1">
      <c r="BC2568" s="573">
        <v>25.57</v>
      </c>
      <c r="BD2568" s="571">
        <f t="shared" si="294"/>
        <v>0</v>
      </c>
      <c r="BE2568" s="571">
        <f t="shared" si="298"/>
        <v>0</v>
      </c>
      <c r="BF2568" s="586">
        <f t="shared" si="295"/>
        <v>0</v>
      </c>
      <c r="BG2568" s="586" t="e">
        <f t="shared" si="296"/>
        <v>#DIV/0!</v>
      </c>
      <c r="BH2568" s="571" t="e">
        <f t="shared" si="297"/>
        <v>#DIV/0!</v>
      </c>
    </row>
    <row r="2569" spans="55:60" s="39" customFormat="1">
      <c r="BC2569" s="573">
        <v>25.58</v>
      </c>
      <c r="BD2569" s="571">
        <f t="shared" si="294"/>
        <v>0</v>
      </c>
      <c r="BE2569" s="571">
        <f t="shared" si="298"/>
        <v>0</v>
      </c>
      <c r="BF2569" s="586">
        <f t="shared" si="295"/>
        <v>0</v>
      </c>
      <c r="BG2569" s="586" t="e">
        <f t="shared" si="296"/>
        <v>#DIV/0!</v>
      </c>
      <c r="BH2569" s="571" t="e">
        <f t="shared" si="297"/>
        <v>#DIV/0!</v>
      </c>
    </row>
    <row r="2570" spans="55:60" s="39" customFormat="1">
      <c r="BC2570" s="573">
        <v>25.59</v>
      </c>
      <c r="BD2570" s="571">
        <f t="shared" si="294"/>
        <v>0</v>
      </c>
      <c r="BE2570" s="571">
        <f t="shared" si="298"/>
        <v>0</v>
      </c>
      <c r="BF2570" s="586">
        <f t="shared" si="295"/>
        <v>0</v>
      </c>
      <c r="BG2570" s="586" t="e">
        <f t="shared" si="296"/>
        <v>#DIV/0!</v>
      </c>
      <c r="BH2570" s="571" t="e">
        <f t="shared" si="297"/>
        <v>#DIV/0!</v>
      </c>
    </row>
    <row r="2571" spans="55:60" s="39" customFormat="1">
      <c r="BC2571" s="573">
        <v>25.6</v>
      </c>
      <c r="BD2571" s="571">
        <f t="shared" si="294"/>
        <v>0</v>
      </c>
      <c r="BE2571" s="571">
        <f t="shared" si="298"/>
        <v>0</v>
      </c>
      <c r="BF2571" s="586">
        <f t="shared" si="295"/>
        <v>0</v>
      </c>
      <c r="BG2571" s="586" t="e">
        <f t="shared" si="296"/>
        <v>#DIV/0!</v>
      </c>
      <c r="BH2571" s="571" t="e">
        <f t="shared" si="297"/>
        <v>#DIV/0!</v>
      </c>
    </row>
    <row r="2572" spans="55:60" s="39" customFormat="1">
      <c r="BC2572" s="573">
        <v>25.61</v>
      </c>
      <c r="BD2572" s="571">
        <f t="shared" ref="BD2572:BD2635" si="299">$AU$15/BC2572</f>
        <v>0</v>
      </c>
      <c r="BE2572" s="571">
        <f t="shared" si="298"/>
        <v>0</v>
      </c>
      <c r="BF2572" s="586">
        <f t="shared" ref="BF2572:BF2635" si="300">BC2572*(BE2572/1000)/$AO$12</f>
        <v>0</v>
      </c>
      <c r="BG2572" s="586" t="e">
        <f t="shared" ref="BG2572:BG2635" si="301">POWER((1/(-1.8*LOG((6.9/BF2572+POWER((($P$7/BE2572)/3.71),1.11)),10))),2)</f>
        <v>#DIV/0!</v>
      </c>
      <c r="BH2572" s="571" t="e">
        <f t="shared" ref="BH2572:BH2635" si="302">BG2572*0.5*$P$6*16*$AU$15*$AU$15/(POWER(PI(),2)*POWER((BE2572/1000),5))</f>
        <v>#DIV/0!</v>
      </c>
    </row>
    <row r="2573" spans="55:60" s="39" customFormat="1">
      <c r="BC2573" s="573">
        <v>25.62</v>
      </c>
      <c r="BD2573" s="571">
        <f t="shared" si="299"/>
        <v>0</v>
      </c>
      <c r="BE2573" s="571">
        <f t="shared" ref="BE2573:BE2636" si="303">((BD2573/PI())^0.5)*2*1000</f>
        <v>0</v>
      </c>
      <c r="BF2573" s="586">
        <f t="shared" si="300"/>
        <v>0</v>
      </c>
      <c r="BG2573" s="586" t="e">
        <f t="shared" si="301"/>
        <v>#DIV/0!</v>
      </c>
      <c r="BH2573" s="571" t="e">
        <f t="shared" si="302"/>
        <v>#DIV/0!</v>
      </c>
    </row>
    <row r="2574" spans="55:60" s="39" customFormat="1">
      <c r="BC2574" s="573">
        <v>25.63</v>
      </c>
      <c r="BD2574" s="571">
        <f t="shared" si="299"/>
        <v>0</v>
      </c>
      <c r="BE2574" s="571">
        <f t="shared" si="303"/>
        <v>0</v>
      </c>
      <c r="BF2574" s="586">
        <f t="shared" si="300"/>
        <v>0</v>
      </c>
      <c r="BG2574" s="586" t="e">
        <f t="shared" si="301"/>
        <v>#DIV/0!</v>
      </c>
      <c r="BH2574" s="571" t="e">
        <f t="shared" si="302"/>
        <v>#DIV/0!</v>
      </c>
    </row>
    <row r="2575" spans="55:60" s="39" customFormat="1">
      <c r="BC2575" s="573">
        <v>25.64</v>
      </c>
      <c r="BD2575" s="571">
        <f t="shared" si="299"/>
        <v>0</v>
      </c>
      <c r="BE2575" s="571">
        <f t="shared" si="303"/>
        <v>0</v>
      </c>
      <c r="BF2575" s="586">
        <f t="shared" si="300"/>
        <v>0</v>
      </c>
      <c r="BG2575" s="586" t="e">
        <f t="shared" si="301"/>
        <v>#DIV/0!</v>
      </c>
      <c r="BH2575" s="571" t="e">
        <f t="shared" si="302"/>
        <v>#DIV/0!</v>
      </c>
    </row>
    <row r="2576" spans="55:60" s="39" customFormat="1">
      <c r="BC2576" s="573">
        <v>25.65</v>
      </c>
      <c r="BD2576" s="571">
        <f t="shared" si="299"/>
        <v>0</v>
      </c>
      <c r="BE2576" s="571">
        <f t="shared" si="303"/>
        <v>0</v>
      </c>
      <c r="BF2576" s="586">
        <f t="shared" si="300"/>
        <v>0</v>
      </c>
      <c r="BG2576" s="586" t="e">
        <f t="shared" si="301"/>
        <v>#DIV/0!</v>
      </c>
      <c r="BH2576" s="571" t="e">
        <f t="shared" si="302"/>
        <v>#DIV/0!</v>
      </c>
    </row>
    <row r="2577" spans="55:60" s="39" customFormat="1">
      <c r="BC2577" s="573">
        <v>25.66</v>
      </c>
      <c r="BD2577" s="571">
        <f t="shared" si="299"/>
        <v>0</v>
      </c>
      <c r="BE2577" s="571">
        <f t="shared" si="303"/>
        <v>0</v>
      </c>
      <c r="BF2577" s="586">
        <f t="shared" si="300"/>
        <v>0</v>
      </c>
      <c r="BG2577" s="586" t="e">
        <f t="shared" si="301"/>
        <v>#DIV/0!</v>
      </c>
      <c r="BH2577" s="571" t="e">
        <f t="shared" si="302"/>
        <v>#DIV/0!</v>
      </c>
    </row>
    <row r="2578" spans="55:60" s="39" customFormat="1">
      <c r="BC2578" s="573">
        <v>25.67</v>
      </c>
      <c r="BD2578" s="571">
        <f t="shared" si="299"/>
        <v>0</v>
      </c>
      <c r="BE2578" s="571">
        <f t="shared" si="303"/>
        <v>0</v>
      </c>
      <c r="BF2578" s="586">
        <f t="shared" si="300"/>
        <v>0</v>
      </c>
      <c r="BG2578" s="586" t="e">
        <f t="shared" si="301"/>
        <v>#DIV/0!</v>
      </c>
      <c r="BH2578" s="571" t="e">
        <f t="shared" si="302"/>
        <v>#DIV/0!</v>
      </c>
    </row>
    <row r="2579" spans="55:60" s="39" customFormat="1">
      <c r="BC2579" s="573">
        <v>25.68</v>
      </c>
      <c r="BD2579" s="571">
        <f t="shared" si="299"/>
        <v>0</v>
      </c>
      <c r="BE2579" s="571">
        <f t="shared" si="303"/>
        <v>0</v>
      </c>
      <c r="BF2579" s="586">
        <f t="shared" si="300"/>
        <v>0</v>
      </c>
      <c r="BG2579" s="586" t="e">
        <f t="shared" si="301"/>
        <v>#DIV/0!</v>
      </c>
      <c r="BH2579" s="571" t="e">
        <f t="shared" si="302"/>
        <v>#DIV/0!</v>
      </c>
    </row>
    <row r="2580" spans="55:60" s="39" customFormat="1">
      <c r="BC2580" s="573">
        <v>25.69</v>
      </c>
      <c r="BD2580" s="571">
        <f t="shared" si="299"/>
        <v>0</v>
      </c>
      <c r="BE2580" s="571">
        <f t="shared" si="303"/>
        <v>0</v>
      </c>
      <c r="BF2580" s="586">
        <f t="shared" si="300"/>
        <v>0</v>
      </c>
      <c r="BG2580" s="586" t="e">
        <f t="shared" si="301"/>
        <v>#DIV/0!</v>
      </c>
      <c r="BH2580" s="571" t="e">
        <f t="shared" si="302"/>
        <v>#DIV/0!</v>
      </c>
    </row>
    <row r="2581" spans="55:60" s="39" customFormat="1">
      <c r="BC2581" s="573">
        <v>25.7</v>
      </c>
      <c r="BD2581" s="571">
        <f t="shared" si="299"/>
        <v>0</v>
      </c>
      <c r="BE2581" s="571">
        <f t="shared" si="303"/>
        <v>0</v>
      </c>
      <c r="BF2581" s="586">
        <f t="shared" si="300"/>
        <v>0</v>
      </c>
      <c r="BG2581" s="586" t="e">
        <f t="shared" si="301"/>
        <v>#DIV/0!</v>
      </c>
      <c r="BH2581" s="571" t="e">
        <f t="shared" si="302"/>
        <v>#DIV/0!</v>
      </c>
    </row>
    <row r="2582" spans="55:60" s="39" customFormat="1">
      <c r="BC2582" s="573">
        <v>25.71</v>
      </c>
      <c r="BD2582" s="571">
        <f t="shared" si="299"/>
        <v>0</v>
      </c>
      <c r="BE2582" s="571">
        <f t="shared" si="303"/>
        <v>0</v>
      </c>
      <c r="BF2582" s="586">
        <f t="shared" si="300"/>
        <v>0</v>
      </c>
      <c r="BG2582" s="586" t="e">
        <f t="shared" si="301"/>
        <v>#DIV/0!</v>
      </c>
      <c r="BH2582" s="571" t="e">
        <f t="shared" si="302"/>
        <v>#DIV/0!</v>
      </c>
    </row>
    <row r="2583" spans="55:60" s="39" customFormat="1">
      <c r="BC2583" s="573">
        <v>25.72</v>
      </c>
      <c r="BD2583" s="571">
        <f t="shared" si="299"/>
        <v>0</v>
      </c>
      <c r="BE2583" s="571">
        <f t="shared" si="303"/>
        <v>0</v>
      </c>
      <c r="BF2583" s="586">
        <f t="shared" si="300"/>
        <v>0</v>
      </c>
      <c r="BG2583" s="586" t="e">
        <f t="shared" si="301"/>
        <v>#DIV/0!</v>
      </c>
      <c r="BH2583" s="571" t="e">
        <f t="shared" si="302"/>
        <v>#DIV/0!</v>
      </c>
    </row>
    <row r="2584" spans="55:60" s="39" customFormat="1">
      <c r="BC2584" s="573">
        <v>25.73</v>
      </c>
      <c r="BD2584" s="571">
        <f t="shared" si="299"/>
        <v>0</v>
      </c>
      <c r="BE2584" s="571">
        <f t="shared" si="303"/>
        <v>0</v>
      </c>
      <c r="BF2584" s="586">
        <f t="shared" si="300"/>
        <v>0</v>
      </c>
      <c r="BG2584" s="586" t="e">
        <f t="shared" si="301"/>
        <v>#DIV/0!</v>
      </c>
      <c r="BH2584" s="571" t="e">
        <f t="shared" si="302"/>
        <v>#DIV/0!</v>
      </c>
    </row>
    <row r="2585" spans="55:60" s="39" customFormat="1">
      <c r="BC2585" s="573">
        <v>25.74</v>
      </c>
      <c r="BD2585" s="571">
        <f t="shared" si="299"/>
        <v>0</v>
      </c>
      <c r="BE2585" s="571">
        <f t="shared" si="303"/>
        <v>0</v>
      </c>
      <c r="BF2585" s="586">
        <f t="shared" si="300"/>
        <v>0</v>
      </c>
      <c r="BG2585" s="586" t="e">
        <f t="shared" si="301"/>
        <v>#DIV/0!</v>
      </c>
      <c r="BH2585" s="571" t="e">
        <f t="shared" si="302"/>
        <v>#DIV/0!</v>
      </c>
    </row>
    <row r="2586" spans="55:60" s="39" customFormat="1">
      <c r="BC2586" s="573">
        <v>25.75</v>
      </c>
      <c r="BD2586" s="571">
        <f t="shared" si="299"/>
        <v>0</v>
      </c>
      <c r="BE2586" s="571">
        <f t="shared" si="303"/>
        <v>0</v>
      </c>
      <c r="BF2586" s="586">
        <f t="shared" si="300"/>
        <v>0</v>
      </c>
      <c r="BG2586" s="586" t="e">
        <f t="shared" si="301"/>
        <v>#DIV/0!</v>
      </c>
      <c r="BH2586" s="571" t="e">
        <f t="shared" si="302"/>
        <v>#DIV/0!</v>
      </c>
    </row>
    <row r="2587" spans="55:60" s="39" customFormat="1">
      <c r="BC2587" s="573">
        <v>25.76</v>
      </c>
      <c r="BD2587" s="571">
        <f t="shared" si="299"/>
        <v>0</v>
      </c>
      <c r="BE2587" s="571">
        <f t="shared" si="303"/>
        <v>0</v>
      </c>
      <c r="BF2587" s="586">
        <f t="shared" si="300"/>
        <v>0</v>
      </c>
      <c r="BG2587" s="586" t="e">
        <f t="shared" si="301"/>
        <v>#DIV/0!</v>
      </c>
      <c r="BH2587" s="571" t="e">
        <f t="shared" si="302"/>
        <v>#DIV/0!</v>
      </c>
    </row>
    <row r="2588" spans="55:60" s="39" customFormat="1">
      <c r="BC2588" s="573">
        <v>25.77</v>
      </c>
      <c r="BD2588" s="571">
        <f t="shared" si="299"/>
        <v>0</v>
      </c>
      <c r="BE2588" s="571">
        <f t="shared" si="303"/>
        <v>0</v>
      </c>
      <c r="BF2588" s="586">
        <f t="shared" si="300"/>
        <v>0</v>
      </c>
      <c r="BG2588" s="586" t="e">
        <f t="shared" si="301"/>
        <v>#DIV/0!</v>
      </c>
      <c r="BH2588" s="571" t="e">
        <f t="shared" si="302"/>
        <v>#DIV/0!</v>
      </c>
    </row>
    <row r="2589" spans="55:60" s="39" customFormat="1">
      <c r="BC2589" s="573">
        <v>25.78</v>
      </c>
      <c r="BD2589" s="571">
        <f t="shared" si="299"/>
        <v>0</v>
      </c>
      <c r="BE2589" s="571">
        <f t="shared" si="303"/>
        <v>0</v>
      </c>
      <c r="BF2589" s="586">
        <f t="shared" si="300"/>
        <v>0</v>
      </c>
      <c r="BG2589" s="586" t="e">
        <f t="shared" si="301"/>
        <v>#DIV/0!</v>
      </c>
      <c r="BH2589" s="571" t="e">
        <f t="shared" si="302"/>
        <v>#DIV/0!</v>
      </c>
    </row>
    <row r="2590" spans="55:60" s="39" customFormat="1">
      <c r="BC2590" s="573">
        <v>25.79</v>
      </c>
      <c r="BD2590" s="571">
        <f t="shared" si="299"/>
        <v>0</v>
      </c>
      <c r="BE2590" s="571">
        <f t="shared" si="303"/>
        <v>0</v>
      </c>
      <c r="BF2590" s="586">
        <f t="shared" si="300"/>
        <v>0</v>
      </c>
      <c r="BG2590" s="586" t="e">
        <f t="shared" si="301"/>
        <v>#DIV/0!</v>
      </c>
      <c r="BH2590" s="571" t="e">
        <f t="shared" si="302"/>
        <v>#DIV/0!</v>
      </c>
    </row>
    <row r="2591" spans="55:60" s="39" customFormat="1">
      <c r="BC2591" s="573">
        <v>25.8</v>
      </c>
      <c r="BD2591" s="571">
        <f t="shared" si="299"/>
        <v>0</v>
      </c>
      <c r="BE2591" s="571">
        <f t="shared" si="303"/>
        <v>0</v>
      </c>
      <c r="BF2591" s="586">
        <f t="shared" si="300"/>
        <v>0</v>
      </c>
      <c r="BG2591" s="586" t="e">
        <f t="shared" si="301"/>
        <v>#DIV/0!</v>
      </c>
      <c r="BH2591" s="571" t="e">
        <f t="shared" si="302"/>
        <v>#DIV/0!</v>
      </c>
    </row>
    <row r="2592" spans="55:60" s="39" customFormat="1">
      <c r="BC2592" s="573">
        <v>25.81</v>
      </c>
      <c r="BD2592" s="571">
        <f t="shared" si="299"/>
        <v>0</v>
      </c>
      <c r="BE2592" s="571">
        <f t="shared" si="303"/>
        <v>0</v>
      </c>
      <c r="BF2592" s="586">
        <f t="shared" si="300"/>
        <v>0</v>
      </c>
      <c r="BG2592" s="586" t="e">
        <f t="shared" si="301"/>
        <v>#DIV/0!</v>
      </c>
      <c r="BH2592" s="571" t="e">
        <f t="shared" si="302"/>
        <v>#DIV/0!</v>
      </c>
    </row>
    <row r="2593" spans="55:60" s="39" customFormat="1">
      <c r="BC2593" s="573">
        <v>25.82</v>
      </c>
      <c r="BD2593" s="571">
        <f t="shared" si="299"/>
        <v>0</v>
      </c>
      <c r="BE2593" s="571">
        <f t="shared" si="303"/>
        <v>0</v>
      </c>
      <c r="BF2593" s="586">
        <f t="shared" si="300"/>
        <v>0</v>
      </c>
      <c r="BG2593" s="586" t="e">
        <f t="shared" si="301"/>
        <v>#DIV/0!</v>
      </c>
      <c r="BH2593" s="571" t="e">
        <f t="shared" si="302"/>
        <v>#DIV/0!</v>
      </c>
    </row>
    <row r="2594" spans="55:60" s="39" customFormat="1">
      <c r="BC2594" s="573">
        <v>25.83</v>
      </c>
      <c r="BD2594" s="571">
        <f t="shared" si="299"/>
        <v>0</v>
      </c>
      <c r="BE2594" s="571">
        <f t="shared" si="303"/>
        <v>0</v>
      </c>
      <c r="BF2594" s="586">
        <f t="shared" si="300"/>
        <v>0</v>
      </c>
      <c r="BG2594" s="586" t="e">
        <f t="shared" si="301"/>
        <v>#DIV/0!</v>
      </c>
      <c r="BH2594" s="571" t="e">
        <f t="shared" si="302"/>
        <v>#DIV/0!</v>
      </c>
    </row>
    <row r="2595" spans="55:60" s="39" customFormat="1">
      <c r="BC2595" s="573">
        <v>25.84</v>
      </c>
      <c r="BD2595" s="571">
        <f t="shared" si="299"/>
        <v>0</v>
      </c>
      <c r="BE2595" s="571">
        <f t="shared" si="303"/>
        <v>0</v>
      </c>
      <c r="BF2595" s="586">
        <f t="shared" si="300"/>
        <v>0</v>
      </c>
      <c r="BG2595" s="586" t="e">
        <f t="shared" si="301"/>
        <v>#DIV/0!</v>
      </c>
      <c r="BH2595" s="571" t="e">
        <f t="shared" si="302"/>
        <v>#DIV/0!</v>
      </c>
    </row>
    <row r="2596" spans="55:60" s="39" customFormat="1">
      <c r="BC2596" s="573">
        <v>25.85</v>
      </c>
      <c r="BD2596" s="571">
        <f t="shared" si="299"/>
        <v>0</v>
      </c>
      <c r="BE2596" s="571">
        <f t="shared" si="303"/>
        <v>0</v>
      </c>
      <c r="BF2596" s="586">
        <f t="shared" si="300"/>
        <v>0</v>
      </c>
      <c r="BG2596" s="586" t="e">
        <f t="shared" si="301"/>
        <v>#DIV/0!</v>
      </c>
      <c r="BH2596" s="571" t="e">
        <f t="shared" si="302"/>
        <v>#DIV/0!</v>
      </c>
    </row>
    <row r="2597" spans="55:60" s="39" customFormat="1">
      <c r="BC2597" s="573">
        <v>25.86</v>
      </c>
      <c r="BD2597" s="571">
        <f t="shared" si="299"/>
        <v>0</v>
      </c>
      <c r="BE2597" s="571">
        <f t="shared" si="303"/>
        <v>0</v>
      </c>
      <c r="BF2597" s="586">
        <f t="shared" si="300"/>
        <v>0</v>
      </c>
      <c r="BG2597" s="586" t="e">
        <f t="shared" si="301"/>
        <v>#DIV/0!</v>
      </c>
      <c r="BH2597" s="571" t="e">
        <f t="shared" si="302"/>
        <v>#DIV/0!</v>
      </c>
    </row>
    <row r="2598" spans="55:60" s="39" customFormat="1">
      <c r="BC2598" s="573">
        <v>25.87</v>
      </c>
      <c r="BD2598" s="571">
        <f t="shared" si="299"/>
        <v>0</v>
      </c>
      <c r="BE2598" s="571">
        <f t="shared" si="303"/>
        <v>0</v>
      </c>
      <c r="BF2598" s="586">
        <f t="shared" si="300"/>
        <v>0</v>
      </c>
      <c r="BG2598" s="586" t="e">
        <f t="shared" si="301"/>
        <v>#DIV/0!</v>
      </c>
      <c r="BH2598" s="571" t="e">
        <f t="shared" si="302"/>
        <v>#DIV/0!</v>
      </c>
    </row>
    <row r="2599" spans="55:60" s="39" customFormat="1">
      <c r="BC2599" s="573">
        <v>25.88</v>
      </c>
      <c r="BD2599" s="571">
        <f t="shared" si="299"/>
        <v>0</v>
      </c>
      <c r="BE2599" s="571">
        <f t="shared" si="303"/>
        <v>0</v>
      </c>
      <c r="BF2599" s="586">
        <f t="shared" si="300"/>
        <v>0</v>
      </c>
      <c r="BG2599" s="586" t="e">
        <f t="shared" si="301"/>
        <v>#DIV/0!</v>
      </c>
      <c r="BH2599" s="571" t="e">
        <f t="shared" si="302"/>
        <v>#DIV/0!</v>
      </c>
    </row>
    <row r="2600" spans="55:60" s="39" customFormat="1">
      <c r="BC2600" s="573">
        <v>25.89</v>
      </c>
      <c r="BD2600" s="571">
        <f t="shared" si="299"/>
        <v>0</v>
      </c>
      <c r="BE2600" s="571">
        <f t="shared" si="303"/>
        <v>0</v>
      </c>
      <c r="BF2600" s="586">
        <f t="shared" si="300"/>
        <v>0</v>
      </c>
      <c r="BG2600" s="586" t="e">
        <f t="shared" si="301"/>
        <v>#DIV/0!</v>
      </c>
      <c r="BH2600" s="571" t="e">
        <f t="shared" si="302"/>
        <v>#DIV/0!</v>
      </c>
    </row>
    <row r="2601" spans="55:60" s="39" customFormat="1">
      <c r="BC2601" s="573">
        <v>25.9</v>
      </c>
      <c r="BD2601" s="571">
        <f t="shared" si="299"/>
        <v>0</v>
      </c>
      <c r="BE2601" s="571">
        <f t="shared" si="303"/>
        <v>0</v>
      </c>
      <c r="BF2601" s="586">
        <f t="shared" si="300"/>
        <v>0</v>
      </c>
      <c r="BG2601" s="586" t="e">
        <f t="shared" si="301"/>
        <v>#DIV/0!</v>
      </c>
      <c r="BH2601" s="571" t="e">
        <f t="shared" si="302"/>
        <v>#DIV/0!</v>
      </c>
    </row>
    <row r="2602" spans="55:60" s="39" customFormat="1">
      <c r="BC2602" s="573">
        <v>25.91</v>
      </c>
      <c r="BD2602" s="571">
        <f t="shared" si="299"/>
        <v>0</v>
      </c>
      <c r="BE2602" s="571">
        <f t="shared" si="303"/>
        <v>0</v>
      </c>
      <c r="BF2602" s="586">
        <f t="shared" si="300"/>
        <v>0</v>
      </c>
      <c r="BG2602" s="586" t="e">
        <f t="shared" si="301"/>
        <v>#DIV/0!</v>
      </c>
      <c r="BH2602" s="571" t="e">
        <f t="shared" si="302"/>
        <v>#DIV/0!</v>
      </c>
    </row>
    <row r="2603" spans="55:60" s="39" customFormat="1">
      <c r="BC2603" s="573">
        <v>25.92</v>
      </c>
      <c r="BD2603" s="571">
        <f t="shared" si="299"/>
        <v>0</v>
      </c>
      <c r="BE2603" s="571">
        <f t="shared" si="303"/>
        <v>0</v>
      </c>
      <c r="BF2603" s="586">
        <f t="shared" si="300"/>
        <v>0</v>
      </c>
      <c r="BG2603" s="586" t="e">
        <f t="shared" si="301"/>
        <v>#DIV/0!</v>
      </c>
      <c r="BH2603" s="571" t="e">
        <f t="shared" si="302"/>
        <v>#DIV/0!</v>
      </c>
    </row>
    <row r="2604" spans="55:60" s="39" customFormat="1">
      <c r="BC2604" s="573">
        <v>25.93</v>
      </c>
      <c r="BD2604" s="571">
        <f t="shared" si="299"/>
        <v>0</v>
      </c>
      <c r="BE2604" s="571">
        <f t="shared" si="303"/>
        <v>0</v>
      </c>
      <c r="BF2604" s="586">
        <f t="shared" si="300"/>
        <v>0</v>
      </c>
      <c r="BG2604" s="586" t="e">
        <f t="shared" si="301"/>
        <v>#DIV/0!</v>
      </c>
      <c r="BH2604" s="571" t="e">
        <f t="shared" si="302"/>
        <v>#DIV/0!</v>
      </c>
    </row>
    <row r="2605" spans="55:60" s="39" customFormat="1">
      <c r="BC2605" s="573">
        <v>25.94</v>
      </c>
      <c r="BD2605" s="571">
        <f t="shared" si="299"/>
        <v>0</v>
      </c>
      <c r="BE2605" s="571">
        <f t="shared" si="303"/>
        <v>0</v>
      </c>
      <c r="BF2605" s="586">
        <f t="shared" si="300"/>
        <v>0</v>
      </c>
      <c r="BG2605" s="586" t="e">
        <f t="shared" si="301"/>
        <v>#DIV/0!</v>
      </c>
      <c r="BH2605" s="571" t="e">
        <f t="shared" si="302"/>
        <v>#DIV/0!</v>
      </c>
    </row>
    <row r="2606" spans="55:60" s="39" customFormat="1">
      <c r="BC2606" s="573">
        <v>25.95</v>
      </c>
      <c r="BD2606" s="571">
        <f t="shared" si="299"/>
        <v>0</v>
      </c>
      <c r="BE2606" s="571">
        <f t="shared" si="303"/>
        <v>0</v>
      </c>
      <c r="BF2606" s="586">
        <f t="shared" si="300"/>
        <v>0</v>
      </c>
      <c r="BG2606" s="586" t="e">
        <f t="shared" si="301"/>
        <v>#DIV/0!</v>
      </c>
      <c r="BH2606" s="571" t="e">
        <f t="shared" si="302"/>
        <v>#DIV/0!</v>
      </c>
    </row>
    <row r="2607" spans="55:60" s="39" customFormat="1">
      <c r="BC2607" s="573">
        <v>25.96</v>
      </c>
      <c r="BD2607" s="571">
        <f t="shared" si="299"/>
        <v>0</v>
      </c>
      <c r="BE2607" s="571">
        <f t="shared" si="303"/>
        <v>0</v>
      </c>
      <c r="BF2607" s="586">
        <f t="shared" si="300"/>
        <v>0</v>
      </c>
      <c r="BG2607" s="586" t="e">
        <f t="shared" si="301"/>
        <v>#DIV/0!</v>
      </c>
      <c r="BH2607" s="571" t="e">
        <f t="shared" si="302"/>
        <v>#DIV/0!</v>
      </c>
    </row>
    <row r="2608" spans="55:60" s="39" customFormat="1">
      <c r="BC2608" s="573">
        <v>25.97</v>
      </c>
      <c r="BD2608" s="571">
        <f t="shared" si="299"/>
        <v>0</v>
      </c>
      <c r="BE2608" s="571">
        <f t="shared" si="303"/>
        <v>0</v>
      </c>
      <c r="BF2608" s="586">
        <f t="shared" si="300"/>
        <v>0</v>
      </c>
      <c r="BG2608" s="586" t="e">
        <f t="shared" si="301"/>
        <v>#DIV/0!</v>
      </c>
      <c r="BH2608" s="571" t="e">
        <f t="shared" si="302"/>
        <v>#DIV/0!</v>
      </c>
    </row>
    <row r="2609" spans="55:60" s="39" customFormat="1">
      <c r="BC2609" s="573">
        <v>25.98</v>
      </c>
      <c r="BD2609" s="571">
        <f t="shared" si="299"/>
        <v>0</v>
      </c>
      <c r="BE2609" s="571">
        <f t="shared" si="303"/>
        <v>0</v>
      </c>
      <c r="BF2609" s="586">
        <f t="shared" si="300"/>
        <v>0</v>
      </c>
      <c r="BG2609" s="586" t="e">
        <f t="shared" si="301"/>
        <v>#DIV/0!</v>
      </c>
      <c r="BH2609" s="571" t="e">
        <f t="shared" si="302"/>
        <v>#DIV/0!</v>
      </c>
    </row>
    <row r="2610" spans="55:60" s="39" customFormat="1">
      <c r="BC2610" s="573">
        <v>25.99</v>
      </c>
      <c r="BD2610" s="571">
        <f t="shared" si="299"/>
        <v>0</v>
      </c>
      <c r="BE2610" s="571">
        <f t="shared" si="303"/>
        <v>0</v>
      </c>
      <c r="BF2610" s="586">
        <f t="shared" si="300"/>
        <v>0</v>
      </c>
      <c r="BG2610" s="586" t="e">
        <f t="shared" si="301"/>
        <v>#DIV/0!</v>
      </c>
      <c r="BH2610" s="571" t="e">
        <f t="shared" si="302"/>
        <v>#DIV/0!</v>
      </c>
    </row>
    <row r="2611" spans="55:60" s="39" customFormat="1">
      <c r="BC2611" s="573">
        <v>26</v>
      </c>
      <c r="BD2611" s="571">
        <f t="shared" si="299"/>
        <v>0</v>
      </c>
      <c r="BE2611" s="571">
        <f t="shared" si="303"/>
        <v>0</v>
      </c>
      <c r="BF2611" s="586">
        <f t="shared" si="300"/>
        <v>0</v>
      </c>
      <c r="BG2611" s="586" t="e">
        <f t="shared" si="301"/>
        <v>#DIV/0!</v>
      </c>
      <c r="BH2611" s="571" t="e">
        <f t="shared" si="302"/>
        <v>#DIV/0!</v>
      </c>
    </row>
    <row r="2612" spans="55:60" s="39" customFormat="1">
      <c r="BC2612" s="573">
        <v>26.01</v>
      </c>
      <c r="BD2612" s="571">
        <f t="shared" si="299"/>
        <v>0</v>
      </c>
      <c r="BE2612" s="571">
        <f t="shared" si="303"/>
        <v>0</v>
      </c>
      <c r="BF2612" s="586">
        <f t="shared" si="300"/>
        <v>0</v>
      </c>
      <c r="BG2612" s="586" t="e">
        <f t="shared" si="301"/>
        <v>#DIV/0!</v>
      </c>
      <c r="BH2612" s="571" t="e">
        <f t="shared" si="302"/>
        <v>#DIV/0!</v>
      </c>
    </row>
    <row r="2613" spans="55:60" s="39" customFormat="1">
      <c r="BC2613" s="573">
        <v>26.02</v>
      </c>
      <c r="BD2613" s="571">
        <f t="shared" si="299"/>
        <v>0</v>
      </c>
      <c r="BE2613" s="571">
        <f t="shared" si="303"/>
        <v>0</v>
      </c>
      <c r="BF2613" s="586">
        <f t="shared" si="300"/>
        <v>0</v>
      </c>
      <c r="BG2613" s="586" t="e">
        <f t="shared" si="301"/>
        <v>#DIV/0!</v>
      </c>
      <c r="BH2613" s="571" t="e">
        <f t="shared" si="302"/>
        <v>#DIV/0!</v>
      </c>
    </row>
    <row r="2614" spans="55:60" s="39" customFormat="1">
      <c r="BC2614" s="573">
        <v>26.03</v>
      </c>
      <c r="BD2614" s="571">
        <f t="shared" si="299"/>
        <v>0</v>
      </c>
      <c r="BE2614" s="571">
        <f t="shared" si="303"/>
        <v>0</v>
      </c>
      <c r="BF2614" s="586">
        <f t="shared" si="300"/>
        <v>0</v>
      </c>
      <c r="BG2614" s="586" t="e">
        <f t="shared" si="301"/>
        <v>#DIV/0!</v>
      </c>
      <c r="BH2614" s="571" t="e">
        <f t="shared" si="302"/>
        <v>#DIV/0!</v>
      </c>
    </row>
    <row r="2615" spans="55:60" s="39" customFormat="1">
      <c r="BC2615" s="573">
        <v>26.04</v>
      </c>
      <c r="BD2615" s="571">
        <f t="shared" si="299"/>
        <v>0</v>
      </c>
      <c r="BE2615" s="571">
        <f t="shared" si="303"/>
        <v>0</v>
      </c>
      <c r="BF2615" s="586">
        <f t="shared" si="300"/>
        <v>0</v>
      </c>
      <c r="BG2615" s="586" t="e">
        <f t="shared" si="301"/>
        <v>#DIV/0!</v>
      </c>
      <c r="BH2615" s="571" t="e">
        <f t="shared" si="302"/>
        <v>#DIV/0!</v>
      </c>
    </row>
    <row r="2616" spans="55:60" s="39" customFormat="1">
      <c r="BC2616" s="573">
        <v>26.05</v>
      </c>
      <c r="BD2616" s="571">
        <f t="shared" si="299"/>
        <v>0</v>
      </c>
      <c r="BE2616" s="571">
        <f t="shared" si="303"/>
        <v>0</v>
      </c>
      <c r="BF2616" s="586">
        <f t="shared" si="300"/>
        <v>0</v>
      </c>
      <c r="BG2616" s="586" t="e">
        <f t="shared" si="301"/>
        <v>#DIV/0!</v>
      </c>
      <c r="BH2616" s="571" t="e">
        <f t="shared" si="302"/>
        <v>#DIV/0!</v>
      </c>
    </row>
    <row r="2617" spans="55:60" s="39" customFormat="1">
      <c r="BC2617" s="573">
        <v>26.06</v>
      </c>
      <c r="BD2617" s="571">
        <f t="shared" si="299"/>
        <v>0</v>
      </c>
      <c r="BE2617" s="571">
        <f t="shared" si="303"/>
        <v>0</v>
      </c>
      <c r="BF2617" s="586">
        <f t="shared" si="300"/>
        <v>0</v>
      </c>
      <c r="BG2617" s="586" t="e">
        <f t="shared" si="301"/>
        <v>#DIV/0!</v>
      </c>
      <c r="BH2617" s="571" t="e">
        <f t="shared" si="302"/>
        <v>#DIV/0!</v>
      </c>
    </row>
    <row r="2618" spans="55:60" s="39" customFormat="1">
      <c r="BC2618" s="573">
        <v>26.07</v>
      </c>
      <c r="BD2618" s="571">
        <f t="shared" si="299"/>
        <v>0</v>
      </c>
      <c r="BE2618" s="571">
        <f t="shared" si="303"/>
        <v>0</v>
      </c>
      <c r="BF2618" s="586">
        <f t="shared" si="300"/>
        <v>0</v>
      </c>
      <c r="BG2618" s="586" t="e">
        <f t="shared" si="301"/>
        <v>#DIV/0!</v>
      </c>
      <c r="BH2618" s="571" t="e">
        <f t="shared" si="302"/>
        <v>#DIV/0!</v>
      </c>
    </row>
    <row r="2619" spans="55:60" s="39" customFormat="1">
      <c r="BC2619" s="573">
        <v>26.08</v>
      </c>
      <c r="BD2619" s="571">
        <f t="shared" si="299"/>
        <v>0</v>
      </c>
      <c r="BE2619" s="571">
        <f t="shared" si="303"/>
        <v>0</v>
      </c>
      <c r="BF2619" s="586">
        <f t="shared" si="300"/>
        <v>0</v>
      </c>
      <c r="BG2619" s="586" t="e">
        <f t="shared" si="301"/>
        <v>#DIV/0!</v>
      </c>
      <c r="BH2619" s="571" t="e">
        <f t="shared" si="302"/>
        <v>#DIV/0!</v>
      </c>
    </row>
    <row r="2620" spans="55:60" s="39" customFormat="1">
      <c r="BC2620" s="573">
        <v>26.09</v>
      </c>
      <c r="BD2620" s="571">
        <f t="shared" si="299"/>
        <v>0</v>
      </c>
      <c r="BE2620" s="571">
        <f t="shared" si="303"/>
        <v>0</v>
      </c>
      <c r="BF2620" s="586">
        <f t="shared" si="300"/>
        <v>0</v>
      </c>
      <c r="BG2620" s="586" t="e">
        <f t="shared" si="301"/>
        <v>#DIV/0!</v>
      </c>
      <c r="BH2620" s="571" t="e">
        <f t="shared" si="302"/>
        <v>#DIV/0!</v>
      </c>
    </row>
    <row r="2621" spans="55:60" s="39" customFormat="1">
      <c r="BC2621" s="573">
        <v>26.1</v>
      </c>
      <c r="BD2621" s="571">
        <f t="shared" si="299"/>
        <v>0</v>
      </c>
      <c r="BE2621" s="571">
        <f t="shared" si="303"/>
        <v>0</v>
      </c>
      <c r="BF2621" s="586">
        <f t="shared" si="300"/>
        <v>0</v>
      </c>
      <c r="BG2621" s="586" t="e">
        <f t="shared" si="301"/>
        <v>#DIV/0!</v>
      </c>
      <c r="BH2621" s="571" t="e">
        <f t="shared" si="302"/>
        <v>#DIV/0!</v>
      </c>
    </row>
    <row r="2622" spans="55:60" s="39" customFormat="1">
      <c r="BC2622" s="573">
        <v>26.11</v>
      </c>
      <c r="BD2622" s="571">
        <f t="shared" si="299"/>
        <v>0</v>
      </c>
      <c r="BE2622" s="571">
        <f t="shared" si="303"/>
        <v>0</v>
      </c>
      <c r="BF2622" s="586">
        <f t="shared" si="300"/>
        <v>0</v>
      </c>
      <c r="BG2622" s="586" t="e">
        <f t="shared" si="301"/>
        <v>#DIV/0!</v>
      </c>
      <c r="BH2622" s="571" t="e">
        <f t="shared" si="302"/>
        <v>#DIV/0!</v>
      </c>
    </row>
    <row r="2623" spans="55:60" s="39" customFormat="1">
      <c r="BC2623" s="573">
        <v>26.12</v>
      </c>
      <c r="BD2623" s="571">
        <f t="shared" si="299"/>
        <v>0</v>
      </c>
      <c r="BE2623" s="571">
        <f t="shared" si="303"/>
        <v>0</v>
      </c>
      <c r="BF2623" s="586">
        <f t="shared" si="300"/>
        <v>0</v>
      </c>
      <c r="BG2623" s="586" t="e">
        <f t="shared" si="301"/>
        <v>#DIV/0!</v>
      </c>
      <c r="BH2623" s="571" t="e">
        <f t="shared" si="302"/>
        <v>#DIV/0!</v>
      </c>
    </row>
    <row r="2624" spans="55:60" s="39" customFormat="1">
      <c r="BC2624" s="573">
        <v>26.13</v>
      </c>
      <c r="BD2624" s="571">
        <f t="shared" si="299"/>
        <v>0</v>
      </c>
      <c r="BE2624" s="571">
        <f t="shared" si="303"/>
        <v>0</v>
      </c>
      <c r="BF2624" s="586">
        <f t="shared" si="300"/>
        <v>0</v>
      </c>
      <c r="BG2624" s="586" t="e">
        <f t="shared" si="301"/>
        <v>#DIV/0!</v>
      </c>
      <c r="BH2624" s="571" t="e">
        <f t="shared" si="302"/>
        <v>#DIV/0!</v>
      </c>
    </row>
    <row r="2625" spans="55:60" s="39" customFormat="1">
      <c r="BC2625" s="573">
        <v>26.14</v>
      </c>
      <c r="BD2625" s="571">
        <f t="shared" si="299"/>
        <v>0</v>
      </c>
      <c r="BE2625" s="571">
        <f t="shared" si="303"/>
        <v>0</v>
      </c>
      <c r="BF2625" s="586">
        <f t="shared" si="300"/>
        <v>0</v>
      </c>
      <c r="BG2625" s="586" t="e">
        <f t="shared" si="301"/>
        <v>#DIV/0!</v>
      </c>
      <c r="BH2625" s="571" t="e">
        <f t="shared" si="302"/>
        <v>#DIV/0!</v>
      </c>
    </row>
    <row r="2626" spans="55:60" s="39" customFormat="1">
      <c r="BC2626" s="573">
        <v>26.15</v>
      </c>
      <c r="BD2626" s="571">
        <f t="shared" si="299"/>
        <v>0</v>
      </c>
      <c r="BE2626" s="571">
        <f t="shared" si="303"/>
        <v>0</v>
      </c>
      <c r="BF2626" s="586">
        <f t="shared" si="300"/>
        <v>0</v>
      </c>
      <c r="BG2626" s="586" t="e">
        <f t="shared" si="301"/>
        <v>#DIV/0!</v>
      </c>
      <c r="BH2626" s="571" t="e">
        <f t="shared" si="302"/>
        <v>#DIV/0!</v>
      </c>
    </row>
    <row r="2627" spans="55:60" s="39" customFormat="1">
      <c r="BC2627" s="573">
        <v>26.16</v>
      </c>
      <c r="BD2627" s="571">
        <f t="shared" si="299"/>
        <v>0</v>
      </c>
      <c r="BE2627" s="571">
        <f t="shared" si="303"/>
        <v>0</v>
      </c>
      <c r="BF2627" s="586">
        <f t="shared" si="300"/>
        <v>0</v>
      </c>
      <c r="BG2627" s="586" t="e">
        <f t="shared" si="301"/>
        <v>#DIV/0!</v>
      </c>
      <c r="BH2627" s="571" t="e">
        <f t="shared" si="302"/>
        <v>#DIV/0!</v>
      </c>
    </row>
    <row r="2628" spans="55:60" s="39" customFormat="1">
      <c r="BC2628" s="573">
        <v>26.17</v>
      </c>
      <c r="BD2628" s="571">
        <f t="shared" si="299"/>
        <v>0</v>
      </c>
      <c r="BE2628" s="571">
        <f t="shared" si="303"/>
        <v>0</v>
      </c>
      <c r="BF2628" s="586">
        <f t="shared" si="300"/>
        <v>0</v>
      </c>
      <c r="BG2628" s="586" t="e">
        <f t="shared" si="301"/>
        <v>#DIV/0!</v>
      </c>
      <c r="BH2628" s="571" t="e">
        <f t="shared" si="302"/>
        <v>#DIV/0!</v>
      </c>
    </row>
    <row r="2629" spans="55:60" s="39" customFormat="1">
      <c r="BC2629" s="573">
        <v>26.18</v>
      </c>
      <c r="BD2629" s="571">
        <f t="shared" si="299"/>
        <v>0</v>
      </c>
      <c r="BE2629" s="571">
        <f t="shared" si="303"/>
        <v>0</v>
      </c>
      <c r="BF2629" s="586">
        <f t="shared" si="300"/>
        <v>0</v>
      </c>
      <c r="BG2629" s="586" t="e">
        <f t="shared" si="301"/>
        <v>#DIV/0!</v>
      </c>
      <c r="BH2629" s="571" t="e">
        <f t="shared" si="302"/>
        <v>#DIV/0!</v>
      </c>
    </row>
    <row r="2630" spans="55:60" s="39" customFormat="1">
      <c r="BC2630" s="573">
        <v>26.19</v>
      </c>
      <c r="BD2630" s="571">
        <f t="shared" si="299"/>
        <v>0</v>
      </c>
      <c r="BE2630" s="571">
        <f t="shared" si="303"/>
        <v>0</v>
      </c>
      <c r="BF2630" s="586">
        <f t="shared" si="300"/>
        <v>0</v>
      </c>
      <c r="BG2630" s="586" t="e">
        <f t="shared" si="301"/>
        <v>#DIV/0!</v>
      </c>
      <c r="BH2630" s="571" t="e">
        <f t="shared" si="302"/>
        <v>#DIV/0!</v>
      </c>
    </row>
    <row r="2631" spans="55:60" s="39" customFormat="1">
      <c r="BC2631" s="573">
        <v>26.2</v>
      </c>
      <c r="BD2631" s="571">
        <f t="shared" si="299"/>
        <v>0</v>
      </c>
      <c r="BE2631" s="571">
        <f t="shared" si="303"/>
        <v>0</v>
      </c>
      <c r="BF2631" s="586">
        <f t="shared" si="300"/>
        <v>0</v>
      </c>
      <c r="BG2631" s="586" t="e">
        <f t="shared" si="301"/>
        <v>#DIV/0!</v>
      </c>
      <c r="BH2631" s="571" t="e">
        <f t="shared" si="302"/>
        <v>#DIV/0!</v>
      </c>
    </row>
    <row r="2632" spans="55:60" s="39" customFormat="1">
      <c r="BC2632" s="573">
        <v>26.21</v>
      </c>
      <c r="BD2632" s="571">
        <f t="shared" si="299"/>
        <v>0</v>
      </c>
      <c r="BE2632" s="571">
        <f t="shared" si="303"/>
        <v>0</v>
      </c>
      <c r="BF2632" s="586">
        <f t="shared" si="300"/>
        <v>0</v>
      </c>
      <c r="BG2632" s="586" t="e">
        <f t="shared" si="301"/>
        <v>#DIV/0!</v>
      </c>
      <c r="BH2632" s="571" t="e">
        <f t="shared" si="302"/>
        <v>#DIV/0!</v>
      </c>
    </row>
    <row r="2633" spans="55:60" s="39" customFormat="1">
      <c r="BC2633" s="573">
        <v>26.22</v>
      </c>
      <c r="BD2633" s="571">
        <f t="shared" si="299"/>
        <v>0</v>
      </c>
      <c r="BE2633" s="571">
        <f t="shared" si="303"/>
        <v>0</v>
      </c>
      <c r="BF2633" s="586">
        <f t="shared" si="300"/>
        <v>0</v>
      </c>
      <c r="BG2633" s="586" t="e">
        <f t="shared" si="301"/>
        <v>#DIV/0!</v>
      </c>
      <c r="BH2633" s="571" t="e">
        <f t="shared" si="302"/>
        <v>#DIV/0!</v>
      </c>
    </row>
    <row r="2634" spans="55:60" s="39" customFormat="1">
      <c r="BC2634" s="573">
        <v>26.23</v>
      </c>
      <c r="BD2634" s="571">
        <f t="shared" si="299"/>
        <v>0</v>
      </c>
      <c r="BE2634" s="571">
        <f t="shared" si="303"/>
        <v>0</v>
      </c>
      <c r="BF2634" s="586">
        <f t="shared" si="300"/>
        <v>0</v>
      </c>
      <c r="BG2634" s="586" t="e">
        <f t="shared" si="301"/>
        <v>#DIV/0!</v>
      </c>
      <c r="BH2634" s="571" t="e">
        <f t="shared" si="302"/>
        <v>#DIV/0!</v>
      </c>
    </row>
    <row r="2635" spans="55:60" s="39" customFormat="1">
      <c r="BC2635" s="573">
        <v>26.24</v>
      </c>
      <c r="BD2635" s="571">
        <f t="shared" si="299"/>
        <v>0</v>
      </c>
      <c r="BE2635" s="571">
        <f t="shared" si="303"/>
        <v>0</v>
      </c>
      <c r="BF2635" s="586">
        <f t="shared" si="300"/>
        <v>0</v>
      </c>
      <c r="BG2635" s="586" t="e">
        <f t="shared" si="301"/>
        <v>#DIV/0!</v>
      </c>
      <c r="BH2635" s="571" t="e">
        <f t="shared" si="302"/>
        <v>#DIV/0!</v>
      </c>
    </row>
    <row r="2636" spans="55:60" s="39" customFormat="1">
      <c r="BC2636" s="573">
        <v>26.25</v>
      </c>
      <c r="BD2636" s="571">
        <f t="shared" ref="BD2636:BD2699" si="304">$AU$15/BC2636</f>
        <v>0</v>
      </c>
      <c r="BE2636" s="571">
        <f t="shared" si="303"/>
        <v>0</v>
      </c>
      <c r="BF2636" s="586">
        <f t="shared" ref="BF2636:BF2699" si="305">BC2636*(BE2636/1000)/$AO$12</f>
        <v>0</v>
      </c>
      <c r="BG2636" s="586" t="e">
        <f t="shared" ref="BG2636:BG2699" si="306">POWER((1/(-1.8*LOG((6.9/BF2636+POWER((($P$7/BE2636)/3.71),1.11)),10))),2)</f>
        <v>#DIV/0!</v>
      </c>
      <c r="BH2636" s="571" t="e">
        <f t="shared" ref="BH2636:BH2699" si="307">BG2636*0.5*$P$6*16*$AU$15*$AU$15/(POWER(PI(),2)*POWER((BE2636/1000),5))</f>
        <v>#DIV/0!</v>
      </c>
    </row>
    <row r="2637" spans="55:60" s="39" customFormat="1">
      <c r="BC2637" s="573">
        <v>26.26</v>
      </c>
      <c r="BD2637" s="571">
        <f t="shared" si="304"/>
        <v>0</v>
      </c>
      <c r="BE2637" s="571">
        <f t="shared" ref="BE2637:BE2700" si="308">((BD2637/PI())^0.5)*2*1000</f>
        <v>0</v>
      </c>
      <c r="BF2637" s="586">
        <f t="shared" si="305"/>
        <v>0</v>
      </c>
      <c r="BG2637" s="586" t="e">
        <f t="shared" si="306"/>
        <v>#DIV/0!</v>
      </c>
      <c r="BH2637" s="571" t="e">
        <f t="shared" si="307"/>
        <v>#DIV/0!</v>
      </c>
    </row>
    <row r="2638" spans="55:60" s="39" customFormat="1">
      <c r="BC2638" s="573">
        <v>26.27</v>
      </c>
      <c r="BD2638" s="571">
        <f t="shared" si="304"/>
        <v>0</v>
      </c>
      <c r="BE2638" s="571">
        <f t="shared" si="308"/>
        <v>0</v>
      </c>
      <c r="BF2638" s="586">
        <f t="shared" si="305"/>
        <v>0</v>
      </c>
      <c r="BG2638" s="586" t="e">
        <f t="shared" si="306"/>
        <v>#DIV/0!</v>
      </c>
      <c r="BH2638" s="571" t="e">
        <f t="shared" si="307"/>
        <v>#DIV/0!</v>
      </c>
    </row>
    <row r="2639" spans="55:60" s="39" customFormat="1">
      <c r="BC2639" s="573">
        <v>26.28</v>
      </c>
      <c r="BD2639" s="571">
        <f t="shared" si="304"/>
        <v>0</v>
      </c>
      <c r="BE2639" s="571">
        <f t="shared" si="308"/>
        <v>0</v>
      </c>
      <c r="BF2639" s="586">
        <f t="shared" si="305"/>
        <v>0</v>
      </c>
      <c r="BG2639" s="586" t="e">
        <f t="shared" si="306"/>
        <v>#DIV/0!</v>
      </c>
      <c r="BH2639" s="571" t="e">
        <f t="shared" si="307"/>
        <v>#DIV/0!</v>
      </c>
    </row>
    <row r="2640" spans="55:60" s="39" customFormat="1">
      <c r="BC2640" s="573">
        <v>26.29</v>
      </c>
      <c r="BD2640" s="571">
        <f t="shared" si="304"/>
        <v>0</v>
      </c>
      <c r="BE2640" s="571">
        <f t="shared" si="308"/>
        <v>0</v>
      </c>
      <c r="BF2640" s="586">
        <f t="shared" si="305"/>
        <v>0</v>
      </c>
      <c r="BG2640" s="586" t="e">
        <f t="shared" si="306"/>
        <v>#DIV/0!</v>
      </c>
      <c r="BH2640" s="571" t="e">
        <f t="shared" si="307"/>
        <v>#DIV/0!</v>
      </c>
    </row>
    <row r="2641" spans="55:60" s="39" customFormat="1">
      <c r="BC2641" s="573">
        <v>26.3</v>
      </c>
      <c r="BD2641" s="571">
        <f t="shared" si="304"/>
        <v>0</v>
      </c>
      <c r="BE2641" s="571">
        <f t="shared" si="308"/>
        <v>0</v>
      </c>
      <c r="BF2641" s="586">
        <f t="shared" si="305"/>
        <v>0</v>
      </c>
      <c r="BG2641" s="586" t="e">
        <f t="shared" si="306"/>
        <v>#DIV/0!</v>
      </c>
      <c r="BH2641" s="571" t="e">
        <f t="shared" si="307"/>
        <v>#DIV/0!</v>
      </c>
    </row>
    <row r="2642" spans="55:60" s="39" customFormat="1">
      <c r="BC2642" s="573">
        <v>26.31</v>
      </c>
      <c r="BD2642" s="571">
        <f t="shared" si="304"/>
        <v>0</v>
      </c>
      <c r="BE2642" s="571">
        <f t="shared" si="308"/>
        <v>0</v>
      </c>
      <c r="BF2642" s="586">
        <f t="shared" si="305"/>
        <v>0</v>
      </c>
      <c r="BG2642" s="586" t="e">
        <f t="shared" si="306"/>
        <v>#DIV/0!</v>
      </c>
      <c r="BH2642" s="571" t="e">
        <f t="shared" si="307"/>
        <v>#DIV/0!</v>
      </c>
    </row>
    <row r="2643" spans="55:60" s="39" customFormat="1">
      <c r="BC2643" s="573">
        <v>26.32</v>
      </c>
      <c r="BD2643" s="571">
        <f t="shared" si="304"/>
        <v>0</v>
      </c>
      <c r="BE2643" s="571">
        <f t="shared" si="308"/>
        <v>0</v>
      </c>
      <c r="BF2643" s="586">
        <f t="shared" si="305"/>
        <v>0</v>
      </c>
      <c r="BG2643" s="586" t="e">
        <f t="shared" si="306"/>
        <v>#DIV/0!</v>
      </c>
      <c r="BH2643" s="571" t="e">
        <f t="shared" si="307"/>
        <v>#DIV/0!</v>
      </c>
    </row>
    <row r="2644" spans="55:60" s="39" customFormat="1">
      <c r="BC2644" s="573">
        <v>26.33</v>
      </c>
      <c r="BD2644" s="571">
        <f t="shared" si="304"/>
        <v>0</v>
      </c>
      <c r="BE2644" s="571">
        <f t="shared" si="308"/>
        <v>0</v>
      </c>
      <c r="BF2644" s="586">
        <f t="shared" si="305"/>
        <v>0</v>
      </c>
      <c r="BG2644" s="586" t="e">
        <f t="shared" si="306"/>
        <v>#DIV/0!</v>
      </c>
      <c r="BH2644" s="571" t="e">
        <f t="shared" si="307"/>
        <v>#DIV/0!</v>
      </c>
    </row>
    <row r="2645" spans="55:60" s="39" customFormat="1">
      <c r="BC2645" s="573">
        <v>26.34</v>
      </c>
      <c r="BD2645" s="571">
        <f t="shared" si="304"/>
        <v>0</v>
      </c>
      <c r="BE2645" s="571">
        <f t="shared" si="308"/>
        <v>0</v>
      </c>
      <c r="BF2645" s="586">
        <f t="shared" si="305"/>
        <v>0</v>
      </c>
      <c r="BG2645" s="586" t="e">
        <f t="shared" si="306"/>
        <v>#DIV/0!</v>
      </c>
      <c r="BH2645" s="571" t="e">
        <f t="shared" si="307"/>
        <v>#DIV/0!</v>
      </c>
    </row>
    <row r="2646" spans="55:60" s="39" customFormat="1">
      <c r="BC2646" s="573">
        <v>26.35</v>
      </c>
      <c r="BD2646" s="571">
        <f t="shared" si="304"/>
        <v>0</v>
      </c>
      <c r="BE2646" s="571">
        <f t="shared" si="308"/>
        <v>0</v>
      </c>
      <c r="BF2646" s="586">
        <f t="shared" si="305"/>
        <v>0</v>
      </c>
      <c r="BG2646" s="586" t="e">
        <f t="shared" si="306"/>
        <v>#DIV/0!</v>
      </c>
      <c r="BH2646" s="571" t="e">
        <f t="shared" si="307"/>
        <v>#DIV/0!</v>
      </c>
    </row>
    <row r="2647" spans="55:60" s="39" customFormat="1">
      <c r="BC2647" s="573">
        <v>26.36</v>
      </c>
      <c r="BD2647" s="571">
        <f t="shared" si="304"/>
        <v>0</v>
      </c>
      <c r="BE2647" s="571">
        <f t="shared" si="308"/>
        <v>0</v>
      </c>
      <c r="BF2647" s="586">
        <f t="shared" si="305"/>
        <v>0</v>
      </c>
      <c r="BG2647" s="586" t="e">
        <f t="shared" si="306"/>
        <v>#DIV/0!</v>
      </c>
      <c r="BH2647" s="571" t="e">
        <f t="shared" si="307"/>
        <v>#DIV/0!</v>
      </c>
    </row>
    <row r="2648" spans="55:60" s="39" customFormat="1">
      <c r="BC2648" s="573">
        <v>26.37</v>
      </c>
      <c r="BD2648" s="571">
        <f t="shared" si="304"/>
        <v>0</v>
      </c>
      <c r="BE2648" s="571">
        <f t="shared" si="308"/>
        <v>0</v>
      </c>
      <c r="BF2648" s="586">
        <f t="shared" si="305"/>
        <v>0</v>
      </c>
      <c r="BG2648" s="586" t="e">
        <f t="shared" si="306"/>
        <v>#DIV/0!</v>
      </c>
      <c r="BH2648" s="571" t="e">
        <f t="shared" si="307"/>
        <v>#DIV/0!</v>
      </c>
    </row>
    <row r="2649" spans="55:60" s="39" customFormat="1">
      <c r="BC2649" s="573">
        <v>26.38</v>
      </c>
      <c r="BD2649" s="571">
        <f t="shared" si="304"/>
        <v>0</v>
      </c>
      <c r="BE2649" s="571">
        <f t="shared" si="308"/>
        <v>0</v>
      </c>
      <c r="BF2649" s="586">
        <f t="shared" si="305"/>
        <v>0</v>
      </c>
      <c r="BG2649" s="586" t="e">
        <f t="shared" si="306"/>
        <v>#DIV/0!</v>
      </c>
      <c r="BH2649" s="571" t="e">
        <f t="shared" si="307"/>
        <v>#DIV/0!</v>
      </c>
    </row>
    <row r="2650" spans="55:60" s="39" customFormat="1">
      <c r="BC2650" s="573">
        <v>26.39</v>
      </c>
      <c r="BD2650" s="571">
        <f t="shared" si="304"/>
        <v>0</v>
      </c>
      <c r="BE2650" s="571">
        <f t="shared" si="308"/>
        <v>0</v>
      </c>
      <c r="BF2650" s="586">
        <f t="shared" si="305"/>
        <v>0</v>
      </c>
      <c r="BG2650" s="586" t="e">
        <f t="shared" si="306"/>
        <v>#DIV/0!</v>
      </c>
      <c r="BH2650" s="571" t="e">
        <f t="shared" si="307"/>
        <v>#DIV/0!</v>
      </c>
    </row>
    <row r="2651" spans="55:60" s="39" customFormat="1">
      <c r="BC2651" s="573">
        <v>26.4</v>
      </c>
      <c r="BD2651" s="571">
        <f t="shared" si="304"/>
        <v>0</v>
      </c>
      <c r="BE2651" s="571">
        <f t="shared" si="308"/>
        <v>0</v>
      </c>
      <c r="BF2651" s="586">
        <f t="shared" si="305"/>
        <v>0</v>
      </c>
      <c r="BG2651" s="586" t="e">
        <f t="shared" si="306"/>
        <v>#DIV/0!</v>
      </c>
      <c r="BH2651" s="571" t="e">
        <f t="shared" si="307"/>
        <v>#DIV/0!</v>
      </c>
    </row>
    <row r="2652" spans="55:60" s="39" customFormat="1">
      <c r="BC2652" s="573">
        <v>26.41</v>
      </c>
      <c r="BD2652" s="571">
        <f t="shared" si="304"/>
        <v>0</v>
      </c>
      <c r="BE2652" s="571">
        <f t="shared" si="308"/>
        <v>0</v>
      </c>
      <c r="BF2652" s="586">
        <f t="shared" si="305"/>
        <v>0</v>
      </c>
      <c r="BG2652" s="586" t="e">
        <f t="shared" si="306"/>
        <v>#DIV/0!</v>
      </c>
      <c r="BH2652" s="571" t="e">
        <f t="shared" si="307"/>
        <v>#DIV/0!</v>
      </c>
    </row>
    <row r="2653" spans="55:60" s="39" customFormat="1">
      <c r="BC2653" s="573">
        <v>26.42</v>
      </c>
      <c r="BD2653" s="571">
        <f t="shared" si="304"/>
        <v>0</v>
      </c>
      <c r="BE2653" s="571">
        <f t="shared" si="308"/>
        <v>0</v>
      </c>
      <c r="BF2653" s="586">
        <f t="shared" si="305"/>
        <v>0</v>
      </c>
      <c r="BG2653" s="586" t="e">
        <f t="shared" si="306"/>
        <v>#DIV/0!</v>
      </c>
      <c r="BH2653" s="571" t="e">
        <f t="shared" si="307"/>
        <v>#DIV/0!</v>
      </c>
    </row>
    <row r="2654" spans="55:60" s="39" customFormat="1">
      <c r="BC2654" s="573">
        <v>26.43</v>
      </c>
      <c r="BD2654" s="571">
        <f t="shared" si="304"/>
        <v>0</v>
      </c>
      <c r="BE2654" s="571">
        <f t="shared" si="308"/>
        <v>0</v>
      </c>
      <c r="BF2654" s="586">
        <f t="shared" si="305"/>
        <v>0</v>
      </c>
      <c r="BG2654" s="586" t="e">
        <f t="shared" si="306"/>
        <v>#DIV/0!</v>
      </c>
      <c r="BH2654" s="571" t="e">
        <f t="shared" si="307"/>
        <v>#DIV/0!</v>
      </c>
    </row>
    <row r="2655" spans="55:60" s="39" customFormat="1">
      <c r="BC2655" s="573">
        <v>26.44</v>
      </c>
      <c r="BD2655" s="571">
        <f t="shared" si="304"/>
        <v>0</v>
      </c>
      <c r="BE2655" s="571">
        <f t="shared" si="308"/>
        <v>0</v>
      </c>
      <c r="BF2655" s="586">
        <f t="shared" si="305"/>
        <v>0</v>
      </c>
      <c r="BG2655" s="586" t="e">
        <f t="shared" si="306"/>
        <v>#DIV/0!</v>
      </c>
      <c r="BH2655" s="571" t="e">
        <f t="shared" si="307"/>
        <v>#DIV/0!</v>
      </c>
    </row>
    <row r="2656" spans="55:60" s="39" customFormat="1">
      <c r="BC2656" s="573">
        <v>26.45</v>
      </c>
      <c r="BD2656" s="571">
        <f t="shared" si="304"/>
        <v>0</v>
      </c>
      <c r="BE2656" s="571">
        <f t="shared" si="308"/>
        <v>0</v>
      </c>
      <c r="BF2656" s="586">
        <f t="shared" si="305"/>
        <v>0</v>
      </c>
      <c r="BG2656" s="586" t="e">
        <f t="shared" si="306"/>
        <v>#DIV/0!</v>
      </c>
      <c r="BH2656" s="571" t="e">
        <f t="shared" si="307"/>
        <v>#DIV/0!</v>
      </c>
    </row>
    <row r="2657" spans="55:60" s="39" customFormat="1">
      <c r="BC2657" s="573">
        <v>26.46</v>
      </c>
      <c r="BD2657" s="571">
        <f t="shared" si="304"/>
        <v>0</v>
      </c>
      <c r="BE2657" s="571">
        <f t="shared" si="308"/>
        <v>0</v>
      </c>
      <c r="BF2657" s="586">
        <f t="shared" si="305"/>
        <v>0</v>
      </c>
      <c r="BG2657" s="586" t="e">
        <f t="shared" si="306"/>
        <v>#DIV/0!</v>
      </c>
      <c r="BH2657" s="571" t="e">
        <f t="shared" si="307"/>
        <v>#DIV/0!</v>
      </c>
    </row>
    <row r="2658" spans="55:60" s="39" customFormat="1">
      <c r="BC2658" s="573">
        <v>26.47</v>
      </c>
      <c r="BD2658" s="571">
        <f t="shared" si="304"/>
        <v>0</v>
      </c>
      <c r="BE2658" s="571">
        <f t="shared" si="308"/>
        <v>0</v>
      </c>
      <c r="BF2658" s="586">
        <f t="shared" si="305"/>
        <v>0</v>
      </c>
      <c r="BG2658" s="586" t="e">
        <f t="shared" si="306"/>
        <v>#DIV/0!</v>
      </c>
      <c r="BH2658" s="571" t="e">
        <f t="shared" si="307"/>
        <v>#DIV/0!</v>
      </c>
    </row>
    <row r="2659" spans="55:60" s="39" customFormat="1">
      <c r="BC2659" s="573">
        <v>26.48</v>
      </c>
      <c r="BD2659" s="571">
        <f t="shared" si="304"/>
        <v>0</v>
      </c>
      <c r="BE2659" s="571">
        <f t="shared" si="308"/>
        <v>0</v>
      </c>
      <c r="BF2659" s="586">
        <f t="shared" si="305"/>
        <v>0</v>
      </c>
      <c r="BG2659" s="586" t="e">
        <f t="shared" si="306"/>
        <v>#DIV/0!</v>
      </c>
      <c r="BH2659" s="571" t="e">
        <f t="shared" si="307"/>
        <v>#DIV/0!</v>
      </c>
    </row>
    <row r="2660" spans="55:60" s="39" customFormat="1">
      <c r="BC2660" s="573">
        <v>26.49</v>
      </c>
      <c r="BD2660" s="571">
        <f t="shared" si="304"/>
        <v>0</v>
      </c>
      <c r="BE2660" s="571">
        <f t="shared" si="308"/>
        <v>0</v>
      </c>
      <c r="BF2660" s="586">
        <f t="shared" si="305"/>
        <v>0</v>
      </c>
      <c r="BG2660" s="586" t="e">
        <f t="shared" si="306"/>
        <v>#DIV/0!</v>
      </c>
      <c r="BH2660" s="571" t="e">
        <f t="shared" si="307"/>
        <v>#DIV/0!</v>
      </c>
    </row>
    <row r="2661" spans="55:60" s="39" customFormat="1">
      <c r="BC2661" s="573">
        <v>26.5</v>
      </c>
      <c r="BD2661" s="571">
        <f t="shared" si="304"/>
        <v>0</v>
      </c>
      <c r="BE2661" s="571">
        <f t="shared" si="308"/>
        <v>0</v>
      </c>
      <c r="BF2661" s="586">
        <f t="shared" si="305"/>
        <v>0</v>
      </c>
      <c r="BG2661" s="586" t="e">
        <f t="shared" si="306"/>
        <v>#DIV/0!</v>
      </c>
      <c r="BH2661" s="571" t="e">
        <f t="shared" si="307"/>
        <v>#DIV/0!</v>
      </c>
    </row>
    <row r="2662" spans="55:60" s="39" customFormat="1">
      <c r="BC2662" s="573">
        <v>26.51</v>
      </c>
      <c r="BD2662" s="571">
        <f t="shared" si="304"/>
        <v>0</v>
      </c>
      <c r="BE2662" s="571">
        <f t="shared" si="308"/>
        <v>0</v>
      </c>
      <c r="BF2662" s="586">
        <f t="shared" si="305"/>
        <v>0</v>
      </c>
      <c r="BG2662" s="586" t="e">
        <f t="shared" si="306"/>
        <v>#DIV/0!</v>
      </c>
      <c r="BH2662" s="571" t="e">
        <f t="shared" si="307"/>
        <v>#DIV/0!</v>
      </c>
    </row>
    <row r="2663" spans="55:60" s="39" customFormat="1">
      <c r="BC2663" s="573">
        <v>26.52</v>
      </c>
      <c r="BD2663" s="571">
        <f t="shared" si="304"/>
        <v>0</v>
      </c>
      <c r="BE2663" s="571">
        <f t="shared" si="308"/>
        <v>0</v>
      </c>
      <c r="BF2663" s="586">
        <f t="shared" si="305"/>
        <v>0</v>
      </c>
      <c r="BG2663" s="586" t="e">
        <f t="shared" si="306"/>
        <v>#DIV/0!</v>
      </c>
      <c r="BH2663" s="571" t="e">
        <f t="shared" si="307"/>
        <v>#DIV/0!</v>
      </c>
    </row>
    <row r="2664" spans="55:60" s="39" customFormat="1">
      <c r="BC2664" s="573">
        <v>26.53</v>
      </c>
      <c r="BD2664" s="571">
        <f t="shared" si="304"/>
        <v>0</v>
      </c>
      <c r="BE2664" s="571">
        <f t="shared" si="308"/>
        <v>0</v>
      </c>
      <c r="BF2664" s="586">
        <f t="shared" si="305"/>
        <v>0</v>
      </c>
      <c r="BG2664" s="586" t="e">
        <f t="shared" si="306"/>
        <v>#DIV/0!</v>
      </c>
      <c r="BH2664" s="571" t="e">
        <f t="shared" si="307"/>
        <v>#DIV/0!</v>
      </c>
    </row>
    <row r="2665" spans="55:60" s="39" customFormat="1">
      <c r="BC2665" s="573">
        <v>26.54</v>
      </c>
      <c r="BD2665" s="571">
        <f t="shared" si="304"/>
        <v>0</v>
      </c>
      <c r="BE2665" s="571">
        <f t="shared" si="308"/>
        <v>0</v>
      </c>
      <c r="BF2665" s="586">
        <f t="shared" si="305"/>
        <v>0</v>
      </c>
      <c r="BG2665" s="586" t="e">
        <f t="shared" si="306"/>
        <v>#DIV/0!</v>
      </c>
      <c r="BH2665" s="571" t="e">
        <f t="shared" si="307"/>
        <v>#DIV/0!</v>
      </c>
    </row>
    <row r="2666" spans="55:60" s="39" customFormat="1">
      <c r="BC2666" s="573">
        <v>26.55</v>
      </c>
      <c r="BD2666" s="571">
        <f t="shared" si="304"/>
        <v>0</v>
      </c>
      <c r="BE2666" s="571">
        <f t="shared" si="308"/>
        <v>0</v>
      </c>
      <c r="BF2666" s="586">
        <f t="shared" si="305"/>
        <v>0</v>
      </c>
      <c r="BG2666" s="586" t="e">
        <f t="shared" si="306"/>
        <v>#DIV/0!</v>
      </c>
      <c r="BH2666" s="571" t="e">
        <f t="shared" si="307"/>
        <v>#DIV/0!</v>
      </c>
    </row>
    <row r="2667" spans="55:60" s="39" customFormat="1">
      <c r="BC2667" s="573">
        <v>26.56</v>
      </c>
      <c r="BD2667" s="571">
        <f t="shared" si="304"/>
        <v>0</v>
      </c>
      <c r="BE2667" s="571">
        <f t="shared" si="308"/>
        <v>0</v>
      </c>
      <c r="BF2667" s="586">
        <f t="shared" si="305"/>
        <v>0</v>
      </c>
      <c r="BG2667" s="586" t="e">
        <f t="shared" si="306"/>
        <v>#DIV/0!</v>
      </c>
      <c r="BH2667" s="571" t="e">
        <f t="shared" si="307"/>
        <v>#DIV/0!</v>
      </c>
    </row>
    <row r="2668" spans="55:60" s="39" customFormat="1">
      <c r="BC2668" s="573">
        <v>26.57</v>
      </c>
      <c r="BD2668" s="571">
        <f t="shared" si="304"/>
        <v>0</v>
      </c>
      <c r="BE2668" s="571">
        <f t="shared" si="308"/>
        <v>0</v>
      </c>
      <c r="BF2668" s="586">
        <f t="shared" si="305"/>
        <v>0</v>
      </c>
      <c r="BG2668" s="586" t="e">
        <f t="shared" si="306"/>
        <v>#DIV/0!</v>
      </c>
      <c r="BH2668" s="571" t="e">
        <f t="shared" si="307"/>
        <v>#DIV/0!</v>
      </c>
    </row>
    <row r="2669" spans="55:60" s="39" customFormat="1">
      <c r="BC2669" s="573">
        <v>26.58</v>
      </c>
      <c r="BD2669" s="571">
        <f t="shared" si="304"/>
        <v>0</v>
      </c>
      <c r="BE2669" s="571">
        <f t="shared" si="308"/>
        <v>0</v>
      </c>
      <c r="BF2669" s="586">
        <f t="shared" si="305"/>
        <v>0</v>
      </c>
      <c r="BG2669" s="586" t="e">
        <f t="shared" si="306"/>
        <v>#DIV/0!</v>
      </c>
      <c r="BH2669" s="571" t="e">
        <f t="shared" si="307"/>
        <v>#DIV/0!</v>
      </c>
    </row>
    <row r="2670" spans="55:60" s="39" customFormat="1">
      <c r="BC2670" s="573">
        <v>26.59</v>
      </c>
      <c r="BD2670" s="571">
        <f t="shared" si="304"/>
        <v>0</v>
      </c>
      <c r="BE2670" s="571">
        <f t="shared" si="308"/>
        <v>0</v>
      </c>
      <c r="BF2670" s="586">
        <f t="shared" si="305"/>
        <v>0</v>
      </c>
      <c r="BG2670" s="586" t="e">
        <f t="shared" si="306"/>
        <v>#DIV/0!</v>
      </c>
      <c r="BH2670" s="571" t="e">
        <f t="shared" si="307"/>
        <v>#DIV/0!</v>
      </c>
    </row>
    <row r="2671" spans="55:60" s="39" customFormat="1">
      <c r="BC2671" s="573">
        <v>26.6</v>
      </c>
      <c r="BD2671" s="571">
        <f t="shared" si="304"/>
        <v>0</v>
      </c>
      <c r="BE2671" s="571">
        <f t="shared" si="308"/>
        <v>0</v>
      </c>
      <c r="BF2671" s="586">
        <f t="shared" si="305"/>
        <v>0</v>
      </c>
      <c r="BG2671" s="586" t="e">
        <f t="shared" si="306"/>
        <v>#DIV/0!</v>
      </c>
      <c r="BH2671" s="571" t="e">
        <f t="shared" si="307"/>
        <v>#DIV/0!</v>
      </c>
    </row>
    <row r="2672" spans="55:60" s="39" customFormat="1">
      <c r="BC2672" s="573">
        <v>26.61</v>
      </c>
      <c r="BD2672" s="571">
        <f t="shared" si="304"/>
        <v>0</v>
      </c>
      <c r="BE2672" s="571">
        <f t="shared" si="308"/>
        <v>0</v>
      </c>
      <c r="BF2672" s="586">
        <f t="shared" si="305"/>
        <v>0</v>
      </c>
      <c r="BG2672" s="586" t="e">
        <f t="shared" si="306"/>
        <v>#DIV/0!</v>
      </c>
      <c r="BH2672" s="571" t="e">
        <f t="shared" si="307"/>
        <v>#DIV/0!</v>
      </c>
    </row>
    <row r="2673" spans="55:60" s="39" customFormat="1">
      <c r="BC2673" s="573">
        <v>26.62</v>
      </c>
      <c r="BD2673" s="571">
        <f t="shared" si="304"/>
        <v>0</v>
      </c>
      <c r="BE2673" s="571">
        <f t="shared" si="308"/>
        <v>0</v>
      </c>
      <c r="BF2673" s="586">
        <f t="shared" si="305"/>
        <v>0</v>
      </c>
      <c r="BG2673" s="586" t="e">
        <f t="shared" si="306"/>
        <v>#DIV/0!</v>
      </c>
      <c r="BH2673" s="571" t="e">
        <f t="shared" si="307"/>
        <v>#DIV/0!</v>
      </c>
    </row>
    <row r="2674" spans="55:60" s="39" customFormat="1">
      <c r="BC2674" s="573">
        <v>26.63</v>
      </c>
      <c r="BD2674" s="571">
        <f t="shared" si="304"/>
        <v>0</v>
      </c>
      <c r="BE2674" s="571">
        <f t="shared" si="308"/>
        <v>0</v>
      </c>
      <c r="BF2674" s="586">
        <f t="shared" si="305"/>
        <v>0</v>
      </c>
      <c r="BG2674" s="586" t="e">
        <f t="shared" si="306"/>
        <v>#DIV/0!</v>
      </c>
      <c r="BH2674" s="571" t="e">
        <f t="shared" si="307"/>
        <v>#DIV/0!</v>
      </c>
    </row>
    <row r="2675" spans="55:60" s="39" customFormat="1">
      <c r="BC2675" s="573">
        <v>26.64</v>
      </c>
      <c r="BD2675" s="571">
        <f t="shared" si="304"/>
        <v>0</v>
      </c>
      <c r="BE2675" s="571">
        <f t="shared" si="308"/>
        <v>0</v>
      </c>
      <c r="BF2675" s="586">
        <f t="shared" si="305"/>
        <v>0</v>
      </c>
      <c r="BG2675" s="586" t="e">
        <f t="shared" si="306"/>
        <v>#DIV/0!</v>
      </c>
      <c r="BH2675" s="571" t="e">
        <f t="shared" si="307"/>
        <v>#DIV/0!</v>
      </c>
    </row>
    <row r="2676" spans="55:60" s="39" customFormat="1">
      <c r="BC2676" s="573">
        <v>26.65</v>
      </c>
      <c r="BD2676" s="571">
        <f t="shared" si="304"/>
        <v>0</v>
      </c>
      <c r="BE2676" s="571">
        <f t="shared" si="308"/>
        <v>0</v>
      </c>
      <c r="BF2676" s="586">
        <f t="shared" si="305"/>
        <v>0</v>
      </c>
      <c r="BG2676" s="586" t="e">
        <f t="shared" si="306"/>
        <v>#DIV/0!</v>
      </c>
      <c r="BH2676" s="571" t="e">
        <f t="shared" si="307"/>
        <v>#DIV/0!</v>
      </c>
    </row>
    <row r="2677" spans="55:60" s="39" customFormat="1">
      <c r="BC2677" s="573">
        <v>26.66</v>
      </c>
      <c r="BD2677" s="571">
        <f t="shared" si="304"/>
        <v>0</v>
      </c>
      <c r="BE2677" s="571">
        <f t="shared" si="308"/>
        <v>0</v>
      </c>
      <c r="BF2677" s="586">
        <f t="shared" si="305"/>
        <v>0</v>
      </c>
      <c r="BG2677" s="586" t="e">
        <f t="shared" si="306"/>
        <v>#DIV/0!</v>
      </c>
      <c r="BH2677" s="571" t="e">
        <f t="shared" si="307"/>
        <v>#DIV/0!</v>
      </c>
    </row>
    <row r="2678" spans="55:60" s="39" customFormat="1">
      <c r="BC2678" s="573">
        <v>26.67</v>
      </c>
      <c r="BD2678" s="571">
        <f t="shared" si="304"/>
        <v>0</v>
      </c>
      <c r="BE2678" s="571">
        <f t="shared" si="308"/>
        <v>0</v>
      </c>
      <c r="BF2678" s="586">
        <f t="shared" si="305"/>
        <v>0</v>
      </c>
      <c r="BG2678" s="586" t="e">
        <f t="shared" si="306"/>
        <v>#DIV/0!</v>
      </c>
      <c r="BH2678" s="571" t="e">
        <f t="shared" si="307"/>
        <v>#DIV/0!</v>
      </c>
    </row>
    <row r="2679" spans="55:60" s="39" customFormat="1">
      <c r="BC2679" s="573">
        <v>26.68</v>
      </c>
      <c r="BD2679" s="571">
        <f t="shared" si="304"/>
        <v>0</v>
      </c>
      <c r="BE2679" s="571">
        <f t="shared" si="308"/>
        <v>0</v>
      </c>
      <c r="BF2679" s="586">
        <f t="shared" si="305"/>
        <v>0</v>
      </c>
      <c r="BG2679" s="586" t="e">
        <f t="shared" si="306"/>
        <v>#DIV/0!</v>
      </c>
      <c r="BH2679" s="571" t="e">
        <f t="shared" si="307"/>
        <v>#DIV/0!</v>
      </c>
    </row>
    <row r="2680" spans="55:60" s="39" customFormat="1">
      <c r="BC2680" s="573">
        <v>26.69</v>
      </c>
      <c r="BD2680" s="571">
        <f t="shared" si="304"/>
        <v>0</v>
      </c>
      <c r="BE2680" s="571">
        <f t="shared" si="308"/>
        <v>0</v>
      </c>
      <c r="BF2680" s="586">
        <f t="shared" si="305"/>
        <v>0</v>
      </c>
      <c r="BG2680" s="586" t="e">
        <f t="shared" si="306"/>
        <v>#DIV/0!</v>
      </c>
      <c r="BH2680" s="571" t="e">
        <f t="shared" si="307"/>
        <v>#DIV/0!</v>
      </c>
    </row>
    <row r="2681" spans="55:60" s="39" customFormat="1">
      <c r="BC2681" s="573">
        <v>26.7</v>
      </c>
      <c r="BD2681" s="571">
        <f t="shared" si="304"/>
        <v>0</v>
      </c>
      <c r="BE2681" s="571">
        <f t="shared" si="308"/>
        <v>0</v>
      </c>
      <c r="BF2681" s="586">
        <f t="shared" si="305"/>
        <v>0</v>
      </c>
      <c r="BG2681" s="586" t="e">
        <f t="shared" si="306"/>
        <v>#DIV/0!</v>
      </c>
      <c r="BH2681" s="571" t="e">
        <f t="shared" si="307"/>
        <v>#DIV/0!</v>
      </c>
    </row>
    <row r="2682" spans="55:60" s="39" customFormat="1">
      <c r="BC2682" s="573">
        <v>26.71</v>
      </c>
      <c r="BD2682" s="571">
        <f t="shared" si="304"/>
        <v>0</v>
      </c>
      <c r="BE2682" s="571">
        <f t="shared" si="308"/>
        <v>0</v>
      </c>
      <c r="BF2682" s="586">
        <f t="shared" si="305"/>
        <v>0</v>
      </c>
      <c r="BG2682" s="586" t="e">
        <f t="shared" si="306"/>
        <v>#DIV/0!</v>
      </c>
      <c r="BH2682" s="571" t="e">
        <f t="shared" si="307"/>
        <v>#DIV/0!</v>
      </c>
    </row>
    <row r="2683" spans="55:60" s="39" customFormat="1">
      <c r="BC2683" s="573">
        <v>26.72</v>
      </c>
      <c r="BD2683" s="571">
        <f t="shared" si="304"/>
        <v>0</v>
      </c>
      <c r="BE2683" s="571">
        <f t="shared" si="308"/>
        <v>0</v>
      </c>
      <c r="BF2683" s="586">
        <f t="shared" si="305"/>
        <v>0</v>
      </c>
      <c r="BG2683" s="586" t="e">
        <f t="shared" si="306"/>
        <v>#DIV/0!</v>
      </c>
      <c r="BH2683" s="571" t="e">
        <f t="shared" si="307"/>
        <v>#DIV/0!</v>
      </c>
    </row>
    <row r="2684" spans="55:60" s="39" customFormat="1">
      <c r="BC2684" s="573">
        <v>26.73</v>
      </c>
      <c r="BD2684" s="571">
        <f t="shared" si="304"/>
        <v>0</v>
      </c>
      <c r="BE2684" s="571">
        <f t="shared" si="308"/>
        <v>0</v>
      </c>
      <c r="BF2684" s="586">
        <f t="shared" si="305"/>
        <v>0</v>
      </c>
      <c r="BG2684" s="586" t="e">
        <f t="shared" si="306"/>
        <v>#DIV/0!</v>
      </c>
      <c r="BH2684" s="571" t="e">
        <f t="shared" si="307"/>
        <v>#DIV/0!</v>
      </c>
    </row>
    <row r="2685" spans="55:60" s="39" customFormat="1">
      <c r="BC2685" s="573">
        <v>26.74</v>
      </c>
      <c r="BD2685" s="571">
        <f t="shared" si="304"/>
        <v>0</v>
      </c>
      <c r="BE2685" s="571">
        <f t="shared" si="308"/>
        <v>0</v>
      </c>
      <c r="BF2685" s="586">
        <f t="shared" si="305"/>
        <v>0</v>
      </c>
      <c r="BG2685" s="586" t="e">
        <f t="shared" si="306"/>
        <v>#DIV/0!</v>
      </c>
      <c r="BH2685" s="571" t="e">
        <f t="shared" si="307"/>
        <v>#DIV/0!</v>
      </c>
    </row>
    <row r="2686" spans="55:60" s="39" customFormat="1">
      <c r="BC2686" s="573">
        <v>26.75</v>
      </c>
      <c r="BD2686" s="571">
        <f t="shared" si="304"/>
        <v>0</v>
      </c>
      <c r="BE2686" s="571">
        <f t="shared" si="308"/>
        <v>0</v>
      </c>
      <c r="BF2686" s="586">
        <f t="shared" si="305"/>
        <v>0</v>
      </c>
      <c r="BG2686" s="586" t="e">
        <f t="shared" si="306"/>
        <v>#DIV/0!</v>
      </c>
      <c r="BH2686" s="571" t="e">
        <f t="shared" si="307"/>
        <v>#DIV/0!</v>
      </c>
    </row>
    <row r="2687" spans="55:60" s="39" customFormat="1">
      <c r="BC2687" s="573">
        <v>26.76</v>
      </c>
      <c r="BD2687" s="571">
        <f t="shared" si="304"/>
        <v>0</v>
      </c>
      <c r="BE2687" s="571">
        <f t="shared" si="308"/>
        <v>0</v>
      </c>
      <c r="BF2687" s="586">
        <f t="shared" si="305"/>
        <v>0</v>
      </c>
      <c r="BG2687" s="586" t="e">
        <f t="shared" si="306"/>
        <v>#DIV/0!</v>
      </c>
      <c r="BH2687" s="571" t="e">
        <f t="shared" si="307"/>
        <v>#DIV/0!</v>
      </c>
    </row>
    <row r="2688" spans="55:60" s="39" customFormat="1">
      <c r="BC2688" s="573">
        <v>26.77</v>
      </c>
      <c r="BD2688" s="571">
        <f t="shared" si="304"/>
        <v>0</v>
      </c>
      <c r="BE2688" s="571">
        <f t="shared" si="308"/>
        <v>0</v>
      </c>
      <c r="BF2688" s="586">
        <f t="shared" si="305"/>
        <v>0</v>
      </c>
      <c r="BG2688" s="586" t="e">
        <f t="shared" si="306"/>
        <v>#DIV/0!</v>
      </c>
      <c r="BH2688" s="571" t="e">
        <f t="shared" si="307"/>
        <v>#DIV/0!</v>
      </c>
    </row>
    <row r="2689" spans="55:60" s="39" customFormat="1">
      <c r="BC2689" s="573">
        <v>26.78</v>
      </c>
      <c r="BD2689" s="571">
        <f t="shared" si="304"/>
        <v>0</v>
      </c>
      <c r="BE2689" s="571">
        <f t="shared" si="308"/>
        <v>0</v>
      </c>
      <c r="BF2689" s="586">
        <f t="shared" si="305"/>
        <v>0</v>
      </c>
      <c r="BG2689" s="586" t="e">
        <f t="shared" si="306"/>
        <v>#DIV/0!</v>
      </c>
      <c r="BH2689" s="571" t="e">
        <f t="shared" si="307"/>
        <v>#DIV/0!</v>
      </c>
    </row>
    <row r="2690" spans="55:60" s="39" customFormat="1">
      <c r="BC2690" s="573">
        <v>26.79</v>
      </c>
      <c r="BD2690" s="571">
        <f t="shared" si="304"/>
        <v>0</v>
      </c>
      <c r="BE2690" s="571">
        <f t="shared" si="308"/>
        <v>0</v>
      </c>
      <c r="BF2690" s="586">
        <f t="shared" si="305"/>
        <v>0</v>
      </c>
      <c r="BG2690" s="586" t="e">
        <f t="shared" si="306"/>
        <v>#DIV/0!</v>
      </c>
      <c r="BH2690" s="571" t="e">
        <f t="shared" si="307"/>
        <v>#DIV/0!</v>
      </c>
    </row>
    <row r="2691" spans="55:60" s="39" customFormat="1">
      <c r="BC2691" s="573">
        <v>26.8</v>
      </c>
      <c r="BD2691" s="571">
        <f t="shared" si="304"/>
        <v>0</v>
      </c>
      <c r="BE2691" s="571">
        <f t="shared" si="308"/>
        <v>0</v>
      </c>
      <c r="BF2691" s="586">
        <f t="shared" si="305"/>
        <v>0</v>
      </c>
      <c r="BG2691" s="586" t="e">
        <f t="shared" si="306"/>
        <v>#DIV/0!</v>
      </c>
      <c r="BH2691" s="571" t="e">
        <f t="shared" si="307"/>
        <v>#DIV/0!</v>
      </c>
    </row>
    <row r="2692" spans="55:60" s="39" customFormat="1">
      <c r="BC2692" s="573">
        <v>26.81</v>
      </c>
      <c r="BD2692" s="571">
        <f t="shared" si="304"/>
        <v>0</v>
      </c>
      <c r="BE2692" s="571">
        <f t="shared" si="308"/>
        <v>0</v>
      </c>
      <c r="BF2692" s="586">
        <f t="shared" si="305"/>
        <v>0</v>
      </c>
      <c r="BG2692" s="586" t="e">
        <f t="shared" si="306"/>
        <v>#DIV/0!</v>
      </c>
      <c r="BH2692" s="571" t="e">
        <f t="shared" si="307"/>
        <v>#DIV/0!</v>
      </c>
    </row>
    <row r="2693" spans="55:60" s="39" customFormat="1">
      <c r="BC2693" s="573">
        <v>26.82</v>
      </c>
      <c r="BD2693" s="571">
        <f t="shared" si="304"/>
        <v>0</v>
      </c>
      <c r="BE2693" s="571">
        <f t="shared" si="308"/>
        <v>0</v>
      </c>
      <c r="BF2693" s="586">
        <f t="shared" si="305"/>
        <v>0</v>
      </c>
      <c r="BG2693" s="586" t="e">
        <f t="shared" si="306"/>
        <v>#DIV/0!</v>
      </c>
      <c r="BH2693" s="571" t="e">
        <f t="shared" si="307"/>
        <v>#DIV/0!</v>
      </c>
    </row>
    <row r="2694" spans="55:60" s="39" customFormat="1">
      <c r="BC2694" s="573">
        <v>26.83</v>
      </c>
      <c r="BD2694" s="571">
        <f t="shared" si="304"/>
        <v>0</v>
      </c>
      <c r="BE2694" s="571">
        <f t="shared" si="308"/>
        <v>0</v>
      </c>
      <c r="BF2694" s="586">
        <f t="shared" si="305"/>
        <v>0</v>
      </c>
      <c r="BG2694" s="586" t="e">
        <f t="shared" si="306"/>
        <v>#DIV/0!</v>
      </c>
      <c r="BH2694" s="571" t="e">
        <f t="shared" si="307"/>
        <v>#DIV/0!</v>
      </c>
    </row>
    <row r="2695" spans="55:60" s="39" customFormat="1">
      <c r="BC2695" s="573">
        <v>26.84</v>
      </c>
      <c r="BD2695" s="571">
        <f t="shared" si="304"/>
        <v>0</v>
      </c>
      <c r="BE2695" s="571">
        <f t="shared" si="308"/>
        <v>0</v>
      </c>
      <c r="BF2695" s="586">
        <f t="shared" si="305"/>
        <v>0</v>
      </c>
      <c r="BG2695" s="586" t="e">
        <f t="shared" si="306"/>
        <v>#DIV/0!</v>
      </c>
      <c r="BH2695" s="571" t="e">
        <f t="shared" si="307"/>
        <v>#DIV/0!</v>
      </c>
    </row>
    <row r="2696" spans="55:60" s="39" customFormat="1">
      <c r="BC2696" s="573">
        <v>26.85</v>
      </c>
      <c r="BD2696" s="571">
        <f t="shared" si="304"/>
        <v>0</v>
      </c>
      <c r="BE2696" s="571">
        <f t="shared" si="308"/>
        <v>0</v>
      </c>
      <c r="BF2696" s="586">
        <f t="shared" si="305"/>
        <v>0</v>
      </c>
      <c r="BG2696" s="586" t="e">
        <f t="shared" si="306"/>
        <v>#DIV/0!</v>
      </c>
      <c r="BH2696" s="571" t="e">
        <f t="shared" si="307"/>
        <v>#DIV/0!</v>
      </c>
    </row>
    <row r="2697" spans="55:60" s="39" customFormat="1">
      <c r="BC2697" s="573">
        <v>26.86</v>
      </c>
      <c r="BD2697" s="571">
        <f t="shared" si="304"/>
        <v>0</v>
      </c>
      <c r="BE2697" s="571">
        <f t="shared" si="308"/>
        <v>0</v>
      </c>
      <c r="BF2697" s="586">
        <f t="shared" si="305"/>
        <v>0</v>
      </c>
      <c r="BG2697" s="586" t="e">
        <f t="shared" si="306"/>
        <v>#DIV/0!</v>
      </c>
      <c r="BH2697" s="571" t="e">
        <f t="shared" si="307"/>
        <v>#DIV/0!</v>
      </c>
    </row>
    <row r="2698" spans="55:60" s="39" customFormat="1">
      <c r="BC2698" s="573">
        <v>26.87</v>
      </c>
      <c r="BD2698" s="571">
        <f t="shared" si="304"/>
        <v>0</v>
      </c>
      <c r="BE2698" s="571">
        <f t="shared" si="308"/>
        <v>0</v>
      </c>
      <c r="BF2698" s="586">
        <f t="shared" si="305"/>
        <v>0</v>
      </c>
      <c r="BG2698" s="586" t="e">
        <f t="shared" si="306"/>
        <v>#DIV/0!</v>
      </c>
      <c r="BH2698" s="571" t="e">
        <f t="shared" si="307"/>
        <v>#DIV/0!</v>
      </c>
    </row>
    <row r="2699" spans="55:60" s="39" customFormat="1">
      <c r="BC2699" s="573">
        <v>26.88</v>
      </c>
      <c r="BD2699" s="571">
        <f t="shared" si="304"/>
        <v>0</v>
      </c>
      <c r="BE2699" s="571">
        <f t="shared" si="308"/>
        <v>0</v>
      </c>
      <c r="BF2699" s="586">
        <f t="shared" si="305"/>
        <v>0</v>
      </c>
      <c r="BG2699" s="586" t="e">
        <f t="shared" si="306"/>
        <v>#DIV/0!</v>
      </c>
      <c r="BH2699" s="571" t="e">
        <f t="shared" si="307"/>
        <v>#DIV/0!</v>
      </c>
    </row>
    <row r="2700" spans="55:60" s="39" customFormat="1">
      <c r="BC2700" s="573">
        <v>26.89</v>
      </c>
      <c r="BD2700" s="571">
        <f t="shared" ref="BD2700:BD2763" si="309">$AU$15/BC2700</f>
        <v>0</v>
      </c>
      <c r="BE2700" s="571">
        <f t="shared" si="308"/>
        <v>0</v>
      </c>
      <c r="BF2700" s="586">
        <f t="shared" ref="BF2700:BF2763" si="310">BC2700*(BE2700/1000)/$AO$12</f>
        <v>0</v>
      </c>
      <c r="BG2700" s="586" t="e">
        <f t="shared" ref="BG2700:BG2763" si="311">POWER((1/(-1.8*LOG((6.9/BF2700+POWER((($P$7/BE2700)/3.71),1.11)),10))),2)</f>
        <v>#DIV/0!</v>
      </c>
      <c r="BH2700" s="571" t="e">
        <f t="shared" ref="BH2700:BH2763" si="312">BG2700*0.5*$P$6*16*$AU$15*$AU$15/(POWER(PI(),2)*POWER((BE2700/1000),5))</f>
        <v>#DIV/0!</v>
      </c>
    </row>
    <row r="2701" spans="55:60" s="39" customFormat="1">
      <c r="BC2701" s="573">
        <v>26.9</v>
      </c>
      <c r="BD2701" s="571">
        <f t="shared" si="309"/>
        <v>0</v>
      </c>
      <c r="BE2701" s="571">
        <f t="shared" ref="BE2701:BE2764" si="313">((BD2701/PI())^0.5)*2*1000</f>
        <v>0</v>
      </c>
      <c r="BF2701" s="586">
        <f t="shared" si="310"/>
        <v>0</v>
      </c>
      <c r="BG2701" s="586" t="e">
        <f t="shared" si="311"/>
        <v>#DIV/0!</v>
      </c>
      <c r="BH2701" s="571" t="e">
        <f t="shared" si="312"/>
        <v>#DIV/0!</v>
      </c>
    </row>
    <row r="2702" spans="55:60" s="39" customFormat="1">
      <c r="BC2702" s="573">
        <v>26.91</v>
      </c>
      <c r="BD2702" s="571">
        <f t="shared" si="309"/>
        <v>0</v>
      </c>
      <c r="BE2702" s="571">
        <f t="shared" si="313"/>
        <v>0</v>
      </c>
      <c r="BF2702" s="586">
        <f t="shared" si="310"/>
        <v>0</v>
      </c>
      <c r="BG2702" s="586" t="e">
        <f t="shared" si="311"/>
        <v>#DIV/0!</v>
      </c>
      <c r="BH2702" s="571" t="e">
        <f t="shared" si="312"/>
        <v>#DIV/0!</v>
      </c>
    </row>
    <row r="2703" spans="55:60" s="39" customFormat="1">
      <c r="BC2703" s="573">
        <v>26.92</v>
      </c>
      <c r="BD2703" s="571">
        <f t="shared" si="309"/>
        <v>0</v>
      </c>
      <c r="BE2703" s="571">
        <f t="shared" si="313"/>
        <v>0</v>
      </c>
      <c r="BF2703" s="586">
        <f t="shared" si="310"/>
        <v>0</v>
      </c>
      <c r="BG2703" s="586" t="e">
        <f t="shared" si="311"/>
        <v>#DIV/0!</v>
      </c>
      <c r="BH2703" s="571" t="e">
        <f t="shared" si="312"/>
        <v>#DIV/0!</v>
      </c>
    </row>
    <row r="2704" spans="55:60" s="39" customFormat="1">
      <c r="BC2704" s="573">
        <v>26.93</v>
      </c>
      <c r="BD2704" s="571">
        <f t="shared" si="309"/>
        <v>0</v>
      </c>
      <c r="BE2704" s="571">
        <f t="shared" si="313"/>
        <v>0</v>
      </c>
      <c r="BF2704" s="586">
        <f t="shared" si="310"/>
        <v>0</v>
      </c>
      <c r="BG2704" s="586" t="e">
        <f t="shared" si="311"/>
        <v>#DIV/0!</v>
      </c>
      <c r="BH2704" s="571" t="e">
        <f t="shared" si="312"/>
        <v>#DIV/0!</v>
      </c>
    </row>
    <row r="2705" spans="55:60" s="39" customFormat="1">
      <c r="BC2705" s="573">
        <v>26.94</v>
      </c>
      <c r="BD2705" s="571">
        <f t="shared" si="309"/>
        <v>0</v>
      </c>
      <c r="BE2705" s="571">
        <f t="shared" si="313"/>
        <v>0</v>
      </c>
      <c r="BF2705" s="586">
        <f t="shared" si="310"/>
        <v>0</v>
      </c>
      <c r="BG2705" s="586" t="e">
        <f t="shared" si="311"/>
        <v>#DIV/0!</v>
      </c>
      <c r="BH2705" s="571" t="e">
        <f t="shared" si="312"/>
        <v>#DIV/0!</v>
      </c>
    </row>
    <row r="2706" spans="55:60" s="39" customFormat="1">
      <c r="BC2706" s="573">
        <v>26.95</v>
      </c>
      <c r="BD2706" s="571">
        <f t="shared" si="309"/>
        <v>0</v>
      </c>
      <c r="BE2706" s="571">
        <f t="shared" si="313"/>
        <v>0</v>
      </c>
      <c r="BF2706" s="586">
        <f t="shared" si="310"/>
        <v>0</v>
      </c>
      <c r="BG2706" s="586" t="e">
        <f t="shared" si="311"/>
        <v>#DIV/0!</v>
      </c>
      <c r="BH2706" s="571" t="e">
        <f t="shared" si="312"/>
        <v>#DIV/0!</v>
      </c>
    </row>
    <row r="2707" spans="55:60" s="39" customFormat="1">
      <c r="BC2707" s="573">
        <v>26.96</v>
      </c>
      <c r="BD2707" s="571">
        <f t="shared" si="309"/>
        <v>0</v>
      </c>
      <c r="BE2707" s="571">
        <f t="shared" si="313"/>
        <v>0</v>
      </c>
      <c r="BF2707" s="586">
        <f t="shared" si="310"/>
        <v>0</v>
      </c>
      <c r="BG2707" s="586" t="e">
        <f t="shared" si="311"/>
        <v>#DIV/0!</v>
      </c>
      <c r="BH2707" s="571" t="e">
        <f t="shared" si="312"/>
        <v>#DIV/0!</v>
      </c>
    </row>
    <row r="2708" spans="55:60" s="39" customFormat="1">
      <c r="BC2708" s="573">
        <v>26.97</v>
      </c>
      <c r="BD2708" s="571">
        <f t="shared" si="309"/>
        <v>0</v>
      </c>
      <c r="BE2708" s="571">
        <f t="shared" si="313"/>
        <v>0</v>
      </c>
      <c r="BF2708" s="586">
        <f t="shared" si="310"/>
        <v>0</v>
      </c>
      <c r="BG2708" s="586" t="e">
        <f t="shared" si="311"/>
        <v>#DIV/0!</v>
      </c>
      <c r="BH2708" s="571" t="e">
        <f t="shared" si="312"/>
        <v>#DIV/0!</v>
      </c>
    </row>
    <row r="2709" spans="55:60" s="39" customFormat="1">
      <c r="BC2709" s="573">
        <v>26.98</v>
      </c>
      <c r="BD2709" s="571">
        <f t="shared" si="309"/>
        <v>0</v>
      </c>
      <c r="BE2709" s="571">
        <f t="shared" si="313"/>
        <v>0</v>
      </c>
      <c r="BF2709" s="586">
        <f t="shared" si="310"/>
        <v>0</v>
      </c>
      <c r="BG2709" s="586" t="e">
        <f t="shared" si="311"/>
        <v>#DIV/0!</v>
      </c>
      <c r="BH2709" s="571" t="e">
        <f t="shared" si="312"/>
        <v>#DIV/0!</v>
      </c>
    </row>
    <row r="2710" spans="55:60" s="39" customFormat="1">
      <c r="BC2710" s="573">
        <v>26.99</v>
      </c>
      <c r="BD2710" s="571">
        <f t="shared" si="309"/>
        <v>0</v>
      </c>
      <c r="BE2710" s="571">
        <f t="shared" si="313"/>
        <v>0</v>
      </c>
      <c r="BF2710" s="586">
        <f t="shared" si="310"/>
        <v>0</v>
      </c>
      <c r="BG2710" s="586" t="e">
        <f t="shared" si="311"/>
        <v>#DIV/0!</v>
      </c>
      <c r="BH2710" s="571" t="e">
        <f t="shared" si="312"/>
        <v>#DIV/0!</v>
      </c>
    </row>
    <row r="2711" spans="55:60" s="39" customFormat="1">
      <c r="BC2711" s="573">
        <v>27</v>
      </c>
      <c r="BD2711" s="571">
        <f t="shared" si="309"/>
        <v>0</v>
      </c>
      <c r="BE2711" s="571">
        <f t="shared" si="313"/>
        <v>0</v>
      </c>
      <c r="BF2711" s="586">
        <f t="shared" si="310"/>
        <v>0</v>
      </c>
      <c r="BG2711" s="586" t="e">
        <f t="shared" si="311"/>
        <v>#DIV/0!</v>
      </c>
      <c r="BH2711" s="571" t="e">
        <f t="shared" si="312"/>
        <v>#DIV/0!</v>
      </c>
    </row>
    <row r="2712" spans="55:60" s="39" customFormat="1">
      <c r="BC2712" s="573">
        <v>27.01</v>
      </c>
      <c r="BD2712" s="571">
        <f t="shared" si="309"/>
        <v>0</v>
      </c>
      <c r="BE2712" s="571">
        <f t="shared" si="313"/>
        <v>0</v>
      </c>
      <c r="BF2712" s="586">
        <f t="shared" si="310"/>
        <v>0</v>
      </c>
      <c r="BG2712" s="586" t="e">
        <f t="shared" si="311"/>
        <v>#DIV/0!</v>
      </c>
      <c r="BH2712" s="571" t="e">
        <f t="shared" si="312"/>
        <v>#DIV/0!</v>
      </c>
    </row>
    <row r="2713" spans="55:60" s="39" customFormat="1">
      <c r="BC2713" s="573">
        <v>27.02</v>
      </c>
      <c r="BD2713" s="571">
        <f t="shared" si="309"/>
        <v>0</v>
      </c>
      <c r="BE2713" s="571">
        <f t="shared" si="313"/>
        <v>0</v>
      </c>
      <c r="BF2713" s="586">
        <f t="shared" si="310"/>
        <v>0</v>
      </c>
      <c r="BG2713" s="586" t="e">
        <f t="shared" si="311"/>
        <v>#DIV/0!</v>
      </c>
      <c r="BH2713" s="571" t="e">
        <f t="shared" si="312"/>
        <v>#DIV/0!</v>
      </c>
    </row>
    <row r="2714" spans="55:60" s="39" customFormat="1">
      <c r="BC2714" s="573">
        <v>27.03</v>
      </c>
      <c r="BD2714" s="571">
        <f t="shared" si="309"/>
        <v>0</v>
      </c>
      <c r="BE2714" s="571">
        <f t="shared" si="313"/>
        <v>0</v>
      </c>
      <c r="BF2714" s="586">
        <f t="shared" si="310"/>
        <v>0</v>
      </c>
      <c r="BG2714" s="586" t="e">
        <f t="shared" si="311"/>
        <v>#DIV/0!</v>
      </c>
      <c r="BH2714" s="571" t="e">
        <f t="shared" si="312"/>
        <v>#DIV/0!</v>
      </c>
    </row>
    <row r="2715" spans="55:60" s="39" customFormat="1">
      <c r="BC2715" s="573">
        <v>27.04</v>
      </c>
      <c r="BD2715" s="571">
        <f t="shared" si="309"/>
        <v>0</v>
      </c>
      <c r="BE2715" s="571">
        <f t="shared" si="313"/>
        <v>0</v>
      </c>
      <c r="BF2715" s="586">
        <f t="shared" si="310"/>
        <v>0</v>
      </c>
      <c r="BG2715" s="586" t="e">
        <f t="shared" si="311"/>
        <v>#DIV/0!</v>
      </c>
      <c r="BH2715" s="571" t="e">
        <f t="shared" si="312"/>
        <v>#DIV/0!</v>
      </c>
    </row>
    <row r="2716" spans="55:60" s="39" customFormat="1">
      <c r="BC2716" s="573">
        <v>27.05</v>
      </c>
      <c r="BD2716" s="571">
        <f t="shared" si="309"/>
        <v>0</v>
      </c>
      <c r="BE2716" s="571">
        <f t="shared" si="313"/>
        <v>0</v>
      </c>
      <c r="BF2716" s="586">
        <f t="shared" si="310"/>
        <v>0</v>
      </c>
      <c r="BG2716" s="586" t="e">
        <f t="shared" si="311"/>
        <v>#DIV/0!</v>
      </c>
      <c r="BH2716" s="571" t="e">
        <f t="shared" si="312"/>
        <v>#DIV/0!</v>
      </c>
    </row>
    <row r="2717" spans="55:60" s="39" customFormat="1">
      <c r="BC2717" s="573">
        <v>27.06</v>
      </c>
      <c r="BD2717" s="571">
        <f t="shared" si="309"/>
        <v>0</v>
      </c>
      <c r="BE2717" s="571">
        <f t="shared" si="313"/>
        <v>0</v>
      </c>
      <c r="BF2717" s="586">
        <f t="shared" si="310"/>
        <v>0</v>
      </c>
      <c r="BG2717" s="586" t="e">
        <f t="shared" si="311"/>
        <v>#DIV/0!</v>
      </c>
      <c r="BH2717" s="571" t="e">
        <f t="shared" si="312"/>
        <v>#DIV/0!</v>
      </c>
    </row>
    <row r="2718" spans="55:60" s="39" customFormat="1">
      <c r="BC2718" s="573">
        <v>27.07</v>
      </c>
      <c r="BD2718" s="571">
        <f t="shared" si="309"/>
        <v>0</v>
      </c>
      <c r="BE2718" s="571">
        <f t="shared" si="313"/>
        <v>0</v>
      </c>
      <c r="BF2718" s="586">
        <f t="shared" si="310"/>
        <v>0</v>
      </c>
      <c r="BG2718" s="586" t="e">
        <f t="shared" si="311"/>
        <v>#DIV/0!</v>
      </c>
      <c r="BH2718" s="571" t="e">
        <f t="shared" si="312"/>
        <v>#DIV/0!</v>
      </c>
    </row>
    <row r="2719" spans="55:60" s="39" customFormat="1">
      <c r="BC2719" s="573">
        <v>27.08</v>
      </c>
      <c r="BD2719" s="571">
        <f t="shared" si="309"/>
        <v>0</v>
      </c>
      <c r="BE2719" s="571">
        <f t="shared" si="313"/>
        <v>0</v>
      </c>
      <c r="BF2719" s="586">
        <f t="shared" si="310"/>
        <v>0</v>
      </c>
      <c r="BG2719" s="586" t="e">
        <f t="shared" si="311"/>
        <v>#DIV/0!</v>
      </c>
      <c r="BH2719" s="571" t="e">
        <f t="shared" si="312"/>
        <v>#DIV/0!</v>
      </c>
    </row>
    <row r="2720" spans="55:60" s="39" customFormat="1">
      <c r="BC2720" s="573">
        <v>27.09</v>
      </c>
      <c r="BD2720" s="571">
        <f t="shared" si="309"/>
        <v>0</v>
      </c>
      <c r="BE2720" s="571">
        <f t="shared" si="313"/>
        <v>0</v>
      </c>
      <c r="BF2720" s="586">
        <f t="shared" si="310"/>
        <v>0</v>
      </c>
      <c r="BG2720" s="586" t="e">
        <f t="shared" si="311"/>
        <v>#DIV/0!</v>
      </c>
      <c r="BH2720" s="571" t="e">
        <f t="shared" si="312"/>
        <v>#DIV/0!</v>
      </c>
    </row>
    <row r="2721" spans="55:60" s="39" customFormat="1">
      <c r="BC2721" s="573">
        <v>27.1</v>
      </c>
      <c r="BD2721" s="571">
        <f t="shared" si="309"/>
        <v>0</v>
      </c>
      <c r="BE2721" s="571">
        <f t="shared" si="313"/>
        <v>0</v>
      </c>
      <c r="BF2721" s="586">
        <f t="shared" si="310"/>
        <v>0</v>
      </c>
      <c r="BG2721" s="586" t="e">
        <f t="shared" si="311"/>
        <v>#DIV/0!</v>
      </c>
      <c r="BH2721" s="571" t="e">
        <f t="shared" si="312"/>
        <v>#DIV/0!</v>
      </c>
    </row>
    <row r="2722" spans="55:60" s="39" customFormat="1">
      <c r="BC2722" s="573">
        <v>27.11</v>
      </c>
      <c r="BD2722" s="571">
        <f t="shared" si="309"/>
        <v>0</v>
      </c>
      <c r="BE2722" s="571">
        <f t="shared" si="313"/>
        <v>0</v>
      </c>
      <c r="BF2722" s="586">
        <f t="shared" si="310"/>
        <v>0</v>
      </c>
      <c r="BG2722" s="586" t="e">
        <f t="shared" si="311"/>
        <v>#DIV/0!</v>
      </c>
      <c r="BH2722" s="571" t="e">
        <f t="shared" si="312"/>
        <v>#DIV/0!</v>
      </c>
    </row>
    <row r="2723" spans="55:60" s="39" customFormat="1">
      <c r="BC2723" s="573">
        <v>27.12</v>
      </c>
      <c r="BD2723" s="571">
        <f t="shared" si="309"/>
        <v>0</v>
      </c>
      <c r="BE2723" s="571">
        <f t="shared" si="313"/>
        <v>0</v>
      </c>
      <c r="BF2723" s="586">
        <f t="shared" si="310"/>
        <v>0</v>
      </c>
      <c r="BG2723" s="586" t="e">
        <f t="shared" si="311"/>
        <v>#DIV/0!</v>
      </c>
      <c r="BH2723" s="571" t="e">
        <f t="shared" si="312"/>
        <v>#DIV/0!</v>
      </c>
    </row>
    <row r="2724" spans="55:60" s="39" customFormat="1">
      <c r="BC2724" s="573">
        <v>27.13</v>
      </c>
      <c r="BD2724" s="571">
        <f t="shared" si="309"/>
        <v>0</v>
      </c>
      <c r="BE2724" s="571">
        <f t="shared" si="313"/>
        <v>0</v>
      </c>
      <c r="BF2724" s="586">
        <f t="shared" si="310"/>
        <v>0</v>
      </c>
      <c r="BG2724" s="586" t="e">
        <f t="shared" si="311"/>
        <v>#DIV/0!</v>
      </c>
      <c r="BH2724" s="571" t="e">
        <f t="shared" si="312"/>
        <v>#DIV/0!</v>
      </c>
    </row>
    <row r="2725" spans="55:60" s="39" customFormat="1">
      <c r="BC2725" s="573">
        <v>27.14</v>
      </c>
      <c r="BD2725" s="571">
        <f t="shared" si="309"/>
        <v>0</v>
      </c>
      <c r="BE2725" s="571">
        <f t="shared" si="313"/>
        <v>0</v>
      </c>
      <c r="BF2725" s="586">
        <f t="shared" si="310"/>
        <v>0</v>
      </c>
      <c r="BG2725" s="586" t="e">
        <f t="shared" si="311"/>
        <v>#DIV/0!</v>
      </c>
      <c r="BH2725" s="571" t="e">
        <f t="shared" si="312"/>
        <v>#DIV/0!</v>
      </c>
    </row>
    <row r="2726" spans="55:60" s="39" customFormat="1">
      <c r="BC2726" s="573">
        <v>27.15</v>
      </c>
      <c r="BD2726" s="571">
        <f t="shared" si="309"/>
        <v>0</v>
      </c>
      <c r="BE2726" s="571">
        <f t="shared" si="313"/>
        <v>0</v>
      </c>
      <c r="BF2726" s="586">
        <f t="shared" si="310"/>
        <v>0</v>
      </c>
      <c r="BG2726" s="586" t="e">
        <f t="shared" si="311"/>
        <v>#DIV/0!</v>
      </c>
      <c r="BH2726" s="571" t="e">
        <f t="shared" si="312"/>
        <v>#DIV/0!</v>
      </c>
    </row>
    <row r="2727" spans="55:60" s="39" customFormat="1">
      <c r="BC2727" s="573">
        <v>27.16</v>
      </c>
      <c r="BD2727" s="571">
        <f t="shared" si="309"/>
        <v>0</v>
      </c>
      <c r="BE2727" s="571">
        <f t="shared" si="313"/>
        <v>0</v>
      </c>
      <c r="BF2727" s="586">
        <f t="shared" si="310"/>
        <v>0</v>
      </c>
      <c r="BG2727" s="586" t="e">
        <f t="shared" si="311"/>
        <v>#DIV/0!</v>
      </c>
      <c r="BH2727" s="571" t="e">
        <f t="shared" si="312"/>
        <v>#DIV/0!</v>
      </c>
    </row>
    <row r="2728" spans="55:60" s="39" customFormat="1">
      <c r="BC2728" s="573">
        <v>27.17</v>
      </c>
      <c r="BD2728" s="571">
        <f t="shared" si="309"/>
        <v>0</v>
      </c>
      <c r="BE2728" s="571">
        <f t="shared" si="313"/>
        <v>0</v>
      </c>
      <c r="BF2728" s="586">
        <f t="shared" si="310"/>
        <v>0</v>
      </c>
      <c r="BG2728" s="586" t="e">
        <f t="shared" si="311"/>
        <v>#DIV/0!</v>
      </c>
      <c r="BH2728" s="571" t="e">
        <f t="shared" si="312"/>
        <v>#DIV/0!</v>
      </c>
    </row>
    <row r="2729" spans="55:60" s="39" customFormat="1">
      <c r="BC2729" s="573">
        <v>27.18</v>
      </c>
      <c r="BD2729" s="571">
        <f t="shared" si="309"/>
        <v>0</v>
      </c>
      <c r="BE2729" s="571">
        <f t="shared" si="313"/>
        <v>0</v>
      </c>
      <c r="BF2729" s="586">
        <f t="shared" si="310"/>
        <v>0</v>
      </c>
      <c r="BG2729" s="586" t="e">
        <f t="shared" si="311"/>
        <v>#DIV/0!</v>
      </c>
      <c r="BH2729" s="571" t="e">
        <f t="shared" si="312"/>
        <v>#DIV/0!</v>
      </c>
    </row>
    <row r="2730" spans="55:60" s="39" customFormat="1">
      <c r="BC2730" s="573">
        <v>27.19</v>
      </c>
      <c r="BD2730" s="571">
        <f t="shared" si="309"/>
        <v>0</v>
      </c>
      <c r="BE2730" s="571">
        <f t="shared" si="313"/>
        <v>0</v>
      </c>
      <c r="BF2730" s="586">
        <f t="shared" si="310"/>
        <v>0</v>
      </c>
      <c r="BG2730" s="586" t="e">
        <f t="shared" si="311"/>
        <v>#DIV/0!</v>
      </c>
      <c r="BH2730" s="571" t="e">
        <f t="shared" si="312"/>
        <v>#DIV/0!</v>
      </c>
    </row>
    <row r="2731" spans="55:60" s="39" customFormat="1">
      <c r="BC2731" s="573">
        <v>27.2</v>
      </c>
      <c r="BD2731" s="571">
        <f t="shared" si="309"/>
        <v>0</v>
      </c>
      <c r="BE2731" s="571">
        <f t="shared" si="313"/>
        <v>0</v>
      </c>
      <c r="BF2731" s="586">
        <f t="shared" si="310"/>
        <v>0</v>
      </c>
      <c r="BG2731" s="586" t="e">
        <f t="shared" si="311"/>
        <v>#DIV/0!</v>
      </c>
      <c r="BH2731" s="571" t="e">
        <f t="shared" si="312"/>
        <v>#DIV/0!</v>
      </c>
    </row>
    <row r="2732" spans="55:60" s="39" customFormat="1">
      <c r="BC2732" s="573">
        <v>27.21</v>
      </c>
      <c r="BD2732" s="571">
        <f t="shared" si="309"/>
        <v>0</v>
      </c>
      <c r="BE2732" s="571">
        <f t="shared" si="313"/>
        <v>0</v>
      </c>
      <c r="BF2732" s="586">
        <f t="shared" si="310"/>
        <v>0</v>
      </c>
      <c r="BG2732" s="586" t="e">
        <f t="shared" si="311"/>
        <v>#DIV/0!</v>
      </c>
      <c r="BH2732" s="571" t="e">
        <f t="shared" si="312"/>
        <v>#DIV/0!</v>
      </c>
    </row>
    <row r="2733" spans="55:60" s="39" customFormat="1">
      <c r="BC2733" s="573">
        <v>27.22</v>
      </c>
      <c r="BD2733" s="571">
        <f t="shared" si="309"/>
        <v>0</v>
      </c>
      <c r="BE2733" s="571">
        <f t="shared" si="313"/>
        <v>0</v>
      </c>
      <c r="BF2733" s="586">
        <f t="shared" si="310"/>
        <v>0</v>
      </c>
      <c r="BG2733" s="586" t="e">
        <f t="shared" si="311"/>
        <v>#DIV/0!</v>
      </c>
      <c r="BH2733" s="571" t="e">
        <f t="shared" si="312"/>
        <v>#DIV/0!</v>
      </c>
    </row>
    <row r="2734" spans="55:60" s="39" customFormat="1">
      <c r="BC2734" s="573">
        <v>27.23</v>
      </c>
      <c r="BD2734" s="571">
        <f t="shared" si="309"/>
        <v>0</v>
      </c>
      <c r="BE2734" s="571">
        <f t="shared" si="313"/>
        <v>0</v>
      </c>
      <c r="BF2734" s="586">
        <f t="shared" si="310"/>
        <v>0</v>
      </c>
      <c r="BG2734" s="586" t="e">
        <f t="shared" si="311"/>
        <v>#DIV/0!</v>
      </c>
      <c r="BH2734" s="571" t="e">
        <f t="shared" si="312"/>
        <v>#DIV/0!</v>
      </c>
    </row>
    <row r="2735" spans="55:60" s="39" customFormat="1">
      <c r="BC2735" s="573">
        <v>27.24</v>
      </c>
      <c r="BD2735" s="571">
        <f t="shared" si="309"/>
        <v>0</v>
      </c>
      <c r="BE2735" s="571">
        <f t="shared" si="313"/>
        <v>0</v>
      </c>
      <c r="BF2735" s="586">
        <f t="shared" si="310"/>
        <v>0</v>
      </c>
      <c r="BG2735" s="586" t="e">
        <f t="shared" si="311"/>
        <v>#DIV/0!</v>
      </c>
      <c r="BH2735" s="571" t="e">
        <f t="shared" si="312"/>
        <v>#DIV/0!</v>
      </c>
    </row>
    <row r="2736" spans="55:60" s="39" customFormat="1">
      <c r="BC2736" s="573">
        <v>27.25</v>
      </c>
      <c r="BD2736" s="571">
        <f t="shared" si="309"/>
        <v>0</v>
      </c>
      <c r="BE2736" s="571">
        <f t="shared" si="313"/>
        <v>0</v>
      </c>
      <c r="BF2736" s="586">
        <f t="shared" si="310"/>
        <v>0</v>
      </c>
      <c r="BG2736" s="586" t="e">
        <f t="shared" si="311"/>
        <v>#DIV/0!</v>
      </c>
      <c r="BH2736" s="571" t="e">
        <f t="shared" si="312"/>
        <v>#DIV/0!</v>
      </c>
    </row>
    <row r="2737" spans="55:60" s="39" customFormat="1">
      <c r="BC2737" s="573">
        <v>27.26</v>
      </c>
      <c r="BD2737" s="571">
        <f t="shared" si="309"/>
        <v>0</v>
      </c>
      <c r="BE2737" s="571">
        <f t="shared" si="313"/>
        <v>0</v>
      </c>
      <c r="BF2737" s="586">
        <f t="shared" si="310"/>
        <v>0</v>
      </c>
      <c r="BG2737" s="586" t="e">
        <f t="shared" si="311"/>
        <v>#DIV/0!</v>
      </c>
      <c r="BH2737" s="571" t="e">
        <f t="shared" si="312"/>
        <v>#DIV/0!</v>
      </c>
    </row>
    <row r="2738" spans="55:60" s="39" customFormat="1">
      <c r="BC2738" s="573">
        <v>27.27</v>
      </c>
      <c r="BD2738" s="571">
        <f t="shared" si="309"/>
        <v>0</v>
      </c>
      <c r="BE2738" s="571">
        <f t="shared" si="313"/>
        <v>0</v>
      </c>
      <c r="BF2738" s="586">
        <f t="shared" si="310"/>
        <v>0</v>
      </c>
      <c r="BG2738" s="586" t="e">
        <f t="shared" si="311"/>
        <v>#DIV/0!</v>
      </c>
      <c r="BH2738" s="571" t="e">
        <f t="shared" si="312"/>
        <v>#DIV/0!</v>
      </c>
    </row>
    <row r="2739" spans="55:60" s="39" customFormat="1">
      <c r="BC2739" s="573">
        <v>27.28</v>
      </c>
      <c r="BD2739" s="571">
        <f t="shared" si="309"/>
        <v>0</v>
      </c>
      <c r="BE2739" s="571">
        <f t="shared" si="313"/>
        <v>0</v>
      </c>
      <c r="BF2739" s="586">
        <f t="shared" si="310"/>
        <v>0</v>
      </c>
      <c r="BG2739" s="586" t="e">
        <f t="shared" si="311"/>
        <v>#DIV/0!</v>
      </c>
      <c r="BH2739" s="571" t="e">
        <f t="shared" si="312"/>
        <v>#DIV/0!</v>
      </c>
    </row>
    <row r="2740" spans="55:60" s="39" customFormat="1">
      <c r="BC2740" s="573">
        <v>27.29</v>
      </c>
      <c r="BD2740" s="571">
        <f t="shared" si="309"/>
        <v>0</v>
      </c>
      <c r="BE2740" s="571">
        <f t="shared" si="313"/>
        <v>0</v>
      </c>
      <c r="BF2740" s="586">
        <f t="shared" si="310"/>
        <v>0</v>
      </c>
      <c r="BG2740" s="586" t="e">
        <f t="shared" si="311"/>
        <v>#DIV/0!</v>
      </c>
      <c r="BH2740" s="571" t="e">
        <f t="shared" si="312"/>
        <v>#DIV/0!</v>
      </c>
    </row>
    <row r="2741" spans="55:60" s="39" customFormat="1">
      <c r="BC2741" s="573">
        <v>27.3</v>
      </c>
      <c r="BD2741" s="571">
        <f t="shared" si="309"/>
        <v>0</v>
      </c>
      <c r="BE2741" s="571">
        <f t="shared" si="313"/>
        <v>0</v>
      </c>
      <c r="BF2741" s="586">
        <f t="shared" si="310"/>
        <v>0</v>
      </c>
      <c r="BG2741" s="586" t="e">
        <f t="shared" si="311"/>
        <v>#DIV/0!</v>
      </c>
      <c r="BH2741" s="571" t="e">
        <f t="shared" si="312"/>
        <v>#DIV/0!</v>
      </c>
    </row>
    <row r="2742" spans="55:60" s="39" customFormat="1">
      <c r="BC2742" s="573">
        <v>27.31</v>
      </c>
      <c r="BD2742" s="571">
        <f t="shared" si="309"/>
        <v>0</v>
      </c>
      <c r="BE2742" s="571">
        <f t="shared" si="313"/>
        <v>0</v>
      </c>
      <c r="BF2742" s="586">
        <f t="shared" si="310"/>
        <v>0</v>
      </c>
      <c r="BG2742" s="586" t="e">
        <f t="shared" si="311"/>
        <v>#DIV/0!</v>
      </c>
      <c r="BH2742" s="571" t="e">
        <f t="shared" si="312"/>
        <v>#DIV/0!</v>
      </c>
    </row>
    <row r="2743" spans="55:60" s="39" customFormat="1">
      <c r="BC2743" s="573">
        <v>27.32</v>
      </c>
      <c r="BD2743" s="571">
        <f t="shared" si="309"/>
        <v>0</v>
      </c>
      <c r="BE2743" s="571">
        <f t="shared" si="313"/>
        <v>0</v>
      </c>
      <c r="BF2743" s="586">
        <f t="shared" si="310"/>
        <v>0</v>
      </c>
      <c r="BG2743" s="586" t="e">
        <f t="shared" si="311"/>
        <v>#DIV/0!</v>
      </c>
      <c r="BH2743" s="571" t="e">
        <f t="shared" si="312"/>
        <v>#DIV/0!</v>
      </c>
    </row>
    <row r="2744" spans="55:60" s="39" customFormat="1">
      <c r="BC2744" s="573">
        <v>27.33</v>
      </c>
      <c r="BD2744" s="571">
        <f t="shared" si="309"/>
        <v>0</v>
      </c>
      <c r="BE2744" s="571">
        <f t="shared" si="313"/>
        <v>0</v>
      </c>
      <c r="BF2744" s="586">
        <f t="shared" si="310"/>
        <v>0</v>
      </c>
      <c r="BG2744" s="586" t="e">
        <f t="shared" si="311"/>
        <v>#DIV/0!</v>
      </c>
      <c r="BH2744" s="571" t="e">
        <f t="shared" si="312"/>
        <v>#DIV/0!</v>
      </c>
    </row>
    <row r="2745" spans="55:60" s="39" customFormat="1">
      <c r="BC2745" s="573">
        <v>27.34</v>
      </c>
      <c r="BD2745" s="571">
        <f t="shared" si="309"/>
        <v>0</v>
      </c>
      <c r="BE2745" s="571">
        <f t="shared" si="313"/>
        <v>0</v>
      </c>
      <c r="BF2745" s="586">
        <f t="shared" si="310"/>
        <v>0</v>
      </c>
      <c r="BG2745" s="586" t="e">
        <f t="shared" si="311"/>
        <v>#DIV/0!</v>
      </c>
      <c r="BH2745" s="571" t="e">
        <f t="shared" si="312"/>
        <v>#DIV/0!</v>
      </c>
    </row>
    <row r="2746" spans="55:60" s="39" customFormat="1">
      <c r="BC2746" s="573">
        <v>27.35</v>
      </c>
      <c r="BD2746" s="571">
        <f t="shared" si="309"/>
        <v>0</v>
      </c>
      <c r="BE2746" s="571">
        <f t="shared" si="313"/>
        <v>0</v>
      </c>
      <c r="BF2746" s="586">
        <f t="shared" si="310"/>
        <v>0</v>
      </c>
      <c r="BG2746" s="586" t="e">
        <f t="shared" si="311"/>
        <v>#DIV/0!</v>
      </c>
      <c r="BH2746" s="571" t="e">
        <f t="shared" si="312"/>
        <v>#DIV/0!</v>
      </c>
    </row>
    <row r="2747" spans="55:60" s="39" customFormat="1">
      <c r="BC2747" s="573">
        <v>27.36</v>
      </c>
      <c r="BD2747" s="571">
        <f t="shared" si="309"/>
        <v>0</v>
      </c>
      <c r="BE2747" s="571">
        <f t="shared" si="313"/>
        <v>0</v>
      </c>
      <c r="BF2747" s="586">
        <f t="shared" si="310"/>
        <v>0</v>
      </c>
      <c r="BG2747" s="586" t="e">
        <f t="shared" si="311"/>
        <v>#DIV/0!</v>
      </c>
      <c r="BH2747" s="571" t="e">
        <f t="shared" si="312"/>
        <v>#DIV/0!</v>
      </c>
    </row>
    <row r="2748" spans="55:60" s="39" customFormat="1">
      <c r="BC2748" s="573">
        <v>27.37</v>
      </c>
      <c r="BD2748" s="571">
        <f t="shared" si="309"/>
        <v>0</v>
      </c>
      <c r="BE2748" s="571">
        <f t="shared" si="313"/>
        <v>0</v>
      </c>
      <c r="BF2748" s="586">
        <f t="shared" si="310"/>
        <v>0</v>
      </c>
      <c r="BG2748" s="586" t="e">
        <f t="shared" si="311"/>
        <v>#DIV/0!</v>
      </c>
      <c r="BH2748" s="571" t="e">
        <f t="shared" si="312"/>
        <v>#DIV/0!</v>
      </c>
    </row>
    <row r="2749" spans="55:60" s="39" customFormat="1">
      <c r="BC2749" s="573">
        <v>27.38</v>
      </c>
      <c r="BD2749" s="571">
        <f t="shared" si="309"/>
        <v>0</v>
      </c>
      <c r="BE2749" s="571">
        <f t="shared" si="313"/>
        <v>0</v>
      </c>
      <c r="BF2749" s="586">
        <f t="shared" si="310"/>
        <v>0</v>
      </c>
      <c r="BG2749" s="586" t="e">
        <f t="shared" si="311"/>
        <v>#DIV/0!</v>
      </c>
      <c r="BH2749" s="571" t="e">
        <f t="shared" si="312"/>
        <v>#DIV/0!</v>
      </c>
    </row>
    <row r="2750" spans="55:60" s="39" customFormat="1">
      <c r="BC2750" s="573">
        <v>27.39</v>
      </c>
      <c r="BD2750" s="571">
        <f t="shared" si="309"/>
        <v>0</v>
      </c>
      <c r="BE2750" s="571">
        <f t="shared" si="313"/>
        <v>0</v>
      </c>
      <c r="BF2750" s="586">
        <f t="shared" si="310"/>
        <v>0</v>
      </c>
      <c r="BG2750" s="586" t="e">
        <f t="shared" si="311"/>
        <v>#DIV/0!</v>
      </c>
      <c r="BH2750" s="571" t="e">
        <f t="shared" si="312"/>
        <v>#DIV/0!</v>
      </c>
    </row>
    <row r="2751" spans="55:60" s="39" customFormat="1">
      <c r="BC2751" s="573">
        <v>27.4</v>
      </c>
      <c r="BD2751" s="571">
        <f t="shared" si="309"/>
        <v>0</v>
      </c>
      <c r="BE2751" s="571">
        <f t="shared" si="313"/>
        <v>0</v>
      </c>
      <c r="BF2751" s="586">
        <f t="shared" si="310"/>
        <v>0</v>
      </c>
      <c r="BG2751" s="586" t="e">
        <f t="shared" si="311"/>
        <v>#DIV/0!</v>
      </c>
      <c r="BH2751" s="571" t="e">
        <f t="shared" si="312"/>
        <v>#DIV/0!</v>
      </c>
    </row>
    <row r="2752" spans="55:60" s="39" customFormat="1">
      <c r="BC2752" s="573">
        <v>27.41</v>
      </c>
      <c r="BD2752" s="571">
        <f t="shared" si="309"/>
        <v>0</v>
      </c>
      <c r="BE2752" s="571">
        <f t="shared" si="313"/>
        <v>0</v>
      </c>
      <c r="BF2752" s="586">
        <f t="shared" si="310"/>
        <v>0</v>
      </c>
      <c r="BG2752" s="586" t="e">
        <f t="shared" si="311"/>
        <v>#DIV/0!</v>
      </c>
      <c r="BH2752" s="571" t="e">
        <f t="shared" si="312"/>
        <v>#DIV/0!</v>
      </c>
    </row>
    <row r="2753" spans="55:60" s="39" customFormat="1">
      <c r="BC2753" s="573">
        <v>27.42</v>
      </c>
      <c r="BD2753" s="571">
        <f t="shared" si="309"/>
        <v>0</v>
      </c>
      <c r="BE2753" s="571">
        <f t="shared" si="313"/>
        <v>0</v>
      </c>
      <c r="BF2753" s="586">
        <f t="shared" si="310"/>
        <v>0</v>
      </c>
      <c r="BG2753" s="586" t="e">
        <f t="shared" si="311"/>
        <v>#DIV/0!</v>
      </c>
      <c r="BH2753" s="571" t="e">
        <f t="shared" si="312"/>
        <v>#DIV/0!</v>
      </c>
    </row>
    <row r="2754" spans="55:60" s="39" customFormat="1">
      <c r="BC2754" s="573">
        <v>27.43</v>
      </c>
      <c r="BD2754" s="571">
        <f t="shared" si="309"/>
        <v>0</v>
      </c>
      <c r="BE2754" s="571">
        <f t="shared" si="313"/>
        <v>0</v>
      </c>
      <c r="BF2754" s="586">
        <f t="shared" si="310"/>
        <v>0</v>
      </c>
      <c r="BG2754" s="586" t="e">
        <f t="shared" si="311"/>
        <v>#DIV/0!</v>
      </c>
      <c r="BH2754" s="571" t="e">
        <f t="shared" si="312"/>
        <v>#DIV/0!</v>
      </c>
    </row>
    <row r="2755" spans="55:60" s="39" customFormat="1">
      <c r="BC2755" s="573">
        <v>27.44</v>
      </c>
      <c r="BD2755" s="571">
        <f t="shared" si="309"/>
        <v>0</v>
      </c>
      <c r="BE2755" s="571">
        <f t="shared" si="313"/>
        <v>0</v>
      </c>
      <c r="BF2755" s="586">
        <f t="shared" si="310"/>
        <v>0</v>
      </c>
      <c r="BG2755" s="586" t="e">
        <f t="shared" si="311"/>
        <v>#DIV/0!</v>
      </c>
      <c r="BH2755" s="571" t="e">
        <f t="shared" si="312"/>
        <v>#DIV/0!</v>
      </c>
    </row>
    <row r="2756" spans="55:60" s="39" customFormat="1">
      <c r="BC2756" s="573">
        <v>27.45</v>
      </c>
      <c r="BD2756" s="571">
        <f t="shared" si="309"/>
        <v>0</v>
      </c>
      <c r="BE2756" s="571">
        <f t="shared" si="313"/>
        <v>0</v>
      </c>
      <c r="BF2756" s="586">
        <f t="shared" si="310"/>
        <v>0</v>
      </c>
      <c r="BG2756" s="586" t="e">
        <f t="shared" si="311"/>
        <v>#DIV/0!</v>
      </c>
      <c r="BH2756" s="571" t="e">
        <f t="shared" si="312"/>
        <v>#DIV/0!</v>
      </c>
    </row>
    <row r="2757" spans="55:60" s="39" customFormat="1">
      <c r="BC2757" s="573">
        <v>27.46</v>
      </c>
      <c r="BD2757" s="571">
        <f t="shared" si="309"/>
        <v>0</v>
      </c>
      <c r="BE2757" s="571">
        <f t="shared" si="313"/>
        <v>0</v>
      </c>
      <c r="BF2757" s="586">
        <f t="shared" si="310"/>
        <v>0</v>
      </c>
      <c r="BG2757" s="586" t="e">
        <f t="shared" si="311"/>
        <v>#DIV/0!</v>
      </c>
      <c r="BH2757" s="571" t="e">
        <f t="shared" si="312"/>
        <v>#DIV/0!</v>
      </c>
    </row>
    <row r="2758" spans="55:60" s="39" customFormat="1">
      <c r="BC2758" s="573">
        <v>27.47</v>
      </c>
      <c r="BD2758" s="571">
        <f t="shared" si="309"/>
        <v>0</v>
      </c>
      <c r="BE2758" s="571">
        <f t="shared" si="313"/>
        <v>0</v>
      </c>
      <c r="BF2758" s="586">
        <f t="shared" si="310"/>
        <v>0</v>
      </c>
      <c r="BG2758" s="586" t="e">
        <f t="shared" si="311"/>
        <v>#DIV/0!</v>
      </c>
      <c r="BH2758" s="571" t="e">
        <f t="shared" si="312"/>
        <v>#DIV/0!</v>
      </c>
    </row>
    <row r="2759" spans="55:60" s="39" customFormat="1">
      <c r="BC2759" s="573">
        <v>27.48</v>
      </c>
      <c r="BD2759" s="571">
        <f t="shared" si="309"/>
        <v>0</v>
      </c>
      <c r="BE2759" s="571">
        <f t="shared" si="313"/>
        <v>0</v>
      </c>
      <c r="BF2759" s="586">
        <f t="shared" si="310"/>
        <v>0</v>
      </c>
      <c r="BG2759" s="586" t="e">
        <f t="shared" si="311"/>
        <v>#DIV/0!</v>
      </c>
      <c r="BH2759" s="571" t="e">
        <f t="shared" si="312"/>
        <v>#DIV/0!</v>
      </c>
    </row>
    <row r="2760" spans="55:60" s="39" customFormat="1">
      <c r="BC2760" s="573">
        <v>27.49</v>
      </c>
      <c r="BD2760" s="571">
        <f t="shared" si="309"/>
        <v>0</v>
      </c>
      <c r="BE2760" s="571">
        <f t="shared" si="313"/>
        <v>0</v>
      </c>
      <c r="BF2760" s="586">
        <f t="shared" si="310"/>
        <v>0</v>
      </c>
      <c r="BG2760" s="586" t="e">
        <f t="shared" si="311"/>
        <v>#DIV/0!</v>
      </c>
      <c r="BH2760" s="571" t="e">
        <f t="shared" si="312"/>
        <v>#DIV/0!</v>
      </c>
    </row>
    <row r="2761" spans="55:60" s="39" customFormat="1">
      <c r="BC2761" s="573">
        <v>27.5</v>
      </c>
      <c r="BD2761" s="571">
        <f t="shared" si="309"/>
        <v>0</v>
      </c>
      <c r="BE2761" s="571">
        <f t="shared" si="313"/>
        <v>0</v>
      </c>
      <c r="BF2761" s="586">
        <f t="shared" si="310"/>
        <v>0</v>
      </c>
      <c r="BG2761" s="586" t="e">
        <f t="shared" si="311"/>
        <v>#DIV/0!</v>
      </c>
      <c r="BH2761" s="571" t="e">
        <f t="shared" si="312"/>
        <v>#DIV/0!</v>
      </c>
    </row>
    <row r="2762" spans="55:60" s="39" customFormat="1">
      <c r="BC2762" s="573">
        <v>27.51</v>
      </c>
      <c r="BD2762" s="571">
        <f t="shared" si="309"/>
        <v>0</v>
      </c>
      <c r="BE2762" s="571">
        <f t="shared" si="313"/>
        <v>0</v>
      </c>
      <c r="BF2762" s="586">
        <f t="shared" si="310"/>
        <v>0</v>
      </c>
      <c r="BG2762" s="586" t="e">
        <f t="shared" si="311"/>
        <v>#DIV/0!</v>
      </c>
      <c r="BH2762" s="571" t="e">
        <f t="shared" si="312"/>
        <v>#DIV/0!</v>
      </c>
    </row>
    <row r="2763" spans="55:60" s="39" customFormat="1">
      <c r="BC2763" s="573">
        <v>27.52</v>
      </c>
      <c r="BD2763" s="571">
        <f t="shared" si="309"/>
        <v>0</v>
      </c>
      <c r="BE2763" s="571">
        <f t="shared" si="313"/>
        <v>0</v>
      </c>
      <c r="BF2763" s="586">
        <f t="shared" si="310"/>
        <v>0</v>
      </c>
      <c r="BG2763" s="586" t="e">
        <f t="shared" si="311"/>
        <v>#DIV/0!</v>
      </c>
      <c r="BH2763" s="571" t="e">
        <f t="shared" si="312"/>
        <v>#DIV/0!</v>
      </c>
    </row>
    <row r="2764" spans="55:60" s="39" customFormat="1">
      <c r="BC2764" s="573">
        <v>27.53</v>
      </c>
      <c r="BD2764" s="571">
        <f t="shared" ref="BD2764:BD2827" si="314">$AU$15/BC2764</f>
        <v>0</v>
      </c>
      <c r="BE2764" s="571">
        <f t="shared" si="313"/>
        <v>0</v>
      </c>
      <c r="BF2764" s="586">
        <f t="shared" ref="BF2764:BF2827" si="315">BC2764*(BE2764/1000)/$AO$12</f>
        <v>0</v>
      </c>
      <c r="BG2764" s="586" t="e">
        <f t="shared" ref="BG2764:BG2827" si="316">POWER((1/(-1.8*LOG((6.9/BF2764+POWER((($P$7/BE2764)/3.71),1.11)),10))),2)</f>
        <v>#DIV/0!</v>
      </c>
      <c r="BH2764" s="571" t="e">
        <f t="shared" ref="BH2764:BH2827" si="317">BG2764*0.5*$P$6*16*$AU$15*$AU$15/(POWER(PI(),2)*POWER((BE2764/1000),5))</f>
        <v>#DIV/0!</v>
      </c>
    </row>
    <row r="2765" spans="55:60" s="39" customFormat="1">
      <c r="BC2765" s="573">
        <v>27.54</v>
      </c>
      <c r="BD2765" s="571">
        <f t="shared" si="314"/>
        <v>0</v>
      </c>
      <c r="BE2765" s="571">
        <f t="shared" ref="BE2765:BE2828" si="318">((BD2765/PI())^0.5)*2*1000</f>
        <v>0</v>
      </c>
      <c r="BF2765" s="586">
        <f t="shared" si="315"/>
        <v>0</v>
      </c>
      <c r="BG2765" s="586" t="e">
        <f t="shared" si="316"/>
        <v>#DIV/0!</v>
      </c>
      <c r="BH2765" s="571" t="e">
        <f t="shared" si="317"/>
        <v>#DIV/0!</v>
      </c>
    </row>
    <row r="2766" spans="55:60" s="39" customFormat="1">
      <c r="BC2766" s="573">
        <v>27.55</v>
      </c>
      <c r="BD2766" s="571">
        <f t="shared" si="314"/>
        <v>0</v>
      </c>
      <c r="BE2766" s="571">
        <f t="shared" si="318"/>
        <v>0</v>
      </c>
      <c r="BF2766" s="586">
        <f t="shared" si="315"/>
        <v>0</v>
      </c>
      <c r="BG2766" s="586" t="e">
        <f t="shared" si="316"/>
        <v>#DIV/0!</v>
      </c>
      <c r="BH2766" s="571" t="e">
        <f t="shared" si="317"/>
        <v>#DIV/0!</v>
      </c>
    </row>
    <row r="2767" spans="55:60" s="39" customFormat="1">
      <c r="BC2767" s="573">
        <v>27.56</v>
      </c>
      <c r="BD2767" s="571">
        <f t="shared" si="314"/>
        <v>0</v>
      </c>
      <c r="BE2767" s="571">
        <f t="shared" si="318"/>
        <v>0</v>
      </c>
      <c r="BF2767" s="586">
        <f t="shared" si="315"/>
        <v>0</v>
      </c>
      <c r="BG2767" s="586" t="e">
        <f t="shared" si="316"/>
        <v>#DIV/0!</v>
      </c>
      <c r="BH2767" s="571" t="e">
        <f t="shared" si="317"/>
        <v>#DIV/0!</v>
      </c>
    </row>
    <row r="2768" spans="55:60" s="39" customFormat="1">
      <c r="BC2768" s="573">
        <v>27.57</v>
      </c>
      <c r="BD2768" s="571">
        <f t="shared" si="314"/>
        <v>0</v>
      </c>
      <c r="BE2768" s="571">
        <f t="shared" si="318"/>
        <v>0</v>
      </c>
      <c r="BF2768" s="586">
        <f t="shared" si="315"/>
        <v>0</v>
      </c>
      <c r="BG2768" s="586" t="e">
        <f t="shared" si="316"/>
        <v>#DIV/0!</v>
      </c>
      <c r="BH2768" s="571" t="e">
        <f t="shared" si="317"/>
        <v>#DIV/0!</v>
      </c>
    </row>
    <row r="2769" spans="55:60" s="39" customFormat="1">
      <c r="BC2769" s="573">
        <v>27.58</v>
      </c>
      <c r="BD2769" s="571">
        <f t="shared" si="314"/>
        <v>0</v>
      </c>
      <c r="BE2769" s="571">
        <f t="shared" si="318"/>
        <v>0</v>
      </c>
      <c r="BF2769" s="586">
        <f t="shared" si="315"/>
        <v>0</v>
      </c>
      <c r="BG2769" s="586" t="e">
        <f t="shared" si="316"/>
        <v>#DIV/0!</v>
      </c>
      <c r="BH2769" s="571" t="e">
        <f t="shared" si="317"/>
        <v>#DIV/0!</v>
      </c>
    </row>
    <row r="2770" spans="55:60" s="39" customFormat="1">
      <c r="BC2770" s="573">
        <v>27.59</v>
      </c>
      <c r="BD2770" s="571">
        <f t="shared" si="314"/>
        <v>0</v>
      </c>
      <c r="BE2770" s="571">
        <f t="shared" si="318"/>
        <v>0</v>
      </c>
      <c r="BF2770" s="586">
        <f t="shared" si="315"/>
        <v>0</v>
      </c>
      <c r="BG2770" s="586" t="e">
        <f t="shared" si="316"/>
        <v>#DIV/0!</v>
      </c>
      <c r="BH2770" s="571" t="e">
        <f t="shared" si="317"/>
        <v>#DIV/0!</v>
      </c>
    </row>
    <row r="2771" spans="55:60" s="39" customFormat="1">
      <c r="BC2771" s="573">
        <v>27.6</v>
      </c>
      <c r="BD2771" s="571">
        <f t="shared" si="314"/>
        <v>0</v>
      </c>
      <c r="BE2771" s="571">
        <f t="shared" si="318"/>
        <v>0</v>
      </c>
      <c r="BF2771" s="586">
        <f t="shared" si="315"/>
        <v>0</v>
      </c>
      <c r="BG2771" s="586" t="e">
        <f t="shared" si="316"/>
        <v>#DIV/0!</v>
      </c>
      <c r="BH2771" s="571" t="e">
        <f t="shared" si="317"/>
        <v>#DIV/0!</v>
      </c>
    </row>
    <row r="2772" spans="55:60" s="39" customFormat="1">
      <c r="BC2772" s="573">
        <v>27.61</v>
      </c>
      <c r="BD2772" s="571">
        <f t="shared" si="314"/>
        <v>0</v>
      </c>
      <c r="BE2772" s="571">
        <f t="shared" si="318"/>
        <v>0</v>
      </c>
      <c r="BF2772" s="586">
        <f t="shared" si="315"/>
        <v>0</v>
      </c>
      <c r="BG2772" s="586" t="e">
        <f t="shared" si="316"/>
        <v>#DIV/0!</v>
      </c>
      <c r="BH2772" s="571" t="e">
        <f t="shared" si="317"/>
        <v>#DIV/0!</v>
      </c>
    </row>
    <row r="2773" spans="55:60" s="39" customFormat="1">
      <c r="BC2773" s="573">
        <v>27.62</v>
      </c>
      <c r="BD2773" s="571">
        <f t="shared" si="314"/>
        <v>0</v>
      </c>
      <c r="BE2773" s="571">
        <f t="shared" si="318"/>
        <v>0</v>
      </c>
      <c r="BF2773" s="586">
        <f t="shared" si="315"/>
        <v>0</v>
      </c>
      <c r="BG2773" s="586" t="e">
        <f t="shared" si="316"/>
        <v>#DIV/0!</v>
      </c>
      <c r="BH2773" s="571" t="e">
        <f t="shared" si="317"/>
        <v>#DIV/0!</v>
      </c>
    </row>
    <row r="2774" spans="55:60" s="39" customFormat="1">
      <c r="BC2774" s="573">
        <v>27.63</v>
      </c>
      <c r="BD2774" s="571">
        <f t="shared" si="314"/>
        <v>0</v>
      </c>
      <c r="BE2774" s="571">
        <f t="shared" si="318"/>
        <v>0</v>
      </c>
      <c r="BF2774" s="586">
        <f t="shared" si="315"/>
        <v>0</v>
      </c>
      <c r="BG2774" s="586" t="e">
        <f t="shared" si="316"/>
        <v>#DIV/0!</v>
      </c>
      <c r="BH2774" s="571" t="e">
        <f t="shared" si="317"/>
        <v>#DIV/0!</v>
      </c>
    </row>
    <row r="2775" spans="55:60" s="39" customFormat="1">
      <c r="BC2775" s="573">
        <v>27.64</v>
      </c>
      <c r="BD2775" s="571">
        <f t="shared" si="314"/>
        <v>0</v>
      </c>
      <c r="BE2775" s="571">
        <f t="shared" si="318"/>
        <v>0</v>
      </c>
      <c r="BF2775" s="586">
        <f t="shared" si="315"/>
        <v>0</v>
      </c>
      <c r="BG2775" s="586" t="e">
        <f t="shared" si="316"/>
        <v>#DIV/0!</v>
      </c>
      <c r="BH2775" s="571" t="e">
        <f t="shared" si="317"/>
        <v>#DIV/0!</v>
      </c>
    </row>
    <row r="2776" spans="55:60" s="39" customFormat="1">
      <c r="BC2776" s="573">
        <v>27.65</v>
      </c>
      <c r="BD2776" s="571">
        <f t="shared" si="314"/>
        <v>0</v>
      </c>
      <c r="BE2776" s="571">
        <f t="shared" si="318"/>
        <v>0</v>
      </c>
      <c r="BF2776" s="586">
        <f t="shared" si="315"/>
        <v>0</v>
      </c>
      <c r="BG2776" s="586" t="e">
        <f t="shared" si="316"/>
        <v>#DIV/0!</v>
      </c>
      <c r="BH2776" s="571" t="e">
        <f t="shared" si="317"/>
        <v>#DIV/0!</v>
      </c>
    </row>
    <row r="2777" spans="55:60" s="39" customFormat="1">
      <c r="BC2777" s="573">
        <v>27.66</v>
      </c>
      <c r="BD2777" s="571">
        <f t="shared" si="314"/>
        <v>0</v>
      </c>
      <c r="BE2777" s="571">
        <f t="shared" si="318"/>
        <v>0</v>
      </c>
      <c r="BF2777" s="586">
        <f t="shared" si="315"/>
        <v>0</v>
      </c>
      <c r="BG2777" s="586" t="e">
        <f t="shared" si="316"/>
        <v>#DIV/0!</v>
      </c>
      <c r="BH2777" s="571" t="e">
        <f t="shared" si="317"/>
        <v>#DIV/0!</v>
      </c>
    </row>
    <row r="2778" spans="55:60" s="39" customFormat="1">
      <c r="BC2778" s="573">
        <v>27.67</v>
      </c>
      <c r="BD2778" s="571">
        <f t="shared" si="314"/>
        <v>0</v>
      </c>
      <c r="BE2778" s="571">
        <f t="shared" si="318"/>
        <v>0</v>
      </c>
      <c r="BF2778" s="586">
        <f t="shared" si="315"/>
        <v>0</v>
      </c>
      <c r="BG2778" s="586" t="e">
        <f t="shared" si="316"/>
        <v>#DIV/0!</v>
      </c>
      <c r="BH2778" s="571" t="e">
        <f t="shared" si="317"/>
        <v>#DIV/0!</v>
      </c>
    </row>
    <row r="2779" spans="55:60" s="39" customFormat="1">
      <c r="BC2779" s="573">
        <v>27.68</v>
      </c>
      <c r="BD2779" s="571">
        <f t="shared" si="314"/>
        <v>0</v>
      </c>
      <c r="BE2779" s="571">
        <f t="shared" si="318"/>
        <v>0</v>
      </c>
      <c r="BF2779" s="586">
        <f t="shared" si="315"/>
        <v>0</v>
      </c>
      <c r="BG2779" s="586" t="e">
        <f t="shared" si="316"/>
        <v>#DIV/0!</v>
      </c>
      <c r="BH2779" s="571" t="e">
        <f t="shared" si="317"/>
        <v>#DIV/0!</v>
      </c>
    </row>
    <row r="2780" spans="55:60" s="39" customFormat="1">
      <c r="BC2780" s="573">
        <v>27.69</v>
      </c>
      <c r="BD2780" s="571">
        <f t="shared" si="314"/>
        <v>0</v>
      </c>
      <c r="BE2780" s="571">
        <f t="shared" si="318"/>
        <v>0</v>
      </c>
      <c r="BF2780" s="586">
        <f t="shared" si="315"/>
        <v>0</v>
      </c>
      <c r="BG2780" s="586" t="e">
        <f t="shared" si="316"/>
        <v>#DIV/0!</v>
      </c>
      <c r="BH2780" s="571" t="e">
        <f t="shared" si="317"/>
        <v>#DIV/0!</v>
      </c>
    </row>
    <row r="2781" spans="55:60" s="39" customFormat="1">
      <c r="BC2781" s="573">
        <v>27.7</v>
      </c>
      <c r="BD2781" s="571">
        <f t="shared" si="314"/>
        <v>0</v>
      </c>
      <c r="BE2781" s="571">
        <f t="shared" si="318"/>
        <v>0</v>
      </c>
      <c r="BF2781" s="586">
        <f t="shared" si="315"/>
        <v>0</v>
      </c>
      <c r="BG2781" s="586" t="e">
        <f t="shared" si="316"/>
        <v>#DIV/0!</v>
      </c>
      <c r="BH2781" s="571" t="e">
        <f t="shared" si="317"/>
        <v>#DIV/0!</v>
      </c>
    </row>
    <row r="2782" spans="55:60" s="39" customFormat="1">
      <c r="BC2782" s="573">
        <v>27.71</v>
      </c>
      <c r="BD2782" s="571">
        <f t="shared" si="314"/>
        <v>0</v>
      </c>
      <c r="BE2782" s="571">
        <f t="shared" si="318"/>
        <v>0</v>
      </c>
      <c r="BF2782" s="586">
        <f t="shared" si="315"/>
        <v>0</v>
      </c>
      <c r="BG2782" s="586" t="e">
        <f t="shared" si="316"/>
        <v>#DIV/0!</v>
      </c>
      <c r="BH2782" s="571" t="e">
        <f t="shared" si="317"/>
        <v>#DIV/0!</v>
      </c>
    </row>
    <row r="2783" spans="55:60" s="39" customFormat="1">
      <c r="BC2783" s="573">
        <v>27.72</v>
      </c>
      <c r="BD2783" s="571">
        <f t="shared" si="314"/>
        <v>0</v>
      </c>
      <c r="BE2783" s="571">
        <f t="shared" si="318"/>
        <v>0</v>
      </c>
      <c r="BF2783" s="586">
        <f t="shared" si="315"/>
        <v>0</v>
      </c>
      <c r="BG2783" s="586" t="e">
        <f t="shared" si="316"/>
        <v>#DIV/0!</v>
      </c>
      <c r="BH2783" s="571" t="e">
        <f t="shared" si="317"/>
        <v>#DIV/0!</v>
      </c>
    </row>
    <row r="2784" spans="55:60" s="39" customFormat="1">
      <c r="BC2784" s="573">
        <v>27.73</v>
      </c>
      <c r="BD2784" s="571">
        <f t="shared" si="314"/>
        <v>0</v>
      </c>
      <c r="BE2784" s="571">
        <f t="shared" si="318"/>
        <v>0</v>
      </c>
      <c r="BF2784" s="586">
        <f t="shared" si="315"/>
        <v>0</v>
      </c>
      <c r="BG2784" s="586" t="e">
        <f t="shared" si="316"/>
        <v>#DIV/0!</v>
      </c>
      <c r="BH2784" s="571" t="e">
        <f t="shared" si="317"/>
        <v>#DIV/0!</v>
      </c>
    </row>
    <row r="2785" spans="55:60" s="39" customFormat="1">
      <c r="BC2785" s="573">
        <v>27.74</v>
      </c>
      <c r="BD2785" s="571">
        <f t="shared" si="314"/>
        <v>0</v>
      </c>
      <c r="BE2785" s="571">
        <f t="shared" si="318"/>
        <v>0</v>
      </c>
      <c r="BF2785" s="586">
        <f t="shared" si="315"/>
        <v>0</v>
      </c>
      <c r="BG2785" s="586" t="e">
        <f t="shared" si="316"/>
        <v>#DIV/0!</v>
      </c>
      <c r="BH2785" s="571" t="e">
        <f t="shared" si="317"/>
        <v>#DIV/0!</v>
      </c>
    </row>
    <row r="2786" spans="55:60" s="39" customFormat="1">
      <c r="BC2786" s="573">
        <v>27.75</v>
      </c>
      <c r="BD2786" s="571">
        <f t="shared" si="314"/>
        <v>0</v>
      </c>
      <c r="BE2786" s="571">
        <f t="shared" si="318"/>
        <v>0</v>
      </c>
      <c r="BF2786" s="586">
        <f t="shared" si="315"/>
        <v>0</v>
      </c>
      <c r="BG2786" s="586" t="e">
        <f t="shared" si="316"/>
        <v>#DIV/0!</v>
      </c>
      <c r="BH2786" s="571" t="e">
        <f t="shared" si="317"/>
        <v>#DIV/0!</v>
      </c>
    </row>
    <row r="2787" spans="55:60" s="39" customFormat="1">
      <c r="BC2787" s="573">
        <v>27.76</v>
      </c>
      <c r="BD2787" s="571">
        <f t="shared" si="314"/>
        <v>0</v>
      </c>
      <c r="BE2787" s="571">
        <f t="shared" si="318"/>
        <v>0</v>
      </c>
      <c r="BF2787" s="586">
        <f t="shared" si="315"/>
        <v>0</v>
      </c>
      <c r="BG2787" s="586" t="e">
        <f t="shared" si="316"/>
        <v>#DIV/0!</v>
      </c>
      <c r="BH2787" s="571" t="e">
        <f t="shared" si="317"/>
        <v>#DIV/0!</v>
      </c>
    </row>
    <row r="2788" spans="55:60" s="39" customFormat="1">
      <c r="BC2788" s="573">
        <v>27.77</v>
      </c>
      <c r="BD2788" s="571">
        <f t="shared" si="314"/>
        <v>0</v>
      </c>
      <c r="BE2788" s="571">
        <f t="shared" si="318"/>
        <v>0</v>
      </c>
      <c r="BF2788" s="586">
        <f t="shared" si="315"/>
        <v>0</v>
      </c>
      <c r="BG2788" s="586" t="e">
        <f t="shared" si="316"/>
        <v>#DIV/0!</v>
      </c>
      <c r="BH2788" s="571" t="e">
        <f t="shared" si="317"/>
        <v>#DIV/0!</v>
      </c>
    </row>
    <row r="2789" spans="55:60" s="39" customFormat="1">
      <c r="BC2789" s="573">
        <v>27.78</v>
      </c>
      <c r="BD2789" s="571">
        <f t="shared" si="314"/>
        <v>0</v>
      </c>
      <c r="BE2789" s="571">
        <f t="shared" si="318"/>
        <v>0</v>
      </c>
      <c r="BF2789" s="586">
        <f t="shared" si="315"/>
        <v>0</v>
      </c>
      <c r="BG2789" s="586" t="e">
        <f t="shared" si="316"/>
        <v>#DIV/0!</v>
      </c>
      <c r="BH2789" s="571" t="e">
        <f t="shared" si="317"/>
        <v>#DIV/0!</v>
      </c>
    </row>
    <row r="2790" spans="55:60" s="39" customFormat="1">
      <c r="BC2790" s="573">
        <v>27.79</v>
      </c>
      <c r="BD2790" s="571">
        <f t="shared" si="314"/>
        <v>0</v>
      </c>
      <c r="BE2790" s="571">
        <f t="shared" si="318"/>
        <v>0</v>
      </c>
      <c r="BF2790" s="586">
        <f t="shared" si="315"/>
        <v>0</v>
      </c>
      <c r="BG2790" s="586" t="e">
        <f t="shared" si="316"/>
        <v>#DIV/0!</v>
      </c>
      <c r="BH2790" s="571" t="e">
        <f t="shared" si="317"/>
        <v>#DIV/0!</v>
      </c>
    </row>
    <row r="2791" spans="55:60" s="39" customFormat="1">
      <c r="BC2791" s="573">
        <v>27.8</v>
      </c>
      <c r="BD2791" s="571">
        <f t="shared" si="314"/>
        <v>0</v>
      </c>
      <c r="BE2791" s="571">
        <f t="shared" si="318"/>
        <v>0</v>
      </c>
      <c r="BF2791" s="586">
        <f t="shared" si="315"/>
        <v>0</v>
      </c>
      <c r="BG2791" s="586" t="e">
        <f t="shared" si="316"/>
        <v>#DIV/0!</v>
      </c>
      <c r="BH2791" s="571" t="e">
        <f t="shared" si="317"/>
        <v>#DIV/0!</v>
      </c>
    </row>
    <row r="2792" spans="55:60" s="39" customFormat="1">
      <c r="BC2792" s="573">
        <v>27.81</v>
      </c>
      <c r="BD2792" s="571">
        <f t="shared" si="314"/>
        <v>0</v>
      </c>
      <c r="BE2792" s="571">
        <f t="shared" si="318"/>
        <v>0</v>
      </c>
      <c r="BF2792" s="586">
        <f t="shared" si="315"/>
        <v>0</v>
      </c>
      <c r="BG2792" s="586" t="e">
        <f t="shared" si="316"/>
        <v>#DIV/0!</v>
      </c>
      <c r="BH2792" s="571" t="e">
        <f t="shared" si="317"/>
        <v>#DIV/0!</v>
      </c>
    </row>
    <row r="2793" spans="55:60" s="39" customFormat="1">
      <c r="BC2793" s="573">
        <v>27.82</v>
      </c>
      <c r="BD2793" s="571">
        <f t="shared" si="314"/>
        <v>0</v>
      </c>
      <c r="BE2793" s="571">
        <f t="shared" si="318"/>
        <v>0</v>
      </c>
      <c r="BF2793" s="586">
        <f t="shared" si="315"/>
        <v>0</v>
      </c>
      <c r="BG2793" s="586" t="e">
        <f t="shared" si="316"/>
        <v>#DIV/0!</v>
      </c>
      <c r="BH2793" s="571" t="e">
        <f t="shared" si="317"/>
        <v>#DIV/0!</v>
      </c>
    </row>
    <row r="2794" spans="55:60" s="39" customFormat="1">
      <c r="BC2794" s="573">
        <v>27.83</v>
      </c>
      <c r="BD2794" s="571">
        <f t="shared" si="314"/>
        <v>0</v>
      </c>
      <c r="BE2794" s="571">
        <f t="shared" si="318"/>
        <v>0</v>
      </c>
      <c r="BF2794" s="586">
        <f t="shared" si="315"/>
        <v>0</v>
      </c>
      <c r="BG2794" s="586" t="e">
        <f t="shared" si="316"/>
        <v>#DIV/0!</v>
      </c>
      <c r="BH2794" s="571" t="e">
        <f t="shared" si="317"/>
        <v>#DIV/0!</v>
      </c>
    </row>
    <row r="2795" spans="55:60" s="39" customFormat="1">
      <c r="BC2795" s="573">
        <v>27.84</v>
      </c>
      <c r="BD2795" s="571">
        <f t="shared" si="314"/>
        <v>0</v>
      </c>
      <c r="BE2795" s="571">
        <f t="shared" si="318"/>
        <v>0</v>
      </c>
      <c r="BF2795" s="586">
        <f t="shared" si="315"/>
        <v>0</v>
      </c>
      <c r="BG2795" s="586" t="e">
        <f t="shared" si="316"/>
        <v>#DIV/0!</v>
      </c>
      <c r="BH2795" s="571" t="e">
        <f t="shared" si="317"/>
        <v>#DIV/0!</v>
      </c>
    </row>
    <row r="2796" spans="55:60" s="39" customFormat="1">
      <c r="BC2796" s="573">
        <v>27.85</v>
      </c>
      <c r="BD2796" s="571">
        <f t="shared" si="314"/>
        <v>0</v>
      </c>
      <c r="BE2796" s="571">
        <f t="shared" si="318"/>
        <v>0</v>
      </c>
      <c r="BF2796" s="586">
        <f t="shared" si="315"/>
        <v>0</v>
      </c>
      <c r="BG2796" s="586" t="e">
        <f t="shared" si="316"/>
        <v>#DIV/0!</v>
      </c>
      <c r="BH2796" s="571" t="e">
        <f t="shared" si="317"/>
        <v>#DIV/0!</v>
      </c>
    </row>
    <row r="2797" spans="55:60" s="39" customFormat="1">
      <c r="BC2797" s="573">
        <v>27.86</v>
      </c>
      <c r="BD2797" s="571">
        <f t="shared" si="314"/>
        <v>0</v>
      </c>
      <c r="BE2797" s="571">
        <f t="shared" si="318"/>
        <v>0</v>
      </c>
      <c r="BF2797" s="586">
        <f t="shared" si="315"/>
        <v>0</v>
      </c>
      <c r="BG2797" s="586" t="e">
        <f t="shared" si="316"/>
        <v>#DIV/0!</v>
      </c>
      <c r="BH2797" s="571" t="e">
        <f t="shared" si="317"/>
        <v>#DIV/0!</v>
      </c>
    </row>
    <row r="2798" spans="55:60" s="39" customFormat="1">
      <c r="BC2798" s="573">
        <v>27.87</v>
      </c>
      <c r="BD2798" s="571">
        <f t="shared" si="314"/>
        <v>0</v>
      </c>
      <c r="BE2798" s="571">
        <f t="shared" si="318"/>
        <v>0</v>
      </c>
      <c r="BF2798" s="586">
        <f t="shared" si="315"/>
        <v>0</v>
      </c>
      <c r="BG2798" s="586" t="e">
        <f t="shared" si="316"/>
        <v>#DIV/0!</v>
      </c>
      <c r="BH2798" s="571" t="e">
        <f t="shared" si="317"/>
        <v>#DIV/0!</v>
      </c>
    </row>
    <row r="2799" spans="55:60" s="39" customFormat="1">
      <c r="BC2799" s="573">
        <v>27.88</v>
      </c>
      <c r="BD2799" s="571">
        <f t="shared" si="314"/>
        <v>0</v>
      </c>
      <c r="BE2799" s="571">
        <f t="shared" si="318"/>
        <v>0</v>
      </c>
      <c r="BF2799" s="586">
        <f t="shared" si="315"/>
        <v>0</v>
      </c>
      <c r="BG2799" s="586" t="e">
        <f t="shared" si="316"/>
        <v>#DIV/0!</v>
      </c>
      <c r="BH2799" s="571" t="e">
        <f t="shared" si="317"/>
        <v>#DIV/0!</v>
      </c>
    </row>
    <row r="2800" spans="55:60" s="39" customFormat="1">
      <c r="BC2800" s="573">
        <v>27.89</v>
      </c>
      <c r="BD2800" s="571">
        <f t="shared" si="314"/>
        <v>0</v>
      </c>
      <c r="BE2800" s="571">
        <f t="shared" si="318"/>
        <v>0</v>
      </c>
      <c r="BF2800" s="586">
        <f t="shared" si="315"/>
        <v>0</v>
      </c>
      <c r="BG2800" s="586" t="e">
        <f t="shared" si="316"/>
        <v>#DIV/0!</v>
      </c>
      <c r="BH2800" s="571" t="e">
        <f t="shared" si="317"/>
        <v>#DIV/0!</v>
      </c>
    </row>
    <row r="2801" spans="55:60" s="39" customFormat="1">
      <c r="BC2801" s="573">
        <v>27.9</v>
      </c>
      <c r="BD2801" s="571">
        <f t="shared" si="314"/>
        <v>0</v>
      </c>
      <c r="BE2801" s="571">
        <f t="shared" si="318"/>
        <v>0</v>
      </c>
      <c r="BF2801" s="586">
        <f t="shared" si="315"/>
        <v>0</v>
      </c>
      <c r="BG2801" s="586" t="e">
        <f t="shared" si="316"/>
        <v>#DIV/0!</v>
      </c>
      <c r="BH2801" s="571" t="e">
        <f t="shared" si="317"/>
        <v>#DIV/0!</v>
      </c>
    </row>
    <row r="2802" spans="55:60" s="39" customFormat="1">
      <c r="BC2802" s="573">
        <v>27.91</v>
      </c>
      <c r="BD2802" s="571">
        <f t="shared" si="314"/>
        <v>0</v>
      </c>
      <c r="BE2802" s="571">
        <f t="shared" si="318"/>
        <v>0</v>
      </c>
      <c r="BF2802" s="586">
        <f t="shared" si="315"/>
        <v>0</v>
      </c>
      <c r="BG2802" s="586" t="e">
        <f t="shared" si="316"/>
        <v>#DIV/0!</v>
      </c>
      <c r="BH2802" s="571" t="e">
        <f t="shared" si="317"/>
        <v>#DIV/0!</v>
      </c>
    </row>
    <row r="2803" spans="55:60" s="39" customFormat="1">
      <c r="BC2803" s="573">
        <v>27.92</v>
      </c>
      <c r="BD2803" s="571">
        <f t="shared" si="314"/>
        <v>0</v>
      </c>
      <c r="BE2803" s="571">
        <f t="shared" si="318"/>
        <v>0</v>
      </c>
      <c r="BF2803" s="586">
        <f t="shared" si="315"/>
        <v>0</v>
      </c>
      <c r="BG2803" s="586" t="e">
        <f t="shared" si="316"/>
        <v>#DIV/0!</v>
      </c>
      <c r="BH2803" s="571" t="e">
        <f t="shared" si="317"/>
        <v>#DIV/0!</v>
      </c>
    </row>
    <row r="2804" spans="55:60" s="39" customFormat="1">
      <c r="BC2804" s="573">
        <v>27.93</v>
      </c>
      <c r="BD2804" s="571">
        <f t="shared" si="314"/>
        <v>0</v>
      </c>
      <c r="BE2804" s="571">
        <f t="shared" si="318"/>
        <v>0</v>
      </c>
      <c r="BF2804" s="586">
        <f t="shared" si="315"/>
        <v>0</v>
      </c>
      <c r="BG2804" s="586" t="e">
        <f t="shared" si="316"/>
        <v>#DIV/0!</v>
      </c>
      <c r="BH2804" s="571" t="e">
        <f t="shared" si="317"/>
        <v>#DIV/0!</v>
      </c>
    </row>
    <row r="2805" spans="55:60" s="39" customFormat="1">
      <c r="BC2805" s="573">
        <v>27.94</v>
      </c>
      <c r="BD2805" s="571">
        <f t="shared" si="314"/>
        <v>0</v>
      </c>
      <c r="BE2805" s="571">
        <f t="shared" si="318"/>
        <v>0</v>
      </c>
      <c r="BF2805" s="586">
        <f t="shared" si="315"/>
        <v>0</v>
      </c>
      <c r="BG2805" s="586" t="e">
        <f t="shared" si="316"/>
        <v>#DIV/0!</v>
      </c>
      <c r="BH2805" s="571" t="e">
        <f t="shared" si="317"/>
        <v>#DIV/0!</v>
      </c>
    </row>
    <row r="2806" spans="55:60" s="39" customFormat="1">
      <c r="BC2806" s="573">
        <v>27.95</v>
      </c>
      <c r="BD2806" s="571">
        <f t="shared" si="314"/>
        <v>0</v>
      </c>
      <c r="BE2806" s="571">
        <f t="shared" si="318"/>
        <v>0</v>
      </c>
      <c r="BF2806" s="586">
        <f t="shared" si="315"/>
        <v>0</v>
      </c>
      <c r="BG2806" s="586" t="e">
        <f t="shared" si="316"/>
        <v>#DIV/0!</v>
      </c>
      <c r="BH2806" s="571" t="e">
        <f t="shared" si="317"/>
        <v>#DIV/0!</v>
      </c>
    </row>
    <row r="2807" spans="55:60" s="39" customFormat="1">
      <c r="BC2807" s="573">
        <v>27.96</v>
      </c>
      <c r="BD2807" s="571">
        <f t="shared" si="314"/>
        <v>0</v>
      </c>
      <c r="BE2807" s="571">
        <f t="shared" si="318"/>
        <v>0</v>
      </c>
      <c r="BF2807" s="586">
        <f t="shared" si="315"/>
        <v>0</v>
      </c>
      <c r="BG2807" s="586" t="e">
        <f t="shared" si="316"/>
        <v>#DIV/0!</v>
      </c>
      <c r="BH2807" s="571" t="e">
        <f t="shared" si="317"/>
        <v>#DIV/0!</v>
      </c>
    </row>
    <row r="2808" spans="55:60" s="39" customFormat="1">
      <c r="BC2808" s="573">
        <v>27.97</v>
      </c>
      <c r="BD2808" s="571">
        <f t="shared" si="314"/>
        <v>0</v>
      </c>
      <c r="BE2808" s="571">
        <f t="shared" si="318"/>
        <v>0</v>
      </c>
      <c r="BF2808" s="586">
        <f t="shared" si="315"/>
        <v>0</v>
      </c>
      <c r="BG2808" s="586" t="e">
        <f t="shared" si="316"/>
        <v>#DIV/0!</v>
      </c>
      <c r="BH2808" s="571" t="e">
        <f t="shared" si="317"/>
        <v>#DIV/0!</v>
      </c>
    </row>
    <row r="2809" spans="55:60" s="39" customFormat="1">
      <c r="BC2809" s="573">
        <v>27.98</v>
      </c>
      <c r="BD2809" s="571">
        <f t="shared" si="314"/>
        <v>0</v>
      </c>
      <c r="BE2809" s="571">
        <f t="shared" si="318"/>
        <v>0</v>
      </c>
      <c r="BF2809" s="586">
        <f t="shared" si="315"/>
        <v>0</v>
      </c>
      <c r="BG2809" s="586" t="e">
        <f t="shared" si="316"/>
        <v>#DIV/0!</v>
      </c>
      <c r="BH2809" s="571" t="e">
        <f t="shared" si="317"/>
        <v>#DIV/0!</v>
      </c>
    </row>
    <row r="2810" spans="55:60" s="39" customFormat="1">
      <c r="BC2810" s="573">
        <v>27.99</v>
      </c>
      <c r="BD2810" s="571">
        <f t="shared" si="314"/>
        <v>0</v>
      </c>
      <c r="BE2810" s="571">
        <f t="shared" si="318"/>
        <v>0</v>
      </c>
      <c r="BF2810" s="586">
        <f t="shared" si="315"/>
        <v>0</v>
      </c>
      <c r="BG2810" s="586" t="e">
        <f t="shared" si="316"/>
        <v>#DIV/0!</v>
      </c>
      <c r="BH2810" s="571" t="e">
        <f t="shared" si="317"/>
        <v>#DIV/0!</v>
      </c>
    </row>
    <row r="2811" spans="55:60" s="39" customFormat="1">
      <c r="BC2811" s="573">
        <v>28</v>
      </c>
      <c r="BD2811" s="571">
        <f t="shared" si="314"/>
        <v>0</v>
      </c>
      <c r="BE2811" s="571">
        <f t="shared" si="318"/>
        <v>0</v>
      </c>
      <c r="BF2811" s="586">
        <f t="shared" si="315"/>
        <v>0</v>
      </c>
      <c r="BG2811" s="586" t="e">
        <f t="shared" si="316"/>
        <v>#DIV/0!</v>
      </c>
      <c r="BH2811" s="571" t="e">
        <f t="shared" si="317"/>
        <v>#DIV/0!</v>
      </c>
    </row>
    <row r="2812" spans="55:60" s="39" customFormat="1">
      <c r="BC2812" s="573">
        <v>28.01</v>
      </c>
      <c r="BD2812" s="571">
        <f t="shared" si="314"/>
        <v>0</v>
      </c>
      <c r="BE2812" s="571">
        <f t="shared" si="318"/>
        <v>0</v>
      </c>
      <c r="BF2812" s="586">
        <f t="shared" si="315"/>
        <v>0</v>
      </c>
      <c r="BG2812" s="586" t="e">
        <f t="shared" si="316"/>
        <v>#DIV/0!</v>
      </c>
      <c r="BH2812" s="571" t="e">
        <f t="shared" si="317"/>
        <v>#DIV/0!</v>
      </c>
    </row>
    <row r="2813" spans="55:60" s="39" customFormat="1">
      <c r="BC2813" s="573">
        <v>28.02</v>
      </c>
      <c r="BD2813" s="571">
        <f t="shared" si="314"/>
        <v>0</v>
      </c>
      <c r="BE2813" s="571">
        <f t="shared" si="318"/>
        <v>0</v>
      </c>
      <c r="BF2813" s="586">
        <f t="shared" si="315"/>
        <v>0</v>
      </c>
      <c r="BG2813" s="586" t="e">
        <f t="shared" si="316"/>
        <v>#DIV/0!</v>
      </c>
      <c r="BH2813" s="571" t="e">
        <f t="shared" si="317"/>
        <v>#DIV/0!</v>
      </c>
    </row>
    <row r="2814" spans="55:60" s="39" customFormat="1">
      <c r="BC2814" s="573">
        <v>28.03</v>
      </c>
      <c r="BD2814" s="571">
        <f t="shared" si="314"/>
        <v>0</v>
      </c>
      <c r="BE2814" s="571">
        <f t="shared" si="318"/>
        <v>0</v>
      </c>
      <c r="BF2814" s="586">
        <f t="shared" si="315"/>
        <v>0</v>
      </c>
      <c r="BG2814" s="586" t="e">
        <f t="shared" si="316"/>
        <v>#DIV/0!</v>
      </c>
      <c r="BH2814" s="571" t="e">
        <f t="shared" si="317"/>
        <v>#DIV/0!</v>
      </c>
    </row>
    <row r="2815" spans="55:60" s="39" customFormat="1">
      <c r="BC2815" s="573">
        <v>28.04</v>
      </c>
      <c r="BD2815" s="571">
        <f t="shared" si="314"/>
        <v>0</v>
      </c>
      <c r="BE2815" s="571">
        <f t="shared" si="318"/>
        <v>0</v>
      </c>
      <c r="BF2815" s="586">
        <f t="shared" si="315"/>
        <v>0</v>
      </c>
      <c r="BG2815" s="586" t="e">
        <f t="shared" si="316"/>
        <v>#DIV/0!</v>
      </c>
      <c r="BH2815" s="571" t="e">
        <f t="shared" si="317"/>
        <v>#DIV/0!</v>
      </c>
    </row>
    <row r="2816" spans="55:60" s="39" customFormat="1">
      <c r="BC2816" s="573">
        <v>28.05</v>
      </c>
      <c r="BD2816" s="571">
        <f t="shared" si="314"/>
        <v>0</v>
      </c>
      <c r="BE2816" s="571">
        <f t="shared" si="318"/>
        <v>0</v>
      </c>
      <c r="BF2816" s="586">
        <f t="shared" si="315"/>
        <v>0</v>
      </c>
      <c r="BG2816" s="586" t="e">
        <f t="shared" si="316"/>
        <v>#DIV/0!</v>
      </c>
      <c r="BH2816" s="571" t="e">
        <f t="shared" si="317"/>
        <v>#DIV/0!</v>
      </c>
    </row>
    <row r="2817" spans="55:60" s="39" customFormat="1">
      <c r="BC2817" s="573">
        <v>28.06</v>
      </c>
      <c r="BD2817" s="571">
        <f t="shared" si="314"/>
        <v>0</v>
      </c>
      <c r="BE2817" s="571">
        <f t="shared" si="318"/>
        <v>0</v>
      </c>
      <c r="BF2817" s="586">
        <f t="shared" si="315"/>
        <v>0</v>
      </c>
      <c r="BG2817" s="586" t="e">
        <f t="shared" si="316"/>
        <v>#DIV/0!</v>
      </c>
      <c r="BH2817" s="571" t="e">
        <f t="shared" si="317"/>
        <v>#DIV/0!</v>
      </c>
    </row>
    <row r="2818" spans="55:60" s="39" customFormat="1">
      <c r="BC2818" s="573">
        <v>28.07</v>
      </c>
      <c r="BD2818" s="571">
        <f t="shared" si="314"/>
        <v>0</v>
      </c>
      <c r="BE2818" s="571">
        <f t="shared" si="318"/>
        <v>0</v>
      </c>
      <c r="BF2818" s="586">
        <f t="shared" si="315"/>
        <v>0</v>
      </c>
      <c r="BG2818" s="586" t="e">
        <f t="shared" si="316"/>
        <v>#DIV/0!</v>
      </c>
      <c r="BH2818" s="571" t="e">
        <f t="shared" si="317"/>
        <v>#DIV/0!</v>
      </c>
    </row>
    <row r="2819" spans="55:60" s="39" customFormat="1">
      <c r="BC2819" s="573">
        <v>28.08</v>
      </c>
      <c r="BD2819" s="571">
        <f t="shared" si="314"/>
        <v>0</v>
      </c>
      <c r="BE2819" s="571">
        <f t="shared" si="318"/>
        <v>0</v>
      </c>
      <c r="BF2819" s="586">
        <f t="shared" si="315"/>
        <v>0</v>
      </c>
      <c r="BG2819" s="586" t="e">
        <f t="shared" si="316"/>
        <v>#DIV/0!</v>
      </c>
      <c r="BH2819" s="571" t="e">
        <f t="shared" si="317"/>
        <v>#DIV/0!</v>
      </c>
    </row>
    <row r="2820" spans="55:60" s="39" customFormat="1">
      <c r="BC2820" s="573">
        <v>28.09</v>
      </c>
      <c r="BD2820" s="571">
        <f t="shared" si="314"/>
        <v>0</v>
      </c>
      <c r="BE2820" s="571">
        <f t="shared" si="318"/>
        <v>0</v>
      </c>
      <c r="BF2820" s="586">
        <f t="shared" si="315"/>
        <v>0</v>
      </c>
      <c r="BG2820" s="586" t="e">
        <f t="shared" si="316"/>
        <v>#DIV/0!</v>
      </c>
      <c r="BH2820" s="571" t="e">
        <f t="shared" si="317"/>
        <v>#DIV/0!</v>
      </c>
    </row>
    <row r="2821" spans="55:60" s="39" customFormat="1">
      <c r="BC2821" s="573">
        <v>28.1</v>
      </c>
      <c r="BD2821" s="571">
        <f t="shared" si="314"/>
        <v>0</v>
      </c>
      <c r="BE2821" s="571">
        <f t="shared" si="318"/>
        <v>0</v>
      </c>
      <c r="BF2821" s="586">
        <f t="shared" si="315"/>
        <v>0</v>
      </c>
      <c r="BG2821" s="586" t="e">
        <f t="shared" si="316"/>
        <v>#DIV/0!</v>
      </c>
      <c r="BH2821" s="571" t="e">
        <f t="shared" si="317"/>
        <v>#DIV/0!</v>
      </c>
    </row>
    <row r="2822" spans="55:60" s="39" customFormat="1">
      <c r="BC2822" s="573">
        <v>28.11</v>
      </c>
      <c r="BD2822" s="571">
        <f t="shared" si="314"/>
        <v>0</v>
      </c>
      <c r="BE2822" s="571">
        <f t="shared" si="318"/>
        <v>0</v>
      </c>
      <c r="BF2822" s="586">
        <f t="shared" si="315"/>
        <v>0</v>
      </c>
      <c r="BG2822" s="586" t="e">
        <f t="shared" si="316"/>
        <v>#DIV/0!</v>
      </c>
      <c r="BH2822" s="571" t="e">
        <f t="shared" si="317"/>
        <v>#DIV/0!</v>
      </c>
    </row>
    <row r="2823" spans="55:60" s="39" customFormat="1">
      <c r="BC2823" s="573">
        <v>28.12</v>
      </c>
      <c r="BD2823" s="571">
        <f t="shared" si="314"/>
        <v>0</v>
      </c>
      <c r="BE2823" s="571">
        <f t="shared" si="318"/>
        <v>0</v>
      </c>
      <c r="BF2823" s="586">
        <f t="shared" si="315"/>
        <v>0</v>
      </c>
      <c r="BG2823" s="586" t="e">
        <f t="shared" si="316"/>
        <v>#DIV/0!</v>
      </c>
      <c r="BH2823" s="571" t="e">
        <f t="shared" si="317"/>
        <v>#DIV/0!</v>
      </c>
    </row>
    <row r="2824" spans="55:60" s="39" customFormat="1">
      <c r="BC2824" s="573">
        <v>28.13</v>
      </c>
      <c r="BD2824" s="571">
        <f t="shared" si="314"/>
        <v>0</v>
      </c>
      <c r="BE2824" s="571">
        <f t="shared" si="318"/>
        <v>0</v>
      </c>
      <c r="BF2824" s="586">
        <f t="shared" si="315"/>
        <v>0</v>
      </c>
      <c r="BG2824" s="586" t="e">
        <f t="shared" si="316"/>
        <v>#DIV/0!</v>
      </c>
      <c r="BH2824" s="571" t="e">
        <f t="shared" si="317"/>
        <v>#DIV/0!</v>
      </c>
    </row>
    <row r="2825" spans="55:60" s="39" customFormat="1">
      <c r="BC2825" s="573">
        <v>28.14</v>
      </c>
      <c r="BD2825" s="571">
        <f t="shared" si="314"/>
        <v>0</v>
      </c>
      <c r="BE2825" s="571">
        <f t="shared" si="318"/>
        <v>0</v>
      </c>
      <c r="BF2825" s="586">
        <f t="shared" si="315"/>
        <v>0</v>
      </c>
      <c r="BG2825" s="586" t="e">
        <f t="shared" si="316"/>
        <v>#DIV/0!</v>
      </c>
      <c r="BH2825" s="571" t="e">
        <f t="shared" si="317"/>
        <v>#DIV/0!</v>
      </c>
    </row>
    <row r="2826" spans="55:60" s="39" customFormat="1">
      <c r="BC2826" s="573">
        <v>28.15</v>
      </c>
      <c r="BD2826" s="571">
        <f t="shared" si="314"/>
        <v>0</v>
      </c>
      <c r="BE2826" s="571">
        <f t="shared" si="318"/>
        <v>0</v>
      </c>
      <c r="BF2826" s="586">
        <f t="shared" si="315"/>
        <v>0</v>
      </c>
      <c r="BG2826" s="586" t="e">
        <f t="shared" si="316"/>
        <v>#DIV/0!</v>
      </c>
      <c r="BH2826" s="571" t="e">
        <f t="shared" si="317"/>
        <v>#DIV/0!</v>
      </c>
    </row>
    <row r="2827" spans="55:60" s="39" customFormat="1">
      <c r="BC2827" s="573">
        <v>28.16</v>
      </c>
      <c r="BD2827" s="571">
        <f t="shared" si="314"/>
        <v>0</v>
      </c>
      <c r="BE2827" s="571">
        <f t="shared" si="318"/>
        <v>0</v>
      </c>
      <c r="BF2827" s="586">
        <f t="shared" si="315"/>
        <v>0</v>
      </c>
      <c r="BG2827" s="586" t="e">
        <f t="shared" si="316"/>
        <v>#DIV/0!</v>
      </c>
      <c r="BH2827" s="571" t="e">
        <f t="shared" si="317"/>
        <v>#DIV/0!</v>
      </c>
    </row>
    <row r="2828" spans="55:60" s="39" customFormat="1">
      <c r="BC2828" s="573">
        <v>28.17</v>
      </c>
      <c r="BD2828" s="571">
        <f t="shared" ref="BD2828:BD2891" si="319">$AU$15/BC2828</f>
        <v>0</v>
      </c>
      <c r="BE2828" s="571">
        <f t="shared" si="318"/>
        <v>0</v>
      </c>
      <c r="BF2828" s="586">
        <f t="shared" ref="BF2828:BF2891" si="320">BC2828*(BE2828/1000)/$AO$12</f>
        <v>0</v>
      </c>
      <c r="BG2828" s="586" t="e">
        <f t="shared" ref="BG2828:BG2891" si="321">POWER((1/(-1.8*LOG((6.9/BF2828+POWER((($P$7/BE2828)/3.71),1.11)),10))),2)</f>
        <v>#DIV/0!</v>
      </c>
      <c r="BH2828" s="571" t="e">
        <f t="shared" ref="BH2828:BH2891" si="322">BG2828*0.5*$P$6*16*$AU$15*$AU$15/(POWER(PI(),2)*POWER((BE2828/1000),5))</f>
        <v>#DIV/0!</v>
      </c>
    </row>
    <row r="2829" spans="55:60" s="39" customFormat="1">
      <c r="BC2829" s="573">
        <v>28.18</v>
      </c>
      <c r="BD2829" s="571">
        <f t="shared" si="319"/>
        <v>0</v>
      </c>
      <c r="BE2829" s="571">
        <f t="shared" ref="BE2829:BE2892" si="323">((BD2829/PI())^0.5)*2*1000</f>
        <v>0</v>
      </c>
      <c r="BF2829" s="586">
        <f t="shared" si="320"/>
        <v>0</v>
      </c>
      <c r="BG2829" s="586" t="e">
        <f t="shared" si="321"/>
        <v>#DIV/0!</v>
      </c>
      <c r="BH2829" s="571" t="e">
        <f t="shared" si="322"/>
        <v>#DIV/0!</v>
      </c>
    </row>
    <row r="2830" spans="55:60" s="39" customFormat="1">
      <c r="BC2830" s="573">
        <v>28.19</v>
      </c>
      <c r="BD2830" s="571">
        <f t="shared" si="319"/>
        <v>0</v>
      </c>
      <c r="BE2830" s="571">
        <f t="shared" si="323"/>
        <v>0</v>
      </c>
      <c r="BF2830" s="586">
        <f t="shared" si="320"/>
        <v>0</v>
      </c>
      <c r="BG2830" s="586" t="e">
        <f t="shared" si="321"/>
        <v>#DIV/0!</v>
      </c>
      <c r="BH2830" s="571" t="e">
        <f t="shared" si="322"/>
        <v>#DIV/0!</v>
      </c>
    </row>
    <row r="2831" spans="55:60" s="39" customFormat="1">
      <c r="BC2831" s="573">
        <v>28.2</v>
      </c>
      <c r="BD2831" s="571">
        <f t="shared" si="319"/>
        <v>0</v>
      </c>
      <c r="BE2831" s="571">
        <f t="shared" si="323"/>
        <v>0</v>
      </c>
      <c r="BF2831" s="586">
        <f t="shared" si="320"/>
        <v>0</v>
      </c>
      <c r="BG2831" s="586" t="e">
        <f t="shared" si="321"/>
        <v>#DIV/0!</v>
      </c>
      <c r="BH2831" s="571" t="e">
        <f t="shared" si="322"/>
        <v>#DIV/0!</v>
      </c>
    </row>
    <row r="2832" spans="55:60" s="39" customFormat="1">
      <c r="BC2832" s="573">
        <v>28.21</v>
      </c>
      <c r="BD2832" s="571">
        <f t="shared" si="319"/>
        <v>0</v>
      </c>
      <c r="BE2832" s="571">
        <f t="shared" si="323"/>
        <v>0</v>
      </c>
      <c r="BF2832" s="586">
        <f t="shared" si="320"/>
        <v>0</v>
      </c>
      <c r="BG2832" s="586" t="e">
        <f t="shared" si="321"/>
        <v>#DIV/0!</v>
      </c>
      <c r="BH2832" s="571" t="e">
        <f t="shared" si="322"/>
        <v>#DIV/0!</v>
      </c>
    </row>
    <row r="2833" spans="55:60" s="39" customFormat="1">
      <c r="BC2833" s="573">
        <v>28.22</v>
      </c>
      <c r="BD2833" s="571">
        <f t="shared" si="319"/>
        <v>0</v>
      </c>
      <c r="BE2833" s="571">
        <f t="shared" si="323"/>
        <v>0</v>
      </c>
      <c r="BF2833" s="586">
        <f t="shared" si="320"/>
        <v>0</v>
      </c>
      <c r="BG2833" s="586" t="e">
        <f t="shared" si="321"/>
        <v>#DIV/0!</v>
      </c>
      <c r="BH2833" s="571" t="e">
        <f t="shared" si="322"/>
        <v>#DIV/0!</v>
      </c>
    </row>
    <row r="2834" spans="55:60" s="39" customFormat="1">
      <c r="BC2834" s="573">
        <v>28.23</v>
      </c>
      <c r="BD2834" s="571">
        <f t="shared" si="319"/>
        <v>0</v>
      </c>
      <c r="BE2834" s="571">
        <f t="shared" si="323"/>
        <v>0</v>
      </c>
      <c r="BF2834" s="586">
        <f t="shared" si="320"/>
        <v>0</v>
      </c>
      <c r="BG2834" s="586" t="e">
        <f t="shared" si="321"/>
        <v>#DIV/0!</v>
      </c>
      <c r="BH2834" s="571" t="e">
        <f t="shared" si="322"/>
        <v>#DIV/0!</v>
      </c>
    </row>
    <row r="2835" spans="55:60" s="39" customFormat="1">
      <c r="BC2835" s="573">
        <v>28.24</v>
      </c>
      <c r="BD2835" s="571">
        <f t="shared" si="319"/>
        <v>0</v>
      </c>
      <c r="BE2835" s="571">
        <f t="shared" si="323"/>
        <v>0</v>
      </c>
      <c r="BF2835" s="586">
        <f t="shared" si="320"/>
        <v>0</v>
      </c>
      <c r="BG2835" s="586" t="e">
        <f t="shared" si="321"/>
        <v>#DIV/0!</v>
      </c>
      <c r="BH2835" s="571" t="e">
        <f t="shared" si="322"/>
        <v>#DIV/0!</v>
      </c>
    </row>
    <row r="2836" spans="55:60" s="39" customFormat="1">
      <c r="BC2836" s="573">
        <v>28.25</v>
      </c>
      <c r="BD2836" s="571">
        <f t="shared" si="319"/>
        <v>0</v>
      </c>
      <c r="BE2836" s="571">
        <f t="shared" si="323"/>
        <v>0</v>
      </c>
      <c r="BF2836" s="586">
        <f t="shared" si="320"/>
        <v>0</v>
      </c>
      <c r="BG2836" s="586" t="e">
        <f t="shared" si="321"/>
        <v>#DIV/0!</v>
      </c>
      <c r="BH2836" s="571" t="e">
        <f t="shared" si="322"/>
        <v>#DIV/0!</v>
      </c>
    </row>
    <row r="2837" spans="55:60" s="39" customFormat="1">
      <c r="BC2837" s="573">
        <v>28.26</v>
      </c>
      <c r="BD2837" s="571">
        <f t="shared" si="319"/>
        <v>0</v>
      </c>
      <c r="BE2837" s="571">
        <f t="shared" si="323"/>
        <v>0</v>
      </c>
      <c r="BF2837" s="586">
        <f t="shared" si="320"/>
        <v>0</v>
      </c>
      <c r="BG2837" s="586" t="e">
        <f t="shared" si="321"/>
        <v>#DIV/0!</v>
      </c>
      <c r="BH2837" s="571" t="e">
        <f t="shared" si="322"/>
        <v>#DIV/0!</v>
      </c>
    </row>
    <row r="2838" spans="55:60" s="39" customFormat="1">
      <c r="BC2838" s="573">
        <v>28.27</v>
      </c>
      <c r="BD2838" s="571">
        <f t="shared" si="319"/>
        <v>0</v>
      </c>
      <c r="BE2838" s="571">
        <f t="shared" si="323"/>
        <v>0</v>
      </c>
      <c r="BF2838" s="586">
        <f t="shared" si="320"/>
        <v>0</v>
      </c>
      <c r="BG2838" s="586" t="e">
        <f t="shared" si="321"/>
        <v>#DIV/0!</v>
      </c>
      <c r="BH2838" s="571" t="e">
        <f t="shared" si="322"/>
        <v>#DIV/0!</v>
      </c>
    </row>
    <row r="2839" spans="55:60" s="39" customFormat="1">
      <c r="BC2839" s="573">
        <v>28.28</v>
      </c>
      <c r="BD2839" s="571">
        <f t="shared" si="319"/>
        <v>0</v>
      </c>
      <c r="BE2839" s="571">
        <f t="shared" si="323"/>
        <v>0</v>
      </c>
      <c r="BF2839" s="586">
        <f t="shared" si="320"/>
        <v>0</v>
      </c>
      <c r="BG2839" s="586" t="e">
        <f t="shared" si="321"/>
        <v>#DIV/0!</v>
      </c>
      <c r="BH2839" s="571" t="e">
        <f t="shared" si="322"/>
        <v>#DIV/0!</v>
      </c>
    </row>
    <row r="2840" spans="55:60" s="39" customFormat="1">
      <c r="BC2840" s="573">
        <v>28.29</v>
      </c>
      <c r="BD2840" s="571">
        <f t="shared" si="319"/>
        <v>0</v>
      </c>
      <c r="BE2840" s="571">
        <f t="shared" si="323"/>
        <v>0</v>
      </c>
      <c r="BF2840" s="586">
        <f t="shared" si="320"/>
        <v>0</v>
      </c>
      <c r="BG2840" s="586" t="e">
        <f t="shared" si="321"/>
        <v>#DIV/0!</v>
      </c>
      <c r="BH2840" s="571" t="e">
        <f t="shared" si="322"/>
        <v>#DIV/0!</v>
      </c>
    </row>
    <row r="2841" spans="55:60" s="39" customFormat="1">
      <c r="BC2841" s="573">
        <v>28.3</v>
      </c>
      <c r="BD2841" s="571">
        <f t="shared" si="319"/>
        <v>0</v>
      </c>
      <c r="BE2841" s="571">
        <f t="shared" si="323"/>
        <v>0</v>
      </c>
      <c r="BF2841" s="586">
        <f t="shared" si="320"/>
        <v>0</v>
      </c>
      <c r="BG2841" s="586" t="e">
        <f t="shared" si="321"/>
        <v>#DIV/0!</v>
      </c>
      <c r="BH2841" s="571" t="e">
        <f t="shared" si="322"/>
        <v>#DIV/0!</v>
      </c>
    </row>
    <row r="2842" spans="55:60" s="39" customFormat="1">
      <c r="BC2842" s="573">
        <v>28.31</v>
      </c>
      <c r="BD2842" s="571">
        <f t="shared" si="319"/>
        <v>0</v>
      </c>
      <c r="BE2842" s="571">
        <f t="shared" si="323"/>
        <v>0</v>
      </c>
      <c r="BF2842" s="586">
        <f t="shared" si="320"/>
        <v>0</v>
      </c>
      <c r="BG2842" s="586" t="e">
        <f t="shared" si="321"/>
        <v>#DIV/0!</v>
      </c>
      <c r="BH2842" s="571" t="e">
        <f t="shared" si="322"/>
        <v>#DIV/0!</v>
      </c>
    </row>
    <row r="2843" spans="55:60" s="39" customFormat="1">
      <c r="BC2843" s="573">
        <v>28.32</v>
      </c>
      <c r="BD2843" s="571">
        <f t="shared" si="319"/>
        <v>0</v>
      </c>
      <c r="BE2843" s="571">
        <f t="shared" si="323"/>
        <v>0</v>
      </c>
      <c r="BF2843" s="586">
        <f t="shared" si="320"/>
        <v>0</v>
      </c>
      <c r="BG2843" s="586" t="e">
        <f t="shared" si="321"/>
        <v>#DIV/0!</v>
      </c>
      <c r="BH2843" s="571" t="e">
        <f t="shared" si="322"/>
        <v>#DIV/0!</v>
      </c>
    </row>
    <row r="2844" spans="55:60" s="39" customFormat="1">
      <c r="BC2844" s="573">
        <v>28.33</v>
      </c>
      <c r="BD2844" s="571">
        <f t="shared" si="319"/>
        <v>0</v>
      </c>
      <c r="BE2844" s="571">
        <f t="shared" si="323"/>
        <v>0</v>
      </c>
      <c r="BF2844" s="586">
        <f t="shared" si="320"/>
        <v>0</v>
      </c>
      <c r="BG2844" s="586" t="e">
        <f t="shared" si="321"/>
        <v>#DIV/0!</v>
      </c>
      <c r="BH2844" s="571" t="e">
        <f t="shared" si="322"/>
        <v>#DIV/0!</v>
      </c>
    </row>
    <row r="2845" spans="55:60" s="39" customFormat="1">
      <c r="BC2845" s="573">
        <v>28.34</v>
      </c>
      <c r="BD2845" s="571">
        <f t="shared" si="319"/>
        <v>0</v>
      </c>
      <c r="BE2845" s="571">
        <f t="shared" si="323"/>
        <v>0</v>
      </c>
      <c r="BF2845" s="586">
        <f t="shared" si="320"/>
        <v>0</v>
      </c>
      <c r="BG2845" s="586" t="e">
        <f t="shared" si="321"/>
        <v>#DIV/0!</v>
      </c>
      <c r="BH2845" s="571" t="e">
        <f t="shared" si="322"/>
        <v>#DIV/0!</v>
      </c>
    </row>
    <row r="2846" spans="55:60" s="39" customFormat="1">
      <c r="BC2846" s="573">
        <v>28.35</v>
      </c>
      <c r="BD2846" s="571">
        <f t="shared" si="319"/>
        <v>0</v>
      </c>
      <c r="BE2846" s="571">
        <f t="shared" si="323"/>
        <v>0</v>
      </c>
      <c r="BF2846" s="586">
        <f t="shared" si="320"/>
        <v>0</v>
      </c>
      <c r="BG2846" s="586" t="e">
        <f t="shared" si="321"/>
        <v>#DIV/0!</v>
      </c>
      <c r="BH2846" s="571" t="e">
        <f t="shared" si="322"/>
        <v>#DIV/0!</v>
      </c>
    </row>
    <row r="2847" spans="55:60" s="39" customFormat="1">
      <c r="BC2847" s="573">
        <v>28.36</v>
      </c>
      <c r="BD2847" s="571">
        <f t="shared" si="319"/>
        <v>0</v>
      </c>
      <c r="BE2847" s="571">
        <f t="shared" si="323"/>
        <v>0</v>
      </c>
      <c r="BF2847" s="586">
        <f t="shared" si="320"/>
        <v>0</v>
      </c>
      <c r="BG2847" s="586" t="e">
        <f t="shared" si="321"/>
        <v>#DIV/0!</v>
      </c>
      <c r="BH2847" s="571" t="e">
        <f t="shared" si="322"/>
        <v>#DIV/0!</v>
      </c>
    </row>
    <row r="2848" spans="55:60" s="39" customFormat="1">
      <c r="BC2848" s="573">
        <v>28.37</v>
      </c>
      <c r="BD2848" s="571">
        <f t="shared" si="319"/>
        <v>0</v>
      </c>
      <c r="BE2848" s="571">
        <f t="shared" si="323"/>
        <v>0</v>
      </c>
      <c r="BF2848" s="586">
        <f t="shared" si="320"/>
        <v>0</v>
      </c>
      <c r="BG2848" s="586" t="e">
        <f t="shared" si="321"/>
        <v>#DIV/0!</v>
      </c>
      <c r="BH2848" s="571" t="e">
        <f t="shared" si="322"/>
        <v>#DIV/0!</v>
      </c>
    </row>
    <row r="2849" spans="55:60" s="39" customFormat="1">
      <c r="BC2849" s="573">
        <v>28.38</v>
      </c>
      <c r="BD2849" s="571">
        <f t="shared" si="319"/>
        <v>0</v>
      </c>
      <c r="BE2849" s="571">
        <f t="shared" si="323"/>
        <v>0</v>
      </c>
      <c r="BF2849" s="586">
        <f t="shared" si="320"/>
        <v>0</v>
      </c>
      <c r="BG2849" s="586" t="e">
        <f t="shared" si="321"/>
        <v>#DIV/0!</v>
      </c>
      <c r="BH2849" s="571" t="e">
        <f t="shared" si="322"/>
        <v>#DIV/0!</v>
      </c>
    </row>
    <row r="2850" spans="55:60" s="39" customFormat="1">
      <c r="BC2850" s="573">
        <v>28.39</v>
      </c>
      <c r="BD2850" s="571">
        <f t="shared" si="319"/>
        <v>0</v>
      </c>
      <c r="BE2850" s="571">
        <f t="shared" si="323"/>
        <v>0</v>
      </c>
      <c r="BF2850" s="586">
        <f t="shared" si="320"/>
        <v>0</v>
      </c>
      <c r="BG2850" s="586" t="e">
        <f t="shared" si="321"/>
        <v>#DIV/0!</v>
      </c>
      <c r="BH2850" s="571" t="e">
        <f t="shared" si="322"/>
        <v>#DIV/0!</v>
      </c>
    </row>
    <row r="2851" spans="55:60" s="39" customFormat="1">
      <c r="BC2851" s="573">
        <v>28.4</v>
      </c>
      <c r="BD2851" s="571">
        <f t="shared" si="319"/>
        <v>0</v>
      </c>
      <c r="BE2851" s="571">
        <f t="shared" si="323"/>
        <v>0</v>
      </c>
      <c r="BF2851" s="586">
        <f t="shared" si="320"/>
        <v>0</v>
      </c>
      <c r="BG2851" s="586" t="e">
        <f t="shared" si="321"/>
        <v>#DIV/0!</v>
      </c>
      <c r="BH2851" s="571" t="e">
        <f t="shared" si="322"/>
        <v>#DIV/0!</v>
      </c>
    </row>
    <row r="2852" spans="55:60" s="39" customFormat="1">
      <c r="BC2852" s="573">
        <v>28.41</v>
      </c>
      <c r="BD2852" s="571">
        <f t="shared" si="319"/>
        <v>0</v>
      </c>
      <c r="BE2852" s="571">
        <f t="shared" si="323"/>
        <v>0</v>
      </c>
      <c r="BF2852" s="586">
        <f t="shared" si="320"/>
        <v>0</v>
      </c>
      <c r="BG2852" s="586" t="e">
        <f t="shared" si="321"/>
        <v>#DIV/0!</v>
      </c>
      <c r="BH2852" s="571" t="e">
        <f t="shared" si="322"/>
        <v>#DIV/0!</v>
      </c>
    </row>
    <row r="2853" spans="55:60" s="39" customFormat="1">
      <c r="BC2853" s="573">
        <v>28.42</v>
      </c>
      <c r="BD2853" s="571">
        <f t="shared" si="319"/>
        <v>0</v>
      </c>
      <c r="BE2853" s="571">
        <f t="shared" si="323"/>
        <v>0</v>
      </c>
      <c r="BF2853" s="586">
        <f t="shared" si="320"/>
        <v>0</v>
      </c>
      <c r="BG2853" s="586" t="e">
        <f t="shared" si="321"/>
        <v>#DIV/0!</v>
      </c>
      <c r="BH2853" s="571" t="e">
        <f t="shared" si="322"/>
        <v>#DIV/0!</v>
      </c>
    </row>
    <row r="2854" spans="55:60" s="39" customFormat="1">
      <c r="BC2854" s="573">
        <v>28.43</v>
      </c>
      <c r="BD2854" s="571">
        <f t="shared" si="319"/>
        <v>0</v>
      </c>
      <c r="BE2854" s="571">
        <f t="shared" si="323"/>
        <v>0</v>
      </c>
      <c r="BF2854" s="586">
        <f t="shared" si="320"/>
        <v>0</v>
      </c>
      <c r="BG2854" s="586" t="e">
        <f t="shared" si="321"/>
        <v>#DIV/0!</v>
      </c>
      <c r="BH2854" s="571" t="e">
        <f t="shared" si="322"/>
        <v>#DIV/0!</v>
      </c>
    </row>
    <row r="2855" spans="55:60" s="39" customFormat="1">
      <c r="BC2855" s="573">
        <v>28.44</v>
      </c>
      <c r="BD2855" s="571">
        <f t="shared" si="319"/>
        <v>0</v>
      </c>
      <c r="BE2855" s="571">
        <f t="shared" si="323"/>
        <v>0</v>
      </c>
      <c r="BF2855" s="586">
        <f t="shared" si="320"/>
        <v>0</v>
      </c>
      <c r="BG2855" s="586" t="e">
        <f t="shared" si="321"/>
        <v>#DIV/0!</v>
      </c>
      <c r="BH2855" s="571" t="e">
        <f t="shared" si="322"/>
        <v>#DIV/0!</v>
      </c>
    </row>
    <row r="2856" spans="55:60" s="39" customFormat="1">
      <c r="BC2856" s="573">
        <v>28.45</v>
      </c>
      <c r="BD2856" s="571">
        <f t="shared" si="319"/>
        <v>0</v>
      </c>
      <c r="BE2856" s="571">
        <f t="shared" si="323"/>
        <v>0</v>
      </c>
      <c r="BF2856" s="586">
        <f t="shared" si="320"/>
        <v>0</v>
      </c>
      <c r="BG2856" s="586" t="e">
        <f t="shared" si="321"/>
        <v>#DIV/0!</v>
      </c>
      <c r="BH2856" s="571" t="e">
        <f t="shared" si="322"/>
        <v>#DIV/0!</v>
      </c>
    </row>
    <row r="2857" spans="55:60" s="39" customFormat="1">
      <c r="BC2857" s="573">
        <v>28.46</v>
      </c>
      <c r="BD2857" s="571">
        <f t="shared" si="319"/>
        <v>0</v>
      </c>
      <c r="BE2857" s="571">
        <f t="shared" si="323"/>
        <v>0</v>
      </c>
      <c r="BF2857" s="586">
        <f t="shared" si="320"/>
        <v>0</v>
      </c>
      <c r="BG2857" s="586" t="e">
        <f t="shared" si="321"/>
        <v>#DIV/0!</v>
      </c>
      <c r="BH2857" s="571" t="e">
        <f t="shared" si="322"/>
        <v>#DIV/0!</v>
      </c>
    </row>
    <row r="2858" spans="55:60" s="39" customFormat="1">
      <c r="BC2858" s="573">
        <v>28.47</v>
      </c>
      <c r="BD2858" s="571">
        <f t="shared" si="319"/>
        <v>0</v>
      </c>
      <c r="BE2858" s="571">
        <f t="shared" si="323"/>
        <v>0</v>
      </c>
      <c r="BF2858" s="586">
        <f t="shared" si="320"/>
        <v>0</v>
      </c>
      <c r="BG2858" s="586" t="e">
        <f t="shared" si="321"/>
        <v>#DIV/0!</v>
      </c>
      <c r="BH2858" s="571" t="e">
        <f t="shared" si="322"/>
        <v>#DIV/0!</v>
      </c>
    </row>
    <row r="2859" spans="55:60" s="39" customFormat="1">
      <c r="BC2859" s="573">
        <v>28.48</v>
      </c>
      <c r="BD2859" s="571">
        <f t="shared" si="319"/>
        <v>0</v>
      </c>
      <c r="BE2859" s="571">
        <f t="shared" si="323"/>
        <v>0</v>
      </c>
      <c r="BF2859" s="586">
        <f t="shared" si="320"/>
        <v>0</v>
      </c>
      <c r="BG2859" s="586" t="e">
        <f t="shared" si="321"/>
        <v>#DIV/0!</v>
      </c>
      <c r="BH2859" s="571" t="e">
        <f t="shared" si="322"/>
        <v>#DIV/0!</v>
      </c>
    </row>
    <row r="2860" spans="55:60" s="39" customFormat="1">
      <c r="BC2860" s="573">
        <v>28.49</v>
      </c>
      <c r="BD2860" s="571">
        <f t="shared" si="319"/>
        <v>0</v>
      </c>
      <c r="BE2860" s="571">
        <f t="shared" si="323"/>
        <v>0</v>
      </c>
      <c r="BF2860" s="586">
        <f t="shared" si="320"/>
        <v>0</v>
      </c>
      <c r="BG2860" s="586" t="e">
        <f t="shared" si="321"/>
        <v>#DIV/0!</v>
      </c>
      <c r="BH2860" s="571" t="e">
        <f t="shared" si="322"/>
        <v>#DIV/0!</v>
      </c>
    </row>
    <row r="2861" spans="55:60" s="39" customFormat="1">
      <c r="BC2861" s="573">
        <v>28.5</v>
      </c>
      <c r="BD2861" s="571">
        <f t="shared" si="319"/>
        <v>0</v>
      </c>
      <c r="BE2861" s="571">
        <f t="shared" si="323"/>
        <v>0</v>
      </c>
      <c r="BF2861" s="586">
        <f t="shared" si="320"/>
        <v>0</v>
      </c>
      <c r="BG2861" s="586" t="e">
        <f t="shared" si="321"/>
        <v>#DIV/0!</v>
      </c>
      <c r="BH2861" s="571" t="e">
        <f t="shared" si="322"/>
        <v>#DIV/0!</v>
      </c>
    </row>
    <row r="2862" spans="55:60" s="39" customFormat="1">
      <c r="BC2862" s="573">
        <v>28.51</v>
      </c>
      <c r="BD2862" s="571">
        <f t="shared" si="319"/>
        <v>0</v>
      </c>
      <c r="BE2862" s="571">
        <f t="shared" si="323"/>
        <v>0</v>
      </c>
      <c r="BF2862" s="586">
        <f t="shared" si="320"/>
        <v>0</v>
      </c>
      <c r="BG2862" s="586" t="e">
        <f t="shared" si="321"/>
        <v>#DIV/0!</v>
      </c>
      <c r="BH2862" s="571" t="e">
        <f t="shared" si="322"/>
        <v>#DIV/0!</v>
      </c>
    </row>
    <row r="2863" spans="55:60" s="39" customFormat="1">
      <c r="BC2863" s="573">
        <v>28.52</v>
      </c>
      <c r="BD2863" s="571">
        <f t="shared" si="319"/>
        <v>0</v>
      </c>
      <c r="BE2863" s="571">
        <f t="shared" si="323"/>
        <v>0</v>
      </c>
      <c r="BF2863" s="586">
        <f t="shared" si="320"/>
        <v>0</v>
      </c>
      <c r="BG2863" s="586" t="e">
        <f t="shared" si="321"/>
        <v>#DIV/0!</v>
      </c>
      <c r="BH2863" s="571" t="e">
        <f t="shared" si="322"/>
        <v>#DIV/0!</v>
      </c>
    </row>
    <row r="2864" spans="55:60" s="39" customFormat="1">
      <c r="BC2864" s="573">
        <v>28.53</v>
      </c>
      <c r="BD2864" s="571">
        <f t="shared" si="319"/>
        <v>0</v>
      </c>
      <c r="BE2864" s="571">
        <f t="shared" si="323"/>
        <v>0</v>
      </c>
      <c r="BF2864" s="586">
        <f t="shared" si="320"/>
        <v>0</v>
      </c>
      <c r="BG2864" s="586" t="e">
        <f t="shared" si="321"/>
        <v>#DIV/0!</v>
      </c>
      <c r="BH2864" s="571" t="e">
        <f t="shared" si="322"/>
        <v>#DIV/0!</v>
      </c>
    </row>
    <row r="2865" spans="55:60" s="39" customFormat="1">
      <c r="BC2865" s="573">
        <v>28.54</v>
      </c>
      <c r="BD2865" s="571">
        <f t="shared" si="319"/>
        <v>0</v>
      </c>
      <c r="BE2865" s="571">
        <f t="shared" si="323"/>
        <v>0</v>
      </c>
      <c r="BF2865" s="586">
        <f t="shared" si="320"/>
        <v>0</v>
      </c>
      <c r="BG2865" s="586" t="e">
        <f t="shared" si="321"/>
        <v>#DIV/0!</v>
      </c>
      <c r="BH2865" s="571" t="e">
        <f t="shared" si="322"/>
        <v>#DIV/0!</v>
      </c>
    </row>
    <row r="2866" spans="55:60" s="39" customFormat="1">
      <c r="BC2866" s="573">
        <v>28.55</v>
      </c>
      <c r="BD2866" s="571">
        <f t="shared" si="319"/>
        <v>0</v>
      </c>
      <c r="BE2866" s="571">
        <f t="shared" si="323"/>
        <v>0</v>
      </c>
      <c r="BF2866" s="586">
        <f t="shared" si="320"/>
        <v>0</v>
      </c>
      <c r="BG2866" s="586" t="e">
        <f t="shared" si="321"/>
        <v>#DIV/0!</v>
      </c>
      <c r="BH2866" s="571" t="e">
        <f t="shared" si="322"/>
        <v>#DIV/0!</v>
      </c>
    </row>
    <row r="2867" spans="55:60" s="39" customFormat="1">
      <c r="BC2867" s="573">
        <v>28.56</v>
      </c>
      <c r="BD2867" s="571">
        <f t="shared" si="319"/>
        <v>0</v>
      </c>
      <c r="BE2867" s="571">
        <f t="shared" si="323"/>
        <v>0</v>
      </c>
      <c r="BF2867" s="586">
        <f t="shared" si="320"/>
        <v>0</v>
      </c>
      <c r="BG2867" s="586" t="e">
        <f t="shared" si="321"/>
        <v>#DIV/0!</v>
      </c>
      <c r="BH2867" s="571" t="e">
        <f t="shared" si="322"/>
        <v>#DIV/0!</v>
      </c>
    </row>
    <row r="2868" spans="55:60" s="39" customFormat="1">
      <c r="BC2868" s="573">
        <v>28.57</v>
      </c>
      <c r="BD2868" s="571">
        <f t="shared" si="319"/>
        <v>0</v>
      </c>
      <c r="BE2868" s="571">
        <f t="shared" si="323"/>
        <v>0</v>
      </c>
      <c r="BF2868" s="586">
        <f t="shared" si="320"/>
        <v>0</v>
      </c>
      <c r="BG2868" s="586" t="e">
        <f t="shared" si="321"/>
        <v>#DIV/0!</v>
      </c>
      <c r="BH2868" s="571" t="e">
        <f t="shared" si="322"/>
        <v>#DIV/0!</v>
      </c>
    </row>
    <row r="2869" spans="55:60" s="39" customFormat="1">
      <c r="BC2869" s="573">
        <v>28.58</v>
      </c>
      <c r="BD2869" s="571">
        <f t="shared" si="319"/>
        <v>0</v>
      </c>
      <c r="BE2869" s="571">
        <f t="shared" si="323"/>
        <v>0</v>
      </c>
      <c r="BF2869" s="586">
        <f t="shared" si="320"/>
        <v>0</v>
      </c>
      <c r="BG2869" s="586" t="e">
        <f t="shared" si="321"/>
        <v>#DIV/0!</v>
      </c>
      <c r="BH2869" s="571" t="e">
        <f t="shared" si="322"/>
        <v>#DIV/0!</v>
      </c>
    </row>
    <row r="2870" spans="55:60" s="39" customFormat="1">
      <c r="BC2870" s="573">
        <v>28.59</v>
      </c>
      <c r="BD2870" s="571">
        <f t="shared" si="319"/>
        <v>0</v>
      </c>
      <c r="BE2870" s="571">
        <f t="shared" si="323"/>
        <v>0</v>
      </c>
      <c r="BF2870" s="586">
        <f t="shared" si="320"/>
        <v>0</v>
      </c>
      <c r="BG2870" s="586" t="e">
        <f t="shared" si="321"/>
        <v>#DIV/0!</v>
      </c>
      <c r="BH2870" s="571" t="e">
        <f t="shared" si="322"/>
        <v>#DIV/0!</v>
      </c>
    </row>
    <row r="2871" spans="55:60" s="39" customFormat="1">
      <c r="BC2871" s="573">
        <v>28.6</v>
      </c>
      <c r="BD2871" s="571">
        <f t="shared" si="319"/>
        <v>0</v>
      </c>
      <c r="BE2871" s="571">
        <f t="shared" si="323"/>
        <v>0</v>
      </c>
      <c r="BF2871" s="586">
        <f t="shared" si="320"/>
        <v>0</v>
      </c>
      <c r="BG2871" s="586" t="e">
        <f t="shared" si="321"/>
        <v>#DIV/0!</v>
      </c>
      <c r="BH2871" s="571" t="e">
        <f t="shared" si="322"/>
        <v>#DIV/0!</v>
      </c>
    </row>
    <row r="2872" spans="55:60" s="39" customFormat="1">
      <c r="BC2872" s="573">
        <v>28.61</v>
      </c>
      <c r="BD2872" s="571">
        <f t="shared" si="319"/>
        <v>0</v>
      </c>
      <c r="BE2872" s="571">
        <f t="shared" si="323"/>
        <v>0</v>
      </c>
      <c r="BF2872" s="586">
        <f t="shared" si="320"/>
        <v>0</v>
      </c>
      <c r="BG2872" s="586" t="e">
        <f t="shared" si="321"/>
        <v>#DIV/0!</v>
      </c>
      <c r="BH2872" s="571" t="e">
        <f t="shared" si="322"/>
        <v>#DIV/0!</v>
      </c>
    </row>
    <row r="2873" spans="55:60" s="39" customFormat="1">
      <c r="BC2873" s="573">
        <v>28.62</v>
      </c>
      <c r="BD2873" s="571">
        <f t="shared" si="319"/>
        <v>0</v>
      </c>
      <c r="BE2873" s="571">
        <f t="shared" si="323"/>
        <v>0</v>
      </c>
      <c r="BF2873" s="586">
        <f t="shared" si="320"/>
        <v>0</v>
      </c>
      <c r="BG2873" s="586" t="e">
        <f t="shared" si="321"/>
        <v>#DIV/0!</v>
      </c>
      <c r="BH2873" s="571" t="e">
        <f t="shared" si="322"/>
        <v>#DIV/0!</v>
      </c>
    </row>
    <row r="2874" spans="55:60" s="39" customFormat="1">
      <c r="BC2874" s="573">
        <v>28.63</v>
      </c>
      <c r="BD2874" s="571">
        <f t="shared" si="319"/>
        <v>0</v>
      </c>
      <c r="BE2874" s="571">
        <f t="shared" si="323"/>
        <v>0</v>
      </c>
      <c r="BF2874" s="586">
        <f t="shared" si="320"/>
        <v>0</v>
      </c>
      <c r="BG2874" s="586" t="e">
        <f t="shared" si="321"/>
        <v>#DIV/0!</v>
      </c>
      <c r="BH2874" s="571" t="e">
        <f t="shared" si="322"/>
        <v>#DIV/0!</v>
      </c>
    </row>
    <row r="2875" spans="55:60" s="39" customFormat="1">
      <c r="BC2875" s="573">
        <v>28.64</v>
      </c>
      <c r="BD2875" s="571">
        <f t="shared" si="319"/>
        <v>0</v>
      </c>
      <c r="BE2875" s="571">
        <f t="shared" si="323"/>
        <v>0</v>
      </c>
      <c r="BF2875" s="586">
        <f t="shared" si="320"/>
        <v>0</v>
      </c>
      <c r="BG2875" s="586" t="e">
        <f t="shared" si="321"/>
        <v>#DIV/0!</v>
      </c>
      <c r="BH2875" s="571" t="e">
        <f t="shared" si="322"/>
        <v>#DIV/0!</v>
      </c>
    </row>
    <row r="2876" spans="55:60" s="39" customFormat="1">
      <c r="BC2876" s="573">
        <v>28.65</v>
      </c>
      <c r="BD2876" s="571">
        <f t="shared" si="319"/>
        <v>0</v>
      </c>
      <c r="BE2876" s="571">
        <f t="shared" si="323"/>
        <v>0</v>
      </c>
      <c r="BF2876" s="586">
        <f t="shared" si="320"/>
        <v>0</v>
      </c>
      <c r="BG2876" s="586" t="e">
        <f t="shared" si="321"/>
        <v>#DIV/0!</v>
      </c>
      <c r="BH2876" s="571" t="e">
        <f t="shared" si="322"/>
        <v>#DIV/0!</v>
      </c>
    </row>
    <row r="2877" spans="55:60" s="39" customFormat="1">
      <c r="BC2877" s="573">
        <v>28.66</v>
      </c>
      <c r="BD2877" s="571">
        <f t="shared" si="319"/>
        <v>0</v>
      </c>
      <c r="BE2877" s="571">
        <f t="shared" si="323"/>
        <v>0</v>
      </c>
      <c r="BF2877" s="586">
        <f t="shared" si="320"/>
        <v>0</v>
      </c>
      <c r="BG2877" s="586" t="e">
        <f t="shared" si="321"/>
        <v>#DIV/0!</v>
      </c>
      <c r="BH2877" s="571" t="e">
        <f t="shared" si="322"/>
        <v>#DIV/0!</v>
      </c>
    </row>
    <row r="2878" spans="55:60" s="39" customFormat="1">
      <c r="BC2878" s="573">
        <v>28.67</v>
      </c>
      <c r="BD2878" s="571">
        <f t="shared" si="319"/>
        <v>0</v>
      </c>
      <c r="BE2878" s="571">
        <f t="shared" si="323"/>
        <v>0</v>
      </c>
      <c r="BF2878" s="586">
        <f t="shared" si="320"/>
        <v>0</v>
      </c>
      <c r="BG2878" s="586" t="e">
        <f t="shared" si="321"/>
        <v>#DIV/0!</v>
      </c>
      <c r="BH2878" s="571" t="e">
        <f t="shared" si="322"/>
        <v>#DIV/0!</v>
      </c>
    </row>
    <row r="2879" spans="55:60" s="39" customFormat="1">
      <c r="BC2879" s="573">
        <v>28.68</v>
      </c>
      <c r="BD2879" s="571">
        <f t="shared" si="319"/>
        <v>0</v>
      </c>
      <c r="BE2879" s="571">
        <f t="shared" si="323"/>
        <v>0</v>
      </c>
      <c r="BF2879" s="586">
        <f t="shared" si="320"/>
        <v>0</v>
      </c>
      <c r="BG2879" s="586" t="e">
        <f t="shared" si="321"/>
        <v>#DIV/0!</v>
      </c>
      <c r="BH2879" s="571" t="e">
        <f t="shared" si="322"/>
        <v>#DIV/0!</v>
      </c>
    </row>
    <row r="2880" spans="55:60" s="39" customFormat="1">
      <c r="BC2880" s="573">
        <v>28.69</v>
      </c>
      <c r="BD2880" s="571">
        <f t="shared" si="319"/>
        <v>0</v>
      </c>
      <c r="BE2880" s="571">
        <f t="shared" si="323"/>
        <v>0</v>
      </c>
      <c r="BF2880" s="586">
        <f t="shared" si="320"/>
        <v>0</v>
      </c>
      <c r="BG2880" s="586" t="e">
        <f t="shared" si="321"/>
        <v>#DIV/0!</v>
      </c>
      <c r="BH2880" s="571" t="e">
        <f t="shared" si="322"/>
        <v>#DIV/0!</v>
      </c>
    </row>
    <row r="2881" spans="55:60" s="39" customFormat="1">
      <c r="BC2881" s="573">
        <v>28.7</v>
      </c>
      <c r="BD2881" s="571">
        <f t="shared" si="319"/>
        <v>0</v>
      </c>
      <c r="BE2881" s="571">
        <f t="shared" si="323"/>
        <v>0</v>
      </c>
      <c r="BF2881" s="586">
        <f t="shared" si="320"/>
        <v>0</v>
      </c>
      <c r="BG2881" s="586" t="e">
        <f t="shared" si="321"/>
        <v>#DIV/0!</v>
      </c>
      <c r="BH2881" s="571" t="e">
        <f t="shared" si="322"/>
        <v>#DIV/0!</v>
      </c>
    </row>
    <row r="2882" spans="55:60" s="39" customFormat="1">
      <c r="BC2882" s="573">
        <v>28.71</v>
      </c>
      <c r="BD2882" s="571">
        <f t="shared" si="319"/>
        <v>0</v>
      </c>
      <c r="BE2882" s="571">
        <f t="shared" si="323"/>
        <v>0</v>
      </c>
      <c r="BF2882" s="586">
        <f t="shared" si="320"/>
        <v>0</v>
      </c>
      <c r="BG2882" s="586" t="e">
        <f t="shared" si="321"/>
        <v>#DIV/0!</v>
      </c>
      <c r="BH2882" s="571" t="e">
        <f t="shared" si="322"/>
        <v>#DIV/0!</v>
      </c>
    </row>
    <row r="2883" spans="55:60" s="39" customFormat="1">
      <c r="BC2883" s="573">
        <v>28.72</v>
      </c>
      <c r="BD2883" s="571">
        <f t="shared" si="319"/>
        <v>0</v>
      </c>
      <c r="BE2883" s="571">
        <f t="shared" si="323"/>
        <v>0</v>
      </c>
      <c r="BF2883" s="586">
        <f t="shared" si="320"/>
        <v>0</v>
      </c>
      <c r="BG2883" s="586" t="e">
        <f t="shared" si="321"/>
        <v>#DIV/0!</v>
      </c>
      <c r="BH2883" s="571" t="e">
        <f t="shared" si="322"/>
        <v>#DIV/0!</v>
      </c>
    </row>
    <row r="2884" spans="55:60" s="39" customFormat="1">
      <c r="BC2884" s="573">
        <v>28.73</v>
      </c>
      <c r="BD2884" s="571">
        <f t="shared" si="319"/>
        <v>0</v>
      </c>
      <c r="BE2884" s="571">
        <f t="shared" si="323"/>
        <v>0</v>
      </c>
      <c r="BF2884" s="586">
        <f t="shared" si="320"/>
        <v>0</v>
      </c>
      <c r="BG2884" s="586" t="e">
        <f t="shared" si="321"/>
        <v>#DIV/0!</v>
      </c>
      <c r="BH2884" s="571" t="e">
        <f t="shared" si="322"/>
        <v>#DIV/0!</v>
      </c>
    </row>
    <row r="2885" spans="55:60" s="39" customFormat="1">
      <c r="BC2885" s="573">
        <v>28.74</v>
      </c>
      <c r="BD2885" s="571">
        <f t="shared" si="319"/>
        <v>0</v>
      </c>
      <c r="BE2885" s="571">
        <f t="shared" si="323"/>
        <v>0</v>
      </c>
      <c r="BF2885" s="586">
        <f t="shared" si="320"/>
        <v>0</v>
      </c>
      <c r="BG2885" s="586" t="e">
        <f t="shared" si="321"/>
        <v>#DIV/0!</v>
      </c>
      <c r="BH2885" s="571" t="e">
        <f t="shared" si="322"/>
        <v>#DIV/0!</v>
      </c>
    </row>
    <row r="2886" spans="55:60" s="39" customFormat="1">
      <c r="BC2886" s="573">
        <v>28.75</v>
      </c>
      <c r="BD2886" s="571">
        <f t="shared" si="319"/>
        <v>0</v>
      </c>
      <c r="BE2886" s="571">
        <f t="shared" si="323"/>
        <v>0</v>
      </c>
      <c r="BF2886" s="586">
        <f t="shared" si="320"/>
        <v>0</v>
      </c>
      <c r="BG2886" s="586" t="e">
        <f t="shared" si="321"/>
        <v>#DIV/0!</v>
      </c>
      <c r="BH2886" s="571" t="e">
        <f t="shared" si="322"/>
        <v>#DIV/0!</v>
      </c>
    </row>
    <row r="2887" spans="55:60" s="39" customFormat="1">
      <c r="BC2887" s="573">
        <v>28.76</v>
      </c>
      <c r="BD2887" s="571">
        <f t="shared" si="319"/>
        <v>0</v>
      </c>
      <c r="BE2887" s="571">
        <f t="shared" si="323"/>
        <v>0</v>
      </c>
      <c r="BF2887" s="586">
        <f t="shared" si="320"/>
        <v>0</v>
      </c>
      <c r="BG2887" s="586" t="e">
        <f t="shared" si="321"/>
        <v>#DIV/0!</v>
      </c>
      <c r="BH2887" s="571" t="e">
        <f t="shared" si="322"/>
        <v>#DIV/0!</v>
      </c>
    </row>
    <row r="2888" spans="55:60" s="39" customFormat="1">
      <c r="BC2888" s="573">
        <v>28.77</v>
      </c>
      <c r="BD2888" s="571">
        <f t="shared" si="319"/>
        <v>0</v>
      </c>
      <c r="BE2888" s="571">
        <f t="shared" si="323"/>
        <v>0</v>
      </c>
      <c r="BF2888" s="586">
        <f t="shared" si="320"/>
        <v>0</v>
      </c>
      <c r="BG2888" s="586" t="e">
        <f t="shared" si="321"/>
        <v>#DIV/0!</v>
      </c>
      <c r="BH2888" s="571" t="e">
        <f t="shared" si="322"/>
        <v>#DIV/0!</v>
      </c>
    </row>
    <row r="2889" spans="55:60" s="39" customFormat="1">
      <c r="BC2889" s="573">
        <v>28.78</v>
      </c>
      <c r="BD2889" s="571">
        <f t="shared" si="319"/>
        <v>0</v>
      </c>
      <c r="BE2889" s="571">
        <f t="shared" si="323"/>
        <v>0</v>
      </c>
      <c r="BF2889" s="586">
        <f t="shared" si="320"/>
        <v>0</v>
      </c>
      <c r="BG2889" s="586" t="e">
        <f t="shared" si="321"/>
        <v>#DIV/0!</v>
      </c>
      <c r="BH2889" s="571" t="e">
        <f t="shared" si="322"/>
        <v>#DIV/0!</v>
      </c>
    </row>
    <row r="2890" spans="55:60" s="39" customFormat="1">
      <c r="BC2890" s="573">
        <v>28.79</v>
      </c>
      <c r="BD2890" s="571">
        <f t="shared" si="319"/>
        <v>0</v>
      </c>
      <c r="BE2890" s="571">
        <f t="shared" si="323"/>
        <v>0</v>
      </c>
      <c r="BF2890" s="586">
        <f t="shared" si="320"/>
        <v>0</v>
      </c>
      <c r="BG2890" s="586" t="e">
        <f t="shared" si="321"/>
        <v>#DIV/0!</v>
      </c>
      <c r="BH2890" s="571" t="e">
        <f t="shared" si="322"/>
        <v>#DIV/0!</v>
      </c>
    </row>
    <row r="2891" spans="55:60" s="39" customFormat="1">
      <c r="BC2891" s="573">
        <v>28.8</v>
      </c>
      <c r="BD2891" s="571">
        <f t="shared" si="319"/>
        <v>0</v>
      </c>
      <c r="BE2891" s="571">
        <f t="shared" si="323"/>
        <v>0</v>
      </c>
      <c r="BF2891" s="586">
        <f t="shared" si="320"/>
        <v>0</v>
      </c>
      <c r="BG2891" s="586" t="e">
        <f t="shared" si="321"/>
        <v>#DIV/0!</v>
      </c>
      <c r="BH2891" s="571" t="e">
        <f t="shared" si="322"/>
        <v>#DIV/0!</v>
      </c>
    </row>
    <row r="2892" spans="55:60" s="39" customFormat="1">
      <c r="BC2892" s="573">
        <v>28.81</v>
      </c>
      <c r="BD2892" s="571">
        <f t="shared" ref="BD2892:BD2955" si="324">$AU$15/BC2892</f>
        <v>0</v>
      </c>
      <c r="BE2892" s="571">
        <f t="shared" si="323"/>
        <v>0</v>
      </c>
      <c r="BF2892" s="586">
        <f t="shared" ref="BF2892:BF2955" si="325">BC2892*(BE2892/1000)/$AO$12</f>
        <v>0</v>
      </c>
      <c r="BG2892" s="586" t="e">
        <f t="shared" ref="BG2892:BG2955" si="326">POWER((1/(-1.8*LOG((6.9/BF2892+POWER((($P$7/BE2892)/3.71),1.11)),10))),2)</f>
        <v>#DIV/0!</v>
      </c>
      <c r="BH2892" s="571" t="e">
        <f t="shared" ref="BH2892:BH2955" si="327">BG2892*0.5*$P$6*16*$AU$15*$AU$15/(POWER(PI(),2)*POWER((BE2892/1000),5))</f>
        <v>#DIV/0!</v>
      </c>
    </row>
    <row r="2893" spans="55:60" s="39" customFormat="1">
      <c r="BC2893" s="573">
        <v>28.82</v>
      </c>
      <c r="BD2893" s="571">
        <f t="shared" si="324"/>
        <v>0</v>
      </c>
      <c r="BE2893" s="571">
        <f t="shared" ref="BE2893:BE2956" si="328">((BD2893/PI())^0.5)*2*1000</f>
        <v>0</v>
      </c>
      <c r="BF2893" s="586">
        <f t="shared" si="325"/>
        <v>0</v>
      </c>
      <c r="BG2893" s="586" t="e">
        <f t="shared" si="326"/>
        <v>#DIV/0!</v>
      </c>
      <c r="BH2893" s="571" t="e">
        <f t="shared" si="327"/>
        <v>#DIV/0!</v>
      </c>
    </row>
    <row r="2894" spans="55:60" s="39" customFormat="1">
      <c r="BC2894" s="573">
        <v>28.83</v>
      </c>
      <c r="BD2894" s="571">
        <f t="shared" si="324"/>
        <v>0</v>
      </c>
      <c r="BE2894" s="571">
        <f t="shared" si="328"/>
        <v>0</v>
      </c>
      <c r="BF2894" s="586">
        <f t="shared" si="325"/>
        <v>0</v>
      </c>
      <c r="BG2894" s="586" t="e">
        <f t="shared" si="326"/>
        <v>#DIV/0!</v>
      </c>
      <c r="BH2894" s="571" t="e">
        <f t="shared" si="327"/>
        <v>#DIV/0!</v>
      </c>
    </row>
    <row r="2895" spans="55:60" s="39" customFormat="1">
      <c r="BC2895" s="573">
        <v>28.84</v>
      </c>
      <c r="BD2895" s="571">
        <f t="shared" si="324"/>
        <v>0</v>
      </c>
      <c r="BE2895" s="571">
        <f t="shared" si="328"/>
        <v>0</v>
      </c>
      <c r="BF2895" s="586">
        <f t="shared" si="325"/>
        <v>0</v>
      </c>
      <c r="BG2895" s="586" t="e">
        <f t="shared" si="326"/>
        <v>#DIV/0!</v>
      </c>
      <c r="BH2895" s="571" t="e">
        <f t="shared" si="327"/>
        <v>#DIV/0!</v>
      </c>
    </row>
    <row r="2896" spans="55:60" s="39" customFormat="1">
      <c r="BC2896" s="573">
        <v>28.85</v>
      </c>
      <c r="BD2896" s="571">
        <f t="shared" si="324"/>
        <v>0</v>
      </c>
      <c r="BE2896" s="571">
        <f t="shared" si="328"/>
        <v>0</v>
      </c>
      <c r="BF2896" s="586">
        <f t="shared" si="325"/>
        <v>0</v>
      </c>
      <c r="BG2896" s="586" t="e">
        <f t="shared" si="326"/>
        <v>#DIV/0!</v>
      </c>
      <c r="BH2896" s="571" t="e">
        <f t="shared" si="327"/>
        <v>#DIV/0!</v>
      </c>
    </row>
    <row r="2897" spans="55:60" s="39" customFormat="1">
      <c r="BC2897" s="573">
        <v>28.86</v>
      </c>
      <c r="BD2897" s="571">
        <f t="shared" si="324"/>
        <v>0</v>
      </c>
      <c r="BE2897" s="571">
        <f t="shared" si="328"/>
        <v>0</v>
      </c>
      <c r="BF2897" s="586">
        <f t="shared" si="325"/>
        <v>0</v>
      </c>
      <c r="BG2897" s="586" t="e">
        <f t="shared" si="326"/>
        <v>#DIV/0!</v>
      </c>
      <c r="BH2897" s="571" t="e">
        <f t="shared" si="327"/>
        <v>#DIV/0!</v>
      </c>
    </row>
    <row r="2898" spans="55:60" s="39" customFormat="1">
      <c r="BC2898" s="573">
        <v>28.87</v>
      </c>
      <c r="BD2898" s="571">
        <f t="shared" si="324"/>
        <v>0</v>
      </c>
      <c r="BE2898" s="571">
        <f t="shared" si="328"/>
        <v>0</v>
      </c>
      <c r="BF2898" s="586">
        <f t="shared" si="325"/>
        <v>0</v>
      </c>
      <c r="BG2898" s="586" t="e">
        <f t="shared" si="326"/>
        <v>#DIV/0!</v>
      </c>
      <c r="BH2898" s="571" t="e">
        <f t="shared" si="327"/>
        <v>#DIV/0!</v>
      </c>
    </row>
    <row r="2899" spans="55:60" s="39" customFormat="1">
      <c r="BC2899" s="573">
        <v>28.88</v>
      </c>
      <c r="BD2899" s="571">
        <f t="shared" si="324"/>
        <v>0</v>
      </c>
      <c r="BE2899" s="571">
        <f t="shared" si="328"/>
        <v>0</v>
      </c>
      <c r="BF2899" s="586">
        <f t="shared" si="325"/>
        <v>0</v>
      </c>
      <c r="BG2899" s="586" t="e">
        <f t="shared" si="326"/>
        <v>#DIV/0!</v>
      </c>
      <c r="BH2899" s="571" t="e">
        <f t="shared" si="327"/>
        <v>#DIV/0!</v>
      </c>
    </row>
    <row r="2900" spans="55:60" s="39" customFormat="1">
      <c r="BC2900" s="573">
        <v>28.89</v>
      </c>
      <c r="BD2900" s="571">
        <f t="shared" si="324"/>
        <v>0</v>
      </c>
      <c r="BE2900" s="571">
        <f t="shared" si="328"/>
        <v>0</v>
      </c>
      <c r="BF2900" s="586">
        <f t="shared" si="325"/>
        <v>0</v>
      </c>
      <c r="BG2900" s="586" t="e">
        <f t="shared" si="326"/>
        <v>#DIV/0!</v>
      </c>
      <c r="BH2900" s="571" t="e">
        <f t="shared" si="327"/>
        <v>#DIV/0!</v>
      </c>
    </row>
    <row r="2901" spans="55:60" s="39" customFormat="1">
      <c r="BC2901" s="573">
        <v>28.9</v>
      </c>
      <c r="BD2901" s="571">
        <f t="shared" si="324"/>
        <v>0</v>
      </c>
      <c r="BE2901" s="571">
        <f t="shared" si="328"/>
        <v>0</v>
      </c>
      <c r="BF2901" s="586">
        <f t="shared" si="325"/>
        <v>0</v>
      </c>
      <c r="BG2901" s="586" t="e">
        <f t="shared" si="326"/>
        <v>#DIV/0!</v>
      </c>
      <c r="BH2901" s="571" t="e">
        <f t="shared" si="327"/>
        <v>#DIV/0!</v>
      </c>
    </row>
    <row r="2902" spans="55:60" s="39" customFormat="1">
      <c r="BC2902" s="573">
        <v>28.91</v>
      </c>
      <c r="BD2902" s="571">
        <f t="shared" si="324"/>
        <v>0</v>
      </c>
      <c r="BE2902" s="571">
        <f t="shared" si="328"/>
        <v>0</v>
      </c>
      <c r="BF2902" s="586">
        <f t="shared" si="325"/>
        <v>0</v>
      </c>
      <c r="BG2902" s="586" t="e">
        <f t="shared" si="326"/>
        <v>#DIV/0!</v>
      </c>
      <c r="BH2902" s="571" t="e">
        <f t="shared" si="327"/>
        <v>#DIV/0!</v>
      </c>
    </row>
    <row r="2903" spans="55:60" s="39" customFormat="1">
      <c r="BC2903" s="573">
        <v>28.92</v>
      </c>
      <c r="BD2903" s="571">
        <f t="shared" si="324"/>
        <v>0</v>
      </c>
      <c r="BE2903" s="571">
        <f t="shared" si="328"/>
        <v>0</v>
      </c>
      <c r="BF2903" s="586">
        <f t="shared" si="325"/>
        <v>0</v>
      </c>
      <c r="BG2903" s="586" t="e">
        <f t="shared" si="326"/>
        <v>#DIV/0!</v>
      </c>
      <c r="BH2903" s="571" t="e">
        <f t="shared" si="327"/>
        <v>#DIV/0!</v>
      </c>
    </row>
    <row r="2904" spans="55:60" s="39" customFormat="1">
      <c r="BC2904" s="573">
        <v>28.93</v>
      </c>
      <c r="BD2904" s="571">
        <f t="shared" si="324"/>
        <v>0</v>
      </c>
      <c r="BE2904" s="571">
        <f t="shared" si="328"/>
        <v>0</v>
      </c>
      <c r="BF2904" s="586">
        <f t="shared" si="325"/>
        <v>0</v>
      </c>
      <c r="BG2904" s="586" t="e">
        <f t="shared" si="326"/>
        <v>#DIV/0!</v>
      </c>
      <c r="BH2904" s="571" t="e">
        <f t="shared" si="327"/>
        <v>#DIV/0!</v>
      </c>
    </row>
    <row r="2905" spans="55:60" s="39" customFormat="1">
      <c r="BC2905" s="573">
        <v>28.94</v>
      </c>
      <c r="BD2905" s="571">
        <f t="shared" si="324"/>
        <v>0</v>
      </c>
      <c r="BE2905" s="571">
        <f t="shared" si="328"/>
        <v>0</v>
      </c>
      <c r="BF2905" s="586">
        <f t="shared" si="325"/>
        <v>0</v>
      </c>
      <c r="BG2905" s="586" t="e">
        <f t="shared" si="326"/>
        <v>#DIV/0!</v>
      </c>
      <c r="BH2905" s="571" t="e">
        <f t="shared" si="327"/>
        <v>#DIV/0!</v>
      </c>
    </row>
    <row r="2906" spans="55:60" s="39" customFormat="1">
      <c r="BC2906" s="573">
        <v>28.95</v>
      </c>
      <c r="BD2906" s="571">
        <f t="shared" si="324"/>
        <v>0</v>
      </c>
      <c r="BE2906" s="571">
        <f t="shared" si="328"/>
        <v>0</v>
      </c>
      <c r="BF2906" s="586">
        <f t="shared" si="325"/>
        <v>0</v>
      </c>
      <c r="BG2906" s="586" t="e">
        <f t="shared" si="326"/>
        <v>#DIV/0!</v>
      </c>
      <c r="BH2906" s="571" t="e">
        <f t="shared" si="327"/>
        <v>#DIV/0!</v>
      </c>
    </row>
    <row r="2907" spans="55:60" s="39" customFormat="1">
      <c r="BC2907" s="573">
        <v>28.96</v>
      </c>
      <c r="BD2907" s="571">
        <f t="shared" si="324"/>
        <v>0</v>
      </c>
      <c r="BE2907" s="571">
        <f t="shared" si="328"/>
        <v>0</v>
      </c>
      <c r="BF2907" s="586">
        <f t="shared" si="325"/>
        <v>0</v>
      </c>
      <c r="BG2907" s="586" t="e">
        <f t="shared" si="326"/>
        <v>#DIV/0!</v>
      </c>
      <c r="BH2907" s="571" t="e">
        <f t="shared" si="327"/>
        <v>#DIV/0!</v>
      </c>
    </row>
    <row r="2908" spans="55:60" s="39" customFormat="1">
      <c r="BC2908" s="573">
        <v>28.97</v>
      </c>
      <c r="BD2908" s="571">
        <f t="shared" si="324"/>
        <v>0</v>
      </c>
      <c r="BE2908" s="571">
        <f t="shared" si="328"/>
        <v>0</v>
      </c>
      <c r="BF2908" s="586">
        <f t="shared" si="325"/>
        <v>0</v>
      </c>
      <c r="BG2908" s="586" t="e">
        <f t="shared" si="326"/>
        <v>#DIV/0!</v>
      </c>
      <c r="BH2908" s="571" t="e">
        <f t="shared" si="327"/>
        <v>#DIV/0!</v>
      </c>
    </row>
    <row r="2909" spans="55:60" s="39" customFormat="1">
      <c r="BC2909" s="573">
        <v>28.98</v>
      </c>
      <c r="BD2909" s="571">
        <f t="shared" si="324"/>
        <v>0</v>
      </c>
      <c r="BE2909" s="571">
        <f t="shared" si="328"/>
        <v>0</v>
      </c>
      <c r="BF2909" s="586">
        <f t="shared" si="325"/>
        <v>0</v>
      </c>
      <c r="BG2909" s="586" t="e">
        <f t="shared" si="326"/>
        <v>#DIV/0!</v>
      </c>
      <c r="BH2909" s="571" t="e">
        <f t="shared" si="327"/>
        <v>#DIV/0!</v>
      </c>
    </row>
    <row r="2910" spans="55:60" s="39" customFormat="1">
      <c r="BC2910" s="573">
        <v>28.99</v>
      </c>
      <c r="BD2910" s="571">
        <f t="shared" si="324"/>
        <v>0</v>
      </c>
      <c r="BE2910" s="571">
        <f t="shared" si="328"/>
        <v>0</v>
      </c>
      <c r="BF2910" s="586">
        <f t="shared" si="325"/>
        <v>0</v>
      </c>
      <c r="BG2910" s="586" t="e">
        <f t="shared" si="326"/>
        <v>#DIV/0!</v>
      </c>
      <c r="BH2910" s="571" t="e">
        <f t="shared" si="327"/>
        <v>#DIV/0!</v>
      </c>
    </row>
    <row r="2911" spans="55:60" s="39" customFormat="1">
      <c r="BC2911" s="573">
        <v>29</v>
      </c>
      <c r="BD2911" s="571">
        <f t="shared" si="324"/>
        <v>0</v>
      </c>
      <c r="BE2911" s="571">
        <f t="shared" si="328"/>
        <v>0</v>
      </c>
      <c r="BF2911" s="586">
        <f t="shared" si="325"/>
        <v>0</v>
      </c>
      <c r="BG2911" s="586" t="e">
        <f t="shared" si="326"/>
        <v>#DIV/0!</v>
      </c>
      <c r="BH2911" s="571" t="e">
        <f t="shared" si="327"/>
        <v>#DIV/0!</v>
      </c>
    </row>
    <row r="2912" spans="55:60" s="39" customFormat="1">
      <c r="BC2912" s="573">
        <v>29.01</v>
      </c>
      <c r="BD2912" s="571">
        <f t="shared" si="324"/>
        <v>0</v>
      </c>
      <c r="BE2912" s="571">
        <f t="shared" si="328"/>
        <v>0</v>
      </c>
      <c r="BF2912" s="586">
        <f t="shared" si="325"/>
        <v>0</v>
      </c>
      <c r="BG2912" s="586" t="e">
        <f t="shared" si="326"/>
        <v>#DIV/0!</v>
      </c>
      <c r="BH2912" s="571" t="e">
        <f t="shared" si="327"/>
        <v>#DIV/0!</v>
      </c>
    </row>
    <row r="2913" spans="55:60" s="39" customFormat="1">
      <c r="BC2913" s="573">
        <v>29.02</v>
      </c>
      <c r="BD2913" s="571">
        <f t="shared" si="324"/>
        <v>0</v>
      </c>
      <c r="BE2913" s="571">
        <f t="shared" si="328"/>
        <v>0</v>
      </c>
      <c r="BF2913" s="586">
        <f t="shared" si="325"/>
        <v>0</v>
      </c>
      <c r="BG2913" s="586" t="e">
        <f t="shared" si="326"/>
        <v>#DIV/0!</v>
      </c>
      <c r="BH2913" s="571" t="e">
        <f t="shared" si="327"/>
        <v>#DIV/0!</v>
      </c>
    </row>
    <row r="2914" spans="55:60" s="39" customFormat="1">
      <c r="BC2914" s="573">
        <v>29.03</v>
      </c>
      <c r="BD2914" s="571">
        <f t="shared" si="324"/>
        <v>0</v>
      </c>
      <c r="BE2914" s="571">
        <f t="shared" si="328"/>
        <v>0</v>
      </c>
      <c r="BF2914" s="586">
        <f t="shared" si="325"/>
        <v>0</v>
      </c>
      <c r="BG2914" s="586" t="e">
        <f t="shared" si="326"/>
        <v>#DIV/0!</v>
      </c>
      <c r="BH2914" s="571" t="e">
        <f t="shared" si="327"/>
        <v>#DIV/0!</v>
      </c>
    </row>
    <row r="2915" spans="55:60" s="39" customFormat="1">
      <c r="BC2915" s="573">
        <v>29.04</v>
      </c>
      <c r="BD2915" s="571">
        <f t="shared" si="324"/>
        <v>0</v>
      </c>
      <c r="BE2915" s="571">
        <f t="shared" si="328"/>
        <v>0</v>
      </c>
      <c r="BF2915" s="586">
        <f t="shared" si="325"/>
        <v>0</v>
      </c>
      <c r="BG2915" s="586" t="e">
        <f t="shared" si="326"/>
        <v>#DIV/0!</v>
      </c>
      <c r="BH2915" s="571" t="e">
        <f t="shared" si="327"/>
        <v>#DIV/0!</v>
      </c>
    </row>
    <row r="2916" spans="55:60" s="39" customFormat="1">
      <c r="BC2916" s="573">
        <v>29.05</v>
      </c>
      <c r="BD2916" s="571">
        <f t="shared" si="324"/>
        <v>0</v>
      </c>
      <c r="BE2916" s="571">
        <f t="shared" si="328"/>
        <v>0</v>
      </c>
      <c r="BF2916" s="586">
        <f t="shared" si="325"/>
        <v>0</v>
      </c>
      <c r="BG2916" s="586" t="e">
        <f t="shared" si="326"/>
        <v>#DIV/0!</v>
      </c>
      <c r="BH2916" s="571" t="e">
        <f t="shared" si="327"/>
        <v>#DIV/0!</v>
      </c>
    </row>
    <row r="2917" spans="55:60" s="39" customFormat="1">
      <c r="BC2917" s="573">
        <v>29.06</v>
      </c>
      <c r="BD2917" s="571">
        <f t="shared" si="324"/>
        <v>0</v>
      </c>
      <c r="BE2917" s="571">
        <f t="shared" si="328"/>
        <v>0</v>
      </c>
      <c r="BF2917" s="586">
        <f t="shared" si="325"/>
        <v>0</v>
      </c>
      <c r="BG2917" s="586" t="e">
        <f t="shared" si="326"/>
        <v>#DIV/0!</v>
      </c>
      <c r="BH2917" s="571" t="e">
        <f t="shared" si="327"/>
        <v>#DIV/0!</v>
      </c>
    </row>
    <row r="2918" spans="55:60" s="39" customFormat="1">
      <c r="BC2918" s="573">
        <v>29.07</v>
      </c>
      <c r="BD2918" s="571">
        <f t="shared" si="324"/>
        <v>0</v>
      </c>
      <c r="BE2918" s="571">
        <f t="shared" si="328"/>
        <v>0</v>
      </c>
      <c r="BF2918" s="586">
        <f t="shared" si="325"/>
        <v>0</v>
      </c>
      <c r="BG2918" s="586" t="e">
        <f t="shared" si="326"/>
        <v>#DIV/0!</v>
      </c>
      <c r="BH2918" s="571" t="e">
        <f t="shared" si="327"/>
        <v>#DIV/0!</v>
      </c>
    </row>
    <row r="2919" spans="55:60" s="39" customFormat="1">
      <c r="BC2919" s="573">
        <v>29.08</v>
      </c>
      <c r="BD2919" s="571">
        <f t="shared" si="324"/>
        <v>0</v>
      </c>
      <c r="BE2919" s="571">
        <f t="shared" si="328"/>
        <v>0</v>
      </c>
      <c r="BF2919" s="586">
        <f t="shared" si="325"/>
        <v>0</v>
      </c>
      <c r="BG2919" s="586" t="e">
        <f t="shared" si="326"/>
        <v>#DIV/0!</v>
      </c>
      <c r="BH2919" s="571" t="e">
        <f t="shared" si="327"/>
        <v>#DIV/0!</v>
      </c>
    </row>
    <row r="2920" spans="55:60" s="39" customFormat="1">
      <c r="BC2920" s="573">
        <v>29.09</v>
      </c>
      <c r="BD2920" s="571">
        <f t="shared" si="324"/>
        <v>0</v>
      </c>
      <c r="BE2920" s="571">
        <f t="shared" si="328"/>
        <v>0</v>
      </c>
      <c r="BF2920" s="586">
        <f t="shared" si="325"/>
        <v>0</v>
      </c>
      <c r="BG2920" s="586" t="e">
        <f t="shared" si="326"/>
        <v>#DIV/0!</v>
      </c>
      <c r="BH2920" s="571" t="e">
        <f t="shared" si="327"/>
        <v>#DIV/0!</v>
      </c>
    </row>
    <row r="2921" spans="55:60" s="39" customFormat="1">
      <c r="BC2921" s="573">
        <v>29.1</v>
      </c>
      <c r="BD2921" s="571">
        <f t="shared" si="324"/>
        <v>0</v>
      </c>
      <c r="BE2921" s="571">
        <f t="shared" si="328"/>
        <v>0</v>
      </c>
      <c r="BF2921" s="586">
        <f t="shared" si="325"/>
        <v>0</v>
      </c>
      <c r="BG2921" s="586" t="e">
        <f t="shared" si="326"/>
        <v>#DIV/0!</v>
      </c>
      <c r="BH2921" s="571" t="e">
        <f t="shared" si="327"/>
        <v>#DIV/0!</v>
      </c>
    </row>
    <row r="2922" spans="55:60" s="39" customFormat="1">
      <c r="BC2922" s="573">
        <v>29.11</v>
      </c>
      <c r="BD2922" s="571">
        <f t="shared" si="324"/>
        <v>0</v>
      </c>
      <c r="BE2922" s="571">
        <f t="shared" si="328"/>
        <v>0</v>
      </c>
      <c r="BF2922" s="586">
        <f t="shared" si="325"/>
        <v>0</v>
      </c>
      <c r="BG2922" s="586" t="e">
        <f t="shared" si="326"/>
        <v>#DIV/0!</v>
      </c>
      <c r="BH2922" s="571" t="e">
        <f t="shared" si="327"/>
        <v>#DIV/0!</v>
      </c>
    </row>
    <row r="2923" spans="55:60" s="39" customFormat="1">
      <c r="BC2923" s="573">
        <v>29.12</v>
      </c>
      <c r="BD2923" s="571">
        <f t="shared" si="324"/>
        <v>0</v>
      </c>
      <c r="BE2923" s="571">
        <f t="shared" si="328"/>
        <v>0</v>
      </c>
      <c r="BF2923" s="586">
        <f t="shared" si="325"/>
        <v>0</v>
      </c>
      <c r="BG2923" s="586" t="e">
        <f t="shared" si="326"/>
        <v>#DIV/0!</v>
      </c>
      <c r="BH2923" s="571" t="e">
        <f t="shared" si="327"/>
        <v>#DIV/0!</v>
      </c>
    </row>
    <row r="2924" spans="55:60" s="39" customFormat="1">
      <c r="BC2924" s="573">
        <v>29.13</v>
      </c>
      <c r="BD2924" s="571">
        <f t="shared" si="324"/>
        <v>0</v>
      </c>
      <c r="BE2924" s="571">
        <f t="shared" si="328"/>
        <v>0</v>
      </c>
      <c r="BF2924" s="586">
        <f t="shared" si="325"/>
        <v>0</v>
      </c>
      <c r="BG2924" s="586" t="e">
        <f t="shared" si="326"/>
        <v>#DIV/0!</v>
      </c>
      <c r="BH2924" s="571" t="e">
        <f t="shared" si="327"/>
        <v>#DIV/0!</v>
      </c>
    </row>
    <row r="2925" spans="55:60" s="39" customFormat="1">
      <c r="BC2925" s="573">
        <v>29.14</v>
      </c>
      <c r="BD2925" s="571">
        <f t="shared" si="324"/>
        <v>0</v>
      </c>
      <c r="BE2925" s="571">
        <f t="shared" si="328"/>
        <v>0</v>
      </c>
      <c r="BF2925" s="586">
        <f t="shared" si="325"/>
        <v>0</v>
      </c>
      <c r="BG2925" s="586" t="e">
        <f t="shared" si="326"/>
        <v>#DIV/0!</v>
      </c>
      <c r="BH2925" s="571" t="e">
        <f t="shared" si="327"/>
        <v>#DIV/0!</v>
      </c>
    </row>
    <row r="2926" spans="55:60" s="39" customFormat="1">
      <c r="BC2926" s="573">
        <v>29.15</v>
      </c>
      <c r="BD2926" s="571">
        <f t="shared" si="324"/>
        <v>0</v>
      </c>
      <c r="BE2926" s="571">
        <f t="shared" si="328"/>
        <v>0</v>
      </c>
      <c r="BF2926" s="586">
        <f t="shared" si="325"/>
        <v>0</v>
      </c>
      <c r="BG2926" s="586" t="e">
        <f t="shared" si="326"/>
        <v>#DIV/0!</v>
      </c>
      <c r="BH2926" s="571" t="e">
        <f t="shared" si="327"/>
        <v>#DIV/0!</v>
      </c>
    </row>
    <row r="2927" spans="55:60" s="39" customFormat="1">
      <c r="BC2927" s="573">
        <v>29.16</v>
      </c>
      <c r="BD2927" s="571">
        <f t="shared" si="324"/>
        <v>0</v>
      </c>
      <c r="BE2927" s="571">
        <f t="shared" si="328"/>
        <v>0</v>
      </c>
      <c r="BF2927" s="586">
        <f t="shared" si="325"/>
        <v>0</v>
      </c>
      <c r="BG2927" s="586" t="e">
        <f t="shared" si="326"/>
        <v>#DIV/0!</v>
      </c>
      <c r="BH2927" s="571" t="e">
        <f t="shared" si="327"/>
        <v>#DIV/0!</v>
      </c>
    </row>
    <row r="2928" spans="55:60" s="39" customFormat="1">
      <c r="BC2928" s="573">
        <v>29.17</v>
      </c>
      <c r="BD2928" s="571">
        <f t="shared" si="324"/>
        <v>0</v>
      </c>
      <c r="BE2928" s="571">
        <f t="shared" si="328"/>
        <v>0</v>
      </c>
      <c r="BF2928" s="586">
        <f t="shared" si="325"/>
        <v>0</v>
      </c>
      <c r="BG2928" s="586" t="e">
        <f t="shared" si="326"/>
        <v>#DIV/0!</v>
      </c>
      <c r="BH2928" s="571" t="e">
        <f t="shared" si="327"/>
        <v>#DIV/0!</v>
      </c>
    </row>
    <row r="2929" spans="55:60" s="39" customFormat="1">
      <c r="BC2929" s="573">
        <v>29.18</v>
      </c>
      <c r="BD2929" s="571">
        <f t="shared" si="324"/>
        <v>0</v>
      </c>
      <c r="BE2929" s="571">
        <f t="shared" si="328"/>
        <v>0</v>
      </c>
      <c r="BF2929" s="586">
        <f t="shared" si="325"/>
        <v>0</v>
      </c>
      <c r="BG2929" s="586" t="e">
        <f t="shared" si="326"/>
        <v>#DIV/0!</v>
      </c>
      <c r="BH2929" s="571" t="e">
        <f t="shared" si="327"/>
        <v>#DIV/0!</v>
      </c>
    </row>
    <row r="2930" spans="55:60" s="39" customFormat="1">
      <c r="BC2930" s="573">
        <v>29.19</v>
      </c>
      <c r="BD2930" s="571">
        <f t="shared" si="324"/>
        <v>0</v>
      </c>
      <c r="BE2930" s="571">
        <f t="shared" si="328"/>
        <v>0</v>
      </c>
      <c r="BF2930" s="586">
        <f t="shared" si="325"/>
        <v>0</v>
      </c>
      <c r="BG2930" s="586" t="e">
        <f t="shared" si="326"/>
        <v>#DIV/0!</v>
      </c>
      <c r="BH2930" s="571" t="e">
        <f t="shared" si="327"/>
        <v>#DIV/0!</v>
      </c>
    </row>
    <row r="2931" spans="55:60" s="39" customFormat="1">
      <c r="BC2931" s="573">
        <v>29.2</v>
      </c>
      <c r="BD2931" s="571">
        <f t="shared" si="324"/>
        <v>0</v>
      </c>
      <c r="BE2931" s="571">
        <f t="shared" si="328"/>
        <v>0</v>
      </c>
      <c r="BF2931" s="586">
        <f t="shared" si="325"/>
        <v>0</v>
      </c>
      <c r="BG2931" s="586" t="e">
        <f t="shared" si="326"/>
        <v>#DIV/0!</v>
      </c>
      <c r="BH2931" s="571" t="e">
        <f t="shared" si="327"/>
        <v>#DIV/0!</v>
      </c>
    </row>
    <row r="2932" spans="55:60" s="39" customFormat="1">
      <c r="BC2932" s="573">
        <v>29.21</v>
      </c>
      <c r="BD2932" s="571">
        <f t="shared" si="324"/>
        <v>0</v>
      </c>
      <c r="BE2932" s="571">
        <f t="shared" si="328"/>
        <v>0</v>
      </c>
      <c r="BF2932" s="586">
        <f t="shared" si="325"/>
        <v>0</v>
      </c>
      <c r="BG2932" s="586" t="e">
        <f t="shared" si="326"/>
        <v>#DIV/0!</v>
      </c>
      <c r="BH2932" s="571" t="e">
        <f t="shared" si="327"/>
        <v>#DIV/0!</v>
      </c>
    </row>
    <row r="2933" spans="55:60" s="39" customFormat="1">
      <c r="BC2933" s="573">
        <v>29.22</v>
      </c>
      <c r="BD2933" s="571">
        <f t="shared" si="324"/>
        <v>0</v>
      </c>
      <c r="BE2933" s="571">
        <f t="shared" si="328"/>
        <v>0</v>
      </c>
      <c r="BF2933" s="586">
        <f t="shared" si="325"/>
        <v>0</v>
      </c>
      <c r="BG2933" s="586" t="e">
        <f t="shared" si="326"/>
        <v>#DIV/0!</v>
      </c>
      <c r="BH2933" s="571" t="e">
        <f t="shared" si="327"/>
        <v>#DIV/0!</v>
      </c>
    </row>
    <row r="2934" spans="55:60" s="39" customFormat="1">
      <c r="BC2934" s="573">
        <v>29.23</v>
      </c>
      <c r="BD2934" s="571">
        <f t="shared" si="324"/>
        <v>0</v>
      </c>
      <c r="BE2934" s="571">
        <f t="shared" si="328"/>
        <v>0</v>
      </c>
      <c r="BF2934" s="586">
        <f t="shared" si="325"/>
        <v>0</v>
      </c>
      <c r="BG2934" s="586" t="e">
        <f t="shared" si="326"/>
        <v>#DIV/0!</v>
      </c>
      <c r="BH2934" s="571" t="e">
        <f t="shared" si="327"/>
        <v>#DIV/0!</v>
      </c>
    </row>
    <row r="2935" spans="55:60" s="39" customFormat="1">
      <c r="BC2935" s="573">
        <v>29.24</v>
      </c>
      <c r="BD2935" s="571">
        <f t="shared" si="324"/>
        <v>0</v>
      </c>
      <c r="BE2935" s="571">
        <f t="shared" si="328"/>
        <v>0</v>
      </c>
      <c r="BF2935" s="586">
        <f t="shared" si="325"/>
        <v>0</v>
      </c>
      <c r="BG2935" s="586" t="e">
        <f t="shared" si="326"/>
        <v>#DIV/0!</v>
      </c>
      <c r="BH2935" s="571" t="e">
        <f t="shared" si="327"/>
        <v>#DIV/0!</v>
      </c>
    </row>
    <row r="2936" spans="55:60" s="39" customFormat="1">
      <c r="BC2936" s="573">
        <v>29.25</v>
      </c>
      <c r="BD2936" s="571">
        <f t="shared" si="324"/>
        <v>0</v>
      </c>
      <c r="BE2936" s="571">
        <f t="shared" si="328"/>
        <v>0</v>
      </c>
      <c r="BF2936" s="586">
        <f t="shared" si="325"/>
        <v>0</v>
      </c>
      <c r="BG2936" s="586" t="e">
        <f t="shared" si="326"/>
        <v>#DIV/0!</v>
      </c>
      <c r="BH2936" s="571" t="e">
        <f t="shared" si="327"/>
        <v>#DIV/0!</v>
      </c>
    </row>
    <row r="2937" spans="55:60" s="39" customFormat="1">
      <c r="BC2937" s="573">
        <v>29.26</v>
      </c>
      <c r="BD2937" s="571">
        <f t="shared" si="324"/>
        <v>0</v>
      </c>
      <c r="BE2937" s="571">
        <f t="shared" si="328"/>
        <v>0</v>
      </c>
      <c r="BF2937" s="586">
        <f t="shared" si="325"/>
        <v>0</v>
      </c>
      <c r="BG2937" s="586" t="e">
        <f t="shared" si="326"/>
        <v>#DIV/0!</v>
      </c>
      <c r="BH2937" s="571" t="e">
        <f t="shared" si="327"/>
        <v>#DIV/0!</v>
      </c>
    </row>
    <row r="2938" spans="55:60" s="39" customFormat="1">
      <c r="BC2938" s="573">
        <v>29.27</v>
      </c>
      <c r="BD2938" s="571">
        <f t="shared" si="324"/>
        <v>0</v>
      </c>
      <c r="BE2938" s="571">
        <f t="shared" si="328"/>
        <v>0</v>
      </c>
      <c r="BF2938" s="586">
        <f t="shared" si="325"/>
        <v>0</v>
      </c>
      <c r="BG2938" s="586" t="e">
        <f t="shared" si="326"/>
        <v>#DIV/0!</v>
      </c>
      <c r="BH2938" s="571" t="e">
        <f t="shared" si="327"/>
        <v>#DIV/0!</v>
      </c>
    </row>
    <row r="2939" spans="55:60" s="39" customFormat="1">
      <c r="BC2939" s="573">
        <v>29.28</v>
      </c>
      <c r="BD2939" s="571">
        <f t="shared" si="324"/>
        <v>0</v>
      </c>
      <c r="BE2939" s="571">
        <f t="shared" si="328"/>
        <v>0</v>
      </c>
      <c r="BF2939" s="586">
        <f t="shared" si="325"/>
        <v>0</v>
      </c>
      <c r="BG2939" s="586" t="e">
        <f t="shared" si="326"/>
        <v>#DIV/0!</v>
      </c>
      <c r="BH2939" s="571" t="e">
        <f t="shared" si="327"/>
        <v>#DIV/0!</v>
      </c>
    </row>
    <row r="2940" spans="55:60" s="39" customFormat="1">
      <c r="BC2940" s="573">
        <v>29.29</v>
      </c>
      <c r="BD2940" s="571">
        <f t="shared" si="324"/>
        <v>0</v>
      </c>
      <c r="BE2940" s="571">
        <f t="shared" si="328"/>
        <v>0</v>
      </c>
      <c r="BF2940" s="586">
        <f t="shared" si="325"/>
        <v>0</v>
      </c>
      <c r="BG2940" s="586" t="e">
        <f t="shared" si="326"/>
        <v>#DIV/0!</v>
      </c>
      <c r="BH2940" s="571" t="e">
        <f t="shared" si="327"/>
        <v>#DIV/0!</v>
      </c>
    </row>
    <row r="2941" spans="55:60" s="39" customFormat="1">
      <c r="BC2941" s="573">
        <v>29.3</v>
      </c>
      <c r="BD2941" s="571">
        <f t="shared" si="324"/>
        <v>0</v>
      </c>
      <c r="BE2941" s="571">
        <f t="shared" si="328"/>
        <v>0</v>
      </c>
      <c r="BF2941" s="586">
        <f t="shared" si="325"/>
        <v>0</v>
      </c>
      <c r="BG2941" s="586" t="e">
        <f t="shared" si="326"/>
        <v>#DIV/0!</v>
      </c>
      <c r="BH2941" s="571" t="e">
        <f t="shared" si="327"/>
        <v>#DIV/0!</v>
      </c>
    </row>
    <row r="2942" spans="55:60" s="39" customFormat="1">
      <c r="BC2942" s="573">
        <v>29.31</v>
      </c>
      <c r="BD2942" s="571">
        <f t="shared" si="324"/>
        <v>0</v>
      </c>
      <c r="BE2942" s="571">
        <f t="shared" si="328"/>
        <v>0</v>
      </c>
      <c r="BF2942" s="586">
        <f t="shared" si="325"/>
        <v>0</v>
      </c>
      <c r="BG2942" s="586" t="e">
        <f t="shared" si="326"/>
        <v>#DIV/0!</v>
      </c>
      <c r="BH2942" s="571" t="e">
        <f t="shared" si="327"/>
        <v>#DIV/0!</v>
      </c>
    </row>
    <row r="2943" spans="55:60" s="39" customFormat="1">
      <c r="BC2943" s="573">
        <v>29.32</v>
      </c>
      <c r="BD2943" s="571">
        <f t="shared" si="324"/>
        <v>0</v>
      </c>
      <c r="BE2943" s="571">
        <f t="shared" si="328"/>
        <v>0</v>
      </c>
      <c r="BF2943" s="586">
        <f t="shared" si="325"/>
        <v>0</v>
      </c>
      <c r="BG2943" s="586" t="e">
        <f t="shared" si="326"/>
        <v>#DIV/0!</v>
      </c>
      <c r="BH2943" s="571" t="e">
        <f t="shared" si="327"/>
        <v>#DIV/0!</v>
      </c>
    </row>
    <row r="2944" spans="55:60" s="39" customFormat="1">
      <c r="BC2944" s="573">
        <v>29.33</v>
      </c>
      <c r="BD2944" s="571">
        <f t="shared" si="324"/>
        <v>0</v>
      </c>
      <c r="BE2944" s="571">
        <f t="shared" si="328"/>
        <v>0</v>
      </c>
      <c r="BF2944" s="586">
        <f t="shared" si="325"/>
        <v>0</v>
      </c>
      <c r="BG2944" s="586" t="e">
        <f t="shared" si="326"/>
        <v>#DIV/0!</v>
      </c>
      <c r="BH2944" s="571" t="e">
        <f t="shared" si="327"/>
        <v>#DIV/0!</v>
      </c>
    </row>
    <row r="2945" spans="55:60" s="39" customFormat="1">
      <c r="BC2945" s="573">
        <v>29.34</v>
      </c>
      <c r="BD2945" s="571">
        <f t="shared" si="324"/>
        <v>0</v>
      </c>
      <c r="BE2945" s="571">
        <f t="shared" si="328"/>
        <v>0</v>
      </c>
      <c r="BF2945" s="586">
        <f t="shared" si="325"/>
        <v>0</v>
      </c>
      <c r="BG2945" s="586" t="e">
        <f t="shared" si="326"/>
        <v>#DIV/0!</v>
      </c>
      <c r="BH2945" s="571" t="e">
        <f t="shared" si="327"/>
        <v>#DIV/0!</v>
      </c>
    </row>
    <row r="2946" spans="55:60" s="39" customFormat="1">
      <c r="BC2946" s="573">
        <v>29.35</v>
      </c>
      <c r="BD2946" s="571">
        <f t="shared" si="324"/>
        <v>0</v>
      </c>
      <c r="BE2946" s="571">
        <f t="shared" si="328"/>
        <v>0</v>
      </c>
      <c r="BF2946" s="586">
        <f t="shared" si="325"/>
        <v>0</v>
      </c>
      <c r="BG2946" s="586" t="e">
        <f t="shared" si="326"/>
        <v>#DIV/0!</v>
      </c>
      <c r="BH2946" s="571" t="e">
        <f t="shared" si="327"/>
        <v>#DIV/0!</v>
      </c>
    </row>
    <row r="2947" spans="55:60" s="39" customFormat="1">
      <c r="BC2947" s="573">
        <v>29.36</v>
      </c>
      <c r="BD2947" s="571">
        <f t="shared" si="324"/>
        <v>0</v>
      </c>
      <c r="BE2947" s="571">
        <f t="shared" si="328"/>
        <v>0</v>
      </c>
      <c r="BF2947" s="586">
        <f t="shared" si="325"/>
        <v>0</v>
      </c>
      <c r="BG2947" s="586" t="e">
        <f t="shared" si="326"/>
        <v>#DIV/0!</v>
      </c>
      <c r="BH2947" s="571" t="e">
        <f t="shared" si="327"/>
        <v>#DIV/0!</v>
      </c>
    </row>
    <row r="2948" spans="55:60" s="39" customFormat="1">
      <c r="BC2948" s="573">
        <v>29.37</v>
      </c>
      <c r="BD2948" s="571">
        <f t="shared" si="324"/>
        <v>0</v>
      </c>
      <c r="BE2948" s="571">
        <f t="shared" si="328"/>
        <v>0</v>
      </c>
      <c r="BF2948" s="586">
        <f t="shared" si="325"/>
        <v>0</v>
      </c>
      <c r="BG2948" s="586" t="e">
        <f t="shared" si="326"/>
        <v>#DIV/0!</v>
      </c>
      <c r="BH2948" s="571" t="e">
        <f t="shared" si="327"/>
        <v>#DIV/0!</v>
      </c>
    </row>
    <row r="2949" spans="55:60" s="39" customFormat="1">
      <c r="BC2949" s="573">
        <v>29.38</v>
      </c>
      <c r="BD2949" s="571">
        <f t="shared" si="324"/>
        <v>0</v>
      </c>
      <c r="BE2949" s="571">
        <f t="shared" si="328"/>
        <v>0</v>
      </c>
      <c r="BF2949" s="586">
        <f t="shared" si="325"/>
        <v>0</v>
      </c>
      <c r="BG2949" s="586" t="e">
        <f t="shared" si="326"/>
        <v>#DIV/0!</v>
      </c>
      <c r="BH2949" s="571" t="e">
        <f t="shared" si="327"/>
        <v>#DIV/0!</v>
      </c>
    </row>
    <row r="2950" spans="55:60" s="39" customFormat="1">
      <c r="BC2950" s="573">
        <v>29.39</v>
      </c>
      <c r="BD2950" s="571">
        <f t="shared" si="324"/>
        <v>0</v>
      </c>
      <c r="BE2950" s="571">
        <f t="shared" si="328"/>
        <v>0</v>
      </c>
      <c r="BF2950" s="586">
        <f t="shared" si="325"/>
        <v>0</v>
      </c>
      <c r="BG2950" s="586" t="e">
        <f t="shared" si="326"/>
        <v>#DIV/0!</v>
      </c>
      <c r="BH2950" s="571" t="e">
        <f t="shared" si="327"/>
        <v>#DIV/0!</v>
      </c>
    </row>
    <row r="2951" spans="55:60" s="39" customFormat="1">
      <c r="BC2951" s="573">
        <v>29.4</v>
      </c>
      <c r="BD2951" s="571">
        <f t="shared" si="324"/>
        <v>0</v>
      </c>
      <c r="BE2951" s="571">
        <f t="shared" si="328"/>
        <v>0</v>
      </c>
      <c r="BF2951" s="586">
        <f t="shared" si="325"/>
        <v>0</v>
      </c>
      <c r="BG2951" s="586" t="e">
        <f t="shared" si="326"/>
        <v>#DIV/0!</v>
      </c>
      <c r="BH2951" s="571" t="e">
        <f t="shared" si="327"/>
        <v>#DIV/0!</v>
      </c>
    </row>
    <row r="2952" spans="55:60" s="39" customFormat="1">
      <c r="BC2952" s="573">
        <v>29.41</v>
      </c>
      <c r="BD2952" s="571">
        <f t="shared" si="324"/>
        <v>0</v>
      </c>
      <c r="BE2952" s="571">
        <f t="shared" si="328"/>
        <v>0</v>
      </c>
      <c r="BF2952" s="586">
        <f t="shared" si="325"/>
        <v>0</v>
      </c>
      <c r="BG2952" s="586" t="e">
        <f t="shared" si="326"/>
        <v>#DIV/0!</v>
      </c>
      <c r="BH2952" s="571" t="e">
        <f t="shared" si="327"/>
        <v>#DIV/0!</v>
      </c>
    </row>
    <row r="2953" spans="55:60" s="39" customFormat="1">
      <c r="BC2953" s="573">
        <v>29.42</v>
      </c>
      <c r="BD2953" s="571">
        <f t="shared" si="324"/>
        <v>0</v>
      </c>
      <c r="BE2953" s="571">
        <f t="shared" si="328"/>
        <v>0</v>
      </c>
      <c r="BF2953" s="586">
        <f t="shared" si="325"/>
        <v>0</v>
      </c>
      <c r="BG2953" s="586" t="e">
        <f t="shared" si="326"/>
        <v>#DIV/0!</v>
      </c>
      <c r="BH2953" s="571" t="e">
        <f t="shared" si="327"/>
        <v>#DIV/0!</v>
      </c>
    </row>
    <row r="2954" spans="55:60" s="39" customFormat="1">
      <c r="BC2954" s="573">
        <v>29.43</v>
      </c>
      <c r="BD2954" s="571">
        <f t="shared" si="324"/>
        <v>0</v>
      </c>
      <c r="BE2954" s="571">
        <f t="shared" si="328"/>
        <v>0</v>
      </c>
      <c r="BF2954" s="586">
        <f t="shared" si="325"/>
        <v>0</v>
      </c>
      <c r="BG2954" s="586" t="e">
        <f t="shared" si="326"/>
        <v>#DIV/0!</v>
      </c>
      <c r="BH2954" s="571" t="e">
        <f t="shared" si="327"/>
        <v>#DIV/0!</v>
      </c>
    </row>
    <row r="2955" spans="55:60" s="39" customFormat="1">
      <c r="BC2955" s="573">
        <v>29.44</v>
      </c>
      <c r="BD2955" s="571">
        <f t="shared" si="324"/>
        <v>0</v>
      </c>
      <c r="BE2955" s="571">
        <f t="shared" si="328"/>
        <v>0</v>
      </c>
      <c r="BF2955" s="586">
        <f t="shared" si="325"/>
        <v>0</v>
      </c>
      <c r="BG2955" s="586" t="e">
        <f t="shared" si="326"/>
        <v>#DIV/0!</v>
      </c>
      <c r="BH2955" s="571" t="e">
        <f t="shared" si="327"/>
        <v>#DIV/0!</v>
      </c>
    </row>
    <row r="2956" spans="55:60" s="39" customFormat="1">
      <c r="BC2956" s="573">
        <v>29.45</v>
      </c>
      <c r="BD2956" s="571">
        <f t="shared" ref="BD2956:BD3010" si="329">$AU$15/BC2956</f>
        <v>0</v>
      </c>
      <c r="BE2956" s="571">
        <f t="shared" si="328"/>
        <v>0</v>
      </c>
      <c r="BF2956" s="586">
        <f t="shared" ref="BF2956:BF3010" si="330">BC2956*(BE2956/1000)/$AO$12</f>
        <v>0</v>
      </c>
      <c r="BG2956" s="586" t="e">
        <f t="shared" ref="BG2956:BG3010" si="331">POWER((1/(-1.8*LOG((6.9/BF2956+POWER((($P$7/BE2956)/3.71),1.11)),10))),2)</f>
        <v>#DIV/0!</v>
      </c>
      <c r="BH2956" s="571" t="e">
        <f t="shared" ref="BH2956:BH3011" si="332">BG2956*0.5*$P$6*16*$AU$15*$AU$15/(POWER(PI(),2)*POWER((BE2956/1000),5))</f>
        <v>#DIV/0!</v>
      </c>
    </row>
    <row r="2957" spans="55:60" s="39" customFormat="1">
      <c r="BC2957" s="573">
        <v>29.46</v>
      </c>
      <c r="BD2957" s="571">
        <f t="shared" si="329"/>
        <v>0</v>
      </c>
      <c r="BE2957" s="571">
        <f t="shared" ref="BE2957:BE3011" si="333">((BD2957/PI())^0.5)*2*1000</f>
        <v>0</v>
      </c>
      <c r="BF2957" s="586">
        <f t="shared" si="330"/>
        <v>0</v>
      </c>
      <c r="BG2957" s="586" t="e">
        <f t="shared" si="331"/>
        <v>#DIV/0!</v>
      </c>
      <c r="BH2957" s="571" t="e">
        <f t="shared" si="332"/>
        <v>#DIV/0!</v>
      </c>
    </row>
    <row r="2958" spans="55:60" s="39" customFormat="1">
      <c r="BC2958" s="573">
        <v>29.47</v>
      </c>
      <c r="BD2958" s="571">
        <f t="shared" si="329"/>
        <v>0</v>
      </c>
      <c r="BE2958" s="571">
        <f t="shared" si="333"/>
        <v>0</v>
      </c>
      <c r="BF2958" s="586">
        <f t="shared" si="330"/>
        <v>0</v>
      </c>
      <c r="BG2958" s="586" t="e">
        <f t="shared" si="331"/>
        <v>#DIV/0!</v>
      </c>
      <c r="BH2958" s="571" t="e">
        <f t="shared" si="332"/>
        <v>#DIV/0!</v>
      </c>
    </row>
    <row r="2959" spans="55:60" s="39" customFormat="1">
      <c r="BC2959" s="573">
        <v>29.48</v>
      </c>
      <c r="BD2959" s="571">
        <f t="shared" si="329"/>
        <v>0</v>
      </c>
      <c r="BE2959" s="571">
        <f t="shared" si="333"/>
        <v>0</v>
      </c>
      <c r="BF2959" s="586">
        <f t="shared" si="330"/>
        <v>0</v>
      </c>
      <c r="BG2959" s="586" t="e">
        <f t="shared" si="331"/>
        <v>#DIV/0!</v>
      </c>
      <c r="BH2959" s="571" t="e">
        <f t="shared" si="332"/>
        <v>#DIV/0!</v>
      </c>
    </row>
    <row r="2960" spans="55:60" s="39" customFormat="1">
      <c r="BC2960" s="573">
        <v>29.49</v>
      </c>
      <c r="BD2960" s="571">
        <f t="shared" si="329"/>
        <v>0</v>
      </c>
      <c r="BE2960" s="571">
        <f t="shared" si="333"/>
        <v>0</v>
      </c>
      <c r="BF2960" s="586">
        <f t="shared" si="330"/>
        <v>0</v>
      </c>
      <c r="BG2960" s="586" t="e">
        <f t="shared" si="331"/>
        <v>#DIV/0!</v>
      </c>
      <c r="BH2960" s="571" t="e">
        <f t="shared" si="332"/>
        <v>#DIV/0!</v>
      </c>
    </row>
    <row r="2961" spans="55:60" s="39" customFormat="1">
      <c r="BC2961" s="573">
        <v>29.5</v>
      </c>
      <c r="BD2961" s="571">
        <f t="shared" si="329"/>
        <v>0</v>
      </c>
      <c r="BE2961" s="571">
        <f t="shared" si="333"/>
        <v>0</v>
      </c>
      <c r="BF2961" s="586">
        <f t="shared" si="330"/>
        <v>0</v>
      </c>
      <c r="BG2961" s="586" t="e">
        <f t="shared" si="331"/>
        <v>#DIV/0!</v>
      </c>
      <c r="BH2961" s="571" t="e">
        <f t="shared" si="332"/>
        <v>#DIV/0!</v>
      </c>
    </row>
    <row r="2962" spans="55:60" s="39" customFormat="1">
      <c r="BC2962" s="573">
        <v>29.51</v>
      </c>
      <c r="BD2962" s="571">
        <f t="shared" si="329"/>
        <v>0</v>
      </c>
      <c r="BE2962" s="571">
        <f t="shared" si="333"/>
        <v>0</v>
      </c>
      <c r="BF2962" s="586">
        <f t="shared" si="330"/>
        <v>0</v>
      </c>
      <c r="BG2962" s="586" t="e">
        <f t="shared" si="331"/>
        <v>#DIV/0!</v>
      </c>
      <c r="BH2962" s="571" t="e">
        <f t="shared" si="332"/>
        <v>#DIV/0!</v>
      </c>
    </row>
    <row r="2963" spans="55:60" s="39" customFormat="1">
      <c r="BC2963" s="573">
        <v>29.52</v>
      </c>
      <c r="BD2963" s="571">
        <f t="shared" si="329"/>
        <v>0</v>
      </c>
      <c r="BE2963" s="571">
        <f t="shared" si="333"/>
        <v>0</v>
      </c>
      <c r="BF2963" s="586">
        <f t="shared" si="330"/>
        <v>0</v>
      </c>
      <c r="BG2963" s="586" t="e">
        <f t="shared" si="331"/>
        <v>#DIV/0!</v>
      </c>
      <c r="BH2963" s="571" t="e">
        <f t="shared" si="332"/>
        <v>#DIV/0!</v>
      </c>
    </row>
    <row r="2964" spans="55:60" s="39" customFormat="1">
      <c r="BC2964" s="573">
        <v>29.53</v>
      </c>
      <c r="BD2964" s="571">
        <f t="shared" si="329"/>
        <v>0</v>
      </c>
      <c r="BE2964" s="571">
        <f t="shared" si="333"/>
        <v>0</v>
      </c>
      <c r="BF2964" s="586">
        <f t="shared" si="330"/>
        <v>0</v>
      </c>
      <c r="BG2964" s="586" t="e">
        <f t="shared" si="331"/>
        <v>#DIV/0!</v>
      </c>
      <c r="BH2964" s="571" t="e">
        <f t="shared" si="332"/>
        <v>#DIV/0!</v>
      </c>
    </row>
    <row r="2965" spans="55:60" s="39" customFormat="1">
      <c r="BC2965" s="573">
        <v>29.54</v>
      </c>
      <c r="BD2965" s="571">
        <f t="shared" si="329"/>
        <v>0</v>
      </c>
      <c r="BE2965" s="571">
        <f t="shared" si="333"/>
        <v>0</v>
      </c>
      <c r="BF2965" s="586">
        <f t="shared" si="330"/>
        <v>0</v>
      </c>
      <c r="BG2965" s="586" t="e">
        <f t="shared" si="331"/>
        <v>#DIV/0!</v>
      </c>
      <c r="BH2965" s="571" t="e">
        <f t="shared" si="332"/>
        <v>#DIV/0!</v>
      </c>
    </row>
    <row r="2966" spans="55:60" s="39" customFormat="1">
      <c r="BC2966" s="573">
        <v>29.55</v>
      </c>
      <c r="BD2966" s="571">
        <f t="shared" si="329"/>
        <v>0</v>
      </c>
      <c r="BE2966" s="571">
        <f t="shared" si="333"/>
        <v>0</v>
      </c>
      <c r="BF2966" s="586">
        <f t="shared" si="330"/>
        <v>0</v>
      </c>
      <c r="BG2966" s="586" t="e">
        <f t="shared" si="331"/>
        <v>#DIV/0!</v>
      </c>
      <c r="BH2966" s="571" t="e">
        <f t="shared" si="332"/>
        <v>#DIV/0!</v>
      </c>
    </row>
    <row r="2967" spans="55:60" s="39" customFormat="1">
      <c r="BC2967" s="573">
        <v>29.56</v>
      </c>
      <c r="BD2967" s="571">
        <f t="shared" si="329"/>
        <v>0</v>
      </c>
      <c r="BE2967" s="571">
        <f t="shared" si="333"/>
        <v>0</v>
      </c>
      <c r="BF2967" s="586">
        <f t="shared" si="330"/>
        <v>0</v>
      </c>
      <c r="BG2967" s="586" t="e">
        <f t="shared" si="331"/>
        <v>#DIV/0!</v>
      </c>
      <c r="BH2967" s="571" t="e">
        <f t="shared" si="332"/>
        <v>#DIV/0!</v>
      </c>
    </row>
    <row r="2968" spans="55:60" s="39" customFormat="1">
      <c r="BC2968" s="573">
        <v>29.57</v>
      </c>
      <c r="BD2968" s="571">
        <f t="shared" si="329"/>
        <v>0</v>
      </c>
      <c r="BE2968" s="571">
        <f t="shared" si="333"/>
        <v>0</v>
      </c>
      <c r="BF2968" s="586">
        <f t="shared" si="330"/>
        <v>0</v>
      </c>
      <c r="BG2968" s="586" t="e">
        <f t="shared" si="331"/>
        <v>#DIV/0!</v>
      </c>
      <c r="BH2968" s="571" t="e">
        <f t="shared" si="332"/>
        <v>#DIV/0!</v>
      </c>
    </row>
    <row r="2969" spans="55:60" s="39" customFormat="1">
      <c r="BC2969" s="573">
        <v>29.58</v>
      </c>
      <c r="BD2969" s="571">
        <f t="shared" si="329"/>
        <v>0</v>
      </c>
      <c r="BE2969" s="571">
        <f t="shared" si="333"/>
        <v>0</v>
      </c>
      <c r="BF2969" s="586">
        <f t="shared" si="330"/>
        <v>0</v>
      </c>
      <c r="BG2969" s="586" t="e">
        <f t="shared" si="331"/>
        <v>#DIV/0!</v>
      </c>
      <c r="BH2969" s="571" t="e">
        <f t="shared" si="332"/>
        <v>#DIV/0!</v>
      </c>
    </row>
    <row r="2970" spans="55:60" s="39" customFormat="1">
      <c r="BC2970" s="573">
        <v>29.59</v>
      </c>
      <c r="BD2970" s="571">
        <f t="shared" si="329"/>
        <v>0</v>
      </c>
      <c r="BE2970" s="571">
        <f t="shared" si="333"/>
        <v>0</v>
      </c>
      <c r="BF2970" s="586">
        <f t="shared" si="330"/>
        <v>0</v>
      </c>
      <c r="BG2970" s="586" t="e">
        <f t="shared" si="331"/>
        <v>#DIV/0!</v>
      </c>
      <c r="BH2970" s="571" t="e">
        <f t="shared" si="332"/>
        <v>#DIV/0!</v>
      </c>
    </row>
    <row r="2971" spans="55:60" s="39" customFormat="1">
      <c r="BC2971" s="573">
        <v>29.6</v>
      </c>
      <c r="BD2971" s="571">
        <f t="shared" si="329"/>
        <v>0</v>
      </c>
      <c r="BE2971" s="571">
        <f t="shared" si="333"/>
        <v>0</v>
      </c>
      <c r="BF2971" s="586">
        <f t="shared" si="330"/>
        <v>0</v>
      </c>
      <c r="BG2971" s="586" t="e">
        <f t="shared" si="331"/>
        <v>#DIV/0!</v>
      </c>
      <c r="BH2971" s="571" t="e">
        <f t="shared" si="332"/>
        <v>#DIV/0!</v>
      </c>
    </row>
    <row r="2972" spans="55:60" s="39" customFormat="1">
      <c r="BC2972" s="573">
        <v>29.61</v>
      </c>
      <c r="BD2972" s="571">
        <f t="shared" si="329"/>
        <v>0</v>
      </c>
      <c r="BE2972" s="571">
        <f t="shared" si="333"/>
        <v>0</v>
      </c>
      <c r="BF2972" s="586">
        <f t="shared" si="330"/>
        <v>0</v>
      </c>
      <c r="BG2972" s="586" t="e">
        <f t="shared" si="331"/>
        <v>#DIV/0!</v>
      </c>
      <c r="BH2972" s="571" t="e">
        <f t="shared" si="332"/>
        <v>#DIV/0!</v>
      </c>
    </row>
    <row r="2973" spans="55:60" s="39" customFormat="1">
      <c r="BC2973" s="573">
        <v>29.62</v>
      </c>
      <c r="BD2973" s="571">
        <f t="shared" si="329"/>
        <v>0</v>
      </c>
      <c r="BE2973" s="571">
        <f t="shared" si="333"/>
        <v>0</v>
      </c>
      <c r="BF2973" s="586">
        <f t="shared" si="330"/>
        <v>0</v>
      </c>
      <c r="BG2973" s="586" t="e">
        <f t="shared" si="331"/>
        <v>#DIV/0!</v>
      </c>
      <c r="BH2973" s="571" t="e">
        <f t="shared" si="332"/>
        <v>#DIV/0!</v>
      </c>
    </row>
    <row r="2974" spans="55:60" s="39" customFormat="1">
      <c r="BC2974" s="573">
        <v>29.63</v>
      </c>
      <c r="BD2974" s="571">
        <f t="shared" si="329"/>
        <v>0</v>
      </c>
      <c r="BE2974" s="571">
        <f t="shared" si="333"/>
        <v>0</v>
      </c>
      <c r="BF2974" s="586">
        <f t="shared" si="330"/>
        <v>0</v>
      </c>
      <c r="BG2974" s="586" t="e">
        <f t="shared" si="331"/>
        <v>#DIV/0!</v>
      </c>
      <c r="BH2974" s="571" t="e">
        <f t="shared" si="332"/>
        <v>#DIV/0!</v>
      </c>
    </row>
    <row r="2975" spans="55:60" s="39" customFormat="1">
      <c r="BC2975" s="573">
        <v>29.64</v>
      </c>
      <c r="BD2975" s="571">
        <f t="shared" si="329"/>
        <v>0</v>
      </c>
      <c r="BE2975" s="571">
        <f t="shared" si="333"/>
        <v>0</v>
      </c>
      <c r="BF2975" s="586">
        <f t="shared" si="330"/>
        <v>0</v>
      </c>
      <c r="BG2975" s="586" t="e">
        <f t="shared" si="331"/>
        <v>#DIV/0!</v>
      </c>
      <c r="BH2975" s="571" t="e">
        <f t="shared" si="332"/>
        <v>#DIV/0!</v>
      </c>
    </row>
    <row r="2976" spans="55:60" s="39" customFormat="1">
      <c r="BC2976" s="573">
        <v>29.65</v>
      </c>
      <c r="BD2976" s="571">
        <f t="shared" si="329"/>
        <v>0</v>
      </c>
      <c r="BE2976" s="571">
        <f t="shared" si="333"/>
        <v>0</v>
      </c>
      <c r="BF2976" s="586">
        <f t="shared" si="330"/>
        <v>0</v>
      </c>
      <c r="BG2976" s="586" t="e">
        <f t="shared" si="331"/>
        <v>#DIV/0!</v>
      </c>
      <c r="BH2976" s="571" t="e">
        <f t="shared" si="332"/>
        <v>#DIV/0!</v>
      </c>
    </row>
    <row r="2977" spans="55:60" s="39" customFormat="1">
      <c r="BC2977" s="573">
        <v>29.66</v>
      </c>
      <c r="BD2977" s="571">
        <f t="shared" si="329"/>
        <v>0</v>
      </c>
      <c r="BE2977" s="571">
        <f t="shared" si="333"/>
        <v>0</v>
      </c>
      <c r="BF2977" s="586">
        <f t="shared" si="330"/>
        <v>0</v>
      </c>
      <c r="BG2977" s="586" t="e">
        <f t="shared" si="331"/>
        <v>#DIV/0!</v>
      </c>
      <c r="BH2977" s="571" t="e">
        <f t="shared" si="332"/>
        <v>#DIV/0!</v>
      </c>
    </row>
    <row r="2978" spans="55:60" s="39" customFormat="1">
      <c r="BC2978" s="573">
        <v>29.67</v>
      </c>
      <c r="BD2978" s="571">
        <f t="shared" si="329"/>
        <v>0</v>
      </c>
      <c r="BE2978" s="571">
        <f t="shared" si="333"/>
        <v>0</v>
      </c>
      <c r="BF2978" s="586">
        <f t="shared" si="330"/>
        <v>0</v>
      </c>
      <c r="BG2978" s="586" t="e">
        <f t="shared" si="331"/>
        <v>#DIV/0!</v>
      </c>
      <c r="BH2978" s="571" t="e">
        <f t="shared" si="332"/>
        <v>#DIV/0!</v>
      </c>
    </row>
    <row r="2979" spans="55:60" s="39" customFormat="1">
      <c r="BC2979" s="573">
        <v>29.68</v>
      </c>
      <c r="BD2979" s="571">
        <f t="shared" si="329"/>
        <v>0</v>
      </c>
      <c r="BE2979" s="571">
        <f t="shared" si="333"/>
        <v>0</v>
      </c>
      <c r="BF2979" s="586">
        <f t="shared" si="330"/>
        <v>0</v>
      </c>
      <c r="BG2979" s="586" t="e">
        <f t="shared" si="331"/>
        <v>#DIV/0!</v>
      </c>
      <c r="BH2979" s="571" t="e">
        <f t="shared" si="332"/>
        <v>#DIV/0!</v>
      </c>
    </row>
    <row r="2980" spans="55:60" s="39" customFormat="1">
      <c r="BC2980" s="573">
        <v>29.69</v>
      </c>
      <c r="BD2980" s="571">
        <f t="shared" si="329"/>
        <v>0</v>
      </c>
      <c r="BE2980" s="571">
        <f t="shared" si="333"/>
        <v>0</v>
      </c>
      <c r="BF2980" s="586">
        <f t="shared" si="330"/>
        <v>0</v>
      </c>
      <c r="BG2980" s="586" t="e">
        <f t="shared" si="331"/>
        <v>#DIV/0!</v>
      </c>
      <c r="BH2980" s="571" t="e">
        <f t="shared" si="332"/>
        <v>#DIV/0!</v>
      </c>
    </row>
    <row r="2981" spans="55:60" s="39" customFormat="1">
      <c r="BC2981" s="573">
        <v>29.7</v>
      </c>
      <c r="BD2981" s="571">
        <f t="shared" si="329"/>
        <v>0</v>
      </c>
      <c r="BE2981" s="571">
        <f t="shared" si="333"/>
        <v>0</v>
      </c>
      <c r="BF2981" s="586">
        <f t="shared" si="330"/>
        <v>0</v>
      </c>
      <c r="BG2981" s="586" t="e">
        <f t="shared" si="331"/>
        <v>#DIV/0!</v>
      </c>
      <c r="BH2981" s="571" t="e">
        <f t="shared" si="332"/>
        <v>#DIV/0!</v>
      </c>
    </row>
    <row r="2982" spans="55:60" s="39" customFormat="1">
      <c r="BC2982" s="573">
        <v>29.71</v>
      </c>
      <c r="BD2982" s="571">
        <f t="shared" si="329"/>
        <v>0</v>
      </c>
      <c r="BE2982" s="571">
        <f t="shared" si="333"/>
        <v>0</v>
      </c>
      <c r="BF2982" s="586">
        <f t="shared" si="330"/>
        <v>0</v>
      </c>
      <c r="BG2982" s="586" t="e">
        <f t="shared" si="331"/>
        <v>#DIV/0!</v>
      </c>
      <c r="BH2982" s="571" t="e">
        <f t="shared" si="332"/>
        <v>#DIV/0!</v>
      </c>
    </row>
    <row r="2983" spans="55:60" s="39" customFormat="1">
      <c r="BC2983" s="573">
        <v>29.72</v>
      </c>
      <c r="BD2983" s="571">
        <f t="shared" si="329"/>
        <v>0</v>
      </c>
      <c r="BE2983" s="571">
        <f t="shared" si="333"/>
        <v>0</v>
      </c>
      <c r="BF2983" s="586">
        <f t="shared" si="330"/>
        <v>0</v>
      </c>
      <c r="BG2983" s="586" t="e">
        <f t="shared" si="331"/>
        <v>#DIV/0!</v>
      </c>
      <c r="BH2983" s="571" t="e">
        <f t="shared" si="332"/>
        <v>#DIV/0!</v>
      </c>
    </row>
    <row r="2984" spans="55:60" s="39" customFormat="1">
      <c r="BC2984" s="573">
        <v>29.73</v>
      </c>
      <c r="BD2984" s="571">
        <f t="shared" si="329"/>
        <v>0</v>
      </c>
      <c r="BE2984" s="571">
        <f t="shared" si="333"/>
        <v>0</v>
      </c>
      <c r="BF2984" s="586">
        <f t="shared" si="330"/>
        <v>0</v>
      </c>
      <c r="BG2984" s="586" t="e">
        <f t="shared" si="331"/>
        <v>#DIV/0!</v>
      </c>
      <c r="BH2984" s="571" t="e">
        <f t="shared" si="332"/>
        <v>#DIV/0!</v>
      </c>
    </row>
    <row r="2985" spans="55:60" s="39" customFormat="1">
      <c r="BC2985" s="573">
        <v>29.74</v>
      </c>
      <c r="BD2985" s="571">
        <f t="shared" si="329"/>
        <v>0</v>
      </c>
      <c r="BE2985" s="571">
        <f t="shared" si="333"/>
        <v>0</v>
      </c>
      <c r="BF2985" s="586">
        <f t="shared" si="330"/>
        <v>0</v>
      </c>
      <c r="BG2985" s="586" t="e">
        <f t="shared" si="331"/>
        <v>#DIV/0!</v>
      </c>
      <c r="BH2985" s="571" t="e">
        <f t="shared" si="332"/>
        <v>#DIV/0!</v>
      </c>
    </row>
    <row r="2986" spans="55:60" s="39" customFormat="1">
      <c r="BC2986" s="573">
        <v>29.75</v>
      </c>
      <c r="BD2986" s="571">
        <f t="shared" si="329"/>
        <v>0</v>
      </c>
      <c r="BE2986" s="571">
        <f t="shared" si="333"/>
        <v>0</v>
      </c>
      <c r="BF2986" s="586">
        <f t="shared" si="330"/>
        <v>0</v>
      </c>
      <c r="BG2986" s="586" t="e">
        <f t="shared" si="331"/>
        <v>#DIV/0!</v>
      </c>
      <c r="BH2986" s="571" t="e">
        <f t="shared" si="332"/>
        <v>#DIV/0!</v>
      </c>
    </row>
    <row r="2987" spans="55:60" s="39" customFormat="1">
      <c r="BC2987" s="573">
        <v>29.76</v>
      </c>
      <c r="BD2987" s="571">
        <f t="shared" si="329"/>
        <v>0</v>
      </c>
      <c r="BE2987" s="571">
        <f t="shared" si="333"/>
        <v>0</v>
      </c>
      <c r="BF2987" s="586">
        <f t="shared" si="330"/>
        <v>0</v>
      </c>
      <c r="BG2987" s="586" t="e">
        <f t="shared" si="331"/>
        <v>#DIV/0!</v>
      </c>
      <c r="BH2987" s="571" t="e">
        <f t="shared" si="332"/>
        <v>#DIV/0!</v>
      </c>
    </row>
    <row r="2988" spans="55:60" s="39" customFormat="1">
      <c r="BC2988" s="573">
        <v>29.77</v>
      </c>
      <c r="BD2988" s="571">
        <f t="shared" si="329"/>
        <v>0</v>
      </c>
      <c r="BE2988" s="571">
        <f t="shared" si="333"/>
        <v>0</v>
      </c>
      <c r="BF2988" s="586">
        <f t="shared" si="330"/>
        <v>0</v>
      </c>
      <c r="BG2988" s="586" t="e">
        <f t="shared" si="331"/>
        <v>#DIV/0!</v>
      </c>
      <c r="BH2988" s="571" t="e">
        <f t="shared" si="332"/>
        <v>#DIV/0!</v>
      </c>
    </row>
    <row r="2989" spans="55:60" s="39" customFormat="1">
      <c r="BC2989" s="573">
        <v>29.78</v>
      </c>
      <c r="BD2989" s="571">
        <f t="shared" si="329"/>
        <v>0</v>
      </c>
      <c r="BE2989" s="571">
        <f t="shared" si="333"/>
        <v>0</v>
      </c>
      <c r="BF2989" s="586">
        <f t="shared" si="330"/>
        <v>0</v>
      </c>
      <c r="BG2989" s="586" t="e">
        <f t="shared" si="331"/>
        <v>#DIV/0!</v>
      </c>
      <c r="BH2989" s="571" t="e">
        <f t="shared" si="332"/>
        <v>#DIV/0!</v>
      </c>
    </row>
    <row r="2990" spans="55:60" s="39" customFormat="1">
      <c r="BC2990" s="573">
        <v>29.79</v>
      </c>
      <c r="BD2990" s="571">
        <f t="shared" si="329"/>
        <v>0</v>
      </c>
      <c r="BE2990" s="571">
        <f t="shared" si="333"/>
        <v>0</v>
      </c>
      <c r="BF2990" s="586">
        <f t="shared" si="330"/>
        <v>0</v>
      </c>
      <c r="BG2990" s="586" t="e">
        <f t="shared" si="331"/>
        <v>#DIV/0!</v>
      </c>
      <c r="BH2990" s="571" t="e">
        <f t="shared" si="332"/>
        <v>#DIV/0!</v>
      </c>
    </row>
    <row r="2991" spans="55:60" s="39" customFormat="1">
      <c r="BC2991" s="573">
        <v>29.8</v>
      </c>
      <c r="BD2991" s="571">
        <f t="shared" si="329"/>
        <v>0</v>
      </c>
      <c r="BE2991" s="571">
        <f t="shared" si="333"/>
        <v>0</v>
      </c>
      <c r="BF2991" s="586">
        <f t="shared" si="330"/>
        <v>0</v>
      </c>
      <c r="BG2991" s="586" t="e">
        <f t="shared" si="331"/>
        <v>#DIV/0!</v>
      </c>
      <c r="BH2991" s="571" t="e">
        <f t="shared" si="332"/>
        <v>#DIV/0!</v>
      </c>
    </row>
    <row r="2992" spans="55:60" s="39" customFormat="1">
      <c r="BC2992" s="573">
        <v>29.81</v>
      </c>
      <c r="BD2992" s="571">
        <f t="shared" si="329"/>
        <v>0</v>
      </c>
      <c r="BE2992" s="571">
        <f t="shared" si="333"/>
        <v>0</v>
      </c>
      <c r="BF2992" s="586">
        <f t="shared" si="330"/>
        <v>0</v>
      </c>
      <c r="BG2992" s="586" t="e">
        <f t="shared" si="331"/>
        <v>#DIV/0!</v>
      </c>
      <c r="BH2992" s="571" t="e">
        <f t="shared" si="332"/>
        <v>#DIV/0!</v>
      </c>
    </row>
    <row r="2993" spans="55:60" s="39" customFormat="1">
      <c r="BC2993" s="573">
        <v>29.82</v>
      </c>
      <c r="BD2993" s="571">
        <f t="shared" si="329"/>
        <v>0</v>
      </c>
      <c r="BE2993" s="571">
        <f t="shared" si="333"/>
        <v>0</v>
      </c>
      <c r="BF2993" s="586">
        <f t="shared" si="330"/>
        <v>0</v>
      </c>
      <c r="BG2993" s="586" t="e">
        <f t="shared" si="331"/>
        <v>#DIV/0!</v>
      </c>
      <c r="BH2993" s="571" t="e">
        <f t="shared" si="332"/>
        <v>#DIV/0!</v>
      </c>
    </row>
    <row r="2994" spans="55:60" s="39" customFormat="1">
      <c r="BC2994" s="573">
        <v>29.83</v>
      </c>
      <c r="BD2994" s="571">
        <f t="shared" si="329"/>
        <v>0</v>
      </c>
      <c r="BE2994" s="571">
        <f t="shared" si="333"/>
        <v>0</v>
      </c>
      <c r="BF2994" s="586">
        <f t="shared" si="330"/>
        <v>0</v>
      </c>
      <c r="BG2994" s="586" t="e">
        <f t="shared" si="331"/>
        <v>#DIV/0!</v>
      </c>
      <c r="BH2994" s="571" t="e">
        <f t="shared" si="332"/>
        <v>#DIV/0!</v>
      </c>
    </row>
    <row r="2995" spans="55:60" s="39" customFormat="1">
      <c r="BC2995" s="573">
        <v>29.84</v>
      </c>
      <c r="BD2995" s="571">
        <f t="shared" si="329"/>
        <v>0</v>
      </c>
      <c r="BE2995" s="571">
        <f t="shared" si="333"/>
        <v>0</v>
      </c>
      <c r="BF2995" s="586">
        <f t="shared" si="330"/>
        <v>0</v>
      </c>
      <c r="BG2995" s="586" t="e">
        <f t="shared" si="331"/>
        <v>#DIV/0!</v>
      </c>
      <c r="BH2995" s="571" t="e">
        <f t="shared" si="332"/>
        <v>#DIV/0!</v>
      </c>
    </row>
    <row r="2996" spans="55:60" s="39" customFormat="1">
      <c r="BC2996" s="573">
        <v>29.85</v>
      </c>
      <c r="BD2996" s="571">
        <f t="shared" si="329"/>
        <v>0</v>
      </c>
      <c r="BE2996" s="571">
        <f t="shared" si="333"/>
        <v>0</v>
      </c>
      <c r="BF2996" s="586">
        <f t="shared" si="330"/>
        <v>0</v>
      </c>
      <c r="BG2996" s="586" t="e">
        <f t="shared" si="331"/>
        <v>#DIV/0!</v>
      </c>
      <c r="BH2996" s="571" t="e">
        <f t="shared" si="332"/>
        <v>#DIV/0!</v>
      </c>
    </row>
    <row r="2997" spans="55:60" s="39" customFormat="1">
      <c r="BC2997" s="573">
        <v>29.86</v>
      </c>
      <c r="BD2997" s="571">
        <f t="shared" si="329"/>
        <v>0</v>
      </c>
      <c r="BE2997" s="571">
        <f t="shared" si="333"/>
        <v>0</v>
      </c>
      <c r="BF2997" s="586">
        <f t="shared" si="330"/>
        <v>0</v>
      </c>
      <c r="BG2997" s="586" t="e">
        <f t="shared" si="331"/>
        <v>#DIV/0!</v>
      </c>
      <c r="BH2997" s="571" t="e">
        <f t="shared" si="332"/>
        <v>#DIV/0!</v>
      </c>
    </row>
    <row r="2998" spans="55:60" s="39" customFormat="1">
      <c r="BC2998" s="573">
        <v>29.87</v>
      </c>
      <c r="BD2998" s="571">
        <f t="shared" si="329"/>
        <v>0</v>
      </c>
      <c r="BE2998" s="571">
        <f t="shared" si="333"/>
        <v>0</v>
      </c>
      <c r="BF2998" s="586">
        <f t="shared" si="330"/>
        <v>0</v>
      </c>
      <c r="BG2998" s="586" t="e">
        <f t="shared" si="331"/>
        <v>#DIV/0!</v>
      </c>
      <c r="BH2998" s="571" t="e">
        <f t="shared" si="332"/>
        <v>#DIV/0!</v>
      </c>
    </row>
    <row r="2999" spans="55:60" s="39" customFormat="1">
      <c r="BC2999" s="573">
        <v>29.88</v>
      </c>
      <c r="BD2999" s="571">
        <f t="shared" si="329"/>
        <v>0</v>
      </c>
      <c r="BE2999" s="571">
        <f t="shared" si="333"/>
        <v>0</v>
      </c>
      <c r="BF2999" s="586">
        <f t="shared" si="330"/>
        <v>0</v>
      </c>
      <c r="BG2999" s="586" t="e">
        <f t="shared" si="331"/>
        <v>#DIV/0!</v>
      </c>
      <c r="BH2999" s="571" t="e">
        <f t="shared" si="332"/>
        <v>#DIV/0!</v>
      </c>
    </row>
    <row r="3000" spans="55:60" s="39" customFormat="1">
      <c r="BC3000" s="573">
        <v>29.89</v>
      </c>
      <c r="BD3000" s="571">
        <f t="shared" si="329"/>
        <v>0</v>
      </c>
      <c r="BE3000" s="571">
        <f t="shared" si="333"/>
        <v>0</v>
      </c>
      <c r="BF3000" s="586">
        <f t="shared" si="330"/>
        <v>0</v>
      </c>
      <c r="BG3000" s="586" t="e">
        <f t="shared" si="331"/>
        <v>#DIV/0!</v>
      </c>
      <c r="BH3000" s="571" t="e">
        <f t="shared" si="332"/>
        <v>#DIV/0!</v>
      </c>
    </row>
    <row r="3001" spans="55:60" s="39" customFormat="1">
      <c r="BC3001" s="573">
        <v>29.9</v>
      </c>
      <c r="BD3001" s="571">
        <f t="shared" si="329"/>
        <v>0</v>
      </c>
      <c r="BE3001" s="571">
        <f t="shared" si="333"/>
        <v>0</v>
      </c>
      <c r="BF3001" s="586">
        <f t="shared" si="330"/>
        <v>0</v>
      </c>
      <c r="BG3001" s="586" t="e">
        <f t="shared" si="331"/>
        <v>#DIV/0!</v>
      </c>
      <c r="BH3001" s="571" t="e">
        <f t="shared" si="332"/>
        <v>#DIV/0!</v>
      </c>
    </row>
    <row r="3002" spans="55:60" s="39" customFormat="1">
      <c r="BC3002" s="573">
        <v>29.91</v>
      </c>
      <c r="BD3002" s="571">
        <f t="shared" si="329"/>
        <v>0</v>
      </c>
      <c r="BE3002" s="571">
        <f t="shared" si="333"/>
        <v>0</v>
      </c>
      <c r="BF3002" s="586">
        <f t="shared" si="330"/>
        <v>0</v>
      </c>
      <c r="BG3002" s="586" t="e">
        <f t="shared" si="331"/>
        <v>#DIV/0!</v>
      </c>
      <c r="BH3002" s="571" t="e">
        <f t="shared" si="332"/>
        <v>#DIV/0!</v>
      </c>
    </row>
    <row r="3003" spans="55:60" s="39" customFormat="1">
      <c r="BC3003" s="573">
        <v>29.92</v>
      </c>
      <c r="BD3003" s="571">
        <f t="shared" si="329"/>
        <v>0</v>
      </c>
      <c r="BE3003" s="571">
        <f t="shared" si="333"/>
        <v>0</v>
      </c>
      <c r="BF3003" s="586">
        <f t="shared" si="330"/>
        <v>0</v>
      </c>
      <c r="BG3003" s="586" t="e">
        <f t="shared" si="331"/>
        <v>#DIV/0!</v>
      </c>
      <c r="BH3003" s="571" t="e">
        <f t="shared" si="332"/>
        <v>#DIV/0!</v>
      </c>
    </row>
    <row r="3004" spans="55:60" s="39" customFormat="1">
      <c r="BC3004" s="573">
        <v>29.93</v>
      </c>
      <c r="BD3004" s="571">
        <f t="shared" si="329"/>
        <v>0</v>
      </c>
      <c r="BE3004" s="571">
        <f t="shared" si="333"/>
        <v>0</v>
      </c>
      <c r="BF3004" s="586">
        <f t="shared" si="330"/>
        <v>0</v>
      </c>
      <c r="BG3004" s="586" t="e">
        <f t="shared" si="331"/>
        <v>#DIV/0!</v>
      </c>
      <c r="BH3004" s="571" t="e">
        <f t="shared" si="332"/>
        <v>#DIV/0!</v>
      </c>
    </row>
    <row r="3005" spans="55:60" s="39" customFormat="1">
      <c r="BC3005" s="573">
        <v>29.94</v>
      </c>
      <c r="BD3005" s="571">
        <f t="shared" si="329"/>
        <v>0</v>
      </c>
      <c r="BE3005" s="571">
        <f t="shared" si="333"/>
        <v>0</v>
      </c>
      <c r="BF3005" s="586">
        <f t="shared" si="330"/>
        <v>0</v>
      </c>
      <c r="BG3005" s="586" t="e">
        <f t="shared" si="331"/>
        <v>#DIV/0!</v>
      </c>
      <c r="BH3005" s="571" t="e">
        <f t="shared" si="332"/>
        <v>#DIV/0!</v>
      </c>
    </row>
    <row r="3006" spans="55:60" s="39" customFormat="1">
      <c r="BC3006" s="573">
        <v>29.95</v>
      </c>
      <c r="BD3006" s="571">
        <f t="shared" si="329"/>
        <v>0</v>
      </c>
      <c r="BE3006" s="571">
        <f t="shared" si="333"/>
        <v>0</v>
      </c>
      <c r="BF3006" s="586">
        <f t="shared" si="330"/>
        <v>0</v>
      </c>
      <c r="BG3006" s="586" t="e">
        <f t="shared" si="331"/>
        <v>#DIV/0!</v>
      </c>
      <c r="BH3006" s="571" t="e">
        <f t="shared" si="332"/>
        <v>#DIV/0!</v>
      </c>
    </row>
    <row r="3007" spans="55:60" s="39" customFormat="1">
      <c r="BC3007" s="573">
        <v>29.96</v>
      </c>
      <c r="BD3007" s="571">
        <f t="shared" si="329"/>
        <v>0</v>
      </c>
      <c r="BE3007" s="571">
        <f t="shared" si="333"/>
        <v>0</v>
      </c>
      <c r="BF3007" s="586">
        <f t="shared" si="330"/>
        <v>0</v>
      </c>
      <c r="BG3007" s="586" t="e">
        <f t="shared" si="331"/>
        <v>#DIV/0!</v>
      </c>
      <c r="BH3007" s="571" t="e">
        <f t="shared" si="332"/>
        <v>#DIV/0!</v>
      </c>
    </row>
    <row r="3008" spans="55:60" s="39" customFormat="1">
      <c r="BC3008" s="573">
        <v>29.97</v>
      </c>
      <c r="BD3008" s="571">
        <f t="shared" si="329"/>
        <v>0</v>
      </c>
      <c r="BE3008" s="571">
        <f t="shared" si="333"/>
        <v>0</v>
      </c>
      <c r="BF3008" s="586">
        <f t="shared" si="330"/>
        <v>0</v>
      </c>
      <c r="BG3008" s="586" t="e">
        <f t="shared" si="331"/>
        <v>#DIV/0!</v>
      </c>
      <c r="BH3008" s="571" t="e">
        <f t="shared" si="332"/>
        <v>#DIV/0!</v>
      </c>
    </row>
    <row r="3009" spans="55:60" s="39" customFormat="1">
      <c r="BC3009" s="573">
        <v>29.98</v>
      </c>
      <c r="BD3009" s="571">
        <f t="shared" si="329"/>
        <v>0</v>
      </c>
      <c r="BE3009" s="571">
        <f t="shared" si="333"/>
        <v>0</v>
      </c>
      <c r="BF3009" s="586">
        <f t="shared" si="330"/>
        <v>0</v>
      </c>
      <c r="BG3009" s="586" t="e">
        <f t="shared" si="331"/>
        <v>#DIV/0!</v>
      </c>
      <c r="BH3009" s="571" t="e">
        <f t="shared" si="332"/>
        <v>#DIV/0!</v>
      </c>
    </row>
    <row r="3010" spans="55:60" s="39" customFormat="1">
      <c r="BC3010" s="573">
        <v>29.99</v>
      </c>
      <c r="BD3010" s="571">
        <f t="shared" si="329"/>
        <v>0</v>
      </c>
      <c r="BE3010" s="571">
        <f t="shared" si="333"/>
        <v>0</v>
      </c>
      <c r="BF3010" s="586">
        <f t="shared" si="330"/>
        <v>0</v>
      </c>
      <c r="BG3010" s="586" t="e">
        <f t="shared" si="331"/>
        <v>#DIV/0!</v>
      </c>
      <c r="BH3010" s="571" t="e">
        <f t="shared" si="332"/>
        <v>#DIV/0!</v>
      </c>
    </row>
    <row r="3011" spans="55:60" s="39" customFormat="1">
      <c r="BC3011" s="573">
        <v>30</v>
      </c>
      <c r="BD3011" s="571">
        <f t="shared" ref="BD3011" si="334">$AU$15/BC3011</f>
        <v>0</v>
      </c>
      <c r="BE3011" s="571">
        <f t="shared" si="333"/>
        <v>0</v>
      </c>
      <c r="BF3011" s="586">
        <f t="shared" ref="BF3011" si="335">BC3011*(BE3011/1000)/$AO$12</f>
        <v>0</v>
      </c>
      <c r="BG3011" s="586" t="e">
        <f t="shared" ref="BG3011" si="336">POWER((1/(-1.8*LOG((6.9/BF3011+POWER((($P$7/BE3011)/3.71),1.11)),10))),2)</f>
        <v>#DIV/0!</v>
      </c>
      <c r="BH3011" s="571" t="e">
        <f t="shared" si="332"/>
        <v>#DIV/0!</v>
      </c>
    </row>
    <row r="3012" spans="55:60" s="39" customFormat="1">
      <c r="BC3012" s="573"/>
      <c r="BD3012" s="571"/>
      <c r="BE3012" s="571"/>
      <c r="BF3012" s="586"/>
      <c r="BG3012" s="586"/>
      <c r="BH3012" s="571"/>
    </row>
    <row r="3013" spans="55:60" s="39" customFormat="1">
      <c r="BC3013" s="573"/>
      <c r="BD3013" s="571"/>
      <c r="BE3013" s="571"/>
      <c r="BF3013" s="586"/>
      <c r="BG3013" s="586"/>
      <c r="BH3013" s="571"/>
    </row>
    <row r="3014" spans="55:60" s="39" customFormat="1">
      <c r="BC3014" s="573"/>
      <c r="BD3014" s="571"/>
      <c r="BE3014" s="571"/>
      <c r="BF3014" s="586"/>
      <c r="BG3014" s="586"/>
      <c r="BH3014" s="571"/>
    </row>
    <row r="3015" spans="55:60" s="39" customFormat="1">
      <c r="BC3015" s="573"/>
      <c r="BD3015" s="571"/>
      <c r="BE3015" s="571"/>
      <c r="BF3015" s="586"/>
      <c r="BG3015" s="586"/>
      <c r="BH3015" s="571"/>
    </row>
    <row r="3016" spans="55:60" s="39" customFormat="1">
      <c r="BC3016" s="573"/>
      <c r="BD3016" s="571"/>
      <c r="BE3016" s="571"/>
      <c r="BF3016" s="586"/>
      <c r="BG3016" s="586"/>
      <c r="BH3016" s="571"/>
    </row>
    <row r="3017" spans="55:60" s="39" customFormat="1">
      <c r="BC3017" s="573"/>
      <c r="BD3017" s="571"/>
      <c r="BE3017" s="571"/>
      <c r="BF3017" s="586"/>
      <c r="BG3017" s="586"/>
      <c r="BH3017" s="571"/>
    </row>
    <row r="3018" spans="55:60" s="39" customFormat="1">
      <c r="BC3018" s="573"/>
      <c r="BD3018" s="571"/>
      <c r="BE3018" s="571"/>
      <c r="BF3018" s="586"/>
      <c r="BG3018" s="586"/>
      <c r="BH3018" s="571"/>
    </row>
    <row r="3019" spans="55:60" s="39" customFormat="1">
      <c r="BC3019" s="573"/>
      <c r="BD3019" s="571"/>
      <c r="BE3019" s="571"/>
      <c r="BF3019" s="586"/>
      <c r="BG3019" s="586"/>
      <c r="BH3019" s="571"/>
    </row>
    <row r="3020" spans="55:60" s="39" customFormat="1">
      <c r="BC3020" s="573"/>
      <c r="BD3020" s="571"/>
      <c r="BE3020" s="571"/>
      <c r="BF3020" s="586"/>
      <c r="BG3020" s="586"/>
      <c r="BH3020" s="571"/>
    </row>
    <row r="3021" spans="55:60" s="39" customFormat="1">
      <c r="BC3021" s="573"/>
      <c r="BD3021" s="571"/>
      <c r="BE3021" s="571"/>
      <c r="BF3021" s="586"/>
      <c r="BG3021" s="586"/>
      <c r="BH3021" s="571"/>
    </row>
    <row r="3022" spans="55:60" s="39" customFormat="1">
      <c r="BC3022" s="573"/>
      <c r="BD3022" s="571"/>
      <c r="BE3022" s="571"/>
      <c r="BF3022" s="586"/>
      <c r="BG3022" s="586"/>
      <c r="BH3022" s="571"/>
    </row>
    <row r="3023" spans="55:60" s="39" customFormat="1">
      <c r="BC3023" s="573"/>
      <c r="BD3023" s="571"/>
      <c r="BE3023" s="571"/>
      <c r="BF3023" s="586"/>
      <c r="BG3023" s="586"/>
      <c r="BH3023" s="571"/>
    </row>
    <row r="3024" spans="55:60" s="39" customFormat="1">
      <c r="BC3024" s="573"/>
      <c r="BD3024" s="571"/>
      <c r="BE3024" s="571"/>
      <c r="BF3024" s="586"/>
      <c r="BG3024" s="586"/>
      <c r="BH3024" s="571"/>
    </row>
    <row r="3025" spans="55:60" s="39" customFormat="1">
      <c r="BC3025" s="573"/>
      <c r="BD3025" s="571"/>
      <c r="BE3025" s="571"/>
      <c r="BF3025" s="586"/>
      <c r="BG3025" s="586"/>
      <c r="BH3025" s="571"/>
    </row>
    <row r="3026" spans="55:60" s="39" customFormat="1">
      <c r="BC3026" s="573"/>
      <c r="BD3026" s="571"/>
      <c r="BE3026" s="571"/>
      <c r="BF3026" s="586"/>
      <c r="BG3026" s="586"/>
      <c r="BH3026" s="571"/>
    </row>
    <row r="3027" spans="55:60" s="39" customFormat="1">
      <c r="BC3027" s="573"/>
      <c r="BD3027" s="571"/>
      <c r="BE3027" s="571"/>
      <c r="BF3027" s="586"/>
      <c r="BG3027" s="586"/>
      <c r="BH3027" s="571"/>
    </row>
    <row r="3028" spans="55:60" s="39" customFormat="1">
      <c r="BC3028" s="573"/>
      <c r="BD3028" s="571"/>
      <c r="BE3028" s="571"/>
      <c r="BF3028" s="586"/>
      <c r="BG3028" s="586"/>
      <c r="BH3028" s="571"/>
    </row>
    <row r="3029" spans="55:60" s="39" customFormat="1">
      <c r="BC3029" s="573"/>
      <c r="BD3029" s="571"/>
      <c r="BE3029" s="571"/>
      <c r="BF3029" s="586"/>
      <c r="BG3029" s="586"/>
      <c r="BH3029" s="571"/>
    </row>
    <row r="3030" spans="55:60" s="39" customFormat="1">
      <c r="BC3030" s="573"/>
      <c r="BD3030" s="571"/>
      <c r="BE3030" s="571"/>
      <c r="BF3030" s="586"/>
      <c r="BG3030" s="586"/>
      <c r="BH3030" s="571"/>
    </row>
    <row r="3031" spans="55:60" s="39" customFormat="1">
      <c r="BC3031" s="573"/>
      <c r="BD3031" s="571"/>
      <c r="BE3031" s="571"/>
      <c r="BF3031" s="586"/>
      <c r="BG3031" s="586"/>
      <c r="BH3031" s="571"/>
    </row>
    <row r="3032" spans="55:60" s="39" customFormat="1">
      <c r="BC3032" s="573"/>
      <c r="BD3032" s="571"/>
      <c r="BE3032" s="571"/>
      <c r="BF3032" s="586"/>
      <c r="BG3032" s="586"/>
      <c r="BH3032" s="571"/>
    </row>
    <row r="3033" spans="55:60" s="39" customFormat="1">
      <c r="BC3033" s="573"/>
      <c r="BD3033" s="571"/>
      <c r="BE3033" s="571"/>
      <c r="BF3033" s="586"/>
      <c r="BG3033" s="586"/>
      <c r="BH3033" s="571"/>
    </row>
    <row r="3034" spans="55:60" s="39" customFormat="1">
      <c r="BC3034" s="573"/>
      <c r="BD3034" s="571"/>
      <c r="BE3034" s="571"/>
      <c r="BF3034" s="586"/>
      <c r="BG3034" s="586"/>
      <c r="BH3034" s="571"/>
    </row>
    <row r="3035" spans="55:60" s="39" customFormat="1">
      <c r="BC3035" s="573"/>
      <c r="BD3035" s="571"/>
      <c r="BE3035" s="571"/>
      <c r="BF3035" s="586"/>
      <c r="BG3035" s="586"/>
      <c r="BH3035" s="571"/>
    </row>
    <row r="3036" spans="55:60" s="39" customFormat="1">
      <c r="BC3036" s="573"/>
      <c r="BD3036" s="571"/>
      <c r="BE3036" s="571"/>
      <c r="BF3036" s="586"/>
      <c r="BG3036" s="586"/>
      <c r="BH3036" s="571"/>
    </row>
    <row r="3037" spans="55:60" s="39" customFormat="1">
      <c r="BC3037" s="573"/>
      <c r="BD3037" s="571"/>
      <c r="BE3037" s="571"/>
      <c r="BF3037" s="586"/>
      <c r="BG3037" s="586"/>
      <c r="BH3037" s="571"/>
    </row>
    <row r="3038" spans="55:60" s="39" customFormat="1">
      <c r="BC3038" s="573"/>
      <c r="BD3038" s="571"/>
      <c r="BE3038" s="571"/>
      <c r="BF3038" s="586"/>
      <c r="BG3038" s="586"/>
      <c r="BH3038" s="571"/>
    </row>
    <row r="3039" spans="55:60" s="39" customFormat="1">
      <c r="BC3039" s="573"/>
      <c r="BD3039" s="571"/>
      <c r="BE3039" s="571"/>
      <c r="BF3039" s="586"/>
      <c r="BG3039" s="586"/>
      <c r="BH3039" s="571"/>
    </row>
    <row r="3040" spans="55:60" s="39" customFormat="1">
      <c r="BC3040" s="573"/>
      <c r="BD3040" s="571"/>
      <c r="BE3040" s="571"/>
      <c r="BF3040" s="586"/>
      <c r="BG3040" s="586"/>
      <c r="BH3040" s="571"/>
    </row>
    <row r="3041" spans="55:60" s="39" customFormat="1">
      <c r="BC3041" s="573"/>
      <c r="BD3041" s="571"/>
      <c r="BE3041" s="571"/>
      <c r="BF3041" s="586"/>
      <c r="BG3041" s="586"/>
      <c r="BH3041" s="571"/>
    </row>
    <row r="3042" spans="55:60" s="39" customFormat="1">
      <c r="BC3042" s="573"/>
      <c r="BD3042" s="571"/>
      <c r="BE3042" s="571"/>
      <c r="BF3042" s="586"/>
      <c r="BG3042" s="586"/>
      <c r="BH3042" s="571"/>
    </row>
    <row r="3043" spans="55:60" s="39" customFormat="1">
      <c r="BC3043" s="573"/>
      <c r="BD3043" s="571"/>
      <c r="BE3043" s="571"/>
      <c r="BF3043" s="586"/>
      <c r="BG3043" s="586"/>
      <c r="BH3043" s="571"/>
    </row>
    <row r="3044" spans="55:60" s="39" customFormat="1">
      <c r="BC3044" s="573"/>
      <c r="BD3044" s="571"/>
      <c r="BE3044" s="571"/>
      <c r="BF3044" s="586"/>
      <c r="BG3044" s="586"/>
      <c r="BH3044" s="571"/>
    </row>
    <row r="3045" spans="55:60" s="39" customFormat="1">
      <c r="BC3045" s="573"/>
      <c r="BD3045" s="571"/>
      <c r="BE3045" s="571"/>
      <c r="BF3045" s="586"/>
      <c r="BG3045" s="586"/>
      <c r="BH3045" s="571"/>
    </row>
    <row r="3046" spans="55:60" s="39" customFormat="1">
      <c r="BC3046" s="573"/>
      <c r="BD3046" s="571"/>
      <c r="BE3046" s="571"/>
      <c r="BF3046" s="586"/>
      <c r="BG3046" s="586"/>
      <c r="BH3046" s="571"/>
    </row>
    <row r="3047" spans="55:60" s="39" customFormat="1">
      <c r="BC3047" s="573"/>
      <c r="BD3047" s="571"/>
      <c r="BE3047" s="571"/>
      <c r="BF3047" s="586"/>
      <c r="BG3047" s="586"/>
      <c r="BH3047" s="571"/>
    </row>
    <row r="3048" spans="55:60" s="39" customFormat="1">
      <c r="BC3048" s="573"/>
      <c r="BD3048" s="571"/>
      <c r="BE3048" s="571"/>
      <c r="BF3048" s="586"/>
      <c r="BG3048" s="586"/>
      <c r="BH3048" s="571"/>
    </row>
    <row r="3049" spans="55:60" s="39" customFormat="1">
      <c r="BC3049" s="573"/>
      <c r="BD3049" s="571"/>
      <c r="BE3049" s="571"/>
      <c r="BF3049" s="586"/>
      <c r="BG3049" s="586"/>
      <c r="BH3049" s="571"/>
    </row>
    <row r="3050" spans="55:60" s="39" customFormat="1">
      <c r="BC3050" s="573"/>
      <c r="BD3050" s="571"/>
      <c r="BE3050" s="571"/>
      <c r="BF3050" s="586"/>
      <c r="BG3050" s="586"/>
      <c r="BH3050" s="571"/>
    </row>
    <row r="3051" spans="55:60" s="39" customFormat="1">
      <c r="BC3051" s="573"/>
      <c r="BD3051" s="571"/>
      <c r="BE3051" s="571"/>
      <c r="BF3051" s="586"/>
      <c r="BG3051" s="586"/>
      <c r="BH3051" s="571"/>
    </row>
    <row r="3052" spans="55:60" s="39" customFormat="1">
      <c r="BC3052" s="573"/>
      <c r="BD3052" s="571"/>
      <c r="BE3052" s="571"/>
      <c r="BF3052" s="586"/>
      <c r="BG3052" s="586"/>
      <c r="BH3052" s="571"/>
    </row>
  </sheetData>
  <sheetProtection password="DFE4" sheet="1" objects="1" scenarios="1" formatColumns="0" selectLockedCells="1"/>
  <protectedRanges>
    <protectedRange sqref="AD17 X15 X19:Y19 X12 G8:G9 G6 K12:K13 AD14" name="範圍1"/>
  </protectedRanges>
  <mergeCells count="38">
    <mergeCell ref="BL13:CK13"/>
    <mergeCell ref="BP11:BY11"/>
    <mergeCell ref="BP12:BY12"/>
    <mergeCell ref="BP10:BY10"/>
    <mergeCell ref="W35:Z36"/>
    <mergeCell ref="B2:D2"/>
    <mergeCell ref="W34:AA34"/>
    <mergeCell ref="O10:O11"/>
    <mergeCell ref="O12:R12"/>
    <mergeCell ref="O33:R33"/>
    <mergeCell ref="F2:L2"/>
    <mergeCell ref="W2:Z2"/>
    <mergeCell ref="F12:F15"/>
    <mergeCell ref="X16:Y16"/>
    <mergeCell ref="T10:U10"/>
    <mergeCell ref="T36:U36"/>
    <mergeCell ref="P25:P26"/>
    <mergeCell ref="Q25:Q26"/>
    <mergeCell ref="O24:O26"/>
    <mergeCell ref="P29:P30"/>
    <mergeCell ref="Q29:Q30"/>
    <mergeCell ref="O28:O31"/>
    <mergeCell ref="P27:Q27"/>
    <mergeCell ref="AC2:AF2"/>
    <mergeCell ref="F3:H4"/>
    <mergeCell ref="J3:L4"/>
    <mergeCell ref="W3:Z4"/>
    <mergeCell ref="AC3:AF4"/>
    <mergeCell ref="O2:U2"/>
    <mergeCell ref="O40:Q41"/>
    <mergeCell ref="P5:Q5"/>
    <mergeCell ref="O45:O46"/>
    <mergeCell ref="P45:P46"/>
    <mergeCell ref="Q45:Q46"/>
    <mergeCell ref="O34:O35"/>
    <mergeCell ref="P34:P35"/>
    <mergeCell ref="Q34:Q35"/>
    <mergeCell ref="O39:R39"/>
  </mergeCells>
  <phoneticPr fontId="4" type="noConversion"/>
  <conditionalFormatting sqref="U24">
    <cfRule type="expression" dxfId="114" priority="40" stopIfTrue="1">
      <formula>U24="r"</formula>
    </cfRule>
  </conditionalFormatting>
  <conditionalFormatting sqref="U11:U14">
    <cfRule type="cellIs" dxfId="113" priority="9" operator="equal">
      <formula>$Q$11</formula>
    </cfRule>
  </conditionalFormatting>
  <conditionalFormatting sqref="O13">
    <cfRule type="expression" dxfId="112" priority="231" stopIfTrue="1">
      <formula>T16=1</formula>
    </cfRule>
  </conditionalFormatting>
  <conditionalFormatting sqref="O15">
    <cfRule type="expression" dxfId="111" priority="232">
      <formula>T16=2</formula>
    </cfRule>
  </conditionalFormatting>
  <conditionalFormatting sqref="O17">
    <cfRule type="expression" dxfId="110" priority="233">
      <formula>T16=3</formula>
    </cfRule>
  </conditionalFormatting>
  <dataValidations xWindow="453" yWindow="457" count="15">
    <dataValidation allowBlank="1" promptTitle="Reference" sqref="P36" xr:uid="{00000000-0002-0000-0100-000000000000}"/>
    <dataValidation allowBlank="1" showInputMessage="1" showErrorMessage="1" promptTitle="Reference" prompt="CIBSE Guide C - Table 4.1" sqref="P7:P9" xr:uid="{00000000-0002-0000-0100-000001000000}"/>
    <dataValidation type="whole" allowBlank="1" showInputMessage="1" showErrorMessage="1" error="Minimum duct width = 100_x000a_Maximum duct width = 7500" sqref="P17:Q17" xr:uid="{00000000-0002-0000-0100-000002000000}">
      <formula1>100</formula1>
      <formula2>7500</formula2>
    </dataValidation>
    <dataValidation allowBlank="1" showInputMessage="1" showErrorMessage="1" prompt="Recommended Range = 0.5~1.5" sqref="P15" xr:uid="{00000000-0002-0000-0100-000003000000}"/>
    <dataValidation type="list" allowBlank="1" showInputMessage="1" showErrorMessage="1" sqref="AD12" xr:uid="{00000000-0002-0000-0100-000004000000}">
      <formula1>$AC$27:$AC$29</formula1>
    </dataValidation>
    <dataValidation type="list" allowBlank="1" showInputMessage="1" showErrorMessage="1" sqref="Y6" xr:uid="{00000000-0002-0000-0100-000005000000}">
      <formula1>$Y$7:$Y$10</formula1>
    </dataValidation>
    <dataValidation allowBlank="1" showErrorMessage="1" sqref="AD18" xr:uid="{00000000-0002-0000-0100-000006000000}"/>
    <dataValidation allowBlank="1" sqref="G6" xr:uid="{00000000-0002-0000-0100-000007000000}"/>
    <dataValidation allowBlank="1" showInputMessage="1" sqref="X12" xr:uid="{00000000-0002-0000-0100-000008000000}"/>
    <dataValidation type="list" allowBlank="1" showInputMessage="1" showErrorMessage="1" sqref="Q11" xr:uid="{00000000-0002-0000-0100-000009000000}">
      <formula1>$AH$17:$AH$20</formula1>
    </dataValidation>
    <dataValidation type="list" allowBlank="1" showErrorMessage="1" sqref="P5" xr:uid="{00000000-0002-0000-0100-00000A000000}">
      <formula1>$AN$2:$AN$5</formula1>
    </dataValidation>
    <dataValidation type="list" allowBlank="1" showInputMessage="1" showErrorMessage="1" sqref="L6" xr:uid="{00000000-0002-0000-0100-00000B000000}">
      <formula1>$L$7:$L$10</formula1>
    </dataValidation>
    <dataValidation type="list" allowBlank="1" showInputMessage="1" showErrorMessage="1" sqref="AE6" xr:uid="{00000000-0002-0000-0100-00000C000000}">
      <formula1>$AE$7:$AE$10</formula1>
    </dataValidation>
    <dataValidation type="list" allowBlank="1" showInputMessage="1" showErrorMessage="1" sqref="P29" xr:uid="{00000000-0002-0000-0100-00000D000000}">
      <formula1>$BK$15:$BK$31</formula1>
    </dataValidation>
    <dataValidation type="whole" operator="greaterThanOrEqual" allowBlank="1" showErrorMessage="1" error="Minimum duct width = 100" sqref="P25:P26" xr:uid="{00000000-0002-0000-0100-00000E000000}">
      <formula1>100</formula1>
    </dataValidation>
  </dataValidations>
  <pageMargins left="0.75" right="0.75" top="1" bottom="1" header="0.5" footer="0.5"/>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25">
              <controlPr defaultSize="0" autoFill="0" autoPict="0" macro="[0]!Home">
                <anchor moveWithCells="1">
                  <from>
                    <xdr:col>1</xdr:col>
                    <xdr:colOff>0</xdr:colOff>
                    <xdr:row>6</xdr:row>
                    <xdr:rowOff>133350</xdr:rowOff>
                  </from>
                  <to>
                    <xdr:col>1</xdr:col>
                    <xdr:colOff>781050</xdr:colOff>
                    <xdr:row>8</xdr:row>
                    <xdr:rowOff>95250</xdr:rowOff>
                  </to>
                </anchor>
              </controlPr>
            </control>
          </mc:Choice>
        </mc:AlternateContent>
        <mc:AlternateContent xmlns:mc="http://schemas.openxmlformats.org/markup-compatibility/2006">
          <mc:Choice Requires="x14">
            <control shapeId="35867" r:id="rId5" name="Option Button 27">
              <controlPr defaultSize="0" autoFill="0" autoLine="0" autoPict="0" macro="[0]!A_ACH">
                <anchor moveWithCells="1">
                  <from>
                    <xdr:col>1</xdr:col>
                    <xdr:colOff>12700</xdr:colOff>
                    <xdr:row>2</xdr:row>
                    <xdr:rowOff>0</xdr:rowOff>
                  </from>
                  <to>
                    <xdr:col>2</xdr:col>
                    <xdr:colOff>476250</xdr:colOff>
                    <xdr:row>3</xdr:row>
                    <xdr:rowOff>38100</xdr:rowOff>
                  </to>
                </anchor>
              </controlPr>
            </control>
          </mc:Choice>
        </mc:AlternateContent>
        <mc:AlternateContent xmlns:mc="http://schemas.openxmlformats.org/markup-compatibility/2006">
          <mc:Choice Requires="x14">
            <control shapeId="35868" r:id="rId6" name="Option Button 28">
              <controlPr defaultSize="0" autoFill="0" autoLine="0" autoPict="0" macro="[0]!A_Diffuser">
                <anchor moveWithCells="1">
                  <from>
                    <xdr:col>1</xdr:col>
                    <xdr:colOff>12700</xdr:colOff>
                    <xdr:row>3</xdr:row>
                    <xdr:rowOff>146050</xdr:rowOff>
                  </from>
                  <to>
                    <xdr:col>3</xdr:col>
                    <xdr:colOff>0</xdr:colOff>
                    <xdr:row>5</xdr:row>
                    <xdr:rowOff>50800</xdr:rowOff>
                  </to>
                </anchor>
              </controlPr>
            </control>
          </mc:Choice>
        </mc:AlternateContent>
        <mc:AlternateContent xmlns:mc="http://schemas.openxmlformats.org/markup-compatibility/2006">
          <mc:Choice Requires="x14">
            <control shapeId="35869" r:id="rId7" name="Option Button 29">
              <controlPr defaultSize="0" autoFill="0" autoLine="0" autoPict="0" macro="[0]!A_louvre">
                <anchor moveWithCells="1">
                  <from>
                    <xdr:col>1</xdr:col>
                    <xdr:colOff>12700</xdr:colOff>
                    <xdr:row>4</xdr:row>
                    <xdr:rowOff>133350</xdr:rowOff>
                  </from>
                  <to>
                    <xdr:col>2</xdr:col>
                    <xdr:colOff>133350</xdr:colOff>
                    <xdr:row>6</xdr:row>
                    <xdr:rowOff>31750</xdr:rowOff>
                  </to>
                </anchor>
              </controlPr>
            </control>
          </mc:Choice>
        </mc:AlternateContent>
        <mc:AlternateContent xmlns:mc="http://schemas.openxmlformats.org/markup-compatibility/2006">
          <mc:Choice Requires="x14">
            <control shapeId="35873" r:id="rId8" name="Option Button 33">
              <controlPr defaultSize="0" autoFill="0" autoLine="0" autoPict="0" macro="[0]!A_ductulator">
                <anchor moveWithCells="1">
                  <from>
                    <xdr:col>1</xdr:col>
                    <xdr:colOff>12700</xdr:colOff>
                    <xdr:row>2</xdr:row>
                    <xdr:rowOff>152400</xdr:rowOff>
                  </from>
                  <to>
                    <xdr:col>2</xdr:col>
                    <xdr:colOff>133350</xdr:colOff>
                    <xdr:row>4</xdr:row>
                    <xdr:rowOff>38100</xdr:rowOff>
                  </to>
                </anchor>
              </controlPr>
            </control>
          </mc:Choice>
        </mc:AlternateContent>
        <mc:AlternateContent xmlns:mc="http://schemas.openxmlformats.org/markup-compatibility/2006">
          <mc:Choice Requires="x14">
            <control shapeId="35883" r:id="rId9" name="Button 43">
              <controlPr defaultSize="0" autoFill="0" autoPict="0" macro="[0]!A_Clear_ach">
                <anchor moveWithCells="1" sizeWithCells="1">
                  <from>
                    <xdr:col>10</xdr:col>
                    <xdr:colOff>590550</xdr:colOff>
                    <xdr:row>16</xdr:row>
                    <xdr:rowOff>146050</xdr:rowOff>
                  </from>
                  <to>
                    <xdr:col>12</xdr:col>
                    <xdr:colOff>19050</xdr:colOff>
                    <xdr:row>18</xdr:row>
                    <xdr:rowOff>38100</xdr:rowOff>
                  </to>
                </anchor>
              </controlPr>
            </control>
          </mc:Choice>
        </mc:AlternateContent>
        <mc:AlternateContent xmlns:mc="http://schemas.openxmlformats.org/markup-compatibility/2006">
          <mc:Choice Requires="x14">
            <control shapeId="35885" r:id="rId10" name="Button 45">
              <controlPr defaultSize="0" autoFill="0" autoPict="0" macro="[0]!A_clear_duct">
                <anchor moveWithCells="1" sizeWithCells="1">
                  <from>
                    <xdr:col>19</xdr:col>
                    <xdr:colOff>12700</xdr:colOff>
                    <xdr:row>14</xdr:row>
                    <xdr:rowOff>76200</xdr:rowOff>
                  </from>
                  <to>
                    <xdr:col>19</xdr:col>
                    <xdr:colOff>603250</xdr:colOff>
                    <xdr:row>15</xdr:row>
                    <xdr:rowOff>114300</xdr:rowOff>
                  </to>
                </anchor>
              </controlPr>
            </control>
          </mc:Choice>
        </mc:AlternateContent>
        <mc:AlternateContent xmlns:mc="http://schemas.openxmlformats.org/markup-compatibility/2006">
          <mc:Choice Requires="x14">
            <control shapeId="35887" r:id="rId11" name="Button 47">
              <controlPr defaultSize="0" autoFill="0" autoPict="0" macro="[0]!A_clear_Diffuser">
                <anchor moveWithCells="1" sizeWithCells="1">
                  <from>
                    <xdr:col>24</xdr:col>
                    <xdr:colOff>247650</xdr:colOff>
                    <xdr:row>42</xdr:row>
                    <xdr:rowOff>114300</xdr:rowOff>
                  </from>
                  <to>
                    <xdr:col>25</xdr:col>
                    <xdr:colOff>190500</xdr:colOff>
                    <xdr:row>44</xdr:row>
                    <xdr:rowOff>19050</xdr:rowOff>
                  </to>
                </anchor>
              </controlPr>
            </control>
          </mc:Choice>
        </mc:AlternateContent>
        <mc:AlternateContent xmlns:mc="http://schemas.openxmlformats.org/markup-compatibility/2006">
          <mc:Choice Requires="x14">
            <control shapeId="35890" r:id="rId12" name="Button 50">
              <controlPr defaultSize="0" autoFill="0" autoPict="0" macro="[0]!A_clear_louvre">
                <anchor moveWithCells="1" sizeWithCells="1">
                  <from>
                    <xdr:col>29</xdr:col>
                    <xdr:colOff>641350</xdr:colOff>
                    <xdr:row>26</xdr:row>
                    <xdr:rowOff>127000</xdr:rowOff>
                  </from>
                  <to>
                    <xdr:col>31</xdr:col>
                    <xdr:colOff>0</xdr:colOff>
                    <xdr:row>27</xdr:row>
                    <xdr:rowOff>152400</xdr:rowOff>
                  </to>
                </anchor>
              </controlPr>
            </control>
          </mc:Choice>
        </mc:AlternateContent>
        <mc:AlternateContent xmlns:mc="http://schemas.openxmlformats.org/markup-compatibility/2006">
          <mc:Choice Requires="x14">
            <control shapeId="35897" r:id="rId13" name="Button 57">
              <controlPr defaultSize="0" autoFill="0" autoPict="0" macro="[0]!A_Clear">
                <anchor moveWithCells="1">
                  <from>
                    <xdr:col>1</xdr:col>
                    <xdr:colOff>0</xdr:colOff>
                    <xdr:row>9</xdr:row>
                    <xdr:rowOff>0</xdr:rowOff>
                  </from>
                  <to>
                    <xdr:col>1</xdr:col>
                    <xdr:colOff>781050</xdr:colOff>
                    <xdr:row>10</xdr:row>
                    <xdr:rowOff>146050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tabColor theme="6" tint="0.39997558519241921"/>
    <pageSetUpPr fitToPage="1"/>
  </sheetPr>
  <dimension ref="B1:EO231"/>
  <sheetViews>
    <sheetView showGridLines="0" showRowColHeaders="0" zoomScale="85" zoomScaleNormal="85" zoomScaleSheetLayoutView="85" workbookViewId="0">
      <selection activeCell="AW35" sqref="AW35"/>
    </sheetView>
  </sheetViews>
  <sheetFormatPr defaultColWidth="9.1796875" defaultRowHeight="11.5"/>
  <cols>
    <col min="1" max="1" width="2.7265625" style="293" customWidth="1"/>
    <col min="2" max="2" width="14.1796875" style="292" customWidth="1"/>
    <col min="3" max="3" width="8" style="293" customWidth="1"/>
    <col min="4" max="4" width="6.81640625" style="293" customWidth="1"/>
    <col min="5" max="5" width="8.1796875" style="293" customWidth="1"/>
    <col min="6" max="7" width="7.7265625" style="293" customWidth="1"/>
    <col min="8" max="8" width="8.26953125" style="293" customWidth="1"/>
    <col min="9" max="10" width="7.453125" style="293" customWidth="1"/>
    <col min="11" max="11" width="6.26953125" style="293" customWidth="1"/>
    <col min="12" max="12" width="2.7265625" style="293" customWidth="1"/>
    <col min="13" max="13" width="6.7265625" style="293" hidden="1" customWidth="1"/>
    <col min="14" max="14" width="5.7265625" style="293" hidden="1" customWidth="1"/>
    <col min="15" max="16" width="6.81640625" style="293" hidden="1" customWidth="1"/>
    <col min="17" max="17" width="2.81640625" style="293" hidden="1" customWidth="1"/>
    <col min="18" max="18" width="7.453125" style="293" hidden="1" customWidth="1"/>
    <col min="19" max="19" width="7.7265625" style="293" hidden="1" customWidth="1"/>
    <col min="20" max="20" width="2.7265625" style="293" hidden="1" customWidth="1"/>
    <col min="21" max="21" width="6.26953125" style="293" hidden="1" customWidth="1"/>
    <col min="22" max="22" width="2" style="293" hidden="1" customWidth="1"/>
    <col min="23" max="23" width="9" style="293" hidden="1" customWidth="1"/>
    <col min="24" max="24" width="6.453125" style="293" hidden="1" customWidth="1"/>
    <col min="25" max="25" width="2.81640625" style="293" hidden="1" customWidth="1"/>
    <col min="26" max="27" width="7.453125" style="293" hidden="1" customWidth="1"/>
    <col min="28" max="28" width="7.54296875" style="293" hidden="1" customWidth="1"/>
    <col min="29" max="29" width="2.7265625" style="293" hidden="1" customWidth="1"/>
    <col min="30" max="30" width="6.453125" style="293" hidden="1" customWidth="1"/>
    <col min="31" max="31" width="4.54296875" style="293" hidden="1" customWidth="1"/>
    <col min="32" max="32" width="7.81640625" style="293" hidden="1" customWidth="1"/>
    <col min="33" max="33" width="7" style="293" hidden="1" customWidth="1"/>
    <col min="34" max="34" width="2.81640625" style="293" hidden="1" customWidth="1"/>
    <col min="35" max="35" width="7.453125" style="293" hidden="1" customWidth="1"/>
    <col min="36" max="36" width="7.81640625" style="293" hidden="1" customWidth="1"/>
    <col min="37" max="37" width="2.7265625" style="293" hidden="1" customWidth="1"/>
    <col min="38" max="38" width="4.453125" style="293" hidden="1" customWidth="1"/>
    <col min="39" max="39" width="2" style="293" hidden="1" customWidth="1"/>
    <col min="40" max="40" width="6.453125" style="293" hidden="1" customWidth="1"/>
    <col min="41" max="41" width="6.81640625" style="293" hidden="1" customWidth="1"/>
    <col min="42" max="42" width="2.7265625" style="293" hidden="1" customWidth="1"/>
    <col min="43" max="43" width="7.453125" style="293" hidden="1" customWidth="1"/>
    <col min="44" max="44" width="7" style="293" hidden="1" customWidth="1"/>
    <col min="45" max="45" width="2.7265625" style="293" hidden="1" customWidth="1"/>
    <col min="46" max="46" width="6.26953125" style="293" customWidth="1"/>
    <col min="47" max="47" width="2" style="293" customWidth="1"/>
    <col min="48" max="48" width="7.81640625" style="293" customWidth="1"/>
    <col min="49" max="49" width="6.1796875" style="293" customWidth="1"/>
    <col min="50" max="50" width="2.7265625" style="293" customWidth="1"/>
    <col min="51" max="51" width="7.54296875" style="293" customWidth="1"/>
    <col min="52" max="52" width="7" style="293" customWidth="1"/>
    <col min="53" max="53" width="2.7265625" style="293" customWidth="1"/>
    <col min="54" max="54" width="4.453125" style="293" customWidth="1"/>
    <col min="55" max="55" width="2" style="293" customWidth="1"/>
    <col min="56" max="57" width="7.81640625" style="293" customWidth="1"/>
    <col min="58" max="58" width="2.7265625" style="293" customWidth="1"/>
    <col min="59" max="59" width="7.453125" style="293" customWidth="1"/>
    <col min="60" max="60" width="7" style="293" customWidth="1"/>
    <col min="61" max="61" width="2.453125" style="293" customWidth="1"/>
    <col min="62" max="63" width="7.7265625" style="294" hidden="1" customWidth="1"/>
    <col min="64" max="64" width="9.1796875" style="294" hidden="1" customWidth="1"/>
    <col min="65" max="65" width="2.54296875" style="294" hidden="1" customWidth="1"/>
    <col min="66" max="68" width="7.7265625" style="294" hidden="1" customWidth="1"/>
    <col min="69" max="69" width="2.81640625" style="294" hidden="1" customWidth="1"/>
    <col min="70" max="77" width="7.7265625" style="294" hidden="1" customWidth="1"/>
    <col min="78" max="78" width="5.54296875" style="294" hidden="1" customWidth="1"/>
    <col min="79" max="81" width="5.7265625" style="294" hidden="1" customWidth="1"/>
    <col min="82" max="82" width="7.81640625" style="294" hidden="1" customWidth="1"/>
    <col min="83" max="83" width="5.7265625" style="294" hidden="1" customWidth="1"/>
    <col min="84" max="84" width="9" style="294" hidden="1" customWidth="1"/>
    <col min="85" max="85" width="5.7265625" style="294" hidden="1" customWidth="1"/>
    <col min="86" max="86" width="14.81640625" style="294" hidden="1" customWidth="1"/>
    <col min="87" max="87" width="6.7265625" style="294" hidden="1" customWidth="1"/>
    <col min="88" max="89" width="5.453125" style="294" hidden="1" customWidth="1"/>
    <col min="90" max="90" width="6.81640625" style="294" hidden="1" customWidth="1"/>
    <col min="91" max="91" width="7.1796875" style="294" hidden="1" customWidth="1"/>
    <col min="92" max="92" width="6.26953125" style="294" hidden="1" customWidth="1"/>
    <col min="93" max="93" width="6.453125" style="294" hidden="1" customWidth="1"/>
    <col min="94" max="94" width="6.54296875" style="294" hidden="1" customWidth="1"/>
    <col min="95" max="95" width="5.453125" style="294" hidden="1" customWidth="1"/>
    <col min="96" max="97" width="4.453125" style="293" hidden="1" customWidth="1"/>
    <col min="98" max="98" width="6.453125" style="293" hidden="1" customWidth="1"/>
    <col min="99" max="99" width="6" style="293" hidden="1" customWidth="1"/>
    <col min="100" max="100" width="7.54296875" style="293" hidden="1" customWidth="1"/>
    <col min="101" max="101" width="8.453125" style="293" hidden="1" customWidth="1"/>
    <col min="102" max="102" width="7.54296875" style="293" hidden="1" customWidth="1"/>
    <col min="103" max="105" width="4.453125" style="293" hidden="1" customWidth="1"/>
    <col min="106" max="106" width="6.453125" style="293" hidden="1" customWidth="1"/>
    <col min="107" max="107" width="7.1796875" style="293" hidden="1" customWidth="1"/>
    <col min="108" max="108" width="6.81640625" style="293" hidden="1" customWidth="1"/>
    <col min="109" max="109" width="7.54296875" style="293" hidden="1" customWidth="1"/>
    <col min="110" max="110" width="6.54296875" style="293" hidden="1" customWidth="1"/>
    <col min="111" max="117" width="9.1796875" style="293" hidden="1" customWidth="1"/>
    <col min="118" max="118" width="11.7265625" style="293" hidden="1" customWidth="1"/>
    <col min="119" max="124" width="9.1796875" style="293" hidden="1" customWidth="1"/>
    <col min="125" max="126" width="2.7265625" style="293" hidden="1" customWidth="1"/>
    <col min="127" max="127" width="16.26953125" style="293" hidden="1" customWidth="1"/>
    <col min="128" max="128" width="18.81640625" style="293" hidden="1" customWidth="1"/>
    <col min="129" max="129" width="6.54296875" style="293" hidden="1" customWidth="1"/>
    <col min="130" max="145" width="9.1796875" style="293" hidden="1" customWidth="1"/>
    <col min="146" max="16384" width="9.1796875" style="293"/>
  </cols>
  <sheetData>
    <row r="1" spans="2:143">
      <c r="CG1" s="293"/>
    </row>
    <row r="2" spans="2:143" ht="12.75" customHeight="1">
      <c r="B2" s="1624" t="s">
        <v>427</v>
      </c>
      <c r="D2" s="2008" t="s">
        <v>1201</v>
      </c>
      <c r="E2" s="2009"/>
      <c r="F2" s="1441">
        <v>0</v>
      </c>
      <c r="G2" s="1228" t="s">
        <v>1202</v>
      </c>
      <c r="M2" s="354" t="s">
        <v>1100</v>
      </c>
      <c r="N2" s="2018" t="s">
        <v>408</v>
      </c>
      <c r="O2" s="2018"/>
      <c r="P2" s="2018"/>
      <c r="Q2" s="2018"/>
      <c r="R2" s="2018"/>
      <c r="S2" s="2018"/>
      <c r="T2" s="2018"/>
      <c r="U2" s="2018"/>
      <c r="V2" s="2018"/>
      <c r="W2" s="2018"/>
      <c r="X2" s="2018"/>
      <c r="Y2" s="2018"/>
      <c r="Z2" s="2018"/>
      <c r="AA2" s="2018"/>
      <c r="AB2" s="2018"/>
      <c r="AD2" s="354" t="s">
        <v>1100</v>
      </c>
      <c r="AE2" s="2012" t="s">
        <v>4</v>
      </c>
      <c r="AF2" s="2012"/>
      <c r="AG2" s="2012"/>
      <c r="AH2" s="2012"/>
      <c r="AI2" s="2012"/>
      <c r="AJ2" s="2012"/>
      <c r="AL2" s="354" t="s">
        <v>1100</v>
      </c>
      <c r="AM2" s="2033" t="s">
        <v>1175</v>
      </c>
      <c r="AN2" s="2033"/>
      <c r="AO2" s="2033"/>
      <c r="AP2" s="2033"/>
      <c r="AQ2" s="2033"/>
      <c r="AR2" s="2033"/>
      <c r="AT2" s="354" t="s">
        <v>1169</v>
      </c>
      <c r="AU2" s="2018" t="s">
        <v>408</v>
      </c>
      <c r="AV2" s="2018"/>
      <c r="AW2" s="2018"/>
      <c r="AX2" s="2018"/>
      <c r="AY2" s="2018"/>
      <c r="AZ2" s="2018"/>
      <c r="BB2" s="354" t="s">
        <v>1169</v>
      </c>
      <c r="BC2" s="2033" t="s">
        <v>1175</v>
      </c>
      <c r="BD2" s="2033"/>
      <c r="BE2" s="2033"/>
      <c r="BF2" s="2033"/>
      <c r="BG2" s="2033"/>
      <c r="BH2" s="2033"/>
      <c r="BJ2" s="294" t="s">
        <v>1100</v>
      </c>
      <c r="BN2" s="294" t="s">
        <v>1100</v>
      </c>
      <c r="BR2" s="294" t="s">
        <v>1100</v>
      </c>
      <c r="BV2" s="294" t="s">
        <v>1100</v>
      </c>
      <c r="BZ2" s="294" t="s">
        <v>1169</v>
      </c>
      <c r="CD2" s="294" t="s">
        <v>1169</v>
      </c>
      <c r="CG2" s="293"/>
      <c r="CH2" s="294" t="s">
        <v>1169</v>
      </c>
      <c r="DN2" s="2036" t="s">
        <v>1225</v>
      </c>
      <c r="DO2" s="2036"/>
      <c r="DP2" s="512">
        <v>140</v>
      </c>
    </row>
    <row r="3" spans="2:143" ht="13.5">
      <c r="B3" s="356"/>
      <c r="D3" s="2008" t="s">
        <v>358</v>
      </c>
      <c r="E3" s="2009"/>
      <c r="F3" s="1395">
        <v>101.325</v>
      </c>
      <c r="G3" s="1228" t="s">
        <v>1203</v>
      </c>
      <c r="BJ3" s="294" t="s">
        <v>408</v>
      </c>
      <c r="BN3" s="294" t="s">
        <v>1288</v>
      </c>
      <c r="BR3" s="294" t="s">
        <v>1287</v>
      </c>
      <c r="BV3" s="294" t="s">
        <v>4</v>
      </c>
      <c r="BZ3" s="294" t="s">
        <v>408</v>
      </c>
      <c r="CD3" s="294" t="s">
        <v>1287</v>
      </c>
      <c r="CG3" s="293"/>
      <c r="CH3" s="294" t="s">
        <v>1176</v>
      </c>
      <c r="CL3" s="303" t="s">
        <v>1120</v>
      </c>
      <c r="CM3" s="303" t="s">
        <v>1121</v>
      </c>
      <c r="CN3" s="303" t="s">
        <v>354</v>
      </c>
      <c r="CO3" s="293"/>
      <c r="CP3" s="293"/>
      <c r="CQ3" s="293"/>
      <c r="DB3" s="1625" t="s">
        <v>1280</v>
      </c>
      <c r="DC3" s="297" t="s">
        <v>1185</v>
      </c>
      <c r="DD3" s="297" t="s">
        <v>1282</v>
      </c>
      <c r="DE3" s="297" t="s">
        <v>1184</v>
      </c>
      <c r="DF3" s="164" t="s">
        <v>1281</v>
      </c>
      <c r="DG3" s="342" t="s">
        <v>1280</v>
      </c>
      <c r="DH3" s="303" t="s">
        <v>1185</v>
      </c>
      <c r="DI3" s="303" t="s">
        <v>1282</v>
      </c>
      <c r="DJ3" s="303" t="s">
        <v>1184</v>
      </c>
      <c r="DK3" s="515" t="s">
        <v>1281</v>
      </c>
      <c r="DL3" s="515" t="s">
        <v>1985</v>
      </c>
    </row>
    <row r="4" spans="2:143" ht="13.5">
      <c r="B4" s="357">
        <v>2</v>
      </c>
      <c r="D4" s="2008" t="s">
        <v>1284</v>
      </c>
      <c r="E4" s="2009"/>
      <c r="F4" s="1395">
        <v>1.2</v>
      </c>
      <c r="G4" s="1228" t="s">
        <v>1111</v>
      </c>
      <c r="M4" s="2019" t="s">
        <v>1090</v>
      </c>
      <c r="N4" s="2016"/>
      <c r="O4" s="2016"/>
      <c r="P4" s="2016"/>
      <c r="Q4" s="2016"/>
      <c r="R4" s="2016"/>
      <c r="S4" s="2020"/>
      <c r="U4" s="1847" t="s">
        <v>165</v>
      </c>
      <c r="V4" s="1848"/>
      <c r="W4" s="1848"/>
      <c r="X4" s="1848"/>
      <c r="Y4" s="1848"/>
      <c r="Z4" s="1848"/>
      <c r="AA4" s="1848"/>
      <c r="AB4" s="1849"/>
      <c r="AD4" s="1847" t="s">
        <v>1106</v>
      </c>
      <c r="AE4" s="1848"/>
      <c r="AF4" s="1848"/>
      <c r="AG4" s="1848"/>
      <c r="AH4" s="1848"/>
      <c r="AI4" s="1848"/>
      <c r="AJ4" s="1849"/>
      <c r="AL4" s="1847" t="s">
        <v>1285</v>
      </c>
      <c r="AM4" s="1848"/>
      <c r="AN4" s="1848"/>
      <c r="AO4" s="1848"/>
      <c r="AP4" s="1848"/>
      <c r="AQ4" s="1848"/>
      <c r="AR4" s="1849"/>
      <c r="AT4" s="1847" t="s">
        <v>1982</v>
      </c>
      <c r="AU4" s="1848"/>
      <c r="AV4" s="1848"/>
      <c r="AW4" s="1848"/>
      <c r="AX4" s="1848"/>
      <c r="AY4" s="1848"/>
      <c r="AZ4" s="1849"/>
      <c r="BB4" s="1847" t="s">
        <v>1174</v>
      </c>
      <c r="BC4" s="1848"/>
      <c r="BD4" s="1848"/>
      <c r="BE4" s="1848"/>
      <c r="BF4" s="1848"/>
      <c r="BG4" s="1848"/>
      <c r="BH4" s="1849"/>
      <c r="CG4" s="293"/>
      <c r="CL4" s="516">
        <f>D8</f>
        <v>35</v>
      </c>
      <c r="CM4" s="516">
        <f>E8</f>
        <v>28</v>
      </c>
      <c r="CN4" s="503">
        <f>F8</f>
        <v>0</v>
      </c>
      <c r="CO4" s="517">
        <f>273.15+CM4</f>
        <v>301.14999999999998</v>
      </c>
      <c r="CP4" s="517">
        <f>-5800.2206/CO4+1.3914993-0.048640239*CO4</f>
        <v>-32.516746430121458</v>
      </c>
      <c r="CQ4" s="517">
        <f>0.000041764768*POWER(CO4,2)-0.000000014452093*POWER(CO4,3)+6.5459673*LN(CO4)</f>
        <v>40.754809402308148</v>
      </c>
      <c r="CR4" s="517">
        <f>EXP(CP4+CQ4)/1000</f>
        <v>3.7822069679289587</v>
      </c>
      <c r="CS4" s="517">
        <f>0.62198*(CR4/($F$3-CR4))</f>
        <v>2.4117179924702286E-2</v>
      </c>
      <c r="CT4" s="517">
        <f>273.15+CL4</f>
        <v>308.14999999999998</v>
      </c>
      <c r="CU4" s="517">
        <f>-5800.2206/CT4+1.3914993-0.048640239*CT4</f>
        <v>-32.419708504591846</v>
      </c>
      <c r="CV4" s="517">
        <f>0.000041764768*POWER(CT4,2)-0.000000014452093*POWER(CT4,3)+6.5459673*LN(CT4)</f>
        <v>41.055185841028681</v>
      </c>
      <c r="CW4" s="517">
        <f>EXP(CU4+CV4)/1000</f>
        <v>5.62781944654024</v>
      </c>
      <c r="CX4" s="517">
        <f>0.62198*(CW4/($F$3-CW4))</f>
        <v>3.6577787549379875E-2</v>
      </c>
      <c r="CY4" s="517">
        <f>DE4/CX4</f>
        <v>0.5777267343889515</v>
      </c>
      <c r="CZ4" s="517">
        <f>$F$3*DE4/(0.62198+DE4)</f>
        <v>3.3294302452064075</v>
      </c>
      <c r="DA4" s="517">
        <f>(0.2871*(CL4+273.15)*(1+1.6078*DE4))/$F$3</f>
        <v>0.90279511355006137</v>
      </c>
      <c r="DB4" s="521">
        <f>IF(CL4+CM4&lt;&gt;0,CY4/(1-(1-CY4)*(CW4/$F$3))*100,0)</f>
        <v>59.160217857614619</v>
      </c>
      <c r="DC4" s="164">
        <f>IF(CL4+CM4&lt;&gt;0,1.006*CL4+DE4*(2501+1.805*CL4),0)</f>
        <v>89.396058282329705</v>
      </c>
      <c r="DD4" s="164">
        <f>IF(CL4+CM4&lt;&gt;0,(6.54+14.526*LN(CZ4)+0.7389*POWER(LN(CZ4),2)+0.09486*POWER(LN(CZ4),3)+0.4569*POWER(CZ4,0.1984)),0)</f>
        <v>25.825989986805357</v>
      </c>
      <c r="DE4" s="164">
        <f>IF(CL4+CM4&lt;&gt;0,(((2501-2.381*CM4)*CS4-(CL4-CM4))/(2501+1.805*CL4-4.186*CM4)),0)</f>
        <v>2.1131965752076085E-2</v>
      </c>
      <c r="DF4" s="164">
        <f>IF(CL4+CM4&lt;&gt;0,1/DA4,0)</f>
        <v>1.107671037415898</v>
      </c>
      <c r="DG4" s="506">
        <f>IF(COUNTA(F8)=1,"-",DB4)</f>
        <v>59.160217857614619</v>
      </c>
      <c r="DH4" s="518">
        <f>IF($CN4=0,DC4,DC5)</f>
        <v>89.396058282329705</v>
      </c>
      <c r="DI4" s="518">
        <f>IF($CN4=0,DD4,DD5)</f>
        <v>25.825989986805357</v>
      </c>
      <c r="DJ4" s="519">
        <f>IF($CN4=0,DE4,DE5)</f>
        <v>2.1131965752076085E-2</v>
      </c>
      <c r="DK4" s="518">
        <f>IF($CN4=0,DF4,DF5)</f>
        <v>1.107671037415898</v>
      </c>
      <c r="DL4" s="518" t="str">
        <f>IF(CN4&gt;0,'Coil Support'!A32,"-")</f>
        <v>-</v>
      </c>
      <c r="DN4" s="2034" t="s">
        <v>1212</v>
      </c>
      <c r="DO4" s="2034" t="s">
        <v>1213</v>
      </c>
      <c r="DP4" s="2034" t="s">
        <v>1214</v>
      </c>
      <c r="DQ4" s="2034" t="s">
        <v>1215</v>
      </c>
      <c r="DR4" s="2035" t="s">
        <v>1216</v>
      </c>
      <c r="DS4" s="2034" t="s">
        <v>15</v>
      </c>
      <c r="DT4" s="2034" t="s">
        <v>1235</v>
      </c>
      <c r="DU4" s="390"/>
      <c r="DV4" s="390"/>
      <c r="DW4" s="391" t="s">
        <v>1217</v>
      </c>
      <c r="DX4" s="391" t="s">
        <v>1218</v>
      </c>
      <c r="DY4" s="391"/>
    </row>
    <row r="5" spans="2:143" ht="13.5">
      <c r="M5" s="708" t="s">
        <v>1112</v>
      </c>
      <c r="N5" s="298" t="s">
        <v>1987</v>
      </c>
      <c r="O5" s="298" t="s">
        <v>1114</v>
      </c>
      <c r="P5" s="298" t="s">
        <v>1990</v>
      </c>
      <c r="Q5" s="298" t="s">
        <v>133</v>
      </c>
      <c r="R5" s="336" t="s">
        <v>1116</v>
      </c>
      <c r="S5" s="316" t="s">
        <v>1991</v>
      </c>
      <c r="U5" s="697" t="s">
        <v>1140</v>
      </c>
      <c r="V5" s="297" t="s">
        <v>5</v>
      </c>
      <c r="W5" s="298" t="s">
        <v>1116</v>
      </c>
      <c r="X5" s="297" t="s">
        <v>138</v>
      </c>
      <c r="Y5" s="297" t="s">
        <v>1108</v>
      </c>
      <c r="Z5" s="297" t="s">
        <v>1141</v>
      </c>
      <c r="AA5" s="299" t="s">
        <v>1142</v>
      </c>
      <c r="AB5" s="320"/>
      <c r="AD5" s="697" t="s">
        <v>1117</v>
      </c>
      <c r="AE5" s="297" t="s">
        <v>5</v>
      </c>
      <c r="AF5" s="298" t="s">
        <v>1112</v>
      </c>
      <c r="AG5" s="297" t="s">
        <v>137</v>
      </c>
      <c r="AH5" s="297" t="s">
        <v>1108</v>
      </c>
      <c r="AI5" s="297" t="s">
        <v>1118</v>
      </c>
      <c r="AJ5" s="300" t="s">
        <v>1119</v>
      </c>
      <c r="AL5" s="1224" t="s">
        <v>1716</v>
      </c>
      <c r="AM5" s="302"/>
      <c r="AN5" s="302"/>
      <c r="AO5" s="302"/>
      <c r="AP5" s="302"/>
      <c r="AQ5" s="302"/>
      <c r="AR5" s="320"/>
      <c r="AT5" s="1224" t="s">
        <v>1729</v>
      </c>
      <c r="AU5" s="302"/>
      <c r="AV5" s="302"/>
      <c r="AW5" s="302"/>
      <c r="AX5" s="302"/>
      <c r="AY5" s="302"/>
      <c r="AZ5" s="320"/>
      <c r="BB5" s="1224" t="s">
        <v>1716</v>
      </c>
      <c r="BC5" s="302"/>
      <c r="BD5" s="302"/>
      <c r="BE5" s="302"/>
      <c r="BF5" s="302"/>
      <c r="BG5" s="302"/>
      <c r="BH5" s="320"/>
      <c r="BJ5" s="294" t="e">
        <f t="shared" ref="BJ5:BJ35" si="0">IF(OR(BL4=$O$35,BL4&gt;$O$35),BL4,"")</f>
        <v>#VALUE!</v>
      </c>
      <c r="BL5" s="514">
        <f>$DR8</f>
        <v>0.24999303974299217</v>
      </c>
      <c r="BN5" s="294" t="str">
        <f t="shared" ref="BN5:BN35" si="1">IF(OR(BP4=$O$39,BP4&gt;$O$39),BP4,"")</f>
        <v/>
      </c>
      <c r="BP5" s="514">
        <f>$DR8</f>
        <v>0.24999303974299217</v>
      </c>
      <c r="BR5" s="294" t="str">
        <f t="shared" ref="BR5:BR35" si="2">IF(OR(BT4=$AF$39,BT4&gt;$AF$39),BT4,"")</f>
        <v/>
      </c>
      <c r="BT5" s="514">
        <f>$DR8</f>
        <v>0.24999303974299217</v>
      </c>
      <c r="BV5" s="294" t="e">
        <f t="shared" ref="BV5:BV35" si="3">IF(OR(BX4=$AF$43,BX4&gt;$AF$43),BX4,"")</f>
        <v>#VALUE!</v>
      </c>
      <c r="BX5" s="514">
        <f>$DR8</f>
        <v>0.24999303974299217</v>
      </c>
      <c r="BZ5" s="294" t="str">
        <f t="shared" ref="BZ5:BZ35" si="4">IF(OR(CB4=$AV$17,CB4&gt;$AV$17),CB4,"")</f>
        <v/>
      </c>
      <c r="CB5" s="514">
        <f>$DR8</f>
        <v>0.24999303974299217</v>
      </c>
      <c r="CD5" s="294" t="str">
        <f t="shared" ref="CD5:CD35" si="5">IF(OR(CF4=$AV$40,CF4&gt;$AV$40),CF4,"")</f>
        <v/>
      </c>
      <c r="CF5" s="514">
        <f>$DR8</f>
        <v>0.24999303974299217</v>
      </c>
      <c r="CG5" s="293"/>
      <c r="CH5" s="294" t="str">
        <f t="shared" ref="CH5:CH35" si="6">IF(OR(CJ4=$AV$44,CJ4&gt;$AV$44),CJ4,"")</f>
        <v/>
      </c>
      <c r="CJ5" s="514">
        <f>$DR8</f>
        <v>0.24999303974299217</v>
      </c>
      <c r="CO5" s="517">
        <f>273.15+CL4</f>
        <v>308.14999999999998</v>
      </c>
      <c r="CP5" s="517">
        <f>-5800.2206/CO5+1.3914993-0.048640239*CO5</f>
        <v>-32.419708504591846</v>
      </c>
      <c r="CQ5" s="517">
        <f>0.000041764768*POWER(CO5,2)-0.000000014452093*POWER(CO5,3)+6.5459673*LN(CO5)</f>
        <v>41.055185841028681</v>
      </c>
      <c r="CR5" s="517">
        <f>EXP(CP5+CQ5)/1000</f>
        <v>5.62781944654024</v>
      </c>
      <c r="CS5" s="517">
        <f>CN4/100*CR5</f>
        <v>0</v>
      </c>
      <c r="CT5" s="517">
        <f>0.62198*(CR5/($F$3-CR5))</f>
        <v>3.6577787549379875E-2</v>
      </c>
      <c r="CU5" s="517">
        <f>DE5/CT5</f>
        <v>0</v>
      </c>
      <c r="CV5" s="517">
        <f>0.2871*(CL4+273.15)*(1+1.6078*DE5)/$F$3</f>
        <v>0.87312968171724648</v>
      </c>
      <c r="CW5" s="504"/>
      <c r="CX5" s="504"/>
      <c r="CY5" s="504"/>
      <c r="CZ5" s="504"/>
      <c r="DA5" s="504"/>
      <c r="DB5" s="1625">
        <f>IF(CL4+CN4&gt;0,CN4,0)</f>
        <v>0</v>
      </c>
      <c r="DC5" s="520">
        <f>IF(CL4+CN4&gt;0,(1.006*CL4+DE5*(2501+1.805*CL4)),0)</f>
        <v>35.21</v>
      </c>
      <c r="DD5" s="521" t="e">
        <f>IF(CL4+CN4&gt;0,(6.54+14.526*LN(CS5)+0.7389*POWER(LN(CS5),2)+0.09486*POWER(LN(CS5),3)+0.4569*POWER(CS5,0.1984)),0)</f>
        <v>#NUM!</v>
      </c>
      <c r="DE5" s="522">
        <f>IF(CL4+CN4&gt;0,0.62198*(CS5/($F$3-CS5)),0)</f>
        <v>0</v>
      </c>
      <c r="DF5" s="521">
        <f>IF(CL4+CN4&gt;0,1/CV5,0)</f>
        <v>1.1453052403776134</v>
      </c>
      <c r="DN5" s="2034"/>
      <c r="DO5" s="2034"/>
      <c r="DP5" s="2034"/>
      <c r="DQ5" s="2034"/>
      <c r="DR5" s="2035"/>
      <c r="DS5" s="2034"/>
      <c r="DT5" s="2034"/>
      <c r="DU5" s="1858"/>
      <c r="DV5" s="1858"/>
      <c r="DW5" s="392">
        <f>D46</f>
        <v>300</v>
      </c>
      <c r="DX5" s="393">
        <f>D45</f>
        <v>2.5</v>
      </c>
      <c r="DY5" s="391"/>
    </row>
    <row r="6" spans="2:143" ht="13.5">
      <c r="B6" s="2021" t="s">
        <v>1091</v>
      </c>
      <c r="C6" s="2022"/>
      <c r="D6" s="2022"/>
      <c r="E6" s="2022"/>
      <c r="F6" s="2022"/>
      <c r="G6" s="2022"/>
      <c r="H6" s="2022"/>
      <c r="I6" s="2022"/>
      <c r="J6" s="2022"/>
      <c r="K6" s="2023"/>
      <c r="M6" s="698">
        <f>IF(AND(C31=0,C32=0),"n/a",C31)</f>
        <v>8.3179999999999996</v>
      </c>
      <c r="N6" s="297" t="s">
        <v>1987</v>
      </c>
      <c r="O6" s="304" t="str">
        <f>IF(AND(C31=0,C32=0),"n/a",C35)</f>
        <v>n/a</v>
      </c>
      <c r="P6" s="305">
        <f>IF(D10&gt;0,D10,"n/a")</f>
        <v>35</v>
      </c>
      <c r="Q6" s="306" t="s">
        <v>133</v>
      </c>
      <c r="R6" s="304">
        <f>IF(COUNTA(C31,C32)&lt;2,"n/a",C32)</f>
        <v>2.4860000000000002</v>
      </c>
      <c r="S6" s="699">
        <f>IF(D8&gt;0,D8,"n/a")</f>
        <v>35</v>
      </c>
      <c r="U6" s="697"/>
      <c r="V6" s="297" t="s">
        <v>5</v>
      </c>
      <c r="W6" s="304">
        <f>IF(AND(C31=0,C32=0),"n/a",C32)</f>
        <v>2.4860000000000002</v>
      </c>
      <c r="X6" s="307">
        <f>F4</f>
        <v>1.2</v>
      </c>
      <c r="Y6" s="297" t="s">
        <v>1108</v>
      </c>
      <c r="Z6" s="308">
        <f>IF(I8=FALSE,"n/a",I8)</f>
        <v>89.396058282329705</v>
      </c>
      <c r="AA6" s="380">
        <f>IF(I10="-","n/a )",I10)</f>
        <v>90.191748654622586</v>
      </c>
      <c r="AB6" s="295"/>
      <c r="AD6" s="711">
        <f>IF(E17=0,"n/a",E17)</f>
        <v>20.6</v>
      </c>
      <c r="AE6" s="297" t="s">
        <v>5</v>
      </c>
      <c r="AF6" s="304">
        <f>IF(C31=0,"n/a",C31)</f>
        <v>8.3179999999999996</v>
      </c>
      <c r="AG6" s="307">
        <f>1.02*F4</f>
        <v>1.224</v>
      </c>
      <c r="AH6" s="297" t="s">
        <v>1108</v>
      </c>
      <c r="AI6" s="308">
        <f>IF(COUNTA(D11)=0,"n/a - ",D11)</f>
        <v>20</v>
      </c>
      <c r="AJ6" s="300" t="s">
        <v>1119</v>
      </c>
      <c r="AL6" s="697" t="s">
        <v>1166</v>
      </c>
      <c r="AM6" s="297" t="s">
        <v>5</v>
      </c>
      <c r="AN6" s="297" t="s">
        <v>1165</v>
      </c>
      <c r="AO6" s="297" t="s">
        <v>1159</v>
      </c>
      <c r="AP6" s="297"/>
      <c r="AQ6" s="297"/>
      <c r="AR6" s="300"/>
      <c r="AT6" s="697" t="s">
        <v>1134</v>
      </c>
      <c r="AU6" s="297" t="s">
        <v>5</v>
      </c>
      <c r="AV6" s="297" t="s">
        <v>1116</v>
      </c>
      <c r="AW6" s="297" t="s">
        <v>138</v>
      </c>
      <c r="AX6" s="297" t="s">
        <v>1108</v>
      </c>
      <c r="AY6" s="297" t="s">
        <v>1141</v>
      </c>
      <c r="AZ6" s="300" t="s">
        <v>1171</v>
      </c>
      <c r="BB6" s="697" t="s">
        <v>1166</v>
      </c>
      <c r="BC6" s="297" t="s">
        <v>5</v>
      </c>
      <c r="BD6" s="297" t="s">
        <v>1165</v>
      </c>
      <c r="BE6" s="297" t="s">
        <v>1159</v>
      </c>
      <c r="BF6" s="297"/>
      <c r="BG6" s="297"/>
      <c r="BH6" s="300"/>
      <c r="BJ6" s="294" t="e">
        <f t="shared" si="0"/>
        <v>#VALUE!</v>
      </c>
      <c r="BK6" s="294">
        <f>$DN8</f>
        <v>20</v>
      </c>
      <c r="BL6" s="514">
        <f t="shared" ref="BL6:BL34" si="7">$DR9</f>
        <v>0.46167453850599982</v>
      </c>
      <c r="BN6" s="294" t="str">
        <f t="shared" si="1"/>
        <v/>
      </c>
      <c r="BO6" s="294">
        <f>$DN8</f>
        <v>20</v>
      </c>
      <c r="BP6" s="514">
        <f t="shared" ref="BP6:BP34" si="8">$DR9</f>
        <v>0.46167453850599982</v>
      </c>
      <c r="BR6" s="294" t="str">
        <f t="shared" si="2"/>
        <v/>
      </c>
      <c r="BS6" s="294">
        <f>$DN8</f>
        <v>20</v>
      </c>
      <c r="BT6" s="514">
        <f t="shared" ref="BT6:BT34" si="9">$DR9</f>
        <v>0.46167453850599982</v>
      </c>
      <c r="BV6" s="294" t="e">
        <f t="shared" si="3"/>
        <v>#VALUE!</v>
      </c>
      <c r="BW6" s="294">
        <f>$DN8</f>
        <v>20</v>
      </c>
      <c r="BX6" s="514">
        <f t="shared" ref="BX6:BX34" si="10">$DR9</f>
        <v>0.46167453850599982</v>
      </c>
      <c r="BZ6" s="294" t="str">
        <f t="shared" si="4"/>
        <v/>
      </c>
      <c r="CA6" s="294">
        <f>$DN8</f>
        <v>20</v>
      </c>
      <c r="CB6" s="514">
        <f t="shared" ref="CB6:CB34" si="11">$DR9</f>
        <v>0.46167453850599982</v>
      </c>
      <c r="CD6" s="294" t="str">
        <f t="shared" si="5"/>
        <v/>
      </c>
      <c r="CE6" s="294">
        <f>$DN8</f>
        <v>20</v>
      </c>
      <c r="CF6" s="514">
        <f t="shared" ref="CF6:CF34" si="12">$DR9</f>
        <v>0.46167453850599982</v>
      </c>
      <c r="CG6" s="293"/>
      <c r="CH6" s="294" t="str">
        <f t="shared" si="6"/>
        <v/>
      </c>
      <c r="CI6" s="294">
        <f>$DN8</f>
        <v>20</v>
      </c>
      <c r="CJ6" s="514">
        <f t="shared" ref="CJ6:CJ34" si="13">$DR9</f>
        <v>0.46167453850599982</v>
      </c>
      <c r="DB6" s="1625"/>
      <c r="DN6" s="1178" t="s">
        <v>1221</v>
      </c>
      <c r="DO6" s="1178" t="s">
        <v>1221</v>
      </c>
      <c r="DP6" s="1178" t="s">
        <v>1221</v>
      </c>
      <c r="DQ6" s="1178" t="s">
        <v>1221</v>
      </c>
      <c r="DR6" s="1178" t="s">
        <v>3</v>
      </c>
      <c r="DS6" s="1178" t="s">
        <v>1223</v>
      </c>
      <c r="DT6" s="1178" t="s">
        <v>14</v>
      </c>
      <c r="DU6" s="394"/>
      <c r="DV6" s="395"/>
      <c r="DW6" s="396">
        <f>DW5/1000/9.81*100</f>
        <v>3.0581039755351678</v>
      </c>
      <c r="DX6" s="397">
        <f>DX5*3.28</f>
        <v>8.1999999999999993</v>
      </c>
      <c r="DY6" s="391" t="s">
        <v>1217</v>
      </c>
      <c r="EL6" s="1673" t="str">
        <f>W24</f>
        <v>n/a</v>
      </c>
      <c r="EM6" s="293" t="e">
        <f>MATCH(EL6,EM10:EM109)</f>
        <v>#N/A</v>
      </c>
    </row>
    <row r="7" spans="2:143" ht="13.5">
      <c r="B7" s="301"/>
      <c r="C7" s="303" t="s">
        <v>1283</v>
      </c>
      <c r="D7" s="303" t="s">
        <v>1120</v>
      </c>
      <c r="E7" s="303" t="s">
        <v>1121</v>
      </c>
      <c r="F7" s="303" t="s">
        <v>354</v>
      </c>
      <c r="G7" s="303" t="s">
        <v>1121</v>
      </c>
      <c r="H7" s="303" t="s">
        <v>1184</v>
      </c>
      <c r="I7" s="303" t="s">
        <v>1185</v>
      </c>
      <c r="J7" s="303" t="s">
        <v>1204</v>
      </c>
      <c r="K7" s="303" t="s">
        <v>354</v>
      </c>
      <c r="M7" s="700"/>
      <c r="N7" s="311" t="s">
        <v>1988</v>
      </c>
      <c r="O7" s="370" t="e">
        <f>IF(COUNTA(D8,D10,C31,C32)&lt;4,"n/a",(O6*P6+R6*S6)/M6)</f>
        <v>#VALUE!</v>
      </c>
      <c r="P7" s="313" t="s">
        <v>1123</v>
      </c>
      <c r="Q7" s="1440" t="s">
        <v>1986</v>
      </c>
      <c r="R7" s="314"/>
      <c r="S7" s="296"/>
      <c r="U7" s="705"/>
      <c r="V7" s="324" t="s">
        <v>5</v>
      </c>
      <c r="W7" s="325">
        <f>IF(D8*D10*C31=0,"n/a",W6*X6*(Z6-AA6))</f>
        <v>-2.373703518624124</v>
      </c>
      <c r="X7" s="318" t="s">
        <v>6</v>
      </c>
      <c r="Y7" s="318"/>
      <c r="Z7" s="314"/>
      <c r="AA7" s="314"/>
      <c r="AB7" s="296"/>
      <c r="AD7" s="700"/>
      <c r="AE7" s="311" t="s">
        <v>1124</v>
      </c>
      <c r="AF7" s="370">
        <f>IF(OR(AD6="n/a",C31=0),"n/a",AI6-(-AD6/AF6/AG6))</f>
        <v>22.023330771757287</v>
      </c>
      <c r="AG7" s="313" t="s">
        <v>1123</v>
      </c>
      <c r="AH7" s="313"/>
      <c r="AI7" s="314"/>
      <c r="AJ7" s="296"/>
      <c r="AL7" s="717"/>
      <c r="AM7" s="297" t="s">
        <v>5</v>
      </c>
      <c r="AN7" s="352" t="str">
        <f>IF(D20=TRUE,IF(AF21="n/a","n/a /",ABS(AF21)),"n/a /")</f>
        <v>n/a /</v>
      </c>
      <c r="AO7" s="305" t="str">
        <f>IF(OR(C42=0,D20=FALSE),"n/a",CG56)</f>
        <v>n/a</v>
      </c>
      <c r="AP7" s="297"/>
      <c r="AQ7" s="344"/>
      <c r="AR7" s="707"/>
      <c r="AT7" s="697"/>
      <c r="AU7" s="297" t="s">
        <v>5</v>
      </c>
      <c r="AV7" s="304">
        <f>IF(C32&gt;0,C32,"n/a")</f>
        <v>2.4860000000000002</v>
      </c>
      <c r="AW7" s="307">
        <f>F4</f>
        <v>1.2</v>
      </c>
      <c r="AX7" s="297" t="s">
        <v>1108</v>
      </c>
      <c r="AY7" s="308">
        <f>IF(OR(I8="-",C32=0),"n/a",I8)</f>
        <v>89.396058282329705</v>
      </c>
      <c r="AZ7" s="323">
        <f>IF(OR(I22="-",C32=0),"n/a",I22)</f>
        <v>35.442120328916417</v>
      </c>
      <c r="BB7" s="717"/>
      <c r="BC7" s="297" t="s">
        <v>5</v>
      </c>
      <c r="BD7" s="352" t="str">
        <f>IF(D20=TRUE,IF(AV30="n/a","n/a /",ABS(AV30)),"n/a /")</f>
        <v>n/a /</v>
      </c>
      <c r="BE7" s="305" t="str">
        <f>IF(OR(C42=0,D20=FALSE),"n/a",CG56)</f>
        <v>n/a</v>
      </c>
      <c r="BF7" s="297"/>
      <c r="BG7" s="344"/>
      <c r="BH7" s="707"/>
      <c r="BJ7" s="294" t="e">
        <f t="shared" si="0"/>
        <v>#VALUE!</v>
      </c>
      <c r="BK7" s="294">
        <f t="shared" ref="BK7:BK35" si="14">$DN9</f>
        <v>25</v>
      </c>
      <c r="BL7" s="514">
        <f t="shared" si="7"/>
        <v>0.95347959590942388</v>
      </c>
      <c r="BN7" s="294" t="str">
        <f t="shared" si="1"/>
        <v/>
      </c>
      <c r="BO7" s="294">
        <f t="shared" ref="BO7:BO35" si="15">$DN9</f>
        <v>25</v>
      </c>
      <c r="BP7" s="514">
        <f t="shared" si="8"/>
        <v>0.95347959590942388</v>
      </c>
      <c r="BR7" s="294" t="str">
        <f t="shared" si="2"/>
        <v/>
      </c>
      <c r="BS7" s="294">
        <f t="shared" ref="BS7:BS35" si="16">$DN9</f>
        <v>25</v>
      </c>
      <c r="BT7" s="514">
        <f t="shared" si="9"/>
        <v>0.95347959590942388</v>
      </c>
      <c r="BV7" s="294" t="e">
        <f t="shared" si="3"/>
        <v>#VALUE!</v>
      </c>
      <c r="BW7" s="294">
        <f t="shared" ref="BW7:BW35" si="17">$DN9</f>
        <v>25</v>
      </c>
      <c r="BX7" s="514">
        <f t="shared" si="10"/>
        <v>0.95347959590942388</v>
      </c>
      <c r="BZ7" s="294" t="str">
        <f t="shared" si="4"/>
        <v/>
      </c>
      <c r="CA7" s="294">
        <f t="shared" ref="CA7:CA35" si="18">$DN9</f>
        <v>25</v>
      </c>
      <c r="CB7" s="514">
        <f t="shared" si="11"/>
        <v>0.95347959590942388</v>
      </c>
      <c r="CD7" s="294" t="str">
        <f t="shared" si="5"/>
        <v/>
      </c>
      <c r="CE7" s="294">
        <f t="shared" ref="CE7:CE35" si="19">$DN9</f>
        <v>25</v>
      </c>
      <c r="CF7" s="514">
        <f t="shared" si="12"/>
        <v>0.95347959590942388</v>
      </c>
      <c r="CG7" s="293"/>
      <c r="CH7" s="294" t="str">
        <f t="shared" si="6"/>
        <v/>
      </c>
      <c r="CI7" s="294">
        <f t="shared" ref="CI7:CI35" si="20">$DN9</f>
        <v>25</v>
      </c>
      <c r="CJ7" s="514">
        <f t="shared" si="13"/>
        <v>0.95347959590942388</v>
      </c>
      <c r="CL7" s="516">
        <f>D9</f>
        <v>7</v>
      </c>
      <c r="CM7" s="516">
        <f>E9</f>
        <v>0</v>
      </c>
      <c r="CN7" s="503">
        <f>F9</f>
        <v>40</v>
      </c>
      <c r="CO7" s="517">
        <f>273.15+CM7</f>
        <v>273.14999999999998</v>
      </c>
      <c r="CP7" s="517">
        <f>-5800.2206/CO7+1.3914993-0.048640239*CO7</f>
        <v>-33.129143945141777</v>
      </c>
      <c r="CQ7" s="517">
        <f>0.000041764768*POWER(CO7,2)-0.000000014452093*POWER(CO7,3)+6.5459673*LN(CO7)</f>
        <v>39.544589235539483</v>
      </c>
      <c r="CR7" s="517">
        <f>EXP(CP7+CQ7)/1000</f>
        <v>0.61121286745119141</v>
      </c>
      <c r="CS7" s="517">
        <f>0.62198*(CR7/($F$3-CR7))</f>
        <v>3.7746786226692361E-3</v>
      </c>
      <c r="CT7" s="517">
        <f>273.15+CL7</f>
        <v>280.14999999999998</v>
      </c>
      <c r="CU7" s="517">
        <f>-5800.2206/CT7+1.3914993-0.048640239*CT7</f>
        <v>-32.939045808268347</v>
      </c>
      <c r="CV7" s="517">
        <f>0.000041764768*POWER(CT7,2)-0.000000014452093*POWER(CT7,3)+6.5459673*LN(CT7)</f>
        <v>39.848758816793641</v>
      </c>
      <c r="CW7" s="517">
        <f>EXP(CU7+CV7)/1000</f>
        <v>1.0019596471468182</v>
      </c>
      <c r="CX7" s="517">
        <f>0.62198*(CW7/($F$3-CW7))</f>
        <v>6.2119215998686006E-3</v>
      </c>
      <c r="CY7" s="517">
        <f>DE7/CX7</f>
        <v>0.15629515388522147</v>
      </c>
      <c r="CZ7" s="517">
        <f>$F$3*DE7/(0.62198+DE7)</f>
        <v>0.15791896094979987</v>
      </c>
      <c r="DA7" s="517">
        <f>(0.2871*(CL7+273.15)*(1+1.6078*DE7))/$F$3</f>
        <v>0.79503200657094653</v>
      </c>
      <c r="DB7" s="521">
        <f>IF(CL7+CM7&lt;&gt;0,CY7/(1-(1-CY7)*(CW7/$F$3))*100,0)</f>
        <v>15.761010076552504</v>
      </c>
      <c r="DC7" s="164">
        <f>IF(CL7+CM7&lt;&gt;0,1.006*CL7+DE7*(2501+1.805*CL7),0)</f>
        <v>9.4824712352957601</v>
      </c>
      <c r="DD7" s="164">
        <f>IF(CL7+CM7&lt;&gt;0,(6.54+14.526*LN(CZ7)+0.7389*POWER(LN(CZ7),2)+0.09486*POWER(LN(CZ7),3)+0.4569*POWER(CZ7,0.1984)),0)</f>
        <v>-18.032789748272929</v>
      </c>
      <c r="DE7" s="164">
        <f>IF(CL7+CM7&lt;&gt;0,(((2501-2.381*CM7)*CS7-(CL7-CM7))/(2501+1.805*CL7-4.186*CM7)),0)</f>
        <v>9.7089324237439412E-4</v>
      </c>
      <c r="DF7" s="164">
        <f>IF(CL7+CM7&lt;&gt;0,1/DA7,0)</f>
        <v>1.257810995953611</v>
      </c>
      <c r="DG7" s="506" t="str">
        <f>IF(COUNTA(F9)=1,"-",DB7)</f>
        <v>-</v>
      </c>
      <c r="DH7" s="518">
        <f>IF($CN7=0,DC7,DC8)</f>
        <v>13.250597023392242</v>
      </c>
      <c r="DI7" s="518">
        <f>IF($CN7=0,DD7,DD8)</f>
        <v>-5.8152873027079268</v>
      </c>
      <c r="DJ7" s="519">
        <f>IF($CN7=0,DE7,DE8)</f>
        <v>2.4699676060335892E-3</v>
      </c>
      <c r="DK7" s="518">
        <f>IF($CN7=0,DF7,DF8)</f>
        <v>1.2547913965720157</v>
      </c>
      <c r="DL7" s="518">
        <f>IF(CN7&gt;0,'Coil Support'!L32,"-")</f>
        <v>2.1647891039948921</v>
      </c>
      <c r="DN7" s="513">
        <v>15</v>
      </c>
      <c r="DO7" s="417">
        <v>21.4</v>
      </c>
      <c r="DP7" s="417">
        <f t="shared" ref="DP7:DP39" si="21">DO7-2*DQ7</f>
        <v>16.2</v>
      </c>
      <c r="DQ7" s="417">
        <v>2.6</v>
      </c>
      <c r="DR7" s="1179">
        <f t="shared" ref="DR7:DR39" si="22">PI()*(DP7/1000)^2/4*DS7*1000</f>
        <v>0.11589023801147234</v>
      </c>
      <c r="DS7" s="1180">
        <f>DY7</f>
        <v>0.56224673786380397</v>
      </c>
      <c r="DT7" s="1181">
        <f>ROUND(6.819*(DS7/DP2)^1.852/(DP7/1000)^1.167*1000*9.81,0)</f>
        <v>300</v>
      </c>
      <c r="DU7" s="508"/>
      <c r="DV7" s="508"/>
      <c r="DW7" s="398">
        <f>(IF(DU7=0,DW5,DU7)/1000/9.81*(DP7/1000)^1.167/6.819)^(1/1.852)*DP2</f>
        <v>0.56224673786380397</v>
      </c>
      <c r="DX7" s="398">
        <f>6.819*(IF(DV7=0,DX5,DV7)/DP2)^1.852/(DP7/1000)^1.167*1000*9.81</f>
        <v>4755.9956621769306</v>
      </c>
      <c r="DY7" s="398">
        <f>IF(DX7&lt;=DW5,IF(DW7&lt;=IF(DV7=0,DX5,DV7),DW7,(DX7/1000/9.81*(DP7/1000)^1.167/6.819)^(1/1.852)*DP2),IF(DW7&lt;=IF(DV7=0,DX5,DV7),DW7,"Check"))</f>
        <v>0.56224673786380397</v>
      </c>
      <c r="EM7" s="1190" t="e">
        <f>INDEX(EB10:EB109,EM6) + (EL6-INDEX(EM10:EM109,EM6)) * (INDEX(EB10:EB109,EM6+1)-INDEX(EB10:EB109,EM6)) / (INDEX(EM10:EM109,EM6+1)-INDEX(EM10:EM109,EM6))</f>
        <v>#N/A</v>
      </c>
    </row>
    <row r="8" spans="2:143" ht="12.75" customHeight="1">
      <c r="B8" s="2024" t="str">
        <f>IF(B4=1, "Outdoor/ Pre-treated","Outdoor")</f>
        <v>Outdoor</v>
      </c>
      <c r="C8" s="310" t="s">
        <v>1102</v>
      </c>
      <c r="D8" s="1393">
        <v>35</v>
      </c>
      <c r="E8" s="1393">
        <v>28</v>
      </c>
      <c r="F8" s="1394"/>
      <c r="G8" s="386" t="str">
        <f>IF(COUNTA(D8,E8,F8)=2,DL4,"-")</f>
        <v>-</v>
      </c>
      <c r="H8" s="327">
        <f>IF(COUNTA(D8,E8,F8)=2,DJ4,"-")</f>
        <v>2.1131965752076085E-2</v>
      </c>
      <c r="I8" s="385">
        <f>IF(COUNTA(D8,E8,F8)=2,DH4,"-")</f>
        <v>89.396058282329705</v>
      </c>
      <c r="J8" s="386">
        <f>IF(COUNTA(D8,E8,F8)=2,DI4,"-")</f>
        <v>25.825989986805357</v>
      </c>
      <c r="K8" s="507">
        <f>IF(COUNTA(D8,E8,F8)=2,DG4,"-")</f>
        <v>59.160217857614619</v>
      </c>
      <c r="M8" s="708" t="s">
        <v>1112</v>
      </c>
      <c r="N8" s="298" t="s">
        <v>1125</v>
      </c>
      <c r="O8" s="298" t="s">
        <v>1114</v>
      </c>
      <c r="P8" s="298" t="s">
        <v>1126</v>
      </c>
      <c r="Q8" s="298" t="s">
        <v>133</v>
      </c>
      <c r="R8" s="336" t="s">
        <v>1116</v>
      </c>
      <c r="S8" s="316" t="s">
        <v>1127</v>
      </c>
      <c r="U8" s="1847" t="s">
        <v>1972</v>
      </c>
      <c r="V8" s="1848"/>
      <c r="W8" s="1848"/>
      <c r="X8" s="1848"/>
      <c r="Y8" s="1848"/>
      <c r="Z8" s="1848"/>
      <c r="AA8" s="1848"/>
      <c r="AB8" s="1849"/>
      <c r="AD8" s="2030" t="s">
        <v>1090</v>
      </c>
      <c r="AE8" s="2031"/>
      <c r="AF8" s="2031"/>
      <c r="AG8" s="2031"/>
      <c r="AH8" s="2031"/>
      <c r="AI8" s="2031"/>
      <c r="AJ8" s="2032"/>
      <c r="AL8" s="717"/>
      <c r="AM8" s="340" t="s">
        <v>5</v>
      </c>
      <c r="AN8" s="349" t="str">
        <f>IF(OR(AN7="n/a /",AF21="n/a"),"n/a",AN7/AO7)</f>
        <v>n/a</v>
      </c>
      <c r="AO8" s="340" t="s">
        <v>139</v>
      </c>
      <c r="AP8" s="340"/>
      <c r="AR8" s="295"/>
      <c r="AT8" s="705"/>
      <c r="AU8" s="324" t="s">
        <v>5</v>
      </c>
      <c r="AV8" s="325">
        <f>IF(OR(I8="-",C32=0),"n/a",AV7*AW7*(AY7-AZ7))</f>
        <v>160.95538770262252</v>
      </c>
      <c r="AW8" s="318" t="s">
        <v>6</v>
      </c>
      <c r="AX8" s="318"/>
      <c r="AY8" s="314"/>
      <c r="AZ8" s="296"/>
      <c r="BB8" s="717"/>
      <c r="BC8" s="340" t="s">
        <v>5</v>
      </c>
      <c r="BD8" s="349" t="str">
        <f>IF(OR(BD7="n/a /",AV30="n/a",BE7="n/a"),"n/a",BD7/BE7)</f>
        <v>n/a</v>
      </c>
      <c r="BE8" s="340" t="s">
        <v>139</v>
      </c>
      <c r="BF8" s="340"/>
      <c r="BH8" s="295"/>
      <c r="BJ8" s="294" t="e">
        <f t="shared" si="0"/>
        <v>#VALUE!</v>
      </c>
      <c r="BK8" s="294">
        <f t="shared" si="14"/>
        <v>32</v>
      </c>
      <c r="BL8" s="514">
        <f t="shared" si="7"/>
        <v>1.4197818368377952</v>
      </c>
      <c r="BN8" s="294" t="str">
        <f t="shared" si="1"/>
        <v/>
      </c>
      <c r="BO8" s="294">
        <f t="shared" si="15"/>
        <v>32</v>
      </c>
      <c r="BP8" s="514">
        <f t="shared" si="8"/>
        <v>1.4197818368377952</v>
      </c>
      <c r="BR8" s="294" t="str">
        <f t="shared" si="2"/>
        <v/>
      </c>
      <c r="BS8" s="294">
        <f t="shared" si="16"/>
        <v>32</v>
      </c>
      <c r="BT8" s="514">
        <f t="shared" si="9"/>
        <v>1.4197818368377952</v>
      </c>
      <c r="BV8" s="294" t="e">
        <f t="shared" si="3"/>
        <v>#VALUE!</v>
      </c>
      <c r="BW8" s="294">
        <f t="shared" si="17"/>
        <v>32</v>
      </c>
      <c r="BX8" s="514">
        <f t="shared" si="10"/>
        <v>1.4197818368377952</v>
      </c>
      <c r="BZ8" s="294" t="str">
        <f t="shared" si="4"/>
        <v/>
      </c>
      <c r="CA8" s="294">
        <f t="shared" si="18"/>
        <v>32</v>
      </c>
      <c r="CB8" s="514">
        <f t="shared" si="11"/>
        <v>1.4197818368377952</v>
      </c>
      <c r="CD8" s="294" t="str">
        <f t="shared" si="5"/>
        <v/>
      </c>
      <c r="CE8" s="294">
        <f t="shared" si="19"/>
        <v>32</v>
      </c>
      <c r="CF8" s="514">
        <f t="shared" si="12"/>
        <v>1.4197818368377952</v>
      </c>
      <c r="CG8" s="293"/>
      <c r="CH8" s="294" t="str">
        <f t="shared" si="6"/>
        <v/>
      </c>
      <c r="CI8" s="294">
        <f t="shared" si="20"/>
        <v>32</v>
      </c>
      <c r="CJ8" s="514">
        <f t="shared" si="13"/>
        <v>1.4197818368377952</v>
      </c>
      <c r="CO8" s="517">
        <f>273.15+CL7</f>
        <v>280.14999999999998</v>
      </c>
      <c r="CP8" s="517">
        <f>-5800.2206/CO8+1.3914993-0.048640239*CO8</f>
        <v>-32.939045808268347</v>
      </c>
      <c r="CQ8" s="517">
        <f>0.000041764768*POWER(CO8,2)-0.000000014452093*POWER(CO8,3)+6.5459673*LN(CO8)</f>
        <v>39.848758816793641</v>
      </c>
      <c r="CR8" s="517">
        <f>EXP(CP8+CQ8)/1000</f>
        <v>1.0019596471468182</v>
      </c>
      <c r="CS8" s="517">
        <f>CN7/100*CR8</f>
        <v>0.4007838588587273</v>
      </c>
      <c r="CT8" s="517">
        <f>0.62198*(CR8/($F$3-CR8))</f>
        <v>6.2119215998686006E-3</v>
      </c>
      <c r="CU8" s="517">
        <f>DE8/CT8</f>
        <v>0.39761731797868083</v>
      </c>
      <c r="CV8" s="517">
        <f>0.2871*(CL7+273.15)*(1+1.6078*DE8)/$F$3</f>
        <v>0.79694521554093833</v>
      </c>
      <c r="CW8" s="504"/>
      <c r="CX8" s="504"/>
      <c r="CY8" s="504"/>
      <c r="CZ8" s="504"/>
      <c r="DA8" s="504"/>
      <c r="DB8" s="1625">
        <f>IF(CL7+CN7&gt;0,CN7,0)</f>
        <v>40</v>
      </c>
      <c r="DC8" s="520">
        <f>IF(CL7+CN7&gt;0,(1.006*CL7+DE8*(2501+1.805*CL7)),0)</f>
        <v>13.250597023392242</v>
      </c>
      <c r="DD8" s="521">
        <f>IF(CL7+CN7&gt;0,(6.54+14.526*LN(CS8)+0.7389*POWER(LN(CS8),2)+0.09486*POWER(LN(CS8),3)+0.4569*POWER(CS8,0.1984)),0)</f>
        <v>-5.8152873027079268</v>
      </c>
      <c r="DE8" s="522">
        <f>IF(CL7+CN7&gt;0,0.62198*(CS8/($F$3-CS8)),0)</f>
        <v>2.4699676060335892E-3</v>
      </c>
      <c r="DF8" s="521">
        <f>IF(CL7+CN7&gt;0,1/CV8,0)</f>
        <v>1.2547913965720157</v>
      </c>
      <c r="DN8" s="761">
        <v>20</v>
      </c>
      <c r="DO8" s="1182">
        <v>26.9</v>
      </c>
      <c r="DP8" s="1182">
        <f t="shared" si="21"/>
        <v>21.7</v>
      </c>
      <c r="DQ8" s="1182">
        <v>2.6</v>
      </c>
      <c r="DR8" s="1183">
        <f t="shared" si="22"/>
        <v>0.24999303974299217</v>
      </c>
      <c r="DS8" s="1184">
        <f t="shared" ref="DS8:DS39" si="23">DY8</f>
        <v>0.67595621930668892</v>
      </c>
      <c r="DT8" s="1185">
        <f>ROUND(6.819*(DS8/DP2)^1.852/(DP8/1000)^1.167*1000*9.81,0)</f>
        <v>300</v>
      </c>
      <c r="DU8" s="508"/>
      <c r="DV8" s="508"/>
      <c r="DW8" s="398">
        <f>(IF(DU8=0,DW5,DU8)/1000/9.81*(DP8/1000)^1.167/6.819)^(1/1.852)*DP2</f>
        <v>0.67595621930668892</v>
      </c>
      <c r="DX8" s="398">
        <f>6.819*(IF(DV8=0,DX5,DV8)/DP2)^1.852/(DP8/1000)^1.167*1000*9.81</f>
        <v>3381.4032240584002</v>
      </c>
      <c r="DY8" s="398">
        <f>IF(DX8&lt;=DW5,IF(DW8&lt;=IF(DV8=0,DX5,DV8),DW8,(DX8/1000/9.81*(DP8/1000)^1.167/6.819)^(1/1.852)*DP2),IF(DW8&lt;=IF(DV8=0,DX5,DV8),DW8,"Check"))</f>
        <v>0.67595621930668892</v>
      </c>
    </row>
    <row r="9" spans="2:143" ht="12.75" customHeight="1">
      <c r="B9" s="2025"/>
      <c r="C9" s="315" t="s">
        <v>1103</v>
      </c>
      <c r="D9" s="1393">
        <v>7</v>
      </c>
      <c r="E9" s="1393"/>
      <c r="F9" s="1394">
        <v>40</v>
      </c>
      <c r="G9" s="386">
        <f>IF(COUNTA(D9,E9,F9)=2,DL7,"-")</f>
        <v>2.1647891039948921</v>
      </c>
      <c r="H9" s="327">
        <f>IF(COUNTA(D9,E9,F9)=2,DJ7,"-")</f>
        <v>2.4699676060335892E-3</v>
      </c>
      <c r="I9" s="385">
        <f>IF(COUNTA(D9,E9,F9)=2,DH7,"-")</f>
        <v>13.250597023392242</v>
      </c>
      <c r="J9" s="386">
        <f>IF(COUNTA(D9,E9,F9)=2,DI7,"-")</f>
        <v>-5.8152873027079268</v>
      </c>
      <c r="K9" s="507" t="str">
        <f>IF(COUNTA(D9,E9,F9)=2,DG7,"-")</f>
        <v>-</v>
      </c>
      <c r="M9" s="698">
        <f>IF(AND(C31=0,C32=0),"n/a",C31)</f>
        <v>8.3179999999999996</v>
      </c>
      <c r="N9" s="297" t="s">
        <v>1125</v>
      </c>
      <c r="O9" s="304" t="str">
        <f>IF(AND(C31=0,C32=0),"n/a",C35)</f>
        <v>n/a</v>
      </c>
      <c r="P9" s="317">
        <f>IF(I10&gt;0,I10,"n/a")</f>
        <v>90.191748654622586</v>
      </c>
      <c r="Q9" s="306" t="s">
        <v>133</v>
      </c>
      <c r="R9" s="304">
        <f>IF(COUNTA(C31,C32)&lt;2,"n/a",C32)</f>
        <v>2.4860000000000002</v>
      </c>
      <c r="S9" s="701">
        <f>IF(I8&gt;0,I8,"n/a")</f>
        <v>89.396058282329705</v>
      </c>
      <c r="U9" s="697" t="s">
        <v>1727</v>
      </c>
      <c r="V9" s="297" t="s">
        <v>5</v>
      </c>
      <c r="W9" s="298" t="s">
        <v>1112</v>
      </c>
      <c r="X9" s="297" t="s">
        <v>137</v>
      </c>
      <c r="Y9" s="297" t="s">
        <v>1108</v>
      </c>
      <c r="Z9" s="297" t="s">
        <v>1118</v>
      </c>
      <c r="AA9" s="297" t="str">
        <f>IF(B20=FALSE,"ts1)",IF(B20=TRUE,"ts2)","n/a )"))</f>
        <v>ts1)</v>
      </c>
      <c r="AB9" s="320"/>
      <c r="AD9" s="697" t="s">
        <v>1112</v>
      </c>
      <c r="AE9" s="297" t="s">
        <v>1113</v>
      </c>
      <c r="AF9" s="297" t="s">
        <v>1114</v>
      </c>
      <c r="AG9" s="297" t="s">
        <v>1115</v>
      </c>
      <c r="AH9" s="297" t="s">
        <v>133</v>
      </c>
      <c r="AI9" s="299" t="s">
        <v>1116</v>
      </c>
      <c r="AJ9" s="300" t="str">
        <f>IF(C20=FALSE,"to","tpre")</f>
        <v>to</v>
      </c>
      <c r="AL9" s="700"/>
      <c r="AM9" s="311" t="s">
        <v>5</v>
      </c>
      <c r="AN9" s="341" t="str">
        <f>IF(AN8="n/a","n/a",AN8*3600)</f>
        <v>n/a</v>
      </c>
      <c r="AO9" s="311" t="s">
        <v>156</v>
      </c>
      <c r="AP9" s="311"/>
      <c r="AQ9" s="314"/>
      <c r="AR9" s="296"/>
      <c r="AT9" s="1224" t="s">
        <v>1730</v>
      </c>
      <c r="AU9" s="302"/>
      <c r="AV9" s="302"/>
      <c r="AW9" s="302"/>
      <c r="AX9" s="302"/>
      <c r="AY9" s="302"/>
      <c r="AZ9" s="320"/>
      <c r="BB9" s="700"/>
      <c r="BC9" s="311" t="s">
        <v>5</v>
      </c>
      <c r="BD9" s="341" t="str">
        <f>IF(BD8="n/a","n/a",BD8*3600)</f>
        <v>n/a</v>
      </c>
      <c r="BE9" s="311" t="s">
        <v>156</v>
      </c>
      <c r="BF9" s="311"/>
      <c r="BG9" s="314"/>
      <c r="BH9" s="296"/>
      <c r="BJ9" s="294" t="e">
        <f t="shared" si="0"/>
        <v>#VALUE!</v>
      </c>
      <c r="BK9" s="294">
        <f t="shared" si="14"/>
        <v>40</v>
      </c>
      <c r="BL9" s="514">
        <f t="shared" si="7"/>
        <v>2.63079962184373</v>
      </c>
      <c r="BN9" s="294" t="str">
        <f t="shared" si="1"/>
        <v/>
      </c>
      <c r="BO9" s="294">
        <f t="shared" si="15"/>
        <v>40</v>
      </c>
      <c r="BP9" s="514">
        <f t="shared" si="8"/>
        <v>2.63079962184373</v>
      </c>
      <c r="BR9" s="294" t="str">
        <f t="shared" si="2"/>
        <v/>
      </c>
      <c r="BS9" s="294">
        <f t="shared" si="16"/>
        <v>40</v>
      </c>
      <c r="BT9" s="514">
        <f t="shared" si="9"/>
        <v>2.63079962184373</v>
      </c>
      <c r="BV9" s="294" t="e">
        <f t="shared" si="3"/>
        <v>#VALUE!</v>
      </c>
      <c r="BW9" s="294">
        <f t="shared" si="17"/>
        <v>40</v>
      </c>
      <c r="BX9" s="514">
        <f t="shared" si="10"/>
        <v>2.63079962184373</v>
      </c>
      <c r="BZ9" s="294" t="str">
        <f t="shared" si="4"/>
        <v/>
      </c>
      <c r="CA9" s="294">
        <f t="shared" si="18"/>
        <v>40</v>
      </c>
      <c r="CB9" s="514">
        <f t="shared" si="11"/>
        <v>2.63079962184373</v>
      </c>
      <c r="CD9" s="294" t="str">
        <f t="shared" si="5"/>
        <v/>
      </c>
      <c r="CE9" s="294">
        <f t="shared" si="19"/>
        <v>40</v>
      </c>
      <c r="CF9" s="514">
        <f t="shared" si="12"/>
        <v>2.63079962184373</v>
      </c>
      <c r="CG9" s="293"/>
      <c r="CH9" s="294" t="str">
        <f t="shared" si="6"/>
        <v/>
      </c>
      <c r="CI9" s="294">
        <f t="shared" si="20"/>
        <v>40</v>
      </c>
      <c r="CJ9" s="514">
        <f t="shared" si="13"/>
        <v>2.63079962184373</v>
      </c>
      <c r="DB9" s="1625"/>
      <c r="DN9" s="513">
        <v>25</v>
      </c>
      <c r="DO9" s="417">
        <v>33.799999999999997</v>
      </c>
      <c r="DP9" s="417">
        <f t="shared" si="21"/>
        <v>27.4</v>
      </c>
      <c r="DQ9" s="417">
        <v>3.2</v>
      </c>
      <c r="DR9" s="1186">
        <f t="shared" si="22"/>
        <v>0.46167453850599982</v>
      </c>
      <c r="DS9" s="1180">
        <f t="shared" si="23"/>
        <v>0.78296962973945827</v>
      </c>
      <c r="DT9" s="1181">
        <f>ROUND(6.819*(DS9/DP2)^1.852/(DP9/1000)^1.167*1000*9.81,0)</f>
        <v>300</v>
      </c>
      <c r="DU9" s="508"/>
      <c r="DV9" s="508"/>
      <c r="DW9" s="398">
        <f>(IF(DU9=0,DW5,DU9)/1000/9.81*(DP9/1000)^1.167/6.819)^(1/1.852)*DP2</f>
        <v>0.78296962973945827</v>
      </c>
      <c r="DX9" s="398">
        <f>6.819*(IF(DV9=0,DX5,DV9)/DP2)^1.852/(DP9/1000)^1.167*1000*9.81</f>
        <v>2575.6720486109321</v>
      </c>
      <c r="DY9" s="398">
        <f>IF(DX9&lt;=DW5,IF(DW9&lt;=IF(DV9=0,DX5,DV9),DW9,(DX9/1000/9.81*(DP9/1000)^1.167/6.819)^(1/1.852)*DP2),IF(DW9&lt;=IF(DV9=0,DX5,DV9),DW9,"Check"))</f>
        <v>0.78296962973945827</v>
      </c>
      <c r="EA9" s="1647"/>
      <c r="EB9" s="1671"/>
      <c r="EC9" s="1644"/>
      <c r="ED9" s="1644"/>
      <c r="EE9" s="1644"/>
      <c r="EF9" s="1644"/>
      <c r="EG9" s="1644"/>
      <c r="EH9" s="1644"/>
      <c r="EI9" s="1644"/>
      <c r="EJ9" s="293" t="s">
        <v>1280</v>
      </c>
      <c r="EK9" s="1646" t="s">
        <v>1185</v>
      </c>
      <c r="EL9" s="297" t="s">
        <v>1204</v>
      </c>
      <c r="EM9" s="297" t="s">
        <v>1184</v>
      </c>
    </row>
    <row r="10" spans="2:143" ht="12.75" customHeight="1">
      <c r="B10" s="2024" t="s">
        <v>1104</v>
      </c>
      <c r="C10" s="310" t="s">
        <v>1102</v>
      </c>
      <c r="D10" s="1393">
        <v>35</v>
      </c>
      <c r="E10" s="1393"/>
      <c r="F10" s="1394">
        <v>60</v>
      </c>
      <c r="G10" s="386">
        <f>IF(COUNTA(D10,E10,F10)=2,DL10,"-")</f>
        <v>28.165000061686133</v>
      </c>
      <c r="H10" s="327">
        <f>IF(COUNTA(D10,E10,F10)=2,DJ10,"-")</f>
        <v>2.1442276230999282E-2</v>
      </c>
      <c r="I10" s="385">
        <f>IF(COUNTA(D10,E10,F10)=2,DH10,"-")</f>
        <v>90.191748654622586</v>
      </c>
      <c r="J10" s="386">
        <f>IF(COUNTA(D10,E10,F10)=2,DI10,"-")</f>
        <v>26.063434345446495</v>
      </c>
      <c r="K10" s="507" t="str">
        <f>IF(COUNTA(D10,E10,F10)=2,DG10,"-")</f>
        <v>-</v>
      </c>
      <c r="L10" s="317"/>
      <c r="M10" s="700"/>
      <c r="N10" s="311" t="s">
        <v>1128</v>
      </c>
      <c r="O10" s="312" t="e">
        <f>IF(COUNTA(D8,D10,C31,C32)&lt;4,"n/a",(O9*P9+R9*S9)/M9)</f>
        <v>#VALUE!</v>
      </c>
      <c r="P10" s="318" t="s">
        <v>136</v>
      </c>
      <c r="Q10" s="318"/>
      <c r="R10" s="314"/>
      <c r="S10" s="296"/>
      <c r="T10" s="317"/>
      <c r="U10" s="697"/>
      <c r="V10" s="297" t="s">
        <v>5</v>
      </c>
      <c r="W10" s="304">
        <f>IF(AND(C31=0,C32=0),"n/a",C31)</f>
        <v>8.3179999999999996</v>
      </c>
      <c r="X10" s="307">
        <f>1.02*F4</f>
        <v>1.224</v>
      </c>
      <c r="Y10" s="297" t="s">
        <v>1108</v>
      </c>
      <c r="Z10" s="308">
        <f>IF(D8*D10*C31=0,"n/a",D10)</f>
        <v>35</v>
      </c>
      <c r="AA10" s="380">
        <f>IF(D10*C31*D22=0,"n/a )",IF(B20=TRUE,D23,D22))</f>
        <v>13</v>
      </c>
      <c r="AB10" s="295"/>
      <c r="AC10" s="317"/>
      <c r="AD10" s="698">
        <f>IF(AND(C31=0,C32=0),"n/a",C31)</f>
        <v>8.3179999999999996</v>
      </c>
      <c r="AE10" s="297" t="s">
        <v>1113</v>
      </c>
      <c r="AF10" s="304" t="str">
        <f>IF(AND(C31=0,C32=0),"n/a",C35)</f>
        <v>n/a</v>
      </c>
      <c r="AG10" s="305">
        <f>IF(D11&gt;0,D11,"n/a")</f>
        <v>20</v>
      </c>
      <c r="AH10" s="305" t="s">
        <v>133</v>
      </c>
      <c r="AI10" s="304">
        <f>IF(AND(C31=0,C32=0),"n/a",C32)</f>
        <v>2.4860000000000002</v>
      </c>
      <c r="AJ10" s="699">
        <f>IF(H9="-","n/a",IF(C20=FALSE,D9,IF(AND(BU45=1,C20=TRUE,D24&gt;D9),D24,"n/a")))</f>
        <v>7</v>
      </c>
      <c r="AK10" s="317"/>
      <c r="AL10" s="1224" t="s">
        <v>1717</v>
      </c>
      <c r="AM10" s="302"/>
      <c r="AN10" s="302"/>
      <c r="AO10" s="302"/>
      <c r="AP10" s="302"/>
      <c r="AQ10" s="302"/>
      <c r="AR10" s="320"/>
      <c r="AS10" s="317"/>
      <c r="AT10" s="697" t="s">
        <v>1136</v>
      </c>
      <c r="AU10" s="297" t="s">
        <v>5</v>
      </c>
      <c r="AV10" s="297" t="s">
        <v>1116</v>
      </c>
      <c r="AW10" s="297" t="s">
        <v>137</v>
      </c>
      <c r="AX10" s="297" t="s">
        <v>1108</v>
      </c>
      <c r="AY10" s="297" t="s">
        <v>1170</v>
      </c>
      <c r="AZ10" s="300" t="s">
        <v>1119</v>
      </c>
      <c r="BB10" s="1224" t="s">
        <v>1717</v>
      </c>
      <c r="BC10" s="302"/>
      <c r="BD10" s="302"/>
      <c r="BE10" s="302"/>
      <c r="BF10" s="302"/>
      <c r="BG10" s="302"/>
      <c r="BH10" s="320"/>
      <c r="BJ10" s="294" t="e">
        <f t="shared" si="0"/>
        <v>#VALUE!</v>
      </c>
      <c r="BK10" s="294">
        <f t="shared" si="14"/>
        <v>50</v>
      </c>
      <c r="BL10" s="514">
        <f t="shared" si="7"/>
        <v>5.1994972269692425</v>
      </c>
      <c r="BN10" s="294" t="str">
        <f t="shared" si="1"/>
        <v/>
      </c>
      <c r="BO10" s="294">
        <f t="shared" si="15"/>
        <v>50</v>
      </c>
      <c r="BP10" s="514">
        <f t="shared" si="8"/>
        <v>5.1994972269692425</v>
      </c>
      <c r="BR10" s="294" t="str">
        <f t="shared" si="2"/>
        <v/>
      </c>
      <c r="BS10" s="294">
        <f t="shared" si="16"/>
        <v>50</v>
      </c>
      <c r="BT10" s="514">
        <f t="shared" si="9"/>
        <v>5.1994972269692425</v>
      </c>
      <c r="BV10" s="294" t="e">
        <f t="shared" si="3"/>
        <v>#VALUE!</v>
      </c>
      <c r="BW10" s="294">
        <f t="shared" si="17"/>
        <v>50</v>
      </c>
      <c r="BX10" s="514">
        <f t="shared" si="10"/>
        <v>5.1994972269692425</v>
      </c>
      <c r="BZ10" s="294" t="str">
        <f t="shared" si="4"/>
        <v/>
      </c>
      <c r="CA10" s="294">
        <f t="shared" si="18"/>
        <v>50</v>
      </c>
      <c r="CB10" s="514">
        <f t="shared" si="11"/>
        <v>5.1994972269692425</v>
      </c>
      <c r="CD10" s="294" t="str">
        <f t="shared" si="5"/>
        <v/>
      </c>
      <c r="CE10" s="294">
        <f t="shared" si="19"/>
        <v>50</v>
      </c>
      <c r="CF10" s="514">
        <f t="shared" si="12"/>
        <v>5.1994972269692425</v>
      </c>
      <c r="CG10" s="293"/>
      <c r="CH10" s="294" t="str">
        <f t="shared" si="6"/>
        <v/>
      </c>
      <c r="CI10" s="294">
        <f t="shared" si="20"/>
        <v>50</v>
      </c>
      <c r="CJ10" s="514">
        <f t="shared" si="13"/>
        <v>5.1994972269692425</v>
      </c>
      <c r="CL10" s="516">
        <f>D10</f>
        <v>35</v>
      </c>
      <c r="CM10" s="516">
        <f>E10</f>
        <v>0</v>
      </c>
      <c r="CN10" s="503">
        <f>F10</f>
        <v>60</v>
      </c>
      <c r="CO10" s="517">
        <f>273.15+CM10</f>
        <v>273.14999999999998</v>
      </c>
      <c r="CP10" s="517">
        <f>-5800.2206/CO10+1.3914993-0.048640239*CO10</f>
        <v>-33.129143945141777</v>
      </c>
      <c r="CQ10" s="517">
        <f>0.000041764768*POWER(CO10,2)-0.000000014452093*POWER(CO10,3)+6.5459673*LN(CO10)</f>
        <v>39.544589235539483</v>
      </c>
      <c r="CR10" s="517">
        <f>EXP(CP10+CQ10)/1000</f>
        <v>0.61121286745119141</v>
      </c>
      <c r="CS10" s="517">
        <f>0.62198*(CR10/($F$3-CR10))</f>
        <v>3.7746786226692361E-3</v>
      </c>
      <c r="CT10" s="517">
        <f>273.15+CL10</f>
        <v>308.14999999999998</v>
      </c>
      <c r="CU10" s="517">
        <f>-5800.2206/CT10+1.3914993-0.048640239*CT10</f>
        <v>-32.419708504591846</v>
      </c>
      <c r="CV10" s="517">
        <f>0.000041764768*POWER(CT10,2)-0.000000014452093*POWER(CT10,3)+6.5459673*LN(CT10)</f>
        <v>41.055185841028681</v>
      </c>
      <c r="CW10" s="517">
        <f>EXP(CU10+CV10)/1000</f>
        <v>5.62781944654024</v>
      </c>
      <c r="CX10" s="517">
        <f>0.62198*(CW10/($F$3-CW10))</f>
        <v>3.6577787549379875E-2</v>
      </c>
      <c r="CY10" s="517">
        <f>DE10/CX10</f>
        <v>-0.27251332822207597</v>
      </c>
      <c r="CZ10" s="517">
        <f>$F$3*DE10/(0.62198+DE10)</f>
        <v>-1.6502958567731563</v>
      </c>
      <c r="DA10" s="517">
        <f>(0.2871*(CL10+273.15)*(1+1.6078*DE10))/$F$3</f>
        <v>0.85913651664335366</v>
      </c>
      <c r="DB10" s="521">
        <f>IF(CL10+CM10&lt;&gt;0,CY10/(1-(1-CY10)*(CW10/$F$3))*100,0)</f>
        <v>-29.32389484861126</v>
      </c>
      <c r="DC10" s="164">
        <f>IF(CL10+CM10&lt;&gt;0,1.006*CL10+DE10*(2501+1.805*CL10),0)</f>
        <v>9.6504712352957611</v>
      </c>
      <c r="DD10" s="164" t="e">
        <f>IF(CL10+CM10&lt;&gt;0,(6.54+14.526*LN(CZ10)+0.7389*POWER(LN(CZ10),2)+0.09486*POWER(LN(CZ10),3)+0.4569*POWER(CZ10,0.1984)),0)</f>
        <v>#NUM!</v>
      </c>
      <c r="DE10" s="164">
        <f>IF(CL10+CM10&lt;&gt;0,(((2501-2.381*CM10)*CS10-(CL10-CM10))/(2501+1.805*CL10-4.186*CM10)),0)</f>
        <v>-9.967934624081522E-3</v>
      </c>
      <c r="DF10" s="164">
        <f>IF(CL10+CM10&lt;&gt;0,1/DA10,0)</f>
        <v>1.1639593715641374</v>
      </c>
      <c r="DG10" s="506" t="str">
        <f>IF(COUNTA(F10)=1,"-",DB10)</f>
        <v>-</v>
      </c>
      <c r="DH10" s="518">
        <f>IF($CN10=0,DC10,DC11)</f>
        <v>90.191748654622586</v>
      </c>
      <c r="DI10" s="518">
        <f>IF($CN10=0,DD10,DD11)</f>
        <v>26.063434345446495</v>
      </c>
      <c r="DJ10" s="519">
        <f>IF($CN10=0,DE10,DE11)</f>
        <v>2.1442276230999282E-2</v>
      </c>
      <c r="DK10" s="518">
        <f>IF($CN10=0,DF10,DF11)</f>
        <v>1.1071368184380845</v>
      </c>
      <c r="DL10" s="518">
        <f>IF(CN10&gt;0,'Coil Support'!W32,"-")</f>
        <v>28.165000061686133</v>
      </c>
      <c r="DN10" s="761">
        <v>32</v>
      </c>
      <c r="DO10" s="1182">
        <v>42.5</v>
      </c>
      <c r="DP10" s="1182">
        <f t="shared" si="21"/>
        <v>36.1</v>
      </c>
      <c r="DQ10" s="1182">
        <v>3.2</v>
      </c>
      <c r="DR10" s="1183">
        <f t="shared" si="22"/>
        <v>0.95347959590942388</v>
      </c>
      <c r="DS10" s="1184">
        <f t="shared" si="23"/>
        <v>0.93155203429223377</v>
      </c>
      <c r="DT10" s="1185">
        <f>ROUND(6.819*(DS10/DP2)^1.852/(DP10/1000)^1.167*1000*9.81,0)</f>
        <v>300</v>
      </c>
      <c r="DU10" s="508"/>
      <c r="DV10" s="508"/>
      <c r="DW10" s="398">
        <f>(IF(DU10=0,DW5,DU10)/1000/9.81*(DP10/1000)^1.167/6.819)^(1/1.852)*DP2</f>
        <v>0.93155203429223377</v>
      </c>
      <c r="DX10" s="398">
        <f>6.819*(IF(DV10=0,DX5,DV10)/DP2)^1.852/(DP10/1000)^1.167*1000*9.81</f>
        <v>1866.9580826545944</v>
      </c>
      <c r="DY10" s="398">
        <f>IF(DX10&lt;=DW5,IF(DW10&lt;=IF(DV10=0,DX5,DV10),DW10,(DX10/1000/9.81*(DP10/1000)^1.167/6.819)^(1/1.852)*DP2),IF(DW10&lt;=IF(DV10=0,DX5,DV10),DW10,"Check"))</f>
        <v>0.93155203429223377</v>
      </c>
      <c r="EA10" s="1647">
        <f>$W$20</f>
        <v>24.000633322175549</v>
      </c>
      <c r="EB10" s="1671">
        <v>1</v>
      </c>
      <c r="EC10" s="1644">
        <f t="shared" ref="EC10:EC73" si="24">273.15+EA10</f>
        <v>297.15063332217551</v>
      </c>
      <c r="ED10" s="1644">
        <f t="shared" ref="ED10:ED73" si="25">-5800.2206/EC10+1.3914993-0.048640239*EC10</f>
        <v>-32.581440875774611</v>
      </c>
      <c r="EE10" s="1644">
        <f t="shared" ref="EE10:EE73" si="26">0.000041764768*POWER(EC10,2)-0.000000014452093*POWER(EC10,3)+6.5459673*LN(EC10)</f>
        <v>40.582876513413943</v>
      </c>
      <c r="EF10" s="1644">
        <f t="shared" ref="EF10:EF73" si="27">EXP(ED10+EE10)/1000</f>
        <v>2.9852406359596202</v>
      </c>
      <c r="EG10" s="1644">
        <f t="shared" ref="EG10:EG73" si="28">EB10/100*EF10</f>
        <v>2.9852406359596202E-2</v>
      </c>
      <c r="EH10" s="1644">
        <f>0.62198*(EF10/($F$3-EF10))</f>
        <v>1.8881070919450717E-2</v>
      </c>
      <c r="EI10" s="1644">
        <f t="shared" ref="EI10:EI41" si="29">EM10/EH10</f>
        <v>9.7082399009421495E-3</v>
      </c>
      <c r="EJ10" s="505">
        <f t="shared" ref="EJ10:EJ41" si="30">IF(EA10+EB10&gt;0,EB10,0)</f>
        <v>1</v>
      </c>
      <c r="EK10" s="1648">
        <f t="shared" ref="EK10:EK41" si="31">IF(EA10+EB10&gt;0,(1.006*EA10+EM10*(2501+1.805*EA10)),0)</f>
        <v>24.611016189967774</v>
      </c>
      <c r="EL10" s="521">
        <f t="shared" ref="EL10:EL41" si="32">IF(EA10+EB10&gt;0,(6.54+14.526*LN(EG10)+0.7389*POWER(LN(EG10),2)+0.09486*POWER(LN(EG10),3)+0.4569*POWER(EG10,0.1984)),0)</f>
        <v>-39.236514285051655</v>
      </c>
      <c r="EM10" s="522">
        <f t="shared" ref="EM10:EM41" si="33">IF(EA10+EB10&gt;0,0.62198*(EG10/($F$3-EG10)),0)</f>
        <v>1.8330196607272992E-4</v>
      </c>
    </row>
    <row r="11" spans="2:143" ht="12.75" customHeight="1">
      <c r="B11" s="2025"/>
      <c r="C11" s="315" t="s">
        <v>1103</v>
      </c>
      <c r="D11" s="1393">
        <v>20</v>
      </c>
      <c r="E11" s="1393"/>
      <c r="F11" s="1394"/>
      <c r="G11" s="386" t="str">
        <f>IF(COUNTA(D11,E11,F11)=2,DL13,"-")</f>
        <v>-</v>
      </c>
      <c r="H11" s="327" t="str">
        <f>IF(COUNTA(D11,E11,F11)=2,DJ13,"-")</f>
        <v>-</v>
      </c>
      <c r="I11" s="385" t="str">
        <f>IF(COUNTA(D11,E11,F11)=2,DH13,"-")</f>
        <v>-</v>
      </c>
      <c r="J11" s="386" t="str">
        <f>IF(COUNTA(D11,E11,F11)=2,DI13,"-")</f>
        <v>-</v>
      </c>
      <c r="K11" s="507" t="str">
        <f>IF(COUNTA(D11,E11,F11)=2,DG13,"-")</f>
        <v>-</v>
      </c>
      <c r="M11" s="708" t="s">
        <v>1112</v>
      </c>
      <c r="N11" s="298" t="s">
        <v>1129</v>
      </c>
      <c r="O11" s="298" t="s">
        <v>1114</v>
      </c>
      <c r="P11" s="298" t="s">
        <v>1130</v>
      </c>
      <c r="Q11" s="298" t="s">
        <v>133</v>
      </c>
      <c r="R11" s="336" t="s">
        <v>1116</v>
      </c>
      <c r="S11" s="316" t="s">
        <v>1131</v>
      </c>
      <c r="U11" s="705"/>
      <c r="V11" s="324" t="s">
        <v>5</v>
      </c>
      <c r="W11" s="325">
        <f>IF(D8*D10*C31=0,"n/a",W10*X10*(Z10-AA10))</f>
        <v>223.98710399999999</v>
      </c>
      <c r="X11" s="318" t="s">
        <v>6</v>
      </c>
      <c r="Y11" s="318"/>
      <c r="Z11" s="314"/>
      <c r="AA11" s="314"/>
      <c r="AB11" s="296"/>
      <c r="AD11" s="700"/>
      <c r="AE11" s="311" t="s">
        <v>1122</v>
      </c>
      <c r="AF11" s="370" t="e">
        <f>IF(OR(AJ10="n/a",AF7="n/a"),"n/a",(AF10*AG10+AI10*AJ10)/AD10)</f>
        <v>#VALUE!</v>
      </c>
      <c r="AG11" s="313" t="s">
        <v>1123</v>
      </c>
      <c r="AH11" s="1440" t="s">
        <v>1986</v>
      </c>
      <c r="AI11" s="314"/>
      <c r="AJ11" s="296"/>
      <c r="AL11" s="697" t="s">
        <v>1167</v>
      </c>
      <c r="AM11" s="297" t="s">
        <v>5</v>
      </c>
      <c r="AN11" s="297" t="s">
        <v>1160</v>
      </c>
      <c r="AO11" s="297" t="s">
        <v>1159</v>
      </c>
      <c r="AP11" s="297"/>
      <c r="AQ11" s="297"/>
      <c r="AR11" s="300"/>
      <c r="AT11" s="697"/>
      <c r="AU11" s="297" t="s">
        <v>5</v>
      </c>
      <c r="AV11" s="304">
        <f>IF(C32&gt;0,C32,"n/a")</f>
        <v>2.4860000000000002</v>
      </c>
      <c r="AW11" s="307">
        <f>1.02*F4</f>
        <v>1.224</v>
      </c>
      <c r="AX11" s="297" t="s">
        <v>1108</v>
      </c>
      <c r="AY11" s="371">
        <f>IF(D8*C32=0,"n/a",D8)</f>
        <v>35</v>
      </c>
      <c r="AZ11" s="704">
        <f>IF(D22*C32=0,"n/a",D22)</f>
        <v>13</v>
      </c>
      <c r="BB11" s="697" t="s">
        <v>1167</v>
      </c>
      <c r="BC11" s="297" t="s">
        <v>5</v>
      </c>
      <c r="BD11" s="297" t="s">
        <v>1160</v>
      </c>
      <c r="BE11" s="297" t="s">
        <v>1159</v>
      </c>
      <c r="BF11" s="297"/>
      <c r="BG11" s="297"/>
      <c r="BH11" s="300"/>
      <c r="BJ11" s="294" t="e">
        <f t="shared" si="0"/>
        <v>#VALUE!</v>
      </c>
      <c r="BK11" s="294">
        <f t="shared" si="14"/>
        <v>65</v>
      </c>
      <c r="BL11" s="514">
        <f t="shared" si="7"/>
        <v>7.9360553021882252</v>
      </c>
      <c r="BN11" s="294" t="str">
        <f t="shared" si="1"/>
        <v/>
      </c>
      <c r="BO11" s="294">
        <f t="shared" si="15"/>
        <v>65</v>
      </c>
      <c r="BP11" s="514">
        <f t="shared" si="8"/>
        <v>7.9360553021882252</v>
      </c>
      <c r="BR11" s="294" t="str">
        <f t="shared" si="2"/>
        <v/>
      </c>
      <c r="BS11" s="294">
        <f t="shared" si="16"/>
        <v>65</v>
      </c>
      <c r="BT11" s="514">
        <f t="shared" si="9"/>
        <v>7.9360553021882252</v>
      </c>
      <c r="BV11" s="294" t="e">
        <f t="shared" si="3"/>
        <v>#VALUE!</v>
      </c>
      <c r="BW11" s="294">
        <f t="shared" si="17"/>
        <v>65</v>
      </c>
      <c r="BX11" s="514">
        <f t="shared" si="10"/>
        <v>7.9360553021882252</v>
      </c>
      <c r="BZ11" s="294" t="str">
        <f t="shared" si="4"/>
        <v/>
      </c>
      <c r="CA11" s="294">
        <f t="shared" si="18"/>
        <v>65</v>
      </c>
      <c r="CB11" s="514">
        <f t="shared" si="11"/>
        <v>7.9360553021882252</v>
      </c>
      <c r="CD11" s="294" t="str">
        <f t="shared" si="5"/>
        <v/>
      </c>
      <c r="CE11" s="294">
        <f t="shared" si="19"/>
        <v>65</v>
      </c>
      <c r="CF11" s="514">
        <f t="shared" si="12"/>
        <v>7.9360553021882252</v>
      </c>
      <c r="CG11" s="293"/>
      <c r="CH11" s="294" t="str">
        <f t="shared" si="6"/>
        <v/>
      </c>
      <c r="CI11" s="294">
        <f t="shared" si="20"/>
        <v>65</v>
      </c>
      <c r="CJ11" s="514">
        <f t="shared" si="13"/>
        <v>7.9360553021882252</v>
      </c>
      <c r="CO11" s="517">
        <f>273.15+CL10</f>
        <v>308.14999999999998</v>
      </c>
      <c r="CP11" s="517">
        <f>-5800.2206/CO11+1.3914993-0.048640239*CO11</f>
        <v>-32.419708504591846</v>
      </c>
      <c r="CQ11" s="517">
        <f>0.000041764768*POWER(CO11,2)-0.000000014452093*POWER(CO11,3)+6.5459673*LN(CO11)</f>
        <v>41.055185841028681</v>
      </c>
      <c r="CR11" s="517">
        <f>EXP(CP11+CQ11)/1000</f>
        <v>5.62781944654024</v>
      </c>
      <c r="CS11" s="517">
        <f>CN10/100*CR11</f>
        <v>3.3766916679241441</v>
      </c>
      <c r="CT11" s="517">
        <f>0.62198*(CR11/($F$3-CR11))</f>
        <v>3.6577787549379875E-2</v>
      </c>
      <c r="CU11" s="517">
        <f>DE11/CT11</f>
        <v>0.58621031143702418</v>
      </c>
      <c r="CV11" s="517">
        <f>0.2871*(CL10+273.15)*(1+1.6078*DE11)/$F$3</f>
        <v>0.90323073295563416</v>
      </c>
      <c r="CW11" s="504"/>
      <c r="CX11" s="504"/>
      <c r="CY11" s="504"/>
      <c r="CZ11" s="504"/>
      <c r="DA11" s="504"/>
      <c r="DB11" s="1625">
        <f>IF(CL10+CN10&gt;0,CN10,0)</f>
        <v>60</v>
      </c>
      <c r="DC11" s="520">
        <f>IF(CL10+CN10&gt;0,(1.006*CL10+DE11*(2501+1.805*CL10)),0)</f>
        <v>90.191748654622586</v>
      </c>
      <c r="DD11" s="521">
        <f>IF(CL10+CN10&gt;0,(6.54+14.526*LN(CS11)+0.7389*POWER(LN(CS11),2)+0.09486*POWER(LN(CS11),3)+0.4569*POWER(CS11,0.1984)),0)</f>
        <v>26.063434345446495</v>
      </c>
      <c r="DE11" s="522">
        <f>IF(CL10+CN10&gt;0,0.62198*(CS11/($F$3-CS11)),0)</f>
        <v>2.1442276230999282E-2</v>
      </c>
      <c r="DF11" s="521">
        <f>IF(CL10+CN10&gt;0,1/CV11,0)</f>
        <v>1.1071368184380845</v>
      </c>
      <c r="DN11" s="513">
        <v>40</v>
      </c>
      <c r="DO11" s="417">
        <v>48.4</v>
      </c>
      <c r="DP11" s="417">
        <f t="shared" si="21"/>
        <v>42</v>
      </c>
      <c r="DQ11" s="417">
        <v>3.2</v>
      </c>
      <c r="DR11" s="1186">
        <f t="shared" si="22"/>
        <v>1.4197818368377952</v>
      </c>
      <c r="DS11" s="1180">
        <f t="shared" si="23"/>
        <v>1.0247859294549928</v>
      </c>
      <c r="DT11" s="1181">
        <f>ROUND(6.819*(DS11/DP2)^1.852/(DP11/1000)^1.167*1000*9.81,0)</f>
        <v>300</v>
      </c>
      <c r="DU11" s="403"/>
      <c r="DV11" s="403"/>
      <c r="DW11" s="398">
        <f>(IF(DU11=0,DW5,DU11)/1000/9.81*(DP11/1000)^1.167/6.819)^(1/1.852)*DP2</f>
        <v>1.0247859294549928</v>
      </c>
      <c r="DX11" s="398">
        <f>6.819*(IF(DV11=0,DX5,DV11)/DP2)^1.852/(DP11/1000)^1.167*1000*9.81</f>
        <v>1564.6368336849289</v>
      </c>
      <c r="DY11" s="398">
        <f>IF(DX11&lt;=DW5,IF(DW11&lt;=IF(DV11=0,DX5,DV11),DW11,(DX11/1000/9.81*(DP11/1000)^1.167/6.819)^(1/1.852)*DP2),IF(DW11&lt;=IF(DV11=0,DX5,DV11),DW11,"Check"))</f>
        <v>1.0247859294549928</v>
      </c>
      <c r="EA11" s="1647">
        <f t="shared" ref="EA11:EA74" si="34">$W$20</f>
        <v>24.000633322175549</v>
      </c>
      <c r="EB11" s="1671">
        <v>2</v>
      </c>
      <c r="EC11" s="1644">
        <f t="shared" si="24"/>
        <v>297.15063332217551</v>
      </c>
      <c r="ED11" s="1644">
        <f t="shared" si="25"/>
        <v>-32.581440875774611</v>
      </c>
      <c r="EE11" s="1644">
        <f t="shared" si="26"/>
        <v>40.582876513413943</v>
      </c>
      <c r="EF11" s="1644">
        <f t="shared" si="27"/>
        <v>2.9852406359596202</v>
      </c>
      <c r="EG11" s="1644">
        <f t="shared" si="28"/>
        <v>5.9704812719192403E-2</v>
      </c>
      <c r="EH11" s="1644">
        <f t="shared" ref="EH11:EH74" si="35">0.62198*(EF11/($F$3-EF11))</f>
        <v>1.8881070919450717E-2</v>
      </c>
      <c r="EI11" s="1644">
        <f t="shared" si="29"/>
        <v>1.942220366457632E-2</v>
      </c>
      <c r="EJ11" s="505">
        <f t="shared" si="30"/>
        <v>2</v>
      </c>
      <c r="EK11" s="1648">
        <f t="shared" si="31"/>
        <v>25.077670229374224</v>
      </c>
      <c r="EL11" s="521">
        <f t="shared" si="32"/>
        <v>-30.392476599842183</v>
      </c>
      <c r="EM11" s="522">
        <f t="shared" si="33"/>
        <v>3.6671200480288107E-4</v>
      </c>
    </row>
    <row r="12" spans="2:143" ht="12.75" customHeight="1">
      <c r="B12" s="293"/>
      <c r="M12" s="698">
        <f>IF(AND(C31=0,C32=0),"n/a",C31)</f>
        <v>8.3179999999999996</v>
      </c>
      <c r="N12" s="297" t="s">
        <v>1129</v>
      </c>
      <c r="O12" s="304" t="str">
        <f>IF(AND(C31=0,C32=0),"n/a",C35)</f>
        <v>n/a</v>
      </c>
      <c r="P12" s="348">
        <f>IF(H10&gt;0,H10,"n/a")</f>
        <v>2.1442276230999282E-2</v>
      </c>
      <c r="Q12" s="306" t="s">
        <v>133</v>
      </c>
      <c r="R12" s="304">
        <f>IF(COUNTA(C31,C32)&lt;2,"n/a",C32)</f>
        <v>2.4860000000000002</v>
      </c>
      <c r="S12" s="702">
        <f>IF(H8&gt;0,H8,"n/a")</f>
        <v>2.1131965752076085E-2</v>
      </c>
      <c r="U12" s="1847" t="s">
        <v>1973</v>
      </c>
      <c r="V12" s="1848"/>
      <c r="W12" s="1848"/>
      <c r="X12" s="1848"/>
      <c r="Y12" s="1848"/>
      <c r="Z12" s="1848"/>
      <c r="AA12" s="1848"/>
      <c r="AB12" s="1849"/>
      <c r="AD12" s="708" t="s">
        <v>1112</v>
      </c>
      <c r="AE12" s="298" t="s">
        <v>1129</v>
      </c>
      <c r="AF12" s="298" t="s">
        <v>1114</v>
      </c>
      <c r="AG12" s="298" t="s">
        <v>1130</v>
      </c>
      <c r="AH12" s="297" t="s">
        <v>133</v>
      </c>
      <c r="AI12" s="299" t="s">
        <v>1116</v>
      </c>
      <c r="AJ12" s="316" t="str">
        <f>IF(C20=FALSE,"wo","wpre")</f>
        <v>wo</v>
      </c>
      <c r="AL12" s="717"/>
      <c r="AM12" s="297" t="s">
        <v>5</v>
      </c>
      <c r="AN12" s="352" t="str">
        <f>IF(D20=TRUE,IF(AF29="n/a","n/a/",ABS(-AF29)),"n/a /")</f>
        <v>n/a /</v>
      </c>
      <c r="AO12" s="305" t="str">
        <f>IF(OR(C42=0,D20=FALSE),"n/a",CG56)</f>
        <v>n/a</v>
      </c>
      <c r="AP12" s="297"/>
      <c r="AQ12" s="344"/>
      <c r="AR12" s="707"/>
      <c r="AT12" s="705"/>
      <c r="AU12" s="324" t="s">
        <v>5</v>
      </c>
      <c r="AV12" s="325">
        <f>IF(OR(I8="-",C32=0),"n/a",AV11*AW11*(AY11-AZ11))</f>
        <v>66.943008000000006</v>
      </c>
      <c r="AW12" s="318" t="s">
        <v>6</v>
      </c>
      <c r="AX12" s="318"/>
      <c r="AY12" s="2054">
        <f>IF(AV8="n/a","n/a",AV12/AV8)</f>
        <v>0.41591032742366085</v>
      </c>
      <c r="AZ12" s="2055"/>
      <c r="BB12" s="717"/>
      <c r="BC12" s="297" t="s">
        <v>5</v>
      </c>
      <c r="BD12" s="352" t="str">
        <f>IF(D20=TRUE,IF(AV34="n/a","n/a /",ABS(AV34)),"n/a /")</f>
        <v>n/a /</v>
      </c>
      <c r="BE12" s="305" t="str">
        <f>IF(OR(C42=0,D20=FALSE),"n/a",CG56)</f>
        <v>n/a</v>
      </c>
      <c r="BF12" s="297"/>
      <c r="BG12" s="344"/>
      <c r="BH12" s="707"/>
      <c r="BJ12" s="294" t="e">
        <f t="shared" si="0"/>
        <v>#VALUE!</v>
      </c>
      <c r="BK12" s="294">
        <f t="shared" si="14"/>
        <v>80</v>
      </c>
      <c r="BL12" s="514">
        <f t="shared" si="7"/>
        <v>15.846842730490339</v>
      </c>
      <c r="BN12" s="294" t="str">
        <f t="shared" si="1"/>
        <v/>
      </c>
      <c r="BO12" s="294">
        <f t="shared" si="15"/>
        <v>80</v>
      </c>
      <c r="BP12" s="514">
        <f t="shared" si="8"/>
        <v>15.846842730490339</v>
      </c>
      <c r="BR12" s="294" t="str">
        <f t="shared" si="2"/>
        <v/>
      </c>
      <c r="BS12" s="294">
        <f t="shared" si="16"/>
        <v>80</v>
      </c>
      <c r="BT12" s="514">
        <f t="shared" si="9"/>
        <v>15.846842730490339</v>
      </c>
      <c r="BV12" s="294" t="e">
        <f t="shared" si="3"/>
        <v>#VALUE!</v>
      </c>
      <c r="BW12" s="294">
        <f t="shared" si="17"/>
        <v>80</v>
      </c>
      <c r="BX12" s="514">
        <f t="shared" si="10"/>
        <v>15.846842730490339</v>
      </c>
      <c r="BZ12" s="294" t="str">
        <f t="shared" si="4"/>
        <v/>
      </c>
      <c r="CA12" s="294">
        <f t="shared" si="18"/>
        <v>80</v>
      </c>
      <c r="CB12" s="514">
        <f t="shared" si="11"/>
        <v>15.846842730490339</v>
      </c>
      <c r="CD12" s="294" t="str">
        <f t="shared" si="5"/>
        <v/>
      </c>
      <c r="CE12" s="294">
        <f t="shared" si="19"/>
        <v>80</v>
      </c>
      <c r="CF12" s="514">
        <f t="shared" si="12"/>
        <v>15.846842730490339</v>
      </c>
      <c r="CG12" s="293"/>
      <c r="CH12" s="294" t="str">
        <f t="shared" si="6"/>
        <v/>
      </c>
      <c r="CI12" s="294">
        <f t="shared" si="20"/>
        <v>80</v>
      </c>
      <c r="CJ12" s="514">
        <f t="shared" si="13"/>
        <v>15.846842730490339</v>
      </c>
      <c r="DB12" s="1625"/>
      <c r="DN12" s="761">
        <v>50</v>
      </c>
      <c r="DO12" s="1182">
        <v>60.3</v>
      </c>
      <c r="DP12" s="1182">
        <f t="shared" si="21"/>
        <v>53.099999999999994</v>
      </c>
      <c r="DQ12" s="1182">
        <v>3.6</v>
      </c>
      <c r="DR12" s="1183">
        <f t="shared" si="22"/>
        <v>2.63079962184373</v>
      </c>
      <c r="DS12" s="1184">
        <f t="shared" si="23"/>
        <v>1.1879792286187627</v>
      </c>
      <c r="DT12" s="1185">
        <f>ROUND(6.819*(DS12/DP2)^1.852/(DP12/1000)^1.167*1000*9.81,0)</f>
        <v>300</v>
      </c>
      <c r="DU12" s="403"/>
      <c r="DV12" s="403"/>
      <c r="DW12" s="398">
        <f>(IF(DU12=0,DW5,DU12)/1000/9.81*(DP12/1000)^1.167/6.819)^(1/1.852)*DP2</f>
        <v>1.1879792286187627</v>
      </c>
      <c r="DX12" s="398">
        <f>6.819*(IF(DV12=0,DX5,DV12)/DP2)^1.852/(DP12/1000)^1.167*1000*9.81</f>
        <v>1190.0361813787081</v>
      </c>
      <c r="DY12" s="398">
        <f>IF(DX12&lt;=DW5,IF(DW12&lt;=IF(DV12=0,DX5,DV12),DW12,(DX12/1000/9.81*(DP12/1000)^1.167/6.819)^(1/1.852)*DP2),IF(DW12&lt;=IF(DV12=0,DX5,DV12),DW12,"Check"))</f>
        <v>1.1879792286187627</v>
      </c>
      <c r="EA12" s="1647">
        <f t="shared" si="34"/>
        <v>24.000633322175549</v>
      </c>
      <c r="EB12" s="1671">
        <v>3</v>
      </c>
      <c r="EC12" s="1644">
        <f t="shared" si="24"/>
        <v>297.15063332217551</v>
      </c>
      <c r="ED12" s="1644">
        <f t="shared" si="25"/>
        <v>-32.581440875774611</v>
      </c>
      <c r="EE12" s="1644">
        <f t="shared" si="26"/>
        <v>40.582876513413943</v>
      </c>
      <c r="EF12" s="1644">
        <f t="shared" si="27"/>
        <v>2.9852406359596202</v>
      </c>
      <c r="EG12" s="1644">
        <f t="shared" si="28"/>
        <v>8.9557219078788608E-2</v>
      </c>
      <c r="EH12" s="1644">
        <f t="shared" si="35"/>
        <v>1.8881070919450717E-2</v>
      </c>
      <c r="EI12" s="1644">
        <f t="shared" si="29"/>
        <v>2.9141896354477188E-2</v>
      </c>
      <c r="EJ12" s="505">
        <f t="shared" si="30"/>
        <v>3</v>
      </c>
      <c r="EK12" s="1648">
        <f t="shared" si="31"/>
        <v>25.544599483579578</v>
      </c>
      <c r="EL12" s="521">
        <f t="shared" si="32"/>
        <v>-25.257080597666391</v>
      </c>
      <c r="EM12" s="522">
        <f t="shared" si="33"/>
        <v>5.5023021179616608E-4</v>
      </c>
    </row>
    <row r="13" spans="2:143" ht="12.75" customHeight="1">
      <c r="B13" s="1847" t="s">
        <v>1096</v>
      </c>
      <c r="C13" s="1848"/>
      <c r="D13" s="1848"/>
      <c r="E13" s="2016"/>
      <c r="F13" s="1849"/>
      <c r="M13" s="700"/>
      <c r="N13" s="311" t="s">
        <v>1133</v>
      </c>
      <c r="O13" s="703" t="e">
        <f>IF(COUNTA(D8,D10,C31,C32)&lt;4,"n/a",(O12*P12+R12*S12)/M12)</f>
        <v>#VALUE!</v>
      </c>
      <c r="P13" s="2053" t="s">
        <v>236</v>
      </c>
      <c r="Q13" s="2053"/>
      <c r="R13" s="2053"/>
      <c r="S13" s="296"/>
      <c r="U13" s="697" t="s">
        <v>1726</v>
      </c>
      <c r="V13" s="298" t="s">
        <v>5</v>
      </c>
      <c r="W13" s="298" t="s">
        <v>1112</v>
      </c>
      <c r="X13" s="298" t="s">
        <v>1097</v>
      </c>
      <c r="Y13" s="298" t="s">
        <v>1108</v>
      </c>
      <c r="Z13" s="298" t="s">
        <v>1157</v>
      </c>
      <c r="AA13" s="298" t="str">
        <f>IF(B20=FALSE,"ws1)",IF(B20=TRUE,"ws2)","n/a )"))</f>
        <v>ws1)</v>
      </c>
      <c r="AB13" s="316" t="s">
        <v>1188</v>
      </c>
      <c r="AD13" s="698">
        <f>IF(AND(C31=0,C32=0),"n/a",C31)</f>
        <v>8.3179999999999996</v>
      </c>
      <c r="AE13" s="297" t="s">
        <v>1129</v>
      </c>
      <c r="AF13" s="304" t="str">
        <f>IF(AND(C31=0,C32=0),"n/a",C35)</f>
        <v>n/a</v>
      </c>
      <c r="AG13" s="509" t="str">
        <f>IF(H11&gt;0,H11,"n/a")</f>
        <v>-</v>
      </c>
      <c r="AH13" s="305" t="s">
        <v>133</v>
      </c>
      <c r="AI13" s="304">
        <f>IF(AND(C31=0,C32=0),"n/a",C32)</f>
        <v>2.4860000000000002</v>
      </c>
      <c r="AJ13" s="702">
        <f>IF(H9="-","n/a",H9)</f>
        <v>2.4699676060335892E-3</v>
      </c>
      <c r="AL13" s="717"/>
      <c r="AM13" s="340" t="s">
        <v>5</v>
      </c>
      <c r="AN13" s="349" t="e">
        <f>IF(OR(AN12="n/a /",AF29="n/a",AO12="n/a"),"n/a",AN12/AO12)</f>
        <v>#VALUE!</v>
      </c>
      <c r="AO13" s="340" t="s">
        <v>139</v>
      </c>
      <c r="AP13" s="340"/>
      <c r="AR13" s="295"/>
      <c r="AT13" s="292"/>
      <c r="AV13" s="294"/>
      <c r="AW13" s="294"/>
      <c r="AX13" s="294"/>
      <c r="AY13" s="294"/>
      <c r="AZ13" s="294"/>
      <c r="BB13" s="717"/>
      <c r="BC13" s="340" t="s">
        <v>5</v>
      </c>
      <c r="BD13" s="349" t="str">
        <f>IF(OR(BD12="n/a /",AV34="n/a",BE12="n/a"),"n/a",BD12/BE12)</f>
        <v>n/a</v>
      </c>
      <c r="BE13" s="340" t="s">
        <v>139</v>
      </c>
      <c r="BF13" s="340"/>
      <c r="BH13" s="295"/>
      <c r="BJ13" s="294" t="e">
        <f t="shared" si="0"/>
        <v>#VALUE!</v>
      </c>
      <c r="BK13" s="294">
        <f t="shared" si="14"/>
        <v>100</v>
      </c>
      <c r="BL13" s="514">
        <f t="shared" si="7"/>
        <v>27.525242248838314</v>
      </c>
      <c r="BN13" s="294" t="str">
        <f t="shared" si="1"/>
        <v/>
      </c>
      <c r="BO13" s="294">
        <f t="shared" si="15"/>
        <v>100</v>
      </c>
      <c r="BP13" s="514">
        <f t="shared" si="8"/>
        <v>27.525242248838314</v>
      </c>
      <c r="BR13" s="294" t="str">
        <f t="shared" si="2"/>
        <v/>
      </c>
      <c r="BS13" s="294">
        <f t="shared" si="16"/>
        <v>100</v>
      </c>
      <c r="BT13" s="514">
        <f t="shared" si="9"/>
        <v>27.525242248838314</v>
      </c>
      <c r="BV13" s="294" t="e">
        <f t="shared" si="3"/>
        <v>#VALUE!</v>
      </c>
      <c r="BW13" s="294">
        <f t="shared" si="17"/>
        <v>100</v>
      </c>
      <c r="BX13" s="514">
        <f t="shared" si="10"/>
        <v>27.525242248838314</v>
      </c>
      <c r="BZ13" s="294" t="str">
        <f t="shared" si="4"/>
        <v/>
      </c>
      <c r="CA13" s="294">
        <f t="shared" si="18"/>
        <v>100</v>
      </c>
      <c r="CB13" s="514">
        <f t="shared" si="11"/>
        <v>27.525242248838314</v>
      </c>
      <c r="CD13" s="294" t="str">
        <f t="shared" si="5"/>
        <v/>
      </c>
      <c r="CE13" s="294">
        <f t="shared" si="19"/>
        <v>100</v>
      </c>
      <c r="CF13" s="514">
        <f t="shared" si="12"/>
        <v>27.525242248838314</v>
      </c>
      <c r="CG13" s="293"/>
      <c r="CH13" s="294" t="str">
        <f t="shared" si="6"/>
        <v/>
      </c>
      <c r="CI13" s="294">
        <f t="shared" si="20"/>
        <v>100</v>
      </c>
      <c r="CJ13" s="514">
        <f t="shared" si="13"/>
        <v>27.525242248838314</v>
      </c>
      <c r="CL13" s="516">
        <f>D11</f>
        <v>20</v>
      </c>
      <c r="CM13" s="516">
        <f>E11</f>
        <v>0</v>
      </c>
      <c r="CN13" s="503">
        <f>F11</f>
        <v>0</v>
      </c>
      <c r="CO13" s="517">
        <f>273.15+CM13</f>
        <v>273.14999999999998</v>
      </c>
      <c r="CP13" s="517">
        <f>-5800.2206/CO13+1.3914993-0.048640239*CO13</f>
        <v>-33.129143945141777</v>
      </c>
      <c r="CQ13" s="517">
        <f>0.000041764768*POWER(CO13,2)-0.000000014452093*POWER(CO13,3)+6.5459673*LN(CO13)</f>
        <v>39.544589235539483</v>
      </c>
      <c r="CR13" s="517">
        <f>EXP(CP13+CQ13)/1000</f>
        <v>0.61121286745119141</v>
      </c>
      <c r="CS13" s="517">
        <f>0.62198*(CR13/($F$3-CR13))</f>
        <v>3.7746786226692361E-3</v>
      </c>
      <c r="CT13" s="517">
        <f>273.15+CL13</f>
        <v>293.14999999999998</v>
      </c>
      <c r="CU13" s="517">
        <f>-5800.2206/CT13+1.3914993-0.048640239*CT13</f>
        <v>-32.653232234451565</v>
      </c>
      <c r="CV13" s="517">
        <f>0.000041764768*POWER(CT13,2)-0.000000014452093*POWER(CT13,3)+6.5459673*LN(CT13)</f>
        <v>40.410627072791328</v>
      </c>
      <c r="CW13" s="517">
        <f>EXP(CU13+CV13)/1000</f>
        <v>2.3388037000739814</v>
      </c>
      <c r="CX13" s="517">
        <f>0.62198*(CW13/($F$3-CW13))</f>
        <v>1.4695878614876144E-2</v>
      </c>
      <c r="CY13" s="517">
        <f>DE13/CX13</f>
        <v>-0.28321183383756154</v>
      </c>
      <c r="CZ13" s="517">
        <f>$F$3*DE13/(0.62198+DE13)</f>
        <v>-0.6825949018270786</v>
      </c>
      <c r="DA13" s="517">
        <f>(0.2871*(CL13+273.15)*(1+1.6078*DE13))/$F$3</f>
        <v>0.82506948680238168</v>
      </c>
      <c r="DB13" s="521">
        <f>IF(CL13+CM13&lt;&gt;0,CY13/(1-(1-CY13)*(CW13/$F$3))*100,0)</f>
        <v>-29.185643147626568</v>
      </c>
      <c r="DC13" s="164">
        <f>IF(CL13+CM13&lt;&gt;0,1.006*CL13+DE13*(2501+1.805*CL13),0)</f>
        <v>9.5604712352957613</v>
      </c>
      <c r="DD13" s="164" t="e">
        <f>IF(CL13+CM13&lt;&gt;0,(6.54+14.526*LN(CZ13)+0.7389*POWER(LN(CZ13),2)+0.09486*POWER(LN(CZ13),3)+0.4569*POWER(CZ13,0.1984)),0)</f>
        <v>#NUM!</v>
      </c>
      <c r="DE13" s="164">
        <f>IF(CL13+CM13&lt;&gt;0,(((2501-2.381*CM13)*CS13-(CL13-CM13))/(2501+1.805*CL13-4.186*CM13)),0)</f>
        <v>-4.1620467323732766E-3</v>
      </c>
      <c r="DF13" s="164">
        <f>IF(CL13+CM13&lt;&gt;0,1/DA13,0)</f>
        <v>1.2120191280804415</v>
      </c>
      <c r="DG13" s="506">
        <f>IF(COUNTA(F11)=1,"-",DB13)</f>
        <v>-29.185643147626568</v>
      </c>
      <c r="DH13" s="518">
        <f>IF($CN13=0,DC13,DC14)</f>
        <v>9.5604712352957613</v>
      </c>
      <c r="DI13" s="518" t="e">
        <f>IF($CN13=0,DD13,DD14)</f>
        <v>#NUM!</v>
      </c>
      <c r="DJ13" s="519">
        <f>IF($CN13=0,DE13,DE14)</f>
        <v>-4.1620467323732766E-3</v>
      </c>
      <c r="DK13" s="518">
        <f>IF($CN13=0,DF13,DF14)</f>
        <v>1.2120191280804415</v>
      </c>
      <c r="DL13" s="518" t="str">
        <f>IF(CN13&gt;0,'Coil Support'!AH32,"-")</f>
        <v>-</v>
      </c>
      <c r="DN13" s="513">
        <v>65</v>
      </c>
      <c r="DO13" s="417">
        <v>76</v>
      </c>
      <c r="DP13" s="417">
        <f t="shared" si="21"/>
        <v>68.8</v>
      </c>
      <c r="DQ13" s="417">
        <v>3.6</v>
      </c>
      <c r="DR13" s="1186">
        <f t="shared" si="22"/>
        <v>5.1994972269692425</v>
      </c>
      <c r="DS13" s="1180">
        <f t="shared" si="23"/>
        <v>1.398603443186786</v>
      </c>
      <c r="DT13" s="1181">
        <f>ROUND(6.819*(DS13/DP2)^1.852/(DP13/1000)^1.167*1000*9.81,0)</f>
        <v>300</v>
      </c>
      <c r="DU13" s="403"/>
      <c r="DV13" s="403"/>
      <c r="DW13" s="398">
        <f>(IF(DU13=0,DW5,DU13)/1000/9.81*(DP13/1000)^1.167/6.819)^(1/1.852)*DP2</f>
        <v>1.398603443186786</v>
      </c>
      <c r="DX13" s="398">
        <f>6.819*(IF(DV13=0,DX5,DV13)/DP2)^1.852/(DP13/1000)^1.167*1000*9.81</f>
        <v>879.58894913021436</v>
      </c>
      <c r="DY13" s="398">
        <f>IF(DX13&lt;=DW5,IF(DW13&lt;=IF(DV13=0,DX5,DV13),DW13,(DX13/1000/9.81*(DP13/1000)^1.167/6.819)^(1/1.852)*DP2),IF(DW13&lt;=IF(DV13=0,DX5,DV13),DW13,"Check"))</f>
        <v>1.398603443186786</v>
      </c>
      <c r="EA13" s="1647">
        <f t="shared" si="34"/>
        <v>24.000633322175549</v>
      </c>
      <c r="EB13" s="1671">
        <v>4</v>
      </c>
      <c r="EC13" s="1644">
        <f t="shared" si="24"/>
        <v>297.15063332217551</v>
      </c>
      <c r="ED13" s="1644">
        <f t="shared" si="25"/>
        <v>-32.581440875774611</v>
      </c>
      <c r="EE13" s="1644">
        <f t="shared" si="26"/>
        <v>40.582876513413943</v>
      </c>
      <c r="EF13" s="1644">
        <f t="shared" si="27"/>
        <v>2.9852406359596202</v>
      </c>
      <c r="EG13" s="1644">
        <f t="shared" si="28"/>
        <v>0.11940962543838481</v>
      </c>
      <c r="EH13" s="1644">
        <f t="shared" si="35"/>
        <v>1.8881070919450717E-2</v>
      </c>
      <c r="EI13" s="1644">
        <f t="shared" si="29"/>
        <v>3.8867323040193809E-2</v>
      </c>
      <c r="EJ13" s="505">
        <f t="shared" si="30"/>
        <v>4</v>
      </c>
      <c r="EK13" s="1648">
        <f t="shared" si="31"/>
        <v>26.011804196122487</v>
      </c>
      <c r="EL13" s="521">
        <f t="shared" si="32"/>
        <v>-21.604166655426877</v>
      </c>
      <c r="EM13" s="522">
        <f t="shared" si="33"/>
        <v>7.3385668277110014E-4</v>
      </c>
    </row>
    <row r="14" spans="2:143" ht="14.25" customHeight="1">
      <c r="B14" s="2056" t="s">
        <v>408</v>
      </c>
      <c r="C14" s="302" t="s">
        <v>400</v>
      </c>
      <c r="D14" s="302"/>
      <c r="E14" s="1397">
        <v>112</v>
      </c>
      <c r="F14" s="320" t="s">
        <v>6</v>
      </c>
      <c r="L14" s="297"/>
      <c r="M14" s="717" t="s">
        <v>2363</v>
      </c>
      <c r="N14" s="298"/>
      <c r="O14" s="298"/>
      <c r="P14" s="298"/>
      <c r="Q14" s="298"/>
      <c r="R14" s="336"/>
      <c r="S14" s="316"/>
      <c r="T14" s="297"/>
      <c r="U14" s="697"/>
      <c r="V14" s="297" t="s">
        <v>5</v>
      </c>
      <c r="W14" s="304">
        <f>IF(AND(C31=0,C32=0),"n/a",C31)</f>
        <v>8.3179999999999996</v>
      </c>
      <c r="X14" s="322">
        <f>F4</f>
        <v>1.2</v>
      </c>
      <c r="Y14" s="297" t="s">
        <v>1108</v>
      </c>
      <c r="Z14" s="366">
        <f>IF(H10="-","n/a",H10)</f>
        <v>2.1442276230999282E-2</v>
      </c>
      <c r="AA14" s="382">
        <f>IF(B20=FALSE,IF(H22="-","n/a )",H22),IF(B20=TRUE,H23,"n/a )"))</f>
        <v>8.85895440377126E-3</v>
      </c>
      <c r="AB14" s="295" t="s">
        <v>1189</v>
      </c>
      <c r="AC14" s="297"/>
      <c r="AD14" s="700"/>
      <c r="AE14" s="311" t="s">
        <v>1133</v>
      </c>
      <c r="AF14" s="713" t="e">
        <f>IF(AF7="n/a","n/a",(AF13*AG13+AI13*AJ13)/AD13)</f>
        <v>#VALUE!</v>
      </c>
      <c r="AG14" s="2053" t="s">
        <v>1186</v>
      </c>
      <c r="AH14" s="2053"/>
      <c r="AI14" s="2053"/>
      <c r="AJ14" s="296"/>
      <c r="AK14" s="297"/>
      <c r="AL14" s="700"/>
      <c r="AM14" s="311" t="s">
        <v>5</v>
      </c>
      <c r="AN14" s="341" t="e">
        <f>IF(AN13="n/a","n/a",AN13*3600)</f>
        <v>#VALUE!</v>
      </c>
      <c r="AO14" s="311" t="s">
        <v>156</v>
      </c>
      <c r="AP14" s="311"/>
      <c r="AQ14" s="314"/>
      <c r="AR14" s="296"/>
      <c r="AS14" s="297"/>
      <c r="AT14" s="1847" t="s">
        <v>166</v>
      </c>
      <c r="AU14" s="1848"/>
      <c r="AV14" s="1848"/>
      <c r="AW14" s="1848"/>
      <c r="AX14" s="1848"/>
      <c r="AY14" s="1848"/>
      <c r="AZ14" s="1849"/>
      <c r="BB14" s="700"/>
      <c r="BC14" s="311" t="s">
        <v>5</v>
      </c>
      <c r="BD14" s="341" t="str">
        <f>IF(BD13="n/a","n/a",BD13*3600)</f>
        <v>n/a</v>
      </c>
      <c r="BE14" s="311" t="s">
        <v>156</v>
      </c>
      <c r="BF14" s="311"/>
      <c r="BG14" s="314"/>
      <c r="BH14" s="296"/>
      <c r="BJ14" s="294" t="e">
        <f t="shared" si="0"/>
        <v>#VALUE!</v>
      </c>
      <c r="BK14" s="294">
        <f t="shared" si="14"/>
        <v>125</v>
      </c>
      <c r="BL14" s="514">
        <f t="shared" si="7"/>
        <v>44.102025373274287</v>
      </c>
      <c r="BN14" s="294" t="str">
        <f t="shared" si="1"/>
        <v/>
      </c>
      <c r="BO14" s="294">
        <f t="shared" si="15"/>
        <v>125</v>
      </c>
      <c r="BP14" s="514">
        <f t="shared" si="8"/>
        <v>44.102025373274287</v>
      </c>
      <c r="BR14" s="294" t="str">
        <f t="shared" si="2"/>
        <v/>
      </c>
      <c r="BS14" s="294">
        <f t="shared" si="16"/>
        <v>125</v>
      </c>
      <c r="BT14" s="514">
        <f t="shared" si="9"/>
        <v>44.102025373274287</v>
      </c>
      <c r="BV14" s="294" t="e">
        <f t="shared" si="3"/>
        <v>#VALUE!</v>
      </c>
      <c r="BW14" s="294">
        <f t="shared" si="17"/>
        <v>125</v>
      </c>
      <c r="BX14" s="514">
        <f t="shared" si="10"/>
        <v>44.102025373274287</v>
      </c>
      <c r="BZ14" s="294" t="str">
        <f t="shared" si="4"/>
        <v/>
      </c>
      <c r="CA14" s="294">
        <f t="shared" si="18"/>
        <v>125</v>
      </c>
      <c r="CB14" s="514">
        <f t="shared" si="11"/>
        <v>44.102025373274287</v>
      </c>
      <c r="CD14" s="294" t="str">
        <f t="shared" si="5"/>
        <v/>
      </c>
      <c r="CE14" s="294">
        <f t="shared" si="19"/>
        <v>125</v>
      </c>
      <c r="CF14" s="514">
        <f t="shared" si="12"/>
        <v>44.102025373274287</v>
      </c>
      <c r="CG14" s="293"/>
      <c r="CH14" s="294" t="str">
        <f t="shared" si="6"/>
        <v/>
      </c>
      <c r="CI14" s="294">
        <f t="shared" si="20"/>
        <v>125</v>
      </c>
      <c r="CJ14" s="514">
        <f t="shared" si="13"/>
        <v>44.102025373274287</v>
      </c>
      <c r="CL14" s="516"/>
      <c r="CM14" s="516"/>
      <c r="CN14" s="503"/>
      <c r="CO14" s="517">
        <f>273.15+CL13</f>
        <v>293.14999999999998</v>
      </c>
      <c r="CP14" s="517">
        <f>-5800.2206/CO14+1.3914993-0.048640239*CO14</f>
        <v>-32.653232234451565</v>
      </c>
      <c r="CQ14" s="517">
        <f>0.000041764768*POWER(CO14,2)-0.000000014452093*POWER(CO14,3)+6.5459673*LN(CO14)</f>
        <v>40.410627072791328</v>
      </c>
      <c r="CR14" s="517">
        <f>EXP(CP14+CQ14)/1000</f>
        <v>2.3388037000739814</v>
      </c>
      <c r="CS14" s="517">
        <f>CN13/100*CR14</f>
        <v>0</v>
      </c>
      <c r="CT14" s="517">
        <f>0.62198*(CR14/($F$3-CR14))</f>
        <v>1.4695878614876144E-2</v>
      </c>
      <c r="CU14" s="517">
        <f>DE14/CT14</f>
        <v>0</v>
      </c>
      <c r="CV14" s="517">
        <f>0.2871*(CL13+273.15)*(1+1.6078*DE14)/$F$3</f>
        <v>0.83062783123612138</v>
      </c>
      <c r="CW14" s="504"/>
      <c r="CX14" s="504"/>
      <c r="CY14" s="504"/>
      <c r="CZ14" s="504"/>
      <c r="DA14" s="504"/>
      <c r="DB14" s="1625">
        <f>IF(CL13+CN13&gt;0,CN13,0)</f>
        <v>0</v>
      </c>
      <c r="DC14" s="520">
        <f>IF(CL13+CN13&gt;0,(1.006*CL13+DE14*(2501+1.805*CL13)),0)</f>
        <v>20.12</v>
      </c>
      <c r="DD14" s="521" t="e">
        <f>IF(CL13+CN13&gt;0,(6.54+14.526*LN(CS14)+0.7389*POWER(LN(CS14),2)+0.09486*POWER(LN(CS14),3)+0.4569*POWER(CS14,0.1984)),0)</f>
        <v>#NUM!</v>
      </c>
      <c r="DE14" s="522">
        <f>IF(CL13+CN13&gt;0,0.62198*(CS14/($F$3-CS14)),0)</f>
        <v>0</v>
      </c>
      <c r="DF14" s="521">
        <f>IF(CL13+CN13&gt;0,1/CV14,0)</f>
        <v>1.2039086127319172</v>
      </c>
      <c r="DN14" s="761">
        <v>80</v>
      </c>
      <c r="DO14" s="1182">
        <v>88.8</v>
      </c>
      <c r="DP14" s="1182">
        <f t="shared" si="21"/>
        <v>80.8</v>
      </c>
      <c r="DQ14" s="1182">
        <v>4</v>
      </c>
      <c r="DR14" s="1183">
        <f t="shared" si="22"/>
        <v>7.9360553021882252</v>
      </c>
      <c r="DS14" s="1184">
        <f t="shared" si="23"/>
        <v>1.5477188878466588</v>
      </c>
      <c r="DT14" s="1185">
        <f>ROUND(6.819*(DS14/DP2)^1.852/(DP14/1000)^1.167*1000*9.81,0)</f>
        <v>300</v>
      </c>
      <c r="DU14" s="403"/>
      <c r="DV14" s="403"/>
      <c r="DW14" s="398">
        <f>(IF(DU14=0,DW5,DU14)/1000/9.81*(DP14/1000)^1.167/6.819)^(1/1.852)*DP2</f>
        <v>1.5477188878466588</v>
      </c>
      <c r="DX14" s="398">
        <f>6.819*(IF(DV14=0,DX5,DV14)/DP2)^1.852/(DP14/1000)^1.167*1000*9.81</f>
        <v>729.11563925054213</v>
      </c>
      <c r="DY14" s="398">
        <f>IF(DX14&lt;=DW5,IF(DW14&lt;=IF(DV14=0,DX5,DV14),DW14,(DX14/1000/9.81*(DP14/1000)^1.167/6.819)^(1/1.852)*DP2),IF(DW14&lt;=IF(DV14=0,DX5,DV14),DW14,"Check"))</f>
        <v>1.5477188878466588</v>
      </c>
      <c r="EA14" s="1647">
        <f t="shared" si="34"/>
        <v>24.000633322175549</v>
      </c>
      <c r="EB14" s="1671">
        <v>5</v>
      </c>
      <c r="EC14" s="1644">
        <f t="shared" si="24"/>
        <v>297.15063332217551</v>
      </c>
      <c r="ED14" s="1644">
        <f t="shared" si="25"/>
        <v>-32.581440875774611</v>
      </c>
      <c r="EE14" s="1644">
        <f t="shared" si="26"/>
        <v>40.582876513413943</v>
      </c>
      <c r="EF14" s="1644">
        <f t="shared" si="27"/>
        <v>2.9852406359596202</v>
      </c>
      <c r="EG14" s="1644">
        <f t="shared" si="28"/>
        <v>0.149262031797981</v>
      </c>
      <c r="EH14" s="1644">
        <f t="shared" si="35"/>
        <v>1.8881070919450717E-2</v>
      </c>
      <c r="EI14" s="1644">
        <f t="shared" si="29"/>
        <v>4.8598488797258414E-2</v>
      </c>
      <c r="EJ14" s="505">
        <f t="shared" si="30"/>
        <v>5</v>
      </c>
      <c r="EK14" s="1648">
        <f t="shared" si="31"/>
        <v>26.479284610829016</v>
      </c>
      <c r="EL14" s="521">
        <f t="shared" si="32"/>
        <v>-18.755487587989641</v>
      </c>
      <c r="EM14" s="522">
        <f t="shared" si="33"/>
        <v>9.1759151355916735E-4</v>
      </c>
    </row>
    <row r="15" spans="2:143" ht="14.25" customHeight="1">
      <c r="B15" s="2057"/>
      <c r="C15" s="293" t="s">
        <v>1095</v>
      </c>
      <c r="E15" s="1398"/>
      <c r="F15" s="295" t="s">
        <v>6</v>
      </c>
      <c r="L15" s="317"/>
      <c r="M15" s="700"/>
      <c r="N15" s="311" t="s">
        <v>1989</v>
      </c>
      <c r="O15" s="370" t="e">
        <f>IF(COUNTA(D8,D10,C31,C32)&lt;4,"n/a",'Coil Support'!BO32)</f>
        <v>#VALUE!</v>
      </c>
      <c r="P15" s="313" t="s">
        <v>1123</v>
      </c>
      <c r="Q15" s="1440"/>
      <c r="R15" s="314"/>
      <c r="S15" s="296"/>
      <c r="T15" s="317"/>
      <c r="U15" s="379"/>
      <c r="V15" s="324" t="s">
        <v>5</v>
      </c>
      <c r="W15" s="325">
        <f>IF(C31&gt;0,(W14*X14*(Z14-AA14)*2500.8),"n/a")</f>
        <v>314.10469422476854</v>
      </c>
      <c r="X15" s="318" t="s">
        <v>6</v>
      </c>
      <c r="Y15" s="318"/>
      <c r="Z15" s="2059">
        <f>IF(W11="n/a","-",W11/(W11+W15))</f>
        <v>0.41626188085185678</v>
      </c>
      <c r="AA15" s="2059"/>
      <c r="AB15" s="2060"/>
      <c r="AC15" s="317"/>
      <c r="AD15" s="717" t="s">
        <v>2363</v>
      </c>
      <c r="AE15" s="298"/>
      <c r="AF15" s="298"/>
      <c r="AG15" s="298"/>
      <c r="AH15" s="298"/>
      <c r="AI15" s="336"/>
      <c r="AJ15" s="316"/>
      <c r="AK15" s="317"/>
      <c r="AS15" s="317"/>
      <c r="AT15" s="697" t="s">
        <v>1134</v>
      </c>
      <c r="AU15" s="297" t="s">
        <v>5</v>
      </c>
      <c r="AV15" s="297" t="s">
        <v>135</v>
      </c>
      <c r="AW15" s="297" t="s">
        <v>1152</v>
      </c>
      <c r="AX15" s="297" t="s">
        <v>1108</v>
      </c>
      <c r="AY15" s="297" t="s">
        <v>1153</v>
      </c>
      <c r="AZ15" s="300" t="s">
        <v>1154</v>
      </c>
      <c r="BJ15" s="294" t="e">
        <f t="shared" si="0"/>
        <v>#VALUE!</v>
      </c>
      <c r="BK15" s="294">
        <f t="shared" si="14"/>
        <v>150</v>
      </c>
      <c r="BL15" s="514">
        <f t="shared" si="7"/>
        <v>83.727862082837063</v>
      </c>
      <c r="BN15" s="294" t="str">
        <f t="shared" si="1"/>
        <v/>
      </c>
      <c r="BO15" s="294">
        <f t="shared" si="15"/>
        <v>150</v>
      </c>
      <c r="BP15" s="514">
        <f t="shared" si="8"/>
        <v>83.727862082837063</v>
      </c>
      <c r="BR15" s="294" t="str">
        <f t="shared" si="2"/>
        <v/>
      </c>
      <c r="BS15" s="294">
        <f t="shared" si="16"/>
        <v>150</v>
      </c>
      <c r="BT15" s="514">
        <f t="shared" si="9"/>
        <v>83.727862082837063</v>
      </c>
      <c r="BV15" s="294" t="e">
        <f t="shared" si="3"/>
        <v>#VALUE!</v>
      </c>
      <c r="BW15" s="294">
        <f t="shared" si="17"/>
        <v>150</v>
      </c>
      <c r="BX15" s="514">
        <f t="shared" si="10"/>
        <v>83.727862082837063</v>
      </c>
      <c r="BZ15" s="294" t="str">
        <f t="shared" si="4"/>
        <v/>
      </c>
      <c r="CA15" s="294">
        <f t="shared" si="18"/>
        <v>150</v>
      </c>
      <c r="CB15" s="514">
        <f t="shared" si="11"/>
        <v>83.727862082837063</v>
      </c>
      <c r="CD15" s="294" t="str">
        <f t="shared" si="5"/>
        <v/>
      </c>
      <c r="CE15" s="294">
        <f t="shared" si="19"/>
        <v>150</v>
      </c>
      <c r="CF15" s="514">
        <f t="shared" si="12"/>
        <v>83.727862082837063</v>
      </c>
      <c r="CG15" s="293"/>
      <c r="CH15" s="294" t="str">
        <f t="shared" si="6"/>
        <v/>
      </c>
      <c r="CI15" s="294">
        <f t="shared" si="20"/>
        <v>150</v>
      </c>
      <c r="CJ15" s="514">
        <f t="shared" si="13"/>
        <v>83.727862082837063</v>
      </c>
      <c r="DB15" s="1625"/>
      <c r="DN15" s="513">
        <v>100</v>
      </c>
      <c r="DO15" s="417">
        <v>114.1</v>
      </c>
      <c r="DP15" s="417">
        <f t="shared" si="21"/>
        <v>105.1</v>
      </c>
      <c r="DQ15" s="417">
        <v>4.5</v>
      </c>
      <c r="DR15" s="1186">
        <f t="shared" si="22"/>
        <v>15.846842730490339</v>
      </c>
      <c r="DS15" s="1180">
        <f t="shared" si="23"/>
        <v>1.8266167442958354</v>
      </c>
      <c r="DT15" s="1181">
        <f>ROUND(6.819*(DS15/DP2)^1.852/(DP15/1000)^1.167*1000*9.81,0)</f>
        <v>300</v>
      </c>
      <c r="DU15" s="403"/>
      <c r="DV15" s="403"/>
      <c r="DW15" s="398">
        <f>(IF(DU15=0,DW5,DU15)/1000/9.81*(DP15/1000)^1.167/6.819)^(1/1.852)*DP2</f>
        <v>1.8266167442958354</v>
      </c>
      <c r="DX15" s="398">
        <f>6.819*(IF(DV15=0,DX5,DV15)/DP2)^1.852/(DP15/1000)^1.167*1000*9.81</f>
        <v>536.45722927920713</v>
      </c>
      <c r="DY15" s="398">
        <f>IF(DX15&lt;=DW5,IF(DW15&lt;=IF(DV15=0,DX5,DV15),DW15,(DX15/1000/9.81*(DP15/1000)^1.167/6.819)^(1/1.852)*DP2),IF(DW15&lt;=IF(DV15=0,DX5,DV15),DW15,"Check"))</f>
        <v>1.8266167442958354</v>
      </c>
      <c r="EA15" s="1647">
        <f t="shared" si="34"/>
        <v>24.000633322175549</v>
      </c>
      <c r="EB15" s="1671">
        <v>6</v>
      </c>
      <c r="EC15" s="1644">
        <f t="shared" si="24"/>
        <v>297.15063332217551</v>
      </c>
      <c r="ED15" s="1644">
        <f t="shared" si="25"/>
        <v>-32.581440875774611</v>
      </c>
      <c r="EE15" s="1644">
        <f t="shared" si="26"/>
        <v>40.582876513413943</v>
      </c>
      <c r="EF15" s="1644">
        <f t="shared" si="27"/>
        <v>2.9852406359596202</v>
      </c>
      <c r="EG15" s="1644">
        <f t="shared" si="28"/>
        <v>0.17911443815757722</v>
      </c>
      <c r="EH15" s="1644">
        <f t="shared" si="35"/>
        <v>1.8881070919450717E-2</v>
      </c>
      <c r="EI15" s="1644">
        <f t="shared" si="29"/>
        <v>5.8335398707195285E-2</v>
      </c>
      <c r="EJ15" s="505">
        <f t="shared" si="30"/>
        <v>6</v>
      </c>
      <c r="EK15" s="1648">
        <f t="shared" si="31"/>
        <v>26.947040971813092</v>
      </c>
      <c r="EL15" s="521">
        <f t="shared" si="32"/>
        <v>-16.413170318516816</v>
      </c>
      <c r="EM15" s="522">
        <f t="shared" si="33"/>
        <v>1.1014348001049878E-3</v>
      </c>
    </row>
    <row r="16" spans="2:143" ht="12.75" customHeight="1">
      <c r="B16" s="2058"/>
      <c r="C16" s="2017" t="s">
        <v>1089</v>
      </c>
      <c r="D16" s="2017"/>
      <c r="E16" s="321" t="str">
        <f>IF(AND(B4=1,E14&gt;0,E15&gt;0),E14/(E14+E15),"n/a")</f>
        <v>n/a</v>
      </c>
      <c r="F16" s="296"/>
      <c r="U16" s="297"/>
      <c r="V16" s="334"/>
      <c r="W16" s="715"/>
      <c r="X16" s="381"/>
      <c r="Y16" s="381"/>
      <c r="Z16" s="1222"/>
      <c r="AA16" s="1222"/>
      <c r="AB16" s="1222"/>
      <c r="AD16" s="700"/>
      <c r="AE16" s="1793" t="s">
        <v>1989</v>
      </c>
      <c r="AF16" s="370" t="e">
        <f>IF(OR(AJ10="n/a",D9*D11*C31=0),"n/a",'Coil Support'!BZ32)</f>
        <v>#VALUE!</v>
      </c>
      <c r="AG16" s="313" t="s">
        <v>1123</v>
      </c>
      <c r="AH16" s="1440"/>
      <c r="AI16" s="314"/>
      <c r="AJ16" s="296"/>
      <c r="AL16" s="1847" t="s">
        <v>355</v>
      </c>
      <c r="AM16" s="1848"/>
      <c r="AN16" s="1848"/>
      <c r="AO16" s="1848"/>
      <c r="AP16" s="1848"/>
      <c r="AQ16" s="1848"/>
      <c r="AR16" s="1849"/>
      <c r="AT16" s="706">
        <f>IF(OR(I8="-",C32=0),"n/a",AV8)</f>
        <v>160.95538770262252</v>
      </c>
      <c r="AU16" s="297" t="s">
        <v>5</v>
      </c>
      <c r="AV16" s="297" t="s">
        <v>135</v>
      </c>
      <c r="AW16" s="322">
        <v>4.2</v>
      </c>
      <c r="AX16" s="297" t="s">
        <v>1108</v>
      </c>
      <c r="AY16" s="371" t="str">
        <f>IF(COUNTA(D39)=1,D39,"n/a -")</f>
        <v>n/a -</v>
      </c>
      <c r="AZ16" s="704" t="str">
        <f>IF(COUNTA(C39)=1,C39,"n/a )")</f>
        <v>n/a )</v>
      </c>
      <c r="BB16" s="1847" t="s">
        <v>355</v>
      </c>
      <c r="BC16" s="1848"/>
      <c r="BD16" s="1848"/>
      <c r="BE16" s="1848"/>
      <c r="BF16" s="1848"/>
      <c r="BG16" s="1848"/>
      <c r="BH16" s="1849"/>
      <c r="BJ16" s="294" t="e">
        <f t="shared" si="0"/>
        <v>#VALUE!</v>
      </c>
      <c r="BK16" s="294">
        <f t="shared" si="14"/>
        <v>200</v>
      </c>
      <c r="BL16" s="514">
        <f t="shared" si="7"/>
        <v>131.50989591265693</v>
      </c>
      <c r="BN16" s="294" t="str">
        <f t="shared" si="1"/>
        <v/>
      </c>
      <c r="BO16" s="294">
        <f t="shared" si="15"/>
        <v>200</v>
      </c>
      <c r="BP16" s="514">
        <f t="shared" si="8"/>
        <v>131.50989591265693</v>
      </c>
      <c r="BR16" s="294" t="str">
        <f t="shared" si="2"/>
        <v/>
      </c>
      <c r="BS16" s="294">
        <f t="shared" si="16"/>
        <v>200</v>
      </c>
      <c r="BT16" s="514">
        <f t="shared" si="9"/>
        <v>131.50989591265693</v>
      </c>
      <c r="BV16" s="294" t="e">
        <f t="shared" si="3"/>
        <v>#VALUE!</v>
      </c>
      <c r="BW16" s="294">
        <f t="shared" si="17"/>
        <v>200</v>
      </c>
      <c r="BX16" s="514">
        <f t="shared" si="10"/>
        <v>131.50989591265693</v>
      </c>
      <c r="BZ16" s="294" t="str">
        <f t="shared" si="4"/>
        <v/>
      </c>
      <c r="CA16" s="294">
        <f t="shared" si="18"/>
        <v>200</v>
      </c>
      <c r="CB16" s="514">
        <f t="shared" si="11"/>
        <v>131.50989591265693</v>
      </c>
      <c r="CD16" s="294" t="str">
        <f t="shared" si="5"/>
        <v/>
      </c>
      <c r="CE16" s="294">
        <f t="shared" si="19"/>
        <v>200</v>
      </c>
      <c r="CF16" s="514">
        <f t="shared" si="12"/>
        <v>131.50989591265693</v>
      </c>
      <c r="CG16" s="293"/>
      <c r="CH16" s="294" t="str">
        <f t="shared" si="6"/>
        <v/>
      </c>
      <c r="CI16" s="294">
        <f t="shared" si="20"/>
        <v>200</v>
      </c>
      <c r="CJ16" s="514">
        <f t="shared" si="13"/>
        <v>131.50989591265693</v>
      </c>
      <c r="CL16" s="523">
        <f>D22</f>
        <v>13</v>
      </c>
      <c r="CM16" s="523">
        <f>E22</f>
        <v>0</v>
      </c>
      <c r="CN16" s="523">
        <f>F22</f>
        <v>95</v>
      </c>
      <c r="CO16" s="517">
        <f>273.15+CM16</f>
        <v>273.14999999999998</v>
      </c>
      <c r="CP16" s="517">
        <f>-5800.2206/CO16+1.3914993-0.048640239*CO16</f>
        <v>-33.129143945141777</v>
      </c>
      <c r="CQ16" s="517">
        <f>0.000041764768*POWER(CO16,2)-0.000000014452093*POWER(CO16,3)+6.5459673*LN(CO16)</f>
        <v>39.544589235539483</v>
      </c>
      <c r="CR16" s="517">
        <f>EXP(CP16+CQ16)/1000</f>
        <v>0.61121286745119141</v>
      </c>
      <c r="CS16" s="517">
        <f>0.62198*(CR16/($F$3-CR16))</f>
        <v>3.7746786226692361E-3</v>
      </c>
      <c r="CT16" s="517">
        <f>273.15+CL16</f>
        <v>286.14999999999998</v>
      </c>
      <c r="CU16" s="517">
        <f>-5800.2206/CT16+1.3914993-0.048640239*CT16</f>
        <v>-32.79676565249197</v>
      </c>
      <c r="CV16" s="517">
        <f>0.000041764768*POWER(CT16,2)-0.000000014452093*POWER(CT16,3)+6.5459673*LN(CT16)</f>
        <v>40.108525535759171</v>
      </c>
      <c r="CW16" s="517">
        <f>EXP(CU16+CV16)/1000</f>
        <v>1.4978108432903556</v>
      </c>
      <c r="CX16" s="517">
        <f>0.62198*(CW16/($F$3-CW16))</f>
        <v>9.3322109555472686E-3</v>
      </c>
      <c r="CY16" s="517">
        <f>DE16/CX16</f>
        <v>-0.15109100343210355</v>
      </c>
      <c r="CZ16" s="517">
        <f>$F$3*DE16/(0.62198+DE16)</f>
        <v>-0.23022315315279776</v>
      </c>
      <c r="DA16" s="517">
        <f>(0.2871*(CL16+273.15)*(1+1.6078*DE16))/$F$3</f>
        <v>0.80895554969754468</v>
      </c>
      <c r="DB16" s="521">
        <f>IF(CL16+CM16&lt;&gt;0,CY16/(1-(1-CY16)*(CW16/$F$3))*100,0)</f>
        <v>-15.370642707262618</v>
      </c>
      <c r="DC16" s="164">
        <f>IF(CL16+CM16&lt;&gt;0,1.006*CL16+DE16*(2501+1.805*CL16),0)</f>
        <v>9.5184712352957597</v>
      </c>
      <c r="DD16" s="164" t="e">
        <f>IF(CL16+CM16&lt;&gt;0,(6.54+14.526*LN(CZ16)+0.7389*POWER(LN(CZ16),2)+0.09486*POWER(LN(CZ16),3)+0.4569*POWER(CZ16,0.1984)),0)</f>
        <v>#NUM!</v>
      </c>
      <c r="DE16" s="164">
        <f>IF(CL16+CM16&lt;&gt;0,(((2501-2.381*CM16)*CS16-(CL16-CM16))/(2501+1.805*CL16-4.186*CM16)),0)</f>
        <v>-1.4100131175137068E-3</v>
      </c>
      <c r="DF16" s="164">
        <f>IF(CL16+CM16&lt;&gt;0,1/DA16,0)</f>
        <v>1.2361618637437912</v>
      </c>
      <c r="DG16" s="506" t="str">
        <f>IF(COUNTA(F22)=1,"-",DB16)</f>
        <v>-</v>
      </c>
      <c r="DH16" s="518">
        <f>IF($CN16=0,DC16,DC17)</f>
        <v>35.442120328916417</v>
      </c>
      <c r="DI16" s="518">
        <f>IF($CN16=0,DD16,DD17)</f>
        <v>12.249588086092059</v>
      </c>
      <c r="DJ16" s="519">
        <f>IF($CN16=0,DE16,DE17)</f>
        <v>8.85895440377126E-3</v>
      </c>
      <c r="DK16" s="518">
        <f>IF($CN16=0,DF16,DF17)</f>
        <v>1.2160389000314749</v>
      </c>
      <c r="DL16" s="518">
        <f>IF(CN16&gt;0,'Coil Support'!AS32,"-")</f>
        <v>12.537107419866073</v>
      </c>
      <c r="DN16" s="761">
        <v>125</v>
      </c>
      <c r="DO16" s="1182">
        <v>139.65</v>
      </c>
      <c r="DP16" s="1182">
        <f t="shared" si="21"/>
        <v>129.65</v>
      </c>
      <c r="DQ16" s="1182">
        <v>5</v>
      </c>
      <c r="DR16" s="1183">
        <f t="shared" si="22"/>
        <v>27.525242248838314</v>
      </c>
      <c r="DS16" s="1184">
        <f t="shared" si="23"/>
        <v>2.0849527933201721</v>
      </c>
      <c r="DT16" s="1185">
        <f>ROUND(6.819*(DS16/DP2)^1.852/(DP16/1000)^1.167*1000*9.81,0)</f>
        <v>300</v>
      </c>
      <c r="DU16" s="403"/>
      <c r="DV16" s="403"/>
      <c r="DW16" s="398">
        <f>(IF(DU16=0,DW5,DU16)/1000/9.81*(DP16/1000)^1.167/6.819)^(1/1.852)*DP2</f>
        <v>2.0849527933201721</v>
      </c>
      <c r="DX16" s="398">
        <f>6.819*(IF(DV16=0,DX5,DV16)/DP2)^1.852/(DP16/1000)^1.167*1000*9.81</f>
        <v>419.89426179175757</v>
      </c>
      <c r="DY16" s="398">
        <f>IF(DX16&lt;=DW5,IF(DW16&lt;=IF(DV16=0,DX5,DV16),DW16,(DX16/1000/9.81*(DP16/1000)^1.167/6.819)^(1/1.852)*DP2),IF(DW16&lt;=IF(DV16=0,DX5,DV16),DW16,"Check"))</f>
        <v>2.0849527933201721</v>
      </c>
      <c r="EA16" s="1647">
        <f t="shared" si="34"/>
        <v>24.000633322175549</v>
      </c>
      <c r="EB16" s="1671">
        <v>7</v>
      </c>
      <c r="EC16" s="1644">
        <f t="shared" si="24"/>
        <v>297.15063332217551</v>
      </c>
      <c r="ED16" s="1644">
        <f t="shared" si="25"/>
        <v>-32.581440875774611</v>
      </c>
      <c r="EE16" s="1644">
        <f t="shared" si="26"/>
        <v>40.582876513413943</v>
      </c>
      <c r="EF16" s="1644">
        <f t="shared" si="27"/>
        <v>2.9852406359596202</v>
      </c>
      <c r="EG16" s="1644">
        <f t="shared" si="28"/>
        <v>0.20896684451717343</v>
      </c>
      <c r="EH16" s="1644">
        <f t="shared" si="35"/>
        <v>1.8881070919450717E-2</v>
      </c>
      <c r="EI16" s="1644">
        <f t="shared" si="29"/>
        <v>6.8078057857529475E-2</v>
      </c>
      <c r="EJ16" s="505">
        <f t="shared" si="30"/>
        <v>7</v>
      </c>
      <c r="EK16" s="1648">
        <f t="shared" si="31"/>
        <v>27.415073523476917</v>
      </c>
      <c r="EL16" s="521">
        <f t="shared" si="32"/>
        <v>-14.419636017499457</v>
      </c>
      <c r="EM16" s="522">
        <f t="shared" si="33"/>
        <v>1.2853866384664831E-3</v>
      </c>
    </row>
    <row r="17" spans="2:143" ht="13.5">
      <c r="B17" s="1229" t="s">
        <v>4</v>
      </c>
      <c r="C17" s="2013" t="s">
        <v>1101</v>
      </c>
      <c r="D17" s="2013"/>
      <c r="E17" s="1396">
        <v>20.6</v>
      </c>
      <c r="F17" s="309" t="s">
        <v>6</v>
      </c>
      <c r="M17" s="1847" t="s">
        <v>1982</v>
      </c>
      <c r="N17" s="1848"/>
      <c r="O17" s="1848"/>
      <c r="P17" s="1848"/>
      <c r="Q17" s="1848"/>
      <c r="R17" s="1848"/>
      <c r="S17" s="1849"/>
      <c r="U17" s="1847" t="s">
        <v>1971</v>
      </c>
      <c r="V17" s="1848"/>
      <c r="W17" s="1848"/>
      <c r="X17" s="1848"/>
      <c r="Y17" s="1848"/>
      <c r="Z17" s="1848"/>
      <c r="AA17" s="1848"/>
      <c r="AB17" s="1849"/>
      <c r="AL17" s="708" t="s">
        <v>1147</v>
      </c>
      <c r="AM17" s="298" t="s">
        <v>5</v>
      </c>
      <c r="AN17" s="298" t="s">
        <v>1112</v>
      </c>
      <c r="AO17" s="298" t="s">
        <v>1097</v>
      </c>
      <c r="AP17" s="297" t="s">
        <v>1108</v>
      </c>
      <c r="AQ17" s="297" t="s">
        <v>1157</v>
      </c>
      <c r="AR17" s="714" t="s">
        <v>1158</v>
      </c>
      <c r="AT17" s="720"/>
      <c r="AU17" s="324" t="s">
        <v>5</v>
      </c>
      <c r="AV17" s="325" t="str">
        <f>IF(OR(AT16="n/a",,COUNTA(C39,D39)&lt;2),"n/a",AT16/(AY16-AZ16)/AW16)</f>
        <v>n/a</v>
      </c>
      <c r="AW17" s="318" t="s">
        <v>3</v>
      </c>
      <c r="AX17" s="318"/>
      <c r="AY17" s="345" t="str">
        <f>IF(AV17="n/a","-",VLOOKUP(MIN(BZ4:BZ35),BZ4:CA35,2,TRUE))</f>
        <v>-</v>
      </c>
      <c r="AZ17" s="296"/>
      <c r="BB17" s="708" t="s">
        <v>1147</v>
      </c>
      <c r="BC17" s="298" t="s">
        <v>5</v>
      </c>
      <c r="BD17" s="298" t="s">
        <v>1116</v>
      </c>
      <c r="BE17" s="298" t="s">
        <v>1097</v>
      </c>
      <c r="BF17" s="297" t="s">
        <v>1108</v>
      </c>
      <c r="BG17" s="297" t="s">
        <v>1177</v>
      </c>
      <c r="BH17" s="714" t="s">
        <v>1178</v>
      </c>
      <c r="BJ17" s="294" t="e">
        <f t="shared" si="0"/>
        <v>#VALUE!</v>
      </c>
      <c r="BK17" s="294">
        <f t="shared" si="14"/>
        <v>250</v>
      </c>
      <c r="BL17" s="514">
        <f t="shared" si="7"/>
        <v>188.3268753248438</v>
      </c>
      <c r="BN17" s="294" t="str">
        <f t="shared" si="1"/>
        <v/>
      </c>
      <c r="BO17" s="294">
        <f t="shared" si="15"/>
        <v>250</v>
      </c>
      <c r="BP17" s="514">
        <f t="shared" si="8"/>
        <v>188.3268753248438</v>
      </c>
      <c r="BR17" s="294" t="str">
        <f t="shared" si="2"/>
        <v/>
      </c>
      <c r="BS17" s="294">
        <f t="shared" si="16"/>
        <v>250</v>
      </c>
      <c r="BT17" s="514">
        <f t="shared" si="9"/>
        <v>188.3268753248438</v>
      </c>
      <c r="BV17" s="294" t="e">
        <f t="shared" si="3"/>
        <v>#VALUE!</v>
      </c>
      <c r="BW17" s="294">
        <f t="shared" si="17"/>
        <v>250</v>
      </c>
      <c r="BX17" s="514">
        <f t="shared" si="10"/>
        <v>188.3268753248438</v>
      </c>
      <c r="BZ17" s="294" t="str">
        <f t="shared" si="4"/>
        <v/>
      </c>
      <c r="CA17" s="294">
        <f t="shared" si="18"/>
        <v>250</v>
      </c>
      <c r="CB17" s="514">
        <f t="shared" si="11"/>
        <v>188.3268753248438</v>
      </c>
      <c r="CD17" s="294" t="str">
        <f t="shared" si="5"/>
        <v/>
      </c>
      <c r="CE17" s="294">
        <f t="shared" si="19"/>
        <v>250</v>
      </c>
      <c r="CF17" s="514">
        <f t="shared" si="12"/>
        <v>188.3268753248438</v>
      </c>
      <c r="CG17" s="293"/>
      <c r="CH17" s="294" t="str">
        <f t="shared" si="6"/>
        <v/>
      </c>
      <c r="CI17" s="294">
        <f t="shared" si="20"/>
        <v>250</v>
      </c>
      <c r="CJ17" s="514">
        <f t="shared" si="13"/>
        <v>188.3268753248438</v>
      </c>
      <c r="CO17" s="517">
        <f>273.15+CL16</f>
        <v>286.14999999999998</v>
      </c>
      <c r="CP17" s="517">
        <f>-5800.2206/CO17+1.3914993-0.048640239*CO17</f>
        <v>-32.79676565249197</v>
      </c>
      <c r="CQ17" s="517">
        <f>0.000041764768*POWER(CO17,2)-0.000000014452093*POWER(CO17,3)+6.5459673*LN(CO17)</f>
        <v>40.108525535759171</v>
      </c>
      <c r="CR17" s="517">
        <f>EXP(CP17+CQ17)/1000</f>
        <v>1.4978108432903556</v>
      </c>
      <c r="CS17" s="517">
        <f>CN16/100*CR17</f>
        <v>1.4229203011258378</v>
      </c>
      <c r="CT17" s="517">
        <f>0.62198*(CR17/($F$3-CR17))</f>
        <v>9.3322109555472686E-3</v>
      </c>
      <c r="CU17" s="517">
        <f>DE17/CT17</f>
        <v>0.9492878425026714</v>
      </c>
      <c r="CV17" s="517">
        <f>0.2871*(CL16+273.15)*(1+1.6078*DE17)/$F$3</f>
        <v>0.82234211419891001</v>
      </c>
      <c r="CW17" s="504"/>
      <c r="CX17" s="504"/>
      <c r="CY17" s="504"/>
      <c r="CZ17" s="504"/>
      <c r="DA17" s="504"/>
      <c r="DB17" s="1625">
        <f>IF(CL16+CN16&gt;0,CN16,0)</f>
        <v>95</v>
      </c>
      <c r="DC17" s="520">
        <f>IF(CL16+CN16&gt;0,(1.006*CL16+DE17*(2501+1.805*CL16)),0)</f>
        <v>35.442120328916417</v>
      </c>
      <c r="DD17" s="521">
        <f>IF(CL16+CN16&gt;0,(6.54+14.526*LN(CS17)+0.7389*POWER(LN(CS17),2)+0.09486*POWER(LN(CS17),3)+0.4569*POWER(CS17,0.1984)),0)</f>
        <v>12.249588086092059</v>
      </c>
      <c r="DE17" s="522">
        <f>IF(CL16+CN16&gt;0,0.62198*(CS17/($F$3-CS17)),0)</f>
        <v>8.85895440377126E-3</v>
      </c>
      <c r="DF17" s="521">
        <f>IF(CL16+CN16&gt;0,1/CV17,0)</f>
        <v>1.2160389000314749</v>
      </c>
      <c r="DN17" s="513">
        <v>150</v>
      </c>
      <c r="DO17" s="417">
        <v>165.1</v>
      </c>
      <c r="DP17" s="417">
        <f t="shared" si="21"/>
        <v>155.1</v>
      </c>
      <c r="DQ17" s="417">
        <v>5</v>
      </c>
      <c r="DR17" s="1186">
        <f t="shared" si="22"/>
        <v>44.102025373274287</v>
      </c>
      <c r="DS17" s="1180">
        <f t="shared" si="23"/>
        <v>2.3342375858742308</v>
      </c>
      <c r="DT17" s="1181">
        <f>ROUND(6.819*(DS17/DP2)^1.852/(DP17/1000)^1.167*1000*9.81,0)</f>
        <v>300</v>
      </c>
      <c r="DU17" s="403"/>
      <c r="DV17" s="403"/>
      <c r="DW17" s="398">
        <f>(IF(DU17=0,DW5,DU17)/1000/9.81*(DP17/1000)^1.167/6.819)^(1/1.852)*DP2</f>
        <v>2.3342375858742308</v>
      </c>
      <c r="DX17" s="398">
        <f>6.819*(IF(DV17=0,DX5,DV17)/DP2)^1.852/(DP17/1000)^1.167*1000*9.81</f>
        <v>340.64459607547985</v>
      </c>
      <c r="DY17" s="398">
        <f>IF(DX17&lt;=DW5,IF(DW17&lt;=IF(DV17=0,DX5,DV17),DW17,(DX17/1000/9.81*(DP17/1000)^1.167/6.819)^(1/1.852)*DP2),IF(DW17&lt;=IF(DV17=0,DX5,DV17),DW17,"Check"))</f>
        <v>2.3342375858742308</v>
      </c>
      <c r="EA17" s="1647">
        <f t="shared" si="34"/>
        <v>24.000633322175549</v>
      </c>
      <c r="EB17" s="1671">
        <v>8</v>
      </c>
      <c r="EC17" s="1644">
        <f t="shared" si="24"/>
        <v>297.15063332217551</v>
      </c>
      <c r="ED17" s="1644">
        <f t="shared" si="25"/>
        <v>-32.581440875774611</v>
      </c>
      <c r="EE17" s="1644">
        <f t="shared" si="26"/>
        <v>40.582876513413943</v>
      </c>
      <c r="EF17" s="1644">
        <f t="shared" si="27"/>
        <v>2.9852406359596202</v>
      </c>
      <c r="EG17" s="1644">
        <f t="shared" si="28"/>
        <v>0.23881925087676961</v>
      </c>
      <c r="EH17" s="1644">
        <f t="shared" si="35"/>
        <v>1.8881070919450717E-2</v>
      </c>
      <c r="EI17" s="1644">
        <f t="shared" si="29"/>
        <v>7.7826471341795822E-2</v>
      </c>
      <c r="EJ17" s="505">
        <f t="shared" si="30"/>
        <v>8</v>
      </c>
      <c r="EK17" s="1648">
        <f t="shared" si="31"/>
        <v>27.883382510511396</v>
      </c>
      <c r="EL17" s="521">
        <f t="shared" si="32"/>
        <v>-12.681310731277565</v>
      </c>
      <c r="EM17" s="522">
        <f t="shared" si="33"/>
        <v>1.4694471248150457E-3</v>
      </c>
    </row>
    <row r="18" spans="2:143" ht="13.5">
      <c r="B18" s="293"/>
      <c r="M18" s="1224" t="s">
        <v>1983</v>
      </c>
      <c r="N18" s="302"/>
      <c r="O18" s="302"/>
      <c r="P18" s="302"/>
      <c r="Q18" s="302"/>
      <c r="R18" s="302"/>
      <c r="S18" s="320"/>
      <c r="U18" s="708" t="s">
        <v>1727</v>
      </c>
      <c r="V18" s="298" t="s">
        <v>5</v>
      </c>
      <c r="W18" s="298" t="s">
        <v>1112</v>
      </c>
      <c r="X18" s="298" t="s">
        <v>137</v>
      </c>
      <c r="Y18" s="298" t="s">
        <v>1108</v>
      </c>
      <c r="Z18" s="298" t="s">
        <v>1118</v>
      </c>
      <c r="AA18" s="298" t="str">
        <f>IF(B20=FALSE,"ts1)",IF(B20=TRUE,"ts2)","n/a )"))</f>
        <v>ts1)</v>
      </c>
      <c r="AB18" s="320"/>
      <c r="AD18" s="1847" t="s">
        <v>1109</v>
      </c>
      <c r="AE18" s="1848"/>
      <c r="AF18" s="1848"/>
      <c r="AG18" s="1848"/>
      <c r="AH18" s="1848"/>
      <c r="AI18" s="1848"/>
      <c r="AJ18" s="1849"/>
      <c r="AL18" s="697"/>
      <c r="AM18" s="297" t="s">
        <v>5</v>
      </c>
      <c r="AN18" s="304">
        <f>IF(OR(E20=FALSE,AND(C31=0,C32=0)),"n/a",C31)</f>
        <v>8.3179999999999996</v>
      </c>
      <c r="AO18" s="307">
        <f>F4</f>
        <v>1.2</v>
      </c>
      <c r="AP18" s="297" t="s">
        <v>1108</v>
      </c>
      <c r="AQ18" s="350" t="str">
        <f>IF(OR(E20=FALSE,H11="-"),"n/a - ",H11)</f>
        <v xml:space="preserve">n/a - </v>
      </c>
      <c r="AR18" s="712" t="e">
        <f>IF(E20=FALSE,"n/a )",AF14)</f>
        <v>#VALUE!</v>
      </c>
      <c r="BB18" s="697"/>
      <c r="BC18" s="297" t="s">
        <v>5</v>
      </c>
      <c r="BD18" s="304">
        <f>IF(AND(E20=TRUE,C32&gt;0),C32,"n/a")</f>
        <v>2.4860000000000002</v>
      </c>
      <c r="BE18" s="307">
        <f>IF(F4="-","n/a",F4)</f>
        <v>1.2</v>
      </c>
      <c r="BF18" s="297" t="s">
        <v>1108</v>
      </c>
      <c r="BG18" s="350">
        <f>IF(AND(E20=TRUE,H25&gt;0),H25,"n/a -")</f>
        <v>9.2992607306061469E-3</v>
      </c>
      <c r="BH18" s="712">
        <f>IF(OR(E20=FALSE,H9="-"),"n/a )",H9)</f>
        <v>2.4699676060335892E-3</v>
      </c>
      <c r="BJ18" s="294" t="e">
        <f t="shared" si="0"/>
        <v>#VALUE!</v>
      </c>
      <c r="BK18" s="294">
        <f t="shared" si="14"/>
        <v>300</v>
      </c>
      <c r="BL18" s="514">
        <f t="shared" si="7"/>
        <v>228.8531653017491</v>
      </c>
      <c r="BN18" s="294" t="str">
        <f t="shared" si="1"/>
        <v/>
      </c>
      <c r="BO18" s="294">
        <f t="shared" si="15"/>
        <v>300</v>
      </c>
      <c r="BP18" s="514">
        <f t="shared" si="8"/>
        <v>228.8531653017491</v>
      </c>
      <c r="BR18" s="294" t="str">
        <f t="shared" si="2"/>
        <v/>
      </c>
      <c r="BS18" s="294">
        <f t="shared" si="16"/>
        <v>300</v>
      </c>
      <c r="BT18" s="514">
        <f t="shared" si="9"/>
        <v>228.8531653017491</v>
      </c>
      <c r="BV18" s="294" t="e">
        <f t="shared" si="3"/>
        <v>#VALUE!</v>
      </c>
      <c r="BW18" s="294">
        <f t="shared" si="17"/>
        <v>300</v>
      </c>
      <c r="BX18" s="514">
        <f t="shared" si="10"/>
        <v>228.8531653017491</v>
      </c>
      <c r="BZ18" s="294" t="str">
        <f t="shared" si="4"/>
        <v/>
      </c>
      <c r="CA18" s="294">
        <f t="shared" si="18"/>
        <v>300</v>
      </c>
      <c r="CB18" s="514">
        <f t="shared" si="11"/>
        <v>228.8531653017491</v>
      </c>
      <c r="CD18" s="294" t="str">
        <f t="shared" si="5"/>
        <v/>
      </c>
      <c r="CE18" s="294">
        <f t="shared" si="19"/>
        <v>300</v>
      </c>
      <c r="CF18" s="514">
        <f t="shared" si="12"/>
        <v>228.8531653017491</v>
      </c>
      <c r="CG18" s="293"/>
      <c r="CH18" s="294" t="str">
        <f t="shared" si="6"/>
        <v/>
      </c>
      <c r="CI18" s="294">
        <f t="shared" si="20"/>
        <v>300</v>
      </c>
      <c r="CJ18" s="514">
        <f t="shared" si="13"/>
        <v>228.8531653017491</v>
      </c>
      <c r="DB18" s="1625"/>
      <c r="DN18" s="761">
        <v>200</v>
      </c>
      <c r="DO18" s="1182">
        <v>219.1</v>
      </c>
      <c r="DP18" s="1182">
        <f t="shared" si="21"/>
        <v>206.5</v>
      </c>
      <c r="DQ18" s="1182">
        <v>6.3</v>
      </c>
      <c r="DR18" s="1183">
        <f t="shared" si="22"/>
        <v>83.727862082837063</v>
      </c>
      <c r="DS18" s="1184">
        <f t="shared" si="23"/>
        <v>2.4999999999999991</v>
      </c>
      <c r="DT18" s="1185">
        <f>ROUND(6.819*(DS18/DP2)^1.852/(DP18/1000)^1.167*1000*9.81,0)</f>
        <v>244</v>
      </c>
      <c r="DU18" s="403"/>
      <c r="DV18" s="403"/>
      <c r="DW18" s="398">
        <f>(IF(DU18=0,DW5,DU18)/1000/9.81*(DP18/1000)^1.167/6.819)^(1/1.852)*DP2</f>
        <v>2.7956021738014907</v>
      </c>
      <c r="DX18" s="398">
        <f>6.819*(IF(DV18=0,DX5,DV18)/DP2)^1.852/(DP18/1000)^1.167*1000*9.81</f>
        <v>243.91233651413933</v>
      </c>
      <c r="DY18" s="398">
        <f>IF(DX18&lt;=DW5,IF(DW18&lt;=IF(DV18=0,DX5,DV18),DW18,(DX18/1000/9.81*(DP18/1000)^1.167/6.819)^(1/1.852)*DP2),IF(DW18&lt;=IF(DV18=0,DX5,DV18),DW18,"Check"))</f>
        <v>2.4999999999999991</v>
      </c>
      <c r="EA18" s="1647">
        <f t="shared" si="34"/>
        <v>24.000633322175549</v>
      </c>
      <c r="EB18" s="1671">
        <v>9</v>
      </c>
      <c r="EC18" s="1644">
        <f t="shared" si="24"/>
        <v>297.15063332217551</v>
      </c>
      <c r="ED18" s="1644">
        <f t="shared" si="25"/>
        <v>-32.581440875774611</v>
      </c>
      <c r="EE18" s="1644">
        <f t="shared" si="26"/>
        <v>40.582876513413943</v>
      </c>
      <c r="EF18" s="1644">
        <f t="shared" si="27"/>
        <v>2.9852406359596202</v>
      </c>
      <c r="EG18" s="1644">
        <f t="shared" si="28"/>
        <v>0.26867165723636582</v>
      </c>
      <c r="EH18" s="1644">
        <f t="shared" si="35"/>
        <v>1.8881070919450717E-2</v>
      </c>
      <c r="EI18" s="1644">
        <f t="shared" si="29"/>
        <v>8.7580644259547757E-2</v>
      </c>
      <c r="EJ18" s="505">
        <f t="shared" si="30"/>
        <v>9</v>
      </c>
      <c r="EK18" s="1648">
        <f t="shared" si="31"/>
        <v>28.35196817789657</v>
      </c>
      <c r="EL18" s="521">
        <f t="shared" si="32"/>
        <v>-11.138034557978504</v>
      </c>
      <c r="EM18" s="522">
        <f t="shared" si="33"/>
        <v>1.6536163554357055E-3</v>
      </c>
    </row>
    <row r="19" spans="2:143" ht="13.5">
      <c r="B19" s="1847" t="s">
        <v>1094</v>
      </c>
      <c r="C19" s="1848"/>
      <c r="D19" s="1848"/>
      <c r="E19" s="1848"/>
      <c r="F19" s="1848"/>
      <c r="G19" s="1848"/>
      <c r="H19" s="1848"/>
      <c r="I19" s="1848"/>
      <c r="J19" s="1848"/>
      <c r="K19" s="1849"/>
      <c r="M19" s="697" t="s">
        <v>1134</v>
      </c>
      <c r="N19" s="297" t="s">
        <v>5</v>
      </c>
      <c r="O19" s="297" t="s">
        <v>1112</v>
      </c>
      <c r="P19" s="297" t="s">
        <v>138</v>
      </c>
      <c r="Q19" s="297" t="s">
        <v>1108</v>
      </c>
      <c r="R19" s="297" t="s">
        <v>1135</v>
      </c>
      <c r="S19" s="300" t="s">
        <v>1180</v>
      </c>
      <c r="U19" s="706">
        <f>IF(E14*C31&gt;0,E14,"n/a")</f>
        <v>112</v>
      </c>
      <c r="V19" s="297" t="s">
        <v>5</v>
      </c>
      <c r="W19" s="304">
        <f>IF(AND(C31=0,C32=0),"n/a",C31)</f>
        <v>8.3179999999999996</v>
      </c>
      <c r="X19" s="307">
        <f>1.02*F4</f>
        <v>1.224</v>
      </c>
      <c r="Y19" s="297" t="s">
        <v>1108</v>
      </c>
      <c r="Z19" s="297" t="s">
        <v>1118</v>
      </c>
      <c r="AA19" s="380">
        <f>IF(D10*C31*D22=0,"n/a )",IF(B20=FALSE,D22,IF(AND(B20=TRUE,BU44=1),D23,"n/a )")))</f>
        <v>13</v>
      </c>
      <c r="AB19" s="295"/>
      <c r="AD19" s="697" t="s">
        <v>1161</v>
      </c>
      <c r="AE19" s="297" t="s">
        <v>5</v>
      </c>
      <c r="AF19" s="298" t="s">
        <v>1116</v>
      </c>
      <c r="AG19" s="297" t="s">
        <v>137</v>
      </c>
      <c r="AH19" s="297" t="s">
        <v>1108</v>
      </c>
      <c r="AI19" s="297" t="s">
        <v>1138</v>
      </c>
      <c r="AJ19" s="714" t="s">
        <v>1162</v>
      </c>
      <c r="AL19" s="710"/>
      <c r="AM19" s="340" t="s">
        <v>5</v>
      </c>
      <c r="AN19" s="349" t="str">
        <f>IF(OR(H9="-",H11="-",C31="-",E20=FALSE),"n/a",AN18*AO18*(AQ18-AR18))</f>
        <v>n/a</v>
      </c>
      <c r="AO19" s="340" t="s">
        <v>139</v>
      </c>
      <c r="AP19" s="340"/>
      <c r="AR19" s="295"/>
      <c r="AT19" s="1847" t="s">
        <v>1697</v>
      </c>
      <c r="AU19" s="1848"/>
      <c r="AV19" s="1848"/>
      <c r="AW19" s="1848"/>
      <c r="AX19" s="1848"/>
      <c r="AY19" s="1848"/>
      <c r="AZ19" s="1849"/>
      <c r="BB19" s="710"/>
      <c r="BC19" s="340" t="s">
        <v>5</v>
      </c>
      <c r="BD19" s="349">
        <f>IF(OR(H9="-",H25="-",C32=0,E20=FALSE),"n/a",BD18*BE18*(BG18-BH18))</f>
        <v>2.0373147249224854E-2</v>
      </c>
      <c r="BE19" s="340" t="s">
        <v>139</v>
      </c>
      <c r="BF19" s="340"/>
      <c r="BH19" s="295"/>
      <c r="BJ19" s="294" t="e">
        <f t="shared" si="0"/>
        <v>#VALUE!</v>
      </c>
      <c r="BK19" s="294">
        <f t="shared" si="14"/>
        <v>350</v>
      </c>
      <c r="BL19" s="514">
        <f t="shared" si="7"/>
        <v>299.2605763585949</v>
      </c>
      <c r="BN19" s="294" t="str">
        <f t="shared" si="1"/>
        <v/>
      </c>
      <c r="BO19" s="294">
        <f t="shared" si="15"/>
        <v>350</v>
      </c>
      <c r="BP19" s="514">
        <f t="shared" si="8"/>
        <v>299.2605763585949</v>
      </c>
      <c r="BR19" s="294" t="str">
        <f t="shared" si="2"/>
        <v/>
      </c>
      <c r="BS19" s="294">
        <f t="shared" si="16"/>
        <v>350</v>
      </c>
      <c r="BT19" s="514">
        <f t="shared" si="9"/>
        <v>299.2605763585949</v>
      </c>
      <c r="BV19" s="294" t="e">
        <f t="shared" si="3"/>
        <v>#VALUE!</v>
      </c>
      <c r="BW19" s="294">
        <f t="shared" si="17"/>
        <v>350</v>
      </c>
      <c r="BX19" s="514">
        <f t="shared" si="10"/>
        <v>299.2605763585949</v>
      </c>
      <c r="BZ19" s="294" t="str">
        <f t="shared" si="4"/>
        <v/>
      </c>
      <c r="CA19" s="294">
        <f t="shared" si="18"/>
        <v>350</v>
      </c>
      <c r="CB19" s="514">
        <f t="shared" si="11"/>
        <v>299.2605763585949</v>
      </c>
      <c r="CD19" s="294" t="str">
        <f t="shared" si="5"/>
        <v/>
      </c>
      <c r="CE19" s="294">
        <f t="shared" si="19"/>
        <v>350</v>
      </c>
      <c r="CF19" s="514">
        <f t="shared" si="12"/>
        <v>299.2605763585949</v>
      </c>
      <c r="CG19" s="293"/>
      <c r="CH19" s="294" t="str">
        <f t="shared" si="6"/>
        <v/>
      </c>
      <c r="CI19" s="294">
        <f t="shared" si="20"/>
        <v>350</v>
      </c>
      <c r="CJ19" s="514">
        <f t="shared" si="13"/>
        <v>299.2605763585949</v>
      </c>
      <c r="CL19" s="523">
        <f>D25</f>
        <v>21</v>
      </c>
      <c r="CM19" s="523">
        <f>E25</f>
        <v>0</v>
      </c>
      <c r="CN19" s="503">
        <f>F25</f>
        <v>60</v>
      </c>
      <c r="CO19" s="517">
        <f>273.15+CM19</f>
        <v>273.14999999999998</v>
      </c>
      <c r="CP19" s="517">
        <f>-5800.2206/CO19+1.3914993-0.048640239*CO19</f>
        <v>-33.129143945141777</v>
      </c>
      <c r="CQ19" s="517">
        <f>0.000041764768*POWER(CO19,2)-0.000000014452093*POWER(CO19,3)+6.5459673*LN(CO19)</f>
        <v>39.544589235539483</v>
      </c>
      <c r="CR19" s="517">
        <f>EXP(CP19+CQ19)/1000</f>
        <v>0.61121286745119141</v>
      </c>
      <c r="CS19" s="517">
        <f>0.62198*(CR19/($F$3-CR19))</f>
        <v>3.7746786226692361E-3</v>
      </c>
      <c r="CT19" s="517">
        <f>273.15+CL19</f>
        <v>294.14999999999998</v>
      </c>
      <c r="CU19" s="517">
        <f>-5800.2206/CT19+1.3914993-0.048640239*CT19</f>
        <v>-32.634607997940435</v>
      </c>
      <c r="CV19" s="517">
        <f>0.000041764768*POWER(CT19,2)-0.000000014452093*POWER(CT19,3)+6.5459673*LN(CT19)</f>
        <v>40.453708645721953</v>
      </c>
      <c r="CW19" s="517">
        <f>EXP(CU19+CV19)/1000</f>
        <v>2.4876671127507155</v>
      </c>
      <c r="CX19" s="517">
        <f>0.62198*(CW19/($F$3-CW19))</f>
        <v>1.5654805179271484E-2</v>
      </c>
      <c r="CY19" s="517">
        <f>DE19/CX19</f>
        <v>-0.29083455946108755</v>
      </c>
      <c r="CZ19" s="517">
        <f>$F$3*DE19/(0.62198+DE19)</f>
        <v>-0.74717897906442421</v>
      </c>
      <c r="DA19" s="517">
        <f>(0.2871*(CL19+273.15)*(1+1.6078*DE19))/$F$3</f>
        <v>0.82736014588923645</v>
      </c>
      <c r="DB19" s="521">
        <f>IF(CL19+CM19&lt;&gt;0,CY19/(1-(1-CY19)*(CW19/$F$3))*100,0)</f>
        <v>-30.035328088501267</v>
      </c>
      <c r="DC19" s="164">
        <f>IF(CL19+CM19&lt;&gt;0,1.006*CL19+DE19*(2501+1.805*CL19),0)</f>
        <v>9.5664712352957615</v>
      </c>
      <c r="DD19" s="164" t="e">
        <f>IF(CL19+CM19&lt;&gt;0,(6.54+14.526*LN(CZ19)+0.7389*POWER(LN(CZ19),2)+0.09486*POWER(LN(CZ19),3)+0.4569*POWER(CZ19,0.1984)),0)</f>
        <v>#NUM!</v>
      </c>
      <c r="DE19" s="164">
        <f>IF(CL19+CM19&lt;&gt;0,(((2501-2.381*CM19)*CS19-(CL19-CM19))/(2501+1.805*CL19-4.186*CM19)),0)</f>
        <v>-4.552958367762574E-3</v>
      </c>
      <c r="DF19" s="164">
        <f>IF(CL19+CM19&lt;&gt;0,1/DA19,0)</f>
        <v>1.2086634882868481</v>
      </c>
      <c r="DG19" s="506" t="str">
        <f>IF(COUNTA(F25)=1,"-",DB19)</f>
        <v>-</v>
      </c>
      <c r="DH19" s="518">
        <f>IF($CN19=0,DC19,DC20)</f>
        <v>44.735939565239605</v>
      </c>
      <c r="DI19" s="518">
        <f>IF($CN19=0,DD19,DD20)</f>
        <v>12.977264184284552</v>
      </c>
      <c r="DJ19" s="519">
        <f>IF($CN19=0,DE19,DE20)</f>
        <v>9.2992607306061469E-3</v>
      </c>
      <c r="DK19" s="518">
        <f>IF($CN19=0,DF19,DF20)</f>
        <v>1.182141165685207</v>
      </c>
      <c r="DL19" s="518">
        <f>IF(CN19&gt;0,'Coil Support'!BD32,"-")</f>
        <v>15.99743017287223</v>
      </c>
      <c r="DN19" s="513">
        <v>250</v>
      </c>
      <c r="DO19" s="417">
        <v>273</v>
      </c>
      <c r="DP19" s="417">
        <f t="shared" si="21"/>
        <v>258.8</v>
      </c>
      <c r="DQ19" s="417">
        <v>7.1</v>
      </c>
      <c r="DR19" s="1186">
        <f t="shared" si="22"/>
        <v>131.50989591265693</v>
      </c>
      <c r="DS19" s="1180">
        <f t="shared" si="23"/>
        <v>2.4999999999999991</v>
      </c>
      <c r="DT19" s="1181">
        <f>ROUND(6.819*(DS19/DP2)^1.852/(DP19/1000)^1.167*1000*9.81,0)</f>
        <v>187</v>
      </c>
      <c r="DU19" s="403"/>
      <c r="DV19" s="403"/>
      <c r="DW19" s="398">
        <f>(IF(DU19=0,DW5,DU19)/1000/9.81*(DP19/1000)^1.167/6.819)^(1/1.852)*DP2</f>
        <v>3.2229675366120589</v>
      </c>
      <c r="DX19" s="398">
        <f>6.819*(IF(DV19=0,DX5,DV19)/DP2)^1.852/(DP19/1000)^1.167*1000*9.81</f>
        <v>187.42010048478974</v>
      </c>
      <c r="DY19" s="398">
        <f>IF(DX19&lt;=DW5,IF(DW19&lt;=IF(DV19=0,DX5,DV19),DW19,(DX19/1000/9.81*(DP19/1000)^1.167/6.819)^(1/1.852)*DP2),IF(DW19&lt;=IF(DV19=0,DX5,DV19),DW19,"Check"))</f>
        <v>2.4999999999999991</v>
      </c>
      <c r="EA19" s="1647">
        <f t="shared" si="34"/>
        <v>24.000633322175549</v>
      </c>
      <c r="EB19" s="1671">
        <v>10</v>
      </c>
      <c r="EC19" s="1644">
        <f t="shared" si="24"/>
        <v>297.15063332217551</v>
      </c>
      <c r="ED19" s="1644">
        <f t="shared" si="25"/>
        <v>-32.581440875774611</v>
      </c>
      <c r="EE19" s="1644">
        <f t="shared" si="26"/>
        <v>40.582876513413943</v>
      </c>
      <c r="EF19" s="1644">
        <f t="shared" si="27"/>
        <v>2.9852406359596202</v>
      </c>
      <c r="EG19" s="1644">
        <f t="shared" si="28"/>
        <v>0.29852406359596201</v>
      </c>
      <c r="EH19" s="1644">
        <f t="shared" si="35"/>
        <v>1.8881070919450717E-2</v>
      </c>
      <c r="EI19" s="1644">
        <f t="shared" si="29"/>
        <v>9.7340581716366198E-2</v>
      </c>
      <c r="EJ19" s="505">
        <f t="shared" si="30"/>
        <v>10</v>
      </c>
      <c r="EK19" s="1648">
        <f t="shared" si="31"/>
        <v>28.820830770902031</v>
      </c>
      <c r="EL19" s="521">
        <f t="shared" si="32"/>
        <v>-9.7488132519992359</v>
      </c>
      <c r="EM19" s="522">
        <f t="shared" si="33"/>
        <v>1.8378944267272979E-3</v>
      </c>
    </row>
    <row r="20" spans="2:143" ht="13.5">
      <c r="B20" s="358" t="b">
        <v>0</v>
      </c>
      <c r="C20" s="359" t="b">
        <v>0</v>
      </c>
      <c r="D20" s="360" t="b">
        <v>0</v>
      </c>
      <c r="E20" s="510" t="b">
        <v>1</v>
      </c>
      <c r="F20" s="510"/>
      <c r="G20" s="510"/>
      <c r="H20" s="326"/>
      <c r="I20" s="1213" t="b">
        <f>IF(OR(D20=TRUE, E20=TRUE), TRUE,FALSE)</f>
        <v>1</v>
      </c>
      <c r="J20" s="1439"/>
      <c r="K20" s="309"/>
      <c r="M20" s="697"/>
      <c r="N20" s="297" t="s">
        <v>5</v>
      </c>
      <c r="O20" s="304">
        <f>IF(AND(C31=0,C32=0),"n/a",C31)</f>
        <v>8.3179999999999996</v>
      </c>
      <c r="P20" s="307">
        <f>F4</f>
        <v>1.2</v>
      </c>
      <c r="Q20" s="297" t="s">
        <v>1108</v>
      </c>
      <c r="R20" s="308" t="e">
        <f>IF(COUNTA(D8,D10,C31,C32)&lt;4,"n/a",O10)</f>
        <v>#VALUE!</v>
      </c>
      <c r="S20" s="323">
        <f>IF(OR(I8="-",I10="-",C31="-",I22="-"),"n/a )",I22)</f>
        <v>35.442120328916417</v>
      </c>
      <c r="U20" s="697" t="s">
        <v>1115</v>
      </c>
      <c r="V20" s="1357" t="s">
        <v>5</v>
      </c>
      <c r="W20" s="1358">
        <f>IF(OR(AA19="n/a )",E14*D10*C31=0),"n/a",U19/W19/X19+AA19)</f>
        <v>24.000633322175549</v>
      </c>
      <c r="X20" s="1359" t="s">
        <v>1974</v>
      </c>
      <c r="Y20" s="381"/>
      <c r="AA20" s="524">
        <f>ABS(W20-D10)</f>
        <v>10.999366677824451</v>
      </c>
      <c r="AB20" s="295"/>
      <c r="AD20" s="697"/>
      <c r="AE20" s="297" t="s">
        <v>5</v>
      </c>
      <c r="AF20" s="304">
        <f>IF(AND(C31=0,C32=0),"n/a",C32)</f>
        <v>2.4860000000000002</v>
      </c>
      <c r="AG20" s="307">
        <f>1.02*F4</f>
        <v>1.224</v>
      </c>
      <c r="AH20" s="297" t="s">
        <v>1108</v>
      </c>
      <c r="AI20" s="371">
        <f>IF(H9="-","n/a",D9)</f>
        <v>7</v>
      </c>
      <c r="AJ20" s="704" t="str">
        <f>IF(OR(AND(BU45=0,C20=TRUE),C20=FALSE,D24&lt;D9),"n/a )",D24)</f>
        <v>n/a )</v>
      </c>
      <c r="AL20" s="700"/>
      <c r="AM20" s="311" t="s">
        <v>5</v>
      </c>
      <c r="AN20" s="341" t="str">
        <f>IF(AN19="n/a","n/a",AN19*3600)</f>
        <v>n/a</v>
      </c>
      <c r="AO20" s="311" t="s">
        <v>156</v>
      </c>
      <c r="AP20" s="311"/>
      <c r="AQ20" s="314"/>
      <c r="AR20" s="296"/>
      <c r="AT20" s="708" t="s">
        <v>1147</v>
      </c>
      <c r="AU20" s="298" t="s">
        <v>5</v>
      </c>
      <c r="AV20" s="298" t="s">
        <v>1116</v>
      </c>
      <c r="AW20" s="298" t="s">
        <v>1097</v>
      </c>
      <c r="AX20" s="297" t="s">
        <v>1108</v>
      </c>
      <c r="AY20" s="297" t="s">
        <v>1172</v>
      </c>
      <c r="AZ20" s="300" t="s">
        <v>1158</v>
      </c>
      <c r="BB20" s="700"/>
      <c r="BC20" s="311" t="s">
        <v>5</v>
      </c>
      <c r="BD20" s="341">
        <f>IF(BD19="n/a","n/a",BD19*3600)</f>
        <v>73.343330097209474</v>
      </c>
      <c r="BE20" s="311" t="s">
        <v>156</v>
      </c>
      <c r="BF20" s="311"/>
      <c r="BG20" s="314"/>
      <c r="BH20" s="296"/>
      <c r="BJ20" s="294" t="e">
        <f t="shared" si="0"/>
        <v>#VALUE!</v>
      </c>
      <c r="BK20" s="294">
        <f t="shared" si="14"/>
        <v>400</v>
      </c>
      <c r="BL20" s="514">
        <f t="shared" si="7"/>
        <v>381.86255053924776</v>
      </c>
      <c r="BN20" s="294" t="str">
        <f t="shared" si="1"/>
        <v/>
      </c>
      <c r="BO20" s="294">
        <f t="shared" si="15"/>
        <v>400</v>
      </c>
      <c r="BP20" s="514">
        <f t="shared" si="8"/>
        <v>381.86255053924776</v>
      </c>
      <c r="BR20" s="294" t="str">
        <f t="shared" si="2"/>
        <v/>
      </c>
      <c r="BS20" s="294">
        <f t="shared" si="16"/>
        <v>400</v>
      </c>
      <c r="BT20" s="514">
        <f t="shared" si="9"/>
        <v>381.86255053924776</v>
      </c>
      <c r="BV20" s="294" t="e">
        <f t="shared" si="3"/>
        <v>#VALUE!</v>
      </c>
      <c r="BW20" s="294">
        <f t="shared" si="17"/>
        <v>400</v>
      </c>
      <c r="BX20" s="514">
        <f t="shared" si="10"/>
        <v>381.86255053924776</v>
      </c>
      <c r="BZ20" s="294" t="str">
        <f t="shared" si="4"/>
        <v/>
      </c>
      <c r="CA20" s="294">
        <f t="shared" si="18"/>
        <v>400</v>
      </c>
      <c r="CB20" s="514">
        <f t="shared" si="11"/>
        <v>381.86255053924776</v>
      </c>
      <c r="CD20" s="294" t="str">
        <f t="shared" si="5"/>
        <v/>
      </c>
      <c r="CE20" s="294">
        <f t="shared" si="19"/>
        <v>400</v>
      </c>
      <c r="CF20" s="514">
        <f t="shared" si="12"/>
        <v>381.86255053924776</v>
      </c>
      <c r="CG20" s="293"/>
      <c r="CH20" s="294" t="str">
        <f t="shared" si="6"/>
        <v/>
      </c>
      <c r="CI20" s="294">
        <f t="shared" si="20"/>
        <v>400</v>
      </c>
      <c r="CJ20" s="514">
        <f t="shared" si="13"/>
        <v>381.86255053924776</v>
      </c>
      <c r="CO20" s="517">
        <f>273.15+CL19</f>
        <v>294.14999999999998</v>
      </c>
      <c r="CP20" s="517">
        <f>-5800.2206/CO20+1.3914993-0.048640239*CO20</f>
        <v>-32.634607997940435</v>
      </c>
      <c r="CQ20" s="517">
        <f>0.000041764768*POWER(CO20,2)-0.000000014452093*POWER(CO20,3)+6.5459673*LN(CO20)</f>
        <v>40.453708645721953</v>
      </c>
      <c r="CR20" s="517">
        <f>EXP(CP20+CQ20)/1000</f>
        <v>2.4876671127507155</v>
      </c>
      <c r="CS20" s="517">
        <f>CN19/100*CR20</f>
        <v>1.4926002676504293</v>
      </c>
      <c r="CT20" s="517">
        <f>0.62198*(CR20/($F$3-CR20))</f>
        <v>1.5654805179271484E-2</v>
      </c>
      <c r="CU20" s="517">
        <f>DE20/CT20</f>
        <v>0.59401957572230224</v>
      </c>
      <c r="CV20" s="517">
        <f>0.2871*(CL19+273.15)*(1+1.6078*DE20)/$F$3</f>
        <v>0.84592266053129772</v>
      </c>
      <c r="CW20" s="504"/>
      <c r="CX20" s="504"/>
      <c r="CY20" s="504"/>
      <c r="CZ20" s="504"/>
      <c r="DA20" s="504"/>
      <c r="DB20" s="1625">
        <f>IF(CL19+CN19&gt;0,CN19,0)</f>
        <v>60</v>
      </c>
      <c r="DC20" s="520">
        <f>IF(CL19+CN19&gt;0,(1.006*CL19+DE20*(2501+1.805*CL19)),0)</f>
        <v>44.735939565239605</v>
      </c>
      <c r="DD20" s="521">
        <f>IF(CL19+CN19&gt;0,(6.54+14.526*LN(CS20)+0.7389*POWER(LN(CS20),2)+0.09486*POWER(LN(CS20),3)+0.4569*POWER(CS20,0.1984)),0)</f>
        <v>12.977264184284552</v>
      </c>
      <c r="DE20" s="522">
        <f>IF(CL19+CN19&gt;0,0.62198*(CS20/($F$3-CS20)),0)</f>
        <v>9.2992607306061469E-3</v>
      </c>
      <c r="DF20" s="521">
        <f>IF(CL19+CN19&gt;0,1/CV20,0)</f>
        <v>1.182141165685207</v>
      </c>
      <c r="DN20" s="761">
        <v>300</v>
      </c>
      <c r="DO20" s="1182">
        <v>323.89999999999998</v>
      </c>
      <c r="DP20" s="1182">
        <f t="shared" si="21"/>
        <v>309.7</v>
      </c>
      <c r="DQ20" s="1182">
        <v>7.1</v>
      </c>
      <c r="DR20" s="1183">
        <f t="shared" si="22"/>
        <v>188.3268753248438</v>
      </c>
      <c r="DS20" s="1184">
        <f t="shared" si="23"/>
        <v>2.4999999999999991</v>
      </c>
      <c r="DT20" s="1185">
        <f>ROUND(6.819*(DS20/DP2)^1.852/(DP20/1000)^1.167*1000*9.81,0)</f>
        <v>152</v>
      </c>
      <c r="DU20" s="403"/>
      <c r="DV20" s="403"/>
      <c r="DW20" s="398">
        <f>(IF(DU20=0,DW5,DU20)/1000/9.81*(DP20/1000)^1.167/6.819)^(1/1.852)*DP2</f>
        <v>3.6090384096293864</v>
      </c>
      <c r="DX20" s="398">
        <f>6.819*(IF(DV20=0,DX5,DV20)/DP2)^1.852/(DP20/1000)^1.167*1000*9.81</f>
        <v>151.99072449482088</v>
      </c>
      <c r="DY20" s="398">
        <f>IF(DX20&lt;=DW5,IF(DW20&lt;=IF(DV20=0,DX5,DV20),DW20,(DX20/1000/9.81*(DP20/1000)^1.167/6.819)^(1/1.852)*DP2),IF(DW20&lt;=IF(DV20=0,DX5,DV20),DW20,"Check"))</f>
        <v>2.4999999999999991</v>
      </c>
      <c r="EA20" s="1647">
        <f t="shared" si="34"/>
        <v>24.000633322175549</v>
      </c>
      <c r="EB20" s="1671">
        <v>11</v>
      </c>
      <c r="EC20" s="1644">
        <f t="shared" si="24"/>
        <v>297.15063332217551</v>
      </c>
      <c r="ED20" s="1644">
        <f t="shared" si="25"/>
        <v>-32.581440875774611</v>
      </c>
      <c r="EE20" s="1644">
        <f t="shared" si="26"/>
        <v>40.582876513413943</v>
      </c>
      <c r="EF20" s="1644">
        <f t="shared" si="27"/>
        <v>2.9852406359596202</v>
      </c>
      <c r="EG20" s="1644">
        <f t="shared" si="28"/>
        <v>0.32837646995555825</v>
      </c>
      <c r="EH20" s="1644">
        <f t="shared" si="35"/>
        <v>1.8881070919450717E-2</v>
      </c>
      <c r="EI20" s="1644">
        <f t="shared" si="29"/>
        <v>0.10710628882386841</v>
      </c>
      <c r="EJ20" s="505">
        <f t="shared" si="30"/>
        <v>11</v>
      </c>
      <c r="EK20" s="1648">
        <f t="shared" si="31"/>
        <v>29.28997053508736</v>
      </c>
      <c r="EL20" s="521">
        <f t="shared" si="32"/>
        <v>-8.4844404598664269</v>
      </c>
      <c r="EM20" s="522">
        <f t="shared" si="33"/>
        <v>2.0222814352026312E-3</v>
      </c>
    </row>
    <row r="21" spans="2:143" ht="13.5">
      <c r="B21" s="2014"/>
      <c r="C21" s="2015"/>
      <c r="D21" s="303" t="s">
        <v>1120</v>
      </c>
      <c r="E21" s="303" t="s">
        <v>1121</v>
      </c>
      <c r="F21" s="303" t="s">
        <v>354</v>
      </c>
      <c r="G21" s="303" t="s">
        <v>1121</v>
      </c>
      <c r="H21" s="303" t="s">
        <v>1184</v>
      </c>
      <c r="I21" s="303" t="s">
        <v>1185</v>
      </c>
      <c r="J21" s="303" t="s">
        <v>1204</v>
      </c>
      <c r="K21" s="303" t="s">
        <v>354</v>
      </c>
      <c r="M21" s="705"/>
      <c r="N21" s="324" t="s">
        <v>5</v>
      </c>
      <c r="O21" s="325" t="e">
        <f>IF(COUNTA(D8,D10,C31,C32)&lt;4,"n/a",O20*P20*(R20-S20))</f>
        <v>#VALUE!</v>
      </c>
      <c r="P21" s="318" t="s">
        <v>6</v>
      </c>
      <c r="Q21" s="318"/>
      <c r="R21" s="314"/>
      <c r="S21" s="296"/>
      <c r="U21" s="1847" t="s">
        <v>1728</v>
      </c>
      <c r="V21" s="1848"/>
      <c r="W21" s="1848"/>
      <c r="X21" s="1848"/>
      <c r="Y21" s="1848"/>
      <c r="Z21" s="1848"/>
      <c r="AA21" s="1848"/>
      <c r="AB21" s="1849"/>
      <c r="AD21" s="710"/>
      <c r="AE21" s="334" t="s">
        <v>5</v>
      </c>
      <c r="AF21" s="715" t="str">
        <f>IF(OR(AJ20="n/a )",H9="-",H11="-"),"n/a",AF20*AG20*(AI20-AJ20))</f>
        <v>n/a</v>
      </c>
      <c r="AG21" s="381" t="s">
        <v>6</v>
      </c>
      <c r="AH21" s="381"/>
      <c r="AJ21" s="295"/>
      <c r="AT21" s="697"/>
      <c r="AU21" s="297" t="s">
        <v>5</v>
      </c>
      <c r="AV21" s="304">
        <f>IF(C32&gt;0,C32,"n/a")</f>
        <v>2.4860000000000002</v>
      </c>
      <c r="AW21" s="307">
        <f>IF(F4="-","n/a",F4)</f>
        <v>1.2</v>
      </c>
      <c r="AX21" s="297" t="s">
        <v>1108</v>
      </c>
      <c r="AY21" s="350">
        <f>IF(OR(I8="-",C32=0),"n/a",H8)</f>
        <v>2.1131965752076085E-2</v>
      </c>
      <c r="AZ21" s="712">
        <f>IF(OR(H22="-",C32=0),"n/a",H22)</f>
        <v>8.85895440377126E-3</v>
      </c>
      <c r="BJ21" s="294" t="e">
        <f t="shared" si="0"/>
        <v>#VALUE!</v>
      </c>
      <c r="BK21" s="294">
        <f t="shared" si="14"/>
        <v>450</v>
      </c>
      <c r="BL21" s="514">
        <f t="shared" si="7"/>
        <v>472.20525193871305</v>
      </c>
      <c r="BN21" s="294" t="str">
        <f t="shared" si="1"/>
        <v/>
      </c>
      <c r="BO21" s="294">
        <f t="shared" si="15"/>
        <v>450</v>
      </c>
      <c r="BP21" s="514">
        <f t="shared" si="8"/>
        <v>472.20525193871305</v>
      </c>
      <c r="BR21" s="294" t="str">
        <f t="shared" si="2"/>
        <v/>
      </c>
      <c r="BS21" s="294">
        <f t="shared" si="16"/>
        <v>450</v>
      </c>
      <c r="BT21" s="514">
        <f t="shared" si="9"/>
        <v>472.20525193871305</v>
      </c>
      <c r="BV21" s="294" t="e">
        <f t="shared" si="3"/>
        <v>#VALUE!</v>
      </c>
      <c r="BW21" s="294">
        <f t="shared" si="17"/>
        <v>450</v>
      </c>
      <c r="BX21" s="514">
        <f t="shared" si="10"/>
        <v>472.20525193871305</v>
      </c>
      <c r="BZ21" s="294" t="str">
        <f t="shared" si="4"/>
        <v/>
      </c>
      <c r="CA21" s="294">
        <f t="shared" si="18"/>
        <v>450</v>
      </c>
      <c r="CB21" s="514">
        <f t="shared" si="11"/>
        <v>472.20525193871305</v>
      </c>
      <c r="CD21" s="294" t="str">
        <f t="shared" si="5"/>
        <v/>
      </c>
      <c r="CE21" s="294">
        <f t="shared" si="19"/>
        <v>450</v>
      </c>
      <c r="CF21" s="514">
        <f t="shared" si="12"/>
        <v>472.20525193871305</v>
      </c>
      <c r="CG21" s="293"/>
      <c r="CH21" s="294" t="str">
        <f t="shared" si="6"/>
        <v/>
      </c>
      <c r="CI21" s="294">
        <f t="shared" si="20"/>
        <v>450</v>
      </c>
      <c r="CJ21" s="514">
        <f t="shared" si="13"/>
        <v>472.20525193871305</v>
      </c>
      <c r="DN21" s="513">
        <v>350</v>
      </c>
      <c r="DO21" s="417">
        <v>355.6</v>
      </c>
      <c r="DP21" s="417">
        <f t="shared" si="21"/>
        <v>341.40000000000003</v>
      </c>
      <c r="DQ21" s="417">
        <v>7.1</v>
      </c>
      <c r="DR21" s="1186">
        <f t="shared" si="22"/>
        <v>228.8531653017491</v>
      </c>
      <c r="DS21" s="1180">
        <f t="shared" si="23"/>
        <v>2.4999999999999991</v>
      </c>
      <c r="DT21" s="1181">
        <f>ROUND(6.819*(DS21/DP2)^1.852/(DP21/1000)^1.167*1000*9.81,0)</f>
        <v>136</v>
      </c>
      <c r="DU21" s="403"/>
      <c r="DV21" s="403"/>
      <c r="DW21" s="398">
        <f>(IF(DU21=0,DW5,DU21)/1000/9.81*(DP21/1000)^1.167/6.819)^(1/1.852)*DP2</f>
        <v>3.8376029989572733</v>
      </c>
      <c r="DX21" s="398">
        <f>6.819*(IF(DV21=0,DX5,DV21)/DP2)^1.852/(DP21/1000)^1.167*1000*9.81</f>
        <v>135.65223317456505</v>
      </c>
      <c r="DY21" s="398">
        <f>IF(DX21&lt;=DW5,IF(DW21&lt;=IF(DV21=0,DX5,DV21),DW21,(DX21/1000/9.81*(DP21/1000)^1.167/6.819)^(1/1.852)*DP2),IF(DW21&lt;=IF(DV21=0,DX5,DV21),DW21,"Check"))</f>
        <v>2.4999999999999991</v>
      </c>
      <c r="EA21" s="1647">
        <f t="shared" si="34"/>
        <v>24.000633322175549</v>
      </c>
      <c r="EB21" s="1671">
        <v>12</v>
      </c>
      <c r="EC21" s="1644">
        <f t="shared" si="24"/>
        <v>297.15063332217551</v>
      </c>
      <c r="ED21" s="1644">
        <f t="shared" si="25"/>
        <v>-32.581440875774611</v>
      </c>
      <c r="EE21" s="1644">
        <f t="shared" si="26"/>
        <v>40.582876513413943</v>
      </c>
      <c r="EF21" s="1644">
        <f t="shared" si="27"/>
        <v>2.9852406359596202</v>
      </c>
      <c r="EG21" s="1644">
        <f t="shared" si="28"/>
        <v>0.35822887631515443</v>
      </c>
      <c r="EH21" s="1644">
        <f t="shared" si="35"/>
        <v>1.8881070919450717E-2</v>
      </c>
      <c r="EI21" s="1644">
        <f t="shared" si="29"/>
        <v>0.11687777069971703</v>
      </c>
      <c r="EJ21" s="505">
        <f t="shared" si="30"/>
        <v>12</v>
      </c>
      <c r="EK21" s="1648">
        <f t="shared" si="31"/>
        <v>29.759387716302548</v>
      </c>
      <c r="EL21" s="521">
        <f t="shared" si="32"/>
        <v>-7.3233621860197147</v>
      </c>
      <c r="EM21" s="522">
        <f t="shared" si="33"/>
        <v>2.2067774774886563E-3</v>
      </c>
    </row>
    <row r="22" spans="2:143" ht="12.75" customHeight="1">
      <c r="B22" s="2043" t="s">
        <v>1107</v>
      </c>
      <c r="C22" s="2043"/>
      <c r="D22" s="1393">
        <v>13</v>
      </c>
      <c r="E22" s="1393"/>
      <c r="F22" s="1394">
        <v>95</v>
      </c>
      <c r="G22" s="386">
        <f>IF(COUNTA(D22,E22,F22)=2,DL16,"-")</f>
        <v>12.537107419866073</v>
      </c>
      <c r="H22" s="327">
        <f>IF(COUNTA(D22,E22,F22)=2,DJ16,"-")</f>
        <v>8.85895440377126E-3</v>
      </c>
      <c r="I22" s="385">
        <f>IF(COUNTA(D22,E22,F22)=2,DH16,"-")</f>
        <v>35.442120328916417</v>
      </c>
      <c r="J22" s="386">
        <f>IF(COUNTA(D22,E22,F22)=2,DI16,"-")</f>
        <v>12.249588086092059</v>
      </c>
      <c r="K22" s="507" t="str">
        <f>IF(COUNTA(D22,E22,F22)=2,DG16,"-")</f>
        <v>-</v>
      </c>
      <c r="M22" s="1224" t="s">
        <v>1730</v>
      </c>
      <c r="N22" s="1384"/>
      <c r="O22" s="1384"/>
      <c r="P22" s="1384"/>
      <c r="Q22" s="1384"/>
      <c r="R22" s="1384"/>
      <c r="S22" s="1385"/>
      <c r="U22" s="708" t="s">
        <v>1726</v>
      </c>
      <c r="V22" s="298" t="s">
        <v>5</v>
      </c>
      <c r="W22" s="298" t="s">
        <v>1112</v>
      </c>
      <c r="X22" s="298" t="s">
        <v>1097</v>
      </c>
      <c r="Y22" s="298" t="s">
        <v>1108</v>
      </c>
      <c r="Z22" s="298" t="s">
        <v>1157</v>
      </c>
      <c r="AA22" s="298" t="str">
        <f>IF(B20=FALSE,"ws1)",IF(B20=TRUE,"ws2)","n/a )"))</f>
        <v>ws1)</v>
      </c>
      <c r="AB22" s="316" t="s">
        <v>1188</v>
      </c>
      <c r="AD22" s="1847" t="s">
        <v>165</v>
      </c>
      <c r="AE22" s="1848"/>
      <c r="AF22" s="1848"/>
      <c r="AG22" s="1848"/>
      <c r="AH22" s="1848"/>
      <c r="AI22" s="1848"/>
      <c r="AJ22" s="1849"/>
      <c r="AL22" s="1847" t="s">
        <v>356</v>
      </c>
      <c r="AM22" s="1848"/>
      <c r="AN22" s="1848"/>
      <c r="AO22" s="1848"/>
      <c r="AP22" s="1848"/>
      <c r="AQ22" s="1848"/>
      <c r="AR22" s="1849"/>
      <c r="AT22" s="710"/>
      <c r="AU22" s="334" t="s">
        <v>5</v>
      </c>
      <c r="AV22" s="346">
        <f>IF(AV21="n/a","n/a",AV21*AW21*(AY21-AZ21))</f>
        <v>3.6612847454262951E-2</v>
      </c>
      <c r="AW22" s="334" t="s">
        <v>139</v>
      </c>
      <c r="AX22" s="334"/>
      <c r="AZ22" s="295"/>
      <c r="BB22" s="1847" t="s">
        <v>356</v>
      </c>
      <c r="BC22" s="1848"/>
      <c r="BD22" s="1848"/>
      <c r="BE22" s="1848"/>
      <c r="BF22" s="1848"/>
      <c r="BG22" s="1848"/>
      <c r="BH22" s="1849"/>
      <c r="BJ22" s="294" t="e">
        <f t="shared" si="0"/>
        <v>#VALUE!</v>
      </c>
      <c r="BK22" s="294">
        <f t="shared" si="14"/>
        <v>500</v>
      </c>
      <c r="BL22" s="514">
        <f t="shared" si="7"/>
        <v>575.52791462538266</v>
      </c>
      <c r="BN22" s="294" t="str">
        <f t="shared" si="1"/>
        <v/>
      </c>
      <c r="BO22" s="294">
        <f t="shared" si="15"/>
        <v>500</v>
      </c>
      <c r="BP22" s="514">
        <f t="shared" si="8"/>
        <v>575.52791462538266</v>
      </c>
      <c r="BR22" s="294" t="str">
        <f t="shared" si="2"/>
        <v/>
      </c>
      <c r="BS22" s="294">
        <f t="shared" si="16"/>
        <v>500</v>
      </c>
      <c r="BT22" s="514">
        <f t="shared" si="9"/>
        <v>575.52791462538266</v>
      </c>
      <c r="BV22" s="294" t="e">
        <f t="shared" si="3"/>
        <v>#VALUE!</v>
      </c>
      <c r="BW22" s="294">
        <f t="shared" si="17"/>
        <v>500</v>
      </c>
      <c r="BX22" s="514">
        <f t="shared" si="10"/>
        <v>575.52791462538266</v>
      </c>
      <c r="BZ22" s="294" t="str">
        <f t="shared" si="4"/>
        <v/>
      </c>
      <c r="CA22" s="294">
        <f t="shared" si="18"/>
        <v>500</v>
      </c>
      <c r="CB22" s="514">
        <f t="shared" si="11"/>
        <v>575.52791462538266</v>
      </c>
      <c r="CD22" s="294" t="str">
        <f t="shared" si="5"/>
        <v/>
      </c>
      <c r="CE22" s="294">
        <f t="shared" si="19"/>
        <v>500</v>
      </c>
      <c r="CF22" s="514">
        <f t="shared" si="12"/>
        <v>575.52791462538266</v>
      </c>
      <c r="CG22" s="293"/>
      <c r="CH22" s="294" t="str">
        <f t="shared" si="6"/>
        <v/>
      </c>
      <c r="CI22" s="294">
        <f t="shared" si="20"/>
        <v>500</v>
      </c>
      <c r="CJ22" s="514">
        <f t="shared" si="13"/>
        <v>575.52791462538266</v>
      </c>
      <c r="CL22" s="293"/>
      <c r="CM22" s="293"/>
      <c r="CN22" s="293"/>
      <c r="CO22" s="293"/>
      <c r="CP22" s="293"/>
      <c r="CQ22" s="293"/>
      <c r="CW22" s="1673" t="e">
        <f>O13</f>
        <v>#VALUE!</v>
      </c>
      <c r="CX22" s="293" t="e">
        <f>MATCH(CW22,CX26:CX125)</f>
        <v>#VALUE!</v>
      </c>
      <c r="DK22" s="1673" t="e">
        <f>AF14</f>
        <v>#VALUE!</v>
      </c>
      <c r="DL22" s="293" t="e">
        <f>MATCH(DK22,DL26:DL125)</f>
        <v>#VALUE!</v>
      </c>
      <c r="DN22" s="761">
        <v>400</v>
      </c>
      <c r="DO22" s="1182">
        <v>406.4</v>
      </c>
      <c r="DP22" s="1182">
        <f t="shared" si="21"/>
        <v>390.4</v>
      </c>
      <c r="DQ22" s="1182">
        <v>8</v>
      </c>
      <c r="DR22" s="1183">
        <f t="shared" si="22"/>
        <v>299.2605763585949</v>
      </c>
      <c r="DS22" s="1184">
        <f t="shared" si="23"/>
        <v>2.4999999999999991</v>
      </c>
      <c r="DT22" s="1185">
        <f>ROUND(6.819*(DS22/DP2)^1.852/(DP22/1000)^1.167*1000*9.81,0)</f>
        <v>116</v>
      </c>
      <c r="DU22" s="403"/>
      <c r="DV22" s="403"/>
      <c r="DW22" s="398">
        <f>(IF(DU22=0,DW5,DU22)/1000/9.81*(DP22/1000)^1.167/6.819)^(1/1.852)*DP2</f>
        <v>4.176021799206918</v>
      </c>
      <c r="DX22" s="398">
        <f>6.819*(IF(DV22=0,DX5,DV22)/DP2)^1.852/(DP22/1000)^1.167*1000*9.81</f>
        <v>115.99880753486131</v>
      </c>
      <c r="DY22" s="398">
        <f>IF(DX22&lt;=DW5,IF(DW22&lt;=IF(DV22=0,DX5,DV22),DW22,(DX22/1000/9.81*(DP22/1000)^1.167/6.819)^(1/1.852)*DP2),IF(DW22&lt;=IF(DV22=0,DX5,DV22),DW22,"Check"))</f>
        <v>2.4999999999999991</v>
      </c>
      <c r="EA22" s="1647">
        <f t="shared" si="34"/>
        <v>24.000633322175549</v>
      </c>
      <c r="EB22" s="1671">
        <v>13</v>
      </c>
      <c r="EC22" s="1644">
        <f t="shared" si="24"/>
        <v>297.15063332217551</v>
      </c>
      <c r="ED22" s="1644">
        <f t="shared" si="25"/>
        <v>-32.581440875774611</v>
      </c>
      <c r="EE22" s="1644">
        <f t="shared" si="26"/>
        <v>40.582876513413943</v>
      </c>
      <c r="EF22" s="1644">
        <f t="shared" si="27"/>
        <v>2.9852406359596202</v>
      </c>
      <c r="EG22" s="1644">
        <f t="shared" si="28"/>
        <v>0.38808128267475062</v>
      </c>
      <c r="EH22" s="1644">
        <f t="shared" si="35"/>
        <v>1.8881070919450717E-2</v>
      </c>
      <c r="EI22" s="1644">
        <f t="shared" si="29"/>
        <v>0.12665503246762891</v>
      </c>
      <c r="EJ22" s="505">
        <f t="shared" si="30"/>
        <v>13</v>
      </c>
      <c r="EK22" s="1648">
        <f t="shared" si="31"/>
        <v>30.229082560688436</v>
      </c>
      <c r="EL22" s="521">
        <f t="shared" si="32"/>
        <v>-6.2492107434759578</v>
      </c>
      <c r="EM22" s="522">
        <f t="shared" si="33"/>
        <v>2.3913826503266346E-3</v>
      </c>
    </row>
    <row r="23" spans="2:143" ht="13.5">
      <c r="B23" s="2044" t="str">
        <f>IF(B20=TRUE,"Cooling Reheat off-coil (s2)","")</f>
        <v/>
      </c>
      <c r="C23" s="2044"/>
      <c r="D23" s="1393"/>
      <c r="E23" s="303" t="s">
        <v>243</v>
      </c>
      <c r="F23" s="303" t="s">
        <v>243</v>
      </c>
      <c r="G23" s="386" t="str">
        <f>IF(AND(COUNTA(D23)=1,B20=TRUE,D23&gt;D22),'Coil Support'!CK32,"-")</f>
        <v>-</v>
      </c>
      <c r="H23" s="327" t="str">
        <f>IF(AND(COUNTA(D23)=1,B20=TRUE,D23&gt;D22),H22,"-")</f>
        <v>-</v>
      </c>
      <c r="I23" s="385" t="str">
        <f>IF(AND(COUNTA(D23)=1,B20=TRUE,D23&gt;D22),'Coil Support'!CK26,"-")</f>
        <v>-</v>
      </c>
      <c r="J23" s="386" t="str">
        <f>IF(AND(COUNTA(D23)=1,B20=TRUE,D23&gt;D22),'Coil Support'!CK29,"-")</f>
        <v>-</v>
      </c>
      <c r="K23" s="507" t="str">
        <f>IF(AND(COUNTA(D23)=1,B20=TRUE,D23&gt;D22),CX129,"-")</f>
        <v>-</v>
      </c>
      <c r="L23" s="524" t="str">
        <f>IF(B20=TRUE,IF(D23&gt;D22,"ok","x"),"ok")</f>
        <v>ok</v>
      </c>
      <c r="M23" s="697" t="s">
        <v>1136</v>
      </c>
      <c r="N23" s="297" t="s">
        <v>5</v>
      </c>
      <c r="O23" s="297" t="s">
        <v>1112</v>
      </c>
      <c r="P23" s="297" t="s">
        <v>137</v>
      </c>
      <c r="Q23" s="297" t="s">
        <v>1108</v>
      </c>
      <c r="R23" s="297" t="s">
        <v>1137</v>
      </c>
      <c r="S23" s="300" t="s">
        <v>1181</v>
      </c>
      <c r="U23" s="706" t="str">
        <f>IF(E15*C31&gt;0,E15,"n/a")</f>
        <v>n/a</v>
      </c>
      <c r="V23" s="297" t="s">
        <v>5</v>
      </c>
      <c r="W23" s="304">
        <f>IF(AND(C31=0,C32=0),"n/a",C31)</f>
        <v>8.3179999999999996</v>
      </c>
      <c r="X23" s="322">
        <f>F4</f>
        <v>1.2</v>
      </c>
      <c r="Y23" s="297" t="s">
        <v>1108</v>
      </c>
      <c r="Z23" s="297" t="s">
        <v>1157</v>
      </c>
      <c r="AA23" s="382">
        <f>IF(B20=FALSE,IF(H22="-","n/a )",H22),IF(B20=TRUE,H23,"n/a )"))</f>
        <v>8.85895440377126E-3</v>
      </c>
      <c r="AB23" s="295" t="s">
        <v>1189</v>
      </c>
      <c r="AD23" s="697" t="s">
        <v>1140</v>
      </c>
      <c r="AE23" s="297" t="s">
        <v>5</v>
      </c>
      <c r="AF23" s="298" t="s">
        <v>1116</v>
      </c>
      <c r="AG23" s="297" t="s">
        <v>137</v>
      </c>
      <c r="AH23" s="297" t="s">
        <v>1108</v>
      </c>
      <c r="AI23" s="297" t="str">
        <f>IF(C20=FALSE,"to -","tpre -")</f>
        <v>to -</v>
      </c>
      <c r="AJ23" s="714" t="s">
        <v>1143</v>
      </c>
      <c r="AL23" s="2027" t="s">
        <v>1168</v>
      </c>
      <c r="AM23" s="2013"/>
      <c r="AN23" s="2013"/>
      <c r="AO23" s="719" t="e">
        <f>IF(I20=FALSE,"n/a",SUM(AN9,AN14,AN20))</f>
        <v>#VALUE!</v>
      </c>
      <c r="AP23" s="2010" t="s">
        <v>156</v>
      </c>
      <c r="AQ23" s="2010"/>
      <c r="AR23" s="2011"/>
      <c r="AT23" s="700"/>
      <c r="AU23" s="721" t="s">
        <v>5</v>
      </c>
      <c r="AV23" s="722">
        <f>IF(AV22="n/a","n/a",AV22*3600)</f>
        <v>131.80625083534662</v>
      </c>
      <c r="AW23" s="721" t="s">
        <v>156</v>
      </c>
      <c r="AX23" s="721"/>
      <c r="AY23" s="1227" t="str">
        <f>IF(AV22="n/a","-","[CDP: Ø"&amp;VLOOKUP(MIN(BZ39:BZ46),BZ39:CA46,2,FALSE)&amp;"]")</f>
        <v>[CDP: Ø50]</v>
      </c>
      <c r="AZ23" s="296"/>
      <c r="BB23" s="2028" t="s">
        <v>1168</v>
      </c>
      <c r="BC23" s="2029"/>
      <c r="BD23" s="2029"/>
      <c r="BE23" s="719">
        <f>IF(I20=FALSE,"n/a",SUM(BD9,BD14,BD20))</f>
        <v>73.343330097209474</v>
      </c>
      <c r="BF23" s="2010" t="s">
        <v>156</v>
      </c>
      <c r="BG23" s="2010"/>
      <c r="BH23" s="2011"/>
      <c r="BJ23" s="294" t="e">
        <f t="shared" si="0"/>
        <v>#VALUE!</v>
      </c>
      <c r="BK23" s="294">
        <f t="shared" si="14"/>
        <v>550</v>
      </c>
      <c r="BL23" s="514">
        <f t="shared" si="7"/>
        <v>689.0646804270358</v>
      </c>
      <c r="BN23" s="294" t="str">
        <f t="shared" si="1"/>
        <v/>
      </c>
      <c r="BO23" s="294">
        <f t="shared" si="15"/>
        <v>550</v>
      </c>
      <c r="BP23" s="514">
        <f t="shared" si="8"/>
        <v>689.0646804270358</v>
      </c>
      <c r="BR23" s="294" t="str">
        <f t="shared" si="2"/>
        <v/>
      </c>
      <c r="BS23" s="294">
        <f t="shared" si="16"/>
        <v>550</v>
      </c>
      <c r="BT23" s="514">
        <f t="shared" si="9"/>
        <v>689.0646804270358</v>
      </c>
      <c r="BV23" s="294" t="e">
        <f t="shared" si="3"/>
        <v>#VALUE!</v>
      </c>
      <c r="BW23" s="294">
        <f t="shared" si="17"/>
        <v>550</v>
      </c>
      <c r="BX23" s="514">
        <f t="shared" si="10"/>
        <v>689.0646804270358</v>
      </c>
      <c r="BZ23" s="294" t="str">
        <f t="shared" si="4"/>
        <v/>
      </c>
      <c r="CA23" s="294">
        <f t="shared" si="18"/>
        <v>550</v>
      </c>
      <c r="CB23" s="514">
        <f t="shared" si="11"/>
        <v>689.0646804270358</v>
      </c>
      <c r="CD23" s="294" t="str">
        <f t="shared" si="5"/>
        <v/>
      </c>
      <c r="CE23" s="294">
        <f t="shared" si="19"/>
        <v>550</v>
      </c>
      <c r="CF23" s="514">
        <f t="shared" si="12"/>
        <v>689.0646804270358</v>
      </c>
      <c r="CG23" s="293"/>
      <c r="CH23" s="294" t="str">
        <f t="shared" si="6"/>
        <v/>
      </c>
      <c r="CI23" s="294">
        <f t="shared" si="20"/>
        <v>550</v>
      </c>
      <c r="CJ23" s="514">
        <f t="shared" si="13"/>
        <v>689.0646804270358</v>
      </c>
      <c r="CL23" s="293"/>
      <c r="CM23" s="293"/>
      <c r="CN23" s="293"/>
      <c r="CO23" s="293"/>
      <c r="CP23" s="293"/>
      <c r="CQ23" s="293"/>
      <c r="CX23" s="1190" t="e">
        <f>INDEX(CM26:CM125,CX22) + (CW22-INDEX(CX26:CX125,CX22)) * (INDEX(CM26:CM125,CX22+1)-INDEX(CM26:CM125,CX22)) / (INDEX(CX26:CX125,CX22+1)-INDEX(CX26:CX125,CX22))</f>
        <v>#VALUE!</v>
      </c>
      <c r="DL23" s="1190" t="e">
        <f>INDEX(DA26:DA125,DL22) + (DK22-INDEX(DL26:DL125,DL22)) * (INDEX(DA26:DA125,DL22+1)-INDEX(DA26:DA125,DL22)) / (INDEX(DL26:DL125,DL22+1)-INDEX(DL26:DL125,DL22))</f>
        <v>#VALUE!</v>
      </c>
      <c r="DN23" s="513">
        <v>450</v>
      </c>
      <c r="DO23" s="417">
        <v>457</v>
      </c>
      <c r="DP23" s="417">
        <f t="shared" si="21"/>
        <v>441</v>
      </c>
      <c r="DQ23" s="417">
        <v>8</v>
      </c>
      <c r="DR23" s="1186">
        <f t="shared" si="22"/>
        <v>381.86255053924776</v>
      </c>
      <c r="DS23" s="1180">
        <f t="shared" si="23"/>
        <v>2.4999999999999991</v>
      </c>
      <c r="DT23" s="1181">
        <f>ROUND(6.819*(DS23/DP2)^1.852/(DP23/1000)^1.167*1000*9.81,0)</f>
        <v>101</v>
      </c>
      <c r="DU23" s="403"/>
      <c r="DV23" s="403"/>
      <c r="DW23" s="398">
        <f>(IF(DU23=0,DW5,DU23)/1000/9.81*(DP23/1000)^1.167/6.819)^(1/1.852)*DP2</f>
        <v>4.5093583349826476</v>
      </c>
      <c r="DX23" s="398">
        <f>6.819*(IF(DV23=0,DX5,DV23)/DP2)^1.852/(DP23/1000)^1.167*1000*9.81</f>
        <v>100.62030696380788</v>
      </c>
      <c r="DY23" s="398">
        <f>IF(DX23&lt;=DW5,IF(DW23&lt;=IF(DV23=0,DX5,DV23),DW23,(DX23/1000/9.81*(DP23/1000)^1.167/6.819)^(1/1.852)*DP2),IF(DW23&lt;=IF(DV23=0,DX5,DV23),DW23,"Check"))</f>
        <v>2.4999999999999991</v>
      </c>
      <c r="EA23" s="1647">
        <f t="shared" si="34"/>
        <v>24.000633322175549</v>
      </c>
      <c r="EB23" s="1671">
        <v>14</v>
      </c>
      <c r="EC23" s="1644">
        <f t="shared" si="24"/>
        <v>297.15063332217551</v>
      </c>
      <c r="ED23" s="1644">
        <f t="shared" si="25"/>
        <v>-32.581440875774611</v>
      </c>
      <c r="EE23" s="1644">
        <f t="shared" si="26"/>
        <v>40.582876513413943</v>
      </c>
      <c r="EF23" s="1644">
        <f t="shared" si="27"/>
        <v>2.9852406359596202</v>
      </c>
      <c r="EG23" s="1644">
        <f t="shared" si="28"/>
        <v>0.41793368903434686</v>
      </c>
      <c r="EH23" s="1644">
        <f t="shared" si="35"/>
        <v>1.8881070919450717E-2</v>
      </c>
      <c r="EI23" s="1644">
        <f t="shared" si="29"/>
        <v>0.13643807925738421</v>
      </c>
      <c r="EJ23" s="505">
        <f t="shared" si="30"/>
        <v>14</v>
      </c>
      <c r="EK23" s="1648">
        <f t="shared" si="31"/>
        <v>30.699055314677135</v>
      </c>
      <c r="EL23" s="521">
        <f t="shared" si="32"/>
        <v>-5.2492593130862284</v>
      </c>
      <c r="EM23" s="522">
        <f t="shared" si="33"/>
        <v>2.5760970505723092E-3</v>
      </c>
    </row>
    <row r="24" spans="2:143" ht="13.5" customHeight="1">
      <c r="B24" s="2044" t="str">
        <f>IF(C20=TRUE,"Preheat off-coil (tpre)","")</f>
        <v/>
      </c>
      <c r="C24" s="2044"/>
      <c r="D24" s="1393"/>
      <c r="E24" s="303" t="s">
        <v>243</v>
      </c>
      <c r="F24" s="303" t="s">
        <v>243</v>
      </c>
      <c r="G24" s="386" t="str">
        <f>IF(AND(C20=TRUE,D24&gt;D9,COUNTA(D24)=1),'Coil Support'!CV32,"-")</f>
        <v>-</v>
      </c>
      <c r="H24" s="327" t="str">
        <f>IF(AND(C20=TRUE,D24&gt;D9,COUNTA(D24)=1),H9,"-")</f>
        <v>-</v>
      </c>
      <c r="I24" s="385" t="str">
        <f>IF(AND(C20=TRUE,D24&gt;D9,COUNTA(D24)=1),'Coil Support'!CV26,"-")</f>
        <v>-</v>
      </c>
      <c r="J24" s="386" t="str">
        <f>IF(AND(C20=TRUE,D24&gt;D9,COUNTA(D24)=1),'Coil Support'!CV29,"-")</f>
        <v>-</v>
      </c>
      <c r="K24" s="507" t="str">
        <f>IF(AND(C20=TRUE,D24&gt;D9,COUNTA(D24)=1),DL129,"-")</f>
        <v>-</v>
      </c>
      <c r="M24" s="697"/>
      <c r="N24" s="297" t="s">
        <v>5</v>
      </c>
      <c r="O24" s="304">
        <f>IF(AND(C31=0,C32=0),"n/a",C31)</f>
        <v>8.3179999999999996</v>
      </c>
      <c r="P24" s="307">
        <f>1.02*F4</f>
        <v>1.224</v>
      </c>
      <c r="Q24" s="297" t="s">
        <v>1108</v>
      </c>
      <c r="R24" s="371" t="e">
        <f>IF(OR(I8="-",I10="-",C31="-"),"n/a",O7)</f>
        <v>#VALUE!</v>
      </c>
      <c r="S24" s="704">
        <f>IF(D8*D10*C31*D22=0,"n/a )",D22)</f>
        <v>13</v>
      </c>
      <c r="U24" s="697" t="s">
        <v>1130</v>
      </c>
      <c r="V24" s="1357" t="s">
        <v>5</v>
      </c>
      <c r="W24" s="1360" t="str">
        <f>IF(OR(AA23="-",COUNTA(C31,E15)&lt;2),"n/a",((U23/(W23*F4*2500.8))+AA23))</f>
        <v>n/a</v>
      </c>
      <c r="X24" s="1359" t="s">
        <v>1719</v>
      </c>
      <c r="Z24" s="1791"/>
      <c r="AA24" s="1786"/>
      <c r="AB24" s="1223"/>
      <c r="AD24" s="697"/>
      <c r="AE24" s="297" t="s">
        <v>5</v>
      </c>
      <c r="AF24" s="304">
        <f>IF(AND(C31=0,C32=0),"n/a",C32)</f>
        <v>2.4860000000000002</v>
      </c>
      <c r="AG24" s="307">
        <f>1.02*F4</f>
        <v>1.224</v>
      </c>
      <c r="AH24" s="297" t="s">
        <v>1108</v>
      </c>
      <c r="AI24" s="371">
        <f>IF(H9="-","n/a -",IF(C20=FALSE,D9,IF(AND(BU45=1,C20=TRUE,D24&gt;D9),D24,"n/a -")))</f>
        <v>7</v>
      </c>
      <c r="AJ24" s="704">
        <f>IF(D11*C31=0,"n/a )",D11)</f>
        <v>20</v>
      </c>
      <c r="BJ24" s="294" t="e">
        <f t="shared" si="0"/>
        <v>#VALUE!</v>
      </c>
      <c r="BK24" s="294">
        <f t="shared" si="14"/>
        <v>600</v>
      </c>
      <c r="BL24" s="514">
        <f t="shared" si="7"/>
        <v>804.24771931898681</v>
      </c>
      <c r="BN24" s="294" t="str">
        <f t="shared" si="1"/>
        <v/>
      </c>
      <c r="BO24" s="294">
        <f t="shared" si="15"/>
        <v>600</v>
      </c>
      <c r="BP24" s="514">
        <f t="shared" si="8"/>
        <v>804.24771931898681</v>
      </c>
      <c r="BR24" s="294" t="str">
        <f t="shared" si="2"/>
        <v/>
      </c>
      <c r="BS24" s="294">
        <f t="shared" si="16"/>
        <v>600</v>
      </c>
      <c r="BT24" s="514">
        <f t="shared" si="9"/>
        <v>804.24771931898681</v>
      </c>
      <c r="BV24" s="294" t="e">
        <f t="shared" si="3"/>
        <v>#VALUE!</v>
      </c>
      <c r="BW24" s="294">
        <f t="shared" si="17"/>
        <v>600</v>
      </c>
      <c r="BX24" s="514">
        <f t="shared" si="10"/>
        <v>804.24771931898681</v>
      </c>
      <c r="BZ24" s="294" t="str">
        <f t="shared" si="4"/>
        <v/>
      </c>
      <c r="CA24" s="294">
        <f t="shared" si="18"/>
        <v>600</v>
      </c>
      <c r="CB24" s="514">
        <f t="shared" si="11"/>
        <v>804.24771931898681</v>
      </c>
      <c r="CD24" s="294" t="str">
        <f t="shared" si="5"/>
        <v/>
      </c>
      <c r="CE24" s="294">
        <f t="shared" si="19"/>
        <v>600</v>
      </c>
      <c r="CF24" s="514">
        <f t="shared" si="12"/>
        <v>804.24771931898681</v>
      </c>
      <c r="CG24" s="293"/>
      <c r="CH24" s="294" t="str">
        <f t="shared" si="6"/>
        <v/>
      </c>
      <c r="CI24" s="294">
        <f t="shared" si="20"/>
        <v>600</v>
      </c>
      <c r="CJ24" s="514">
        <f t="shared" si="13"/>
        <v>804.24771931898681</v>
      </c>
      <c r="CL24" s="293"/>
      <c r="CM24" s="293"/>
      <c r="CN24" s="293"/>
      <c r="CO24" s="293"/>
      <c r="CP24" s="293"/>
      <c r="CQ24" s="293"/>
      <c r="DN24" s="761">
        <v>500</v>
      </c>
      <c r="DO24" s="1182">
        <v>508</v>
      </c>
      <c r="DP24" s="1182">
        <f t="shared" si="21"/>
        <v>490.4</v>
      </c>
      <c r="DQ24" s="1182">
        <v>8.8000000000000007</v>
      </c>
      <c r="DR24" s="1183">
        <f t="shared" si="22"/>
        <v>472.20525193871305</v>
      </c>
      <c r="DS24" s="1184">
        <f t="shared" si="23"/>
        <v>2.4999999999999991</v>
      </c>
      <c r="DT24" s="1185">
        <f>ROUND(6.819*(DS24/DP2)^1.852/(DP24/1000)^1.167*1000*9.81,0)</f>
        <v>89</v>
      </c>
      <c r="DU24" s="403"/>
      <c r="DV24" s="403"/>
      <c r="DW24" s="398">
        <f>(IF(DU24=0,DW5,DU24)/1000/9.81*(DP24/1000)^1.167/6.819)^(1/1.852)*DP2</f>
        <v>4.8213782322514991</v>
      </c>
      <c r="DX24" s="398">
        <f>6.819*(IF(DV24=0,DX5,DV24)/DP2)^1.852/(DP24/1000)^1.167*1000*9.81</f>
        <v>88.894129864989097</v>
      </c>
      <c r="DY24" s="398">
        <f>IF(DX24&lt;=DW5,IF(DW24&lt;=IF(DV24=0,DX5,DV24),DW24,(DX24/1000/9.81*(DP24/1000)^1.167/6.819)^(1/1.852)*DP2),IF(DW24&lt;=IF(DV24=0,DX5,DV24),DW24,"Check"))</f>
        <v>2.4999999999999991</v>
      </c>
      <c r="EA24" s="1647">
        <f t="shared" si="34"/>
        <v>24.000633322175549</v>
      </c>
      <c r="EB24" s="1671">
        <v>15</v>
      </c>
      <c r="EC24" s="1644">
        <f t="shared" si="24"/>
        <v>297.15063332217551</v>
      </c>
      <c r="ED24" s="1644">
        <f t="shared" si="25"/>
        <v>-32.581440875774611</v>
      </c>
      <c r="EE24" s="1644">
        <f t="shared" si="26"/>
        <v>40.582876513413943</v>
      </c>
      <c r="EF24" s="1644">
        <f t="shared" si="27"/>
        <v>2.9852406359596202</v>
      </c>
      <c r="EG24" s="1644">
        <f t="shared" si="28"/>
        <v>0.44778609539394304</v>
      </c>
      <c r="EH24" s="1644">
        <f t="shared" si="35"/>
        <v>1.8881070919450717E-2</v>
      </c>
      <c r="EI24" s="1644">
        <f t="shared" si="29"/>
        <v>0.14622691620483513</v>
      </c>
      <c r="EJ24" s="505">
        <f t="shared" si="30"/>
        <v>15</v>
      </c>
      <c r="EK24" s="1648">
        <f t="shared" si="31"/>
        <v>31.169306224992461</v>
      </c>
      <c r="EL24" s="521">
        <f t="shared" si="32"/>
        <v>-4.3134130550737364</v>
      </c>
      <c r="EM24" s="522">
        <f t="shared" si="33"/>
        <v>2.7609207751960693E-3</v>
      </c>
    </row>
    <row r="25" spans="2:143" ht="12.75" customHeight="1">
      <c r="B25" s="2045" t="s">
        <v>1179</v>
      </c>
      <c r="C25" s="2045"/>
      <c r="D25" s="1393">
        <v>21</v>
      </c>
      <c r="E25" s="1393"/>
      <c r="F25" s="1394">
        <v>60</v>
      </c>
      <c r="G25" s="386">
        <f>IF(COUNTA(D25,E25,F25)=2,DL19,"-")</f>
        <v>15.99743017287223</v>
      </c>
      <c r="H25" s="327">
        <f>IF(COUNTA(D25,E25,F25)=2,DJ19,"-")</f>
        <v>9.2992607306061469E-3</v>
      </c>
      <c r="I25" s="385">
        <f>IF(COUNTA(D25,E25,F25)=2,DH19,"-")</f>
        <v>44.735939565239605</v>
      </c>
      <c r="J25" s="386">
        <f>IF(COUNTA(D25,E25,F25)=2,DI19,"-")</f>
        <v>12.977264184284552</v>
      </c>
      <c r="K25" s="507" t="str">
        <f>IF(COUNTA(D25,E25,F25)=2,DG19,"-")</f>
        <v>-</v>
      </c>
      <c r="M25" s="705"/>
      <c r="N25" s="324" t="s">
        <v>5</v>
      </c>
      <c r="O25" s="325" t="e">
        <f>IF(COUNTA(D8,D10,C31,C32)&lt;4,"n/a",O24*P24*(R24-S24))</f>
        <v>#VALUE!</v>
      </c>
      <c r="P25" s="318" t="s">
        <v>6</v>
      </c>
      <c r="Q25" s="318"/>
      <c r="R25" s="2041" t="e">
        <f>IF(O21="n/a","-",O25/O21)</f>
        <v>#VALUE!</v>
      </c>
      <c r="S25" s="2042"/>
      <c r="U25" s="700"/>
      <c r="V25" s="1787" t="s">
        <v>5</v>
      </c>
      <c r="W25" s="1788" t="str">
        <f>IF(OR(W20="n/a",W24="n/a"),"-",EM7/100)</f>
        <v>-</v>
      </c>
      <c r="X25" s="314"/>
      <c r="Y25" s="709"/>
      <c r="Z25" s="1792"/>
      <c r="AA25" s="314"/>
      <c r="AB25" s="296"/>
      <c r="AD25" s="705"/>
      <c r="AE25" s="324" t="s">
        <v>5</v>
      </c>
      <c r="AF25" s="325" t="e">
        <f>IF(OR(AF11="n/a",AF7="n/a"),"n/a",AF24*AG24*(AI24-AJ24))</f>
        <v>#VALUE!</v>
      </c>
      <c r="AG25" s="318" t="s">
        <v>6</v>
      </c>
      <c r="AH25" s="318"/>
      <c r="AI25" s="314"/>
      <c r="AJ25" s="296"/>
      <c r="AL25" s="374" t="s">
        <v>1100</v>
      </c>
      <c r="AM25" s="375" t="s">
        <v>4</v>
      </c>
      <c r="AN25" s="294"/>
      <c r="AT25" s="354" t="s">
        <v>1169</v>
      </c>
      <c r="AU25" s="2012" t="s">
        <v>4</v>
      </c>
      <c r="AV25" s="2012"/>
      <c r="AW25" s="2012"/>
      <c r="AX25" s="2012"/>
      <c r="AY25" s="2012"/>
      <c r="AZ25" s="2012"/>
      <c r="BJ25" s="294" t="e">
        <f t="shared" si="0"/>
        <v>#VALUE!</v>
      </c>
      <c r="BK25" s="294">
        <f t="shared" si="14"/>
        <v>650</v>
      </c>
      <c r="BL25" s="514">
        <f t="shared" si="7"/>
        <v>937.53175114294197</v>
      </c>
      <c r="BN25" s="294" t="str">
        <f t="shared" si="1"/>
        <v/>
      </c>
      <c r="BO25" s="294">
        <f t="shared" si="15"/>
        <v>650</v>
      </c>
      <c r="BP25" s="514">
        <f t="shared" si="8"/>
        <v>937.53175114294197</v>
      </c>
      <c r="BR25" s="294" t="str">
        <f t="shared" si="2"/>
        <v/>
      </c>
      <c r="BS25" s="294">
        <f t="shared" si="16"/>
        <v>650</v>
      </c>
      <c r="BT25" s="514">
        <f t="shared" si="9"/>
        <v>937.53175114294197</v>
      </c>
      <c r="BV25" s="294" t="e">
        <f t="shared" si="3"/>
        <v>#VALUE!</v>
      </c>
      <c r="BW25" s="294">
        <f t="shared" si="17"/>
        <v>650</v>
      </c>
      <c r="BX25" s="514">
        <f t="shared" si="10"/>
        <v>937.53175114294197</v>
      </c>
      <c r="BZ25" s="294" t="str">
        <f t="shared" si="4"/>
        <v/>
      </c>
      <c r="CA25" s="294">
        <f t="shared" si="18"/>
        <v>650</v>
      </c>
      <c r="CB25" s="514">
        <f t="shared" si="11"/>
        <v>937.53175114294197</v>
      </c>
      <c r="CD25" s="294" t="str">
        <f t="shared" si="5"/>
        <v/>
      </c>
      <c r="CE25" s="294">
        <f t="shared" si="19"/>
        <v>650</v>
      </c>
      <c r="CF25" s="514">
        <f t="shared" si="12"/>
        <v>937.53175114294197</v>
      </c>
      <c r="CG25" s="293"/>
      <c r="CH25" s="294" t="str">
        <f t="shared" si="6"/>
        <v/>
      </c>
      <c r="CI25" s="294">
        <f t="shared" si="20"/>
        <v>650</v>
      </c>
      <c r="CJ25" s="514">
        <f t="shared" si="13"/>
        <v>937.53175114294197</v>
      </c>
      <c r="CL25" s="1647"/>
      <c r="CM25" s="1671"/>
      <c r="CN25" s="1644"/>
      <c r="CO25" s="1644"/>
      <c r="CP25" s="1644"/>
      <c r="CQ25" s="1644"/>
      <c r="CR25" s="1644"/>
      <c r="CS25" s="1644"/>
      <c r="CT25" s="1644"/>
      <c r="CU25" s="293" t="s">
        <v>1280</v>
      </c>
      <c r="CV25" s="1646" t="s">
        <v>1185</v>
      </c>
      <c r="CW25" s="297" t="s">
        <v>1204</v>
      </c>
      <c r="CX25" s="297" t="s">
        <v>1184</v>
      </c>
      <c r="CZ25" s="1647"/>
      <c r="DA25" s="1671"/>
      <c r="DB25" s="1644"/>
      <c r="DC25" s="1644"/>
      <c r="DD25" s="1644"/>
      <c r="DE25" s="1644"/>
      <c r="DF25" s="1644"/>
      <c r="DG25" s="1644"/>
      <c r="DH25" s="1644"/>
      <c r="DI25" s="293" t="s">
        <v>1280</v>
      </c>
      <c r="DJ25" s="1646" t="s">
        <v>1185</v>
      </c>
      <c r="DK25" s="297" t="s">
        <v>1204</v>
      </c>
      <c r="DL25" s="297" t="s">
        <v>1184</v>
      </c>
      <c r="DN25" s="513">
        <v>550</v>
      </c>
      <c r="DO25" s="417">
        <v>559</v>
      </c>
      <c r="DP25" s="417">
        <f t="shared" si="21"/>
        <v>541.4</v>
      </c>
      <c r="DQ25" s="417">
        <v>8.8000000000000007</v>
      </c>
      <c r="DR25" s="1186">
        <f t="shared" si="22"/>
        <v>575.52791462538266</v>
      </c>
      <c r="DS25" s="1180">
        <f t="shared" si="23"/>
        <v>2.4999999999999991</v>
      </c>
      <c r="DT25" s="1181">
        <f>ROUND(6.819*(DS25/DP2)^1.852/(DP25/1000)^1.167*1000*9.81,0)</f>
        <v>79</v>
      </c>
      <c r="DU25" s="403"/>
      <c r="DV25" s="403"/>
      <c r="DW25" s="398">
        <f>(IF(DU25=0,DW5,DU25)/1000/9.81*(DP25/1000)^1.167/6.819)^(1/1.852)*DP2</f>
        <v>5.1315253491958188</v>
      </c>
      <c r="DX25" s="398">
        <f>6.819*(IF(DV25=0,DX5,DV25)/DP2)^1.852/(DP25/1000)^1.167*1000*9.81</f>
        <v>79.200818966995612</v>
      </c>
      <c r="DY25" s="398">
        <f>IF(DX25&lt;=DW5,IF(DW25&lt;=IF(DV25=0,DX5,DV25),DW25,(DX25/1000/9.81*(DP25/1000)^1.167/6.819)^(1/1.852)*DP2),IF(DW25&lt;=IF(DV25=0,DX5,DV25),DW25,"Check"))</f>
        <v>2.4999999999999991</v>
      </c>
      <c r="EA25" s="1647">
        <f t="shared" si="34"/>
        <v>24.000633322175549</v>
      </c>
      <c r="EB25" s="1671">
        <v>16</v>
      </c>
      <c r="EC25" s="1644">
        <f t="shared" si="24"/>
        <v>297.15063332217551</v>
      </c>
      <c r="ED25" s="1644">
        <f t="shared" si="25"/>
        <v>-32.581440875774611</v>
      </c>
      <c r="EE25" s="1644">
        <f t="shared" si="26"/>
        <v>40.582876513413943</v>
      </c>
      <c r="EF25" s="1644">
        <f t="shared" si="27"/>
        <v>2.9852406359596202</v>
      </c>
      <c r="EG25" s="1644">
        <f t="shared" si="28"/>
        <v>0.47763850175353922</v>
      </c>
      <c r="EH25" s="1644">
        <f t="shared" si="35"/>
        <v>1.8881070919450717E-2</v>
      </c>
      <c r="EI25" s="1644">
        <f t="shared" si="29"/>
        <v>0.15602154845191518</v>
      </c>
      <c r="EJ25" s="505">
        <f t="shared" si="30"/>
        <v>16</v>
      </c>
      <c r="EK25" s="1648">
        <f t="shared" si="31"/>
        <v>31.639835538650367</v>
      </c>
      <c r="EL25" s="521">
        <f t="shared" si="32"/>
        <v>-3.433527573572392</v>
      </c>
      <c r="EM25" s="522">
        <f t="shared" si="33"/>
        <v>2.9458539212831266E-3</v>
      </c>
    </row>
    <row r="26" spans="2:143">
      <c r="B26" s="293"/>
      <c r="M26" s="1224" t="s">
        <v>1098</v>
      </c>
      <c r="N26" s="1384"/>
      <c r="O26" s="1384"/>
      <c r="P26" s="1384"/>
      <c r="Q26" s="1384"/>
      <c r="R26" s="1384"/>
      <c r="S26" s="1385"/>
      <c r="AD26" s="1847" t="s">
        <v>1110</v>
      </c>
      <c r="AE26" s="1848"/>
      <c r="AF26" s="1848"/>
      <c r="AG26" s="1848"/>
      <c r="AH26" s="1848"/>
      <c r="AI26" s="1848"/>
      <c r="AJ26" s="1849"/>
      <c r="AL26" s="376" t="str">
        <f>IF(OR(I9="-",H9="-"),"","O")</f>
        <v>O</v>
      </c>
      <c r="AM26" s="372">
        <f>D9</f>
        <v>7</v>
      </c>
      <c r="AN26" s="373">
        <f>H9</f>
        <v>2.4699676060335892E-3</v>
      </c>
      <c r="BJ26" s="294" t="e">
        <f t="shared" si="0"/>
        <v>#VALUE!</v>
      </c>
      <c r="BK26" s="294">
        <f t="shared" si="14"/>
        <v>700</v>
      </c>
      <c r="BL26" s="514">
        <f t="shared" si="7"/>
        <v>1081.0298860818812</v>
      </c>
      <c r="BN26" s="294" t="str">
        <f t="shared" si="1"/>
        <v/>
      </c>
      <c r="BO26" s="294">
        <f t="shared" si="15"/>
        <v>700</v>
      </c>
      <c r="BP26" s="514">
        <f t="shared" si="8"/>
        <v>1081.0298860818812</v>
      </c>
      <c r="BR26" s="294" t="str">
        <f t="shared" si="2"/>
        <v/>
      </c>
      <c r="BS26" s="294">
        <f t="shared" si="16"/>
        <v>700</v>
      </c>
      <c r="BT26" s="514">
        <f t="shared" si="9"/>
        <v>1081.0298860818812</v>
      </c>
      <c r="BV26" s="294" t="e">
        <f t="shared" si="3"/>
        <v>#VALUE!</v>
      </c>
      <c r="BW26" s="294">
        <f t="shared" si="17"/>
        <v>700</v>
      </c>
      <c r="BX26" s="514">
        <f t="shared" si="10"/>
        <v>1081.0298860818812</v>
      </c>
      <c r="BZ26" s="294" t="str">
        <f t="shared" si="4"/>
        <v/>
      </c>
      <c r="CA26" s="294">
        <f t="shared" si="18"/>
        <v>700</v>
      </c>
      <c r="CB26" s="514">
        <f t="shared" si="11"/>
        <v>1081.0298860818812</v>
      </c>
      <c r="CD26" s="294" t="str">
        <f t="shared" si="5"/>
        <v/>
      </c>
      <c r="CE26" s="294">
        <f t="shared" si="19"/>
        <v>700</v>
      </c>
      <c r="CF26" s="514">
        <f t="shared" si="12"/>
        <v>1081.0298860818812</v>
      </c>
      <c r="CG26" s="293"/>
      <c r="CH26" s="294" t="str">
        <f t="shared" si="6"/>
        <v/>
      </c>
      <c r="CI26" s="294">
        <f t="shared" si="20"/>
        <v>700</v>
      </c>
      <c r="CJ26" s="514">
        <f t="shared" si="13"/>
        <v>1081.0298860818812</v>
      </c>
      <c r="CL26" s="1647" t="e">
        <f>$O$7</f>
        <v>#VALUE!</v>
      </c>
      <c r="CM26" s="1671">
        <v>1</v>
      </c>
      <c r="CN26" s="1644" t="e">
        <f t="shared" ref="CN26:CN89" si="36">273.15+CL26</f>
        <v>#VALUE!</v>
      </c>
      <c r="CO26" s="1644" t="e">
        <f t="shared" ref="CO26:CO89" si="37">-5800.2206/CN26+1.3914993-0.048640239*CN26</f>
        <v>#VALUE!</v>
      </c>
      <c r="CP26" s="1644" t="e">
        <f t="shared" ref="CP26:CP89" si="38">0.000041764768*POWER(CN26,2)-0.000000014452093*POWER(CN26,3)+6.5459673*LN(CN26)</f>
        <v>#VALUE!</v>
      </c>
      <c r="CQ26" s="1644" t="e">
        <f t="shared" ref="CQ26:CQ89" si="39">EXP(CO26+CP26)/1000</f>
        <v>#VALUE!</v>
      </c>
      <c r="CR26" s="1644" t="e">
        <f t="shared" ref="CR26:CR89" si="40">CM26/100*CQ26</f>
        <v>#VALUE!</v>
      </c>
      <c r="CS26" s="1644" t="e">
        <f>0.62198*(CQ26/($F$3-CQ26))</f>
        <v>#VALUE!</v>
      </c>
      <c r="CT26" s="1644" t="e">
        <f t="shared" ref="CT26:CT57" si="41">CX26/CS26</f>
        <v>#VALUE!</v>
      </c>
      <c r="CU26" s="505" t="e">
        <f t="shared" ref="CU26:CU57" si="42">IF(CL26+CM26&gt;0,CM26,0)</f>
        <v>#VALUE!</v>
      </c>
      <c r="CV26" s="1648" t="e">
        <f t="shared" ref="CV26:CV57" si="43">IF(CL26+CM26&gt;0,(1.006*CL26+CX26*(2501+1.805*CL26)),0)</f>
        <v>#VALUE!</v>
      </c>
      <c r="CW26" s="521" t="e">
        <f t="shared" ref="CW26:CW57" si="44">IF(CL26+CM26&gt;0,(6.54+14.526*LN(CR26)+0.7389*POWER(LN(CR26),2)+0.09486*POWER(LN(CR26),3)+0.4569*POWER(CR26,0.1984)),0)</f>
        <v>#VALUE!</v>
      </c>
      <c r="CX26" s="522" t="e">
        <f t="shared" ref="CX26:CX57" si="45">IF(CL26+CM26&gt;0,0.62198*(CR26/($F$3-CR26)),0)</f>
        <v>#VALUE!</v>
      </c>
      <c r="CZ26" s="1647" t="e">
        <f>$AF$11</f>
        <v>#VALUE!</v>
      </c>
      <c r="DA26" s="1671">
        <v>1</v>
      </c>
      <c r="DB26" s="1644" t="e">
        <f t="shared" ref="DB26:DB89" si="46">273.15+CZ26</f>
        <v>#VALUE!</v>
      </c>
      <c r="DC26" s="1644" t="e">
        <f t="shared" ref="DC26:DC89" si="47">-5800.2206/DB26+1.3914993-0.048640239*DB26</f>
        <v>#VALUE!</v>
      </c>
      <c r="DD26" s="1644" t="e">
        <f t="shared" ref="DD26:DD89" si="48">0.000041764768*POWER(DB26,2)-0.000000014452093*POWER(DB26,3)+6.5459673*LN(DB26)</f>
        <v>#VALUE!</v>
      </c>
      <c r="DE26" s="1644" t="e">
        <f t="shared" ref="DE26:DE89" si="49">EXP(DC26+DD26)/1000</f>
        <v>#VALUE!</v>
      </c>
      <c r="DF26" s="1644" t="e">
        <f t="shared" ref="DF26:DF89" si="50">DA26/100*DE26</f>
        <v>#VALUE!</v>
      </c>
      <c r="DG26" s="1644" t="e">
        <f>0.62198*(DE26/($F$3-DE26))</f>
        <v>#VALUE!</v>
      </c>
      <c r="DH26" s="1644" t="e">
        <f t="shared" ref="DH26:DH89" si="51">DL26/DG26</f>
        <v>#VALUE!</v>
      </c>
      <c r="DI26" s="505" t="e">
        <f t="shared" ref="DI26:DI89" si="52">IF(CZ26+DA26&gt;0,DA26,0)</f>
        <v>#VALUE!</v>
      </c>
      <c r="DJ26" s="1648" t="e">
        <f t="shared" ref="DJ26:DJ89" si="53">IF(CZ26+DA26&gt;0,(1.006*CZ26+DL26*(2501+1.805*CZ26)),0)</f>
        <v>#VALUE!</v>
      </c>
      <c r="DK26" s="521" t="e">
        <f t="shared" ref="DK26:DK89" si="54">IF(CZ26+DA26&gt;0,(6.54+14.526*LN(DF26)+0.7389*POWER(LN(DF26),2)+0.09486*POWER(LN(DF26),3)+0.4569*POWER(DF26,0.1984)),0)</f>
        <v>#VALUE!</v>
      </c>
      <c r="DL26" s="522" t="e">
        <f t="shared" ref="DL26:DL89" si="55">IF(CZ26+DA26&gt;0,0.62198*(DF26/($F$3-DF26)),0)</f>
        <v>#VALUE!</v>
      </c>
      <c r="DN26" s="761">
        <v>600</v>
      </c>
      <c r="DO26" s="1182">
        <v>610</v>
      </c>
      <c r="DP26" s="1182">
        <f t="shared" si="21"/>
        <v>592.4</v>
      </c>
      <c r="DQ26" s="1182">
        <v>8.8000000000000007</v>
      </c>
      <c r="DR26" s="1183">
        <f t="shared" si="22"/>
        <v>689.0646804270358</v>
      </c>
      <c r="DS26" s="1184">
        <f t="shared" si="23"/>
        <v>2.4999999999999991</v>
      </c>
      <c r="DT26" s="1185">
        <f>ROUND(6.819*(DS26/DP2)^1.852/(DP26/1000)^1.167*1000*9.81,0)</f>
        <v>71</v>
      </c>
      <c r="DU26" s="403"/>
      <c r="DV26" s="403"/>
      <c r="DW26" s="398">
        <f>(IF(DU26=0,DW5,DU26)/1000/9.81*(DP26/1000)^1.167/6.819)^(1/1.852)*DP2</f>
        <v>5.4310340817032277</v>
      </c>
      <c r="DX26" s="398">
        <f>6.819*(IF(DV26=0,DX5,DV26)/DP2)^1.852/(DP26/1000)^1.167*1000*9.81</f>
        <v>71.302327830056953</v>
      </c>
      <c r="DY26" s="398">
        <f>IF(DX26&lt;=DW5,IF(DW26&lt;=IF(DV26=0,DX5,DV26),DW26,(DX26/1000/9.81*(DP26/1000)^1.167/6.819)^(1/1.852)*DP2),IF(DW26&lt;=IF(DV26=0,DX5,DV26),DW26,"Check"))</f>
        <v>2.4999999999999991</v>
      </c>
      <c r="EA26" s="1647">
        <f t="shared" si="34"/>
        <v>24.000633322175549</v>
      </c>
      <c r="EB26" s="1671">
        <v>17</v>
      </c>
      <c r="EC26" s="1644">
        <f t="shared" si="24"/>
        <v>297.15063332217551</v>
      </c>
      <c r="ED26" s="1644">
        <f t="shared" si="25"/>
        <v>-32.581440875774611</v>
      </c>
      <c r="EE26" s="1644">
        <f t="shared" si="26"/>
        <v>40.582876513413943</v>
      </c>
      <c r="EF26" s="1644">
        <f t="shared" si="27"/>
        <v>2.9852406359596202</v>
      </c>
      <c r="EG26" s="1644">
        <f t="shared" si="28"/>
        <v>0.50749090811313546</v>
      </c>
      <c r="EH26" s="1644">
        <f t="shared" si="35"/>
        <v>1.8881070919450717E-2</v>
      </c>
      <c r="EI26" s="1644">
        <f t="shared" si="29"/>
        <v>0.16582198114664792</v>
      </c>
      <c r="EJ26" s="505">
        <f t="shared" si="30"/>
        <v>17</v>
      </c>
      <c r="EK26" s="1648">
        <f t="shared" si="31"/>
        <v>32.11064350295937</v>
      </c>
      <c r="EL26" s="521">
        <f t="shared" si="32"/>
        <v>-2.602934935025893</v>
      </c>
      <c r="EM26" s="522">
        <f t="shared" si="33"/>
        <v>3.1308965860336792E-3</v>
      </c>
    </row>
    <row r="27" spans="2:143" ht="15" customHeight="1">
      <c r="B27" s="1847" t="s">
        <v>1105</v>
      </c>
      <c r="C27" s="1848"/>
      <c r="D27" s="1848"/>
      <c r="E27" s="1848"/>
      <c r="F27" s="1849"/>
      <c r="M27" s="697" t="s">
        <v>1151</v>
      </c>
      <c r="N27" s="297" t="s">
        <v>5</v>
      </c>
      <c r="O27" s="297" t="s">
        <v>1112</v>
      </c>
      <c r="P27" s="297" t="s">
        <v>137</v>
      </c>
      <c r="Q27" s="297" t="s">
        <v>1108</v>
      </c>
      <c r="R27" s="297" t="s">
        <v>1182</v>
      </c>
      <c r="S27" s="300" t="s">
        <v>1181</v>
      </c>
      <c r="AD27" s="708" t="s">
        <v>1134</v>
      </c>
      <c r="AE27" s="298" t="s">
        <v>5</v>
      </c>
      <c r="AF27" s="298" t="s">
        <v>1149</v>
      </c>
      <c r="AG27" s="298" t="s">
        <v>133</v>
      </c>
      <c r="AH27" s="2052" t="s">
        <v>1140</v>
      </c>
      <c r="AI27" s="2052"/>
      <c r="AJ27" s="716"/>
      <c r="AL27" s="376" t="str">
        <f>IF(OR(I11="-",H11="-"),"","R")</f>
        <v/>
      </c>
      <c r="AM27" s="372">
        <f>D11</f>
        <v>20</v>
      </c>
      <c r="AN27" s="373" t="str">
        <f>H11</f>
        <v>-</v>
      </c>
      <c r="AT27" s="1847" t="s">
        <v>1109</v>
      </c>
      <c r="AU27" s="1848"/>
      <c r="AV27" s="1848"/>
      <c r="AW27" s="1848"/>
      <c r="AX27" s="1848"/>
      <c r="AY27" s="1848"/>
      <c r="AZ27" s="1849"/>
      <c r="BJ27" s="294" t="e">
        <f t="shared" si="0"/>
        <v>#VALUE!</v>
      </c>
      <c r="BK27" s="294">
        <f t="shared" si="14"/>
        <v>750</v>
      </c>
      <c r="BL27" s="514">
        <f t="shared" si="7"/>
        <v>1234.7421241358045</v>
      </c>
      <c r="BN27" s="294" t="str">
        <f t="shared" si="1"/>
        <v/>
      </c>
      <c r="BO27" s="294">
        <f t="shared" si="15"/>
        <v>750</v>
      </c>
      <c r="BP27" s="514">
        <f t="shared" si="8"/>
        <v>1234.7421241358045</v>
      </c>
      <c r="BR27" s="294" t="str">
        <f t="shared" si="2"/>
        <v/>
      </c>
      <c r="BS27" s="294">
        <f t="shared" si="16"/>
        <v>750</v>
      </c>
      <c r="BT27" s="514">
        <f t="shared" si="9"/>
        <v>1234.7421241358045</v>
      </c>
      <c r="BV27" s="294" t="e">
        <f t="shared" si="3"/>
        <v>#VALUE!</v>
      </c>
      <c r="BW27" s="294">
        <f t="shared" si="17"/>
        <v>750</v>
      </c>
      <c r="BX27" s="514">
        <f t="shared" si="10"/>
        <v>1234.7421241358045</v>
      </c>
      <c r="BZ27" s="294" t="str">
        <f t="shared" si="4"/>
        <v/>
      </c>
      <c r="CA27" s="294">
        <f t="shared" si="18"/>
        <v>750</v>
      </c>
      <c r="CB27" s="514">
        <f t="shared" si="11"/>
        <v>1234.7421241358045</v>
      </c>
      <c r="CD27" s="294" t="str">
        <f t="shared" si="5"/>
        <v/>
      </c>
      <c r="CE27" s="294">
        <f t="shared" si="19"/>
        <v>750</v>
      </c>
      <c r="CF27" s="514">
        <f t="shared" si="12"/>
        <v>1234.7421241358045</v>
      </c>
      <c r="CG27" s="293"/>
      <c r="CH27" s="294" t="str">
        <f t="shared" si="6"/>
        <v/>
      </c>
      <c r="CI27" s="294">
        <f t="shared" si="20"/>
        <v>750</v>
      </c>
      <c r="CJ27" s="514">
        <f t="shared" si="13"/>
        <v>1234.7421241358045</v>
      </c>
      <c r="CL27" s="1647" t="e">
        <f t="shared" ref="CL27:CL90" si="56">$O$7</f>
        <v>#VALUE!</v>
      </c>
      <c r="CM27" s="1671">
        <v>2</v>
      </c>
      <c r="CN27" s="1644" t="e">
        <f t="shared" si="36"/>
        <v>#VALUE!</v>
      </c>
      <c r="CO27" s="1644" t="e">
        <f t="shared" si="37"/>
        <v>#VALUE!</v>
      </c>
      <c r="CP27" s="1644" t="e">
        <f t="shared" si="38"/>
        <v>#VALUE!</v>
      </c>
      <c r="CQ27" s="1644" t="e">
        <f t="shared" si="39"/>
        <v>#VALUE!</v>
      </c>
      <c r="CR27" s="1644" t="e">
        <f t="shared" si="40"/>
        <v>#VALUE!</v>
      </c>
      <c r="CS27" s="1644" t="e">
        <f t="shared" ref="CS27:CS90" si="57">0.62198*(CQ27/($F$3-CQ27))</f>
        <v>#VALUE!</v>
      </c>
      <c r="CT27" s="1644" t="e">
        <f t="shared" si="41"/>
        <v>#VALUE!</v>
      </c>
      <c r="CU27" s="505" t="e">
        <f t="shared" si="42"/>
        <v>#VALUE!</v>
      </c>
      <c r="CV27" s="1648" t="e">
        <f t="shared" si="43"/>
        <v>#VALUE!</v>
      </c>
      <c r="CW27" s="521" t="e">
        <f t="shared" si="44"/>
        <v>#VALUE!</v>
      </c>
      <c r="CX27" s="522" t="e">
        <f t="shared" si="45"/>
        <v>#VALUE!</v>
      </c>
      <c r="CZ27" s="1647" t="e">
        <f t="shared" ref="CZ27:CZ90" si="58">$AF$11</f>
        <v>#VALUE!</v>
      </c>
      <c r="DA27" s="1671">
        <v>2</v>
      </c>
      <c r="DB27" s="1644" t="e">
        <f t="shared" si="46"/>
        <v>#VALUE!</v>
      </c>
      <c r="DC27" s="1644" t="e">
        <f t="shared" si="47"/>
        <v>#VALUE!</v>
      </c>
      <c r="DD27" s="1644" t="e">
        <f t="shared" si="48"/>
        <v>#VALUE!</v>
      </c>
      <c r="DE27" s="1644" t="e">
        <f t="shared" si="49"/>
        <v>#VALUE!</v>
      </c>
      <c r="DF27" s="1644" t="e">
        <f t="shared" si="50"/>
        <v>#VALUE!</v>
      </c>
      <c r="DG27" s="1644" t="e">
        <f t="shared" ref="DG27:DG90" si="59">0.62198*(DE27/($F$3-DE27))</f>
        <v>#VALUE!</v>
      </c>
      <c r="DH27" s="1644" t="e">
        <f t="shared" si="51"/>
        <v>#VALUE!</v>
      </c>
      <c r="DI27" s="505" t="e">
        <f t="shared" si="52"/>
        <v>#VALUE!</v>
      </c>
      <c r="DJ27" s="1648" t="e">
        <f t="shared" si="53"/>
        <v>#VALUE!</v>
      </c>
      <c r="DK27" s="521" t="e">
        <f t="shared" si="54"/>
        <v>#VALUE!</v>
      </c>
      <c r="DL27" s="522" t="e">
        <f t="shared" si="55"/>
        <v>#VALUE!</v>
      </c>
      <c r="DN27" s="513">
        <v>650</v>
      </c>
      <c r="DO27" s="417">
        <v>660</v>
      </c>
      <c r="DP27" s="417">
        <f t="shared" si="21"/>
        <v>640</v>
      </c>
      <c r="DQ27" s="417">
        <v>10</v>
      </c>
      <c r="DR27" s="1186">
        <f t="shared" si="22"/>
        <v>804.24771931898681</v>
      </c>
      <c r="DS27" s="1180">
        <f t="shared" si="23"/>
        <v>2.4999999999999991</v>
      </c>
      <c r="DT27" s="1181">
        <f>ROUND(6.819*(DS27/DP2)^1.852/(DP27/1000)^1.167*1000*9.81,0)</f>
        <v>65</v>
      </c>
      <c r="DU27" s="403"/>
      <c r="DV27" s="403"/>
      <c r="DW27" s="398">
        <f>(IF(DU27=0,DW5,DU27)/1000/9.81*(DP27/1000)^1.167/6.819)^(1/1.852)*DP2</f>
        <v>5.7020730922111813</v>
      </c>
      <c r="DX27" s="398">
        <f>6.819*(IF(DV27=0,DX5,DV27)/DP2)^1.852/(DP27/1000)^1.167*1000*9.81</f>
        <v>65.152853635943174</v>
      </c>
      <c r="DY27" s="398">
        <f>IF(DX27&lt;=DW5,IF(DW27&lt;=IF(DV27=0,DX5,DV27),DW27,(DX27/1000/9.81*(DP27/1000)^1.167/6.819)^(1/1.852)*DP2),IF(DW27&lt;=IF(DV27=0,DX5,DV27),DW27,"Check"))</f>
        <v>2.4999999999999991</v>
      </c>
      <c r="EA27" s="1647">
        <f t="shared" si="34"/>
        <v>24.000633322175549</v>
      </c>
      <c r="EB27" s="1671">
        <v>18</v>
      </c>
      <c r="EC27" s="1644">
        <f t="shared" si="24"/>
        <v>297.15063332217551</v>
      </c>
      <c r="ED27" s="1644">
        <f t="shared" si="25"/>
        <v>-32.581440875774611</v>
      </c>
      <c r="EE27" s="1644">
        <f t="shared" si="26"/>
        <v>40.582876513413943</v>
      </c>
      <c r="EF27" s="1644">
        <f t="shared" si="27"/>
        <v>2.9852406359596202</v>
      </c>
      <c r="EG27" s="1644">
        <f t="shared" si="28"/>
        <v>0.53734331447273165</v>
      </c>
      <c r="EH27" s="1644">
        <f t="shared" si="35"/>
        <v>1.8881070919450717E-2</v>
      </c>
      <c r="EI27" s="1644">
        <f t="shared" si="29"/>
        <v>0.17562821944315621</v>
      </c>
      <c r="EJ27" s="505">
        <f t="shared" si="30"/>
        <v>18</v>
      </c>
      <c r="EK27" s="1648">
        <f t="shared" si="31"/>
        <v>32.581730365520997</v>
      </c>
      <c r="EL27" s="521">
        <f t="shared" si="32"/>
        <v>-1.8161056765125323</v>
      </c>
      <c r="EM27" s="522">
        <f t="shared" si="33"/>
        <v>3.3160488667630856E-3</v>
      </c>
    </row>
    <row r="28" spans="2:143" ht="13.5">
      <c r="B28" s="328" t="s">
        <v>1139</v>
      </c>
      <c r="C28" s="298" t="s">
        <v>1112</v>
      </c>
      <c r="D28" s="298" t="s">
        <v>137</v>
      </c>
      <c r="E28" s="298" t="s">
        <v>349</v>
      </c>
      <c r="F28" s="316" t="str">
        <f>IF(AND(B20=FALSE,E14&gt;0),"ts1)",IF(AND(B20=TRUE,E14&gt;0),"ts2)","n/a )"))</f>
        <v>ts1)</v>
      </c>
      <c r="G28" s="297"/>
      <c r="M28" s="697"/>
      <c r="N28" s="297" t="s">
        <v>5</v>
      </c>
      <c r="O28" s="304">
        <f>IF(AND(C31=0,C32=0),"n/a",C31)</f>
        <v>8.3179999999999996</v>
      </c>
      <c r="P28" s="307">
        <f>1.02*F4</f>
        <v>1.224</v>
      </c>
      <c r="Q28" s="297" t="s">
        <v>1108</v>
      </c>
      <c r="R28" s="371" t="str">
        <f>IF(AND(BU44=1,B20=TRUE),D23,"n/a")</f>
        <v>n/a</v>
      </c>
      <c r="S28" s="704">
        <f>IF(D8*D10*C31*D22=0,"n/a )",D22)</f>
        <v>13</v>
      </c>
      <c r="U28" s="374" t="s">
        <v>1100</v>
      </c>
      <c r="V28" s="375" t="s">
        <v>408</v>
      </c>
      <c r="W28" s="294"/>
      <c r="AD28" s="697"/>
      <c r="AE28" s="297" t="s">
        <v>5</v>
      </c>
      <c r="AF28" s="305">
        <f>-E17</f>
        <v>-20.6</v>
      </c>
      <c r="AG28" s="307" t="s">
        <v>133</v>
      </c>
      <c r="AH28" s="2051" t="e">
        <f>AF25</f>
        <v>#VALUE!</v>
      </c>
      <c r="AI28" s="2051"/>
      <c r="AJ28" s="323"/>
      <c r="AL28" s="376" t="str">
        <f>IF(AF7="n/a","","S1")</f>
        <v>S1</v>
      </c>
      <c r="AM28" s="372">
        <f>IF(AF7="n/a",0,AF7)</f>
        <v>22.023330771757287</v>
      </c>
      <c r="AN28" s="373" t="e">
        <f>IF(AF14="n/a",0,AF14)</f>
        <v>#VALUE!</v>
      </c>
      <c r="AT28" s="697" t="s">
        <v>1161</v>
      </c>
      <c r="AU28" s="297" t="s">
        <v>5</v>
      </c>
      <c r="AV28" s="298" t="s">
        <v>1116</v>
      </c>
      <c r="AW28" s="297" t="s">
        <v>137</v>
      </c>
      <c r="AX28" s="297" t="s">
        <v>1108</v>
      </c>
      <c r="AY28" s="297" t="s">
        <v>1138</v>
      </c>
      <c r="AZ28" s="714" t="s">
        <v>1162</v>
      </c>
      <c r="BJ28" s="294" t="e">
        <f t="shared" si="0"/>
        <v>#VALUE!</v>
      </c>
      <c r="BK28" s="294">
        <f t="shared" si="14"/>
        <v>800</v>
      </c>
      <c r="BL28" s="514">
        <f t="shared" si="7"/>
        <v>1392.0475587872704</v>
      </c>
      <c r="BN28" s="294" t="str">
        <f t="shared" si="1"/>
        <v/>
      </c>
      <c r="BO28" s="294">
        <f t="shared" si="15"/>
        <v>800</v>
      </c>
      <c r="BP28" s="514">
        <f t="shared" si="8"/>
        <v>1392.0475587872704</v>
      </c>
      <c r="BR28" s="294" t="str">
        <f t="shared" si="2"/>
        <v/>
      </c>
      <c r="BS28" s="294">
        <f t="shared" si="16"/>
        <v>800</v>
      </c>
      <c r="BT28" s="514">
        <f t="shared" si="9"/>
        <v>1392.0475587872704</v>
      </c>
      <c r="BV28" s="294" t="e">
        <f t="shared" si="3"/>
        <v>#VALUE!</v>
      </c>
      <c r="BW28" s="294">
        <f t="shared" si="17"/>
        <v>800</v>
      </c>
      <c r="BX28" s="514">
        <f t="shared" si="10"/>
        <v>1392.0475587872704</v>
      </c>
      <c r="BZ28" s="294" t="str">
        <f t="shared" si="4"/>
        <v/>
      </c>
      <c r="CA28" s="294">
        <f t="shared" si="18"/>
        <v>800</v>
      </c>
      <c r="CB28" s="514">
        <f t="shared" si="11"/>
        <v>1392.0475587872704</v>
      </c>
      <c r="CD28" s="294" t="str">
        <f t="shared" si="5"/>
        <v/>
      </c>
      <c r="CE28" s="294">
        <f t="shared" si="19"/>
        <v>800</v>
      </c>
      <c r="CF28" s="514">
        <f t="shared" si="12"/>
        <v>1392.0475587872704</v>
      </c>
      <c r="CG28" s="293"/>
      <c r="CH28" s="294" t="str">
        <f t="shared" si="6"/>
        <v/>
      </c>
      <c r="CI28" s="294">
        <f t="shared" si="20"/>
        <v>800</v>
      </c>
      <c r="CJ28" s="514">
        <f t="shared" si="13"/>
        <v>1392.0475587872704</v>
      </c>
      <c r="CL28" s="1647" t="e">
        <f t="shared" si="56"/>
        <v>#VALUE!</v>
      </c>
      <c r="CM28" s="1671">
        <v>3</v>
      </c>
      <c r="CN28" s="1644" t="e">
        <f t="shared" si="36"/>
        <v>#VALUE!</v>
      </c>
      <c r="CO28" s="1644" t="e">
        <f t="shared" si="37"/>
        <v>#VALUE!</v>
      </c>
      <c r="CP28" s="1644" t="e">
        <f t="shared" si="38"/>
        <v>#VALUE!</v>
      </c>
      <c r="CQ28" s="1644" t="e">
        <f t="shared" si="39"/>
        <v>#VALUE!</v>
      </c>
      <c r="CR28" s="1644" t="e">
        <f t="shared" si="40"/>
        <v>#VALUE!</v>
      </c>
      <c r="CS28" s="1644" t="e">
        <f t="shared" si="57"/>
        <v>#VALUE!</v>
      </c>
      <c r="CT28" s="1644" t="e">
        <f t="shared" si="41"/>
        <v>#VALUE!</v>
      </c>
      <c r="CU28" s="505" t="e">
        <f t="shared" si="42"/>
        <v>#VALUE!</v>
      </c>
      <c r="CV28" s="1648" t="e">
        <f t="shared" si="43"/>
        <v>#VALUE!</v>
      </c>
      <c r="CW28" s="521" t="e">
        <f t="shared" si="44"/>
        <v>#VALUE!</v>
      </c>
      <c r="CX28" s="522" t="e">
        <f t="shared" si="45"/>
        <v>#VALUE!</v>
      </c>
      <c r="CZ28" s="1647" t="e">
        <f t="shared" si="58"/>
        <v>#VALUE!</v>
      </c>
      <c r="DA28" s="1671">
        <v>3</v>
      </c>
      <c r="DB28" s="1644" t="e">
        <f t="shared" si="46"/>
        <v>#VALUE!</v>
      </c>
      <c r="DC28" s="1644" t="e">
        <f t="shared" si="47"/>
        <v>#VALUE!</v>
      </c>
      <c r="DD28" s="1644" t="e">
        <f t="shared" si="48"/>
        <v>#VALUE!</v>
      </c>
      <c r="DE28" s="1644" t="e">
        <f t="shared" si="49"/>
        <v>#VALUE!</v>
      </c>
      <c r="DF28" s="1644" t="e">
        <f t="shared" si="50"/>
        <v>#VALUE!</v>
      </c>
      <c r="DG28" s="1644" t="e">
        <f t="shared" si="59"/>
        <v>#VALUE!</v>
      </c>
      <c r="DH28" s="1644" t="e">
        <f t="shared" si="51"/>
        <v>#VALUE!</v>
      </c>
      <c r="DI28" s="505" t="e">
        <f t="shared" si="52"/>
        <v>#VALUE!</v>
      </c>
      <c r="DJ28" s="1648" t="e">
        <f t="shared" si="53"/>
        <v>#VALUE!</v>
      </c>
      <c r="DK28" s="521" t="e">
        <f t="shared" si="54"/>
        <v>#VALUE!</v>
      </c>
      <c r="DL28" s="522" t="e">
        <f t="shared" si="55"/>
        <v>#VALUE!</v>
      </c>
      <c r="DN28" s="761">
        <v>700</v>
      </c>
      <c r="DO28" s="1182">
        <v>711</v>
      </c>
      <c r="DP28" s="1182">
        <f t="shared" si="21"/>
        <v>691</v>
      </c>
      <c r="DQ28" s="1182">
        <v>10</v>
      </c>
      <c r="DR28" s="1183">
        <f t="shared" si="22"/>
        <v>937.53175114294197</v>
      </c>
      <c r="DS28" s="1184">
        <f t="shared" si="23"/>
        <v>2.4999999999999991</v>
      </c>
      <c r="DT28" s="1185">
        <f>ROUND(6.819*(DS28/DP2)^1.852/(DP28/1000)^1.167*1000*9.81,0)</f>
        <v>60</v>
      </c>
      <c r="DU28" s="403"/>
      <c r="DV28" s="403"/>
      <c r="DW28" s="398">
        <f>(IF(DU28=0,DW5,DU28)/1000/9.81*(DP28/1000)^1.167/6.819)^(1/1.852)*DP2</f>
        <v>5.9843210032634628</v>
      </c>
      <c r="DX28" s="398">
        <f>6.819*(IF(DV28=0,DX5,DV28)/DP2)^1.852/(DP28/1000)^1.167*1000*9.81</f>
        <v>59.576445790012059</v>
      </c>
      <c r="DY28" s="398">
        <f>IF(DX28&lt;=DW5,IF(DW28&lt;=IF(DV28=0,DX5,DV28),DW28,(DX28/1000/9.81*(DP28/1000)^1.167/6.819)^(1/1.852)*DP2),IF(DW28&lt;=IF(DV28=0,DX5,DV28),DW28,"Check"))</f>
        <v>2.4999999999999991</v>
      </c>
      <c r="EA28" s="1647">
        <f t="shared" si="34"/>
        <v>24.000633322175549</v>
      </c>
      <c r="EB28" s="1671">
        <v>19</v>
      </c>
      <c r="EC28" s="1644">
        <f t="shared" si="24"/>
        <v>297.15063332217551</v>
      </c>
      <c r="ED28" s="1644">
        <f t="shared" si="25"/>
        <v>-32.581440875774611</v>
      </c>
      <c r="EE28" s="1644">
        <f t="shared" si="26"/>
        <v>40.582876513413943</v>
      </c>
      <c r="EF28" s="1644">
        <f t="shared" si="27"/>
        <v>2.9852406359596202</v>
      </c>
      <c r="EG28" s="1644">
        <f t="shared" si="28"/>
        <v>0.56719572083232783</v>
      </c>
      <c r="EH28" s="1644">
        <f t="shared" si="35"/>
        <v>1.8881070919450717E-2</v>
      </c>
      <c r="EI28" s="1644">
        <f t="shared" si="29"/>
        <v>0.18544026850167106</v>
      </c>
      <c r="EJ28" s="505">
        <f t="shared" si="30"/>
        <v>19</v>
      </c>
      <c r="EK28" s="1648">
        <f t="shared" si="31"/>
        <v>33.053096374230215</v>
      </c>
      <c r="EL28" s="521">
        <f t="shared" si="32"/>
        <v>-1.0684024791221578</v>
      </c>
      <c r="EM28" s="522">
        <f t="shared" si="33"/>
        <v>3.5013108609020342E-3</v>
      </c>
    </row>
    <row r="29" spans="2:143" ht="13.5" customHeight="1">
      <c r="B29" s="329" t="str">
        <f>IF(AND(B4=1,E14&gt;0),E14,"n/a")</f>
        <v>n/a</v>
      </c>
      <c r="C29" s="297" t="s">
        <v>132</v>
      </c>
      <c r="D29" s="307">
        <f>IF(F4="-","n/a",1.02*F4)</f>
        <v>1.224</v>
      </c>
      <c r="E29" s="330">
        <f>IF(E14&gt;0,D10,"( n/a -")</f>
        <v>35</v>
      </c>
      <c r="F29" s="323">
        <f>IF(AND(B20=FALSE,COUNTA(E14)=1,COUNTA(D22)=1),D22,IF(AND(B20=TRUE,COUNTA(E14)=1,BU44=1,D23&gt;D22),D23,"n/a )"))</f>
        <v>13</v>
      </c>
      <c r="G29" s="380"/>
      <c r="M29" s="705"/>
      <c r="N29" s="324" t="s">
        <v>5</v>
      </c>
      <c r="O29" s="325" t="str">
        <f>IF(OR(O28="n/a",B20=FALSE,BU44=0),"n/a",O28*P28*(R28-S28))</f>
        <v>n/a</v>
      </c>
      <c r="P29" s="318" t="s">
        <v>6</v>
      </c>
      <c r="Q29" s="318"/>
      <c r="R29" s="314"/>
      <c r="S29" s="296"/>
      <c r="U29" s="376" t="str">
        <f>IF(OR(H8="-",I8="-"),"","O")</f>
        <v>O</v>
      </c>
      <c r="V29" s="372">
        <f>D8</f>
        <v>35</v>
      </c>
      <c r="W29" s="373">
        <f>H8</f>
        <v>2.1131965752076085E-2</v>
      </c>
      <c r="AD29" s="705"/>
      <c r="AE29" s="324" t="s">
        <v>5</v>
      </c>
      <c r="AF29" s="325" t="e">
        <f>IF(AH28="n/a","n/a",AF28+AH28)</f>
        <v>#VALUE!</v>
      </c>
      <c r="AG29" s="318" t="s">
        <v>6</v>
      </c>
      <c r="AH29" s="318"/>
      <c r="AI29" s="314"/>
      <c r="AJ29" s="296"/>
      <c r="AL29" s="376" t="e">
        <f>IF(AF11="n/a","","M")</f>
        <v>#VALUE!</v>
      </c>
      <c r="AM29" s="377" t="e">
        <f>IF(AF11="n/a",0,AF11)</f>
        <v>#VALUE!</v>
      </c>
      <c r="AN29" s="373" t="e">
        <f>IF(AF14="n/a",0,AF14)</f>
        <v>#VALUE!</v>
      </c>
      <c r="AT29" s="717"/>
      <c r="AU29" s="293" t="s">
        <v>5</v>
      </c>
      <c r="AV29" s="304">
        <f>IF(C32&gt;0,C32,"n/a")</f>
        <v>2.4860000000000002</v>
      </c>
      <c r="AW29" s="307">
        <f>1.02*F4</f>
        <v>1.224</v>
      </c>
      <c r="AX29" s="297" t="s">
        <v>1108</v>
      </c>
      <c r="AY29" s="371">
        <f>IF(OR(H9="-",C32=0),"n/a -",D9)</f>
        <v>7</v>
      </c>
      <c r="AZ29" s="704" t="str">
        <f>IF(OR(AND(BU45=0,C20=TRUE),C20=FALSE,D24&lt;D9),"n/a )",D24)</f>
        <v>n/a )</v>
      </c>
      <c r="BJ29" s="294" t="e">
        <f t="shared" si="0"/>
        <v>#VALUE!</v>
      </c>
      <c r="BK29" s="294">
        <f t="shared" si="14"/>
        <v>850</v>
      </c>
      <c r="BL29" s="514">
        <f t="shared" si="7"/>
        <v>1562.2826107036678</v>
      </c>
      <c r="BN29" s="294" t="str">
        <f t="shared" si="1"/>
        <v/>
      </c>
      <c r="BO29" s="294">
        <f t="shared" si="15"/>
        <v>850</v>
      </c>
      <c r="BP29" s="514">
        <f t="shared" si="8"/>
        <v>1562.2826107036678</v>
      </c>
      <c r="BR29" s="294" t="str">
        <f t="shared" si="2"/>
        <v/>
      </c>
      <c r="BS29" s="294">
        <f t="shared" si="16"/>
        <v>850</v>
      </c>
      <c r="BT29" s="514">
        <f t="shared" si="9"/>
        <v>1562.2826107036678</v>
      </c>
      <c r="BV29" s="294" t="e">
        <f t="shared" si="3"/>
        <v>#VALUE!</v>
      </c>
      <c r="BW29" s="294">
        <f t="shared" si="17"/>
        <v>850</v>
      </c>
      <c r="BX29" s="514">
        <f t="shared" si="10"/>
        <v>1562.2826107036678</v>
      </c>
      <c r="BZ29" s="294" t="str">
        <f t="shared" si="4"/>
        <v/>
      </c>
      <c r="CA29" s="294">
        <f t="shared" si="18"/>
        <v>850</v>
      </c>
      <c r="CB29" s="514">
        <f t="shared" si="11"/>
        <v>1562.2826107036678</v>
      </c>
      <c r="CD29" s="294" t="str">
        <f t="shared" si="5"/>
        <v/>
      </c>
      <c r="CE29" s="294">
        <f t="shared" si="19"/>
        <v>850</v>
      </c>
      <c r="CF29" s="514">
        <f t="shared" si="12"/>
        <v>1562.2826107036678</v>
      </c>
      <c r="CG29" s="293"/>
      <c r="CH29" s="294" t="str">
        <f t="shared" si="6"/>
        <v/>
      </c>
      <c r="CI29" s="294">
        <f t="shared" si="20"/>
        <v>850</v>
      </c>
      <c r="CJ29" s="514">
        <f t="shared" si="13"/>
        <v>1562.2826107036678</v>
      </c>
      <c r="CL29" s="1647" t="e">
        <f t="shared" si="56"/>
        <v>#VALUE!</v>
      </c>
      <c r="CM29" s="1671">
        <v>4</v>
      </c>
      <c r="CN29" s="1644" t="e">
        <f t="shared" si="36"/>
        <v>#VALUE!</v>
      </c>
      <c r="CO29" s="1644" t="e">
        <f t="shared" si="37"/>
        <v>#VALUE!</v>
      </c>
      <c r="CP29" s="1644" t="e">
        <f t="shared" si="38"/>
        <v>#VALUE!</v>
      </c>
      <c r="CQ29" s="1644" t="e">
        <f t="shared" si="39"/>
        <v>#VALUE!</v>
      </c>
      <c r="CR29" s="1644" t="e">
        <f t="shared" si="40"/>
        <v>#VALUE!</v>
      </c>
      <c r="CS29" s="1644" t="e">
        <f t="shared" si="57"/>
        <v>#VALUE!</v>
      </c>
      <c r="CT29" s="1644" t="e">
        <f t="shared" si="41"/>
        <v>#VALUE!</v>
      </c>
      <c r="CU29" s="505" t="e">
        <f t="shared" si="42"/>
        <v>#VALUE!</v>
      </c>
      <c r="CV29" s="1648" t="e">
        <f t="shared" si="43"/>
        <v>#VALUE!</v>
      </c>
      <c r="CW29" s="521" t="e">
        <f t="shared" si="44"/>
        <v>#VALUE!</v>
      </c>
      <c r="CX29" s="522" t="e">
        <f t="shared" si="45"/>
        <v>#VALUE!</v>
      </c>
      <c r="CZ29" s="1647" t="e">
        <f t="shared" si="58"/>
        <v>#VALUE!</v>
      </c>
      <c r="DA29" s="1671">
        <v>4</v>
      </c>
      <c r="DB29" s="1644" t="e">
        <f t="shared" si="46"/>
        <v>#VALUE!</v>
      </c>
      <c r="DC29" s="1644" t="e">
        <f t="shared" si="47"/>
        <v>#VALUE!</v>
      </c>
      <c r="DD29" s="1644" t="e">
        <f t="shared" si="48"/>
        <v>#VALUE!</v>
      </c>
      <c r="DE29" s="1644" t="e">
        <f t="shared" si="49"/>
        <v>#VALUE!</v>
      </c>
      <c r="DF29" s="1644" t="e">
        <f t="shared" si="50"/>
        <v>#VALUE!</v>
      </c>
      <c r="DG29" s="1644" t="e">
        <f t="shared" si="59"/>
        <v>#VALUE!</v>
      </c>
      <c r="DH29" s="1644" t="e">
        <f t="shared" si="51"/>
        <v>#VALUE!</v>
      </c>
      <c r="DI29" s="505" t="e">
        <f t="shared" si="52"/>
        <v>#VALUE!</v>
      </c>
      <c r="DJ29" s="1648" t="e">
        <f t="shared" si="53"/>
        <v>#VALUE!</v>
      </c>
      <c r="DK29" s="521" t="e">
        <f t="shared" si="54"/>
        <v>#VALUE!</v>
      </c>
      <c r="DL29" s="522" t="e">
        <f t="shared" si="55"/>
        <v>#VALUE!</v>
      </c>
      <c r="DN29" s="513">
        <v>750</v>
      </c>
      <c r="DO29" s="417">
        <v>762</v>
      </c>
      <c r="DP29" s="417">
        <f t="shared" si="21"/>
        <v>742</v>
      </c>
      <c r="DQ29" s="417">
        <v>10</v>
      </c>
      <c r="DR29" s="1186">
        <f t="shared" si="22"/>
        <v>1081.0298860818812</v>
      </c>
      <c r="DS29" s="1180">
        <f t="shared" si="23"/>
        <v>2.4999999999999991</v>
      </c>
      <c r="DT29" s="1181">
        <f>ROUND(6.819*(DS29/DP2)^1.852/(DP29/1000)^1.167*1000*9.81,0)</f>
        <v>55</v>
      </c>
      <c r="DU29" s="403"/>
      <c r="DV29" s="403"/>
      <c r="DW29" s="398">
        <f>(IF(DU29=0,DW5,DU29)/1000/9.81*(DP29/1000)^1.167/6.819)^(1/1.852)*DP2</f>
        <v>6.2589600496106685</v>
      </c>
      <c r="DX29" s="398">
        <f>6.819*(IF(DV29=0,DX5,DV29)/DP2)^1.852/(DP29/1000)^1.167*1000*9.81</f>
        <v>54.82569103775036</v>
      </c>
      <c r="DY29" s="398">
        <f>IF(DX29&lt;=DW5,IF(DW29&lt;=IF(DV29=0,DX5,DV29),DW29,(DX29/1000/9.81*(DP29/1000)^1.167/6.819)^(1/1.852)*DP2),IF(DW29&lt;=IF(DV29=0,DX5,DV29),DW29,"Check"))</f>
        <v>2.4999999999999991</v>
      </c>
      <c r="EA29" s="1647">
        <f t="shared" si="34"/>
        <v>24.000633322175549</v>
      </c>
      <c r="EB29" s="1671">
        <v>20</v>
      </c>
      <c r="EC29" s="1644">
        <f t="shared" si="24"/>
        <v>297.15063332217551</v>
      </c>
      <c r="ED29" s="1644">
        <f t="shared" si="25"/>
        <v>-32.581440875774611</v>
      </c>
      <c r="EE29" s="1644">
        <f t="shared" si="26"/>
        <v>40.582876513413943</v>
      </c>
      <c r="EF29" s="1644">
        <f t="shared" si="27"/>
        <v>2.9852406359596202</v>
      </c>
      <c r="EG29" s="1644">
        <f t="shared" si="28"/>
        <v>0.59704812719192402</v>
      </c>
      <c r="EH29" s="1644">
        <f t="shared" si="35"/>
        <v>1.8881070919450717E-2</v>
      </c>
      <c r="EI29" s="1644">
        <f t="shared" si="29"/>
        <v>0.19525813348854085</v>
      </c>
      <c r="EJ29" s="505">
        <f t="shared" si="30"/>
        <v>20</v>
      </c>
      <c r="EK29" s="1648">
        <f t="shared" si="31"/>
        <v>33.52474177727585</v>
      </c>
      <c r="EL29" s="521">
        <f t="shared" si="32"/>
        <v>-0.35589717824854572</v>
      </c>
      <c r="EM29" s="522">
        <f t="shared" si="33"/>
        <v>3.686682665996715E-3</v>
      </c>
    </row>
    <row r="30" spans="2:143" ht="13.5">
      <c r="B30" s="331" t="s">
        <v>1144</v>
      </c>
      <c r="C30" s="332" t="str">
        <f>IF(OR(F29="n/a )",B29="n/a"),"n/a",B29/D29/(E29-F29))</f>
        <v>n/a</v>
      </c>
      <c r="D30" s="297" t="s">
        <v>1132</v>
      </c>
      <c r="F30" s="300"/>
      <c r="G30" s="297"/>
      <c r="U30" s="376" t="str">
        <f>IF(OR(I10="-",H10="-"),"","R")</f>
        <v>R</v>
      </c>
      <c r="V30" s="372">
        <f>D10</f>
        <v>35</v>
      </c>
      <c r="W30" s="373">
        <f>H10</f>
        <v>2.1442276230999282E-2</v>
      </c>
      <c r="AD30" s="1225" t="s">
        <v>1205</v>
      </c>
      <c r="AJ30" s="295"/>
      <c r="AL30" s="294" t="str">
        <f>IF(OR(C20=FALSE,D24&lt;0,H9="-"),"","PH")</f>
        <v/>
      </c>
      <c r="AM30" s="372">
        <f>IF(C20=TRUE,D24,AM26)</f>
        <v>7</v>
      </c>
      <c r="AN30" s="373">
        <f>IF(C20=TRUE,H24,AN26)</f>
        <v>2.4699676060335892E-3</v>
      </c>
      <c r="AT30" s="700"/>
      <c r="AU30" s="324" t="s">
        <v>5</v>
      </c>
      <c r="AV30" s="325" t="str">
        <f>IF(OR(C20=FALSE,C32=0,AZ29="n/a )"),"n/a",AV29*AW29*(AY29-AZ29))</f>
        <v>n/a</v>
      </c>
      <c r="AW30" s="318" t="s">
        <v>6</v>
      </c>
      <c r="AX30" s="314"/>
      <c r="AY30" s="314"/>
      <c r="AZ30" s="296"/>
      <c r="BJ30" s="294" t="e">
        <f t="shared" si="0"/>
        <v>#VALUE!</v>
      </c>
      <c r="BK30" s="294">
        <f t="shared" si="14"/>
        <v>900</v>
      </c>
      <c r="BL30" s="514">
        <f t="shared" si="7"/>
        <v>1940.0041494264024</v>
      </c>
      <c r="BN30" s="294" t="str">
        <f t="shared" si="1"/>
        <v/>
      </c>
      <c r="BO30" s="294">
        <f t="shared" si="15"/>
        <v>900</v>
      </c>
      <c r="BP30" s="514">
        <f t="shared" si="8"/>
        <v>1940.0041494264024</v>
      </c>
      <c r="BR30" s="294" t="str">
        <f t="shared" si="2"/>
        <v/>
      </c>
      <c r="BS30" s="294">
        <f t="shared" si="16"/>
        <v>900</v>
      </c>
      <c r="BT30" s="514">
        <f t="shared" si="9"/>
        <v>1940.0041494264024</v>
      </c>
      <c r="BV30" s="294" t="e">
        <f t="shared" si="3"/>
        <v>#VALUE!</v>
      </c>
      <c r="BW30" s="294">
        <f t="shared" si="17"/>
        <v>900</v>
      </c>
      <c r="BX30" s="514">
        <f t="shared" si="10"/>
        <v>1940.0041494264024</v>
      </c>
      <c r="BZ30" s="294" t="str">
        <f t="shared" si="4"/>
        <v/>
      </c>
      <c r="CA30" s="294">
        <f t="shared" si="18"/>
        <v>900</v>
      </c>
      <c r="CB30" s="514">
        <f t="shared" si="11"/>
        <v>1940.0041494264024</v>
      </c>
      <c r="CD30" s="294" t="str">
        <f t="shared" si="5"/>
        <v/>
      </c>
      <c r="CE30" s="294">
        <f t="shared" si="19"/>
        <v>900</v>
      </c>
      <c r="CF30" s="514">
        <f t="shared" si="12"/>
        <v>1940.0041494264024</v>
      </c>
      <c r="CG30" s="293"/>
      <c r="CH30" s="294" t="str">
        <f t="shared" si="6"/>
        <v/>
      </c>
      <c r="CI30" s="294">
        <f t="shared" si="20"/>
        <v>900</v>
      </c>
      <c r="CJ30" s="514">
        <f t="shared" si="13"/>
        <v>1940.0041494264024</v>
      </c>
      <c r="CL30" s="1647" t="e">
        <f t="shared" si="56"/>
        <v>#VALUE!</v>
      </c>
      <c r="CM30" s="1671">
        <v>5</v>
      </c>
      <c r="CN30" s="1644" t="e">
        <f t="shared" si="36"/>
        <v>#VALUE!</v>
      </c>
      <c r="CO30" s="1644" t="e">
        <f t="shared" si="37"/>
        <v>#VALUE!</v>
      </c>
      <c r="CP30" s="1644" t="e">
        <f t="shared" si="38"/>
        <v>#VALUE!</v>
      </c>
      <c r="CQ30" s="1644" t="e">
        <f t="shared" si="39"/>
        <v>#VALUE!</v>
      </c>
      <c r="CR30" s="1644" t="e">
        <f t="shared" si="40"/>
        <v>#VALUE!</v>
      </c>
      <c r="CS30" s="1644" t="e">
        <f t="shared" si="57"/>
        <v>#VALUE!</v>
      </c>
      <c r="CT30" s="1644" t="e">
        <f t="shared" si="41"/>
        <v>#VALUE!</v>
      </c>
      <c r="CU30" s="505" t="e">
        <f t="shared" si="42"/>
        <v>#VALUE!</v>
      </c>
      <c r="CV30" s="1648" t="e">
        <f t="shared" si="43"/>
        <v>#VALUE!</v>
      </c>
      <c r="CW30" s="521" t="e">
        <f t="shared" si="44"/>
        <v>#VALUE!</v>
      </c>
      <c r="CX30" s="522" t="e">
        <f t="shared" si="45"/>
        <v>#VALUE!</v>
      </c>
      <c r="CZ30" s="1647" t="e">
        <f t="shared" si="58"/>
        <v>#VALUE!</v>
      </c>
      <c r="DA30" s="1671">
        <v>5</v>
      </c>
      <c r="DB30" s="1644" t="e">
        <f t="shared" si="46"/>
        <v>#VALUE!</v>
      </c>
      <c r="DC30" s="1644" t="e">
        <f t="shared" si="47"/>
        <v>#VALUE!</v>
      </c>
      <c r="DD30" s="1644" t="e">
        <f t="shared" si="48"/>
        <v>#VALUE!</v>
      </c>
      <c r="DE30" s="1644" t="e">
        <f t="shared" si="49"/>
        <v>#VALUE!</v>
      </c>
      <c r="DF30" s="1644" t="e">
        <f t="shared" si="50"/>
        <v>#VALUE!</v>
      </c>
      <c r="DG30" s="1644" t="e">
        <f t="shared" si="59"/>
        <v>#VALUE!</v>
      </c>
      <c r="DH30" s="1644" t="e">
        <f t="shared" si="51"/>
        <v>#VALUE!</v>
      </c>
      <c r="DI30" s="505" t="e">
        <f t="shared" si="52"/>
        <v>#VALUE!</v>
      </c>
      <c r="DJ30" s="1648" t="e">
        <f t="shared" si="53"/>
        <v>#VALUE!</v>
      </c>
      <c r="DK30" s="521" t="e">
        <f t="shared" si="54"/>
        <v>#VALUE!</v>
      </c>
      <c r="DL30" s="522" t="e">
        <f t="shared" si="55"/>
        <v>#VALUE!</v>
      </c>
      <c r="DN30" s="761">
        <v>800</v>
      </c>
      <c r="DO30" s="1182">
        <v>813</v>
      </c>
      <c r="DP30" s="1182">
        <f t="shared" si="21"/>
        <v>793</v>
      </c>
      <c r="DQ30" s="1182">
        <v>10</v>
      </c>
      <c r="DR30" s="1183">
        <f t="shared" si="22"/>
        <v>1234.7421241358045</v>
      </c>
      <c r="DS30" s="1184">
        <f t="shared" si="23"/>
        <v>2.4999999999999991</v>
      </c>
      <c r="DT30" s="1185">
        <f>ROUND(6.819*(DS30/DP2)^1.852/(DP30/1000)^1.167*1000*9.81,0)</f>
        <v>51</v>
      </c>
      <c r="DU30" s="403"/>
      <c r="DV30" s="403"/>
      <c r="DW30" s="398">
        <f>(IF(DU30=0,DW5,DU30)/1000/9.81*(DP30/1000)^1.167/6.819)^(1/1.852)*DP2</f>
        <v>6.5266987609106328</v>
      </c>
      <c r="DX30" s="398">
        <f>6.819*(IF(DV30=0,DX5,DV30)/DP2)^1.852/(DP30/1000)^1.167*1000*9.81</f>
        <v>50.733364231020182</v>
      </c>
      <c r="DY30" s="398">
        <f>IF(DX30&lt;=DW5,IF(DW30&lt;=IF(DV30=0,DX5,DV30),DW30,(DX30/1000/9.81*(DP30/1000)^1.167/6.819)^(1/1.852)*DP2),IF(DW30&lt;=IF(DV30=0,DX5,DV30),DW30,"Check"))</f>
        <v>2.4999999999999991</v>
      </c>
      <c r="EA30" s="1647">
        <f t="shared" si="34"/>
        <v>24.000633322175549</v>
      </c>
      <c r="EB30" s="1671">
        <v>21</v>
      </c>
      <c r="EC30" s="1644">
        <f t="shared" si="24"/>
        <v>297.15063332217551</v>
      </c>
      <c r="ED30" s="1644">
        <f t="shared" si="25"/>
        <v>-32.581440875774611</v>
      </c>
      <c r="EE30" s="1644">
        <f t="shared" si="26"/>
        <v>40.582876513413943</v>
      </c>
      <c r="EF30" s="1644">
        <f t="shared" si="27"/>
        <v>2.9852406359596202</v>
      </c>
      <c r="EG30" s="1644">
        <f t="shared" si="28"/>
        <v>0.6269005335515202</v>
      </c>
      <c r="EH30" s="1644">
        <f t="shared" si="35"/>
        <v>1.8881070919450717E-2</v>
      </c>
      <c r="EI30" s="1644">
        <f t="shared" si="29"/>
        <v>0.20508181957624022</v>
      </c>
      <c r="EJ30" s="505">
        <f t="shared" si="30"/>
        <v>21</v>
      </c>
      <c r="EK30" s="1648">
        <f t="shared" si="31"/>
        <v>33.996666823141041</v>
      </c>
      <c r="EL30" s="521">
        <f t="shared" si="32"/>
        <v>0.32476749761272089</v>
      </c>
      <c r="EM30" s="522">
        <f t="shared" si="33"/>
        <v>3.8721643797089882E-3</v>
      </c>
    </row>
    <row r="31" spans="2:143" ht="13.5">
      <c r="B31" s="333" t="s">
        <v>1145</v>
      </c>
      <c r="C31" s="1395">
        <v>8.3179999999999996</v>
      </c>
      <c r="D31" s="319" t="s">
        <v>1132</v>
      </c>
      <c r="E31" s="319"/>
      <c r="F31" s="296"/>
      <c r="M31" s="1847" t="s">
        <v>157</v>
      </c>
      <c r="N31" s="1848"/>
      <c r="O31" s="1848"/>
      <c r="P31" s="1848"/>
      <c r="Q31" s="1848"/>
      <c r="R31" s="1848"/>
      <c r="S31" s="1849"/>
      <c r="U31" s="376" t="str">
        <f>IF(OR(I22="-",H22="-"),"","S1")</f>
        <v>S1</v>
      </c>
      <c r="V31" s="372">
        <f>D22</f>
        <v>13</v>
      </c>
      <c r="W31" s="373">
        <f>H22</f>
        <v>8.85895440377126E-3</v>
      </c>
      <c r="AD31" s="697" t="s">
        <v>1134</v>
      </c>
      <c r="AE31" s="297" t="s">
        <v>5</v>
      </c>
      <c r="AF31" s="297" t="s">
        <v>1112</v>
      </c>
      <c r="AG31" s="297" t="s">
        <v>137</v>
      </c>
      <c r="AH31" s="297" t="s">
        <v>1108</v>
      </c>
      <c r="AI31" s="297" t="s">
        <v>1137</v>
      </c>
      <c r="AJ31" s="300" t="s">
        <v>1119</v>
      </c>
      <c r="AM31" s="294"/>
      <c r="AN31" s="294"/>
      <c r="AO31" s="294"/>
      <c r="AT31" s="2030" t="s">
        <v>1110</v>
      </c>
      <c r="AU31" s="2031"/>
      <c r="AV31" s="2031"/>
      <c r="AW31" s="2031"/>
      <c r="AX31" s="2031"/>
      <c r="AY31" s="2031"/>
      <c r="AZ31" s="2032"/>
      <c r="BD31" s="294"/>
      <c r="BE31" s="294"/>
      <c r="BF31" s="294"/>
      <c r="BG31" s="294"/>
      <c r="BJ31" s="294" t="e">
        <f t="shared" si="0"/>
        <v>#VALUE!</v>
      </c>
      <c r="BK31" s="294">
        <f t="shared" si="14"/>
        <v>1000</v>
      </c>
      <c r="BL31" s="514">
        <f t="shared" si="7"/>
        <v>2799.2297401832102</v>
      </c>
      <c r="BN31" s="294" t="str">
        <f t="shared" si="1"/>
        <v/>
      </c>
      <c r="BO31" s="294">
        <f t="shared" si="15"/>
        <v>1000</v>
      </c>
      <c r="BP31" s="514">
        <f t="shared" si="8"/>
        <v>2799.2297401832102</v>
      </c>
      <c r="BR31" s="294" t="str">
        <f t="shared" si="2"/>
        <v/>
      </c>
      <c r="BS31" s="294">
        <f t="shared" si="16"/>
        <v>1000</v>
      </c>
      <c r="BT31" s="514">
        <f t="shared" si="9"/>
        <v>2799.2297401832102</v>
      </c>
      <c r="BV31" s="294" t="e">
        <f t="shared" si="3"/>
        <v>#VALUE!</v>
      </c>
      <c r="BW31" s="294">
        <f t="shared" si="17"/>
        <v>1000</v>
      </c>
      <c r="BX31" s="514">
        <f t="shared" si="10"/>
        <v>2799.2297401832102</v>
      </c>
      <c r="BZ31" s="294" t="str">
        <f t="shared" si="4"/>
        <v/>
      </c>
      <c r="CA31" s="294">
        <f t="shared" si="18"/>
        <v>1000</v>
      </c>
      <c r="CB31" s="514">
        <f t="shared" si="11"/>
        <v>2799.2297401832102</v>
      </c>
      <c r="CD31" s="294" t="str">
        <f t="shared" si="5"/>
        <v/>
      </c>
      <c r="CE31" s="294">
        <f t="shared" si="19"/>
        <v>1000</v>
      </c>
      <c r="CF31" s="514">
        <f t="shared" si="12"/>
        <v>2799.2297401832102</v>
      </c>
      <c r="CG31" s="293"/>
      <c r="CH31" s="294" t="str">
        <f t="shared" si="6"/>
        <v/>
      </c>
      <c r="CI31" s="294">
        <f t="shared" si="20"/>
        <v>1000</v>
      </c>
      <c r="CJ31" s="514">
        <f t="shared" si="13"/>
        <v>2799.2297401832102</v>
      </c>
      <c r="CL31" s="1647" t="e">
        <f t="shared" si="56"/>
        <v>#VALUE!</v>
      </c>
      <c r="CM31" s="1671">
        <v>6</v>
      </c>
      <c r="CN31" s="1644" t="e">
        <f t="shared" si="36"/>
        <v>#VALUE!</v>
      </c>
      <c r="CO31" s="1644" t="e">
        <f t="shared" si="37"/>
        <v>#VALUE!</v>
      </c>
      <c r="CP31" s="1644" t="e">
        <f t="shared" si="38"/>
        <v>#VALUE!</v>
      </c>
      <c r="CQ31" s="1644" t="e">
        <f t="shared" si="39"/>
        <v>#VALUE!</v>
      </c>
      <c r="CR31" s="1644" t="e">
        <f t="shared" si="40"/>
        <v>#VALUE!</v>
      </c>
      <c r="CS31" s="1644" t="e">
        <f t="shared" si="57"/>
        <v>#VALUE!</v>
      </c>
      <c r="CT31" s="1644" t="e">
        <f t="shared" si="41"/>
        <v>#VALUE!</v>
      </c>
      <c r="CU31" s="505" t="e">
        <f t="shared" si="42"/>
        <v>#VALUE!</v>
      </c>
      <c r="CV31" s="1648" t="e">
        <f t="shared" si="43"/>
        <v>#VALUE!</v>
      </c>
      <c r="CW31" s="521" t="e">
        <f t="shared" si="44"/>
        <v>#VALUE!</v>
      </c>
      <c r="CX31" s="522" t="e">
        <f t="shared" si="45"/>
        <v>#VALUE!</v>
      </c>
      <c r="CZ31" s="1647" t="e">
        <f t="shared" si="58"/>
        <v>#VALUE!</v>
      </c>
      <c r="DA31" s="1671">
        <v>6</v>
      </c>
      <c r="DB31" s="1644" t="e">
        <f t="shared" si="46"/>
        <v>#VALUE!</v>
      </c>
      <c r="DC31" s="1644" t="e">
        <f t="shared" si="47"/>
        <v>#VALUE!</v>
      </c>
      <c r="DD31" s="1644" t="e">
        <f t="shared" si="48"/>
        <v>#VALUE!</v>
      </c>
      <c r="DE31" s="1644" t="e">
        <f t="shared" si="49"/>
        <v>#VALUE!</v>
      </c>
      <c r="DF31" s="1644" t="e">
        <f t="shared" si="50"/>
        <v>#VALUE!</v>
      </c>
      <c r="DG31" s="1644" t="e">
        <f t="shared" si="59"/>
        <v>#VALUE!</v>
      </c>
      <c r="DH31" s="1644" t="e">
        <f t="shared" si="51"/>
        <v>#VALUE!</v>
      </c>
      <c r="DI31" s="505" t="e">
        <f t="shared" si="52"/>
        <v>#VALUE!</v>
      </c>
      <c r="DJ31" s="1648" t="e">
        <f t="shared" si="53"/>
        <v>#VALUE!</v>
      </c>
      <c r="DK31" s="521" t="e">
        <f t="shared" si="54"/>
        <v>#VALUE!</v>
      </c>
      <c r="DL31" s="522" t="e">
        <f t="shared" si="55"/>
        <v>#VALUE!</v>
      </c>
      <c r="DN31" s="513">
        <v>850</v>
      </c>
      <c r="DO31" s="417">
        <v>864</v>
      </c>
      <c r="DP31" s="417">
        <f t="shared" si="21"/>
        <v>842</v>
      </c>
      <c r="DQ31" s="417">
        <v>11</v>
      </c>
      <c r="DR31" s="1186">
        <f t="shared" si="22"/>
        <v>1392.0475587872704</v>
      </c>
      <c r="DS31" s="1180">
        <f t="shared" si="23"/>
        <v>2.4999999999999991</v>
      </c>
      <c r="DT31" s="1181">
        <f>ROUND(6.819*(DS31/DP2)^1.852/(DP31/1000)^1.167*1000*9.81,0)</f>
        <v>47</v>
      </c>
      <c r="DU31" s="403"/>
      <c r="DV31" s="403"/>
      <c r="DW31" s="398">
        <f>(IF(DU31=0,DW5,DU31)/1000/9.81*(DP31/1000)^1.167/6.819)^(1/1.852)*DP2</f>
        <v>6.7779982496548845</v>
      </c>
      <c r="DX31" s="398">
        <f>6.819*(IF(DV31=0,DX5,DV31)/DP2)^1.852/(DP31/1000)^1.167*1000*9.81</f>
        <v>47.304914408840872</v>
      </c>
      <c r="DY31" s="398">
        <f>IF(DX31&lt;=DW5,IF(DW31&lt;=IF(DV31=0,DX5,DV31),DW31,(DX31/1000/9.81*(DP31/1000)^1.167/6.819)^(1/1.852)*DP2),IF(DW31&lt;=IF(DV31=0,DX5,DV31),DW31,"Check"))</f>
        <v>2.4999999999999991</v>
      </c>
      <c r="EA31" s="1647">
        <f t="shared" si="34"/>
        <v>24.000633322175549</v>
      </c>
      <c r="EB31" s="1671">
        <v>22</v>
      </c>
      <c r="EC31" s="1644">
        <f t="shared" si="24"/>
        <v>297.15063332217551</v>
      </c>
      <c r="ED31" s="1644">
        <f t="shared" si="25"/>
        <v>-32.581440875774611</v>
      </c>
      <c r="EE31" s="1644">
        <f t="shared" si="26"/>
        <v>40.582876513413943</v>
      </c>
      <c r="EF31" s="1644">
        <f t="shared" si="27"/>
        <v>2.9852406359596202</v>
      </c>
      <c r="EG31" s="1644">
        <f t="shared" si="28"/>
        <v>0.6567529399111165</v>
      </c>
      <c r="EH31" s="1644">
        <f t="shared" si="35"/>
        <v>1.8881070919450717E-2</v>
      </c>
      <c r="EI31" s="1644">
        <f t="shared" si="29"/>
        <v>0.21491133194337939</v>
      </c>
      <c r="EJ31" s="505">
        <f t="shared" si="30"/>
        <v>22</v>
      </c>
      <c r="EK31" s="1648">
        <f t="shared" si="31"/>
        <v>34.468871760603662</v>
      </c>
      <c r="EL31" s="521">
        <f t="shared" si="32"/>
        <v>0.97648398310716666</v>
      </c>
      <c r="EM31" s="522">
        <f t="shared" si="33"/>
        <v>4.0577560998165604E-3</v>
      </c>
    </row>
    <row r="32" spans="2:143" ht="13.5">
      <c r="B32" s="331" t="s">
        <v>1146</v>
      </c>
      <c r="C32" s="1399">
        <v>2.4860000000000002</v>
      </c>
      <c r="D32" s="319" t="s">
        <v>1132</v>
      </c>
      <c r="F32" s="335"/>
      <c r="G32" s="292"/>
      <c r="M32" s="1224" t="s">
        <v>1981</v>
      </c>
      <c r="N32" s="302"/>
      <c r="O32" s="302"/>
      <c r="P32" s="302"/>
      <c r="Q32" s="302"/>
      <c r="R32" s="302"/>
      <c r="S32" s="320"/>
      <c r="U32" s="376" t="e">
        <f>IF(O7="n/a","","M")</f>
        <v>#VALUE!</v>
      </c>
      <c r="V32" s="377" t="e">
        <f>IF(D8*D10*C31&gt;0,O7,0)</f>
        <v>#VALUE!</v>
      </c>
      <c r="W32" s="373" t="e">
        <f>IF(D8*D10*C31&gt;0,O13,0)</f>
        <v>#VALUE!</v>
      </c>
      <c r="X32" s="383"/>
      <c r="AB32" s="383"/>
      <c r="AD32" s="717"/>
      <c r="AE32" s="297" t="s">
        <v>5</v>
      </c>
      <c r="AF32" s="304">
        <f>AF6</f>
        <v>8.3179999999999996</v>
      </c>
      <c r="AG32" s="307">
        <f>1.02*F4</f>
        <v>1.224</v>
      </c>
      <c r="AH32" s="297" t="s">
        <v>1108</v>
      </c>
      <c r="AI32" s="305" t="e">
        <f>IF(AF11="n/a","n/a",ROUND(AF11,1)&amp;" -")</f>
        <v>#VALUE!</v>
      </c>
      <c r="AJ32" s="704">
        <f>IF(AF7="n/a","n/a )",AF7)</f>
        <v>22.023330771757287</v>
      </c>
      <c r="AM32" s="294"/>
      <c r="AN32" s="294"/>
      <c r="AO32" s="294"/>
      <c r="AT32" s="697" t="s">
        <v>1173</v>
      </c>
      <c r="AU32" s="297" t="s">
        <v>5</v>
      </c>
      <c r="AV32" s="298" t="s">
        <v>1116</v>
      </c>
      <c r="AW32" s="297" t="s">
        <v>137</v>
      </c>
      <c r="AX32" s="297" t="s">
        <v>1108</v>
      </c>
      <c r="AY32" s="297" t="str">
        <f>IF(C20=FALSE,"to -","tpre -")</f>
        <v>to -</v>
      </c>
      <c r="AZ32" s="714" t="s">
        <v>1119</v>
      </c>
      <c r="BF32" s="294"/>
      <c r="BG32" s="294"/>
      <c r="BJ32" s="294" t="e">
        <f t="shared" si="0"/>
        <v>#VALUE!</v>
      </c>
      <c r="BK32" s="294">
        <f t="shared" si="14"/>
        <v>1200</v>
      </c>
      <c r="BL32" s="514">
        <f t="shared" si="7"/>
        <v>3831.9753106748253</v>
      </c>
      <c r="BN32" s="294" t="str">
        <f t="shared" si="1"/>
        <v/>
      </c>
      <c r="BO32" s="294">
        <f t="shared" si="15"/>
        <v>1200</v>
      </c>
      <c r="BP32" s="514">
        <f t="shared" si="8"/>
        <v>3831.9753106748253</v>
      </c>
      <c r="BR32" s="294" t="str">
        <f t="shared" si="2"/>
        <v/>
      </c>
      <c r="BS32" s="294">
        <f t="shared" si="16"/>
        <v>1200</v>
      </c>
      <c r="BT32" s="514">
        <f t="shared" si="9"/>
        <v>3831.9753106748253</v>
      </c>
      <c r="BV32" s="294" t="e">
        <f t="shared" si="3"/>
        <v>#VALUE!</v>
      </c>
      <c r="BW32" s="294">
        <f t="shared" si="17"/>
        <v>1200</v>
      </c>
      <c r="BX32" s="514">
        <f t="shared" si="10"/>
        <v>3831.9753106748253</v>
      </c>
      <c r="BZ32" s="294" t="str">
        <f t="shared" si="4"/>
        <v/>
      </c>
      <c r="CA32" s="294">
        <f t="shared" si="18"/>
        <v>1200</v>
      </c>
      <c r="CB32" s="514">
        <f t="shared" si="11"/>
        <v>3831.9753106748253</v>
      </c>
      <c r="CD32" s="294" t="str">
        <f t="shared" si="5"/>
        <v/>
      </c>
      <c r="CE32" s="294">
        <f t="shared" si="19"/>
        <v>1200</v>
      </c>
      <c r="CF32" s="514">
        <f t="shared" si="12"/>
        <v>3831.9753106748253</v>
      </c>
      <c r="CG32" s="293"/>
      <c r="CH32" s="294" t="str">
        <f t="shared" si="6"/>
        <v/>
      </c>
      <c r="CI32" s="294">
        <f t="shared" si="20"/>
        <v>1200</v>
      </c>
      <c r="CJ32" s="514">
        <f t="shared" si="13"/>
        <v>3831.9753106748253</v>
      </c>
      <c r="CL32" s="1647" t="e">
        <f t="shared" si="56"/>
        <v>#VALUE!</v>
      </c>
      <c r="CM32" s="1671">
        <v>7</v>
      </c>
      <c r="CN32" s="1644" t="e">
        <f t="shared" si="36"/>
        <v>#VALUE!</v>
      </c>
      <c r="CO32" s="1644" t="e">
        <f t="shared" si="37"/>
        <v>#VALUE!</v>
      </c>
      <c r="CP32" s="1644" t="e">
        <f t="shared" si="38"/>
        <v>#VALUE!</v>
      </c>
      <c r="CQ32" s="1644" t="e">
        <f t="shared" si="39"/>
        <v>#VALUE!</v>
      </c>
      <c r="CR32" s="1644" t="e">
        <f t="shared" si="40"/>
        <v>#VALUE!</v>
      </c>
      <c r="CS32" s="1644" t="e">
        <f t="shared" si="57"/>
        <v>#VALUE!</v>
      </c>
      <c r="CT32" s="1644" t="e">
        <f t="shared" si="41"/>
        <v>#VALUE!</v>
      </c>
      <c r="CU32" s="505" t="e">
        <f t="shared" si="42"/>
        <v>#VALUE!</v>
      </c>
      <c r="CV32" s="1648" t="e">
        <f t="shared" si="43"/>
        <v>#VALUE!</v>
      </c>
      <c r="CW32" s="521" t="e">
        <f t="shared" si="44"/>
        <v>#VALUE!</v>
      </c>
      <c r="CX32" s="522" t="e">
        <f t="shared" si="45"/>
        <v>#VALUE!</v>
      </c>
      <c r="CZ32" s="1647" t="e">
        <f t="shared" si="58"/>
        <v>#VALUE!</v>
      </c>
      <c r="DA32" s="1671">
        <v>7</v>
      </c>
      <c r="DB32" s="1644" t="e">
        <f t="shared" si="46"/>
        <v>#VALUE!</v>
      </c>
      <c r="DC32" s="1644" t="e">
        <f t="shared" si="47"/>
        <v>#VALUE!</v>
      </c>
      <c r="DD32" s="1644" t="e">
        <f t="shared" si="48"/>
        <v>#VALUE!</v>
      </c>
      <c r="DE32" s="1644" t="e">
        <f t="shared" si="49"/>
        <v>#VALUE!</v>
      </c>
      <c r="DF32" s="1644" t="e">
        <f t="shared" si="50"/>
        <v>#VALUE!</v>
      </c>
      <c r="DG32" s="1644" t="e">
        <f t="shared" si="59"/>
        <v>#VALUE!</v>
      </c>
      <c r="DH32" s="1644" t="e">
        <f t="shared" si="51"/>
        <v>#VALUE!</v>
      </c>
      <c r="DI32" s="505" t="e">
        <f t="shared" si="52"/>
        <v>#VALUE!</v>
      </c>
      <c r="DJ32" s="1648" t="e">
        <f t="shared" si="53"/>
        <v>#VALUE!</v>
      </c>
      <c r="DK32" s="521" t="e">
        <f t="shared" si="54"/>
        <v>#VALUE!</v>
      </c>
      <c r="DL32" s="522" t="e">
        <f t="shared" si="55"/>
        <v>#VALUE!</v>
      </c>
      <c r="DN32" s="761">
        <v>900</v>
      </c>
      <c r="DO32" s="1182">
        <v>914</v>
      </c>
      <c r="DP32" s="1182">
        <f t="shared" si="21"/>
        <v>892</v>
      </c>
      <c r="DQ32" s="1182">
        <v>11</v>
      </c>
      <c r="DR32" s="1183">
        <f t="shared" si="22"/>
        <v>1562.2826107036678</v>
      </c>
      <c r="DS32" s="1184">
        <f t="shared" si="23"/>
        <v>2.4999999999999991</v>
      </c>
      <c r="DT32" s="1185">
        <f>ROUND(6.819*(DS32/DP2)^1.852/(DP32/1000)^1.167*1000*9.81,0)</f>
        <v>44</v>
      </c>
      <c r="DU32" s="403"/>
      <c r="DV32" s="403"/>
      <c r="DW32" s="398">
        <f>(IF(DU32=0,DW5,DU32)/1000/9.81*(DP32/1000)^1.167/6.819)^(1/1.852)*DP2</f>
        <v>7.0289093041857704</v>
      </c>
      <c r="DX32" s="398">
        <f>6.819*(IF(DV32=0,DX5,DV32)/DP2)^1.852/(DP32/1000)^1.167*1000*9.81</f>
        <v>44.225187897469958</v>
      </c>
      <c r="DY32" s="398">
        <f>IF(DX32&lt;=DW5,IF(DW32&lt;=IF(DV32=0,DX5,DV32),DW32,(DX32/1000/9.81*(DP32/1000)^1.167/6.819)^(1/1.852)*DP2),IF(DW32&lt;=IF(DV32=0,DX5,DV32),DW32,"Check"))</f>
        <v>2.4999999999999991</v>
      </c>
      <c r="EA32" s="1647">
        <f t="shared" si="34"/>
        <v>24.000633322175549</v>
      </c>
      <c r="EB32" s="1671">
        <v>23</v>
      </c>
      <c r="EC32" s="1644">
        <f t="shared" si="24"/>
        <v>297.15063332217551</v>
      </c>
      <c r="ED32" s="1644">
        <f t="shared" si="25"/>
        <v>-32.581440875774611</v>
      </c>
      <c r="EE32" s="1644">
        <f t="shared" si="26"/>
        <v>40.582876513413943</v>
      </c>
      <c r="EF32" s="1644">
        <f t="shared" si="27"/>
        <v>2.9852406359596202</v>
      </c>
      <c r="EG32" s="1644">
        <f t="shared" si="28"/>
        <v>0.68660534627071268</v>
      </c>
      <c r="EH32" s="1644">
        <f t="shared" si="35"/>
        <v>1.8881070919450717E-2</v>
      </c>
      <c r="EI32" s="1644">
        <f t="shared" si="29"/>
        <v>0.22474667577471286</v>
      </c>
      <c r="EJ32" s="505">
        <f t="shared" si="30"/>
        <v>23</v>
      </c>
      <c r="EK32" s="1648">
        <f t="shared" si="31"/>
        <v>34.941356838736795</v>
      </c>
      <c r="EL32" s="521">
        <f t="shared" si="32"/>
        <v>1.6017623394646718</v>
      </c>
      <c r="EM32" s="522">
        <f t="shared" si="33"/>
        <v>4.2434579242131495E-3</v>
      </c>
    </row>
    <row r="33" spans="2:143" ht="15" customHeight="1">
      <c r="B33" s="328" t="s">
        <v>1144</v>
      </c>
      <c r="C33" s="297" t="s">
        <v>1114</v>
      </c>
      <c r="D33" s="336" t="s">
        <v>133</v>
      </c>
      <c r="E33" s="336" t="s">
        <v>1116</v>
      </c>
      <c r="F33" s="316"/>
      <c r="G33" s="297"/>
      <c r="M33" s="697" t="s">
        <v>1134</v>
      </c>
      <c r="N33" s="297" t="s">
        <v>5</v>
      </c>
      <c r="O33" s="297" t="s">
        <v>135</v>
      </c>
      <c r="P33" s="297" t="s">
        <v>1152</v>
      </c>
      <c r="Q33" s="297" t="s">
        <v>1108</v>
      </c>
      <c r="R33" s="297" t="s">
        <v>1153</v>
      </c>
      <c r="S33" s="300" t="s">
        <v>1154</v>
      </c>
      <c r="U33" s="376" t="str">
        <f>IF(OR(B20=FALSE,D23&lt;0,H22="-"),"","S2")</f>
        <v/>
      </c>
      <c r="V33" s="372">
        <f>IF(AND(B20=TRUE,COUNTA(D23)=1),D23,V31)</f>
        <v>13</v>
      </c>
      <c r="W33" s="373">
        <f>IF(B20=TRUE,H23,W31)</f>
        <v>8.85895440377126E-3</v>
      </c>
      <c r="AB33" s="383"/>
      <c r="AD33" s="700"/>
      <c r="AE33" s="319" t="s">
        <v>5</v>
      </c>
      <c r="AF33" s="325" t="e">
        <f>IF(AF11="n/a","n/a",AF32*AG32*(AF11-AJ32))</f>
        <v>#VALUE!</v>
      </c>
      <c r="AG33" s="318" t="s">
        <v>6</v>
      </c>
      <c r="AH33" s="314"/>
      <c r="AI33" s="314"/>
      <c r="AJ33" s="296"/>
      <c r="AM33" s="294"/>
      <c r="AN33" s="384"/>
      <c r="AO33" s="294"/>
      <c r="AT33" s="717"/>
      <c r="AU33" s="293" t="s">
        <v>5</v>
      </c>
      <c r="AV33" s="304">
        <f>IF(C32&gt;0,C32,"n/a")</f>
        <v>2.4860000000000002</v>
      </c>
      <c r="AW33" s="307">
        <f>1.02*F4</f>
        <v>1.224</v>
      </c>
      <c r="AX33" s="297" t="s">
        <v>1108</v>
      </c>
      <c r="AY33" s="371">
        <f>IF(H9="-","n/a -",IF(C20=FALSE,D9,IF(AND(BU45=1,C20=TRUE,D24&gt;D9),D24,"n/a -")))</f>
        <v>7</v>
      </c>
      <c r="AZ33" s="704">
        <f>IF(D25*C32=0,"n/a )",D25)</f>
        <v>21</v>
      </c>
      <c r="BF33" s="294"/>
      <c r="BG33" s="294"/>
      <c r="BJ33" s="294" t="e">
        <f t="shared" si="0"/>
        <v>#VALUE!</v>
      </c>
      <c r="BK33" s="294">
        <f t="shared" si="14"/>
        <v>1400</v>
      </c>
      <c r="BL33" s="514">
        <f t="shared" si="7"/>
        <v>5032.8333945462546</v>
      </c>
      <c r="BN33" s="294" t="str">
        <f t="shared" si="1"/>
        <v/>
      </c>
      <c r="BO33" s="294">
        <f t="shared" si="15"/>
        <v>1400</v>
      </c>
      <c r="BP33" s="514">
        <f t="shared" si="8"/>
        <v>5032.8333945462546</v>
      </c>
      <c r="BR33" s="294" t="str">
        <f t="shared" si="2"/>
        <v/>
      </c>
      <c r="BS33" s="294">
        <f t="shared" si="16"/>
        <v>1400</v>
      </c>
      <c r="BT33" s="514">
        <f t="shared" si="9"/>
        <v>5032.8333945462546</v>
      </c>
      <c r="BV33" s="294" t="e">
        <f t="shared" si="3"/>
        <v>#VALUE!</v>
      </c>
      <c r="BW33" s="294">
        <f t="shared" si="17"/>
        <v>1400</v>
      </c>
      <c r="BX33" s="514">
        <f t="shared" si="10"/>
        <v>5032.8333945462546</v>
      </c>
      <c r="BZ33" s="294" t="str">
        <f t="shared" si="4"/>
        <v/>
      </c>
      <c r="CA33" s="294">
        <f t="shared" si="18"/>
        <v>1400</v>
      </c>
      <c r="CB33" s="514">
        <f t="shared" si="11"/>
        <v>5032.8333945462546</v>
      </c>
      <c r="CD33" s="294" t="str">
        <f t="shared" si="5"/>
        <v/>
      </c>
      <c r="CE33" s="294">
        <f t="shared" si="19"/>
        <v>1400</v>
      </c>
      <c r="CF33" s="514">
        <f t="shared" si="12"/>
        <v>5032.8333945462546</v>
      </c>
      <c r="CG33" s="293"/>
      <c r="CH33" s="294" t="str">
        <f t="shared" si="6"/>
        <v/>
      </c>
      <c r="CI33" s="294">
        <f t="shared" si="20"/>
        <v>1400</v>
      </c>
      <c r="CJ33" s="514">
        <f t="shared" si="13"/>
        <v>5032.8333945462546</v>
      </c>
      <c r="CL33" s="1647" t="e">
        <f t="shared" si="56"/>
        <v>#VALUE!</v>
      </c>
      <c r="CM33" s="1671">
        <v>8</v>
      </c>
      <c r="CN33" s="1644" t="e">
        <f t="shared" si="36"/>
        <v>#VALUE!</v>
      </c>
      <c r="CO33" s="1644" t="e">
        <f t="shared" si="37"/>
        <v>#VALUE!</v>
      </c>
      <c r="CP33" s="1644" t="e">
        <f t="shared" si="38"/>
        <v>#VALUE!</v>
      </c>
      <c r="CQ33" s="1644" t="e">
        <f t="shared" si="39"/>
        <v>#VALUE!</v>
      </c>
      <c r="CR33" s="1644" t="e">
        <f t="shared" si="40"/>
        <v>#VALUE!</v>
      </c>
      <c r="CS33" s="1644" t="e">
        <f t="shared" si="57"/>
        <v>#VALUE!</v>
      </c>
      <c r="CT33" s="1644" t="e">
        <f t="shared" si="41"/>
        <v>#VALUE!</v>
      </c>
      <c r="CU33" s="505" t="e">
        <f t="shared" si="42"/>
        <v>#VALUE!</v>
      </c>
      <c r="CV33" s="1648" t="e">
        <f t="shared" si="43"/>
        <v>#VALUE!</v>
      </c>
      <c r="CW33" s="521" t="e">
        <f t="shared" si="44"/>
        <v>#VALUE!</v>
      </c>
      <c r="CX33" s="522" t="e">
        <f t="shared" si="45"/>
        <v>#VALUE!</v>
      </c>
      <c r="CZ33" s="1647" t="e">
        <f t="shared" si="58"/>
        <v>#VALUE!</v>
      </c>
      <c r="DA33" s="1671">
        <v>8</v>
      </c>
      <c r="DB33" s="1644" t="e">
        <f t="shared" si="46"/>
        <v>#VALUE!</v>
      </c>
      <c r="DC33" s="1644" t="e">
        <f t="shared" si="47"/>
        <v>#VALUE!</v>
      </c>
      <c r="DD33" s="1644" t="e">
        <f t="shared" si="48"/>
        <v>#VALUE!</v>
      </c>
      <c r="DE33" s="1644" t="e">
        <f t="shared" si="49"/>
        <v>#VALUE!</v>
      </c>
      <c r="DF33" s="1644" t="e">
        <f t="shared" si="50"/>
        <v>#VALUE!</v>
      </c>
      <c r="DG33" s="1644" t="e">
        <f t="shared" si="59"/>
        <v>#VALUE!</v>
      </c>
      <c r="DH33" s="1644" t="e">
        <f t="shared" si="51"/>
        <v>#VALUE!</v>
      </c>
      <c r="DI33" s="505" t="e">
        <f t="shared" si="52"/>
        <v>#VALUE!</v>
      </c>
      <c r="DJ33" s="1648" t="e">
        <f t="shared" si="53"/>
        <v>#VALUE!</v>
      </c>
      <c r="DK33" s="521" t="e">
        <f t="shared" si="54"/>
        <v>#VALUE!</v>
      </c>
      <c r="DL33" s="522" t="e">
        <f t="shared" si="55"/>
        <v>#VALUE!</v>
      </c>
      <c r="DN33" s="513">
        <v>1000</v>
      </c>
      <c r="DO33" s="417">
        <v>1016</v>
      </c>
      <c r="DP33" s="417">
        <f t="shared" si="21"/>
        <v>994</v>
      </c>
      <c r="DQ33" s="417">
        <v>11</v>
      </c>
      <c r="DR33" s="1186">
        <f t="shared" si="22"/>
        <v>1940.0041494264024</v>
      </c>
      <c r="DS33" s="1180">
        <f t="shared" si="23"/>
        <v>2.4999999999999991</v>
      </c>
      <c r="DT33" s="1181">
        <f>ROUND(6.819*(DS33/DP2)^1.852/(DP33/1000)^1.167*1000*9.81,0)</f>
        <v>39</v>
      </c>
      <c r="DU33" s="403"/>
      <c r="DV33" s="403"/>
      <c r="DW33" s="398">
        <f>(IF(DU33=0,DW5,DU33)/1000/9.81*(DP33/1000)^1.167/6.819)^(1/1.852)*DP2</f>
        <v>7.5251922049761095</v>
      </c>
      <c r="DX33" s="398">
        <f>6.819*(IF(DV33=0,DX5,DV33)/DP2)^1.852/(DP33/1000)^1.167*1000*9.81</f>
        <v>38.975846948288513</v>
      </c>
      <c r="DY33" s="398">
        <f>IF(DX33&lt;=DW5,IF(DW33&lt;=IF(DV33=0,DX5,DV33),DW33,(DX33/1000/9.81*(DP33/1000)^1.167/6.819)^(1/1.852)*DP2),IF(DW33&lt;=IF(DV33=0,DX5,DV33),DW33,"Check"))</f>
        <v>2.4999999999999991</v>
      </c>
      <c r="EA33" s="1647">
        <f t="shared" si="34"/>
        <v>24.000633322175549</v>
      </c>
      <c r="EB33" s="1671">
        <v>24</v>
      </c>
      <c r="EC33" s="1644">
        <f t="shared" si="24"/>
        <v>297.15063332217551</v>
      </c>
      <c r="ED33" s="1644">
        <f t="shared" si="25"/>
        <v>-32.581440875774611</v>
      </c>
      <c r="EE33" s="1644">
        <f t="shared" si="26"/>
        <v>40.582876513413943</v>
      </c>
      <c r="EF33" s="1644">
        <f t="shared" si="27"/>
        <v>2.9852406359596202</v>
      </c>
      <c r="EG33" s="1644">
        <f t="shared" si="28"/>
        <v>0.71645775263030886</v>
      </c>
      <c r="EH33" s="1644">
        <f t="shared" si="35"/>
        <v>1.8881070919450717E-2</v>
      </c>
      <c r="EI33" s="1644">
        <f t="shared" si="29"/>
        <v>0.23458785626114897</v>
      </c>
      <c r="EJ33" s="505">
        <f t="shared" si="30"/>
        <v>24</v>
      </c>
      <c r="EK33" s="1648">
        <f t="shared" si="31"/>
        <v>35.4141223069091</v>
      </c>
      <c r="EL33" s="521">
        <f t="shared" si="32"/>
        <v>2.2027951630597431</v>
      </c>
      <c r="EM33" s="522">
        <f t="shared" si="33"/>
        <v>4.4292699509086647E-3</v>
      </c>
    </row>
    <row r="34" spans="2:143" ht="15" customHeight="1">
      <c r="B34" s="378" t="str">
        <f>IF(B4=1,C31,"n/a =")</f>
        <v>n/a =</v>
      </c>
      <c r="C34" s="297" t="s">
        <v>1114</v>
      </c>
      <c r="D34" s="297" t="s">
        <v>133</v>
      </c>
      <c r="E34" s="337">
        <f>C32</f>
        <v>2.4860000000000002</v>
      </c>
      <c r="F34" s="300"/>
      <c r="G34" s="297"/>
      <c r="M34" s="706" t="e">
        <f>O21</f>
        <v>#VALUE!</v>
      </c>
      <c r="N34" s="297" t="s">
        <v>5</v>
      </c>
      <c r="O34" s="297" t="s">
        <v>135</v>
      </c>
      <c r="P34" s="1806">
        <v>4.1849999999999996</v>
      </c>
      <c r="Q34" s="297" t="s">
        <v>1108</v>
      </c>
      <c r="R34" s="344" t="str">
        <f>IF(COUNTA(D39)=1,D39,"n/a - ")</f>
        <v xml:space="preserve">n/a - </v>
      </c>
      <c r="S34" s="707" t="str">
        <f>IF(C39&gt;0,C39,"n/a )")</f>
        <v>n/a )</v>
      </c>
      <c r="X34" s="1240"/>
      <c r="AT34" s="700"/>
      <c r="AU34" s="324" t="s">
        <v>5</v>
      </c>
      <c r="AV34" s="325">
        <f>IF(OR(AY33="n/a -",AZ33="n/a )",AV33="n/a"),"n/a",AV33*AW33*(AY33-AZ33))</f>
        <v>-42.600096000000001</v>
      </c>
      <c r="AW34" s="318" t="s">
        <v>6</v>
      </c>
      <c r="AX34" s="314"/>
      <c r="AY34" s="314"/>
      <c r="AZ34" s="296"/>
      <c r="BF34" s="294"/>
      <c r="BG34" s="294"/>
      <c r="BJ34" s="294" t="e">
        <f t="shared" si="0"/>
        <v>#VALUE!</v>
      </c>
      <c r="BK34" s="294">
        <f t="shared" si="14"/>
        <v>1600</v>
      </c>
      <c r="BL34" s="514">
        <f t="shared" si="7"/>
        <v>6340.5370445662738</v>
      </c>
      <c r="BN34" s="294" t="str">
        <f t="shared" si="1"/>
        <v/>
      </c>
      <c r="BO34" s="294">
        <f t="shared" si="15"/>
        <v>1600</v>
      </c>
      <c r="BP34" s="514">
        <f t="shared" si="8"/>
        <v>6340.5370445662738</v>
      </c>
      <c r="BR34" s="294" t="str">
        <f t="shared" si="2"/>
        <v/>
      </c>
      <c r="BS34" s="294">
        <f t="shared" si="16"/>
        <v>1600</v>
      </c>
      <c r="BT34" s="514">
        <f t="shared" si="9"/>
        <v>6340.5370445662738</v>
      </c>
      <c r="BV34" s="294" t="e">
        <f t="shared" si="3"/>
        <v>#VALUE!</v>
      </c>
      <c r="BW34" s="294">
        <f t="shared" si="17"/>
        <v>1600</v>
      </c>
      <c r="BX34" s="514">
        <f t="shared" si="10"/>
        <v>6340.5370445662738</v>
      </c>
      <c r="BZ34" s="294" t="str">
        <f t="shared" si="4"/>
        <v/>
      </c>
      <c r="CA34" s="294">
        <f t="shared" si="18"/>
        <v>1600</v>
      </c>
      <c r="CB34" s="514">
        <f t="shared" si="11"/>
        <v>6340.5370445662738</v>
      </c>
      <c r="CD34" s="294" t="str">
        <f t="shared" si="5"/>
        <v/>
      </c>
      <c r="CE34" s="294">
        <f t="shared" si="19"/>
        <v>1600</v>
      </c>
      <c r="CF34" s="514">
        <f t="shared" si="12"/>
        <v>6340.5370445662738</v>
      </c>
      <c r="CG34" s="293"/>
      <c r="CH34" s="294" t="str">
        <f t="shared" si="6"/>
        <v/>
      </c>
      <c r="CI34" s="294">
        <f t="shared" si="20"/>
        <v>1600</v>
      </c>
      <c r="CJ34" s="514">
        <f t="shared" si="13"/>
        <v>6340.5370445662738</v>
      </c>
      <c r="CL34" s="1647" t="e">
        <f t="shared" si="56"/>
        <v>#VALUE!</v>
      </c>
      <c r="CM34" s="1671">
        <v>9</v>
      </c>
      <c r="CN34" s="1644" t="e">
        <f t="shared" si="36"/>
        <v>#VALUE!</v>
      </c>
      <c r="CO34" s="1644" t="e">
        <f t="shared" si="37"/>
        <v>#VALUE!</v>
      </c>
      <c r="CP34" s="1644" t="e">
        <f t="shared" si="38"/>
        <v>#VALUE!</v>
      </c>
      <c r="CQ34" s="1644" t="e">
        <f t="shared" si="39"/>
        <v>#VALUE!</v>
      </c>
      <c r="CR34" s="1644" t="e">
        <f t="shared" si="40"/>
        <v>#VALUE!</v>
      </c>
      <c r="CS34" s="1644" t="e">
        <f t="shared" si="57"/>
        <v>#VALUE!</v>
      </c>
      <c r="CT34" s="1644" t="e">
        <f t="shared" si="41"/>
        <v>#VALUE!</v>
      </c>
      <c r="CU34" s="505" t="e">
        <f t="shared" si="42"/>
        <v>#VALUE!</v>
      </c>
      <c r="CV34" s="1648" t="e">
        <f t="shared" si="43"/>
        <v>#VALUE!</v>
      </c>
      <c r="CW34" s="521" t="e">
        <f t="shared" si="44"/>
        <v>#VALUE!</v>
      </c>
      <c r="CX34" s="522" t="e">
        <f t="shared" si="45"/>
        <v>#VALUE!</v>
      </c>
      <c r="CZ34" s="1647" t="e">
        <f t="shared" si="58"/>
        <v>#VALUE!</v>
      </c>
      <c r="DA34" s="1671">
        <v>9</v>
      </c>
      <c r="DB34" s="1644" t="e">
        <f t="shared" si="46"/>
        <v>#VALUE!</v>
      </c>
      <c r="DC34" s="1644" t="e">
        <f t="shared" si="47"/>
        <v>#VALUE!</v>
      </c>
      <c r="DD34" s="1644" t="e">
        <f t="shared" si="48"/>
        <v>#VALUE!</v>
      </c>
      <c r="DE34" s="1644" t="e">
        <f t="shared" si="49"/>
        <v>#VALUE!</v>
      </c>
      <c r="DF34" s="1644" t="e">
        <f t="shared" si="50"/>
        <v>#VALUE!</v>
      </c>
      <c r="DG34" s="1644" t="e">
        <f t="shared" si="59"/>
        <v>#VALUE!</v>
      </c>
      <c r="DH34" s="1644" t="e">
        <f t="shared" si="51"/>
        <v>#VALUE!</v>
      </c>
      <c r="DI34" s="505" t="e">
        <f t="shared" si="52"/>
        <v>#VALUE!</v>
      </c>
      <c r="DJ34" s="1648" t="e">
        <f t="shared" si="53"/>
        <v>#VALUE!</v>
      </c>
      <c r="DK34" s="521" t="e">
        <f t="shared" si="54"/>
        <v>#VALUE!</v>
      </c>
      <c r="DL34" s="522" t="e">
        <f t="shared" si="55"/>
        <v>#VALUE!</v>
      </c>
      <c r="DN34" s="761">
        <v>1200</v>
      </c>
      <c r="DO34" s="1182">
        <v>1219</v>
      </c>
      <c r="DP34" s="1182">
        <f t="shared" si="21"/>
        <v>1194</v>
      </c>
      <c r="DQ34" s="1182">
        <v>12.5</v>
      </c>
      <c r="DR34" s="1183">
        <f t="shared" si="22"/>
        <v>2799.2297401832102</v>
      </c>
      <c r="DS34" s="1184">
        <f t="shared" si="23"/>
        <v>2.4999999999999991</v>
      </c>
      <c r="DT34" s="1185">
        <f>ROUND(6.819*(DS34/DP2)^1.852/(DP34/1000)^1.167*1000*9.81,0)</f>
        <v>31</v>
      </c>
      <c r="DU34" s="403"/>
      <c r="DV34" s="403"/>
      <c r="DW34" s="398">
        <f>(IF(DU34=0,DW5,DU34)/1000/9.81*(DP34/1000)^1.167/6.819)^(1/1.852)*DP2</f>
        <v>8.4467028907791963</v>
      </c>
      <c r="DX34" s="398">
        <f>6.819*(IF(DV34=0,DX5,DV34)/DP2)^1.852/(DP34/1000)^1.167*1000*9.81</f>
        <v>31.468889862135562</v>
      </c>
      <c r="DY34" s="398">
        <f>IF(DX34&lt;=DW5,IF(DW34&lt;=IF(DV34=0,DX5,DV34),DW34,(DX34/1000/9.81*(DP34/1000)^1.167/6.819)^(1/1.852)*DP2),IF(DW34&lt;=IF(DV34=0,DX5,DV34),DW34,"Check"))</f>
        <v>2.4999999999999991</v>
      </c>
      <c r="EA34" s="1647">
        <f t="shared" si="34"/>
        <v>24.000633322175549</v>
      </c>
      <c r="EB34" s="1671">
        <v>25</v>
      </c>
      <c r="EC34" s="1644">
        <f t="shared" si="24"/>
        <v>297.15063332217551</v>
      </c>
      <c r="ED34" s="1644">
        <f t="shared" si="25"/>
        <v>-32.581440875774611</v>
      </c>
      <c r="EE34" s="1644">
        <f t="shared" si="26"/>
        <v>40.582876513413943</v>
      </c>
      <c r="EF34" s="1644">
        <f t="shared" si="27"/>
        <v>2.9852406359596202</v>
      </c>
      <c r="EG34" s="1644">
        <f t="shared" si="28"/>
        <v>0.74631015898990505</v>
      </c>
      <c r="EH34" s="1644">
        <f t="shared" si="35"/>
        <v>1.8881070919450717E-2</v>
      </c>
      <c r="EI34" s="1644">
        <f t="shared" si="29"/>
        <v>0.24443487859975882</v>
      </c>
      <c r="EJ34" s="505">
        <f t="shared" si="30"/>
        <v>25</v>
      </c>
      <c r="EK34" s="1648">
        <f t="shared" si="31"/>
        <v>35.887168414785322</v>
      </c>
      <c r="EL34" s="521">
        <f t="shared" si="32"/>
        <v>2.7815092465621669</v>
      </c>
      <c r="EM34" s="522">
        <f t="shared" si="33"/>
        <v>4.6151922780293727E-3</v>
      </c>
    </row>
    <row r="35" spans="2:143" ht="13.5">
      <c r="B35" s="379" t="s">
        <v>1150</v>
      </c>
      <c r="C35" s="338" t="str">
        <f>IF(B4=1,B34-C32,"n/a")</f>
        <v>n/a</v>
      </c>
      <c r="D35" s="319" t="s">
        <v>1132</v>
      </c>
      <c r="E35" s="314"/>
      <c r="F35" s="339"/>
      <c r="G35" s="1190"/>
      <c r="M35" s="379" t="s">
        <v>1209</v>
      </c>
      <c r="N35" s="324" t="s">
        <v>5</v>
      </c>
      <c r="O35" s="325" t="e">
        <f>IF(OR(M34="n/a",O42="n/a",COUNTA(C39,D39)&lt;2),"n/a",M34/(R34-S34)/P34)</f>
        <v>#VALUE!</v>
      </c>
      <c r="P35" s="318" t="s">
        <v>3</v>
      </c>
      <c r="Q35" s="318"/>
      <c r="R35" s="345" t="e">
        <f>IF(O35="n/a","-",VLOOKUP(MIN(BJ5:BJ35),BJ5:BK35,2,TRUE))</f>
        <v>#VALUE!</v>
      </c>
      <c r="S35" s="296"/>
      <c r="AD35" s="1847" t="s">
        <v>157</v>
      </c>
      <c r="AE35" s="1848"/>
      <c r="AF35" s="1848"/>
      <c r="AG35" s="1848"/>
      <c r="AH35" s="1848"/>
      <c r="AI35" s="1848"/>
      <c r="AJ35" s="1849"/>
      <c r="BC35" s="374" t="s">
        <v>1169</v>
      </c>
      <c r="BD35" s="375" t="s">
        <v>408</v>
      </c>
      <c r="BE35" s="294"/>
      <c r="BJ35" s="294" t="e">
        <f t="shared" si="0"/>
        <v>#VALUE!</v>
      </c>
      <c r="BK35" s="294">
        <f t="shared" si="14"/>
        <v>1800</v>
      </c>
      <c r="BN35" s="294" t="str">
        <f t="shared" si="1"/>
        <v/>
      </c>
      <c r="BO35" s="294">
        <f t="shared" si="15"/>
        <v>1800</v>
      </c>
      <c r="BR35" s="294" t="str">
        <f t="shared" si="2"/>
        <v/>
      </c>
      <c r="BS35" s="294">
        <f t="shared" si="16"/>
        <v>1800</v>
      </c>
      <c r="BV35" s="294" t="e">
        <f t="shared" si="3"/>
        <v>#VALUE!</v>
      </c>
      <c r="BW35" s="294">
        <f t="shared" si="17"/>
        <v>1800</v>
      </c>
      <c r="BZ35" s="294" t="str">
        <f t="shared" si="4"/>
        <v/>
      </c>
      <c r="CA35" s="294">
        <f t="shared" si="18"/>
        <v>1800</v>
      </c>
      <c r="CD35" s="294" t="str">
        <f t="shared" si="5"/>
        <v/>
      </c>
      <c r="CE35" s="294">
        <f t="shared" si="19"/>
        <v>1800</v>
      </c>
      <c r="CG35" s="293"/>
      <c r="CH35" s="294" t="str">
        <f t="shared" si="6"/>
        <v/>
      </c>
      <c r="CI35" s="294">
        <f t="shared" si="20"/>
        <v>1800</v>
      </c>
      <c r="CL35" s="1647" t="e">
        <f t="shared" si="56"/>
        <v>#VALUE!</v>
      </c>
      <c r="CM35" s="1671">
        <v>10</v>
      </c>
      <c r="CN35" s="1644" t="e">
        <f t="shared" si="36"/>
        <v>#VALUE!</v>
      </c>
      <c r="CO35" s="1644" t="e">
        <f t="shared" si="37"/>
        <v>#VALUE!</v>
      </c>
      <c r="CP35" s="1644" t="e">
        <f t="shared" si="38"/>
        <v>#VALUE!</v>
      </c>
      <c r="CQ35" s="1644" t="e">
        <f t="shared" si="39"/>
        <v>#VALUE!</v>
      </c>
      <c r="CR35" s="1644" t="e">
        <f t="shared" si="40"/>
        <v>#VALUE!</v>
      </c>
      <c r="CS35" s="1644" t="e">
        <f t="shared" si="57"/>
        <v>#VALUE!</v>
      </c>
      <c r="CT35" s="1644" t="e">
        <f t="shared" si="41"/>
        <v>#VALUE!</v>
      </c>
      <c r="CU35" s="505" t="e">
        <f t="shared" si="42"/>
        <v>#VALUE!</v>
      </c>
      <c r="CV35" s="1648" t="e">
        <f t="shared" si="43"/>
        <v>#VALUE!</v>
      </c>
      <c r="CW35" s="521" t="e">
        <f t="shared" si="44"/>
        <v>#VALUE!</v>
      </c>
      <c r="CX35" s="522" t="e">
        <f t="shared" si="45"/>
        <v>#VALUE!</v>
      </c>
      <c r="CZ35" s="1647" t="e">
        <f t="shared" si="58"/>
        <v>#VALUE!</v>
      </c>
      <c r="DA35" s="1671">
        <v>10</v>
      </c>
      <c r="DB35" s="1644" t="e">
        <f t="shared" si="46"/>
        <v>#VALUE!</v>
      </c>
      <c r="DC35" s="1644" t="e">
        <f t="shared" si="47"/>
        <v>#VALUE!</v>
      </c>
      <c r="DD35" s="1644" t="e">
        <f t="shared" si="48"/>
        <v>#VALUE!</v>
      </c>
      <c r="DE35" s="1644" t="e">
        <f t="shared" si="49"/>
        <v>#VALUE!</v>
      </c>
      <c r="DF35" s="1644" t="e">
        <f t="shared" si="50"/>
        <v>#VALUE!</v>
      </c>
      <c r="DG35" s="1644" t="e">
        <f t="shared" si="59"/>
        <v>#VALUE!</v>
      </c>
      <c r="DH35" s="1644" t="e">
        <f t="shared" si="51"/>
        <v>#VALUE!</v>
      </c>
      <c r="DI35" s="505" t="e">
        <f t="shared" si="52"/>
        <v>#VALUE!</v>
      </c>
      <c r="DJ35" s="1648" t="e">
        <f t="shared" si="53"/>
        <v>#VALUE!</v>
      </c>
      <c r="DK35" s="521" t="e">
        <f t="shared" si="54"/>
        <v>#VALUE!</v>
      </c>
      <c r="DL35" s="522" t="e">
        <f t="shared" si="55"/>
        <v>#VALUE!</v>
      </c>
      <c r="DN35" s="513">
        <v>1400</v>
      </c>
      <c r="DO35" s="417">
        <v>1422</v>
      </c>
      <c r="DP35" s="417">
        <f t="shared" si="21"/>
        <v>1397</v>
      </c>
      <c r="DQ35" s="417">
        <v>12.5</v>
      </c>
      <c r="DR35" s="1186">
        <f t="shared" si="22"/>
        <v>3831.9753106748253</v>
      </c>
      <c r="DS35" s="1180">
        <f t="shared" si="23"/>
        <v>2.4999999999999991</v>
      </c>
      <c r="DT35" s="1181">
        <f>ROUND(6.819*(DS35/DP2)^1.852/(DP35/1000)^1.167*1000*9.81,0)</f>
        <v>26</v>
      </c>
      <c r="DU35" s="403"/>
      <c r="DV35" s="403"/>
      <c r="DW35" s="398">
        <f>(IF(DU35=0,DW5,DU35)/1000/9.81*(DP35/1000)^1.167/6.819)^(1/1.852)*DP2</f>
        <v>9.3251766014128705</v>
      </c>
      <c r="DX35" s="398">
        <f>6.819*(IF(DV35=0,DX5,DV35)/DP2)^1.852/(DP35/1000)^1.167*1000*9.81</f>
        <v>26.199998464906813</v>
      </c>
      <c r="DY35" s="398">
        <f>IF(DX35&lt;=DW5,IF(DW35&lt;=IF(DV35=0,DX5,DV35),DW35,(DX35/1000/9.81*(DP35/1000)^1.167/6.819)^(1/1.852)*DP2),IF(DW35&lt;=IF(DV35=0,DX5,DV35),DW35,"Check"))</f>
        <v>2.4999999999999991</v>
      </c>
      <c r="EA35" s="1647">
        <f t="shared" si="34"/>
        <v>24.000633322175549</v>
      </c>
      <c r="EB35" s="1671">
        <v>26</v>
      </c>
      <c r="EC35" s="1644">
        <f t="shared" si="24"/>
        <v>297.15063332217551</v>
      </c>
      <c r="ED35" s="1644">
        <f t="shared" si="25"/>
        <v>-32.581440875774611</v>
      </c>
      <c r="EE35" s="1644">
        <f t="shared" si="26"/>
        <v>40.582876513413943</v>
      </c>
      <c r="EF35" s="1644">
        <f t="shared" si="27"/>
        <v>2.9852406359596202</v>
      </c>
      <c r="EG35" s="1644">
        <f t="shared" si="28"/>
        <v>0.77616256534950123</v>
      </c>
      <c r="EH35" s="1644">
        <f t="shared" si="35"/>
        <v>1.8881070919450717E-2</v>
      </c>
      <c r="EI35" s="1644">
        <f t="shared" si="29"/>
        <v>0.2542877479937854</v>
      </c>
      <c r="EJ35" s="505">
        <f t="shared" si="30"/>
        <v>26</v>
      </c>
      <c r="EK35" s="1648">
        <f t="shared" si="31"/>
        <v>36.360495412326692</v>
      </c>
      <c r="EL35" s="521">
        <f t="shared" si="32"/>
        <v>3.3396071144920985</v>
      </c>
      <c r="EM35" s="522">
        <f t="shared" si="33"/>
        <v>4.8012250038180736E-3</v>
      </c>
    </row>
    <row r="36" spans="2:143" ht="13.5" customHeight="1">
      <c r="M36" s="1224" t="s">
        <v>1980</v>
      </c>
      <c r="N36" s="302"/>
      <c r="O36" s="302"/>
      <c r="P36" s="302"/>
      <c r="Q36" s="302"/>
      <c r="R36" s="302"/>
      <c r="S36" s="320"/>
      <c r="AD36" s="1224" t="s">
        <v>1978</v>
      </c>
      <c r="AE36" s="302"/>
      <c r="AF36" s="302"/>
      <c r="AG36" s="302"/>
      <c r="AH36" s="302"/>
      <c r="AI36" s="302"/>
      <c r="AJ36" s="320"/>
      <c r="AT36" s="1847" t="s">
        <v>1176</v>
      </c>
      <c r="AU36" s="1848"/>
      <c r="AV36" s="1848"/>
      <c r="AW36" s="1848"/>
      <c r="AX36" s="1848"/>
      <c r="AY36" s="1848"/>
      <c r="AZ36" s="1849"/>
      <c r="BC36" s="376" t="str">
        <f>IF(OR(D8&lt;0,I8="-"),"","O")</f>
        <v>O</v>
      </c>
      <c r="BD36" s="372">
        <f>D8</f>
        <v>35</v>
      </c>
      <c r="BE36" s="373">
        <f>H8</f>
        <v>2.1131965752076085E-2</v>
      </c>
      <c r="CG36" s="293"/>
      <c r="CI36" s="293"/>
      <c r="CJ36" s="293"/>
      <c r="CK36" s="293"/>
      <c r="CL36" s="1647" t="e">
        <f t="shared" si="56"/>
        <v>#VALUE!</v>
      </c>
      <c r="CM36" s="1671">
        <v>11</v>
      </c>
      <c r="CN36" s="1644" t="e">
        <f t="shared" si="36"/>
        <v>#VALUE!</v>
      </c>
      <c r="CO36" s="1644" t="e">
        <f t="shared" si="37"/>
        <v>#VALUE!</v>
      </c>
      <c r="CP36" s="1644" t="e">
        <f t="shared" si="38"/>
        <v>#VALUE!</v>
      </c>
      <c r="CQ36" s="1644" t="e">
        <f t="shared" si="39"/>
        <v>#VALUE!</v>
      </c>
      <c r="CR36" s="1644" t="e">
        <f t="shared" si="40"/>
        <v>#VALUE!</v>
      </c>
      <c r="CS36" s="1644" t="e">
        <f t="shared" si="57"/>
        <v>#VALUE!</v>
      </c>
      <c r="CT36" s="1644" t="e">
        <f t="shared" si="41"/>
        <v>#VALUE!</v>
      </c>
      <c r="CU36" s="505" t="e">
        <f t="shared" si="42"/>
        <v>#VALUE!</v>
      </c>
      <c r="CV36" s="1648" t="e">
        <f t="shared" si="43"/>
        <v>#VALUE!</v>
      </c>
      <c r="CW36" s="521" t="e">
        <f t="shared" si="44"/>
        <v>#VALUE!</v>
      </c>
      <c r="CX36" s="522" t="e">
        <f t="shared" si="45"/>
        <v>#VALUE!</v>
      </c>
      <c r="CZ36" s="1647" t="e">
        <f t="shared" si="58"/>
        <v>#VALUE!</v>
      </c>
      <c r="DA36" s="1671">
        <v>11</v>
      </c>
      <c r="DB36" s="1644" t="e">
        <f t="shared" si="46"/>
        <v>#VALUE!</v>
      </c>
      <c r="DC36" s="1644" t="e">
        <f t="shared" si="47"/>
        <v>#VALUE!</v>
      </c>
      <c r="DD36" s="1644" t="e">
        <f t="shared" si="48"/>
        <v>#VALUE!</v>
      </c>
      <c r="DE36" s="1644" t="e">
        <f t="shared" si="49"/>
        <v>#VALUE!</v>
      </c>
      <c r="DF36" s="1644" t="e">
        <f t="shared" si="50"/>
        <v>#VALUE!</v>
      </c>
      <c r="DG36" s="1644" t="e">
        <f t="shared" si="59"/>
        <v>#VALUE!</v>
      </c>
      <c r="DH36" s="1644" t="e">
        <f t="shared" si="51"/>
        <v>#VALUE!</v>
      </c>
      <c r="DI36" s="505" t="e">
        <f t="shared" si="52"/>
        <v>#VALUE!</v>
      </c>
      <c r="DJ36" s="1648" t="e">
        <f t="shared" si="53"/>
        <v>#VALUE!</v>
      </c>
      <c r="DK36" s="521" t="e">
        <f t="shared" si="54"/>
        <v>#VALUE!</v>
      </c>
      <c r="DL36" s="522" t="e">
        <f t="shared" si="55"/>
        <v>#VALUE!</v>
      </c>
      <c r="DN36" s="761">
        <v>1600</v>
      </c>
      <c r="DO36" s="1182">
        <v>1626</v>
      </c>
      <c r="DP36" s="1182">
        <f t="shared" si="21"/>
        <v>1601</v>
      </c>
      <c r="DQ36" s="1182">
        <v>12.5</v>
      </c>
      <c r="DR36" s="1183">
        <f t="shared" si="22"/>
        <v>5032.8333945462546</v>
      </c>
      <c r="DS36" s="1184">
        <f t="shared" si="23"/>
        <v>2.4999999999999991</v>
      </c>
      <c r="DT36" s="1185">
        <f>ROUND(6.819*(DS36/DP2)^1.852/(DP36/1000)^1.167*1000*9.81,0)</f>
        <v>22</v>
      </c>
      <c r="DU36" s="403"/>
      <c r="DV36" s="403"/>
      <c r="DW36" s="398">
        <f>(IF(DU36=0,DW5,DU36)/1000/9.81*(DP36/1000)^1.167/6.819)^(1/1.852)*DP2</f>
        <v>10.161493404071582</v>
      </c>
      <c r="DX36" s="398">
        <f>6.819*(IF(DV36=0,DX5,DV36)/DP2)^1.852/(DP36/1000)^1.167*1000*9.81</f>
        <v>22.347080192334744</v>
      </c>
      <c r="DY36" s="398">
        <f>IF(DX36&lt;=DW5,IF(DW36&lt;=IF(DV36=0,DX5,DV36),DW36,(DX36/1000/9.81*(DP36/1000)^1.167/6.819)^(1/1.852)*DP2),IF(DW36&lt;=IF(DV36=0,DX5,DV36),DW36,"Check"))</f>
        <v>2.4999999999999991</v>
      </c>
      <c r="EA36" s="1647">
        <f t="shared" si="34"/>
        <v>24.000633322175549</v>
      </c>
      <c r="EB36" s="1671">
        <v>27</v>
      </c>
      <c r="EC36" s="1644">
        <f t="shared" si="24"/>
        <v>297.15063332217551</v>
      </c>
      <c r="ED36" s="1644">
        <f t="shared" si="25"/>
        <v>-32.581440875774611</v>
      </c>
      <c r="EE36" s="1644">
        <f t="shared" si="26"/>
        <v>40.582876513413943</v>
      </c>
      <c r="EF36" s="1644">
        <f t="shared" si="27"/>
        <v>2.9852406359596202</v>
      </c>
      <c r="EG36" s="1644">
        <f t="shared" si="28"/>
        <v>0.80601497170909753</v>
      </c>
      <c r="EH36" s="1644">
        <f t="shared" si="35"/>
        <v>1.8881070919450717E-2</v>
      </c>
      <c r="EI36" s="1644">
        <f t="shared" si="29"/>
        <v>0.26414646965265287</v>
      </c>
      <c r="EJ36" s="505">
        <f t="shared" si="30"/>
        <v>27</v>
      </c>
      <c r="EK36" s="1648">
        <f t="shared" si="31"/>
        <v>36.834103549791386</v>
      </c>
      <c r="EL36" s="521">
        <f t="shared" si="32"/>
        <v>3.8786007284062403</v>
      </c>
      <c r="EM36" s="522">
        <f t="shared" si="33"/>
        <v>4.9873682266342754E-3</v>
      </c>
    </row>
    <row r="37" spans="2:143" ht="13.5" customHeight="1">
      <c r="B37" s="1847" t="s">
        <v>695</v>
      </c>
      <c r="C37" s="1848"/>
      <c r="D37" s="1848"/>
      <c r="E37" s="1849"/>
      <c r="M37" s="697" t="s">
        <v>1151</v>
      </c>
      <c r="N37" s="297" t="s">
        <v>5</v>
      </c>
      <c r="O37" s="297" t="s">
        <v>135</v>
      </c>
      <c r="P37" s="297" t="s">
        <v>1152</v>
      </c>
      <c r="Q37" s="297" t="s">
        <v>1108</v>
      </c>
      <c r="R37" s="297" t="s">
        <v>1155</v>
      </c>
      <c r="S37" s="300" t="s">
        <v>1156</v>
      </c>
      <c r="AD37" s="697" t="s">
        <v>1161</v>
      </c>
      <c r="AE37" s="297" t="s">
        <v>5</v>
      </c>
      <c r="AF37" s="297" t="s">
        <v>135</v>
      </c>
      <c r="AG37" s="297" t="s">
        <v>1152</v>
      </c>
      <c r="AH37" s="297" t="s">
        <v>1108</v>
      </c>
      <c r="AI37" s="297" t="s">
        <v>1163</v>
      </c>
      <c r="AJ37" s="300" t="s">
        <v>1164</v>
      </c>
      <c r="AT37" s="1224" t="s">
        <v>1978</v>
      </c>
      <c r="AU37" s="302"/>
      <c r="AV37" s="302"/>
      <c r="AW37" s="302"/>
      <c r="AX37" s="302"/>
      <c r="AY37" s="302"/>
      <c r="AZ37" s="320"/>
      <c r="BA37" s="294"/>
      <c r="BC37" s="376" t="str">
        <f>IF(OR(D22&lt;0,H22="-"),"","S1")</f>
        <v>S1</v>
      </c>
      <c r="BD37" s="372">
        <f>D22</f>
        <v>13</v>
      </c>
      <c r="BE37" s="373">
        <f>H22</f>
        <v>8.85895440377126E-3</v>
      </c>
      <c r="BH37" s="294"/>
      <c r="BI37" s="294"/>
      <c r="CG37" s="293"/>
      <c r="CH37" s="293"/>
      <c r="CI37" s="293"/>
      <c r="CL37" s="1647" t="e">
        <f t="shared" si="56"/>
        <v>#VALUE!</v>
      </c>
      <c r="CM37" s="1671">
        <v>12</v>
      </c>
      <c r="CN37" s="1644" t="e">
        <f t="shared" si="36"/>
        <v>#VALUE!</v>
      </c>
      <c r="CO37" s="1644" t="e">
        <f t="shared" si="37"/>
        <v>#VALUE!</v>
      </c>
      <c r="CP37" s="1644" t="e">
        <f t="shared" si="38"/>
        <v>#VALUE!</v>
      </c>
      <c r="CQ37" s="1644" t="e">
        <f t="shared" si="39"/>
        <v>#VALUE!</v>
      </c>
      <c r="CR37" s="1644" t="e">
        <f t="shared" si="40"/>
        <v>#VALUE!</v>
      </c>
      <c r="CS37" s="1644" t="e">
        <f t="shared" si="57"/>
        <v>#VALUE!</v>
      </c>
      <c r="CT37" s="1644" t="e">
        <f t="shared" si="41"/>
        <v>#VALUE!</v>
      </c>
      <c r="CU37" s="505" t="e">
        <f t="shared" si="42"/>
        <v>#VALUE!</v>
      </c>
      <c r="CV37" s="1648" t="e">
        <f t="shared" si="43"/>
        <v>#VALUE!</v>
      </c>
      <c r="CW37" s="521" t="e">
        <f t="shared" si="44"/>
        <v>#VALUE!</v>
      </c>
      <c r="CX37" s="522" t="e">
        <f t="shared" si="45"/>
        <v>#VALUE!</v>
      </c>
      <c r="CZ37" s="1647" t="e">
        <f t="shared" si="58"/>
        <v>#VALUE!</v>
      </c>
      <c r="DA37" s="1671">
        <v>12</v>
      </c>
      <c r="DB37" s="1644" t="e">
        <f t="shared" si="46"/>
        <v>#VALUE!</v>
      </c>
      <c r="DC37" s="1644" t="e">
        <f t="shared" si="47"/>
        <v>#VALUE!</v>
      </c>
      <c r="DD37" s="1644" t="e">
        <f t="shared" si="48"/>
        <v>#VALUE!</v>
      </c>
      <c r="DE37" s="1644" t="e">
        <f t="shared" si="49"/>
        <v>#VALUE!</v>
      </c>
      <c r="DF37" s="1644" t="e">
        <f t="shared" si="50"/>
        <v>#VALUE!</v>
      </c>
      <c r="DG37" s="1644" t="e">
        <f t="shared" si="59"/>
        <v>#VALUE!</v>
      </c>
      <c r="DH37" s="1644" t="e">
        <f t="shared" si="51"/>
        <v>#VALUE!</v>
      </c>
      <c r="DI37" s="505" t="e">
        <f t="shared" si="52"/>
        <v>#VALUE!</v>
      </c>
      <c r="DJ37" s="1648" t="e">
        <f t="shared" si="53"/>
        <v>#VALUE!</v>
      </c>
      <c r="DK37" s="521" t="e">
        <f t="shared" si="54"/>
        <v>#VALUE!</v>
      </c>
      <c r="DL37" s="522" t="e">
        <f t="shared" si="55"/>
        <v>#VALUE!</v>
      </c>
      <c r="DN37" s="513">
        <v>1800</v>
      </c>
      <c r="DO37" s="417">
        <v>1829</v>
      </c>
      <c r="DP37" s="417">
        <f t="shared" si="21"/>
        <v>1797</v>
      </c>
      <c r="DQ37" s="417">
        <v>16</v>
      </c>
      <c r="DR37" s="1186">
        <f t="shared" si="22"/>
        <v>6340.5370445662738</v>
      </c>
      <c r="DS37" s="1180">
        <f t="shared" si="23"/>
        <v>2.4999999999999991</v>
      </c>
      <c r="DT37" s="1181">
        <f>ROUND(6.819*(DS37/DP2)^1.852/(DP37/1000)^1.167*1000*9.81,0)</f>
        <v>20</v>
      </c>
      <c r="DU37" s="403"/>
      <c r="DV37" s="403"/>
      <c r="DW37" s="398">
        <f>(IF(DU37=0,DW5,DU37)/1000/9.81*(DP37/1000)^1.167/6.819)^(1/1.852)*DP2</f>
        <v>10.928556172034574</v>
      </c>
      <c r="DX37" s="398">
        <f>6.819*(IF(DV37=0,DX5,DV37)/DP2)^1.852/(DP37/1000)^1.167*1000*9.81</f>
        <v>19.52935346348168</v>
      </c>
      <c r="DY37" s="398">
        <f>IF(DX37&lt;=DW5,IF(DW37&lt;=IF(DV37=0,DX5,DV37),DW37,(DX37/1000/9.81*(DP37/1000)^1.167/6.819)^(1/1.852)*DP2),IF(DW37&lt;=IF(DV37=0,DX5,DV37),DW37,"Check"))</f>
        <v>2.4999999999999991</v>
      </c>
      <c r="EA37" s="1647">
        <f t="shared" si="34"/>
        <v>24.000633322175549</v>
      </c>
      <c r="EB37" s="1671">
        <v>28</v>
      </c>
      <c r="EC37" s="1644">
        <f t="shared" si="24"/>
        <v>297.15063332217551</v>
      </c>
      <c r="ED37" s="1644">
        <f t="shared" si="25"/>
        <v>-32.581440875774611</v>
      </c>
      <c r="EE37" s="1644">
        <f t="shared" si="26"/>
        <v>40.582876513413943</v>
      </c>
      <c r="EF37" s="1644">
        <f t="shared" si="27"/>
        <v>2.9852406359596202</v>
      </c>
      <c r="EG37" s="1644">
        <f t="shared" si="28"/>
        <v>0.83586737806869371</v>
      </c>
      <c r="EH37" s="1644">
        <f t="shared" si="35"/>
        <v>1.8881070919450717E-2</v>
      </c>
      <c r="EI37" s="1644">
        <f t="shared" si="29"/>
        <v>0.27401104879197546</v>
      </c>
      <c r="EJ37" s="505">
        <f t="shared" si="30"/>
        <v>28</v>
      </c>
      <c r="EK37" s="1648">
        <f t="shared" si="31"/>
        <v>37.307993077734949</v>
      </c>
      <c r="EL37" s="521">
        <f t="shared" si="32"/>
        <v>4.3998390715068467</v>
      </c>
      <c r="EM37" s="522">
        <f t="shared" si="33"/>
        <v>5.1736220449543598E-3</v>
      </c>
    </row>
    <row r="38" spans="2:143" ht="12" customHeight="1">
      <c r="B38" s="351"/>
      <c r="C38" s="355" t="s">
        <v>1092</v>
      </c>
      <c r="D38" s="355" t="s">
        <v>1093</v>
      </c>
      <c r="E38" s="342"/>
      <c r="M38" s="706" t="str">
        <f>O29</f>
        <v>n/a</v>
      </c>
      <c r="N38" s="297" t="s">
        <v>5</v>
      </c>
      <c r="O38" s="297" t="s">
        <v>135</v>
      </c>
      <c r="P38" s="1806">
        <v>4.1849999999999996</v>
      </c>
      <c r="Q38" s="297" t="s">
        <v>1108</v>
      </c>
      <c r="R38" s="344" t="str">
        <f>IF(COUNTA(C40)=1,C40,"n/a -")</f>
        <v>n/a -</v>
      </c>
      <c r="S38" s="707" t="str">
        <f>IF(D40&gt;0,D40,"n/a )")</f>
        <v>n/a )</v>
      </c>
      <c r="U38" s="1221" t="s">
        <v>161</v>
      </c>
      <c r="V38" s="1221"/>
      <c r="W38" s="450"/>
      <c r="AD38" s="718" t="str">
        <f>IF(AND(C20=TRUE,D20=FALSE), IF(AF21="n/a","n/a",-AF21),"n/a")</f>
        <v>n/a</v>
      </c>
      <c r="AE38" s="297" t="s">
        <v>5</v>
      </c>
      <c r="AF38" s="297" t="s">
        <v>135</v>
      </c>
      <c r="AG38" s="1806">
        <v>4.1849999999999996</v>
      </c>
      <c r="AH38" s="297" t="s">
        <v>1108</v>
      </c>
      <c r="AI38" s="344" t="str">
        <f>IF(C41&gt;0,C41,"n/a - ")</f>
        <v xml:space="preserve">n/a - </v>
      </c>
      <c r="AJ38" s="707" t="str">
        <f>IF(D41&gt;0,D41,"n/a )")</f>
        <v>n/a )</v>
      </c>
      <c r="AT38" s="697" t="s">
        <v>1161</v>
      </c>
      <c r="AU38" s="297" t="s">
        <v>5</v>
      </c>
      <c r="AV38" s="297" t="s">
        <v>135</v>
      </c>
      <c r="AW38" s="297" t="s">
        <v>1152</v>
      </c>
      <c r="AX38" s="297" t="s">
        <v>1108</v>
      </c>
      <c r="AY38" s="297" t="s">
        <v>1163</v>
      </c>
      <c r="AZ38" s="300" t="s">
        <v>1164</v>
      </c>
      <c r="BA38" s="294"/>
      <c r="BC38" s="374" t="s">
        <v>1169</v>
      </c>
      <c r="BD38" s="375" t="s">
        <v>4</v>
      </c>
      <c r="BE38" s="294"/>
      <c r="BH38" s="294"/>
      <c r="BI38" s="294"/>
      <c r="BK38" s="294" t="s">
        <v>1695</v>
      </c>
      <c r="BZ38" s="294" t="s">
        <v>1696</v>
      </c>
      <c r="CE38" s="361" t="s">
        <v>432</v>
      </c>
      <c r="CF38" s="361"/>
      <c r="CG38" s="361"/>
      <c r="CH38" s="361"/>
      <c r="CI38" s="361"/>
      <c r="CL38" s="1647" t="e">
        <f t="shared" si="56"/>
        <v>#VALUE!</v>
      </c>
      <c r="CM38" s="1671">
        <v>13</v>
      </c>
      <c r="CN38" s="1644" t="e">
        <f t="shared" si="36"/>
        <v>#VALUE!</v>
      </c>
      <c r="CO38" s="1644" t="e">
        <f t="shared" si="37"/>
        <v>#VALUE!</v>
      </c>
      <c r="CP38" s="1644" t="e">
        <f t="shared" si="38"/>
        <v>#VALUE!</v>
      </c>
      <c r="CQ38" s="1644" t="e">
        <f t="shared" si="39"/>
        <v>#VALUE!</v>
      </c>
      <c r="CR38" s="1644" t="e">
        <f t="shared" si="40"/>
        <v>#VALUE!</v>
      </c>
      <c r="CS38" s="1644" t="e">
        <f t="shared" si="57"/>
        <v>#VALUE!</v>
      </c>
      <c r="CT38" s="1644" t="e">
        <f t="shared" si="41"/>
        <v>#VALUE!</v>
      </c>
      <c r="CU38" s="505" t="e">
        <f t="shared" si="42"/>
        <v>#VALUE!</v>
      </c>
      <c r="CV38" s="1648" t="e">
        <f t="shared" si="43"/>
        <v>#VALUE!</v>
      </c>
      <c r="CW38" s="521" t="e">
        <f t="shared" si="44"/>
        <v>#VALUE!</v>
      </c>
      <c r="CX38" s="522" t="e">
        <f t="shared" si="45"/>
        <v>#VALUE!</v>
      </c>
      <c r="CZ38" s="1647" t="e">
        <f t="shared" si="58"/>
        <v>#VALUE!</v>
      </c>
      <c r="DA38" s="1671">
        <v>13</v>
      </c>
      <c r="DB38" s="1644" t="e">
        <f t="shared" si="46"/>
        <v>#VALUE!</v>
      </c>
      <c r="DC38" s="1644" t="e">
        <f t="shared" si="47"/>
        <v>#VALUE!</v>
      </c>
      <c r="DD38" s="1644" t="e">
        <f t="shared" si="48"/>
        <v>#VALUE!</v>
      </c>
      <c r="DE38" s="1644" t="e">
        <f t="shared" si="49"/>
        <v>#VALUE!</v>
      </c>
      <c r="DF38" s="1644" t="e">
        <f t="shared" si="50"/>
        <v>#VALUE!</v>
      </c>
      <c r="DG38" s="1644" t="e">
        <f t="shared" si="59"/>
        <v>#VALUE!</v>
      </c>
      <c r="DH38" s="1644" t="e">
        <f t="shared" si="51"/>
        <v>#VALUE!</v>
      </c>
      <c r="DI38" s="505" t="e">
        <f t="shared" si="52"/>
        <v>#VALUE!</v>
      </c>
      <c r="DJ38" s="1648" t="e">
        <f t="shared" si="53"/>
        <v>#VALUE!</v>
      </c>
      <c r="DK38" s="521" t="e">
        <f t="shared" si="54"/>
        <v>#VALUE!</v>
      </c>
      <c r="DL38" s="522" t="e">
        <f t="shared" si="55"/>
        <v>#VALUE!</v>
      </c>
      <c r="DN38" s="761">
        <v>2000</v>
      </c>
      <c r="DO38" s="1182">
        <v>2032</v>
      </c>
      <c r="DP38" s="1182">
        <f t="shared" si="21"/>
        <v>2000</v>
      </c>
      <c r="DQ38" s="1182">
        <v>16</v>
      </c>
      <c r="DR38" s="1183">
        <f t="shared" si="22"/>
        <v>7853.9816339744802</v>
      </c>
      <c r="DS38" s="1184">
        <f t="shared" si="23"/>
        <v>2.4999999999999991</v>
      </c>
      <c r="DT38" s="1185">
        <f>ROUND(6.819*(DS38/DP2)^1.852/(DP38/1000)^1.167*1000*9.81,0)</f>
        <v>17</v>
      </c>
      <c r="DU38" s="403"/>
      <c r="DV38" s="403"/>
      <c r="DW38" s="398">
        <f>(IF(DU38=0,DW5,DU38)/1000/9.81*(DP38/1000)^1.167/6.819)^(1/1.852)*DP2</f>
        <v>11.691020475166011</v>
      </c>
      <c r="DX38" s="398">
        <f>6.819*(IF(DV38=0,DX5,DV38)/DP2)^1.852/(DP38/1000)^1.167*1000*9.81</f>
        <v>17.236277077638398</v>
      </c>
      <c r="DY38" s="398">
        <f>IF(DX38&lt;=DW5,IF(DW38&lt;=IF(DV38=0,DX5,DV38),DW38,(DX38/1000/9.81*(DP38/1000)^1.167/6.819)^(1/1.852)*DP2),IF(DW38&lt;=IF(DV38=0,DX5,DV38),DW38,"Check"))</f>
        <v>2.4999999999999991</v>
      </c>
      <c r="EA38" s="1647">
        <f t="shared" si="34"/>
        <v>24.000633322175549</v>
      </c>
      <c r="EB38" s="1671">
        <v>29</v>
      </c>
      <c r="EC38" s="1644">
        <f t="shared" si="24"/>
        <v>297.15063332217551</v>
      </c>
      <c r="ED38" s="1644">
        <f t="shared" si="25"/>
        <v>-32.581440875774611</v>
      </c>
      <c r="EE38" s="1644">
        <f t="shared" si="26"/>
        <v>40.582876513413943</v>
      </c>
      <c r="EF38" s="1644">
        <f t="shared" si="27"/>
        <v>2.9852406359596202</v>
      </c>
      <c r="EG38" s="1644">
        <f t="shared" si="28"/>
        <v>0.86571978442828978</v>
      </c>
      <c r="EH38" s="1644">
        <f t="shared" si="35"/>
        <v>1.8881070919450717E-2</v>
      </c>
      <c r="EI38" s="1644">
        <f t="shared" si="29"/>
        <v>0.2838814906335671</v>
      </c>
      <c r="EJ38" s="505">
        <f t="shared" si="30"/>
        <v>29</v>
      </c>
      <c r="EK38" s="1648">
        <f t="shared" si="31"/>
        <v>37.782164247010748</v>
      </c>
      <c r="EL38" s="521">
        <f t="shared" si="32"/>
        <v>4.9045309017879202</v>
      </c>
      <c r="EM38" s="522">
        <f t="shared" si="33"/>
        <v>5.3599865573717648E-3</v>
      </c>
    </row>
    <row r="39" spans="2:143" ht="12.75" customHeight="1">
      <c r="B39" s="367" t="s">
        <v>241</v>
      </c>
      <c r="C39" s="1397"/>
      <c r="D39" s="1397"/>
      <c r="E39" s="343" t="s">
        <v>368</v>
      </c>
      <c r="M39" s="379" t="s">
        <v>1208</v>
      </c>
      <c r="N39" s="324" t="s">
        <v>5</v>
      </c>
      <c r="O39" s="325" t="str">
        <f>IF(OR(M38="n/a",O29="n/a",COUNTA(C40,D40)&lt;2),"n/a",M38/(R38-S38)/P38)</f>
        <v>n/a</v>
      </c>
      <c r="P39" s="318" t="s">
        <v>3</v>
      </c>
      <c r="Q39" s="318"/>
      <c r="R39" s="345" t="str">
        <f>IF(O39="n/a","-",VLOOKUP(MIN(BN5:BN35),BN5:BO35,2,TRUE))</f>
        <v>-</v>
      </c>
      <c r="S39" s="296"/>
      <c r="U39" s="2037" t="e">
        <f>IF(D8*D10*C31=0,"-",IF(AND(L23="ok",O21-O25&gt;0,C31-C32&gt;=0,AA20&lt;=1,W24&lt;=H10*1.15),"OK","X"))</f>
        <v>#VALUE!</v>
      </c>
      <c r="V39" s="2038"/>
      <c r="AD39" s="379" t="s">
        <v>1207</v>
      </c>
      <c r="AE39" s="311" t="s">
        <v>5</v>
      </c>
      <c r="AF39" s="325" t="str">
        <f>IF(OR(AD38="n/a",AF21="n/a",AI38="n/a",COUNTA(C41,D41)&lt;2),"n/a",AD38/(AI38-AJ38)/AG38)</f>
        <v>n/a</v>
      </c>
      <c r="AG39" s="318" t="s">
        <v>3</v>
      </c>
      <c r="AH39" s="318"/>
      <c r="AI39" s="345" t="str">
        <f>IF(AF39="n/a","-",VLOOKUP(MIN(BR5:BR35),BR5:BS35,2,TRUE))</f>
        <v>-</v>
      </c>
      <c r="AJ39" s="296"/>
      <c r="AL39" s="294"/>
      <c r="AM39" s="294"/>
      <c r="AN39" s="294"/>
      <c r="AO39" s="294"/>
      <c r="AP39" s="294"/>
      <c r="AQ39" s="294"/>
      <c r="AR39" s="294"/>
      <c r="AT39" s="718" t="str">
        <f>IF(AND(C20=TRUE,D20=FALSE), IF(AV30="n/a","n/a",-AV30),"n/a")</f>
        <v>n/a</v>
      </c>
      <c r="AU39" s="297" t="s">
        <v>5</v>
      </c>
      <c r="AV39" s="297" t="s">
        <v>135</v>
      </c>
      <c r="AW39" s="1806">
        <v>4.1849999999999996</v>
      </c>
      <c r="AX39" s="297" t="s">
        <v>1108</v>
      </c>
      <c r="AY39" s="344" t="str">
        <f>IF(C20=TRUE,C41,"n/a -")</f>
        <v>n/a -</v>
      </c>
      <c r="AZ39" s="707" t="str">
        <f>IF(C20=TRUE,D41,"n/a )")</f>
        <v>n/a )</v>
      </c>
      <c r="BA39" s="294"/>
      <c r="BC39" s="376" t="str">
        <f>IF(OR(I9="-",H9="-",),"","O")</f>
        <v>O</v>
      </c>
      <c r="BD39" s="372">
        <f>D9</f>
        <v>7</v>
      </c>
      <c r="BE39" s="373">
        <f>H9</f>
        <v>2.4699676060335892E-3</v>
      </c>
      <c r="BF39" s="294"/>
      <c r="BG39" s="294"/>
      <c r="BH39" s="294"/>
      <c r="BI39" s="294"/>
      <c r="BK39" s="294" t="e">
        <f t="shared" ref="BK39:BK46" si="60">IF($O$43&lt;=BM39,BM39,"")</f>
        <v>#VALUE!</v>
      </c>
      <c r="BL39" s="294">
        <f t="shared" ref="BL39:BL46" si="61">DN45</f>
        <v>50</v>
      </c>
      <c r="BM39" s="294">
        <f t="shared" ref="BM39:BM46" si="62">DQ45</f>
        <v>1</v>
      </c>
      <c r="BZ39" s="294">
        <f t="shared" ref="BZ39:BZ46" si="63">IF($AV$22&lt;=CB39,CB39,"")</f>
        <v>1</v>
      </c>
      <c r="CA39" s="294">
        <f>DN45</f>
        <v>50</v>
      </c>
      <c r="CB39" s="294">
        <f>DQ45</f>
        <v>1</v>
      </c>
      <c r="CE39" s="362"/>
      <c r="CF39" s="363" t="s">
        <v>433</v>
      </c>
      <c r="CG39" s="364">
        <f>C42</f>
        <v>0</v>
      </c>
      <c r="CH39" s="2026" t="s">
        <v>434</v>
      </c>
      <c r="CI39" s="2026"/>
      <c r="CJ39" s="293"/>
      <c r="CK39" s="293"/>
      <c r="CL39" s="1647" t="e">
        <f t="shared" si="56"/>
        <v>#VALUE!</v>
      </c>
      <c r="CM39" s="1671">
        <v>14</v>
      </c>
      <c r="CN39" s="1644" t="e">
        <f t="shared" si="36"/>
        <v>#VALUE!</v>
      </c>
      <c r="CO39" s="1644" t="e">
        <f t="shared" si="37"/>
        <v>#VALUE!</v>
      </c>
      <c r="CP39" s="1644" t="e">
        <f t="shared" si="38"/>
        <v>#VALUE!</v>
      </c>
      <c r="CQ39" s="1644" t="e">
        <f t="shared" si="39"/>
        <v>#VALUE!</v>
      </c>
      <c r="CR39" s="1644" t="e">
        <f t="shared" si="40"/>
        <v>#VALUE!</v>
      </c>
      <c r="CS39" s="1644" t="e">
        <f t="shared" si="57"/>
        <v>#VALUE!</v>
      </c>
      <c r="CT39" s="1644" t="e">
        <f t="shared" si="41"/>
        <v>#VALUE!</v>
      </c>
      <c r="CU39" s="505" t="e">
        <f t="shared" si="42"/>
        <v>#VALUE!</v>
      </c>
      <c r="CV39" s="1648" t="e">
        <f t="shared" si="43"/>
        <v>#VALUE!</v>
      </c>
      <c r="CW39" s="521" t="e">
        <f t="shared" si="44"/>
        <v>#VALUE!</v>
      </c>
      <c r="CX39" s="522" t="e">
        <f t="shared" si="45"/>
        <v>#VALUE!</v>
      </c>
      <c r="CZ39" s="1647" t="e">
        <f t="shared" si="58"/>
        <v>#VALUE!</v>
      </c>
      <c r="DA39" s="1671">
        <v>14</v>
      </c>
      <c r="DB39" s="1644" t="e">
        <f t="shared" si="46"/>
        <v>#VALUE!</v>
      </c>
      <c r="DC39" s="1644" t="e">
        <f t="shared" si="47"/>
        <v>#VALUE!</v>
      </c>
      <c r="DD39" s="1644" t="e">
        <f t="shared" si="48"/>
        <v>#VALUE!</v>
      </c>
      <c r="DE39" s="1644" t="e">
        <f t="shared" si="49"/>
        <v>#VALUE!</v>
      </c>
      <c r="DF39" s="1644" t="e">
        <f t="shared" si="50"/>
        <v>#VALUE!</v>
      </c>
      <c r="DG39" s="1644" t="e">
        <f t="shared" si="59"/>
        <v>#VALUE!</v>
      </c>
      <c r="DH39" s="1644" t="e">
        <f t="shared" si="51"/>
        <v>#VALUE!</v>
      </c>
      <c r="DI39" s="505" t="e">
        <f t="shared" si="52"/>
        <v>#VALUE!</v>
      </c>
      <c r="DJ39" s="1648" t="e">
        <f t="shared" si="53"/>
        <v>#VALUE!</v>
      </c>
      <c r="DK39" s="521" t="e">
        <f t="shared" si="54"/>
        <v>#VALUE!</v>
      </c>
      <c r="DL39" s="522" t="e">
        <f t="shared" si="55"/>
        <v>#VALUE!</v>
      </c>
      <c r="DN39" s="513">
        <v>2200</v>
      </c>
      <c r="DO39" s="417">
        <v>2235</v>
      </c>
      <c r="DP39" s="417">
        <f t="shared" si="21"/>
        <v>2203</v>
      </c>
      <c r="DQ39" s="417">
        <v>16</v>
      </c>
      <c r="DR39" s="1186">
        <f t="shared" si="22"/>
        <v>9529.2535879599127</v>
      </c>
      <c r="DS39" s="1180">
        <f t="shared" si="23"/>
        <v>2.4999999999999991</v>
      </c>
      <c r="DT39" s="1181">
        <f>ROUND(6.819*(DS39/DP2)^1.852/(DP39/1000)^1.167*1000*9.81,0)</f>
        <v>15</v>
      </c>
      <c r="DU39" s="403"/>
      <c r="DV39" s="403"/>
      <c r="DW39" s="398">
        <f>(IF(DU39=0,DW5,DU39)/1000/9.81*(DP39/1000)^1.167/6.819)^(1/1.852)*DP2</f>
        <v>12.42533474866794</v>
      </c>
      <c r="DX39" s="398">
        <f>6.819*(IF(DV39=0,DX5,DV39)/DP2)^1.852/(DP39/1000)^1.167*1000*9.81</f>
        <v>15.397405723416048</v>
      </c>
      <c r="DY39" s="398">
        <f>IF(DX39&lt;=DW5,IF(DW39&lt;=IF(DV39=0,DX5,DV39),DW39,(DX39/1000/9.81*(DP39/1000)^1.167/6.819)^(1/1.852)*DP2),IF(DW39&lt;=IF(DV39=0,DX5,DV39),DW39,"Check"))</f>
        <v>2.4999999999999991</v>
      </c>
      <c r="EA39" s="1647">
        <f t="shared" si="34"/>
        <v>24.000633322175549</v>
      </c>
      <c r="EB39" s="1671">
        <v>30</v>
      </c>
      <c r="EC39" s="1644">
        <f t="shared" si="24"/>
        <v>297.15063332217551</v>
      </c>
      <c r="ED39" s="1644">
        <f t="shared" si="25"/>
        <v>-32.581440875774611</v>
      </c>
      <c r="EE39" s="1644">
        <f t="shared" si="26"/>
        <v>40.582876513413943</v>
      </c>
      <c r="EF39" s="1644">
        <f t="shared" si="27"/>
        <v>2.9852406359596202</v>
      </c>
      <c r="EG39" s="1644">
        <f t="shared" si="28"/>
        <v>0.89557219078788608</v>
      </c>
      <c r="EH39" s="1644">
        <f t="shared" si="35"/>
        <v>1.8881070919450717E-2</v>
      </c>
      <c r="EI39" s="1644">
        <f t="shared" si="29"/>
        <v>0.29375780040545035</v>
      </c>
      <c r="EJ39" s="505">
        <f t="shared" si="30"/>
        <v>30</v>
      </c>
      <c r="EK39" s="1648">
        <f t="shared" si="31"/>
        <v>38.256617308770416</v>
      </c>
      <c r="EL39" s="521">
        <f t="shared" si="32"/>
        <v>5.3937636565011804</v>
      </c>
      <c r="EM39" s="522">
        <f t="shared" si="33"/>
        <v>5.5464618625971568E-3</v>
      </c>
    </row>
    <row r="40" spans="2:143" ht="12.75" customHeight="1">
      <c r="B40" s="368" t="s">
        <v>431</v>
      </c>
      <c r="C40" s="1397"/>
      <c r="D40" s="1397"/>
      <c r="E40" s="343" t="s">
        <v>368</v>
      </c>
      <c r="M40" s="1847" t="s">
        <v>1686</v>
      </c>
      <c r="N40" s="1848"/>
      <c r="O40" s="1848"/>
      <c r="P40" s="1848"/>
      <c r="Q40" s="1848"/>
      <c r="R40" s="1848"/>
      <c r="S40" s="1849"/>
      <c r="U40" s="2039"/>
      <c r="V40" s="2040"/>
      <c r="AD40" s="1224" t="s">
        <v>1979</v>
      </c>
      <c r="AE40" s="302"/>
      <c r="AF40" s="302"/>
      <c r="AG40" s="302"/>
      <c r="AH40" s="302"/>
      <c r="AI40" s="302"/>
      <c r="AJ40" s="320"/>
      <c r="AT40" s="720"/>
      <c r="AU40" s="324" t="s">
        <v>5</v>
      </c>
      <c r="AV40" s="325" t="str">
        <f>IF(OR(AT39="n/a",AV26="n/a",AY39="n/a"),"n/a",AT39/(AY39-AZ39)/AW39)</f>
        <v>n/a</v>
      </c>
      <c r="AW40" s="318" t="s">
        <v>3</v>
      </c>
      <c r="AX40" s="318"/>
      <c r="AY40" s="345" t="str">
        <f>IF(AV40="n/a","-",VLOOKUP(MIN(CD5:CD35),CD5:CE35,2,TRUE))</f>
        <v>-</v>
      </c>
      <c r="AZ40" s="296"/>
      <c r="BA40" s="294"/>
      <c r="BB40" s="294"/>
      <c r="BC40" s="376" t="str">
        <f>IF(OR(H25="-",I25="-"),"","S")</f>
        <v>S</v>
      </c>
      <c r="BD40" s="372">
        <f>D25</f>
        <v>21</v>
      </c>
      <c r="BE40" s="373">
        <f>H25</f>
        <v>9.2992607306061469E-3</v>
      </c>
      <c r="BF40" s="294"/>
      <c r="BG40" s="294"/>
      <c r="BH40" s="294"/>
      <c r="BI40" s="294"/>
      <c r="BK40" s="294" t="e">
        <f t="shared" si="60"/>
        <v>#VALUE!</v>
      </c>
      <c r="BL40" s="294">
        <f t="shared" si="61"/>
        <v>65</v>
      </c>
      <c r="BM40" s="294">
        <f t="shared" si="62"/>
        <v>2</v>
      </c>
      <c r="BZ40" s="294">
        <f t="shared" si="63"/>
        <v>2</v>
      </c>
      <c r="CA40" s="294">
        <f t="shared" ref="CA40:CA46" si="64">DN46</f>
        <v>65</v>
      </c>
      <c r="CB40" s="294">
        <f t="shared" ref="CB40:CB46" si="65">DQ46</f>
        <v>2</v>
      </c>
      <c r="CE40" s="362" t="s">
        <v>435</v>
      </c>
      <c r="CF40" s="362"/>
      <c r="CG40" s="362">
        <f>1/((1/CG56)*3600)*1000</f>
        <v>626.94444444444446</v>
      </c>
      <c r="CH40" s="362" t="s">
        <v>444</v>
      </c>
      <c r="CI40" s="362"/>
      <c r="CJ40" s="293"/>
      <c r="CK40" s="293"/>
      <c r="CL40" s="1647" t="e">
        <f t="shared" si="56"/>
        <v>#VALUE!</v>
      </c>
      <c r="CM40" s="1671">
        <v>15</v>
      </c>
      <c r="CN40" s="1644" t="e">
        <f t="shared" si="36"/>
        <v>#VALUE!</v>
      </c>
      <c r="CO40" s="1644" t="e">
        <f t="shared" si="37"/>
        <v>#VALUE!</v>
      </c>
      <c r="CP40" s="1644" t="e">
        <f t="shared" si="38"/>
        <v>#VALUE!</v>
      </c>
      <c r="CQ40" s="1644" t="e">
        <f t="shared" si="39"/>
        <v>#VALUE!</v>
      </c>
      <c r="CR40" s="1644" t="e">
        <f t="shared" si="40"/>
        <v>#VALUE!</v>
      </c>
      <c r="CS40" s="1644" t="e">
        <f t="shared" si="57"/>
        <v>#VALUE!</v>
      </c>
      <c r="CT40" s="1644" t="e">
        <f t="shared" si="41"/>
        <v>#VALUE!</v>
      </c>
      <c r="CU40" s="505" t="e">
        <f t="shared" si="42"/>
        <v>#VALUE!</v>
      </c>
      <c r="CV40" s="1648" t="e">
        <f t="shared" si="43"/>
        <v>#VALUE!</v>
      </c>
      <c r="CW40" s="521" t="e">
        <f t="shared" si="44"/>
        <v>#VALUE!</v>
      </c>
      <c r="CX40" s="522" t="e">
        <f t="shared" si="45"/>
        <v>#VALUE!</v>
      </c>
      <c r="CZ40" s="1647" t="e">
        <f t="shared" si="58"/>
        <v>#VALUE!</v>
      </c>
      <c r="DA40" s="1671">
        <v>15</v>
      </c>
      <c r="DB40" s="1644" t="e">
        <f t="shared" si="46"/>
        <v>#VALUE!</v>
      </c>
      <c r="DC40" s="1644" t="e">
        <f t="shared" si="47"/>
        <v>#VALUE!</v>
      </c>
      <c r="DD40" s="1644" t="e">
        <f t="shared" si="48"/>
        <v>#VALUE!</v>
      </c>
      <c r="DE40" s="1644" t="e">
        <f t="shared" si="49"/>
        <v>#VALUE!</v>
      </c>
      <c r="DF40" s="1644" t="e">
        <f t="shared" si="50"/>
        <v>#VALUE!</v>
      </c>
      <c r="DG40" s="1644" t="e">
        <f t="shared" si="59"/>
        <v>#VALUE!</v>
      </c>
      <c r="DH40" s="1644" t="e">
        <f t="shared" si="51"/>
        <v>#VALUE!</v>
      </c>
      <c r="DI40" s="505" t="e">
        <f t="shared" si="52"/>
        <v>#VALUE!</v>
      </c>
      <c r="DJ40" s="1648" t="e">
        <f t="shared" si="53"/>
        <v>#VALUE!</v>
      </c>
      <c r="DK40" s="521" t="e">
        <f t="shared" si="54"/>
        <v>#VALUE!</v>
      </c>
      <c r="DL40" s="522" t="e">
        <f t="shared" si="55"/>
        <v>#VALUE!</v>
      </c>
      <c r="DN40" s="413"/>
      <c r="DO40" s="414"/>
      <c r="DP40" s="414"/>
      <c r="DQ40" s="414"/>
      <c r="DR40" s="414"/>
      <c r="DS40" s="414"/>
      <c r="DT40" s="414"/>
      <c r="DU40" s="388"/>
      <c r="DV40" s="388"/>
      <c r="DW40" s="388"/>
      <c r="DX40" s="388"/>
      <c r="DY40" s="508"/>
      <c r="EA40" s="1647">
        <f t="shared" si="34"/>
        <v>24.000633322175549</v>
      </c>
      <c r="EB40" s="1671">
        <v>31</v>
      </c>
      <c r="EC40" s="1644">
        <f t="shared" si="24"/>
        <v>297.15063332217551</v>
      </c>
      <c r="ED40" s="1644">
        <f t="shared" si="25"/>
        <v>-32.581440875774611</v>
      </c>
      <c r="EE40" s="1644">
        <f t="shared" si="26"/>
        <v>40.582876513413943</v>
      </c>
      <c r="EF40" s="1644">
        <f t="shared" si="27"/>
        <v>2.9852406359596202</v>
      </c>
      <c r="EG40" s="1644">
        <f t="shared" si="28"/>
        <v>0.92542459714748226</v>
      </c>
      <c r="EH40" s="1644">
        <f t="shared" si="35"/>
        <v>1.8881070919450717E-2</v>
      </c>
      <c r="EI40" s="1644">
        <f t="shared" si="29"/>
        <v>0.30363998334186565</v>
      </c>
      <c r="EJ40" s="505">
        <f t="shared" si="30"/>
        <v>31</v>
      </c>
      <c r="EK40" s="1648">
        <f t="shared" si="31"/>
        <v>38.731352514464284</v>
      </c>
      <c r="EL40" s="521">
        <f t="shared" si="32"/>
        <v>5.8685192649070341</v>
      </c>
      <c r="EM40" s="522">
        <f t="shared" si="33"/>
        <v>5.7330480594585996E-3</v>
      </c>
    </row>
    <row r="41" spans="2:143" ht="12.75" customHeight="1">
      <c r="B41" s="369" t="str">
        <f>IF(C20=TRUE,"Pre-HWS/R","")</f>
        <v/>
      </c>
      <c r="C41" s="1397"/>
      <c r="D41" s="1397"/>
      <c r="E41" s="343" t="s">
        <v>368</v>
      </c>
      <c r="M41" s="708" t="s">
        <v>1147</v>
      </c>
      <c r="N41" s="298" t="s">
        <v>5</v>
      </c>
      <c r="O41" s="298" t="s">
        <v>1112</v>
      </c>
      <c r="P41" s="298" t="s">
        <v>1097</v>
      </c>
      <c r="Q41" s="298" t="s">
        <v>1108</v>
      </c>
      <c r="R41" s="298" t="s">
        <v>1148</v>
      </c>
      <c r="S41" s="316" t="s">
        <v>1183</v>
      </c>
      <c r="AD41" s="697" t="s">
        <v>1134</v>
      </c>
      <c r="AE41" s="297" t="s">
        <v>5</v>
      </c>
      <c r="AF41" s="297" t="s">
        <v>135</v>
      </c>
      <c r="AG41" s="297" t="s">
        <v>1152</v>
      </c>
      <c r="AH41" s="297" t="s">
        <v>1108</v>
      </c>
      <c r="AI41" s="297" t="s">
        <v>1155</v>
      </c>
      <c r="AJ41" s="300" t="s">
        <v>1156</v>
      </c>
      <c r="AT41" s="1224" t="s">
        <v>1979</v>
      </c>
      <c r="AU41" s="302"/>
      <c r="AV41" s="302"/>
      <c r="AW41" s="302"/>
      <c r="AX41" s="302"/>
      <c r="AY41" s="302"/>
      <c r="AZ41" s="320"/>
      <c r="BA41" s="294"/>
      <c r="BB41" s="294"/>
      <c r="BC41" s="376" t="str">
        <f>IF(C20=TRUE,"PH",BC39)</f>
        <v>O</v>
      </c>
      <c r="BD41" s="372">
        <f>IF(C20=TRUE,D24,BD39)</f>
        <v>7</v>
      </c>
      <c r="BE41" s="373">
        <f>IF(C20=TRUE,H24,BE39)</f>
        <v>2.4699676060335892E-3</v>
      </c>
      <c r="BF41" s="294"/>
      <c r="BG41" s="294"/>
      <c r="BH41" s="294"/>
      <c r="BI41" s="294"/>
      <c r="BK41" s="294" t="e">
        <f t="shared" si="60"/>
        <v>#VALUE!</v>
      </c>
      <c r="BL41" s="294">
        <f t="shared" si="61"/>
        <v>80</v>
      </c>
      <c r="BM41" s="294">
        <f t="shared" si="62"/>
        <v>3.5</v>
      </c>
      <c r="BZ41" s="294">
        <f t="shared" si="63"/>
        <v>3.5</v>
      </c>
      <c r="CA41" s="294">
        <f t="shared" si="64"/>
        <v>80</v>
      </c>
      <c r="CB41" s="294">
        <f t="shared" si="65"/>
        <v>3.5</v>
      </c>
      <c r="CE41" s="362"/>
      <c r="CF41" s="362"/>
      <c r="CG41" s="362"/>
      <c r="CH41" s="362"/>
      <c r="CI41" s="362"/>
      <c r="CJ41" s="293"/>
      <c r="CK41" s="293"/>
      <c r="CL41" s="1647" t="e">
        <f t="shared" si="56"/>
        <v>#VALUE!</v>
      </c>
      <c r="CM41" s="1671">
        <v>16</v>
      </c>
      <c r="CN41" s="1644" t="e">
        <f t="shared" si="36"/>
        <v>#VALUE!</v>
      </c>
      <c r="CO41" s="1644" t="e">
        <f t="shared" si="37"/>
        <v>#VALUE!</v>
      </c>
      <c r="CP41" s="1644" t="e">
        <f t="shared" si="38"/>
        <v>#VALUE!</v>
      </c>
      <c r="CQ41" s="1644" t="e">
        <f t="shared" si="39"/>
        <v>#VALUE!</v>
      </c>
      <c r="CR41" s="1644" t="e">
        <f t="shared" si="40"/>
        <v>#VALUE!</v>
      </c>
      <c r="CS41" s="1644" t="e">
        <f t="shared" si="57"/>
        <v>#VALUE!</v>
      </c>
      <c r="CT41" s="1644" t="e">
        <f t="shared" si="41"/>
        <v>#VALUE!</v>
      </c>
      <c r="CU41" s="505" t="e">
        <f t="shared" si="42"/>
        <v>#VALUE!</v>
      </c>
      <c r="CV41" s="1648" t="e">
        <f t="shared" si="43"/>
        <v>#VALUE!</v>
      </c>
      <c r="CW41" s="521" t="e">
        <f t="shared" si="44"/>
        <v>#VALUE!</v>
      </c>
      <c r="CX41" s="522" t="e">
        <f t="shared" si="45"/>
        <v>#VALUE!</v>
      </c>
      <c r="CZ41" s="1647" t="e">
        <f t="shared" si="58"/>
        <v>#VALUE!</v>
      </c>
      <c r="DA41" s="1671">
        <v>16</v>
      </c>
      <c r="DB41" s="1644" t="e">
        <f t="shared" si="46"/>
        <v>#VALUE!</v>
      </c>
      <c r="DC41" s="1644" t="e">
        <f t="shared" si="47"/>
        <v>#VALUE!</v>
      </c>
      <c r="DD41" s="1644" t="e">
        <f t="shared" si="48"/>
        <v>#VALUE!</v>
      </c>
      <c r="DE41" s="1644" t="e">
        <f t="shared" si="49"/>
        <v>#VALUE!</v>
      </c>
      <c r="DF41" s="1644" t="e">
        <f t="shared" si="50"/>
        <v>#VALUE!</v>
      </c>
      <c r="DG41" s="1644" t="e">
        <f t="shared" si="59"/>
        <v>#VALUE!</v>
      </c>
      <c r="DH41" s="1644" t="e">
        <f t="shared" si="51"/>
        <v>#VALUE!</v>
      </c>
      <c r="DI41" s="505" t="e">
        <f t="shared" si="52"/>
        <v>#VALUE!</v>
      </c>
      <c r="DJ41" s="1648" t="e">
        <f t="shared" si="53"/>
        <v>#VALUE!</v>
      </c>
      <c r="DK41" s="521" t="e">
        <f t="shared" si="54"/>
        <v>#VALUE!</v>
      </c>
      <c r="DL41" s="522" t="e">
        <f t="shared" si="55"/>
        <v>#VALUE!</v>
      </c>
      <c r="DN41" s="415"/>
      <c r="DO41" s="389"/>
      <c r="DP41" s="389"/>
      <c r="DQ41" s="389"/>
      <c r="DR41" s="389"/>
      <c r="DS41" s="407"/>
      <c r="DT41" s="389"/>
      <c r="DU41" s="388"/>
      <c r="DV41" s="388"/>
      <c r="DW41" s="388"/>
      <c r="DX41" s="388"/>
      <c r="DY41" s="388"/>
      <c r="EA41" s="1647">
        <f t="shared" si="34"/>
        <v>24.000633322175549</v>
      </c>
      <c r="EB41" s="1671">
        <v>32</v>
      </c>
      <c r="EC41" s="1644">
        <f t="shared" si="24"/>
        <v>297.15063332217551</v>
      </c>
      <c r="ED41" s="1644">
        <f t="shared" si="25"/>
        <v>-32.581440875774611</v>
      </c>
      <c r="EE41" s="1644">
        <f t="shared" si="26"/>
        <v>40.582876513413943</v>
      </c>
      <c r="EF41" s="1644">
        <f t="shared" si="27"/>
        <v>2.9852406359596202</v>
      </c>
      <c r="EG41" s="1644">
        <f t="shared" si="28"/>
        <v>0.95527700350707845</v>
      </c>
      <c r="EH41" s="1644">
        <f t="shared" si="35"/>
        <v>1.8881070919450717E-2</v>
      </c>
      <c r="EI41" s="1644">
        <f t="shared" si="29"/>
        <v>0.31352804468328055</v>
      </c>
      <c r="EJ41" s="505">
        <f t="shared" si="30"/>
        <v>32</v>
      </c>
      <c r="EK41" s="1648">
        <f t="shared" si="31"/>
        <v>39.206370115841835</v>
      </c>
      <c r="EL41" s="521">
        <f t="shared" si="32"/>
        <v>6.3296874579122537</v>
      </c>
      <c r="EM41" s="522">
        <f t="shared" si="33"/>
        <v>5.9197452469017331E-3</v>
      </c>
    </row>
    <row r="42" spans="2:143" ht="12" customHeight="1">
      <c r="B42" s="369" t="str">
        <f>IF(OR(D20=TRUE,E20=TRUE),"Steam","")</f>
        <v>Steam</v>
      </c>
      <c r="C42" s="1438"/>
      <c r="D42" s="303" t="s">
        <v>243</v>
      </c>
      <c r="E42" s="303" t="s">
        <v>634</v>
      </c>
      <c r="M42" s="697"/>
      <c r="N42" s="297" t="s">
        <v>5</v>
      </c>
      <c r="O42" s="304">
        <f>IF(AND(C31=0,C32=0),"n/a",C31)</f>
        <v>8.3179999999999996</v>
      </c>
      <c r="P42" s="307">
        <f>F4</f>
        <v>1.2</v>
      </c>
      <c r="Q42" s="297" t="s">
        <v>1108</v>
      </c>
      <c r="R42" s="366" t="e">
        <f>IF(OR(I8="-",I10="-",C31="-"),"n/a",O13)</f>
        <v>#VALUE!</v>
      </c>
      <c r="S42" s="1226">
        <f>IF(H22="-","n/a )",H22)</f>
        <v>8.85895440377126E-3</v>
      </c>
      <c r="U42" s="524" t="s">
        <v>1975</v>
      </c>
      <c r="AD42" s="718" t="e">
        <f>IF(D20=FALSE, IF(AF29="n/a","n/a",-AF29),"n/a")</f>
        <v>#VALUE!</v>
      </c>
      <c r="AE42" s="297" t="s">
        <v>5</v>
      </c>
      <c r="AF42" s="297" t="s">
        <v>135</v>
      </c>
      <c r="AG42" s="1806">
        <v>4.1849999999999996</v>
      </c>
      <c r="AH42" s="297" t="s">
        <v>1108</v>
      </c>
      <c r="AI42" s="344" t="str">
        <f>IF(COUNTA(C40)=1,C40,"n/a -")</f>
        <v>n/a -</v>
      </c>
      <c r="AJ42" s="707" t="str">
        <f>IF(COUNTA(D40)=1,D40,"n/a )")</f>
        <v>n/a )</v>
      </c>
      <c r="AT42" s="697" t="s">
        <v>1134</v>
      </c>
      <c r="AU42" s="297" t="s">
        <v>5</v>
      </c>
      <c r="AV42" s="297" t="s">
        <v>135</v>
      </c>
      <c r="AW42" s="297" t="s">
        <v>1152</v>
      </c>
      <c r="AX42" s="297" t="s">
        <v>1108</v>
      </c>
      <c r="AY42" s="297" t="s">
        <v>1155</v>
      </c>
      <c r="AZ42" s="300" t="s">
        <v>1156</v>
      </c>
      <c r="BA42" s="294"/>
      <c r="BF42" s="294"/>
      <c r="BG42" s="294"/>
      <c r="BH42" s="294"/>
      <c r="BI42" s="294"/>
      <c r="BK42" s="294" t="e">
        <f t="shared" si="60"/>
        <v>#VALUE!</v>
      </c>
      <c r="BL42" s="294">
        <f t="shared" si="61"/>
        <v>100</v>
      </c>
      <c r="BM42" s="294">
        <f t="shared" si="62"/>
        <v>6.3</v>
      </c>
      <c r="BZ42" s="294">
        <f t="shared" si="63"/>
        <v>6.3</v>
      </c>
      <c r="CA42" s="294">
        <f t="shared" si="64"/>
        <v>100</v>
      </c>
      <c r="CB42" s="294">
        <f t="shared" si="65"/>
        <v>6.3</v>
      </c>
      <c r="CE42" s="365" t="s">
        <v>128</v>
      </c>
      <c r="CF42" s="365" t="s">
        <v>409</v>
      </c>
      <c r="CG42" s="169" t="s">
        <v>410</v>
      </c>
      <c r="CH42" s="169"/>
      <c r="CJ42" s="293"/>
      <c r="CK42" s="293"/>
      <c r="CL42" s="1647" t="e">
        <f t="shared" si="56"/>
        <v>#VALUE!</v>
      </c>
      <c r="CM42" s="1671">
        <v>17</v>
      </c>
      <c r="CN42" s="1644" t="e">
        <f t="shared" si="36"/>
        <v>#VALUE!</v>
      </c>
      <c r="CO42" s="1644" t="e">
        <f t="shared" si="37"/>
        <v>#VALUE!</v>
      </c>
      <c r="CP42" s="1644" t="e">
        <f t="shared" si="38"/>
        <v>#VALUE!</v>
      </c>
      <c r="CQ42" s="1644" t="e">
        <f t="shared" si="39"/>
        <v>#VALUE!</v>
      </c>
      <c r="CR42" s="1644" t="e">
        <f t="shared" si="40"/>
        <v>#VALUE!</v>
      </c>
      <c r="CS42" s="1644" t="e">
        <f t="shared" si="57"/>
        <v>#VALUE!</v>
      </c>
      <c r="CT42" s="1644" t="e">
        <f t="shared" si="41"/>
        <v>#VALUE!</v>
      </c>
      <c r="CU42" s="505" t="e">
        <f t="shared" si="42"/>
        <v>#VALUE!</v>
      </c>
      <c r="CV42" s="1648" t="e">
        <f t="shared" si="43"/>
        <v>#VALUE!</v>
      </c>
      <c r="CW42" s="521" t="e">
        <f t="shared" si="44"/>
        <v>#VALUE!</v>
      </c>
      <c r="CX42" s="522" t="e">
        <f t="shared" si="45"/>
        <v>#VALUE!</v>
      </c>
      <c r="CZ42" s="1647" t="e">
        <f t="shared" si="58"/>
        <v>#VALUE!</v>
      </c>
      <c r="DA42" s="1671">
        <v>17</v>
      </c>
      <c r="DB42" s="1644" t="e">
        <f t="shared" si="46"/>
        <v>#VALUE!</v>
      </c>
      <c r="DC42" s="1644" t="e">
        <f t="shared" si="47"/>
        <v>#VALUE!</v>
      </c>
      <c r="DD42" s="1644" t="e">
        <f t="shared" si="48"/>
        <v>#VALUE!</v>
      </c>
      <c r="DE42" s="1644" t="e">
        <f t="shared" si="49"/>
        <v>#VALUE!</v>
      </c>
      <c r="DF42" s="1644" t="e">
        <f t="shared" si="50"/>
        <v>#VALUE!</v>
      </c>
      <c r="DG42" s="1644" t="e">
        <f t="shared" si="59"/>
        <v>#VALUE!</v>
      </c>
      <c r="DH42" s="1644" t="e">
        <f t="shared" si="51"/>
        <v>#VALUE!</v>
      </c>
      <c r="DI42" s="505" t="e">
        <f t="shared" si="52"/>
        <v>#VALUE!</v>
      </c>
      <c r="DJ42" s="1648" t="e">
        <f t="shared" si="53"/>
        <v>#VALUE!</v>
      </c>
      <c r="DK42" s="521" t="e">
        <f t="shared" si="54"/>
        <v>#VALUE!</v>
      </c>
      <c r="DL42" s="522" t="e">
        <f t="shared" si="55"/>
        <v>#VALUE!</v>
      </c>
      <c r="DN42" s="1190" t="s">
        <v>1685</v>
      </c>
      <c r="DP42" s="2050" t="s">
        <v>3</v>
      </c>
      <c r="DQ42" s="2050"/>
      <c r="EA42" s="1647">
        <f t="shared" si="34"/>
        <v>24.000633322175549</v>
      </c>
      <c r="EB42" s="1671">
        <v>33</v>
      </c>
      <c r="EC42" s="1644">
        <f t="shared" si="24"/>
        <v>297.15063332217551</v>
      </c>
      <c r="ED42" s="1644">
        <f t="shared" si="25"/>
        <v>-32.581440875774611</v>
      </c>
      <c r="EE42" s="1644">
        <f t="shared" si="26"/>
        <v>40.582876513413943</v>
      </c>
      <c r="EF42" s="1644">
        <f t="shared" si="27"/>
        <v>2.9852406359596202</v>
      </c>
      <c r="EG42" s="1644">
        <f t="shared" si="28"/>
        <v>0.98512940986667474</v>
      </c>
      <c r="EH42" s="1644">
        <f t="shared" si="35"/>
        <v>1.8881070919450717E-2</v>
      </c>
      <c r="EI42" s="1644">
        <f t="shared" ref="EI42:EI73" si="66">EM42/EH42</f>
        <v>0.32342198967639924</v>
      </c>
      <c r="EJ42" s="505">
        <f t="shared" ref="EJ42:EJ73" si="67">IF(EA42+EB42&gt;0,EB42,0)</f>
        <v>33</v>
      </c>
      <c r="EK42" s="1648">
        <f t="shared" ref="EK42:EK73" si="68">IF(EA42+EB42&gt;0,(1.006*EA42+EM42*(2501+1.805*EA42)),0)</f>
        <v>39.681670364952168</v>
      </c>
      <c r="EL42" s="521">
        <f t="shared" ref="EL42:EL73" si="69">IF(EA42+EB42&gt;0,(6.54+14.526*LN(EG42)+0.7389*POWER(LN(EG42),2)+0.09486*POWER(LN(EG42),3)+0.4569*POWER(EG42,0.1984)),0)</f>
        <v>6.7780770363408784</v>
      </c>
      <c r="EM42" s="522">
        <f t="shared" ref="EM42:EM74" si="70">IF(EA42+EB42&gt;0,0.62198*(EG42/($F$3-EG42)),0)</f>
        <v>6.1065535239899511E-3</v>
      </c>
    </row>
    <row r="43" spans="2:143" ht="13.5">
      <c r="B43" s="293"/>
      <c r="M43" s="710"/>
      <c r="N43" s="340" t="s">
        <v>5</v>
      </c>
      <c r="O43" s="349" t="e">
        <f>IF(COUNTA(D8,D10,C31,C32)&lt;4,"n/a",O42*P42*(R42-S42))</f>
        <v>#VALUE!</v>
      </c>
      <c r="P43" s="340" t="s">
        <v>139</v>
      </c>
      <c r="Q43" s="340"/>
      <c r="S43" s="295"/>
      <c r="U43" s="524" t="s">
        <v>1976</v>
      </c>
      <c r="AD43" s="379" t="s">
        <v>1206</v>
      </c>
      <c r="AE43" s="324" t="s">
        <v>5</v>
      </c>
      <c r="AF43" s="325" t="e">
        <f>IF(OR(AD42="n/a",AF29="n/a",COUNTA(C40,D40)&lt;2),"n/a",AD42/(AI42-AJ42)/AG42)</f>
        <v>#VALUE!</v>
      </c>
      <c r="AG43" s="318" t="s">
        <v>3</v>
      </c>
      <c r="AH43" s="318"/>
      <c r="AI43" s="345" t="e">
        <f>IF(AF43="n/a","-",VLOOKUP(MIN(BV5:BV35),BV5:BW35,2,TRUE))</f>
        <v>#VALUE!</v>
      </c>
      <c r="AJ43" s="296"/>
      <c r="AT43" s="718">
        <f>IF(D20=FALSE, IF(AV34="n/a","n/a",-AV34),"n/a")</f>
        <v>42.600096000000001</v>
      </c>
      <c r="AU43" s="297" t="s">
        <v>5</v>
      </c>
      <c r="AV43" s="297" t="s">
        <v>135</v>
      </c>
      <c r="AW43" s="1806">
        <v>4.1849999999999996</v>
      </c>
      <c r="AX43" s="297" t="s">
        <v>1108</v>
      </c>
      <c r="AY43" s="344" t="str">
        <f>IF(COUNTA(C40)=1,C40,"n/a -")</f>
        <v>n/a -</v>
      </c>
      <c r="AZ43" s="707" t="str">
        <f>IF(COUNTA(D40)=1,D40,"n/a )")</f>
        <v>n/a )</v>
      </c>
      <c r="BA43" s="294"/>
      <c r="BF43" s="294"/>
      <c r="BG43" s="294"/>
      <c r="BH43" s="294"/>
      <c r="BI43" s="294"/>
      <c r="BK43" s="294" t="e">
        <f t="shared" si="60"/>
        <v>#VALUE!</v>
      </c>
      <c r="BL43" s="294">
        <f t="shared" si="61"/>
        <v>150</v>
      </c>
      <c r="BM43" s="294">
        <f t="shared" si="62"/>
        <v>14.1</v>
      </c>
      <c r="BZ43" s="294">
        <f t="shared" si="63"/>
        <v>14.1</v>
      </c>
      <c r="CA43" s="294">
        <f t="shared" si="64"/>
        <v>150</v>
      </c>
      <c r="CB43" s="294">
        <f t="shared" si="65"/>
        <v>14.1</v>
      </c>
      <c r="CE43" s="362">
        <v>0</v>
      </c>
      <c r="CF43" s="169">
        <v>2257</v>
      </c>
      <c r="CG43" s="169">
        <f t="shared" ref="CG43:CG55" si="71">IF($C$42=CE43,CF43,0)</f>
        <v>2257</v>
      </c>
      <c r="CH43" s="169"/>
      <c r="CJ43" s="293"/>
      <c r="CK43" s="293"/>
      <c r="CL43" s="1647" t="e">
        <f t="shared" si="56"/>
        <v>#VALUE!</v>
      </c>
      <c r="CM43" s="1671">
        <v>18</v>
      </c>
      <c r="CN43" s="1644" t="e">
        <f t="shared" si="36"/>
        <v>#VALUE!</v>
      </c>
      <c r="CO43" s="1644" t="e">
        <f t="shared" si="37"/>
        <v>#VALUE!</v>
      </c>
      <c r="CP43" s="1644" t="e">
        <f t="shared" si="38"/>
        <v>#VALUE!</v>
      </c>
      <c r="CQ43" s="1644" t="e">
        <f t="shared" si="39"/>
        <v>#VALUE!</v>
      </c>
      <c r="CR43" s="1644" t="e">
        <f t="shared" si="40"/>
        <v>#VALUE!</v>
      </c>
      <c r="CS43" s="1644" t="e">
        <f t="shared" si="57"/>
        <v>#VALUE!</v>
      </c>
      <c r="CT43" s="1644" t="e">
        <f t="shared" si="41"/>
        <v>#VALUE!</v>
      </c>
      <c r="CU43" s="505" t="e">
        <f t="shared" si="42"/>
        <v>#VALUE!</v>
      </c>
      <c r="CV43" s="1648" t="e">
        <f t="shared" si="43"/>
        <v>#VALUE!</v>
      </c>
      <c r="CW43" s="521" t="e">
        <f t="shared" si="44"/>
        <v>#VALUE!</v>
      </c>
      <c r="CX43" s="522" t="e">
        <f t="shared" si="45"/>
        <v>#VALUE!</v>
      </c>
      <c r="CZ43" s="1647" t="e">
        <f t="shared" si="58"/>
        <v>#VALUE!</v>
      </c>
      <c r="DA43" s="1671">
        <v>18</v>
      </c>
      <c r="DB43" s="1644" t="e">
        <f t="shared" si="46"/>
        <v>#VALUE!</v>
      </c>
      <c r="DC43" s="1644" t="e">
        <f t="shared" si="47"/>
        <v>#VALUE!</v>
      </c>
      <c r="DD43" s="1644" t="e">
        <f t="shared" si="48"/>
        <v>#VALUE!</v>
      </c>
      <c r="DE43" s="1644" t="e">
        <f t="shared" si="49"/>
        <v>#VALUE!</v>
      </c>
      <c r="DF43" s="1644" t="e">
        <f t="shared" si="50"/>
        <v>#VALUE!</v>
      </c>
      <c r="DG43" s="1644" t="e">
        <f t="shared" si="59"/>
        <v>#VALUE!</v>
      </c>
      <c r="DH43" s="1644" t="e">
        <f t="shared" si="51"/>
        <v>#VALUE!</v>
      </c>
      <c r="DI43" s="505" t="e">
        <f t="shared" si="52"/>
        <v>#VALUE!</v>
      </c>
      <c r="DJ43" s="1648" t="e">
        <f t="shared" si="53"/>
        <v>#VALUE!</v>
      </c>
      <c r="DK43" s="521" t="e">
        <f t="shared" si="54"/>
        <v>#VALUE!</v>
      </c>
      <c r="DL43" s="522" t="e">
        <f t="shared" si="55"/>
        <v>#VALUE!</v>
      </c>
      <c r="DN43" s="2034" t="s">
        <v>613</v>
      </c>
      <c r="DO43" s="2034" t="s">
        <v>1692</v>
      </c>
      <c r="DP43" s="2034" t="s">
        <v>1694</v>
      </c>
      <c r="DQ43" s="2034" t="s">
        <v>1693</v>
      </c>
      <c r="DR43" s="2034" t="s">
        <v>15</v>
      </c>
      <c r="EA43" s="1647">
        <f t="shared" si="34"/>
        <v>24.000633322175549</v>
      </c>
      <c r="EB43" s="1671">
        <v>34</v>
      </c>
      <c r="EC43" s="1644">
        <f t="shared" si="24"/>
        <v>297.15063332217551</v>
      </c>
      <c r="ED43" s="1644">
        <f t="shared" si="25"/>
        <v>-32.581440875774611</v>
      </c>
      <c r="EE43" s="1644">
        <f t="shared" si="26"/>
        <v>40.582876513413943</v>
      </c>
      <c r="EF43" s="1644">
        <f t="shared" si="27"/>
        <v>2.9852406359596202</v>
      </c>
      <c r="EG43" s="1644">
        <f t="shared" si="28"/>
        <v>1.0149818162262709</v>
      </c>
      <c r="EH43" s="1644">
        <f t="shared" si="35"/>
        <v>1.8881070919450717E-2</v>
      </c>
      <c r="EI43" s="1644">
        <f t="shared" si="66"/>
        <v>0.33332182357417123</v>
      </c>
      <c r="EJ43" s="505">
        <f t="shared" si="67"/>
        <v>34</v>
      </c>
      <c r="EK43" s="1648">
        <f t="shared" si="68"/>
        <v>40.157253514144379</v>
      </c>
      <c r="EL43" s="521">
        <f t="shared" si="69"/>
        <v>7.2144254630640825</v>
      </c>
      <c r="EM43" s="522">
        <f t="shared" si="70"/>
        <v>6.2934729899045668E-3</v>
      </c>
    </row>
    <row r="44" spans="2:143">
      <c r="B44" s="1847" t="s">
        <v>1286</v>
      </c>
      <c r="C44" s="1848"/>
      <c r="D44" s="1848"/>
      <c r="E44" s="1849"/>
      <c r="M44" s="700"/>
      <c r="N44" s="311" t="s">
        <v>5</v>
      </c>
      <c r="O44" s="341" t="e">
        <f>IF(O43="n/a","n/a",O43*3600)</f>
        <v>#VALUE!</v>
      </c>
      <c r="P44" s="311" t="s">
        <v>156</v>
      </c>
      <c r="Q44" s="311"/>
      <c r="R44" s="1227" t="e">
        <f>IF(O43="n/a","-","[CPD: Ø"&amp;VLOOKUP(MIN(BK39:BK46),BK39:BL46,2,FALSE)&amp;"]")</f>
        <v>#VALUE!</v>
      </c>
      <c r="S44" s="296"/>
      <c r="AT44" s="720"/>
      <c r="AU44" s="324" t="s">
        <v>5</v>
      </c>
      <c r="AV44" s="325" t="str">
        <f>IF(OR(AT43="n/a",AV34="n/a",AY43="n/a -",AZ43="n/a )"),"n/a",AT43/(AY43-AZ43)/AW43)</f>
        <v>n/a</v>
      </c>
      <c r="AW44" s="318" t="s">
        <v>3</v>
      </c>
      <c r="AX44" s="318"/>
      <c r="AY44" s="345" t="str">
        <f>IF(AV44="n/a","-",VLOOKUP(MIN(CH5:CH35),CH5:CI35,2,TRUE))</f>
        <v>-</v>
      </c>
      <c r="AZ44" s="296"/>
      <c r="BA44" s="294"/>
      <c r="BI44" s="294"/>
      <c r="BK44" s="294" t="e">
        <f t="shared" si="60"/>
        <v>#VALUE!</v>
      </c>
      <c r="BL44" s="294">
        <f t="shared" si="61"/>
        <v>200</v>
      </c>
      <c r="BM44" s="294">
        <f t="shared" si="62"/>
        <v>26.8</v>
      </c>
      <c r="BR44" s="294" t="s">
        <v>2451</v>
      </c>
      <c r="BU44" s="293">
        <f>COUNTA(D23)</f>
        <v>0</v>
      </c>
      <c r="BZ44" s="294">
        <f t="shared" si="63"/>
        <v>26.8</v>
      </c>
      <c r="CA44" s="294">
        <f t="shared" si="64"/>
        <v>200</v>
      </c>
      <c r="CB44" s="294">
        <f t="shared" si="65"/>
        <v>26.8</v>
      </c>
      <c r="CE44" s="169">
        <v>0.4</v>
      </c>
      <c r="CF44" s="169">
        <v>2231.3000000000002</v>
      </c>
      <c r="CG44" s="169">
        <f t="shared" si="71"/>
        <v>0</v>
      </c>
      <c r="CH44" s="169"/>
      <c r="CJ44" s="293"/>
      <c r="CK44" s="293"/>
      <c r="CL44" s="1647" t="e">
        <f t="shared" si="56"/>
        <v>#VALUE!</v>
      </c>
      <c r="CM44" s="1671">
        <v>19</v>
      </c>
      <c r="CN44" s="1644" t="e">
        <f t="shared" si="36"/>
        <v>#VALUE!</v>
      </c>
      <c r="CO44" s="1644" t="e">
        <f t="shared" si="37"/>
        <v>#VALUE!</v>
      </c>
      <c r="CP44" s="1644" t="e">
        <f t="shared" si="38"/>
        <v>#VALUE!</v>
      </c>
      <c r="CQ44" s="1644" t="e">
        <f t="shared" si="39"/>
        <v>#VALUE!</v>
      </c>
      <c r="CR44" s="1644" t="e">
        <f t="shared" si="40"/>
        <v>#VALUE!</v>
      </c>
      <c r="CS44" s="1644" t="e">
        <f t="shared" si="57"/>
        <v>#VALUE!</v>
      </c>
      <c r="CT44" s="1644" t="e">
        <f t="shared" si="41"/>
        <v>#VALUE!</v>
      </c>
      <c r="CU44" s="505" t="e">
        <f t="shared" si="42"/>
        <v>#VALUE!</v>
      </c>
      <c r="CV44" s="1648" t="e">
        <f t="shared" si="43"/>
        <v>#VALUE!</v>
      </c>
      <c r="CW44" s="521" t="e">
        <f t="shared" si="44"/>
        <v>#VALUE!</v>
      </c>
      <c r="CX44" s="522" t="e">
        <f t="shared" si="45"/>
        <v>#VALUE!</v>
      </c>
      <c r="CZ44" s="1647" t="e">
        <f t="shared" si="58"/>
        <v>#VALUE!</v>
      </c>
      <c r="DA44" s="1671">
        <v>19</v>
      </c>
      <c r="DB44" s="1644" t="e">
        <f t="shared" si="46"/>
        <v>#VALUE!</v>
      </c>
      <c r="DC44" s="1644" t="e">
        <f t="shared" si="47"/>
        <v>#VALUE!</v>
      </c>
      <c r="DD44" s="1644" t="e">
        <f t="shared" si="48"/>
        <v>#VALUE!</v>
      </c>
      <c r="DE44" s="1644" t="e">
        <f t="shared" si="49"/>
        <v>#VALUE!</v>
      </c>
      <c r="DF44" s="1644" t="e">
        <f t="shared" si="50"/>
        <v>#VALUE!</v>
      </c>
      <c r="DG44" s="1644" t="e">
        <f t="shared" si="59"/>
        <v>#VALUE!</v>
      </c>
      <c r="DH44" s="1644" t="e">
        <f t="shared" si="51"/>
        <v>#VALUE!</v>
      </c>
      <c r="DI44" s="505" t="e">
        <f t="shared" si="52"/>
        <v>#VALUE!</v>
      </c>
      <c r="DJ44" s="1648" t="e">
        <f t="shared" si="53"/>
        <v>#VALUE!</v>
      </c>
      <c r="DK44" s="521" t="e">
        <f t="shared" si="54"/>
        <v>#VALUE!</v>
      </c>
      <c r="DL44" s="522" t="e">
        <f t="shared" si="55"/>
        <v>#VALUE!</v>
      </c>
      <c r="DN44" s="2034"/>
      <c r="DO44" s="2034"/>
      <c r="DP44" s="2034"/>
      <c r="DQ44" s="2034"/>
      <c r="DR44" s="2034"/>
      <c r="EA44" s="1647">
        <f t="shared" si="34"/>
        <v>24.000633322175549</v>
      </c>
      <c r="EB44" s="1671">
        <v>35</v>
      </c>
      <c r="EC44" s="1644">
        <f t="shared" si="24"/>
        <v>297.15063332217551</v>
      </c>
      <c r="ED44" s="1644">
        <f t="shared" si="25"/>
        <v>-32.581440875774611</v>
      </c>
      <c r="EE44" s="1644">
        <f t="shared" si="26"/>
        <v>40.582876513413943</v>
      </c>
      <c r="EF44" s="1644">
        <f t="shared" si="27"/>
        <v>2.9852406359596202</v>
      </c>
      <c r="EG44" s="1644">
        <f t="shared" si="28"/>
        <v>1.0448342225858671</v>
      </c>
      <c r="EH44" s="1644">
        <f t="shared" si="35"/>
        <v>1.8881070919450717E-2</v>
      </c>
      <c r="EI44" s="1644">
        <f t="shared" si="66"/>
        <v>0.34322755163580143</v>
      </c>
      <c r="EJ44" s="505">
        <f t="shared" si="67"/>
        <v>35</v>
      </c>
      <c r="EK44" s="1648">
        <f t="shared" si="68"/>
        <v>40.633119816068088</v>
      </c>
      <c r="EL44" s="521">
        <f t="shared" si="69"/>
        <v>7.6394070701007708</v>
      </c>
      <c r="EM44" s="522">
        <f t="shared" si="70"/>
        <v>6.4805037439449997E-3</v>
      </c>
    </row>
    <row r="45" spans="2:143" ht="12.5">
      <c r="B45" s="2046" t="s">
        <v>1227</v>
      </c>
      <c r="C45" s="2047"/>
      <c r="D45" s="1400">
        <v>2.5</v>
      </c>
      <c r="E45" s="513" t="s">
        <v>1</v>
      </c>
      <c r="L45" s="317"/>
      <c r="T45" s="317"/>
      <c r="AC45" s="317"/>
      <c r="AK45" s="317"/>
      <c r="AL45" s="294"/>
      <c r="AM45" s="294"/>
      <c r="AN45" s="294"/>
      <c r="AO45" s="294"/>
      <c r="AP45" s="294"/>
      <c r="AQ45" s="294"/>
      <c r="AR45" s="294"/>
      <c r="AS45" s="317"/>
      <c r="BA45" s="294"/>
      <c r="BI45" s="294"/>
      <c r="BK45" s="294" t="e">
        <f t="shared" si="60"/>
        <v>#VALUE!</v>
      </c>
      <c r="BL45" s="294">
        <f t="shared" si="61"/>
        <v>225</v>
      </c>
      <c r="BM45" s="294">
        <f t="shared" si="62"/>
        <v>34.799999999999997</v>
      </c>
      <c r="BR45" s="294" t="s">
        <v>2452</v>
      </c>
      <c r="BU45" s="293">
        <f>COUNTA(D24)</f>
        <v>0</v>
      </c>
      <c r="BZ45" s="294">
        <f t="shared" si="63"/>
        <v>34.799999999999997</v>
      </c>
      <c r="CA45" s="294">
        <f t="shared" si="64"/>
        <v>225</v>
      </c>
      <c r="CB45" s="294">
        <f t="shared" si="65"/>
        <v>34.799999999999997</v>
      </c>
      <c r="CE45" s="169">
        <v>0.7</v>
      </c>
      <c r="CF45" s="169">
        <v>2215.4</v>
      </c>
      <c r="CG45" s="169">
        <f t="shared" si="71"/>
        <v>0</v>
      </c>
      <c r="CH45" s="169"/>
      <c r="CJ45" s="293"/>
      <c r="CK45" s="293"/>
      <c r="CL45" s="1647" t="e">
        <f t="shared" si="56"/>
        <v>#VALUE!</v>
      </c>
      <c r="CM45" s="1671">
        <v>20</v>
      </c>
      <c r="CN45" s="1644" t="e">
        <f t="shared" si="36"/>
        <v>#VALUE!</v>
      </c>
      <c r="CO45" s="1644" t="e">
        <f t="shared" si="37"/>
        <v>#VALUE!</v>
      </c>
      <c r="CP45" s="1644" t="e">
        <f t="shared" si="38"/>
        <v>#VALUE!</v>
      </c>
      <c r="CQ45" s="1644" t="e">
        <f t="shared" si="39"/>
        <v>#VALUE!</v>
      </c>
      <c r="CR45" s="1644" t="e">
        <f t="shared" si="40"/>
        <v>#VALUE!</v>
      </c>
      <c r="CS45" s="1644" t="e">
        <f t="shared" si="57"/>
        <v>#VALUE!</v>
      </c>
      <c r="CT45" s="1644" t="e">
        <f t="shared" si="41"/>
        <v>#VALUE!</v>
      </c>
      <c r="CU45" s="505" t="e">
        <f t="shared" si="42"/>
        <v>#VALUE!</v>
      </c>
      <c r="CV45" s="1648" t="e">
        <f t="shared" si="43"/>
        <v>#VALUE!</v>
      </c>
      <c r="CW45" s="521" t="e">
        <f t="shared" si="44"/>
        <v>#VALUE!</v>
      </c>
      <c r="CX45" s="522" t="e">
        <f t="shared" si="45"/>
        <v>#VALUE!</v>
      </c>
      <c r="CZ45" s="1647" t="e">
        <f t="shared" si="58"/>
        <v>#VALUE!</v>
      </c>
      <c r="DA45" s="1671">
        <v>20</v>
      </c>
      <c r="DB45" s="1644" t="e">
        <f t="shared" si="46"/>
        <v>#VALUE!</v>
      </c>
      <c r="DC45" s="1644" t="e">
        <f t="shared" si="47"/>
        <v>#VALUE!</v>
      </c>
      <c r="DD45" s="1644" t="e">
        <f t="shared" si="48"/>
        <v>#VALUE!</v>
      </c>
      <c r="DE45" s="1644" t="e">
        <f t="shared" si="49"/>
        <v>#VALUE!</v>
      </c>
      <c r="DF45" s="1644" t="e">
        <f t="shared" si="50"/>
        <v>#VALUE!</v>
      </c>
      <c r="DG45" s="1644" t="e">
        <f t="shared" si="59"/>
        <v>#VALUE!</v>
      </c>
      <c r="DH45" s="1644" t="e">
        <f t="shared" si="51"/>
        <v>#VALUE!</v>
      </c>
      <c r="DI45" s="505" t="e">
        <f t="shared" si="52"/>
        <v>#VALUE!</v>
      </c>
      <c r="DJ45" s="1648" t="e">
        <f t="shared" si="53"/>
        <v>#VALUE!</v>
      </c>
      <c r="DK45" s="521" t="e">
        <f t="shared" si="54"/>
        <v>#VALUE!</v>
      </c>
      <c r="DL45" s="522" t="e">
        <f t="shared" si="55"/>
        <v>#VALUE!</v>
      </c>
      <c r="DN45" s="1188">
        <v>50</v>
      </c>
      <c r="DO45" s="1189" t="s">
        <v>1688</v>
      </c>
      <c r="DP45" s="34">
        <v>1.1000000000000001</v>
      </c>
      <c r="DQ45" s="34">
        <v>1</v>
      </c>
      <c r="DR45" s="34">
        <v>0.72</v>
      </c>
      <c r="EA45" s="1647">
        <f t="shared" si="34"/>
        <v>24.000633322175549</v>
      </c>
      <c r="EB45" s="1671">
        <v>36</v>
      </c>
      <c r="EC45" s="1644">
        <f t="shared" si="24"/>
        <v>297.15063332217551</v>
      </c>
      <c r="ED45" s="1644">
        <f t="shared" si="25"/>
        <v>-32.581440875774611</v>
      </c>
      <c r="EE45" s="1644">
        <f t="shared" si="26"/>
        <v>40.582876513413943</v>
      </c>
      <c r="EF45" s="1644">
        <f t="shared" si="27"/>
        <v>2.9852406359596202</v>
      </c>
      <c r="EG45" s="1644">
        <f t="shared" si="28"/>
        <v>1.0746866289454633</v>
      </c>
      <c r="EH45" s="1644">
        <f t="shared" si="35"/>
        <v>1.8881070919450717E-2</v>
      </c>
      <c r="EI45" s="1644">
        <f t="shared" si="66"/>
        <v>0.35313917912675891</v>
      </c>
      <c r="EJ45" s="505">
        <f t="shared" si="67"/>
        <v>36</v>
      </c>
      <c r="EK45" s="1648">
        <f t="shared" si="68"/>
        <v>41.109269523673845</v>
      </c>
      <c r="EL45" s="521">
        <f t="shared" si="69"/>
        <v>8.0536401144035938</v>
      </c>
      <c r="EM45" s="522">
        <f t="shared" si="70"/>
        <v>6.6676458855289451E-3</v>
      </c>
    </row>
    <row r="46" spans="2:143" ht="12.5">
      <c r="B46" s="2048" t="s">
        <v>1228</v>
      </c>
      <c r="C46" s="2049"/>
      <c r="D46" s="1401">
        <v>300</v>
      </c>
      <c r="E46" s="513" t="s">
        <v>14</v>
      </c>
      <c r="AL46" s="294"/>
      <c r="AM46" s="294"/>
      <c r="AN46" s="294"/>
      <c r="AO46" s="294"/>
      <c r="AP46" s="294"/>
      <c r="AQ46" s="294"/>
      <c r="AR46" s="294"/>
      <c r="BA46" s="294"/>
      <c r="BI46" s="294"/>
      <c r="BK46" s="294" t="e">
        <f t="shared" si="60"/>
        <v>#VALUE!</v>
      </c>
      <c r="BL46" s="294">
        <f t="shared" si="61"/>
        <v>250</v>
      </c>
      <c r="BM46" s="294">
        <f t="shared" si="62"/>
        <v>42.3</v>
      </c>
      <c r="BR46" s="294" t="s">
        <v>2453</v>
      </c>
      <c r="BU46" s="293">
        <f>COUNTA(D25)</f>
        <v>1</v>
      </c>
      <c r="BZ46" s="294">
        <f t="shared" si="63"/>
        <v>42.3</v>
      </c>
      <c r="CA46" s="294">
        <f t="shared" si="64"/>
        <v>250</v>
      </c>
      <c r="CB46" s="294">
        <f t="shared" si="65"/>
        <v>42.3</v>
      </c>
      <c r="CE46" s="169">
        <v>1</v>
      </c>
      <c r="CF46" s="169">
        <v>2201.1</v>
      </c>
      <c r="CG46" s="169">
        <f t="shared" si="71"/>
        <v>0</v>
      </c>
      <c r="CH46" s="169"/>
      <c r="CJ46" s="293"/>
      <c r="CK46" s="293"/>
      <c r="CL46" s="1647" t="e">
        <f t="shared" si="56"/>
        <v>#VALUE!</v>
      </c>
      <c r="CM46" s="1671">
        <v>21</v>
      </c>
      <c r="CN46" s="1644" t="e">
        <f t="shared" si="36"/>
        <v>#VALUE!</v>
      </c>
      <c r="CO46" s="1644" t="e">
        <f t="shared" si="37"/>
        <v>#VALUE!</v>
      </c>
      <c r="CP46" s="1644" t="e">
        <f t="shared" si="38"/>
        <v>#VALUE!</v>
      </c>
      <c r="CQ46" s="1644" t="e">
        <f t="shared" si="39"/>
        <v>#VALUE!</v>
      </c>
      <c r="CR46" s="1644" t="e">
        <f t="shared" si="40"/>
        <v>#VALUE!</v>
      </c>
      <c r="CS46" s="1644" t="e">
        <f t="shared" si="57"/>
        <v>#VALUE!</v>
      </c>
      <c r="CT46" s="1644" t="e">
        <f t="shared" si="41"/>
        <v>#VALUE!</v>
      </c>
      <c r="CU46" s="505" t="e">
        <f t="shared" si="42"/>
        <v>#VALUE!</v>
      </c>
      <c r="CV46" s="1648" t="e">
        <f t="shared" si="43"/>
        <v>#VALUE!</v>
      </c>
      <c r="CW46" s="521" t="e">
        <f t="shared" si="44"/>
        <v>#VALUE!</v>
      </c>
      <c r="CX46" s="522" t="e">
        <f t="shared" si="45"/>
        <v>#VALUE!</v>
      </c>
      <c r="CZ46" s="1647" t="e">
        <f t="shared" si="58"/>
        <v>#VALUE!</v>
      </c>
      <c r="DA46" s="1671">
        <v>21</v>
      </c>
      <c r="DB46" s="1644" t="e">
        <f t="shared" si="46"/>
        <v>#VALUE!</v>
      </c>
      <c r="DC46" s="1644" t="e">
        <f t="shared" si="47"/>
        <v>#VALUE!</v>
      </c>
      <c r="DD46" s="1644" t="e">
        <f t="shared" si="48"/>
        <v>#VALUE!</v>
      </c>
      <c r="DE46" s="1644" t="e">
        <f t="shared" si="49"/>
        <v>#VALUE!</v>
      </c>
      <c r="DF46" s="1644" t="e">
        <f t="shared" si="50"/>
        <v>#VALUE!</v>
      </c>
      <c r="DG46" s="1644" t="e">
        <f t="shared" si="59"/>
        <v>#VALUE!</v>
      </c>
      <c r="DH46" s="1644" t="e">
        <f t="shared" si="51"/>
        <v>#VALUE!</v>
      </c>
      <c r="DI46" s="505" t="e">
        <f t="shared" si="52"/>
        <v>#VALUE!</v>
      </c>
      <c r="DJ46" s="1648" t="e">
        <f t="shared" si="53"/>
        <v>#VALUE!</v>
      </c>
      <c r="DK46" s="521" t="e">
        <f t="shared" si="54"/>
        <v>#VALUE!</v>
      </c>
      <c r="DL46" s="522" t="e">
        <f t="shared" si="55"/>
        <v>#VALUE!</v>
      </c>
      <c r="DN46" s="1188">
        <v>65</v>
      </c>
      <c r="DO46" s="1189" t="s">
        <v>1688</v>
      </c>
      <c r="DP46" s="34">
        <v>2.2000000000000002</v>
      </c>
      <c r="DQ46" s="34">
        <v>2</v>
      </c>
      <c r="DR46" s="34">
        <v>0.85</v>
      </c>
      <c r="EA46" s="1647">
        <f t="shared" si="34"/>
        <v>24.000633322175549</v>
      </c>
      <c r="EB46" s="1671">
        <v>37</v>
      </c>
      <c r="EC46" s="1644">
        <f t="shared" si="24"/>
        <v>297.15063332217551</v>
      </c>
      <c r="ED46" s="1644">
        <f t="shared" si="25"/>
        <v>-32.581440875774611</v>
      </c>
      <c r="EE46" s="1644">
        <f t="shared" si="26"/>
        <v>40.582876513413943</v>
      </c>
      <c r="EF46" s="1644">
        <f t="shared" si="27"/>
        <v>2.9852406359596202</v>
      </c>
      <c r="EG46" s="1644">
        <f t="shared" si="28"/>
        <v>1.1045390353050595</v>
      </c>
      <c r="EH46" s="1644">
        <f t="shared" si="35"/>
        <v>1.8881070919450717E-2</v>
      </c>
      <c r="EI46" s="1644">
        <f t="shared" si="66"/>
        <v>0.36305671131878642</v>
      </c>
      <c r="EJ46" s="505">
        <f t="shared" si="67"/>
        <v>37</v>
      </c>
      <c r="EK46" s="1648">
        <f t="shared" si="68"/>
        <v>41.585702890213568</v>
      </c>
      <c r="EL46" s="521">
        <f t="shared" si="69"/>
        <v>8.4576928712372368</v>
      </c>
      <c r="EM46" s="522">
        <f t="shared" si="70"/>
        <v>6.8548995141925516E-3</v>
      </c>
    </row>
    <row r="47" spans="2:143" ht="12.5">
      <c r="BA47" s="294"/>
      <c r="BI47" s="294"/>
      <c r="CE47" s="169">
        <v>2</v>
      </c>
      <c r="CF47" s="169">
        <v>2163.3000000000002</v>
      </c>
      <c r="CG47" s="169">
        <f t="shared" si="71"/>
        <v>0</v>
      </c>
      <c r="CH47" s="169"/>
      <c r="CJ47" s="293"/>
      <c r="CK47" s="293"/>
      <c r="CL47" s="1647" t="e">
        <f t="shared" si="56"/>
        <v>#VALUE!</v>
      </c>
      <c r="CM47" s="1671">
        <v>22</v>
      </c>
      <c r="CN47" s="1644" t="e">
        <f t="shared" si="36"/>
        <v>#VALUE!</v>
      </c>
      <c r="CO47" s="1644" t="e">
        <f t="shared" si="37"/>
        <v>#VALUE!</v>
      </c>
      <c r="CP47" s="1644" t="e">
        <f t="shared" si="38"/>
        <v>#VALUE!</v>
      </c>
      <c r="CQ47" s="1644" t="e">
        <f t="shared" si="39"/>
        <v>#VALUE!</v>
      </c>
      <c r="CR47" s="1644" t="e">
        <f t="shared" si="40"/>
        <v>#VALUE!</v>
      </c>
      <c r="CS47" s="1644" t="e">
        <f t="shared" si="57"/>
        <v>#VALUE!</v>
      </c>
      <c r="CT47" s="1644" t="e">
        <f t="shared" si="41"/>
        <v>#VALUE!</v>
      </c>
      <c r="CU47" s="505" t="e">
        <f t="shared" si="42"/>
        <v>#VALUE!</v>
      </c>
      <c r="CV47" s="1648" t="e">
        <f t="shared" si="43"/>
        <v>#VALUE!</v>
      </c>
      <c r="CW47" s="521" t="e">
        <f t="shared" si="44"/>
        <v>#VALUE!</v>
      </c>
      <c r="CX47" s="522" t="e">
        <f t="shared" si="45"/>
        <v>#VALUE!</v>
      </c>
      <c r="CZ47" s="1647" t="e">
        <f t="shared" si="58"/>
        <v>#VALUE!</v>
      </c>
      <c r="DA47" s="1671">
        <v>22</v>
      </c>
      <c r="DB47" s="1644" t="e">
        <f t="shared" si="46"/>
        <v>#VALUE!</v>
      </c>
      <c r="DC47" s="1644" t="e">
        <f t="shared" si="47"/>
        <v>#VALUE!</v>
      </c>
      <c r="DD47" s="1644" t="e">
        <f t="shared" si="48"/>
        <v>#VALUE!</v>
      </c>
      <c r="DE47" s="1644" t="e">
        <f t="shared" si="49"/>
        <v>#VALUE!</v>
      </c>
      <c r="DF47" s="1644" t="e">
        <f t="shared" si="50"/>
        <v>#VALUE!</v>
      </c>
      <c r="DG47" s="1644" t="e">
        <f t="shared" si="59"/>
        <v>#VALUE!</v>
      </c>
      <c r="DH47" s="1644" t="e">
        <f t="shared" si="51"/>
        <v>#VALUE!</v>
      </c>
      <c r="DI47" s="505" t="e">
        <f t="shared" si="52"/>
        <v>#VALUE!</v>
      </c>
      <c r="DJ47" s="1648" t="e">
        <f t="shared" si="53"/>
        <v>#VALUE!</v>
      </c>
      <c r="DK47" s="521" t="e">
        <f t="shared" si="54"/>
        <v>#VALUE!</v>
      </c>
      <c r="DL47" s="522" t="e">
        <f t="shared" si="55"/>
        <v>#VALUE!</v>
      </c>
      <c r="DN47" s="1188">
        <v>80</v>
      </c>
      <c r="DO47" s="1189" t="s">
        <v>1688</v>
      </c>
      <c r="DP47" s="34">
        <v>3.8</v>
      </c>
      <c r="DQ47" s="34">
        <v>3.5</v>
      </c>
      <c r="DR47" s="34">
        <v>0.98</v>
      </c>
      <c r="EA47" s="1647">
        <f t="shared" si="34"/>
        <v>24.000633322175549</v>
      </c>
      <c r="EB47" s="1671">
        <v>38</v>
      </c>
      <c r="EC47" s="1644">
        <f t="shared" si="24"/>
        <v>297.15063332217551</v>
      </c>
      <c r="ED47" s="1644">
        <f t="shared" si="25"/>
        <v>-32.581440875774611</v>
      </c>
      <c r="EE47" s="1644">
        <f t="shared" si="26"/>
        <v>40.582876513413943</v>
      </c>
      <c r="EF47" s="1644">
        <f t="shared" si="27"/>
        <v>2.9852406359596202</v>
      </c>
      <c r="EG47" s="1644">
        <f t="shared" si="28"/>
        <v>1.1343914416646557</v>
      </c>
      <c r="EH47" s="1644">
        <f t="shared" si="35"/>
        <v>1.8881070919450717E-2</v>
      </c>
      <c r="EI47" s="1644">
        <f t="shared" si="66"/>
        <v>0.37298015348990943</v>
      </c>
      <c r="EJ47" s="505">
        <f t="shared" si="67"/>
        <v>38</v>
      </c>
      <c r="EK47" s="1648">
        <f t="shared" si="68"/>
        <v>42.062420169241008</v>
      </c>
      <c r="EL47" s="521">
        <f t="shared" si="69"/>
        <v>8.8520889188118925</v>
      </c>
      <c r="EM47" s="522">
        <f t="shared" si="70"/>
        <v>7.042264729590594E-3</v>
      </c>
    </row>
    <row r="48" spans="2:143" ht="12.5">
      <c r="BA48" s="294"/>
      <c r="BI48" s="294"/>
      <c r="CE48" s="169">
        <v>3</v>
      </c>
      <c r="CF48" s="169">
        <v>2133.4</v>
      </c>
      <c r="CG48" s="169">
        <f t="shared" si="71"/>
        <v>0</v>
      </c>
      <c r="CH48" s="169"/>
      <c r="CJ48" s="293"/>
      <c r="CK48" s="293"/>
      <c r="CL48" s="1647" t="e">
        <f t="shared" si="56"/>
        <v>#VALUE!</v>
      </c>
      <c r="CM48" s="1671">
        <v>23</v>
      </c>
      <c r="CN48" s="1644" t="e">
        <f t="shared" si="36"/>
        <v>#VALUE!</v>
      </c>
      <c r="CO48" s="1644" t="e">
        <f t="shared" si="37"/>
        <v>#VALUE!</v>
      </c>
      <c r="CP48" s="1644" t="e">
        <f t="shared" si="38"/>
        <v>#VALUE!</v>
      </c>
      <c r="CQ48" s="1644" t="e">
        <f t="shared" si="39"/>
        <v>#VALUE!</v>
      </c>
      <c r="CR48" s="1644" t="e">
        <f t="shared" si="40"/>
        <v>#VALUE!</v>
      </c>
      <c r="CS48" s="1644" t="e">
        <f t="shared" si="57"/>
        <v>#VALUE!</v>
      </c>
      <c r="CT48" s="1644" t="e">
        <f t="shared" si="41"/>
        <v>#VALUE!</v>
      </c>
      <c r="CU48" s="505" t="e">
        <f t="shared" si="42"/>
        <v>#VALUE!</v>
      </c>
      <c r="CV48" s="1648" t="e">
        <f t="shared" si="43"/>
        <v>#VALUE!</v>
      </c>
      <c r="CW48" s="521" t="e">
        <f t="shared" si="44"/>
        <v>#VALUE!</v>
      </c>
      <c r="CX48" s="522" t="e">
        <f t="shared" si="45"/>
        <v>#VALUE!</v>
      </c>
      <c r="CZ48" s="1647" t="e">
        <f t="shared" si="58"/>
        <v>#VALUE!</v>
      </c>
      <c r="DA48" s="1671">
        <v>23</v>
      </c>
      <c r="DB48" s="1644" t="e">
        <f t="shared" si="46"/>
        <v>#VALUE!</v>
      </c>
      <c r="DC48" s="1644" t="e">
        <f t="shared" si="47"/>
        <v>#VALUE!</v>
      </c>
      <c r="DD48" s="1644" t="e">
        <f t="shared" si="48"/>
        <v>#VALUE!</v>
      </c>
      <c r="DE48" s="1644" t="e">
        <f t="shared" si="49"/>
        <v>#VALUE!</v>
      </c>
      <c r="DF48" s="1644" t="e">
        <f t="shared" si="50"/>
        <v>#VALUE!</v>
      </c>
      <c r="DG48" s="1644" t="e">
        <f t="shared" si="59"/>
        <v>#VALUE!</v>
      </c>
      <c r="DH48" s="1644" t="e">
        <f t="shared" si="51"/>
        <v>#VALUE!</v>
      </c>
      <c r="DI48" s="505" t="e">
        <f t="shared" si="52"/>
        <v>#VALUE!</v>
      </c>
      <c r="DJ48" s="1648" t="e">
        <f t="shared" si="53"/>
        <v>#VALUE!</v>
      </c>
      <c r="DK48" s="521" t="e">
        <f t="shared" si="54"/>
        <v>#VALUE!</v>
      </c>
      <c r="DL48" s="522" t="e">
        <f t="shared" si="55"/>
        <v>#VALUE!</v>
      </c>
      <c r="DN48" s="1188">
        <v>100</v>
      </c>
      <c r="DO48" s="1189" t="s">
        <v>1688</v>
      </c>
      <c r="DP48" s="34">
        <v>6.9</v>
      </c>
      <c r="DQ48" s="34">
        <v>6.3</v>
      </c>
      <c r="DR48" s="34">
        <v>1.1399999999999999</v>
      </c>
      <c r="EA48" s="1647">
        <f t="shared" si="34"/>
        <v>24.000633322175549</v>
      </c>
      <c r="EB48" s="1671">
        <v>39</v>
      </c>
      <c r="EC48" s="1644">
        <f t="shared" si="24"/>
        <v>297.15063332217551</v>
      </c>
      <c r="ED48" s="1644">
        <f t="shared" si="25"/>
        <v>-32.581440875774611</v>
      </c>
      <c r="EE48" s="1644">
        <f t="shared" si="26"/>
        <v>40.582876513413943</v>
      </c>
      <c r="EF48" s="1644">
        <f t="shared" si="27"/>
        <v>2.9852406359596202</v>
      </c>
      <c r="EG48" s="1644">
        <f t="shared" si="28"/>
        <v>1.1642438480242518</v>
      </c>
      <c r="EH48" s="1644">
        <f t="shared" si="35"/>
        <v>1.8881070919450717E-2</v>
      </c>
      <c r="EI48" s="1644">
        <f t="shared" si="66"/>
        <v>0.38290951092444625</v>
      </c>
      <c r="EJ48" s="505">
        <f t="shared" si="67"/>
        <v>39</v>
      </c>
      <c r="EK48" s="1648">
        <f t="shared" si="68"/>
        <v>42.539421614612216</v>
      </c>
      <c r="EL48" s="521">
        <f t="shared" si="69"/>
        <v>9.2373117399167324</v>
      </c>
      <c r="EM48" s="522">
        <f t="shared" si="70"/>
        <v>7.2297416314966584E-3</v>
      </c>
    </row>
    <row r="49" spans="12:143" ht="12.5">
      <c r="L49" s="297"/>
      <c r="T49" s="297"/>
      <c r="AC49" s="297"/>
      <c r="AK49" s="297"/>
      <c r="AL49" s="297"/>
      <c r="AM49" s="297"/>
      <c r="AN49" s="297"/>
      <c r="AO49" s="297"/>
      <c r="AP49" s="297"/>
      <c r="AQ49" s="297"/>
      <c r="AR49" s="297"/>
      <c r="AS49" s="297"/>
      <c r="BA49" s="294"/>
      <c r="BI49" s="294"/>
      <c r="CE49" s="169">
        <v>4</v>
      </c>
      <c r="CF49" s="169">
        <v>2108.1</v>
      </c>
      <c r="CG49" s="169">
        <f t="shared" si="71"/>
        <v>0</v>
      </c>
      <c r="CH49" s="169"/>
      <c r="CJ49" s="293"/>
      <c r="CK49" s="293"/>
      <c r="CL49" s="1647" t="e">
        <f t="shared" si="56"/>
        <v>#VALUE!</v>
      </c>
      <c r="CM49" s="1671">
        <v>24</v>
      </c>
      <c r="CN49" s="1644" t="e">
        <f t="shared" si="36"/>
        <v>#VALUE!</v>
      </c>
      <c r="CO49" s="1644" t="e">
        <f t="shared" si="37"/>
        <v>#VALUE!</v>
      </c>
      <c r="CP49" s="1644" t="e">
        <f t="shared" si="38"/>
        <v>#VALUE!</v>
      </c>
      <c r="CQ49" s="1644" t="e">
        <f t="shared" si="39"/>
        <v>#VALUE!</v>
      </c>
      <c r="CR49" s="1644" t="e">
        <f t="shared" si="40"/>
        <v>#VALUE!</v>
      </c>
      <c r="CS49" s="1644" t="e">
        <f t="shared" si="57"/>
        <v>#VALUE!</v>
      </c>
      <c r="CT49" s="1644" t="e">
        <f t="shared" si="41"/>
        <v>#VALUE!</v>
      </c>
      <c r="CU49" s="505" t="e">
        <f t="shared" si="42"/>
        <v>#VALUE!</v>
      </c>
      <c r="CV49" s="1648" t="e">
        <f t="shared" si="43"/>
        <v>#VALUE!</v>
      </c>
      <c r="CW49" s="521" t="e">
        <f t="shared" si="44"/>
        <v>#VALUE!</v>
      </c>
      <c r="CX49" s="522" t="e">
        <f t="shared" si="45"/>
        <v>#VALUE!</v>
      </c>
      <c r="CZ49" s="1647" t="e">
        <f t="shared" si="58"/>
        <v>#VALUE!</v>
      </c>
      <c r="DA49" s="1671">
        <v>24</v>
      </c>
      <c r="DB49" s="1644" t="e">
        <f t="shared" si="46"/>
        <v>#VALUE!</v>
      </c>
      <c r="DC49" s="1644" t="e">
        <f t="shared" si="47"/>
        <v>#VALUE!</v>
      </c>
      <c r="DD49" s="1644" t="e">
        <f t="shared" si="48"/>
        <v>#VALUE!</v>
      </c>
      <c r="DE49" s="1644" t="e">
        <f t="shared" si="49"/>
        <v>#VALUE!</v>
      </c>
      <c r="DF49" s="1644" t="e">
        <f t="shared" si="50"/>
        <v>#VALUE!</v>
      </c>
      <c r="DG49" s="1644" t="e">
        <f t="shared" si="59"/>
        <v>#VALUE!</v>
      </c>
      <c r="DH49" s="1644" t="e">
        <f t="shared" si="51"/>
        <v>#VALUE!</v>
      </c>
      <c r="DI49" s="505" t="e">
        <f t="shared" si="52"/>
        <v>#VALUE!</v>
      </c>
      <c r="DJ49" s="1648" t="e">
        <f t="shared" si="53"/>
        <v>#VALUE!</v>
      </c>
      <c r="DK49" s="521" t="e">
        <f t="shared" si="54"/>
        <v>#VALUE!</v>
      </c>
      <c r="DL49" s="522" t="e">
        <f t="shared" si="55"/>
        <v>#VALUE!</v>
      </c>
      <c r="DN49" s="1188">
        <v>150</v>
      </c>
      <c r="DO49" s="1189" t="s">
        <v>1687</v>
      </c>
      <c r="DP49" s="34">
        <v>20.3</v>
      </c>
      <c r="DQ49" s="34">
        <v>14.1</v>
      </c>
      <c r="DR49" s="34">
        <v>1.1200000000000001</v>
      </c>
      <c r="EA49" s="1647">
        <f t="shared" si="34"/>
        <v>24.000633322175549</v>
      </c>
      <c r="EB49" s="1671">
        <v>40</v>
      </c>
      <c r="EC49" s="1644">
        <f t="shared" si="24"/>
        <v>297.15063332217551</v>
      </c>
      <c r="ED49" s="1644">
        <f t="shared" si="25"/>
        <v>-32.581440875774611</v>
      </c>
      <c r="EE49" s="1644">
        <f t="shared" si="26"/>
        <v>40.582876513413943</v>
      </c>
      <c r="EF49" s="1644">
        <f t="shared" si="27"/>
        <v>2.9852406359596202</v>
      </c>
      <c r="EG49" s="1644">
        <f t="shared" si="28"/>
        <v>1.194096254383848</v>
      </c>
      <c r="EH49" s="1644">
        <f t="shared" si="35"/>
        <v>1.8881070919450717E-2</v>
      </c>
      <c r="EI49" s="1644">
        <f t="shared" si="66"/>
        <v>0.39284478891301655</v>
      </c>
      <c r="EJ49" s="505">
        <f t="shared" si="67"/>
        <v>40</v>
      </c>
      <c r="EK49" s="1648">
        <f t="shared" si="68"/>
        <v>43.016707480485962</v>
      </c>
      <c r="EL49" s="521">
        <f t="shared" si="69"/>
        <v>9.6138087440352056</v>
      </c>
      <c r="EM49" s="522">
        <f t="shared" si="70"/>
        <v>7.4173303198033121E-3</v>
      </c>
    </row>
    <row r="50" spans="12:143" ht="12.5">
      <c r="L50" s="317"/>
      <c r="T50" s="297"/>
      <c r="AC50" s="297"/>
      <c r="AK50" s="297"/>
      <c r="AL50" s="297"/>
      <c r="AM50" s="297"/>
      <c r="AN50" s="297"/>
      <c r="AO50" s="297"/>
      <c r="AP50" s="297"/>
      <c r="AQ50" s="297"/>
      <c r="AR50" s="297"/>
      <c r="AS50" s="297"/>
      <c r="BA50" s="294"/>
      <c r="BI50" s="294"/>
      <c r="CE50" s="169">
        <v>5</v>
      </c>
      <c r="CF50" s="169">
        <v>2086</v>
      </c>
      <c r="CG50" s="169">
        <f t="shared" si="71"/>
        <v>0</v>
      </c>
      <c r="CH50" s="169"/>
      <c r="CJ50" s="293"/>
      <c r="CK50" s="293"/>
      <c r="CL50" s="1647" t="e">
        <f t="shared" si="56"/>
        <v>#VALUE!</v>
      </c>
      <c r="CM50" s="1671">
        <v>25</v>
      </c>
      <c r="CN50" s="1644" t="e">
        <f t="shared" si="36"/>
        <v>#VALUE!</v>
      </c>
      <c r="CO50" s="1644" t="e">
        <f t="shared" si="37"/>
        <v>#VALUE!</v>
      </c>
      <c r="CP50" s="1644" t="e">
        <f t="shared" si="38"/>
        <v>#VALUE!</v>
      </c>
      <c r="CQ50" s="1644" t="e">
        <f t="shared" si="39"/>
        <v>#VALUE!</v>
      </c>
      <c r="CR50" s="1644" t="e">
        <f t="shared" si="40"/>
        <v>#VALUE!</v>
      </c>
      <c r="CS50" s="1644" t="e">
        <f t="shared" si="57"/>
        <v>#VALUE!</v>
      </c>
      <c r="CT50" s="1644" t="e">
        <f t="shared" si="41"/>
        <v>#VALUE!</v>
      </c>
      <c r="CU50" s="505" t="e">
        <f t="shared" si="42"/>
        <v>#VALUE!</v>
      </c>
      <c r="CV50" s="1648" t="e">
        <f t="shared" si="43"/>
        <v>#VALUE!</v>
      </c>
      <c r="CW50" s="521" t="e">
        <f t="shared" si="44"/>
        <v>#VALUE!</v>
      </c>
      <c r="CX50" s="522" t="e">
        <f t="shared" si="45"/>
        <v>#VALUE!</v>
      </c>
      <c r="CZ50" s="1647" t="e">
        <f t="shared" si="58"/>
        <v>#VALUE!</v>
      </c>
      <c r="DA50" s="1671">
        <v>25</v>
      </c>
      <c r="DB50" s="1644" t="e">
        <f t="shared" si="46"/>
        <v>#VALUE!</v>
      </c>
      <c r="DC50" s="1644" t="e">
        <f t="shared" si="47"/>
        <v>#VALUE!</v>
      </c>
      <c r="DD50" s="1644" t="e">
        <f t="shared" si="48"/>
        <v>#VALUE!</v>
      </c>
      <c r="DE50" s="1644" t="e">
        <f t="shared" si="49"/>
        <v>#VALUE!</v>
      </c>
      <c r="DF50" s="1644" t="e">
        <f t="shared" si="50"/>
        <v>#VALUE!</v>
      </c>
      <c r="DG50" s="1644" t="e">
        <f t="shared" si="59"/>
        <v>#VALUE!</v>
      </c>
      <c r="DH50" s="1644" t="e">
        <f t="shared" si="51"/>
        <v>#VALUE!</v>
      </c>
      <c r="DI50" s="505" t="e">
        <f t="shared" si="52"/>
        <v>#VALUE!</v>
      </c>
      <c r="DJ50" s="1648" t="e">
        <f t="shared" si="53"/>
        <v>#VALUE!</v>
      </c>
      <c r="DK50" s="521" t="e">
        <f t="shared" si="54"/>
        <v>#VALUE!</v>
      </c>
      <c r="DL50" s="522" t="e">
        <f t="shared" si="55"/>
        <v>#VALUE!</v>
      </c>
      <c r="DN50" s="1188">
        <v>200</v>
      </c>
      <c r="DO50" s="1189" t="s">
        <v>1689</v>
      </c>
      <c r="DP50" s="34">
        <v>43.8</v>
      </c>
      <c r="DQ50" s="34">
        <v>26.8</v>
      </c>
      <c r="DR50" s="34">
        <v>1.2</v>
      </c>
      <c r="EA50" s="1647">
        <f t="shared" si="34"/>
        <v>24.000633322175549</v>
      </c>
      <c r="EB50" s="1671">
        <v>41</v>
      </c>
      <c r="EC50" s="1644">
        <f t="shared" si="24"/>
        <v>297.15063332217551</v>
      </c>
      <c r="ED50" s="1644">
        <f t="shared" si="25"/>
        <v>-32.581440875774611</v>
      </c>
      <c r="EE50" s="1644">
        <f t="shared" si="26"/>
        <v>40.582876513413943</v>
      </c>
      <c r="EF50" s="1644">
        <f t="shared" si="27"/>
        <v>2.9852406359596202</v>
      </c>
      <c r="EG50" s="1644">
        <f t="shared" si="28"/>
        <v>1.2239486607434442</v>
      </c>
      <c r="EH50" s="1644">
        <f t="shared" si="35"/>
        <v>1.8881070919450717E-2</v>
      </c>
      <c r="EI50" s="1644">
        <f t="shared" si="66"/>
        <v>0.40278599275255134</v>
      </c>
      <c r="EJ50" s="505">
        <f t="shared" si="67"/>
        <v>41</v>
      </c>
      <c r="EK50" s="1648">
        <f t="shared" si="68"/>
        <v>43.494278021324192</v>
      </c>
      <c r="EL50" s="521">
        <f t="shared" si="69"/>
        <v>9.9819947955584922</v>
      </c>
      <c r="EM50" s="522">
        <f t="shared" si="70"/>
        <v>7.605030894522284E-3</v>
      </c>
    </row>
    <row r="51" spans="12:143" ht="12.5">
      <c r="T51" s="297"/>
      <c r="AC51" s="297"/>
      <c r="AK51" s="297"/>
      <c r="AL51" s="297"/>
      <c r="AM51" s="297"/>
      <c r="AN51" s="297"/>
      <c r="AO51" s="297"/>
      <c r="AP51" s="297"/>
      <c r="AQ51" s="297"/>
      <c r="AR51" s="297"/>
      <c r="AS51" s="297"/>
      <c r="BA51" s="294"/>
      <c r="BI51" s="294"/>
      <c r="CE51" s="169">
        <v>6</v>
      </c>
      <c r="CF51" s="169">
        <v>2066</v>
      </c>
      <c r="CG51" s="169">
        <f t="shared" si="71"/>
        <v>0</v>
      </c>
      <c r="CH51" s="169"/>
      <c r="CJ51" s="293"/>
      <c r="CK51" s="293"/>
      <c r="CL51" s="1647" t="e">
        <f t="shared" si="56"/>
        <v>#VALUE!</v>
      </c>
      <c r="CM51" s="1671">
        <v>26</v>
      </c>
      <c r="CN51" s="1644" t="e">
        <f t="shared" si="36"/>
        <v>#VALUE!</v>
      </c>
      <c r="CO51" s="1644" t="e">
        <f t="shared" si="37"/>
        <v>#VALUE!</v>
      </c>
      <c r="CP51" s="1644" t="e">
        <f t="shared" si="38"/>
        <v>#VALUE!</v>
      </c>
      <c r="CQ51" s="1644" t="e">
        <f t="shared" si="39"/>
        <v>#VALUE!</v>
      </c>
      <c r="CR51" s="1644" t="e">
        <f t="shared" si="40"/>
        <v>#VALUE!</v>
      </c>
      <c r="CS51" s="1644" t="e">
        <f t="shared" si="57"/>
        <v>#VALUE!</v>
      </c>
      <c r="CT51" s="1644" t="e">
        <f t="shared" si="41"/>
        <v>#VALUE!</v>
      </c>
      <c r="CU51" s="505" t="e">
        <f t="shared" si="42"/>
        <v>#VALUE!</v>
      </c>
      <c r="CV51" s="1648" t="e">
        <f t="shared" si="43"/>
        <v>#VALUE!</v>
      </c>
      <c r="CW51" s="521" t="e">
        <f t="shared" si="44"/>
        <v>#VALUE!</v>
      </c>
      <c r="CX51" s="522" t="e">
        <f t="shared" si="45"/>
        <v>#VALUE!</v>
      </c>
      <c r="CZ51" s="1647" t="e">
        <f t="shared" si="58"/>
        <v>#VALUE!</v>
      </c>
      <c r="DA51" s="1671">
        <v>26</v>
      </c>
      <c r="DB51" s="1644" t="e">
        <f t="shared" si="46"/>
        <v>#VALUE!</v>
      </c>
      <c r="DC51" s="1644" t="e">
        <f t="shared" si="47"/>
        <v>#VALUE!</v>
      </c>
      <c r="DD51" s="1644" t="e">
        <f t="shared" si="48"/>
        <v>#VALUE!</v>
      </c>
      <c r="DE51" s="1644" t="e">
        <f t="shared" si="49"/>
        <v>#VALUE!</v>
      </c>
      <c r="DF51" s="1644" t="e">
        <f t="shared" si="50"/>
        <v>#VALUE!</v>
      </c>
      <c r="DG51" s="1644" t="e">
        <f t="shared" si="59"/>
        <v>#VALUE!</v>
      </c>
      <c r="DH51" s="1644" t="e">
        <f t="shared" si="51"/>
        <v>#VALUE!</v>
      </c>
      <c r="DI51" s="505" t="e">
        <f t="shared" si="52"/>
        <v>#VALUE!</v>
      </c>
      <c r="DJ51" s="1648" t="e">
        <f t="shared" si="53"/>
        <v>#VALUE!</v>
      </c>
      <c r="DK51" s="521" t="e">
        <f t="shared" si="54"/>
        <v>#VALUE!</v>
      </c>
      <c r="DL51" s="522" t="e">
        <f t="shared" si="55"/>
        <v>#VALUE!</v>
      </c>
      <c r="DN51" s="1188">
        <v>225</v>
      </c>
      <c r="DO51" s="1189" t="s">
        <v>1690</v>
      </c>
      <c r="DP51" s="34">
        <v>59.9</v>
      </c>
      <c r="DQ51" s="34">
        <v>34.799999999999997</v>
      </c>
      <c r="DR51" s="34">
        <v>1.23</v>
      </c>
      <c r="EA51" s="1647">
        <f t="shared" si="34"/>
        <v>24.000633322175549</v>
      </c>
      <c r="EB51" s="1671">
        <v>42</v>
      </c>
      <c r="EC51" s="1644">
        <f t="shared" si="24"/>
        <v>297.15063332217551</v>
      </c>
      <c r="ED51" s="1644">
        <f t="shared" si="25"/>
        <v>-32.581440875774611</v>
      </c>
      <c r="EE51" s="1644">
        <f t="shared" si="26"/>
        <v>40.582876513413943</v>
      </c>
      <c r="EF51" s="1644">
        <f t="shared" si="27"/>
        <v>2.9852406359596202</v>
      </c>
      <c r="EG51" s="1644">
        <f t="shared" si="28"/>
        <v>1.2538010671030404</v>
      </c>
      <c r="EH51" s="1644">
        <f t="shared" si="35"/>
        <v>1.8881070919450717E-2</v>
      </c>
      <c r="EI51" s="1644">
        <f t="shared" si="66"/>
        <v>0.41273312774630205</v>
      </c>
      <c r="EJ51" s="505">
        <f t="shared" si="67"/>
        <v>42</v>
      </c>
      <c r="EK51" s="1648">
        <f t="shared" si="68"/>
        <v>43.972133491892514</v>
      </c>
      <c r="EL51" s="521">
        <f t="shared" si="69"/>
        <v>10.342255319291331</v>
      </c>
      <c r="EM51" s="522">
        <f t="shared" si="70"/>
        <v>7.7928434557846416E-3</v>
      </c>
    </row>
    <row r="52" spans="12:143" ht="12.5">
      <c r="T52" s="297"/>
      <c r="AC52" s="297"/>
      <c r="AK52" s="297"/>
      <c r="AL52" s="297"/>
      <c r="AM52" s="297"/>
      <c r="AN52" s="297"/>
      <c r="AO52" s="297"/>
      <c r="AP52" s="297"/>
      <c r="AQ52" s="297"/>
      <c r="AR52" s="297"/>
      <c r="AS52" s="297"/>
      <c r="BA52" s="294"/>
      <c r="BB52" s="294"/>
      <c r="BC52" s="294"/>
      <c r="BD52" s="294"/>
      <c r="BE52" s="294"/>
      <c r="BF52" s="294"/>
      <c r="BG52" s="294"/>
      <c r="BH52" s="294"/>
      <c r="BI52" s="294"/>
      <c r="CE52" s="169">
        <v>7</v>
      </c>
      <c r="CF52" s="169">
        <v>2047.7</v>
      </c>
      <c r="CG52" s="169">
        <f t="shared" si="71"/>
        <v>0</v>
      </c>
      <c r="CH52" s="169"/>
      <c r="CJ52" s="293"/>
      <c r="CK52" s="293"/>
      <c r="CL52" s="1647" t="e">
        <f t="shared" si="56"/>
        <v>#VALUE!</v>
      </c>
      <c r="CM52" s="1671">
        <v>27</v>
      </c>
      <c r="CN52" s="1644" t="e">
        <f t="shared" si="36"/>
        <v>#VALUE!</v>
      </c>
      <c r="CO52" s="1644" t="e">
        <f t="shared" si="37"/>
        <v>#VALUE!</v>
      </c>
      <c r="CP52" s="1644" t="e">
        <f t="shared" si="38"/>
        <v>#VALUE!</v>
      </c>
      <c r="CQ52" s="1644" t="e">
        <f t="shared" si="39"/>
        <v>#VALUE!</v>
      </c>
      <c r="CR52" s="1644" t="e">
        <f t="shared" si="40"/>
        <v>#VALUE!</v>
      </c>
      <c r="CS52" s="1644" t="e">
        <f t="shared" si="57"/>
        <v>#VALUE!</v>
      </c>
      <c r="CT52" s="1644" t="e">
        <f t="shared" si="41"/>
        <v>#VALUE!</v>
      </c>
      <c r="CU52" s="505" t="e">
        <f t="shared" si="42"/>
        <v>#VALUE!</v>
      </c>
      <c r="CV52" s="1648" t="e">
        <f t="shared" si="43"/>
        <v>#VALUE!</v>
      </c>
      <c r="CW52" s="521" t="e">
        <f t="shared" si="44"/>
        <v>#VALUE!</v>
      </c>
      <c r="CX52" s="522" t="e">
        <f t="shared" si="45"/>
        <v>#VALUE!</v>
      </c>
      <c r="CZ52" s="1647" t="e">
        <f t="shared" si="58"/>
        <v>#VALUE!</v>
      </c>
      <c r="DA52" s="1671">
        <v>27</v>
      </c>
      <c r="DB52" s="1644" t="e">
        <f t="shared" si="46"/>
        <v>#VALUE!</v>
      </c>
      <c r="DC52" s="1644" t="e">
        <f t="shared" si="47"/>
        <v>#VALUE!</v>
      </c>
      <c r="DD52" s="1644" t="e">
        <f t="shared" si="48"/>
        <v>#VALUE!</v>
      </c>
      <c r="DE52" s="1644" t="e">
        <f t="shared" si="49"/>
        <v>#VALUE!</v>
      </c>
      <c r="DF52" s="1644" t="e">
        <f t="shared" si="50"/>
        <v>#VALUE!</v>
      </c>
      <c r="DG52" s="1644" t="e">
        <f t="shared" si="59"/>
        <v>#VALUE!</v>
      </c>
      <c r="DH52" s="1644" t="e">
        <f t="shared" si="51"/>
        <v>#VALUE!</v>
      </c>
      <c r="DI52" s="505" t="e">
        <f t="shared" si="52"/>
        <v>#VALUE!</v>
      </c>
      <c r="DJ52" s="1648" t="e">
        <f t="shared" si="53"/>
        <v>#VALUE!</v>
      </c>
      <c r="DK52" s="521" t="e">
        <f t="shared" si="54"/>
        <v>#VALUE!</v>
      </c>
      <c r="DL52" s="522" t="e">
        <f t="shared" si="55"/>
        <v>#VALUE!</v>
      </c>
      <c r="DN52" s="1188">
        <v>250</v>
      </c>
      <c r="DO52" s="1189" t="s">
        <v>1691</v>
      </c>
      <c r="DP52" s="34">
        <v>79.400000000000006</v>
      </c>
      <c r="DQ52" s="34">
        <v>42.3</v>
      </c>
      <c r="DR52" s="34">
        <v>1.21</v>
      </c>
      <c r="EA52" s="1647">
        <f t="shared" si="34"/>
        <v>24.000633322175549</v>
      </c>
      <c r="EB52" s="1671">
        <v>43</v>
      </c>
      <c r="EC52" s="1644">
        <f t="shared" si="24"/>
        <v>297.15063332217551</v>
      </c>
      <c r="ED52" s="1644">
        <f t="shared" si="25"/>
        <v>-32.581440875774611</v>
      </c>
      <c r="EE52" s="1644">
        <f t="shared" si="26"/>
        <v>40.582876513413943</v>
      </c>
      <c r="EF52" s="1644">
        <f t="shared" si="27"/>
        <v>2.9852406359596202</v>
      </c>
      <c r="EG52" s="1644">
        <f t="shared" si="28"/>
        <v>1.2836534734626366</v>
      </c>
      <c r="EH52" s="1644">
        <f t="shared" si="35"/>
        <v>1.8881070919450717E-2</v>
      </c>
      <c r="EI52" s="1644">
        <f t="shared" si="66"/>
        <v>0.42268619920385009</v>
      </c>
      <c r="EJ52" s="505">
        <f t="shared" si="67"/>
        <v>43</v>
      </c>
      <c r="EK52" s="1648">
        <f t="shared" si="68"/>
        <v>44.450274147260586</v>
      </c>
      <c r="EL52" s="521">
        <f t="shared" si="69"/>
        <v>10.694949042735868</v>
      </c>
      <c r="EM52" s="522">
        <f t="shared" si="70"/>
        <v>7.9807681038409663E-3</v>
      </c>
    </row>
    <row r="53" spans="12:143">
      <c r="T53" s="297"/>
      <c r="AC53" s="297"/>
      <c r="AK53" s="297"/>
      <c r="AL53" s="297"/>
      <c r="AM53" s="297"/>
      <c r="AN53" s="297"/>
      <c r="AO53" s="297"/>
      <c r="AP53" s="297"/>
      <c r="AQ53" s="297"/>
      <c r="AR53" s="297"/>
      <c r="AS53" s="297"/>
      <c r="BA53" s="294"/>
      <c r="BB53" s="294"/>
      <c r="BC53" s="294"/>
      <c r="BD53" s="294"/>
      <c r="BE53" s="294"/>
      <c r="BF53" s="294"/>
      <c r="BG53" s="294"/>
      <c r="BH53" s="294"/>
      <c r="BI53" s="294"/>
      <c r="CE53" s="169">
        <v>8</v>
      </c>
      <c r="CF53" s="169">
        <v>2030.9</v>
      </c>
      <c r="CG53" s="169">
        <f t="shared" si="71"/>
        <v>0</v>
      </c>
      <c r="CH53" s="169"/>
      <c r="CJ53" s="293"/>
      <c r="CK53" s="293"/>
      <c r="CL53" s="1647" t="e">
        <f t="shared" si="56"/>
        <v>#VALUE!</v>
      </c>
      <c r="CM53" s="1671">
        <v>28</v>
      </c>
      <c r="CN53" s="1644" t="e">
        <f t="shared" si="36"/>
        <v>#VALUE!</v>
      </c>
      <c r="CO53" s="1644" t="e">
        <f t="shared" si="37"/>
        <v>#VALUE!</v>
      </c>
      <c r="CP53" s="1644" t="e">
        <f t="shared" si="38"/>
        <v>#VALUE!</v>
      </c>
      <c r="CQ53" s="1644" t="e">
        <f t="shared" si="39"/>
        <v>#VALUE!</v>
      </c>
      <c r="CR53" s="1644" t="e">
        <f t="shared" si="40"/>
        <v>#VALUE!</v>
      </c>
      <c r="CS53" s="1644" t="e">
        <f t="shared" si="57"/>
        <v>#VALUE!</v>
      </c>
      <c r="CT53" s="1644" t="e">
        <f t="shared" si="41"/>
        <v>#VALUE!</v>
      </c>
      <c r="CU53" s="505" t="e">
        <f t="shared" si="42"/>
        <v>#VALUE!</v>
      </c>
      <c r="CV53" s="1648" t="e">
        <f t="shared" si="43"/>
        <v>#VALUE!</v>
      </c>
      <c r="CW53" s="521" t="e">
        <f t="shared" si="44"/>
        <v>#VALUE!</v>
      </c>
      <c r="CX53" s="522" t="e">
        <f t="shared" si="45"/>
        <v>#VALUE!</v>
      </c>
      <c r="CZ53" s="1647" t="e">
        <f t="shared" si="58"/>
        <v>#VALUE!</v>
      </c>
      <c r="DA53" s="1671">
        <v>28</v>
      </c>
      <c r="DB53" s="1644" t="e">
        <f t="shared" si="46"/>
        <v>#VALUE!</v>
      </c>
      <c r="DC53" s="1644" t="e">
        <f t="shared" si="47"/>
        <v>#VALUE!</v>
      </c>
      <c r="DD53" s="1644" t="e">
        <f t="shared" si="48"/>
        <v>#VALUE!</v>
      </c>
      <c r="DE53" s="1644" t="e">
        <f t="shared" si="49"/>
        <v>#VALUE!</v>
      </c>
      <c r="DF53" s="1644" t="e">
        <f t="shared" si="50"/>
        <v>#VALUE!</v>
      </c>
      <c r="DG53" s="1644" t="e">
        <f t="shared" si="59"/>
        <v>#VALUE!</v>
      </c>
      <c r="DH53" s="1644" t="e">
        <f t="shared" si="51"/>
        <v>#VALUE!</v>
      </c>
      <c r="DI53" s="505" t="e">
        <f t="shared" si="52"/>
        <v>#VALUE!</v>
      </c>
      <c r="DJ53" s="1648" t="e">
        <f t="shared" si="53"/>
        <v>#VALUE!</v>
      </c>
      <c r="DK53" s="521" t="e">
        <f t="shared" si="54"/>
        <v>#VALUE!</v>
      </c>
      <c r="DL53" s="522" t="e">
        <f t="shared" si="55"/>
        <v>#VALUE!</v>
      </c>
      <c r="EA53" s="1647">
        <f t="shared" si="34"/>
        <v>24.000633322175549</v>
      </c>
      <c r="EB53" s="1671">
        <v>44</v>
      </c>
      <c r="EC53" s="1644">
        <f t="shared" si="24"/>
        <v>297.15063332217551</v>
      </c>
      <c r="ED53" s="1644">
        <f t="shared" si="25"/>
        <v>-32.581440875774611</v>
      </c>
      <c r="EE53" s="1644">
        <f t="shared" si="26"/>
        <v>40.582876513413943</v>
      </c>
      <c r="EF53" s="1644">
        <f t="shared" si="27"/>
        <v>2.9852406359596202</v>
      </c>
      <c r="EG53" s="1644">
        <f t="shared" si="28"/>
        <v>1.313505879822233</v>
      </c>
      <c r="EH53" s="1644">
        <f t="shared" si="35"/>
        <v>1.8881070919450717E-2</v>
      </c>
      <c r="EI53" s="1644">
        <f t="shared" si="66"/>
        <v>0.43264521244111642</v>
      </c>
      <c r="EJ53" s="505">
        <f t="shared" si="67"/>
        <v>44</v>
      </c>
      <c r="EK53" s="1648">
        <f t="shared" si="68"/>
        <v>44.928700242802655</v>
      </c>
      <c r="EL53" s="521">
        <f t="shared" si="69"/>
        <v>11.040410425082952</v>
      </c>
      <c r="EM53" s="522">
        <f t="shared" si="70"/>
        <v>8.1688049390615403E-3</v>
      </c>
    </row>
    <row r="54" spans="12:143">
      <c r="T54" s="297"/>
      <c r="AC54" s="297"/>
      <c r="AK54" s="297"/>
      <c r="AL54" s="297"/>
      <c r="AM54" s="297"/>
      <c r="AN54" s="297"/>
      <c r="AO54" s="297"/>
      <c r="AP54" s="297"/>
      <c r="AQ54" s="297"/>
      <c r="AR54" s="297"/>
      <c r="AS54" s="297"/>
      <c r="BA54" s="294"/>
      <c r="BB54" s="294"/>
      <c r="BC54" s="294"/>
      <c r="BD54" s="294"/>
      <c r="BE54" s="294"/>
      <c r="BF54" s="294"/>
      <c r="BG54" s="294"/>
      <c r="BH54" s="294"/>
      <c r="BI54" s="294"/>
      <c r="CE54" s="169">
        <v>10</v>
      </c>
      <c r="CF54" s="169">
        <v>2000.1</v>
      </c>
      <c r="CG54" s="169">
        <f t="shared" si="71"/>
        <v>0</v>
      </c>
      <c r="CH54" s="169"/>
      <c r="CJ54" s="293"/>
      <c r="CK54" s="293"/>
      <c r="CL54" s="1647" t="e">
        <f t="shared" si="56"/>
        <v>#VALUE!</v>
      </c>
      <c r="CM54" s="1671">
        <v>29</v>
      </c>
      <c r="CN54" s="1644" t="e">
        <f t="shared" si="36"/>
        <v>#VALUE!</v>
      </c>
      <c r="CO54" s="1644" t="e">
        <f t="shared" si="37"/>
        <v>#VALUE!</v>
      </c>
      <c r="CP54" s="1644" t="e">
        <f t="shared" si="38"/>
        <v>#VALUE!</v>
      </c>
      <c r="CQ54" s="1644" t="e">
        <f t="shared" si="39"/>
        <v>#VALUE!</v>
      </c>
      <c r="CR54" s="1644" t="e">
        <f t="shared" si="40"/>
        <v>#VALUE!</v>
      </c>
      <c r="CS54" s="1644" t="e">
        <f t="shared" si="57"/>
        <v>#VALUE!</v>
      </c>
      <c r="CT54" s="1644" t="e">
        <f t="shared" si="41"/>
        <v>#VALUE!</v>
      </c>
      <c r="CU54" s="505" t="e">
        <f t="shared" si="42"/>
        <v>#VALUE!</v>
      </c>
      <c r="CV54" s="1648" t="e">
        <f t="shared" si="43"/>
        <v>#VALUE!</v>
      </c>
      <c r="CW54" s="521" t="e">
        <f t="shared" si="44"/>
        <v>#VALUE!</v>
      </c>
      <c r="CX54" s="522" t="e">
        <f t="shared" si="45"/>
        <v>#VALUE!</v>
      </c>
      <c r="CZ54" s="1647" t="e">
        <f t="shared" si="58"/>
        <v>#VALUE!</v>
      </c>
      <c r="DA54" s="1671">
        <v>29</v>
      </c>
      <c r="DB54" s="1644" t="e">
        <f t="shared" si="46"/>
        <v>#VALUE!</v>
      </c>
      <c r="DC54" s="1644" t="e">
        <f t="shared" si="47"/>
        <v>#VALUE!</v>
      </c>
      <c r="DD54" s="1644" t="e">
        <f t="shared" si="48"/>
        <v>#VALUE!</v>
      </c>
      <c r="DE54" s="1644" t="e">
        <f t="shared" si="49"/>
        <v>#VALUE!</v>
      </c>
      <c r="DF54" s="1644" t="e">
        <f t="shared" si="50"/>
        <v>#VALUE!</v>
      </c>
      <c r="DG54" s="1644" t="e">
        <f t="shared" si="59"/>
        <v>#VALUE!</v>
      </c>
      <c r="DH54" s="1644" t="e">
        <f t="shared" si="51"/>
        <v>#VALUE!</v>
      </c>
      <c r="DI54" s="505" t="e">
        <f t="shared" si="52"/>
        <v>#VALUE!</v>
      </c>
      <c r="DJ54" s="1648" t="e">
        <f t="shared" si="53"/>
        <v>#VALUE!</v>
      </c>
      <c r="DK54" s="521" t="e">
        <f t="shared" si="54"/>
        <v>#VALUE!</v>
      </c>
      <c r="DL54" s="522" t="e">
        <f t="shared" si="55"/>
        <v>#VALUE!</v>
      </c>
      <c r="EA54" s="1647">
        <f t="shared" si="34"/>
        <v>24.000633322175549</v>
      </c>
      <c r="EB54" s="1671">
        <v>45</v>
      </c>
      <c r="EC54" s="1644">
        <f t="shared" si="24"/>
        <v>297.15063332217551</v>
      </c>
      <c r="ED54" s="1644">
        <f t="shared" si="25"/>
        <v>-32.581440875774611</v>
      </c>
      <c r="EE54" s="1644">
        <f t="shared" si="26"/>
        <v>40.582876513413943</v>
      </c>
      <c r="EF54" s="1644">
        <f t="shared" si="27"/>
        <v>2.9852406359596202</v>
      </c>
      <c r="EG54" s="1644">
        <f t="shared" si="28"/>
        <v>1.3433582861818292</v>
      </c>
      <c r="EH54" s="1644">
        <f t="shared" si="35"/>
        <v>1.8881070919450717E-2</v>
      </c>
      <c r="EI54" s="1644">
        <f t="shared" si="66"/>
        <v>0.44261017278037074</v>
      </c>
      <c r="EJ54" s="505">
        <f t="shared" si="67"/>
        <v>45</v>
      </c>
      <c r="EK54" s="1648">
        <f t="shared" si="68"/>
        <v>45.407412034197932</v>
      </c>
      <c r="EL54" s="521">
        <f t="shared" si="69"/>
        <v>11.378951815000836</v>
      </c>
      <c r="EM54" s="522">
        <f t="shared" si="70"/>
        <v>8.3569540619365147E-3</v>
      </c>
    </row>
    <row r="55" spans="12:143">
      <c r="T55" s="297"/>
      <c r="AC55" s="297"/>
      <c r="AK55" s="297"/>
      <c r="AL55" s="297"/>
      <c r="AM55" s="297"/>
      <c r="AN55" s="297"/>
      <c r="AO55" s="297"/>
      <c r="AP55" s="297"/>
      <c r="AQ55" s="297"/>
      <c r="AR55" s="297"/>
      <c r="AS55" s="297"/>
      <c r="BA55" s="294"/>
      <c r="BB55" s="294"/>
      <c r="BC55" s="294"/>
      <c r="BD55" s="294"/>
      <c r="BE55" s="294"/>
      <c r="BF55" s="294"/>
      <c r="BG55" s="294"/>
      <c r="BH55" s="294"/>
      <c r="BI55" s="294"/>
      <c r="CE55" s="169">
        <v>14</v>
      </c>
      <c r="CF55" s="169">
        <v>1947.1</v>
      </c>
      <c r="CG55" s="169">
        <f t="shared" si="71"/>
        <v>0</v>
      </c>
      <c r="CH55" s="169"/>
      <c r="CJ55" s="293"/>
      <c r="CK55" s="293"/>
      <c r="CL55" s="1647" t="e">
        <f t="shared" si="56"/>
        <v>#VALUE!</v>
      </c>
      <c r="CM55" s="1671">
        <v>30</v>
      </c>
      <c r="CN55" s="1644" t="e">
        <f t="shared" si="36"/>
        <v>#VALUE!</v>
      </c>
      <c r="CO55" s="1644" t="e">
        <f t="shared" si="37"/>
        <v>#VALUE!</v>
      </c>
      <c r="CP55" s="1644" t="e">
        <f t="shared" si="38"/>
        <v>#VALUE!</v>
      </c>
      <c r="CQ55" s="1644" t="e">
        <f t="shared" si="39"/>
        <v>#VALUE!</v>
      </c>
      <c r="CR55" s="1644" t="e">
        <f t="shared" si="40"/>
        <v>#VALUE!</v>
      </c>
      <c r="CS55" s="1644" t="e">
        <f t="shared" si="57"/>
        <v>#VALUE!</v>
      </c>
      <c r="CT55" s="1644" t="e">
        <f t="shared" si="41"/>
        <v>#VALUE!</v>
      </c>
      <c r="CU55" s="505" t="e">
        <f t="shared" si="42"/>
        <v>#VALUE!</v>
      </c>
      <c r="CV55" s="1648" t="e">
        <f t="shared" si="43"/>
        <v>#VALUE!</v>
      </c>
      <c r="CW55" s="521" t="e">
        <f t="shared" si="44"/>
        <v>#VALUE!</v>
      </c>
      <c r="CX55" s="522" t="e">
        <f t="shared" si="45"/>
        <v>#VALUE!</v>
      </c>
      <c r="CZ55" s="1647" t="e">
        <f t="shared" si="58"/>
        <v>#VALUE!</v>
      </c>
      <c r="DA55" s="1671">
        <v>30</v>
      </c>
      <c r="DB55" s="1644" t="e">
        <f t="shared" si="46"/>
        <v>#VALUE!</v>
      </c>
      <c r="DC55" s="1644" t="e">
        <f t="shared" si="47"/>
        <v>#VALUE!</v>
      </c>
      <c r="DD55" s="1644" t="e">
        <f t="shared" si="48"/>
        <v>#VALUE!</v>
      </c>
      <c r="DE55" s="1644" t="e">
        <f t="shared" si="49"/>
        <v>#VALUE!</v>
      </c>
      <c r="DF55" s="1644" t="e">
        <f t="shared" si="50"/>
        <v>#VALUE!</v>
      </c>
      <c r="DG55" s="1644" t="e">
        <f t="shared" si="59"/>
        <v>#VALUE!</v>
      </c>
      <c r="DH55" s="1644" t="e">
        <f t="shared" si="51"/>
        <v>#VALUE!</v>
      </c>
      <c r="DI55" s="505" t="e">
        <f t="shared" si="52"/>
        <v>#VALUE!</v>
      </c>
      <c r="DJ55" s="1648" t="e">
        <f t="shared" si="53"/>
        <v>#VALUE!</v>
      </c>
      <c r="DK55" s="521" t="e">
        <f t="shared" si="54"/>
        <v>#VALUE!</v>
      </c>
      <c r="DL55" s="522" t="e">
        <f t="shared" si="55"/>
        <v>#VALUE!</v>
      </c>
      <c r="EA55" s="1647">
        <f t="shared" si="34"/>
        <v>24.000633322175549</v>
      </c>
      <c r="EB55" s="1671">
        <v>46</v>
      </c>
      <c r="EC55" s="1644">
        <f t="shared" si="24"/>
        <v>297.15063332217551</v>
      </c>
      <c r="ED55" s="1644">
        <f t="shared" si="25"/>
        <v>-32.581440875774611</v>
      </c>
      <c r="EE55" s="1644">
        <f t="shared" si="26"/>
        <v>40.582876513413943</v>
      </c>
      <c r="EF55" s="1644">
        <f t="shared" si="27"/>
        <v>2.9852406359596202</v>
      </c>
      <c r="EG55" s="1644">
        <f t="shared" si="28"/>
        <v>1.3732106925414254</v>
      </c>
      <c r="EH55" s="1644">
        <f t="shared" si="35"/>
        <v>1.8881070919450717E-2</v>
      </c>
      <c r="EI55" s="1644">
        <f t="shared" si="66"/>
        <v>0.45258108555024107</v>
      </c>
      <c r="EJ55" s="505">
        <f t="shared" si="67"/>
        <v>46</v>
      </c>
      <c r="EK55" s="1648">
        <f t="shared" si="68"/>
        <v>45.886409777431069</v>
      </c>
      <c r="EL55" s="521">
        <f t="shared" si="69"/>
        <v>11.710865372849007</v>
      </c>
      <c r="EM55" s="522">
        <f t="shared" si="70"/>
        <v>8.5452155730760936E-3</v>
      </c>
    </row>
    <row r="56" spans="12:143">
      <c r="T56" s="297"/>
      <c r="AC56" s="297"/>
      <c r="AK56" s="297"/>
      <c r="AL56" s="297"/>
      <c r="AM56" s="297"/>
      <c r="AN56" s="297"/>
      <c r="AO56" s="297"/>
      <c r="AP56" s="297"/>
      <c r="AQ56" s="297"/>
      <c r="AR56" s="297"/>
      <c r="AS56" s="297"/>
      <c r="BA56" s="294"/>
      <c r="BB56" s="294"/>
      <c r="BC56" s="294"/>
      <c r="BD56" s="294"/>
      <c r="BE56" s="294"/>
      <c r="BF56" s="294"/>
      <c r="BG56" s="294"/>
      <c r="BH56" s="294"/>
      <c r="BI56" s="294"/>
      <c r="CF56" s="169"/>
      <c r="CG56" s="169">
        <f>SUM(CG43:CG55)</f>
        <v>2257</v>
      </c>
      <c r="CH56" s="362"/>
      <c r="CJ56" s="293"/>
      <c r="CK56" s="293"/>
      <c r="CL56" s="1647" t="e">
        <f t="shared" si="56"/>
        <v>#VALUE!</v>
      </c>
      <c r="CM56" s="1671">
        <v>31</v>
      </c>
      <c r="CN56" s="1644" t="e">
        <f t="shared" si="36"/>
        <v>#VALUE!</v>
      </c>
      <c r="CO56" s="1644" t="e">
        <f t="shared" si="37"/>
        <v>#VALUE!</v>
      </c>
      <c r="CP56" s="1644" t="e">
        <f t="shared" si="38"/>
        <v>#VALUE!</v>
      </c>
      <c r="CQ56" s="1644" t="e">
        <f t="shared" si="39"/>
        <v>#VALUE!</v>
      </c>
      <c r="CR56" s="1644" t="e">
        <f t="shared" si="40"/>
        <v>#VALUE!</v>
      </c>
      <c r="CS56" s="1644" t="e">
        <f t="shared" si="57"/>
        <v>#VALUE!</v>
      </c>
      <c r="CT56" s="1644" t="e">
        <f t="shared" si="41"/>
        <v>#VALUE!</v>
      </c>
      <c r="CU56" s="505" t="e">
        <f t="shared" si="42"/>
        <v>#VALUE!</v>
      </c>
      <c r="CV56" s="1648" t="e">
        <f t="shared" si="43"/>
        <v>#VALUE!</v>
      </c>
      <c r="CW56" s="521" t="e">
        <f t="shared" si="44"/>
        <v>#VALUE!</v>
      </c>
      <c r="CX56" s="522" t="e">
        <f t="shared" si="45"/>
        <v>#VALUE!</v>
      </c>
      <c r="CZ56" s="1647" t="e">
        <f t="shared" si="58"/>
        <v>#VALUE!</v>
      </c>
      <c r="DA56" s="1671">
        <v>31</v>
      </c>
      <c r="DB56" s="1644" t="e">
        <f t="shared" si="46"/>
        <v>#VALUE!</v>
      </c>
      <c r="DC56" s="1644" t="e">
        <f t="shared" si="47"/>
        <v>#VALUE!</v>
      </c>
      <c r="DD56" s="1644" t="e">
        <f t="shared" si="48"/>
        <v>#VALUE!</v>
      </c>
      <c r="DE56" s="1644" t="e">
        <f t="shared" si="49"/>
        <v>#VALUE!</v>
      </c>
      <c r="DF56" s="1644" t="e">
        <f t="shared" si="50"/>
        <v>#VALUE!</v>
      </c>
      <c r="DG56" s="1644" t="e">
        <f t="shared" si="59"/>
        <v>#VALUE!</v>
      </c>
      <c r="DH56" s="1644" t="e">
        <f t="shared" si="51"/>
        <v>#VALUE!</v>
      </c>
      <c r="DI56" s="505" t="e">
        <f t="shared" si="52"/>
        <v>#VALUE!</v>
      </c>
      <c r="DJ56" s="1648" t="e">
        <f t="shared" si="53"/>
        <v>#VALUE!</v>
      </c>
      <c r="DK56" s="521" t="e">
        <f t="shared" si="54"/>
        <v>#VALUE!</v>
      </c>
      <c r="DL56" s="522" t="e">
        <f t="shared" si="55"/>
        <v>#VALUE!</v>
      </c>
      <c r="EA56" s="1647">
        <f t="shared" si="34"/>
        <v>24.000633322175549</v>
      </c>
      <c r="EB56" s="1671">
        <v>47</v>
      </c>
      <c r="EC56" s="1644">
        <f t="shared" si="24"/>
        <v>297.15063332217551</v>
      </c>
      <c r="ED56" s="1644">
        <f t="shared" si="25"/>
        <v>-32.581440875774611</v>
      </c>
      <c r="EE56" s="1644">
        <f t="shared" si="26"/>
        <v>40.582876513413943</v>
      </c>
      <c r="EF56" s="1644">
        <f t="shared" si="27"/>
        <v>2.9852406359596202</v>
      </c>
      <c r="EG56" s="1644">
        <f t="shared" si="28"/>
        <v>1.4030630989010213</v>
      </c>
      <c r="EH56" s="1644">
        <f t="shared" si="35"/>
        <v>1.8881070919450717E-2</v>
      </c>
      <c r="EI56" s="1644">
        <f t="shared" si="66"/>
        <v>0.46255795608572353</v>
      </c>
      <c r="EJ56" s="505">
        <f t="shared" si="67"/>
        <v>47</v>
      </c>
      <c r="EK56" s="1648">
        <f t="shared" si="68"/>
        <v>46.365693728792678</v>
      </c>
      <c r="EL56" s="521">
        <f t="shared" si="69"/>
        <v>12.036424787593168</v>
      </c>
      <c r="EM56" s="522">
        <f t="shared" si="70"/>
        <v>8.7335895732107167E-3</v>
      </c>
    </row>
    <row r="57" spans="12:143">
      <c r="T57" s="297"/>
      <c r="AC57" s="297"/>
      <c r="AK57" s="297"/>
      <c r="AL57" s="297"/>
      <c r="AM57" s="297"/>
      <c r="AN57" s="297"/>
      <c r="AO57" s="297"/>
      <c r="AP57" s="297"/>
      <c r="AQ57" s="297"/>
      <c r="AR57" s="297"/>
      <c r="AS57" s="297"/>
      <c r="BA57" s="294"/>
      <c r="BB57" s="294"/>
      <c r="BC57" s="294"/>
      <c r="BD57" s="294"/>
      <c r="BE57" s="294"/>
      <c r="BF57" s="294"/>
      <c r="BG57" s="294"/>
      <c r="BH57" s="294"/>
      <c r="BI57" s="294"/>
      <c r="CG57" s="293"/>
      <c r="CH57" s="293"/>
      <c r="CI57" s="293"/>
      <c r="CJ57" s="293"/>
      <c r="CK57" s="293"/>
      <c r="CL57" s="1647" t="e">
        <f t="shared" si="56"/>
        <v>#VALUE!</v>
      </c>
      <c r="CM57" s="1671">
        <v>32</v>
      </c>
      <c r="CN57" s="1644" t="e">
        <f t="shared" si="36"/>
        <v>#VALUE!</v>
      </c>
      <c r="CO57" s="1644" t="e">
        <f t="shared" si="37"/>
        <v>#VALUE!</v>
      </c>
      <c r="CP57" s="1644" t="e">
        <f t="shared" si="38"/>
        <v>#VALUE!</v>
      </c>
      <c r="CQ57" s="1644" t="e">
        <f t="shared" si="39"/>
        <v>#VALUE!</v>
      </c>
      <c r="CR57" s="1644" t="e">
        <f t="shared" si="40"/>
        <v>#VALUE!</v>
      </c>
      <c r="CS57" s="1644" t="e">
        <f t="shared" si="57"/>
        <v>#VALUE!</v>
      </c>
      <c r="CT57" s="1644" t="e">
        <f t="shared" si="41"/>
        <v>#VALUE!</v>
      </c>
      <c r="CU57" s="505" t="e">
        <f t="shared" si="42"/>
        <v>#VALUE!</v>
      </c>
      <c r="CV57" s="1648" t="e">
        <f t="shared" si="43"/>
        <v>#VALUE!</v>
      </c>
      <c r="CW57" s="521" t="e">
        <f t="shared" si="44"/>
        <v>#VALUE!</v>
      </c>
      <c r="CX57" s="522" t="e">
        <f t="shared" si="45"/>
        <v>#VALUE!</v>
      </c>
      <c r="CZ57" s="1647" t="e">
        <f t="shared" si="58"/>
        <v>#VALUE!</v>
      </c>
      <c r="DA57" s="1671">
        <v>32</v>
      </c>
      <c r="DB57" s="1644" t="e">
        <f t="shared" si="46"/>
        <v>#VALUE!</v>
      </c>
      <c r="DC57" s="1644" t="e">
        <f t="shared" si="47"/>
        <v>#VALUE!</v>
      </c>
      <c r="DD57" s="1644" t="e">
        <f t="shared" si="48"/>
        <v>#VALUE!</v>
      </c>
      <c r="DE57" s="1644" t="e">
        <f t="shared" si="49"/>
        <v>#VALUE!</v>
      </c>
      <c r="DF57" s="1644" t="e">
        <f t="shared" si="50"/>
        <v>#VALUE!</v>
      </c>
      <c r="DG57" s="1644" t="e">
        <f t="shared" si="59"/>
        <v>#VALUE!</v>
      </c>
      <c r="DH57" s="1644" t="e">
        <f t="shared" si="51"/>
        <v>#VALUE!</v>
      </c>
      <c r="DI57" s="505" t="e">
        <f t="shared" si="52"/>
        <v>#VALUE!</v>
      </c>
      <c r="DJ57" s="1648" t="e">
        <f t="shared" si="53"/>
        <v>#VALUE!</v>
      </c>
      <c r="DK57" s="521" t="e">
        <f t="shared" si="54"/>
        <v>#VALUE!</v>
      </c>
      <c r="DL57" s="522" t="e">
        <f t="shared" si="55"/>
        <v>#VALUE!</v>
      </c>
      <c r="EA57" s="1647">
        <f t="shared" si="34"/>
        <v>24.000633322175549</v>
      </c>
      <c r="EB57" s="1671">
        <v>48</v>
      </c>
      <c r="EC57" s="1644">
        <f t="shared" si="24"/>
        <v>297.15063332217551</v>
      </c>
      <c r="ED57" s="1644">
        <f t="shared" si="25"/>
        <v>-32.581440875774611</v>
      </c>
      <c r="EE57" s="1644">
        <f t="shared" si="26"/>
        <v>40.582876513413943</v>
      </c>
      <c r="EF57" s="1644">
        <f t="shared" si="27"/>
        <v>2.9852406359596202</v>
      </c>
      <c r="EG57" s="1644">
        <f t="shared" si="28"/>
        <v>1.4329155052606177</v>
      </c>
      <c r="EH57" s="1644">
        <f t="shared" si="35"/>
        <v>1.8881070919450717E-2</v>
      </c>
      <c r="EI57" s="1644">
        <f t="shared" si="66"/>
        <v>0.47254078972819169</v>
      </c>
      <c r="EJ57" s="505">
        <f t="shared" si="67"/>
        <v>48</v>
      </c>
      <c r="EK57" s="1648">
        <f t="shared" si="68"/>
        <v>46.845264144879707</v>
      </c>
      <c r="EL57" s="521">
        <f t="shared" si="69"/>
        <v>12.355886814246357</v>
      </c>
      <c r="EM57" s="522">
        <f t="shared" si="70"/>
        <v>8.9220761631912358E-3</v>
      </c>
    </row>
    <row r="58" spans="12:143">
      <c r="T58" s="297"/>
      <c r="AC58" s="297"/>
      <c r="AK58" s="297"/>
      <c r="AL58" s="297"/>
      <c r="AM58" s="297"/>
      <c r="AN58" s="297"/>
      <c r="AO58" s="297"/>
      <c r="AP58" s="297"/>
      <c r="AQ58" s="297"/>
      <c r="AR58" s="297"/>
      <c r="AS58" s="297"/>
      <c r="BA58" s="294"/>
      <c r="BB58" s="294"/>
      <c r="BC58" s="294"/>
      <c r="BD58" s="294"/>
      <c r="BE58" s="294"/>
      <c r="BF58" s="294"/>
      <c r="BG58" s="294"/>
      <c r="BH58" s="294"/>
      <c r="BI58" s="294"/>
      <c r="CG58" s="293"/>
      <c r="CH58" s="293"/>
      <c r="CI58" s="293"/>
      <c r="CJ58" s="293"/>
      <c r="CK58" s="293"/>
      <c r="CL58" s="1647" t="e">
        <f t="shared" si="56"/>
        <v>#VALUE!</v>
      </c>
      <c r="CM58" s="1671">
        <v>33</v>
      </c>
      <c r="CN58" s="1644" t="e">
        <f t="shared" si="36"/>
        <v>#VALUE!</v>
      </c>
      <c r="CO58" s="1644" t="e">
        <f t="shared" si="37"/>
        <v>#VALUE!</v>
      </c>
      <c r="CP58" s="1644" t="e">
        <f t="shared" si="38"/>
        <v>#VALUE!</v>
      </c>
      <c r="CQ58" s="1644" t="e">
        <f t="shared" si="39"/>
        <v>#VALUE!</v>
      </c>
      <c r="CR58" s="1644" t="e">
        <f t="shared" si="40"/>
        <v>#VALUE!</v>
      </c>
      <c r="CS58" s="1644" t="e">
        <f t="shared" si="57"/>
        <v>#VALUE!</v>
      </c>
      <c r="CT58" s="1644" t="e">
        <f t="shared" ref="CT58:CT89" si="72">CX58/CS58</f>
        <v>#VALUE!</v>
      </c>
      <c r="CU58" s="505" t="e">
        <f t="shared" ref="CU58:CU89" si="73">IF(CL58+CM58&gt;0,CM58,0)</f>
        <v>#VALUE!</v>
      </c>
      <c r="CV58" s="1648" t="e">
        <f t="shared" ref="CV58:CV89" si="74">IF(CL58+CM58&gt;0,(1.006*CL58+CX58*(2501+1.805*CL58)),0)</f>
        <v>#VALUE!</v>
      </c>
      <c r="CW58" s="521" t="e">
        <f t="shared" ref="CW58:CW89" si="75">IF(CL58+CM58&gt;0,(6.54+14.526*LN(CR58)+0.7389*POWER(LN(CR58),2)+0.09486*POWER(LN(CR58),3)+0.4569*POWER(CR58,0.1984)),0)</f>
        <v>#VALUE!</v>
      </c>
      <c r="CX58" s="522" t="e">
        <f t="shared" ref="CX58:CX89" si="76">IF(CL58+CM58&gt;0,0.62198*(CR58/($F$3-CR58)),0)</f>
        <v>#VALUE!</v>
      </c>
      <c r="CZ58" s="1647" t="e">
        <f t="shared" si="58"/>
        <v>#VALUE!</v>
      </c>
      <c r="DA58" s="1671">
        <v>33</v>
      </c>
      <c r="DB58" s="1644" t="e">
        <f t="shared" si="46"/>
        <v>#VALUE!</v>
      </c>
      <c r="DC58" s="1644" t="e">
        <f t="shared" si="47"/>
        <v>#VALUE!</v>
      </c>
      <c r="DD58" s="1644" t="e">
        <f t="shared" si="48"/>
        <v>#VALUE!</v>
      </c>
      <c r="DE58" s="1644" t="e">
        <f t="shared" si="49"/>
        <v>#VALUE!</v>
      </c>
      <c r="DF58" s="1644" t="e">
        <f t="shared" si="50"/>
        <v>#VALUE!</v>
      </c>
      <c r="DG58" s="1644" t="e">
        <f t="shared" si="59"/>
        <v>#VALUE!</v>
      </c>
      <c r="DH58" s="1644" t="e">
        <f t="shared" si="51"/>
        <v>#VALUE!</v>
      </c>
      <c r="DI58" s="505" t="e">
        <f t="shared" si="52"/>
        <v>#VALUE!</v>
      </c>
      <c r="DJ58" s="1648" t="e">
        <f t="shared" si="53"/>
        <v>#VALUE!</v>
      </c>
      <c r="DK58" s="521" t="e">
        <f t="shared" si="54"/>
        <v>#VALUE!</v>
      </c>
      <c r="DL58" s="522" t="e">
        <f t="shared" si="55"/>
        <v>#VALUE!</v>
      </c>
      <c r="EA58" s="1647">
        <f t="shared" si="34"/>
        <v>24.000633322175549</v>
      </c>
      <c r="EB58" s="1671">
        <v>49</v>
      </c>
      <c r="EC58" s="1644">
        <f t="shared" si="24"/>
        <v>297.15063332217551</v>
      </c>
      <c r="ED58" s="1644">
        <f t="shared" si="25"/>
        <v>-32.581440875774611</v>
      </c>
      <c r="EE58" s="1644">
        <f t="shared" si="26"/>
        <v>40.582876513413943</v>
      </c>
      <c r="EF58" s="1644">
        <f t="shared" si="27"/>
        <v>2.9852406359596202</v>
      </c>
      <c r="EG58" s="1644">
        <f t="shared" si="28"/>
        <v>1.4627679116202139</v>
      </c>
      <c r="EH58" s="1644">
        <f t="shared" si="35"/>
        <v>1.8881070919450717E-2</v>
      </c>
      <c r="EI58" s="1644">
        <f t="shared" si="66"/>
        <v>0.48252959182540534</v>
      </c>
      <c r="EJ58" s="505">
        <f t="shared" si="67"/>
        <v>49</v>
      </c>
      <c r="EK58" s="1648">
        <f t="shared" si="68"/>
        <v>47.325121282595902</v>
      </c>
      <c r="EL58" s="521">
        <f t="shared" si="69"/>
        <v>12.669492653943024</v>
      </c>
      <c r="EM58" s="522">
        <f t="shared" si="70"/>
        <v>9.1106754439890855E-3</v>
      </c>
    </row>
    <row r="59" spans="12:143">
      <c r="T59" s="297"/>
      <c r="AC59" s="297"/>
      <c r="AK59" s="297"/>
      <c r="AL59" s="297"/>
      <c r="AM59" s="297"/>
      <c r="AN59" s="297"/>
      <c r="AO59" s="297"/>
      <c r="AP59" s="297"/>
      <c r="AQ59" s="297"/>
      <c r="AR59" s="297"/>
      <c r="AS59" s="297"/>
      <c r="BA59" s="294"/>
      <c r="BB59" s="294"/>
      <c r="BC59" s="294"/>
      <c r="BD59" s="294"/>
      <c r="BE59" s="294"/>
      <c r="BF59" s="294"/>
      <c r="BG59" s="294"/>
      <c r="BH59" s="294"/>
      <c r="BI59" s="294"/>
      <c r="CG59" s="293"/>
      <c r="CH59" s="293"/>
      <c r="CI59" s="293"/>
      <c r="CJ59" s="293"/>
      <c r="CK59" s="293"/>
      <c r="CL59" s="1647" t="e">
        <f t="shared" si="56"/>
        <v>#VALUE!</v>
      </c>
      <c r="CM59" s="1671">
        <v>34</v>
      </c>
      <c r="CN59" s="1644" t="e">
        <f t="shared" si="36"/>
        <v>#VALUE!</v>
      </c>
      <c r="CO59" s="1644" t="e">
        <f t="shared" si="37"/>
        <v>#VALUE!</v>
      </c>
      <c r="CP59" s="1644" t="e">
        <f t="shared" si="38"/>
        <v>#VALUE!</v>
      </c>
      <c r="CQ59" s="1644" t="e">
        <f t="shared" si="39"/>
        <v>#VALUE!</v>
      </c>
      <c r="CR59" s="1644" t="e">
        <f t="shared" si="40"/>
        <v>#VALUE!</v>
      </c>
      <c r="CS59" s="1644" t="e">
        <f t="shared" si="57"/>
        <v>#VALUE!</v>
      </c>
      <c r="CT59" s="1644" t="e">
        <f t="shared" si="72"/>
        <v>#VALUE!</v>
      </c>
      <c r="CU59" s="505" t="e">
        <f t="shared" si="73"/>
        <v>#VALUE!</v>
      </c>
      <c r="CV59" s="1648" t="e">
        <f t="shared" si="74"/>
        <v>#VALUE!</v>
      </c>
      <c r="CW59" s="521" t="e">
        <f t="shared" si="75"/>
        <v>#VALUE!</v>
      </c>
      <c r="CX59" s="522" t="e">
        <f t="shared" si="76"/>
        <v>#VALUE!</v>
      </c>
      <c r="CZ59" s="1647" t="e">
        <f t="shared" si="58"/>
        <v>#VALUE!</v>
      </c>
      <c r="DA59" s="1671">
        <v>34</v>
      </c>
      <c r="DB59" s="1644" t="e">
        <f t="shared" si="46"/>
        <v>#VALUE!</v>
      </c>
      <c r="DC59" s="1644" t="e">
        <f t="shared" si="47"/>
        <v>#VALUE!</v>
      </c>
      <c r="DD59" s="1644" t="e">
        <f t="shared" si="48"/>
        <v>#VALUE!</v>
      </c>
      <c r="DE59" s="1644" t="e">
        <f t="shared" si="49"/>
        <v>#VALUE!</v>
      </c>
      <c r="DF59" s="1644" t="e">
        <f t="shared" si="50"/>
        <v>#VALUE!</v>
      </c>
      <c r="DG59" s="1644" t="e">
        <f t="shared" si="59"/>
        <v>#VALUE!</v>
      </c>
      <c r="DH59" s="1644" t="e">
        <f t="shared" si="51"/>
        <v>#VALUE!</v>
      </c>
      <c r="DI59" s="505" t="e">
        <f t="shared" si="52"/>
        <v>#VALUE!</v>
      </c>
      <c r="DJ59" s="1648" t="e">
        <f t="shared" si="53"/>
        <v>#VALUE!</v>
      </c>
      <c r="DK59" s="521" t="e">
        <f t="shared" si="54"/>
        <v>#VALUE!</v>
      </c>
      <c r="DL59" s="522" t="e">
        <f t="shared" si="55"/>
        <v>#VALUE!</v>
      </c>
      <c r="EA59" s="1647">
        <f t="shared" si="34"/>
        <v>24.000633322175549</v>
      </c>
      <c r="EB59" s="1671">
        <v>50</v>
      </c>
      <c r="EC59" s="1644">
        <f t="shared" si="24"/>
        <v>297.15063332217551</v>
      </c>
      <c r="ED59" s="1644">
        <f t="shared" si="25"/>
        <v>-32.581440875774611</v>
      </c>
      <c r="EE59" s="1644">
        <f t="shared" si="26"/>
        <v>40.582876513413943</v>
      </c>
      <c r="EF59" s="1644">
        <f t="shared" si="27"/>
        <v>2.9852406359596202</v>
      </c>
      <c r="EG59" s="1644">
        <f t="shared" si="28"/>
        <v>1.4926203179798101</v>
      </c>
      <c r="EH59" s="1644">
        <f t="shared" si="35"/>
        <v>1.8881070919450717E-2</v>
      </c>
      <c r="EI59" s="1644">
        <f t="shared" si="66"/>
        <v>0.4925243677315217</v>
      </c>
      <c r="EJ59" s="505">
        <f t="shared" si="67"/>
        <v>50</v>
      </c>
      <c r="EK59" s="1648">
        <f t="shared" si="68"/>
        <v>47.805265399152347</v>
      </c>
      <c r="EL59" s="521">
        <f t="shared" si="69"/>
        <v>12.977469195635095</v>
      </c>
      <c r="EM59" s="522">
        <f t="shared" si="70"/>
        <v>9.2993875166964852E-3</v>
      </c>
    </row>
    <row r="60" spans="12:143">
      <c r="T60" s="297"/>
      <c r="AC60" s="297"/>
      <c r="AK60" s="297"/>
      <c r="AL60" s="297"/>
      <c r="AM60" s="297"/>
      <c r="AN60" s="297"/>
      <c r="AO60" s="297"/>
      <c r="AP60" s="297"/>
      <c r="AQ60" s="297"/>
      <c r="AR60" s="297"/>
      <c r="AS60" s="297"/>
      <c r="BA60" s="294"/>
      <c r="BB60" s="294"/>
      <c r="BC60" s="294"/>
      <c r="BD60" s="294"/>
      <c r="BE60" s="294"/>
      <c r="BF60" s="294"/>
      <c r="BG60" s="294"/>
      <c r="BH60" s="294"/>
      <c r="BI60" s="294"/>
      <c r="CG60" s="293"/>
      <c r="CH60" s="293"/>
      <c r="CI60" s="293"/>
      <c r="CJ60" s="293"/>
      <c r="CK60" s="293"/>
      <c r="CL60" s="1647" t="e">
        <f t="shared" si="56"/>
        <v>#VALUE!</v>
      </c>
      <c r="CM60" s="1671">
        <v>35</v>
      </c>
      <c r="CN60" s="1644" t="e">
        <f t="shared" si="36"/>
        <v>#VALUE!</v>
      </c>
      <c r="CO60" s="1644" t="e">
        <f t="shared" si="37"/>
        <v>#VALUE!</v>
      </c>
      <c r="CP60" s="1644" t="e">
        <f t="shared" si="38"/>
        <v>#VALUE!</v>
      </c>
      <c r="CQ60" s="1644" t="e">
        <f t="shared" si="39"/>
        <v>#VALUE!</v>
      </c>
      <c r="CR60" s="1644" t="e">
        <f t="shared" si="40"/>
        <v>#VALUE!</v>
      </c>
      <c r="CS60" s="1644" t="e">
        <f t="shared" si="57"/>
        <v>#VALUE!</v>
      </c>
      <c r="CT60" s="1644" t="e">
        <f t="shared" si="72"/>
        <v>#VALUE!</v>
      </c>
      <c r="CU60" s="505" t="e">
        <f t="shared" si="73"/>
        <v>#VALUE!</v>
      </c>
      <c r="CV60" s="1648" t="e">
        <f t="shared" si="74"/>
        <v>#VALUE!</v>
      </c>
      <c r="CW60" s="521" t="e">
        <f t="shared" si="75"/>
        <v>#VALUE!</v>
      </c>
      <c r="CX60" s="522" t="e">
        <f t="shared" si="76"/>
        <v>#VALUE!</v>
      </c>
      <c r="CZ60" s="1647" t="e">
        <f t="shared" si="58"/>
        <v>#VALUE!</v>
      </c>
      <c r="DA60" s="1671">
        <v>35</v>
      </c>
      <c r="DB60" s="1644" t="e">
        <f t="shared" si="46"/>
        <v>#VALUE!</v>
      </c>
      <c r="DC60" s="1644" t="e">
        <f t="shared" si="47"/>
        <v>#VALUE!</v>
      </c>
      <c r="DD60" s="1644" t="e">
        <f t="shared" si="48"/>
        <v>#VALUE!</v>
      </c>
      <c r="DE60" s="1644" t="e">
        <f t="shared" si="49"/>
        <v>#VALUE!</v>
      </c>
      <c r="DF60" s="1644" t="e">
        <f t="shared" si="50"/>
        <v>#VALUE!</v>
      </c>
      <c r="DG60" s="1644" t="e">
        <f t="shared" si="59"/>
        <v>#VALUE!</v>
      </c>
      <c r="DH60" s="1644" t="e">
        <f t="shared" si="51"/>
        <v>#VALUE!</v>
      </c>
      <c r="DI60" s="505" t="e">
        <f t="shared" si="52"/>
        <v>#VALUE!</v>
      </c>
      <c r="DJ60" s="1648" t="e">
        <f t="shared" si="53"/>
        <v>#VALUE!</v>
      </c>
      <c r="DK60" s="521" t="e">
        <f t="shared" si="54"/>
        <v>#VALUE!</v>
      </c>
      <c r="DL60" s="522" t="e">
        <f t="shared" si="55"/>
        <v>#VALUE!</v>
      </c>
      <c r="EA60" s="1647">
        <f t="shared" si="34"/>
        <v>24.000633322175549</v>
      </c>
      <c r="EB60" s="1671">
        <v>51</v>
      </c>
      <c r="EC60" s="1644">
        <f t="shared" si="24"/>
        <v>297.15063332217551</v>
      </c>
      <c r="ED60" s="1644">
        <f t="shared" si="25"/>
        <v>-32.581440875774611</v>
      </c>
      <c r="EE60" s="1644">
        <f t="shared" si="26"/>
        <v>40.582876513413943</v>
      </c>
      <c r="EF60" s="1644">
        <f t="shared" si="27"/>
        <v>2.9852406359596202</v>
      </c>
      <c r="EG60" s="1644">
        <f t="shared" si="28"/>
        <v>1.5224727243394063</v>
      </c>
      <c r="EH60" s="1644">
        <f t="shared" si="35"/>
        <v>1.8881070919450717E-2</v>
      </c>
      <c r="EI60" s="1644">
        <f t="shared" si="66"/>
        <v>0.50252512280710315</v>
      </c>
      <c r="EJ60" s="505">
        <f t="shared" si="67"/>
        <v>51</v>
      </c>
      <c r="EK60" s="1648">
        <f t="shared" si="68"/>
        <v>48.285696752067821</v>
      </c>
      <c r="EL60" s="521">
        <f t="shared" si="69"/>
        <v>13.280030135774268</v>
      </c>
      <c r="EM60" s="522">
        <f t="shared" si="70"/>
        <v>9.4882124825265961E-3</v>
      </c>
    </row>
    <row r="61" spans="12:143">
      <c r="T61" s="297"/>
      <c r="AC61" s="297"/>
      <c r="AK61" s="297"/>
      <c r="AL61" s="297"/>
      <c r="AM61" s="297"/>
      <c r="AN61" s="297"/>
      <c r="AO61" s="297"/>
      <c r="AP61" s="297"/>
      <c r="AQ61" s="297"/>
      <c r="AR61" s="297"/>
      <c r="AS61" s="297"/>
      <c r="BA61" s="294"/>
      <c r="BB61" s="294"/>
      <c r="BC61" s="294"/>
      <c r="BD61" s="294"/>
      <c r="BE61" s="294"/>
      <c r="BF61" s="294"/>
      <c r="BG61" s="294"/>
      <c r="BH61" s="294"/>
      <c r="BI61" s="294"/>
      <c r="CG61" s="293"/>
      <c r="CH61" s="293"/>
      <c r="CI61" s="293"/>
      <c r="CJ61" s="293"/>
      <c r="CK61" s="293"/>
      <c r="CL61" s="1647" t="e">
        <f t="shared" si="56"/>
        <v>#VALUE!</v>
      </c>
      <c r="CM61" s="1671">
        <v>36</v>
      </c>
      <c r="CN61" s="1644" t="e">
        <f t="shared" si="36"/>
        <v>#VALUE!</v>
      </c>
      <c r="CO61" s="1644" t="e">
        <f t="shared" si="37"/>
        <v>#VALUE!</v>
      </c>
      <c r="CP61" s="1644" t="e">
        <f t="shared" si="38"/>
        <v>#VALUE!</v>
      </c>
      <c r="CQ61" s="1644" t="e">
        <f t="shared" si="39"/>
        <v>#VALUE!</v>
      </c>
      <c r="CR61" s="1644" t="e">
        <f t="shared" si="40"/>
        <v>#VALUE!</v>
      </c>
      <c r="CS61" s="1644" t="e">
        <f t="shared" si="57"/>
        <v>#VALUE!</v>
      </c>
      <c r="CT61" s="1644" t="e">
        <f t="shared" si="72"/>
        <v>#VALUE!</v>
      </c>
      <c r="CU61" s="505" t="e">
        <f t="shared" si="73"/>
        <v>#VALUE!</v>
      </c>
      <c r="CV61" s="1648" t="e">
        <f t="shared" si="74"/>
        <v>#VALUE!</v>
      </c>
      <c r="CW61" s="521" t="e">
        <f t="shared" si="75"/>
        <v>#VALUE!</v>
      </c>
      <c r="CX61" s="522" t="e">
        <f t="shared" si="76"/>
        <v>#VALUE!</v>
      </c>
      <c r="CZ61" s="1647" t="e">
        <f t="shared" si="58"/>
        <v>#VALUE!</v>
      </c>
      <c r="DA61" s="1671">
        <v>36</v>
      </c>
      <c r="DB61" s="1644" t="e">
        <f t="shared" si="46"/>
        <v>#VALUE!</v>
      </c>
      <c r="DC61" s="1644" t="e">
        <f t="shared" si="47"/>
        <v>#VALUE!</v>
      </c>
      <c r="DD61" s="1644" t="e">
        <f t="shared" si="48"/>
        <v>#VALUE!</v>
      </c>
      <c r="DE61" s="1644" t="e">
        <f t="shared" si="49"/>
        <v>#VALUE!</v>
      </c>
      <c r="DF61" s="1644" t="e">
        <f t="shared" si="50"/>
        <v>#VALUE!</v>
      </c>
      <c r="DG61" s="1644" t="e">
        <f t="shared" si="59"/>
        <v>#VALUE!</v>
      </c>
      <c r="DH61" s="1644" t="e">
        <f t="shared" si="51"/>
        <v>#VALUE!</v>
      </c>
      <c r="DI61" s="505" t="e">
        <f t="shared" si="52"/>
        <v>#VALUE!</v>
      </c>
      <c r="DJ61" s="1648" t="e">
        <f t="shared" si="53"/>
        <v>#VALUE!</v>
      </c>
      <c r="DK61" s="521" t="e">
        <f t="shared" si="54"/>
        <v>#VALUE!</v>
      </c>
      <c r="DL61" s="522" t="e">
        <f t="shared" si="55"/>
        <v>#VALUE!</v>
      </c>
      <c r="EA61" s="1647">
        <f t="shared" si="34"/>
        <v>24.000633322175549</v>
      </c>
      <c r="EB61" s="1671">
        <v>52</v>
      </c>
      <c r="EC61" s="1644">
        <f t="shared" si="24"/>
        <v>297.15063332217551</v>
      </c>
      <c r="ED61" s="1644">
        <f t="shared" si="25"/>
        <v>-32.581440875774611</v>
      </c>
      <c r="EE61" s="1644">
        <f t="shared" si="26"/>
        <v>40.582876513413943</v>
      </c>
      <c r="EF61" s="1644">
        <f t="shared" si="27"/>
        <v>2.9852406359596202</v>
      </c>
      <c r="EG61" s="1644">
        <f t="shared" si="28"/>
        <v>1.5523251306990025</v>
      </c>
      <c r="EH61" s="1644">
        <f t="shared" si="35"/>
        <v>1.8881070919450717E-2</v>
      </c>
      <c r="EI61" s="1644">
        <f t="shared" si="66"/>
        <v>0.5125318624191284</v>
      </c>
      <c r="EJ61" s="505">
        <f t="shared" si="67"/>
        <v>52</v>
      </c>
      <c r="EK61" s="1648">
        <f t="shared" si="68"/>
        <v>48.766415599169328</v>
      </c>
      <c r="EL61" s="521">
        <f t="shared" si="69"/>
        <v>13.577376990127046</v>
      </c>
      <c r="EM61" s="522">
        <f t="shared" si="70"/>
        <v>9.6771504428137204E-3</v>
      </c>
    </row>
    <row r="62" spans="12:143">
      <c r="T62" s="297"/>
      <c r="AC62" s="297"/>
      <c r="AK62" s="297"/>
      <c r="AL62" s="297"/>
      <c r="AM62" s="297"/>
      <c r="AN62" s="297"/>
      <c r="AO62" s="297"/>
      <c r="AP62" s="297"/>
      <c r="AQ62" s="297"/>
      <c r="AR62" s="297"/>
      <c r="AS62" s="297"/>
      <c r="BA62" s="294"/>
      <c r="BB62" s="294"/>
      <c r="BC62" s="294"/>
      <c r="BD62" s="294"/>
      <c r="BE62" s="294"/>
      <c r="BF62" s="294"/>
      <c r="BG62" s="294"/>
      <c r="BH62" s="294"/>
      <c r="BI62" s="294"/>
      <c r="CG62" s="293"/>
      <c r="CH62" s="293"/>
      <c r="CI62" s="293"/>
      <c r="CJ62" s="293"/>
      <c r="CK62" s="293"/>
      <c r="CL62" s="1647" t="e">
        <f t="shared" si="56"/>
        <v>#VALUE!</v>
      </c>
      <c r="CM62" s="1671">
        <v>37</v>
      </c>
      <c r="CN62" s="1644" t="e">
        <f t="shared" si="36"/>
        <v>#VALUE!</v>
      </c>
      <c r="CO62" s="1644" t="e">
        <f t="shared" si="37"/>
        <v>#VALUE!</v>
      </c>
      <c r="CP62" s="1644" t="e">
        <f t="shared" si="38"/>
        <v>#VALUE!</v>
      </c>
      <c r="CQ62" s="1644" t="e">
        <f t="shared" si="39"/>
        <v>#VALUE!</v>
      </c>
      <c r="CR62" s="1644" t="e">
        <f t="shared" si="40"/>
        <v>#VALUE!</v>
      </c>
      <c r="CS62" s="1644" t="e">
        <f t="shared" si="57"/>
        <v>#VALUE!</v>
      </c>
      <c r="CT62" s="1644" t="e">
        <f t="shared" si="72"/>
        <v>#VALUE!</v>
      </c>
      <c r="CU62" s="505" t="e">
        <f t="shared" si="73"/>
        <v>#VALUE!</v>
      </c>
      <c r="CV62" s="1648" t="e">
        <f t="shared" si="74"/>
        <v>#VALUE!</v>
      </c>
      <c r="CW62" s="521" t="e">
        <f t="shared" si="75"/>
        <v>#VALUE!</v>
      </c>
      <c r="CX62" s="522" t="e">
        <f t="shared" si="76"/>
        <v>#VALUE!</v>
      </c>
      <c r="CZ62" s="1647" t="e">
        <f t="shared" si="58"/>
        <v>#VALUE!</v>
      </c>
      <c r="DA62" s="1671">
        <v>37</v>
      </c>
      <c r="DB62" s="1644" t="e">
        <f t="shared" si="46"/>
        <v>#VALUE!</v>
      </c>
      <c r="DC62" s="1644" t="e">
        <f t="shared" si="47"/>
        <v>#VALUE!</v>
      </c>
      <c r="DD62" s="1644" t="e">
        <f t="shared" si="48"/>
        <v>#VALUE!</v>
      </c>
      <c r="DE62" s="1644" t="e">
        <f t="shared" si="49"/>
        <v>#VALUE!</v>
      </c>
      <c r="DF62" s="1644" t="e">
        <f t="shared" si="50"/>
        <v>#VALUE!</v>
      </c>
      <c r="DG62" s="1644" t="e">
        <f t="shared" si="59"/>
        <v>#VALUE!</v>
      </c>
      <c r="DH62" s="1644" t="e">
        <f t="shared" si="51"/>
        <v>#VALUE!</v>
      </c>
      <c r="DI62" s="505" t="e">
        <f t="shared" si="52"/>
        <v>#VALUE!</v>
      </c>
      <c r="DJ62" s="1648" t="e">
        <f t="shared" si="53"/>
        <v>#VALUE!</v>
      </c>
      <c r="DK62" s="521" t="e">
        <f t="shared" si="54"/>
        <v>#VALUE!</v>
      </c>
      <c r="DL62" s="522" t="e">
        <f t="shared" si="55"/>
        <v>#VALUE!</v>
      </c>
      <c r="EA62" s="1647">
        <f t="shared" si="34"/>
        <v>24.000633322175549</v>
      </c>
      <c r="EB62" s="1671">
        <v>53</v>
      </c>
      <c r="EC62" s="1644">
        <f t="shared" si="24"/>
        <v>297.15063332217551</v>
      </c>
      <c r="ED62" s="1644">
        <f t="shared" si="25"/>
        <v>-32.581440875774611</v>
      </c>
      <c r="EE62" s="1644">
        <f t="shared" si="26"/>
        <v>40.582876513413943</v>
      </c>
      <c r="EF62" s="1644">
        <f t="shared" si="27"/>
        <v>2.9852406359596202</v>
      </c>
      <c r="EG62" s="1644">
        <f t="shared" si="28"/>
        <v>1.5821775370585989</v>
      </c>
      <c r="EH62" s="1644">
        <f t="shared" si="35"/>
        <v>1.8881070919450717E-2</v>
      </c>
      <c r="EI62" s="1644">
        <f t="shared" si="66"/>
        <v>0.522544591941001</v>
      </c>
      <c r="EJ62" s="505">
        <f t="shared" si="67"/>
        <v>53</v>
      </c>
      <c r="EK62" s="1648">
        <f t="shared" si="68"/>
        <v>49.247422198592545</v>
      </c>
      <c r="EL62" s="521">
        <f t="shared" si="69"/>
        <v>13.869700009988708</v>
      </c>
      <c r="EM62" s="522">
        <f t="shared" si="70"/>
        <v>9.8662014990134744E-3</v>
      </c>
    </row>
    <row r="63" spans="12:143">
      <c r="T63" s="297"/>
      <c r="AC63" s="297"/>
      <c r="AK63" s="297"/>
      <c r="AL63" s="297"/>
      <c r="AM63" s="297"/>
      <c r="AN63" s="297"/>
      <c r="AO63" s="297"/>
      <c r="AP63" s="297"/>
      <c r="AQ63" s="297"/>
      <c r="AR63" s="297"/>
      <c r="AS63" s="297"/>
      <c r="BA63" s="294"/>
      <c r="BB63" s="294"/>
      <c r="BC63" s="294"/>
      <c r="BD63" s="294"/>
      <c r="BE63" s="294"/>
      <c r="BF63" s="294"/>
      <c r="BG63" s="294"/>
      <c r="BH63" s="294"/>
      <c r="BI63" s="294"/>
      <c r="CG63" s="293"/>
      <c r="CH63" s="293"/>
      <c r="CI63" s="293"/>
      <c r="CJ63" s="293"/>
      <c r="CK63" s="293"/>
      <c r="CL63" s="1647" t="e">
        <f t="shared" si="56"/>
        <v>#VALUE!</v>
      </c>
      <c r="CM63" s="1671">
        <v>38</v>
      </c>
      <c r="CN63" s="1644" t="e">
        <f t="shared" si="36"/>
        <v>#VALUE!</v>
      </c>
      <c r="CO63" s="1644" t="e">
        <f t="shared" si="37"/>
        <v>#VALUE!</v>
      </c>
      <c r="CP63" s="1644" t="e">
        <f t="shared" si="38"/>
        <v>#VALUE!</v>
      </c>
      <c r="CQ63" s="1644" t="e">
        <f t="shared" si="39"/>
        <v>#VALUE!</v>
      </c>
      <c r="CR63" s="1644" t="e">
        <f t="shared" si="40"/>
        <v>#VALUE!</v>
      </c>
      <c r="CS63" s="1644" t="e">
        <f t="shared" si="57"/>
        <v>#VALUE!</v>
      </c>
      <c r="CT63" s="1644" t="e">
        <f t="shared" si="72"/>
        <v>#VALUE!</v>
      </c>
      <c r="CU63" s="505" t="e">
        <f t="shared" si="73"/>
        <v>#VALUE!</v>
      </c>
      <c r="CV63" s="1648" t="e">
        <f t="shared" si="74"/>
        <v>#VALUE!</v>
      </c>
      <c r="CW63" s="521" t="e">
        <f t="shared" si="75"/>
        <v>#VALUE!</v>
      </c>
      <c r="CX63" s="522" t="e">
        <f t="shared" si="76"/>
        <v>#VALUE!</v>
      </c>
      <c r="CZ63" s="1647" t="e">
        <f t="shared" si="58"/>
        <v>#VALUE!</v>
      </c>
      <c r="DA63" s="1671">
        <v>38</v>
      </c>
      <c r="DB63" s="1644" t="e">
        <f t="shared" si="46"/>
        <v>#VALUE!</v>
      </c>
      <c r="DC63" s="1644" t="e">
        <f t="shared" si="47"/>
        <v>#VALUE!</v>
      </c>
      <c r="DD63" s="1644" t="e">
        <f t="shared" si="48"/>
        <v>#VALUE!</v>
      </c>
      <c r="DE63" s="1644" t="e">
        <f t="shared" si="49"/>
        <v>#VALUE!</v>
      </c>
      <c r="DF63" s="1644" t="e">
        <f t="shared" si="50"/>
        <v>#VALUE!</v>
      </c>
      <c r="DG63" s="1644" t="e">
        <f t="shared" si="59"/>
        <v>#VALUE!</v>
      </c>
      <c r="DH63" s="1644" t="e">
        <f t="shared" si="51"/>
        <v>#VALUE!</v>
      </c>
      <c r="DI63" s="505" t="e">
        <f t="shared" si="52"/>
        <v>#VALUE!</v>
      </c>
      <c r="DJ63" s="1648" t="e">
        <f t="shared" si="53"/>
        <v>#VALUE!</v>
      </c>
      <c r="DK63" s="521" t="e">
        <f t="shared" si="54"/>
        <v>#VALUE!</v>
      </c>
      <c r="DL63" s="522" t="e">
        <f t="shared" si="55"/>
        <v>#VALUE!</v>
      </c>
      <c r="EA63" s="1647">
        <f t="shared" si="34"/>
        <v>24.000633322175549</v>
      </c>
      <c r="EB63" s="1671">
        <v>54</v>
      </c>
      <c r="EC63" s="1644">
        <f t="shared" si="24"/>
        <v>297.15063332217551</v>
      </c>
      <c r="ED63" s="1644">
        <f t="shared" si="25"/>
        <v>-32.581440875774611</v>
      </c>
      <c r="EE63" s="1644">
        <f t="shared" si="26"/>
        <v>40.582876513413943</v>
      </c>
      <c r="EF63" s="1644">
        <f t="shared" si="27"/>
        <v>2.9852406359596202</v>
      </c>
      <c r="EG63" s="1644">
        <f t="shared" si="28"/>
        <v>1.6120299434181951</v>
      </c>
      <c r="EH63" s="1644">
        <f t="shared" si="35"/>
        <v>1.8881070919450717E-2</v>
      </c>
      <c r="EI63" s="1644">
        <f t="shared" si="66"/>
        <v>0.53256331675255908</v>
      </c>
      <c r="EJ63" s="505">
        <f t="shared" si="67"/>
        <v>54</v>
      </c>
      <c r="EK63" s="1648">
        <f t="shared" si="68"/>
        <v>49.728716808782245</v>
      </c>
      <c r="EL63" s="521">
        <f t="shared" si="69"/>
        <v>14.157179013462612</v>
      </c>
      <c r="EM63" s="522">
        <f t="shared" si="70"/>
        <v>1.0055365752702964E-2</v>
      </c>
    </row>
    <row r="64" spans="12:143">
      <c r="T64" s="297"/>
      <c r="AC64" s="297"/>
      <c r="AK64" s="297"/>
      <c r="AL64" s="297"/>
      <c r="AM64" s="297"/>
      <c r="AN64" s="297"/>
      <c r="AO64" s="297"/>
      <c r="AP64" s="297"/>
      <c r="AQ64" s="297"/>
      <c r="AR64" s="297"/>
      <c r="AS64" s="297"/>
      <c r="BA64" s="294"/>
      <c r="BB64" s="294"/>
      <c r="BC64" s="294"/>
      <c r="BD64" s="294"/>
      <c r="BE64" s="294"/>
      <c r="BF64" s="294"/>
      <c r="BG64" s="294"/>
      <c r="BH64" s="294"/>
      <c r="BI64" s="294"/>
      <c r="CG64" s="293"/>
      <c r="CH64" s="293"/>
      <c r="CI64" s="293"/>
      <c r="CJ64" s="293"/>
      <c r="CK64" s="293"/>
      <c r="CL64" s="1647" t="e">
        <f t="shared" si="56"/>
        <v>#VALUE!</v>
      </c>
      <c r="CM64" s="1671">
        <v>39</v>
      </c>
      <c r="CN64" s="1644" t="e">
        <f t="shared" si="36"/>
        <v>#VALUE!</v>
      </c>
      <c r="CO64" s="1644" t="e">
        <f t="shared" si="37"/>
        <v>#VALUE!</v>
      </c>
      <c r="CP64" s="1644" t="e">
        <f t="shared" si="38"/>
        <v>#VALUE!</v>
      </c>
      <c r="CQ64" s="1644" t="e">
        <f t="shared" si="39"/>
        <v>#VALUE!</v>
      </c>
      <c r="CR64" s="1644" t="e">
        <f t="shared" si="40"/>
        <v>#VALUE!</v>
      </c>
      <c r="CS64" s="1644" t="e">
        <f t="shared" si="57"/>
        <v>#VALUE!</v>
      </c>
      <c r="CT64" s="1644" t="e">
        <f t="shared" si="72"/>
        <v>#VALUE!</v>
      </c>
      <c r="CU64" s="505" t="e">
        <f t="shared" si="73"/>
        <v>#VALUE!</v>
      </c>
      <c r="CV64" s="1648" t="e">
        <f t="shared" si="74"/>
        <v>#VALUE!</v>
      </c>
      <c r="CW64" s="521" t="e">
        <f t="shared" si="75"/>
        <v>#VALUE!</v>
      </c>
      <c r="CX64" s="522" t="e">
        <f t="shared" si="76"/>
        <v>#VALUE!</v>
      </c>
      <c r="CZ64" s="1647" t="e">
        <f t="shared" si="58"/>
        <v>#VALUE!</v>
      </c>
      <c r="DA64" s="1671">
        <v>39</v>
      </c>
      <c r="DB64" s="1644" t="e">
        <f t="shared" si="46"/>
        <v>#VALUE!</v>
      </c>
      <c r="DC64" s="1644" t="e">
        <f t="shared" si="47"/>
        <v>#VALUE!</v>
      </c>
      <c r="DD64" s="1644" t="e">
        <f t="shared" si="48"/>
        <v>#VALUE!</v>
      </c>
      <c r="DE64" s="1644" t="e">
        <f t="shared" si="49"/>
        <v>#VALUE!</v>
      </c>
      <c r="DF64" s="1644" t="e">
        <f t="shared" si="50"/>
        <v>#VALUE!</v>
      </c>
      <c r="DG64" s="1644" t="e">
        <f t="shared" si="59"/>
        <v>#VALUE!</v>
      </c>
      <c r="DH64" s="1644" t="e">
        <f t="shared" si="51"/>
        <v>#VALUE!</v>
      </c>
      <c r="DI64" s="505" t="e">
        <f t="shared" si="52"/>
        <v>#VALUE!</v>
      </c>
      <c r="DJ64" s="1648" t="e">
        <f t="shared" si="53"/>
        <v>#VALUE!</v>
      </c>
      <c r="DK64" s="521" t="e">
        <f t="shared" si="54"/>
        <v>#VALUE!</v>
      </c>
      <c r="DL64" s="522" t="e">
        <f t="shared" si="55"/>
        <v>#VALUE!</v>
      </c>
      <c r="EA64" s="1647">
        <f t="shared" si="34"/>
        <v>24.000633322175549</v>
      </c>
      <c r="EB64" s="1671">
        <v>55</v>
      </c>
      <c r="EC64" s="1644">
        <f t="shared" si="24"/>
        <v>297.15063332217551</v>
      </c>
      <c r="ED64" s="1644">
        <f t="shared" si="25"/>
        <v>-32.581440875774611</v>
      </c>
      <c r="EE64" s="1644">
        <f t="shared" si="26"/>
        <v>40.582876513413943</v>
      </c>
      <c r="EF64" s="1644">
        <f t="shared" si="27"/>
        <v>2.9852406359596202</v>
      </c>
      <c r="EG64" s="1644">
        <f t="shared" si="28"/>
        <v>1.6418823497777912</v>
      </c>
      <c r="EH64" s="1644">
        <f t="shared" si="35"/>
        <v>1.8881070919450717E-2</v>
      </c>
      <c r="EI64" s="1644">
        <f t="shared" si="66"/>
        <v>0.54258804224008594</v>
      </c>
      <c r="EJ64" s="505">
        <f t="shared" si="67"/>
        <v>55</v>
      </c>
      <c r="EK64" s="1648">
        <f t="shared" si="68"/>
        <v>50.210299688492825</v>
      </c>
      <c r="EL64" s="521">
        <f t="shared" si="69"/>
        <v>14.439984141105924</v>
      </c>
      <c r="EM64" s="522">
        <f t="shared" si="70"/>
        <v>1.0244643305580984E-2</v>
      </c>
    </row>
    <row r="65" spans="12:143">
      <c r="AK65" s="297"/>
      <c r="AL65" s="297"/>
      <c r="AM65" s="297"/>
      <c r="AN65" s="297"/>
      <c r="AO65" s="297"/>
      <c r="AP65" s="297"/>
      <c r="AQ65" s="297"/>
      <c r="AR65" s="297"/>
      <c r="AS65" s="297"/>
      <c r="BA65" s="294"/>
      <c r="BB65" s="294"/>
      <c r="BC65" s="294"/>
      <c r="BD65" s="294"/>
      <c r="BE65" s="294"/>
      <c r="BF65" s="294"/>
      <c r="BG65" s="294"/>
      <c r="BH65" s="294"/>
      <c r="BI65" s="294"/>
      <c r="CG65" s="293"/>
      <c r="CH65" s="293"/>
      <c r="CI65" s="293"/>
      <c r="CL65" s="1647" t="e">
        <f t="shared" si="56"/>
        <v>#VALUE!</v>
      </c>
      <c r="CM65" s="1671">
        <v>40</v>
      </c>
      <c r="CN65" s="1644" t="e">
        <f t="shared" si="36"/>
        <v>#VALUE!</v>
      </c>
      <c r="CO65" s="1644" t="e">
        <f t="shared" si="37"/>
        <v>#VALUE!</v>
      </c>
      <c r="CP65" s="1644" t="e">
        <f t="shared" si="38"/>
        <v>#VALUE!</v>
      </c>
      <c r="CQ65" s="1644" t="e">
        <f t="shared" si="39"/>
        <v>#VALUE!</v>
      </c>
      <c r="CR65" s="1644" t="e">
        <f t="shared" si="40"/>
        <v>#VALUE!</v>
      </c>
      <c r="CS65" s="1644" t="e">
        <f t="shared" si="57"/>
        <v>#VALUE!</v>
      </c>
      <c r="CT65" s="1644" t="e">
        <f t="shared" si="72"/>
        <v>#VALUE!</v>
      </c>
      <c r="CU65" s="505" t="e">
        <f t="shared" si="73"/>
        <v>#VALUE!</v>
      </c>
      <c r="CV65" s="1648" t="e">
        <f t="shared" si="74"/>
        <v>#VALUE!</v>
      </c>
      <c r="CW65" s="521" t="e">
        <f t="shared" si="75"/>
        <v>#VALUE!</v>
      </c>
      <c r="CX65" s="522" t="e">
        <f t="shared" si="76"/>
        <v>#VALUE!</v>
      </c>
      <c r="CZ65" s="1647" t="e">
        <f t="shared" si="58"/>
        <v>#VALUE!</v>
      </c>
      <c r="DA65" s="1671">
        <v>40</v>
      </c>
      <c r="DB65" s="1644" t="e">
        <f t="shared" si="46"/>
        <v>#VALUE!</v>
      </c>
      <c r="DC65" s="1644" t="e">
        <f t="shared" si="47"/>
        <v>#VALUE!</v>
      </c>
      <c r="DD65" s="1644" t="e">
        <f t="shared" si="48"/>
        <v>#VALUE!</v>
      </c>
      <c r="DE65" s="1644" t="e">
        <f t="shared" si="49"/>
        <v>#VALUE!</v>
      </c>
      <c r="DF65" s="1644" t="e">
        <f t="shared" si="50"/>
        <v>#VALUE!</v>
      </c>
      <c r="DG65" s="1644" t="e">
        <f t="shared" si="59"/>
        <v>#VALUE!</v>
      </c>
      <c r="DH65" s="1644" t="e">
        <f t="shared" si="51"/>
        <v>#VALUE!</v>
      </c>
      <c r="DI65" s="505" t="e">
        <f t="shared" si="52"/>
        <v>#VALUE!</v>
      </c>
      <c r="DJ65" s="1648" t="e">
        <f t="shared" si="53"/>
        <v>#VALUE!</v>
      </c>
      <c r="DK65" s="521" t="e">
        <f t="shared" si="54"/>
        <v>#VALUE!</v>
      </c>
      <c r="DL65" s="522" t="e">
        <f t="shared" si="55"/>
        <v>#VALUE!</v>
      </c>
      <c r="EA65" s="1647">
        <f t="shared" si="34"/>
        <v>24.000633322175549</v>
      </c>
      <c r="EB65" s="1671">
        <v>56</v>
      </c>
      <c r="EC65" s="1644">
        <f t="shared" si="24"/>
        <v>297.15063332217551</v>
      </c>
      <c r="ED65" s="1644">
        <f t="shared" si="25"/>
        <v>-32.581440875774611</v>
      </c>
      <c r="EE65" s="1644">
        <f t="shared" si="26"/>
        <v>40.582876513413943</v>
      </c>
      <c r="EF65" s="1644">
        <f t="shared" si="27"/>
        <v>2.9852406359596202</v>
      </c>
      <c r="EG65" s="1644">
        <f t="shared" si="28"/>
        <v>1.6717347561373874</v>
      </c>
      <c r="EH65" s="1644">
        <f t="shared" si="35"/>
        <v>1.8881070919450717E-2</v>
      </c>
      <c r="EI65" s="1644">
        <f t="shared" si="66"/>
        <v>0.5526187737963183</v>
      </c>
      <c r="EJ65" s="505">
        <f t="shared" si="67"/>
        <v>56</v>
      </c>
      <c r="EK65" s="1648">
        <f t="shared" si="68"/>
        <v>50.692171096788705</v>
      </c>
      <c r="EL65" s="521">
        <f t="shared" si="69"/>
        <v>14.718276544073809</v>
      </c>
      <c r="EM65" s="522">
        <f t="shared" si="70"/>
        <v>1.043403425946818E-2</v>
      </c>
    </row>
    <row r="66" spans="12:143">
      <c r="BA66" s="294"/>
      <c r="BB66" s="294"/>
      <c r="BC66" s="294"/>
      <c r="BD66" s="294"/>
      <c r="BE66" s="294"/>
      <c r="BF66" s="294"/>
      <c r="BG66" s="294"/>
      <c r="BH66" s="294"/>
      <c r="BI66" s="294"/>
      <c r="CG66" s="293"/>
      <c r="CH66" s="293"/>
      <c r="CI66" s="293"/>
      <c r="CL66" s="1647" t="e">
        <f t="shared" si="56"/>
        <v>#VALUE!</v>
      </c>
      <c r="CM66" s="1671">
        <v>41</v>
      </c>
      <c r="CN66" s="1644" t="e">
        <f t="shared" si="36"/>
        <v>#VALUE!</v>
      </c>
      <c r="CO66" s="1644" t="e">
        <f t="shared" si="37"/>
        <v>#VALUE!</v>
      </c>
      <c r="CP66" s="1644" t="e">
        <f t="shared" si="38"/>
        <v>#VALUE!</v>
      </c>
      <c r="CQ66" s="1644" t="e">
        <f t="shared" si="39"/>
        <v>#VALUE!</v>
      </c>
      <c r="CR66" s="1644" t="e">
        <f t="shared" si="40"/>
        <v>#VALUE!</v>
      </c>
      <c r="CS66" s="1644" t="e">
        <f t="shared" si="57"/>
        <v>#VALUE!</v>
      </c>
      <c r="CT66" s="1644" t="e">
        <f t="shared" si="72"/>
        <v>#VALUE!</v>
      </c>
      <c r="CU66" s="505" t="e">
        <f t="shared" si="73"/>
        <v>#VALUE!</v>
      </c>
      <c r="CV66" s="1648" t="e">
        <f t="shared" si="74"/>
        <v>#VALUE!</v>
      </c>
      <c r="CW66" s="521" t="e">
        <f t="shared" si="75"/>
        <v>#VALUE!</v>
      </c>
      <c r="CX66" s="522" t="e">
        <f t="shared" si="76"/>
        <v>#VALUE!</v>
      </c>
      <c r="CZ66" s="1647" t="e">
        <f t="shared" si="58"/>
        <v>#VALUE!</v>
      </c>
      <c r="DA66" s="1671">
        <v>41</v>
      </c>
      <c r="DB66" s="1644" t="e">
        <f t="shared" si="46"/>
        <v>#VALUE!</v>
      </c>
      <c r="DC66" s="1644" t="e">
        <f t="shared" si="47"/>
        <v>#VALUE!</v>
      </c>
      <c r="DD66" s="1644" t="e">
        <f t="shared" si="48"/>
        <v>#VALUE!</v>
      </c>
      <c r="DE66" s="1644" t="e">
        <f t="shared" si="49"/>
        <v>#VALUE!</v>
      </c>
      <c r="DF66" s="1644" t="e">
        <f t="shared" si="50"/>
        <v>#VALUE!</v>
      </c>
      <c r="DG66" s="1644" t="e">
        <f t="shared" si="59"/>
        <v>#VALUE!</v>
      </c>
      <c r="DH66" s="1644" t="e">
        <f t="shared" si="51"/>
        <v>#VALUE!</v>
      </c>
      <c r="DI66" s="505" t="e">
        <f t="shared" si="52"/>
        <v>#VALUE!</v>
      </c>
      <c r="DJ66" s="1648" t="e">
        <f t="shared" si="53"/>
        <v>#VALUE!</v>
      </c>
      <c r="DK66" s="521" t="e">
        <f t="shared" si="54"/>
        <v>#VALUE!</v>
      </c>
      <c r="DL66" s="522" t="e">
        <f t="shared" si="55"/>
        <v>#VALUE!</v>
      </c>
      <c r="EA66" s="1647">
        <f t="shared" si="34"/>
        <v>24.000633322175549</v>
      </c>
      <c r="EB66" s="1671">
        <v>57</v>
      </c>
      <c r="EC66" s="1644">
        <f t="shared" si="24"/>
        <v>297.15063332217551</v>
      </c>
      <c r="ED66" s="1644">
        <f t="shared" si="25"/>
        <v>-32.581440875774611</v>
      </c>
      <c r="EE66" s="1644">
        <f t="shared" si="26"/>
        <v>40.582876513413943</v>
      </c>
      <c r="EF66" s="1644">
        <f t="shared" si="27"/>
        <v>2.9852406359596202</v>
      </c>
      <c r="EG66" s="1644">
        <f t="shared" si="28"/>
        <v>1.7015871624969834</v>
      </c>
      <c r="EH66" s="1644">
        <f t="shared" si="35"/>
        <v>1.8881070919450717E-2</v>
      </c>
      <c r="EI66" s="1644">
        <f t="shared" si="66"/>
        <v>0.56265551682045711</v>
      </c>
      <c r="EJ66" s="505">
        <f t="shared" si="67"/>
        <v>57</v>
      </c>
      <c r="EK66" s="1648">
        <f t="shared" si="68"/>
        <v>51.174331293044844</v>
      </c>
      <c r="EL66" s="521">
        <f t="shared" si="69"/>
        <v>14.992209011890198</v>
      </c>
      <c r="EM66" s="522">
        <f t="shared" si="70"/>
        <v>1.0623538716307246E-2</v>
      </c>
    </row>
    <row r="67" spans="12:143">
      <c r="BA67" s="294"/>
      <c r="BB67" s="294"/>
      <c r="BC67" s="294"/>
      <c r="BD67" s="294"/>
      <c r="BE67" s="294"/>
      <c r="BF67" s="294"/>
      <c r="BG67" s="294"/>
      <c r="BH67" s="294"/>
      <c r="BI67" s="294"/>
      <c r="CG67" s="293"/>
      <c r="CH67" s="293"/>
      <c r="CI67" s="293"/>
      <c r="CL67" s="1647" t="e">
        <f t="shared" si="56"/>
        <v>#VALUE!</v>
      </c>
      <c r="CM67" s="1671">
        <v>42</v>
      </c>
      <c r="CN67" s="1644" t="e">
        <f t="shared" si="36"/>
        <v>#VALUE!</v>
      </c>
      <c r="CO67" s="1644" t="e">
        <f t="shared" si="37"/>
        <v>#VALUE!</v>
      </c>
      <c r="CP67" s="1644" t="e">
        <f t="shared" si="38"/>
        <v>#VALUE!</v>
      </c>
      <c r="CQ67" s="1644" t="e">
        <f t="shared" si="39"/>
        <v>#VALUE!</v>
      </c>
      <c r="CR67" s="1644" t="e">
        <f t="shared" si="40"/>
        <v>#VALUE!</v>
      </c>
      <c r="CS67" s="1644" t="e">
        <f t="shared" si="57"/>
        <v>#VALUE!</v>
      </c>
      <c r="CT67" s="1644" t="e">
        <f t="shared" si="72"/>
        <v>#VALUE!</v>
      </c>
      <c r="CU67" s="505" t="e">
        <f t="shared" si="73"/>
        <v>#VALUE!</v>
      </c>
      <c r="CV67" s="1648" t="e">
        <f t="shared" si="74"/>
        <v>#VALUE!</v>
      </c>
      <c r="CW67" s="521" t="e">
        <f t="shared" si="75"/>
        <v>#VALUE!</v>
      </c>
      <c r="CX67" s="522" t="e">
        <f t="shared" si="76"/>
        <v>#VALUE!</v>
      </c>
      <c r="CZ67" s="1647" t="e">
        <f t="shared" si="58"/>
        <v>#VALUE!</v>
      </c>
      <c r="DA67" s="1671">
        <v>42</v>
      </c>
      <c r="DB67" s="1644" t="e">
        <f t="shared" si="46"/>
        <v>#VALUE!</v>
      </c>
      <c r="DC67" s="1644" t="e">
        <f t="shared" si="47"/>
        <v>#VALUE!</v>
      </c>
      <c r="DD67" s="1644" t="e">
        <f t="shared" si="48"/>
        <v>#VALUE!</v>
      </c>
      <c r="DE67" s="1644" t="e">
        <f t="shared" si="49"/>
        <v>#VALUE!</v>
      </c>
      <c r="DF67" s="1644" t="e">
        <f t="shared" si="50"/>
        <v>#VALUE!</v>
      </c>
      <c r="DG67" s="1644" t="e">
        <f t="shared" si="59"/>
        <v>#VALUE!</v>
      </c>
      <c r="DH67" s="1644" t="e">
        <f t="shared" si="51"/>
        <v>#VALUE!</v>
      </c>
      <c r="DI67" s="505" t="e">
        <f t="shared" si="52"/>
        <v>#VALUE!</v>
      </c>
      <c r="DJ67" s="1648" t="e">
        <f t="shared" si="53"/>
        <v>#VALUE!</v>
      </c>
      <c r="DK67" s="521" t="e">
        <f t="shared" si="54"/>
        <v>#VALUE!</v>
      </c>
      <c r="DL67" s="522" t="e">
        <f t="shared" si="55"/>
        <v>#VALUE!</v>
      </c>
      <c r="EA67" s="1647">
        <f t="shared" si="34"/>
        <v>24.000633322175549</v>
      </c>
      <c r="EB67" s="1671">
        <v>58</v>
      </c>
      <c r="EC67" s="1644">
        <f t="shared" si="24"/>
        <v>297.15063332217551</v>
      </c>
      <c r="ED67" s="1644">
        <f t="shared" si="25"/>
        <v>-32.581440875774611</v>
      </c>
      <c r="EE67" s="1644">
        <f t="shared" si="26"/>
        <v>40.582876513413943</v>
      </c>
      <c r="EF67" s="1644">
        <f t="shared" si="27"/>
        <v>2.9852406359596202</v>
      </c>
      <c r="EG67" s="1644">
        <f t="shared" si="28"/>
        <v>1.7314395688565796</v>
      </c>
      <c r="EH67" s="1644">
        <f t="shared" si="35"/>
        <v>1.8881070919450717E-2</v>
      </c>
      <c r="EI67" s="1644">
        <f t="shared" si="66"/>
        <v>0.57269827671817664</v>
      </c>
      <c r="EJ67" s="505">
        <f t="shared" si="67"/>
        <v>58</v>
      </c>
      <c r="EK67" s="1648">
        <f t="shared" si="68"/>
        <v>51.656780536947167</v>
      </c>
      <c r="EL67" s="521">
        <f t="shared" si="69"/>
        <v>15.26192654610894</v>
      </c>
      <c r="EM67" s="522">
        <f t="shared" si="70"/>
        <v>1.0813156778163104E-2</v>
      </c>
    </row>
    <row r="68" spans="12:143">
      <c r="BA68" s="294"/>
      <c r="BB68" s="294"/>
      <c r="BC68" s="294"/>
      <c r="BD68" s="294"/>
      <c r="BE68" s="294"/>
      <c r="BF68" s="294"/>
      <c r="BG68" s="294"/>
      <c r="BH68" s="294"/>
      <c r="BI68" s="294"/>
      <c r="CG68" s="293"/>
      <c r="CH68" s="293"/>
      <c r="CI68" s="293"/>
      <c r="CL68" s="1647" t="e">
        <f t="shared" si="56"/>
        <v>#VALUE!</v>
      </c>
      <c r="CM68" s="1671">
        <v>43</v>
      </c>
      <c r="CN68" s="1644" t="e">
        <f t="shared" si="36"/>
        <v>#VALUE!</v>
      </c>
      <c r="CO68" s="1644" t="e">
        <f t="shared" si="37"/>
        <v>#VALUE!</v>
      </c>
      <c r="CP68" s="1644" t="e">
        <f t="shared" si="38"/>
        <v>#VALUE!</v>
      </c>
      <c r="CQ68" s="1644" t="e">
        <f t="shared" si="39"/>
        <v>#VALUE!</v>
      </c>
      <c r="CR68" s="1644" t="e">
        <f t="shared" si="40"/>
        <v>#VALUE!</v>
      </c>
      <c r="CS68" s="1644" t="e">
        <f t="shared" si="57"/>
        <v>#VALUE!</v>
      </c>
      <c r="CT68" s="1644" t="e">
        <f t="shared" si="72"/>
        <v>#VALUE!</v>
      </c>
      <c r="CU68" s="505" t="e">
        <f t="shared" si="73"/>
        <v>#VALUE!</v>
      </c>
      <c r="CV68" s="1648" t="e">
        <f t="shared" si="74"/>
        <v>#VALUE!</v>
      </c>
      <c r="CW68" s="521" t="e">
        <f t="shared" si="75"/>
        <v>#VALUE!</v>
      </c>
      <c r="CX68" s="522" t="e">
        <f t="shared" si="76"/>
        <v>#VALUE!</v>
      </c>
      <c r="CZ68" s="1647" t="e">
        <f t="shared" si="58"/>
        <v>#VALUE!</v>
      </c>
      <c r="DA68" s="1671">
        <v>43</v>
      </c>
      <c r="DB68" s="1644" t="e">
        <f t="shared" si="46"/>
        <v>#VALUE!</v>
      </c>
      <c r="DC68" s="1644" t="e">
        <f t="shared" si="47"/>
        <v>#VALUE!</v>
      </c>
      <c r="DD68" s="1644" t="e">
        <f t="shared" si="48"/>
        <v>#VALUE!</v>
      </c>
      <c r="DE68" s="1644" t="e">
        <f t="shared" si="49"/>
        <v>#VALUE!</v>
      </c>
      <c r="DF68" s="1644" t="e">
        <f t="shared" si="50"/>
        <v>#VALUE!</v>
      </c>
      <c r="DG68" s="1644" t="e">
        <f t="shared" si="59"/>
        <v>#VALUE!</v>
      </c>
      <c r="DH68" s="1644" t="e">
        <f t="shared" si="51"/>
        <v>#VALUE!</v>
      </c>
      <c r="DI68" s="505" t="e">
        <f t="shared" si="52"/>
        <v>#VALUE!</v>
      </c>
      <c r="DJ68" s="1648" t="e">
        <f t="shared" si="53"/>
        <v>#VALUE!</v>
      </c>
      <c r="DK68" s="521" t="e">
        <f t="shared" si="54"/>
        <v>#VALUE!</v>
      </c>
      <c r="DL68" s="522" t="e">
        <f t="shared" si="55"/>
        <v>#VALUE!</v>
      </c>
      <c r="EA68" s="1647">
        <f t="shared" si="34"/>
        <v>24.000633322175549</v>
      </c>
      <c r="EB68" s="1671">
        <v>59</v>
      </c>
      <c r="EC68" s="1644">
        <f t="shared" si="24"/>
        <v>297.15063332217551</v>
      </c>
      <c r="ED68" s="1644">
        <f t="shared" si="25"/>
        <v>-32.581440875774611</v>
      </c>
      <c r="EE68" s="1644">
        <f t="shared" si="26"/>
        <v>40.582876513413943</v>
      </c>
      <c r="EF68" s="1644">
        <f t="shared" si="27"/>
        <v>2.9852406359596202</v>
      </c>
      <c r="EG68" s="1644">
        <f t="shared" si="28"/>
        <v>1.7612919752161758</v>
      </c>
      <c r="EH68" s="1644">
        <f t="shared" si="35"/>
        <v>1.8881070919450717E-2</v>
      </c>
      <c r="EI68" s="1644">
        <f t="shared" si="66"/>
        <v>0.58274705890163436</v>
      </c>
      <c r="EJ68" s="505">
        <f t="shared" si="67"/>
        <v>59</v>
      </c>
      <c r="EK68" s="1648">
        <f t="shared" si="68"/>
        <v>52.139519088493067</v>
      </c>
      <c r="EL68" s="521">
        <f t="shared" si="69"/>
        <v>15.527566885382274</v>
      </c>
      <c r="EM68" s="522">
        <f t="shared" si="70"/>
        <v>1.1002888547223083E-2</v>
      </c>
    </row>
    <row r="69" spans="12:143">
      <c r="BA69" s="294"/>
      <c r="BB69" s="294"/>
      <c r="BC69" s="294"/>
      <c r="BD69" s="294"/>
      <c r="BE69" s="294"/>
      <c r="BF69" s="294"/>
      <c r="BG69" s="294"/>
      <c r="BH69" s="294"/>
      <c r="BI69" s="294"/>
      <c r="CG69" s="293"/>
      <c r="CH69" s="293"/>
      <c r="CI69" s="293"/>
      <c r="CL69" s="1647" t="e">
        <f t="shared" si="56"/>
        <v>#VALUE!</v>
      </c>
      <c r="CM69" s="1671">
        <v>44</v>
      </c>
      <c r="CN69" s="1644" t="e">
        <f t="shared" si="36"/>
        <v>#VALUE!</v>
      </c>
      <c r="CO69" s="1644" t="e">
        <f t="shared" si="37"/>
        <v>#VALUE!</v>
      </c>
      <c r="CP69" s="1644" t="e">
        <f t="shared" si="38"/>
        <v>#VALUE!</v>
      </c>
      <c r="CQ69" s="1644" t="e">
        <f t="shared" si="39"/>
        <v>#VALUE!</v>
      </c>
      <c r="CR69" s="1644" t="e">
        <f t="shared" si="40"/>
        <v>#VALUE!</v>
      </c>
      <c r="CS69" s="1644" t="e">
        <f t="shared" si="57"/>
        <v>#VALUE!</v>
      </c>
      <c r="CT69" s="1644" t="e">
        <f t="shared" si="72"/>
        <v>#VALUE!</v>
      </c>
      <c r="CU69" s="505" t="e">
        <f t="shared" si="73"/>
        <v>#VALUE!</v>
      </c>
      <c r="CV69" s="1648" t="e">
        <f t="shared" si="74"/>
        <v>#VALUE!</v>
      </c>
      <c r="CW69" s="521" t="e">
        <f t="shared" si="75"/>
        <v>#VALUE!</v>
      </c>
      <c r="CX69" s="522" t="e">
        <f t="shared" si="76"/>
        <v>#VALUE!</v>
      </c>
      <c r="CZ69" s="1647" t="e">
        <f t="shared" si="58"/>
        <v>#VALUE!</v>
      </c>
      <c r="DA69" s="1671">
        <v>44</v>
      </c>
      <c r="DB69" s="1644" t="e">
        <f t="shared" si="46"/>
        <v>#VALUE!</v>
      </c>
      <c r="DC69" s="1644" t="e">
        <f t="shared" si="47"/>
        <v>#VALUE!</v>
      </c>
      <c r="DD69" s="1644" t="e">
        <f t="shared" si="48"/>
        <v>#VALUE!</v>
      </c>
      <c r="DE69" s="1644" t="e">
        <f t="shared" si="49"/>
        <v>#VALUE!</v>
      </c>
      <c r="DF69" s="1644" t="e">
        <f t="shared" si="50"/>
        <v>#VALUE!</v>
      </c>
      <c r="DG69" s="1644" t="e">
        <f t="shared" si="59"/>
        <v>#VALUE!</v>
      </c>
      <c r="DH69" s="1644" t="e">
        <f t="shared" si="51"/>
        <v>#VALUE!</v>
      </c>
      <c r="DI69" s="505" t="e">
        <f t="shared" si="52"/>
        <v>#VALUE!</v>
      </c>
      <c r="DJ69" s="1648" t="e">
        <f t="shared" si="53"/>
        <v>#VALUE!</v>
      </c>
      <c r="DK69" s="521" t="e">
        <f t="shared" si="54"/>
        <v>#VALUE!</v>
      </c>
      <c r="DL69" s="522" t="e">
        <f t="shared" si="55"/>
        <v>#VALUE!</v>
      </c>
      <c r="EA69" s="1647">
        <f t="shared" si="34"/>
        <v>24.000633322175549</v>
      </c>
      <c r="EB69" s="1671">
        <v>60</v>
      </c>
      <c r="EC69" s="1644">
        <f t="shared" si="24"/>
        <v>297.15063332217551</v>
      </c>
      <c r="ED69" s="1644">
        <f t="shared" si="25"/>
        <v>-32.581440875774611</v>
      </c>
      <c r="EE69" s="1644">
        <f t="shared" si="26"/>
        <v>40.582876513413943</v>
      </c>
      <c r="EF69" s="1644">
        <f t="shared" si="27"/>
        <v>2.9852406359596202</v>
      </c>
      <c r="EG69" s="1644">
        <f t="shared" si="28"/>
        <v>1.7911443815757722</v>
      </c>
      <c r="EH69" s="1644">
        <f t="shared" si="35"/>
        <v>1.8881070919450717E-2</v>
      </c>
      <c r="EI69" s="1644">
        <f t="shared" si="66"/>
        <v>0.59280186878948082</v>
      </c>
      <c r="EJ69" s="505">
        <f t="shared" si="67"/>
        <v>60</v>
      </c>
      <c r="EK69" s="1648">
        <f t="shared" si="68"/>
        <v>52.622547207991843</v>
      </c>
      <c r="EL69" s="521">
        <f t="shared" si="69"/>
        <v>15.789260986807333</v>
      </c>
      <c r="EM69" s="522">
        <f t="shared" si="70"/>
        <v>1.1192734125797106E-2</v>
      </c>
    </row>
    <row r="70" spans="12:143">
      <c r="CG70" s="293"/>
      <c r="CH70" s="293"/>
      <c r="CI70" s="293"/>
      <c r="CL70" s="1647" t="e">
        <f t="shared" si="56"/>
        <v>#VALUE!</v>
      </c>
      <c r="CM70" s="1671">
        <v>45</v>
      </c>
      <c r="CN70" s="1644" t="e">
        <f t="shared" si="36"/>
        <v>#VALUE!</v>
      </c>
      <c r="CO70" s="1644" t="e">
        <f t="shared" si="37"/>
        <v>#VALUE!</v>
      </c>
      <c r="CP70" s="1644" t="e">
        <f t="shared" si="38"/>
        <v>#VALUE!</v>
      </c>
      <c r="CQ70" s="1644" t="e">
        <f t="shared" si="39"/>
        <v>#VALUE!</v>
      </c>
      <c r="CR70" s="1644" t="e">
        <f t="shared" si="40"/>
        <v>#VALUE!</v>
      </c>
      <c r="CS70" s="1644" t="e">
        <f t="shared" si="57"/>
        <v>#VALUE!</v>
      </c>
      <c r="CT70" s="1644" t="e">
        <f t="shared" si="72"/>
        <v>#VALUE!</v>
      </c>
      <c r="CU70" s="505" t="e">
        <f t="shared" si="73"/>
        <v>#VALUE!</v>
      </c>
      <c r="CV70" s="1648" t="e">
        <f t="shared" si="74"/>
        <v>#VALUE!</v>
      </c>
      <c r="CW70" s="521" t="e">
        <f t="shared" si="75"/>
        <v>#VALUE!</v>
      </c>
      <c r="CX70" s="522" t="e">
        <f t="shared" si="76"/>
        <v>#VALUE!</v>
      </c>
      <c r="CZ70" s="1647" t="e">
        <f t="shared" si="58"/>
        <v>#VALUE!</v>
      </c>
      <c r="DA70" s="1671">
        <v>45</v>
      </c>
      <c r="DB70" s="1644" t="e">
        <f t="shared" si="46"/>
        <v>#VALUE!</v>
      </c>
      <c r="DC70" s="1644" t="e">
        <f t="shared" si="47"/>
        <v>#VALUE!</v>
      </c>
      <c r="DD70" s="1644" t="e">
        <f t="shared" si="48"/>
        <v>#VALUE!</v>
      </c>
      <c r="DE70" s="1644" t="e">
        <f t="shared" si="49"/>
        <v>#VALUE!</v>
      </c>
      <c r="DF70" s="1644" t="e">
        <f t="shared" si="50"/>
        <v>#VALUE!</v>
      </c>
      <c r="DG70" s="1644" t="e">
        <f t="shared" si="59"/>
        <v>#VALUE!</v>
      </c>
      <c r="DH70" s="1644" t="e">
        <f t="shared" si="51"/>
        <v>#VALUE!</v>
      </c>
      <c r="DI70" s="505" t="e">
        <f t="shared" si="52"/>
        <v>#VALUE!</v>
      </c>
      <c r="DJ70" s="1648" t="e">
        <f t="shared" si="53"/>
        <v>#VALUE!</v>
      </c>
      <c r="DK70" s="521" t="e">
        <f t="shared" si="54"/>
        <v>#VALUE!</v>
      </c>
      <c r="DL70" s="522" t="e">
        <f t="shared" si="55"/>
        <v>#VALUE!</v>
      </c>
      <c r="EA70" s="1647">
        <f t="shared" si="34"/>
        <v>24.000633322175549</v>
      </c>
      <c r="EB70" s="1671">
        <v>61</v>
      </c>
      <c r="EC70" s="1644">
        <f t="shared" si="24"/>
        <v>297.15063332217551</v>
      </c>
      <c r="ED70" s="1644">
        <f t="shared" si="25"/>
        <v>-32.581440875774611</v>
      </c>
      <c r="EE70" s="1644">
        <f t="shared" si="26"/>
        <v>40.582876513413943</v>
      </c>
      <c r="EF70" s="1644">
        <f t="shared" si="27"/>
        <v>2.9852406359596202</v>
      </c>
      <c r="EG70" s="1644">
        <f t="shared" si="28"/>
        <v>1.8209967879353683</v>
      </c>
      <c r="EH70" s="1644">
        <f t="shared" si="35"/>
        <v>1.8881070919450717E-2</v>
      </c>
      <c r="EI70" s="1644">
        <f t="shared" si="66"/>
        <v>0.60286271180686857</v>
      </c>
      <c r="EJ70" s="505">
        <f t="shared" si="67"/>
        <v>61</v>
      </c>
      <c r="EK70" s="1648">
        <f t="shared" si="68"/>
        <v>53.10586515606515</v>
      </c>
      <c r="EL70" s="521">
        <f t="shared" si="69"/>
        <v>16.047133467860021</v>
      </c>
      <c r="EM70" s="522">
        <f t="shared" si="70"/>
        <v>1.1382693616317864E-2</v>
      </c>
    </row>
    <row r="71" spans="12:143">
      <c r="CG71" s="293"/>
      <c r="CH71" s="293"/>
      <c r="CI71" s="293"/>
      <c r="CL71" s="1647" t="e">
        <f t="shared" si="56"/>
        <v>#VALUE!</v>
      </c>
      <c r="CM71" s="1671">
        <v>46</v>
      </c>
      <c r="CN71" s="1644" t="e">
        <f t="shared" si="36"/>
        <v>#VALUE!</v>
      </c>
      <c r="CO71" s="1644" t="e">
        <f t="shared" si="37"/>
        <v>#VALUE!</v>
      </c>
      <c r="CP71" s="1644" t="e">
        <f t="shared" si="38"/>
        <v>#VALUE!</v>
      </c>
      <c r="CQ71" s="1644" t="e">
        <f t="shared" si="39"/>
        <v>#VALUE!</v>
      </c>
      <c r="CR71" s="1644" t="e">
        <f t="shared" si="40"/>
        <v>#VALUE!</v>
      </c>
      <c r="CS71" s="1644" t="e">
        <f t="shared" si="57"/>
        <v>#VALUE!</v>
      </c>
      <c r="CT71" s="1644" t="e">
        <f t="shared" si="72"/>
        <v>#VALUE!</v>
      </c>
      <c r="CU71" s="505" t="e">
        <f t="shared" si="73"/>
        <v>#VALUE!</v>
      </c>
      <c r="CV71" s="1648" t="e">
        <f t="shared" si="74"/>
        <v>#VALUE!</v>
      </c>
      <c r="CW71" s="521" t="e">
        <f t="shared" si="75"/>
        <v>#VALUE!</v>
      </c>
      <c r="CX71" s="522" t="e">
        <f t="shared" si="76"/>
        <v>#VALUE!</v>
      </c>
      <c r="CZ71" s="1647" t="e">
        <f t="shared" si="58"/>
        <v>#VALUE!</v>
      </c>
      <c r="DA71" s="1671">
        <v>46</v>
      </c>
      <c r="DB71" s="1644" t="e">
        <f t="shared" si="46"/>
        <v>#VALUE!</v>
      </c>
      <c r="DC71" s="1644" t="e">
        <f t="shared" si="47"/>
        <v>#VALUE!</v>
      </c>
      <c r="DD71" s="1644" t="e">
        <f t="shared" si="48"/>
        <v>#VALUE!</v>
      </c>
      <c r="DE71" s="1644" t="e">
        <f t="shared" si="49"/>
        <v>#VALUE!</v>
      </c>
      <c r="DF71" s="1644" t="e">
        <f t="shared" si="50"/>
        <v>#VALUE!</v>
      </c>
      <c r="DG71" s="1644" t="e">
        <f t="shared" si="59"/>
        <v>#VALUE!</v>
      </c>
      <c r="DH71" s="1644" t="e">
        <f t="shared" si="51"/>
        <v>#VALUE!</v>
      </c>
      <c r="DI71" s="505" t="e">
        <f t="shared" si="52"/>
        <v>#VALUE!</v>
      </c>
      <c r="DJ71" s="1648" t="e">
        <f t="shared" si="53"/>
        <v>#VALUE!</v>
      </c>
      <c r="DK71" s="521" t="e">
        <f t="shared" si="54"/>
        <v>#VALUE!</v>
      </c>
      <c r="DL71" s="522" t="e">
        <f t="shared" si="55"/>
        <v>#VALUE!</v>
      </c>
      <c r="EA71" s="1647">
        <f t="shared" si="34"/>
        <v>24.000633322175549</v>
      </c>
      <c r="EB71" s="1671">
        <v>62</v>
      </c>
      <c r="EC71" s="1644">
        <f t="shared" si="24"/>
        <v>297.15063332217551</v>
      </c>
      <c r="ED71" s="1644">
        <f t="shared" si="25"/>
        <v>-32.581440875774611</v>
      </c>
      <c r="EE71" s="1644">
        <f t="shared" si="26"/>
        <v>40.582876513413943</v>
      </c>
      <c r="EF71" s="1644">
        <f t="shared" si="27"/>
        <v>2.9852406359596202</v>
      </c>
      <c r="EG71" s="1644">
        <f t="shared" si="28"/>
        <v>1.8508491942949645</v>
      </c>
      <c r="EH71" s="1644">
        <f t="shared" si="35"/>
        <v>1.8881070919450717E-2</v>
      </c>
      <c r="EI71" s="1644">
        <f t="shared" si="66"/>
        <v>0.61292959338546327</v>
      </c>
      <c r="EJ71" s="505">
        <f t="shared" si="67"/>
        <v>62</v>
      </c>
      <c r="EK71" s="1648">
        <f t="shared" si="68"/>
        <v>53.589473193647535</v>
      </c>
      <c r="EL71" s="521">
        <f t="shared" si="69"/>
        <v>16.301303012737243</v>
      </c>
      <c r="EM71" s="522">
        <f t="shared" si="70"/>
        <v>1.1572767121341023E-2</v>
      </c>
    </row>
    <row r="72" spans="12:143">
      <c r="CG72" s="293"/>
      <c r="CH72" s="293"/>
      <c r="CI72" s="293"/>
      <c r="CL72" s="1647" t="e">
        <f t="shared" si="56"/>
        <v>#VALUE!</v>
      </c>
      <c r="CM72" s="1671">
        <v>47</v>
      </c>
      <c r="CN72" s="1644" t="e">
        <f t="shared" si="36"/>
        <v>#VALUE!</v>
      </c>
      <c r="CO72" s="1644" t="e">
        <f t="shared" si="37"/>
        <v>#VALUE!</v>
      </c>
      <c r="CP72" s="1644" t="e">
        <f t="shared" si="38"/>
        <v>#VALUE!</v>
      </c>
      <c r="CQ72" s="1644" t="e">
        <f t="shared" si="39"/>
        <v>#VALUE!</v>
      </c>
      <c r="CR72" s="1644" t="e">
        <f t="shared" si="40"/>
        <v>#VALUE!</v>
      </c>
      <c r="CS72" s="1644" t="e">
        <f t="shared" si="57"/>
        <v>#VALUE!</v>
      </c>
      <c r="CT72" s="1644" t="e">
        <f t="shared" si="72"/>
        <v>#VALUE!</v>
      </c>
      <c r="CU72" s="505" t="e">
        <f t="shared" si="73"/>
        <v>#VALUE!</v>
      </c>
      <c r="CV72" s="1648" t="e">
        <f t="shared" si="74"/>
        <v>#VALUE!</v>
      </c>
      <c r="CW72" s="521" t="e">
        <f t="shared" si="75"/>
        <v>#VALUE!</v>
      </c>
      <c r="CX72" s="522" t="e">
        <f t="shared" si="76"/>
        <v>#VALUE!</v>
      </c>
      <c r="CZ72" s="1647" t="e">
        <f t="shared" si="58"/>
        <v>#VALUE!</v>
      </c>
      <c r="DA72" s="1671">
        <v>47</v>
      </c>
      <c r="DB72" s="1644" t="e">
        <f t="shared" si="46"/>
        <v>#VALUE!</v>
      </c>
      <c r="DC72" s="1644" t="e">
        <f t="shared" si="47"/>
        <v>#VALUE!</v>
      </c>
      <c r="DD72" s="1644" t="e">
        <f t="shared" si="48"/>
        <v>#VALUE!</v>
      </c>
      <c r="DE72" s="1644" t="e">
        <f t="shared" si="49"/>
        <v>#VALUE!</v>
      </c>
      <c r="DF72" s="1644" t="e">
        <f t="shared" si="50"/>
        <v>#VALUE!</v>
      </c>
      <c r="DG72" s="1644" t="e">
        <f t="shared" si="59"/>
        <v>#VALUE!</v>
      </c>
      <c r="DH72" s="1644" t="e">
        <f t="shared" si="51"/>
        <v>#VALUE!</v>
      </c>
      <c r="DI72" s="505" t="e">
        <f t="shared" si="52"/>
        <v>#VALUE!</v>
      </c>
      <c r="DJ72" s="1648" t="e">
        <f t="shared" si="53"/>
        <v>#VALUE!</v>
      </c>
      <c r="DK72" s="521" t="e">
        <f t="shared" si="54"/>
        <v>#VALUE!</v>
      </c>
      <c r="DL72" s="522" t="e">
        <f t="shared" si="55"/>
        <v>#VALUE!</v>
      </c>
      <c r="EA72" s="1647">
        <f t="shared" si="34"/>
        <v>24.000633322175549</v>
      </c>
      <c r="EB72" s="1671">
        <v>63</v>
      </c>
      <c r="EC72" s="1644">
        <f t="shared" si="24"/>
        <v>297.15063332217551</v>
      </c>
      <c r="ED72" s="1644">
        <f t="shared" si="25"/>
        <v>-32.581440875774611</v>
      </c>
      <c r="EE72" s="1644">
        <f t="shared" si="26"/>
        <v>40.582876513413943</v>
      </c>
      <c r="EF72" s="1644">
        <f t="shared" si="27"/>
        <v>2.9852406359596202</v>
      </c>
      <c r="EG72" s="1644">
        <f t="shared" si="28"/>
        <v>1.8807016006545607</v>
      </c>
      <c r="EH72" s="1644">
        <f t="shared" si="35"/>
        <v>1.8881070919450717E-2</v>
      </c>
      <c r="EI72" s="1644">
        <f t="shared" si="66"/>
        <v>0.6230025189634526</v>
      </c>
      <c r="EJ72" s="505">
        <f t="shared" si="67"/>
        <v>63</v>
      </c>
      <c r="EK72" s="1648">
        <f t="shared" si="68"/>
        <v>54.073371581986869</v>
      </c>
      <c r="EL72" s="521">
        <f t="shared" si="69"/>
        <v>16.55188274650234</v>
      </c>
      <c r="EM72" s="522">
        <f t="shared" si="70"/>
        <v>1.1762954743545389E-2</v>
      </c>
    </row>
    <row r="73" spans="12:143">
      <c r="CL73" s="1647" t="e">
        <f t="shared" si="56"/>
        <v>#VALUE!</v>
      </c>
      <c r="CM73" s="1671">
        <v>48</v>
      </c>
      <c r="CN73" s="1644" t="e">
        <f t="shared" si="36"/>
        <v>#VALUE!</v>
      </c>
      <c r="CO73" s="1644" t="e">
        <f t="shared" si="37"/>
        <v>#VALUE!</v>
      </c>
      <c r="CP73" s="1644" t="e">
        <f t="shared" si="38"/>
        <v>#VALUE!</v>
      </c>
      <c r="CQ73" s="1644" t="e">
        <f t="shared" si="39"/>
        <v>#VALUE!</v>
      </c>
      <c r="CR73" s="1644" t="e">
        <f t="shared" si="40"/>
        <v>#VALUE!</v>
      </c>
      <c r="CS73" s="1644" t="e">
        <f t="shared" si="57"/>
        <v>#VALUE!</v>
      </c>
      <c r="CT73" s="1644" t="e">
        <f t="shared" si="72"/>
        <v>#VALUE!</v>
      </c>
      <c r="CU73" s="505" t="e">
        <f t="shared" si="73"/>
        <v>#VALUE!</v>
      </c>
      <c r="CV73" s="1648" t="e">
        <f t="shared" si="74"/>
        <v>#VALUE!</v>
      </c>
      <c r="CW73" s="521" t="e">
        <f t="shared" si="75"/>
        <v>#VALUE!</v>
      </c>
      <c r="CX73" s="522" t="e">
        <f t="shared" si="76"/>
        <v>#VALUE!</v>
      </c>
      <c r="CZ73" s="1647" t="e">
        <f t="shared" si="58"/>
        <v>#VALUE!</v>
      </c>
      <c r="DA73" s="1671">
        <v>48</v>
      </c>
      <c r="DB73" s="1644" t="e">
        <f t="shared" si="46"/>
        <v>#VALUE!</v>
      </c>
      <c r="DC73" s="1644" t="e">
        <f t="shared" si="47"/>
        <v>#VALUE!</v>
      </c>
      <c r="DD73" s="1644" t="e">
        <f t="shared" si="48"/>
        <v>#VALUE!</v>
      </c>
      <c r="DE73" s="1644" t="e">
        <f t="shared" si="49"/>
        <v>#VALUE!</v>
      </c>
      <c r="DF73" s="1644" t="e">
        <f t="shared" si="50"/>
        <v>#VALUE!</v>
      </c>
      <c r="DG73" s="1644" t="e">
        <f t="shared" si="59"/>
        <v>#VALUE!</v>
      </c>
      <c r="DH73" s="1644" t="e">
        <f t="shared" si="51"/>
        <v>#VALUE!</v>
      </c>
      <c r="DI73" s="505" t="e">
        <f t="shared" si="52"/>
        <v>#VALUE!</v>
      </c>
      <c r="DJ73" s="1648" t="e">
        <f t="shared" si="53"/>
        <v>#VALUE!</v>
      </c>
      <c r="DK73" s="521" t="e">
        <f t="shared" si="54"/>
        <v>#VALUE!</v>
      </c>
      <c r="DL73" s="522" t="e">
        <f t="shared" si="55"/>
        <v>#VALUE!</v>
      </c>
      <c r="EA73" s="1647">
        <f t="shared" si="34"/>
        <v>24.000633322175549</v>
      </c>
      <c r="EB73" s="1671">
        <v>64</v>
      </c>
      <c r="EC73" s="1644">
        <f t="shared" si="24"/>
        <v>297.15063332217551</v>
      </c>
      <c r="ED73" s="1644">
        <f t="shared" si="25"/>
        <v>-32.581440875774611</v>
      </c>
      <c r="EE73" s="1644">
        <f t="shared" si="26"/>
        <v>40.582876513413943</v>
      </c>
      <c r="EF73" s="1644">
        <f t="shared" si="27"/>
        <v>2.9852406359596202</v>
      </c>
      <c r="EG73" s="1644">
        <f t="shared" si="28"/>
        <v>1.9105540070141569</v>
      </c>
      <c r="EH73" s="1644">
        <f t="shared" si="35"/>
        <v>1.8881070919450717E-2</v>
      </c>
      <c r="EI73" s="1644">
        <f t="shared" si="66"/>
        <v>0.63308149398555602</v>
      </c>
      <c r="EJ73" s="505">
        <f t="shared" si="67"/>
        <v>64</v>
      </c>
      <c r="EK73" s="1648">
        <f t="shared" si="68"/>
        <v>54.557560582644783</v>
      </c>
      <c r="EL73" s="521">
        <f t="shared" si="69"/>
        <v>16.798980580056092</v>
      </c>
      <c r="EM73" s="522">
        <f t="shared" si="70"/>
        <v>1.1953256585733096E-2</v>
      </c>
    </row>
    <row r="74" spans="12:143" ht="12.75" customHeight="1">
      <c r="CL74" s="1647" t="e">
        <f t="shared" si="56"/>
        <v>#VALUE!</v>
      </c>
      <c r="CM74" s="1671">
        <v>49</v>
      </c>
      <c r="CN74" s="1644" t="e">
        <f t="shared" si="36"/>
        <v>#VALUE!</v>
      </c>
      <c r="CO74" s="1644" t="e">
        <f t="shared" si="37"/>
        <v>#VALUE!</v>
      </c>
      <c r="CP74" s="1644" t="e">
        <f t="shared" si="38"/>
        <v>#VALUE!</v>
      </c>
      <c r="CQ74" s="1644" t="e">
        <f t="shared" si="39"/>
        <v>#VALUE!</v>
      </c>
      <c r="CR74" s="1644" t="e">
        <f t="shared" si="40"/>
        <v>#VALUE!</v>
      </c>
      <c r="CS74" s="1644" t="e">
        <f t="shared" si="57"/>
        <v>#VALUE!</v>
      </c>
      <c r="CT74" s="1644" t="e">
        <f t="shared" si="72"/>
        <v>#VALUE!</v>
      </c>
      <c r="CU74" s="505" t="e">
        <f t="shared" si="73"/>
        <v>#VALUE!</v>
      </c>
      <c r="CV74" s="1648" t="e">
        <f t="shared" si="74"/>
        <v>#VALUE!</v>
      </c>
      <c r="CW74" s="521" t="e">
        <f t="shared" si="75"/>
        <v>#VALUE!</v>
      </c>
      <c r="CX74" s="522" t="e">
        <f t="shared" si="76"/>
        <v>#VALUE!</v>
      </c>
      <c r="CZ74" s="1647" t="e">
        <f t="shared" si="58"/>
        <v>#VALUE!</v>
      </c>
      <c r="DA74" s="1671">
        <v>49</v>
      </c>
      <c r="DB74" s="1644" t="e">
        <f t="shared" si="46"/>
        <v>#VALUE!</v>
      </c>
      <c r="DC74" s="1644" t="e">
        <f t="shared" si="47"/>
        <v>#VALUE!</v>
      </c>
      <c r="DD74" s="1644" t="e">
        <f t="shared" si="48"/>
        <v>#VALUE!</v>
      </c>
      <c r="DE74" s="1644" t="e">
        <f t="shared" si="49"/>
        <v>#VALUE!</v>
      </c>
      <c r="DF74" s="1644" t="e">
        <f t="shared" si="50"/>
        <v>#VALUE!</v>
      </c>
      <c r="DG74" s="1644" t="e">
        <f t="shared" si="59"/>
        <v>#VALUE!</v>
      </c>
      <c r="DH74" s="1644" t="e">
        <f t="shared" si="51"/>
        <v>#VALUE!</v>
      </c>
      <c r="DI74" s="505" t="e">
        <f t="shared" si="52"/>
        <v>#VALUE!</v>
      </c>
      <c r="DJ74" s="1648" t="e">
        <f t="shared" si="53"/>
        <v>#VALUE!</v>
      </c>
      <c r="DK74" s="521" t="e">
        <f t="shared" si="54"/>
        <v>#VALUE!</v>
      </c>
      <c r="DL74" s="522" t="e">
        <f t="shared" si="55"/>
        <v>#VALUE!</v>
      </c>
      <c r="EA74" s="1647">
        <f t="shared" si="34"/>
        <v>24.000633322175549</v>
      </c>
      <c r="EB74" s="1671">
        <v>65</v>
      </c>
      <c r="EC74" s="1644">
        <f t="shared" ref="EC74:EC109" si="77">273.15+EA74</f>
        <v>297.15063332217551</v>
      </c>
      <c r="ED74" s="1644">
        <f t="shared" ref="ED74:ED109" si="78">-5800.2206/EC74+1.3914993-0.048640239*EC74</f>
        <v>-32.581440875774611</v>
      </c>
      <c r="EE74" s="1644">
        <f t="shared" ref="EE74:EE109" si="79">0.000041764768*POWER(EC74,2)-0.000000014452093*POWER(EC74,3)+6.5459673*LN(EC74)</f>
        <v>40.582876513413943</v>
      </c>
      <c r="EF74" s="1644">
        <f t="shared" ref="EF74:EF109" si="80">EXP(ED74+EE74)/1000</f>
        <v>2.9852406359596202</v>
      </c>
      <c r="EG74" s="1644">
        <f t="shared" ref="EG74:EG109" si="81">EB74/100*EF74</f>
        <v>1.9404064133737531</v>
      </c>
      <c r="EH74" s="1644">
        <f t="shared" si="35"/>
        <v>1.8881070919450717E-2</v>
      </c>
      <c r="EI74" s="1644">
        <f t="shared" ref="EI74:EI105" si="82">EM74/EH74</f>
        <v>0.64316652390303497</v>
      </c>
      <c r="EJ74" s="505">
        <f t="shared" ref="EJ74:EJ109" si="83">IF(EA74+EB74&gt;0,EB74,0)</f>
        <v>65</v>
      </c>
      <c r="EK74" s="1648">
        <f t="shared" ref="EK74:EK109" si="84">IF(EA74+EB74&gt;0,(1.006*EA74+EM74*(2501+1.805*EA74)),0)</f>
        <v>55.042040457497201</v>
      </c>
      <c r="EL74" s="521">
        <f t="shared" ref="EL74:EL109" si="85">IF(EA74+EB74&gt;0,(6.54+14.526*LN(EG74)+0.7389*POWER(LN(EG74),2)+0.09486*POWER(LN(EG74),3)+0.4569*POWER(EG74,0.1984)),0)</f>
        <v>17.042699528629072</v>
      </c>
      <c r="EM74" s="522">
        <f t="shared" si="70"/>
        <v>1.2143672750829797E-2</v>
      </c>
    </row>
    <row r="75" spans="12:143" ht="12.75" customHeight="1">
      <c r="L75" s="294"/>
      <c r="T75" s="294"/>
      <c r="AC75" s="294"/>
      <c r="AK75" s="294"/>
      <c r="AL75" s="294"/>
      <c r="AM75" s="294"/>
      <c r="AN75" s="294"/>
      <c r="AO75" s="294"/>
      <c r="AP75" s="294"/>
      <c r="AQ75" s="294"/>
      <c r="AR75" s="294"/>
      <c r="AS75" s="294"/>
      <c r="CL75" s="1647" t="e">
        <f t="shared" si="56"/>
        <v>#VALUE!</v>
      </c>
      <c r="CM75" s="1671">
        <v>50</v>
      </c>
      <c r="CN75" s="1644" t="e">
        <f t="shared" si="36"/>
        <v>#VALUE!</v>
      </c>
      <c r="CO75" s="1644" t="e">
        <f t="shared" si="37"/>
        <v>#VALUE!</v>
      </c>
      <c r="CP75" s="1644" t="e">
        <f t="shared" si="38"/>
        <v>#VALUE!</v>
      </c>
      <c r="CQ75" s="1644" t="e">
        <f t="shared" si="39"/>
        <v>#VALUE!</v>
      </c>
      <c r="CR75" s="1644" t="e">
        <f t="shared" si="40"/>
        <v>#VALUE!</v>
      </c>
      <c r="CS75" s="1644" t="e">
        <f t="shared" si="57"/>
        <v>#VALUE!</v>
      </c>
      <c r="CT75" s="1644" t="e">
        <f t="shared" si="72"/>
        <v>#VALUE!</v>
      </c>
      <c r="CU75" s="505" t="e">
        <f t="shared" si="73"/>
        <v>#VALUE!</v>
      </c>
      <c r="CV75" s="1648" t="e">
        <f t="shared" si="74"/>
        <v>#VALUE!</v>
      </c>
      <c r="CW75" s="521" t="e">
        <f t="shared" si="75"/>
        <v>#VALUE!</v>
      </c>
      <c r="CX75" s="522" t="e">
        <f t="shared" si="76"/>
        <v>#VALUE!</v>
      </c>
      <c r="CZ75" s="1647" t="e">
        <f t="shared" si="58"/>
        <v>#VALUE!</v>
      </c>
      <c r="DA75" s="1671">
        <v>50</v>
      </c>
      <c r="DB75" s="1644" t="e">
        <f t="shared" si="46"/>
        <v>#VALUE!</v>
      </c>
      <c r="DC75" s="1644" t="e">
        <f t="shared" si="47"/>
        <v>#VALUE!</v>
      </c>
      <c r="DD75" s="1644" t="e">
        <f t="shared" si="48"/>
        <v>#VALUE!</v>
      </c>
      <c r="DE75" s="1644" t="e">
        <f t="shared" si="49"/>
        <v>#VALUE!</v>
      </c>
      <c r="DF75" s="1644" t="e">
        <f t="shared" si="50"/>
        <v>#VALUE!</v>
      </c>
      <c r="DG75" s="1644" t="e">
        <f t="shared" si="59"/>
        <v>#VALUE!</v>
      </c>
      <c r="DH75" s="1644" t="e">
        <f t="shared" si="51"/>
        <v>#VALUE!</v>
      </c>
      <c r="DI75" s="505" t="e">
        <f t="shared" si="52"/>
        <v>#VALUE!</v>
      </c>
      <c r="DJ75" s="1648" t="e">
        <f t="shared" si="53"/>
        <v>#VALUE!</v>
      </c>
      <c r="DK75" s="521" t="e">
        <f t="shared" si="54"/>
        <v>#VALUE!</v>
      </c>
      <c r="DL75" s="522" t="e">
        <f t="shared" si="55"/>
        <v>#VALUE!</v>
      </c>
      <c r="EA75" s="1647">
        <f t="shared" ref="EA75:EA109" si="86">$W$20</f>
        <v>24.000633322175549</v>
      </c>
      <c r="EB75" s="1671">
        <v>66</v>
      </c>
      <c r="EC75" s="1644">
        <f t="shared" si="77"/>
        <v>297.15063332217551</v>
      </c>
      <c r="ED75" s="1644">
        <f t="shared" si="78"/>
        <v>-32.581440875774611</v>
      </c>
      <c r="EE75" s="1644">
        <f t="shared" si="79"/>
        <v>40.582876513413943</v>
      </c>
      <c r="EF75" s="1644">
        <f t="shared" si="80"/>
        <v>2.9852406359596202</v>
      </c>
      <c r="EG75" s="1644">
        <f t="shared" si="81"/>
        <v>1.9702588197333495</v>
      </c>
      <c r="EH75" s="1644">
        <f t="shared" ref="EH75:EH109" si="87">0.62198*(EF75/($F$3-EF75))</f>
        <v>1.8881070919450717E-2</v>
      </c>
      <c r="EI75" s="1644">
        <f t="shared" si="82"/>
        <v>0.65325761417370209</v>
      </c>
      <c r="EJ75" s="505">
        <f t="shared" si="83"/>
        <v>66</v>
      </c>
      <c r="EK75" s="1648">
        <f t="shared" si="84"/>
        <v>55.526811468734763</v>
      </c>
      <c r="EL75" s="521">
        <f t="shared" si="85"/>
        <v>17.283138006204393</v>
      </c>
      <c r="EM75" s="522">
        <f t="shared" ref="EM75:EM109" si="88">IF(EA75+EB75&gt;0,0.62198*(EG75/($F$3-EG75)),0)</f>
        <v>1.2334203341884844E-2</v>
      </c>
    </row>
    <row r="76" spans="12:143">
      <c r="L76" s="294"/>
      <c r="T76" s="294"/>
      <c r="AC76" s="294"/>
      <c r="AK76" s="294"/>
      <c r="AL76" s="294"/>
      <c r="AM76" s="294"/>
      <c r="AN76" s="294"/>
      <c r="AO76" s="294"/>
      <c r="AP76" s="294"/>
      <c r="AQ76" s="294"/>
      <c r="AR76" s="294"/>
      <c r="AS76" s="294"/>
      <c r="CL76" s="1647" t="e">
        <f t="shared" si="56"/>
        <v>#VALUE!</v>
      </c>
      <c r="CM76" s="1671">
        <v>51</v>
      </c>
      <c r="CN76" s="1644" t="e">
        <f t="shared" si="36"/>
        <v>#VALUE!</v>
      </c>
      <c r="CO76" s="1644" t="e">
        <f t="shared" si="37"/>
        <v>#VALUE!</v>
      </c>
      <c r="CP76" s="1644" t="e">
        <f t="shared" si="38"/>
        <v>#VALUE!</v>
      </c>
      <c r="CQ76" s="1644" t="e">
        <f t="shared" si="39"/>
        <v>#VALUE!</v>
      </c>
      <c r="CR76" s="1644" t="e">
        <f t="shared" si="40"/>
        <v>#VALUE!</v>
      </c>
      <c r="CS76" s="1644" t="e">
        <f t="shared" si="57"/>
        <v>#VALUE!</v>
      </c>
      <c r="CT76" s="1644" t="e">
        <f t="shared" si="72"/>
        <v>#VALUE!</v>
      </c>
      <c r="CU76" s="505" t="e">
        <f t="shared" si="73"/>
        <v>#VALUE!</v>
      </c>
      <c r="CV76" s="1648" t="e">
        <f t="shared" si="74"/>
        <v>#VALUE!</v>
      </c>
      <c r="CW76" s="521" t="e">
        <f t="shared" si="75"/>
        <v>#VALUE!</v>
      </c>
      <c r="CX76" s="522" t="e">
        <f t="shared" si="76"/>
        <v>#VALUE!</v>
      </c>
      <c r="CZ76" s="1647" t="e">
        <f t="shared" si="58"/>
        <v>#VALUE!</v>
      </c>
      <c r="DA76" s="1671">
        <v>51</v>
      </c>
      <c r="DB76" s="1644" t="e">
        <f t="shared" si="46"/>
        <v>#VALUE!</v>
      </c>
      <c r="DC76" s="1644" t="e">
        <f t="shared" si="47"/>
        <v>#VALUE!</v>
      </c>
      <c r="DD76" s="1644" t="e">
        <f t="shared" si="48"/>
        <v>#VALUE!</v>
      </c>
      <c r="DE76" s="1644" t="e">
        <f t="shared" si="49"/>
        <v>#VALUE!</v>
      </c>
      <c r="DF76" s="1644" t="e">
        <f t="shared" si="50"/>
        <v>#VALUE!</v>
      </c>
      <c r="DG76" s="1644" t="e">
        <f t="shared" si="59"/>
        <v>#VALUE!</v>
      </c>
      <c r="DH76" s="1644" t="e">
        <f t="shared" si="51"/>
        <v>#VALUE!</v>
      </c>
      <c r="DI76" s="505" t="e">
        <f t="shared" si="52"/>
        <v>#VALUE!</v>
      </c>
      <c r="DJ76" s="1648" t="e">
        <f t="shared" si="53"/>
        <v>#VALUE!</v>
      </c>
      <c r="DK76" s="521" t="e">
        <f t="shared" si="54"/>
        <v>#VALUE!</v>
      </c>
      <c r="DL76" s="522" t="e">
        <f t="shared" si="55"/>
        <v>#VALUE!</v>
      </c>
      <c r="EA76" s="1647">
        <f t="shared" si="86"/>
        <v>24.000633322175549</v>
      </c>
      <c r="EB76" s="1671">
        <v>67</v>
      </c>
      <c r="EC76" s="1644">
        <f t="shared" si="77"/>
        <v>297.15063332217551</v>
      </c>
      <c r="ED76" s="1644">
        <f t="shared" si="78"/>
        <v>-32.581440875774611</v>
      </c>
      <c r="EE76" s="1644">
        <f t="shared" si="79"/>
        <v>40.582876513413943</v>
      </c>
      <c r="EF76" s="1644">
        <f t="shared" si="80"/>
        <v>2.9852406359596202</v>
      </c>
      <c r="EG76" s="1644">
        <f t="shared" si="81"/>
        <v>2.0001112260929457</v>
      </c>
      <c r="EH76" s="1644">
        <f t="shared" si="87"/>
        <v>1.8881070919450717E-2</v>
      </c>
      <c r="EI76" s="1644">
        <f t="shared" si="82"/>
        <v>0.66335477026193201</v>
      </c>
      <c r="EJ76" s="505">
        <f t="shared" si="83"/>
        <v>67</v>
      </c>
      <c r="EK76" s="1648">
        <f t="shared" si="84"/>
        <v>56.011873878863327</v>
      </c>
      <c r="EL76" s="521">
        <f t="shared" si="85"/>
        <v>17.520390098027548</v>
      </c>
      <c r="EM76" s="522">
        <f t="shared" si="88"/>
        <v>1.2524848462071476E-2</v>
      </c>
    </row>
    <row r="77" spans="12:143">
      <c r="L77" s="294"/>
      <c r="T77" s="294"/>
      <c r="AC77" s="294"/>
      <c r="AK77" s="294"/>
      <c r="AL77" s="294"/>
      <c r="AM77" s="294"/>
      <c r="AN77" s="294"/>
      <c r="AO77" s="294"/>
      <c r="AP77" s="294"/>
      <c r="AQ77" s="294"/>
      <c r="AR77" s="294"/>
      <c r="AS77" s="294"/>
      <c r="CL77" s="1647" t="e">
        <f t="shared" si="56"/>
        <v>#VALUE!</v>
      </c>
      <c r="CM77" s="1671">
        <v>52</v>
      </c>
      <c r="CN77" s="1644" t="e">
        <f t="shared" si="36"/>
        <v>#VALUE!</v>
      </c>
      <c r="CO77" s="1644" t="e">
        <f t="shared" si="37"/>
        <v>#VALUE!</v>
      </c>
      <c r="CP77" s="1644" t="e">
        <f t="shared" si="38"/>
        <v>#VALUE!</v>
      </c>
      <c r="CQ77" s="1644" t="e">
        <f t="shared" si="39"/>
        <v>#VALUE!</v>
      </c>
      <c r="CR77" s="1644" t="e">
        <f t="shared" si="40"/>
        <v>#VALUE!</v>
      </c>
      <c r="CS77" s="1644" t="e">
        <f t="shared" si="57"/>
        <v>#VALUE!</v>
      </c>
      <c r="CT77" s="1644" t="e">
        <f t="shared" si="72"/>
        <v>#VALUE!</v>
      </c>
      <c r="CU77" s="505" t="e">
        <f t="shared" si="73"/>
        <v>#VALUE!</v>
      </c>
      <c r="CV77" s="1648" t="e">
        <f t="shared" si="74"/>
        <v>#VALUE!</v>
      </c>
      <c r="CW77" s="521" t="e">
        <f t="shared" si="75"/>
        <v>#VALUE!</v>
      </c>
      <c r="CX77" s="522" t="e">
        <f t="shared" si="76"/>
        <v>#VALUE!</v>
      </c>
      <c r="CZ77" s="1647" t="e">
        <f t="shared" si="58"/>
        <v>#VALUE!</v>
      </c>
      <c r="DA77" s="1671">
        <v>52</v>
      </c>
      <c r="DB77" s="1644" t="e">
        <f t="shared" si="46"/>
        <v>#VALUE!</v>
      </c>
      <c r="DC77" s="1644" t="e">
        <f t="shared" si="47"/>
        <v>#VALUE!</v>
      </c>
      <c r="DD77" s="1644" t="e">
        <f t="shared" si="48"/>
        <v>#VALUE!</v>
      </c>
      <c r="DE77" s="1644" t="e">
        <f t="shared" si="49"/>
        <v>#VALUE!</v>
      </c>
      <c r="DF77" s="1644" t="e">
        <f t="shared" si="50"/>
        <v>#VALUE!</v>
      </c>
      <c r="DG77" s="1644" t="e">
        <f t="shared" si="59"/>
        <v>#VALUE!</v>
      </c>
      <c r="DH77" s="1644" t="e">
        <f t="shared" si="51"/>
        <v>#VALUE!</v>
      </c>
      <c r="DI77" s="505" t="e">
        <f t="shared" si="52"/>
        <v>#VALUE!</v>
      </c>
      <c r="DJ77" s="1648" t="e">
        <f t="shared" si="53"/>
        <v>#VALUE!</v>
      </c>
      <c r="DK77" s="521" t="e">
        <f t="shared" si="54"/>
        <v>#VALUE!</v>
      </c>
      <c r="DL77" s="522" t="e">
        <f t="shared" si="55"/>
        <v>#VALUE!</v>
      </c>
      <c r="EA77" s="1647">
        <f t="shared" si="86"/>
        <v>24.000633322175549</v>
      </c>
      <c r="EB77" s="1671">
        <v>68</v>
      </c>
      <c r="EC77" s="1644">
        <f t="shared" si="77"/>
        <v>297.15063332217551</v>
      </c>
      <c r="ED77" s="1644">
        <f t="shared" si="78"/>
        <v>-32.581440875774611</v>
      </c>
      <c r="EE77" s="1644">
        <f t="shared" si="79"/>
        <v>40.582876513413943</v>
      </c>
      <c r="EF77" s="1644">
        <f t="shared" si="80"/>
        <v>2.9852406359596202</v>
      </c>
      <c r="EG77" s="1644">
        <f t="shared" si="81"/>
        <v>2.0299636324525419</v>
      </c>
      <c r="EH77" s="1644">
        <f t="shared" si="87"/>
        <v>1.8881070919450717E-2</v>
      </c>
      <c r="EI77" s="1644">
        <f t="shared" si="82"/>
        <v>0.67345799763867042</v>
      </c>
      <c r="EJ77" s="505">
        <f t="shared" si="83"/>
        <v>68</v>
      </c>
      <c r="EK77" s="1648">
        <f t="shared" si="84"/>
        <v>56.497227950704428</v>
      </c>
      <c r="EL77" s="521">
        <f t="shared" si="85"/>
        <v>17.754545813137522</v>
      </c>
      <c r="EM77" s="522">
        <f t="shared" si="88"/>
        <v>1.2715608214687009E-2</v>
      </c>
    </row>
    <row r="78" spans="12:143">
      <c r="L78" s="294"/>
      <c r="T78" s="294"/>
      <c r="AC78" s="294"/>
      <c r="AK78" s="294"/>
      <c r="AL78" s="294"/>
      <c r="AM78" s="294"/>
      <c r="AN78" s="294"/>
      <c r="AO78" s="294"/>
      <c r="AP78" s="294"/>
      <c r="AQ78" s="294"/>
      <c r="AR78" s="294"/>
      <c r="AS78" s="294"/>
      <c r="CL78" s="1647" t="e">
        <f t="shared" si="56"/>
        <v>#VALUE!</v>
      </c>
      <c r="CM78" s="1671">
        <v>53</v>
      </c>
      <c r="CN78" s="1644" t="e">
        <f t="shared" si="36"/>
        <v>#VALUE!</v>
      </c>
      <c r="CO78" s="1644" t="e">
        <f t="shared" si="37"/>
        <v>#VALUE!</v>
      </c>
      <c r="CP78" s="1644" t="e">
        <f t="shared" si="38"/>
        <v>#VALUE!</v>
      </c>
      <c r="CQ78" s="1644" t="e">
        <f t="shared" si="39"/>
        <v>#VALUE!</v>
      </c>
      <c r="CR78" s="1644" t="e">
        <f t="shared" si="40"/>
        <v>#VALUE!</v>
      </c>
      <c r="CS78" s="1644" t="e">
        <f t="shared" si="57"/>
        <v>#VALUE!</v>
      </c>
      <c r="CT78" s="1644" t="e">
        <f t="shared" si="72"/>
        <v>#VALUE!</v>
      </c>
      <c r="CU78" s="505" t="e">
        <f t="shared" si="73"/>
        <v>#VALUE!</v>
      </c>
      <c r="CV78" s="1648" t="e">
        <f t="shared" si="74"/>
        <v>#VALUE!</v>
      </c>
      <c r="CW78" s="521" t="e">
        <f t="shared" si="75"/>
        <v>#VALUE!</v>
      </c>
      <c r="CX78" s="522" t="e">
        <f t="shared" si="76"/>
        <v>#VALUE!</v>
      </c>
      <c r="CZ78" s="1647" t="e">
        <f t="shared" si="58"/>
        <v>#VALUE!</v>
      </c>
      <c r="DA78" s="1671">
        <v>53</v>
      </c>
      <c r="DB78" s="1644" t="e">
        <f t="shared" si="46"/>
        <v>#VALUE!</v>
      </c>
      <c r="DC78" s="1644" t="e">
        <f t="shared" si="47"/>
        <v>#VALUE!</v>
      </c>
      <c r="DD78" s="1644" t="e">
        <f t="shared" si="48"/>
        <v>#VALUE!</v>
      </c>
      <c r="DE78" s="1644" t="e">
        <f t="shared" si="49"/>
        <v>#VALUE!</v>
      </c>
      <c r="DF78" s="1644" t="e">
        <f t="shared" si="50"/>
        <v>#VALUE!</v>
      </c>
      <c r="DG78" s="1644" t="e">
        <f t="shared" si="59"/>
        <v>#VALUE!</v>
      </c>
      <c r="DH78" s="1644" t="e">
        <f t="shared" si="51"/>
        <v>#VALUE!</v>
      </c>
      <c r="DI78" s="505" t="e">
        <f t="shared" si="52"/>
        <v>#VALUE!</v>
      </c>
      <c r="DJ78" s="1648" t="e">
        <f t="shared" si="53"/>
        <v>#VALUE!</v>
      </c>
      <c r="DK78" s="521" t="e">
        <f t="shared" si="54"/>
        <v>#VALUE!</v>
      </c>
      <c r="DL78" s="522" t="e">
        <f t="shared" si="55"/>
        <v>#VALUE!</v>
      </c>
      <c r="EA78" s="1647">
        <f t="shared" si="86"/>
        <v>24.000633322175549</v>
      </c>
      <c r="EB78" s="1671">
        <v>69</v>
      </c>
      <c r="EC78" s="1644">
        <f t="shared" si="77"/>
        <v>297.15063332217551</v>
      </c>
      <c r="ED78" s="1644">
        <f t="shared" si="78"/>
        <v>-32.581440875774611</v>
      </c>
      <c r="EE78" s="1644">
        <f t="shared" si="79"/>
        <v>40.582876513413943</v>
      </c>
      <c r="EF78" s="1644">
        <f t="shared" si="80"/>
        <v>2.9852406359596202</v>
      </c>
      <c r="EG78" s="1644">
        <f t="shared" si="81"/>
        <v>2.0598160388121376</v>
      </c>
      <c r="EH78" s="1644">
        <f t="shared" si="87"/>
        <v>1.8881070919450717E-2</v>
      </c>
      <c r="EI78" s="1644">
        <f t="shared" si="82"/>
        <v>0.68356730178144409</v>
      </c>
      <c r="EJ78" s="505">
        <f t="shared" si="83"/>
        <v>69</v>
      </c>
      <c r="EK78" s="1648">
        <f t="shared" si="84"/>
        <v>56.98287394739576</v>
      </c>
      <c r="EL78" s="521">
        <f t="shared" si="85"/>
        <v>17.985691318656492</v>
      </c>
      <c r="EM78" s="522">
        <f t="shared" si="88"/>
        <v>1.2906482703153015E-2</v>
      </c>
    </row>
    <row r="79" spans="12:143">
      <c r="L79" s="294"/>
      <c r="T79" s="294"/>
      <c r="AC79" s="294"/>
      <c r="AK79" s="294"/>
      <c r="AL79" s="294"/>
      <c r="AM79" s="294"/>
      <c r="AN79" s="294"/>
      <c r="AO79" s="294"/>
      <c r="AP79" s="294"/>
      <c r="AQ79" s="294"/>
      <c r="AR79" s="294"/>
      <c r="AS79" s="294"/>
      <c r="CL79" s="1647" t="e">
        <f t="shared" si="56"/>
        <v>#VALUE!</v>
      </c>
      <c r="CM79" s="1671">
        <v>54</v>
      </c>
      <c r="CN79" s="1644" t="e">
        <f t="shared" si="36"/>
        <v>#VALUE!</v>
      </c>
      <c r="CO79" s="1644" t="e">
        <f t="shared" si="37"/>
        <v>#VALUE!</v>
      </c>
      <c r="CP79" s="1644" t="e">
        <f t="shared" si="38"/>
        <v>#VALUE!</v>
      </c>
      <c r="CQ79" s="1644" t="e">
        <f t="shared" si="39"/>
        <v>#VALUE!</v>
      </c>
      <c r="CR79" s="1644" t="e">
        <f t="shared" si="40"/>
        <v>#VALUE!</v>
      </c>
      <c r="CS79" s="1644" t="e">
        <f t="shared" si="57"/>
        <v>#VALUE!</v>
      </c>
      <c r="CT79" s="1644" t="e">
        <f t="shared" si="72"/>
        <v>#VALUE!</v>
      </c>
      <c r="CU79" s="505" t="e">
        <f t="shared" si="73"/>
        <v>#VALUE!</v>
      </c>
      <c r="CV79" s="1648" t="e">
        <f t="shared" si="74"/>
        <v>#VALUE!</v>
      </c>
      <c r="CW79" s="521" t="e">
        <f t="shared" si="75"/>
        <v>#VALUE!</v>
      </c>
      <c r="CX79" s="522" t="e">
        <f t="shared" si="76"/>
        <v>#VALUE!</v>
      </c>
      <c r="CZ79" s="1647" t="e">
        <f t="shared" si="58"/>
        <v>#VALUE!</v>
      </c>
      <c r="DA79" s="1671">
        <v>54</v>
      </c>
      <c r="DB79" s="1644" t="e">
        <f t="shared" si="46"/>
        <v>#VALUE!</v>
      </c>
      <c r="DC79" s="1644" t="e">
        <f t="shared" si="47"/>
        <v>#VALUE!</v>
      </c>
      <c r="DD79" s="1644" t="e">
        <f t="shared" si="48"/>
        <v>#VALUE!</v>
      </c>
      <c r="DE79" s="1644" t="e">
        <f t="shared" si="49"/>
        <v>#VALUE!</v>
      </c>
      <c r="DF79" s="1644" t="e">
        <f t="shared" si="50"/>
        <v>#VALUE!</v>
      </c>
      <c r="DG79" s="1644" t="e">
        <f t="shared" si="59"/>
        <v>#VALUE!</v>
      </c>
      <c r="DH79" s="1644" t="e">
        <f t="shared" si="51"/>
        <v>#VALUE!</v>
      </c>
      <c r="DI79" s="505" t="e">
        <f t="shared" si="52"/>
        <v>#VALUE!</v>
      </c>
      <c r="DJ79" s="1648" t="e">
        <f t="shared" si="53"/>
        <v>#VALUE!</v>
      </c>
      <c r="DK79" s="521" t="e">
        <f t="shared" si="54"/>
        <v>#VALUE!</v>
      </c>
      <c r="DL79" s="522" t="e">
        <f t="shared" si="55"/>
        <v>#VALUE!</v>
      </c>
      <c r="EA79" s="1647">
        <f t="shared" si="86"/>
        <v>24.000633322175549</v>
      </c>
      <c r="EB79" s="1671">
        <v>70</v>
      </c>
      <c r="EC79" s="1644">
        <f t="shared" si="77"/>
        <v>297.15063332217551</v>
      </c>
      <c r="ED79" s="1644">
        <f t="shared" si="78"/>
        <v>-32.581440875774611</v>
      </c>
      <c r="EE79" s="1644">
        <f t="shared" si="79"/>
        <v>40.582876513413943</v>
      </c>
      <c r="EF79" s="1644">
        <f t="shared" si="80"/>
        <v>2.9852406359596202</v>
      </c>
      <c r="EG79" s="1644">
        <f t="shared" si="81"/>
        <v>2.0896684451717342</v>
      </c>
      <c r="EH79" s="1644">
        <f t="shared" si="87"/>
        <v>1.8881070919450717E-2</v>
      </c>
      <c r="EI79" s="1644">
        <f t="shared" si="82"/>
        <v>0.69368268817437129</v>
      </c>
      <c r="EJ79" s="505">
        <f t="shared" si="83"/>
        <v>70</v>
      </c>
      <c r="EK79" s="1648">
        <f t="shared" si="84"/>
        <v>57.468812132391676</v>
      </c>
      <c r="EL79" s="521">
        <f t="shared" si="85"/>
        <v>18.213909157401709</v>
      </c>
      <c r="EM79" s="522">
        <f t="shared" si="88"/>
        <v>1.3097472031015521E-2</v>
      </c>
    </row>
    <row r="80" spans="12:143">
      <c r="L80" s="294"/>
      <c r="T80" s="294"/>
      <c r="AC80" s="294"/>
      <c r="AK80" s="294"/>
      <c r="AL80" s="294"/>
      <c r="AM80" s="294"/>
      <c r="AN80" s="294"/>
      <c r="AO80" s="294"/>
      <c r="AP80" s="294"/>
      <c r="AQ80" s="294"/>
      <c r="AR80" s="294"/>
      <c r="AS80" s="294"/>
      <c r="CL80" s="1647" t="e">
        <f t="shared" si="56"/>
        <v>#VALUE!</v>
      </c>
      <c r="CM80" s="1671">
        <v>55</v>
      </c>
      <c r="CN80" s="1644" t="e">
        <f t="shared" si="36"/>
        <v>#VALUE!</v>
      </c>
      <c r="CO80" s="1644" t="e">
        <f t="shared" si="37"/>
        <v>#VALUE!</v>
      </c>
      <c r="CP80" s="1644" t="e">
        <f t="shared" si="38"/>
        <v>#VALUE!</v>
      </c>
      <c r="CQ80" s="1644" t="e">
        <f t="shared" si="39"/>
        <v>#VALUE!</v>
      </c>
      <c r="CR80" s="1644" t="e">
        <f t="shared" si="40"/>
        <v>#VALUE!</v>
      </c>
      <c r="CS80" s="1644" t="e">
        <f t="shared" si="57"/>
        <v>#VALUE!</v>
      </c>
      <c r="CT80" s="1644" t="e">
        <f t="shared" si="72"/>
        <v>#VALUE!</v>
      </c>
      <c r="CU80" s="505" t="e">
        <f t="shared" si="73"/>
        <v>#VALUE!</v>
      </c>
      <c r="CV80" s="1648" t="e">
        <f t="shared" si="74"/>
        <v>#VALUE!</v>
      </c>
      <c r="CW80" s="521" t="e">
        <f t="shared" si="75"/>
        <v>#VALUE!</v>
      </c>
      <c r="CX80" s="522" t="e">
        <f t="shared" si="76"/>
        <v>#VALUE!</v>
      </c>
      <c r="CZ80" s="1647" t="e">
        <f t="shared" si="58"/>
        <v>#VALUE!</v>
      </c>
      <c r="DA80" s="1671">
        <v>55</v>
      </c>
      <c r="DB80" s="1644" t="e">
        <f t="shared" si="46"/>
        <v>#VALUE!</v>
      </c>
      <c r="DC80" s="1644" t="e">
        <f t="shared" si="47"/>
        <v>#VALUE!</v>
      </c>
      <c r="DD80" s="1644" t="e">
        <f t="shared" si="48"/>
        <v>#VALUE!</v>
      </c>
      <c r="DE80" s="1644" t="e">
        <f t="shared" si="49"/>
        <v>#VALUE!</v>
      </c>
      <c r="DF80" s="1644" t="e">
        <f t="shared" si="50"/>
        <v>#VALUE!</v>
      </c>
      <c r="DG80" s="1644" t="e">
        <f t="shared" si="59"/>
        <v>#VALUE!</v>
      </c>
      <c r="DH80" s="1644" t="e">
        <f t="shared" si="51"/>
        <v>#VALUE!</v>
      </c>
      <c r="DI80" s="505" t="e">
        <f t="shared" si="52"/>
        <v>#VALUE!</v>
      </c>
      <c r="DJ80" s="1648" t="e">
        <f t="shared" si="53"/>
        <v>#VALUE!</v>
      </c>
      <c r="DK80" s="521" t="e">
        <f t="shared" si="54"/>
        <v>#VALUE!</v>
      </c>
      <c r="DL80" s="522" t="e">
        <f t="shared" si="55"/>
        <v>#VALUE!</v>
      </c>
      <c r="EA80" s="1647">
        <f t="shared" si="86"/>
        <v>24.000633322175549</v>
      </c>
      <c r="EB80" s="1671">
        <v>71</v>
      </c>
      <c r="EC80" s="1644">
        <f t="shared" si="77"/>
        <v>297.15063332217551</v>
      </c>
      <c r="ED80" s="1644">
        <f t="shared" si="78"/>
        <v>-32.581440875774611</v>
      </c>
      <c r="EE80" s="1644">
        <f t="shared" si="79"/>
        <v>40.582876513413943</v>
      </c>
      <c r="EF80" s="1644">
        <f t="shared" si="80"/>
        <v>2.9852406359596202</v>
      </c>
      <c r="EG80" s="1644">
        <f t="shared" si="81"/>
        <v>2.1195208515313304</v>
      </c>
      <c r="EH80" s="1644">
        <f t="shared" si="87"/>
        <v>1.8881070919450717E-2</v>
      </c>
      <c r="EI80" s="1644">
        <f t="shared" si="82"/>
        <v>0.70380416230817067</v>
      </c>
      <c r="EJ80" s="505">
        <f t="shared" si="83"/>
        <v>71</v>
      </c>
      <c r="EK80" s="1648">
        <f t="shared" si="84"/>
        <v>57.955042769463589</v>
      </c>
      <c r="EL80" s="521">
        <f t="shared" si="85"/>
        <v>18.439278450228215</v>
      </c>
      <c r="EM80" s="522">
        <f t="shared" si="88"/>
        <v>1.3288576301945174E-2</v>
      </c>
    </row>
    <row r="81" spans="2:143">
      <c r="B81" s="293"/>
      <c r="L81" s="164"/>
      <c r="T81" s="164"/>
      <c r="AC81" s="164"/>
      <c r="AK81" s="164"/>
      <c r="AL81" s="164"/>
      <c r="AM81" s="164"/>
      <c r="AN81" s="164"/>
      <c r="AO81" s="164"/>
      <c r="AP81" s="164"/>
      <c r="AQ81" s="164"/>
      <c r="AR81" s="164"/>
      <c r="AS81" s="164"/>
      <c r="CL81" s="1647" t="e">
        <f t="shared" si="56"/>
        <v>#VALUE!</v>
      </c>
      <c r="CM81" s="1671">
        <v>56</v>
      </c>
      <c r="CN81" s="1644" t="e">
        <f t="shared" si="36"/>
        <v>#VALUE!</v>
      </c>
      <c r="CO81" s="1644" t="e">
        <f t="shared" si="37"/>
        <v>#VALUE!</v>
      </c>
      <c r="CP81" s="1644" t="e">
        <f t="shared" si="38"/>
        <v>#VALUE!</v>
      </c>
      <c r="CQ81" s="1644" t="e">
        <f t="shared" si="39"/>
        <v>#VALUE!</v>
      </c>
      <c r="CR81" s="1644" t="e">
        <f t="shared" si="40"/>
        <v>#VALUE!</v>
      </c>
      <c r="CS81" s="1644" t="e">
        <f t="shared" si="57"/>
        <v>#VALUE!</v>
      </c>
      <c r="CT81" s="1644" t="e">
        <f t="shared" si="72"/>
        <v>#VALUE!</v>
      </c>
      <c r="CU81" s="505" t="e">
        <f t="shared" si="73"/>
        <v>#VALUE!</v>
      </c>
      <c r="CV81" s="1648" t="e">
        <f t="shared" si="74"/>
        <v>#VALUE!</v>
      </c>
      <c r="CW81" s="521" t="e">
        <f t="shared" si="75"/>
        <v>#VALUE!</v>
      </c>
      <c r="CX81" s="522" t="e">
        <f t="shared" si="76"/>
        <v>#VALUE!</v>
      </c>
      <c r="CZ81" s="1647" t="e">
        <f t="shared" si="58"/>
        <v>#VALUE!</v>
      </c>
      <c r="DA81" s="1671">
        <v>56</v>
      </c>
      <c r="DB81" s="1644" t="e">
        <f t="shared" si="46"/>
        <v>#VALUE!</v>
      </c>
      <c r="DC81" s="1644" t="e">
        <f t="shared" si="47"/>
        <v>#VALUE!</v>
      </c>
      <c r="DD81" s="1644" t="e">
        <f t="shared" si="48"/>
        <v>#VALUE!</v>
      </c>
      <c r="DE81" s="1644" t="e">
        <f t="shared" si="49"/>
        <v>#VALUE!</v>
      </c>
      <c r="DF81" s="1644" t="e">
        <f t="shared" si="50"/>
        <v>#VALUE!</v>
      </c>
      <c r="DG81" s="1644" t="e">
        <f t="shared" si="59"/>
        <v>#VALUE!</v>
      </c>
      <c r="DH81" s="1644" t="e">
        <f t="shared" si="51"/>
        <v>#VALUE!</v>
      </c>
      <c r="DI81" s="505" t="e">
        <f t="shared" si="52"/>
        <v>#VALUE!</v>
      </c>
      <c r="DJ81" s="1648" t="e">
        <f t="shared" si="53"/>
        <v>#VALUE!</v>
      </c>
      <c r="DK81" s="521" t="e">
        <f t="shared" si="54"/>
        <v>#VALUE!</v>
      </c>
      <c r="DL81" s="522" t="e">
        <f t="shared" si="55"/>
        <v>#VALUE!</v>
      </c>
      <c r="EA81" s="1647">
        <f t="shared" si="86"/>
        <v>24.000633322175549</v>
      </c>
      <c r="EB81" s="1671">
        <v>72</v>
      </c>
      <c r="EC81" s="1644">
        <f t="shared" si="77"/>
        <v>297.15063332217551</v>
      </c>
      <c r="ED81" s="1644">
        <f t="shared" si="78"/>
        <v>-32.581440875774611</v>
      </c>
      <c r="EE81" s="1644">
        <f t="shared" si="79"/>
        <v>40.582876513413943</v>
      </c>
      <c r="EF81" s="1644">
        <f t="shared" si="80"/>
        <v>2.9852406359596202</v>
      </c>
      <c r="EG81" s="1644">
        <f t="shared" si="81"/>
        <v>2.1493732578909266</v>
      </c>
      <c r="EH81" s="1644">
        <f t="shared" si="87"/>
        <v>1.8881070919450717E-2</v>
      </c>
      <c r="EI81" s="1644">
        <f t="shared" si="82"/>
        <v>0.71393172968017238</v>
      </c>
      <c r="EJ81" s="505">
        <f t="shared" si="83"/>
        <v>72</v>
      </c>
      <c r="EK81" s="1648">
        <f t="shared" si="84"/>
        <v>58.44156612270055</v>
      </c>
      <c r="EL81" s="521">
        <f t="shared" si="85"/>
        <v>18.661875084374422</v>
      </c>
      <c r="EM81" s="522">
        <f t="shared" si="88"/>
        <v>1.3479795619737453E-2</v>
      </c>
    </row>
    <row r="82" spans="2:143">
      <c r="B82" s="293"/>
      <c r="H82" s="164"/>
      <c r="I82" s="164"/>
      <c r="J82" s="164"/>
      <c r="K82" s="164"/>
      <c r="CL82" s="1647" t="e">
        <f t="shared" si="56"/>
        <v>#VALUE!</v>
      </c>
      <c r="CM82" s="1671">
        <v>57</v>
      </c>
      <c r="CN82" s="1644" t="e">
        <f t="shared" si="36"/>
        <v>#VALUE!</v>
      </c>
      <c r="CO82" s="1644" t="e">
        <f t="shared" si="37"/>
        <v>#VALUE!</v>
      </c>
      <c r="CP82" s="1644" t="e">
        <f t="shared" si="38"/>
        <v>#VALUE!</v>
      </c>
      <c r="CQ82" s="1644" t="e">
        <f t="shared" si="39"/>
        <v>#VALUE!</v>
      </c>
      <c r="CR82" s="1644" t="e">
        <f t="shared" si="40"/>
        <v>#VALUE!</v>
      </c>
      <c r="CS82" s="1644" t="e">
        <f t="shared" si="57"/>
        <v>#VALUE!</v>
      </c>
      <c r="CT82" s="1644" t="e">
        <f t="shared" si="72"/>
        <v>#VALUE!</v>
      </c>
      <c r="CU82" s="505" t="e">
        <f t="shared" si="73"/>
        <v>#VALUE!</v>
      </c>
      <c r="CV82" s="1648" t="e">
        <f t="shared" si="74"/>
        <v>#VALUE!</v>
      </c>
      <c r="CW82" s="521" t="e">
        <f t="shared" si="75"/>
        <v>#VALUE!</v>
      </c>
      <c r="CX82" s="522" t="e">
        <f t="shared" si="76"/>
        <v>#VALUE!</v>
      </c>
      <c r="CZ82" s="1647" t="e">
        <f t="shared" si="58"/>
        <v>#VALUE!</v>
      </c>
      <c r="DA82" s="1671">
        <v>57</v>
      </c>
      <c r="DB82" s="1644" t="e">
        <f t="shared" si="46"/>
        <v>#VALUE!</v>
      </c>
      <c r="DC82" s="1644" t="e">
        <f t="shared" si="47"/>
        <v>#VALUE!</v>
      </c>
      <c r="DD82" s="1644" t="e">
        <f t="shared" si="48"/>
        <v>#VALUE!</v>
      </c>
      <c r="DE82" s="1644" t="e">
        <f t="shared" si="49"/>
        <v>#VALUE!</v>
      </c>
      <c r="DF82" s="1644" t="e">
        <f t="shared" si="50"/>
        <v>#VALUE!</v>
      </c>
      <c r="DG82" s="1644" t="e">
        <f t="shared" si="59"/>
        <v>#VALUE!</v>
      </c>
      <c r="DH82" s="1644" t="e">
        <f t="shared" si="51"/>
        <v>#VALUE!</v>
      </c>
      <c r="DI82" s="505" t="e">
        <f t="shared" si="52"/>
        <v>#VALUE!</v>
      </c>
      <c r="DJ82" s="1648" t="e">
        <f t="shared" si="53"/>
        <v>#VALUE!</v>
      </c>
      <c r="DK82" s="521" t="e">
        <f t="shared" si="54"/>
        <v>#VALUE!</v>
      </c>
      <c r="DL82" s="522" t="e">
        <f t="shared" si="55"/>
        <v>#VALUE!</v>
      </c>
      <c r="EA82" s="1647">
        <f t="shared" si="86"/>
        <v>24.000633322175549</v>
      </c>
      <c r="EB82" s="1671">
        <v>73</v>
      </c>
      <c r="EC82" s="1644">
        <f t="shared" si="77"/>
        <v>297.15063332217551</v>
      </c>
      <c r="ED82" s="1644">
        <f t="shared" si="78"/>
        <v>-32.581440875774611</v>
      </c>
      <c r="EE82" s="1644">
        <f t="shared" si="79"/>
        <v>40.582876513413943</v>
      </c>
      <c r="EF82" s="1644">
        <f t="shared" si="80"/>
        <v>2.9852406359596202</v>
      </c>
      <c r="EG82" s="1644">
        <f t="shared" si="81"/>
        <v>2.1792256642505228</v>
      </c>
      <c r="EH82" s="1644">
        <f t="shared" si="87"/>
        <v>1.8881070919450717E-2</v>
      </c>
      <c r="EI82" s="1644">
        <f t="shared" si="82"/>
        <v>0.72406539579432727</v>
      </c>
      <c r="EJ82" s="505">
        <f t="shared" si="83"/>
        <v>73</v>
      </c>
      <c r="EK82" s="1648">
        <f t="shared" si="84"/>
        <v>58.928382456509624</v>
      </c>
      <c r="EL82" s="521">
        <f t="shared" si="85"/>
        <v>18.881771888959914</v>
      </c>
      <c r="EM82" s="522">
        <f t="shared" si="88"/>
        <v>1.3671130088312845E-2</v>
      </c>
    </row>
    <row r="83" spans="2:143">
      <c r="B83" s="293"/>
      <c r="H83" s="164"/>
      <c r="CL83" s="1647" t="e">
        <f t="shared" si="56"/>
        <v>#VALUE!</v>
      </c>
      <c r="CM83" s="1671">
        <v>58</v>
      </c>
      <c r="CN83" s="1644" t="e">
        <f t="shared" si="36"/>
        <v>#VALUE!</v>
      </c>
      <c r="CO83" s="1644" t="e">
        <f t="shared" si="37"/>
        <v>#VALUE!</v>
      </c>
      <c r="CP83" s="1644" t="e">
        <f t="shared" si="38"/>
        <v>#VALUE!</v>
      </c>
      <c r="CQ83" s="1644" t="e">
        <f t="shared" si="39"/>
        <v>#VALUE!</v>
      </c>
      <c r="CR83" s="1644" t="e">
        <f t="shared" si="40"/>
        <v>#VALUE!</v>
      </c>
      <c r="CS83" s="1644" t="e">
        <f t="shared" si="57"/>
        <v>#VALUE!</v>
      </c>
      <c r="CT83" s="1644" t="e">
        <f t="shared" si="72"/>
        <v>#VALUE!</v>
      </c>
      <c r="CU83" s="505" t="e">
        <f t="shared" si="73"/>
        <v>#VALUE!</v>
      </c>
      <c r="CV83" s="1648" t="e">
        <f t="shared" si="74"/>
        <v>#VALUE!</v>
      </c>
      <c r="CW83" s="521" t="e">
        <f t="shared" si="75"/>
        <v>#VALUE!</v>
      </c>
      <c r="CX83" s="522" t="e">
        <f t="shared" si="76"/>
        <v>#VALUE!</v>
      </c>
      <c r="CZ83" s="1647" t="e">
        <f t="shared" si="58"/>
        <v>#VALUE!</v>
      </c>
      <c r="DA83" s="1671">
        <v>58</v>
      </c>
      <c r="DB83" s="1644" t="e">
        <f t="shared" si="46"/>
        <v>#VALUE!</v>
      </c>
      <c r="DC83" s="1644" t="e">
        <f t="shared" si="47"/>
        <v>#VALUE!</v>
      </c>
      <c r="DD83" s="1644" t="e">
        <f t="shared" si="48"/>
        <v>#VALUE!</v>
      </c>
      <c r="DE83" s="1644" t="e">
        <f t="shared" si="49"/>
        <v>#VALUE!</v>
      </c>
      <c r="DF83" s="1644" t="e">
        <f t="shared" si="50"/>
        <v>#VALUE!</v>
      </c>
      <c r="DG83" s="1644" t="e">
        <f t="shared" si="59"/>
        <v>#VALUE!</v>
      </c>
      <c r="DH83" s="1644" t="e">
        <f t="shared" si="51"/>
        <v>#VALUE!</v>
      </c>
      <c r="DI83" s="505" t="e">
        <f t="shared" si="52"/>
        <v>#VALUE!</v>
      </c>
      <c r="DJ83" s="1648" t="e">
        <f t="shared" si="53"/>
        <v>#VALUE!</v>
      </c>
      <c r="DK83" s="521" t="e">
        <f t="shared" si="54"/>
        <v>#VALUE!</v>
      </c>
      <c r="DL83" s="522" t="e">
        <f t="shared" si="55"/>
        <v>#VALUE!</v>
      </c>
      <c r="EA83" s="1647">
        <f t="shared" si="86"/>
        <v>24.000633322175549</v>
      </c>
      <c r="EB83" s="1671">
        <v>74</v>
      </c>
      <c r="EC83" s="1644">
        <f t="shared" si="77"/>
        <v>297.15063332217551</v>
      </c>
      <c r="ED83" s="1644">
        <f t="shared" si="78"/>
        <v>-32.581440875774611</v>
      </c>
      <c r="EE83" s="1644">
        <f t="shared" si="79"/>
        <v>40.582876513413943</v>
      </c>
      <c r="EF83" s="1644">
        <f t="shared" si="80"/>
        <v>2.9852406359596202</v>
      </c>
      <c r="EG83" s="1644">
        <f t="shared" si="81"/>
        <v>2.209078070610119</v>
      </c>
      <c r="EH83" s="1644">
        <f t="shared" si="87"/>
        <v>1.8881070919450717E-2</v>
      </c>
      <c r="EI83" s="1644">
        <f t="shared" si="82"/>
        <v>0.73420516616121689</v>
      </c>
      <c r="EJ83" s="505">
        <f t="shared" si="83"/>
        <v>74</v>
      </c>
      <c r="EK83" s="1648">
        <f t="shared" si="84"/>
        <v>59.415492035616452</v>
      </c>
      <c r="EL83" s="521">
        <f t="shared" si="85"/>
        <v>19.099038798676339</v>
      </c>
      <c r="EM83" s="522">
        <f t="shared" si="88"/>
        <v>1.3862579811717034E-2</v>
      </c>
    </row>
    <row r="84" spans="2:143">
      <c r="B84" s="293"/>
      <c r="H84" s="164"/>
      <c r="U84" s="164"/>
      <c r="V84" s="164"/>
      <c r="W84" s="353"/>
      <c r="CL84" s="1647" t="e">
        <f t="shared" si="56"/>
        <v>#VALUE!</v>
      </c>
      <c r="CM84" s="1671">
        <v>59</v>
      </c>
      <c r="CN84" s="1644" t="e">
        <f t="shared" si="36"/>
        <v>#VALUE!</v>
      </c>
      <c r="CO84" s="1644" t="e">
        <f t="shared" si="37"/>
        <v>#VALUE!</v>
      </c>
      <c r="CP84" s="1644" t="e">
        <f t="shared" si="38"/>
        <v>#VALUE!</v>
      </c>
      <c r="CQ84" s="1644" t="e">
        <f t="shared" si="39"/>
        <v>#VALUE!</v>
      </c>
      <c r="CR84" s="1644" t="e">
        <f t="shared" si="40"/>
        <v>#VALUE!</v>
      </c>
      <c r="CS84" s="1644" t="e">
        <f t="shared" si="57"/>
        <v>#VALUE!</v>
      </c>
      <c r="CT84" s="1644" t="e">
        <f t="shared" si="72"/>
        <v>#VALUE!</v>
      </c>
      <c r="CU84" s="505" t="e">
        <f t="shared" si="73"/>
        <v>#VALUE!</v>
      </c>
      <c r="CV84" s="1648" t="e">
        <f t="shared" si="74"/>
        <v>#VALUE!</v>
      </c>
      <c r="CW84" s="521" t="e">
        <f t="shared" si="75"/>
        <v>#VALUE!</v>
      </c>
      <c r="CX84" s="522" t="e">
        <f t="shared" si="76"/>
        <v>#VALUE!</v>
      </c>
      <c r="CZ84" s="1647" t="e">
        <f t="shared" si="58"/>
        <v>#VALUE!</v>
      </c>
      <c r="DA84" s="1671">
        <v>59</v>
      </c>
      <c r="DB84" s="1644" t="e">
        <f t="shared" si="46"/>
        <v>#VALUE!</v>
      </c>
      <c r="DC84" s="1644" t="e">
        <f t="shared" si="47"/>
        <v>#VALUE!</v>
      </c>
      <c r="DD84" s="1644" t="e">
        <f t="shared" si="48"/>
        <v>#VALUE!</v>
      </c>
      <c r="DE84" s="1644" t="e">
        <f t="shared" si="49"/>
        <v>#VALUE!</v>
      </c>
      <c r="DF84" s="1644" t="e">
        <f t="shared" si="50"/>
        <v>#VALUE!</v>
      </c>
      <c r="DG84" s="1644" t="e">
        <f t="shared" si="59"/>
        <v>#VALUE!</v>
      </c>
      <c r="DH84" s="1644" t="e">
        <f t="shared" si="51"/>
        <v>#VALUE!</v>
      </c>
      <c r="DI84" s="505" t="e">
        <f t="shared" si="52"/>
        <v>#VALUE!</v>
      </c>
      <c r="DJ84" s="1648" t="e">
        <f t="shared" si="53"/>
        <v>#VALUE!</v>
      </c>
      <c r="DK84" s="521" t="e">
        <f t="shared" si="54"/>
        <v>#VALUE!</v>
      </c>
      <c r="DL84" s="522" t="e">
        <f t="shared" si="55"/>
        <v>#VALUE!</v>
      </c>
      <c r="EA84" s="1647">
        <f t="shared" si="86"/>
        <v>24.000633322175549</v>
      </c>
      <c r="EB84" s="1671">
        <v>75</v>
      </c>
      <c r="EC84" s="1644">
        <f t="shared" si="77"/>
        <v>297.15063332217551</v>
      </c>
      <c r="ED84" s="1644">
        <f t="shared" si="78"/>
        <v>-32.581440875774611</v>
      </c>
      <c r="EE84" s="1644">
        <f t="shared" si="79"/>
        <v>40.582876513413943</v>
      </c>
      <c r="EF84" s="1644">
        <f t="shared" si="80"/>
        <v>2.9852406359596202</v>
      </c>
      <c r="EG84" s="1644">
        <f t="shared" si="81"/>
        <v>2.2389304769697151</v>
      </c>
      <c r="EH84" s="1644">
        <f t="shared" si="87"/>
        <v>1.8881070919450717E-2</v>
      </c>
      <c r="EI84" s="1644">
        <f t="shared" si="82"/>
        <v>0.74435104629806392</v>
      </c>
      <c r="EJ84" s="505">
        <f t="shared" si="83"/>
        <v>75</v>
      </c>
      <c r="EK84" s="1648">
        <f t="shared" si="84"/>
        <v>59.902895125065697</v>
      </c>
      <c r="EL84" s="521">
        <f t="shared" si="85"/>
        <v>19.3137430066148</v>
      </c>
      <c r="EM84" s="522">
        <f t="shared" si="88"/>
        <v>1.4054144894121089E-2</v>
      </c>
    </row>
    <row r="85" spans="2:143">
      <c r="B85" s="293"/>
      <c r="H85" s="164"/>
      <c r="CL85" s="1647" t="e">
        <f t="shared" si="56"/>
        <v>#VALUE!</v>
      </c>
      <c r="CM85" s="1671">
        <v>60</v>
      </c>
      <c r="CN85" s="1644" t="e">
        <f t="shared" si="36"/>
        <v>#VALUE!</v>
      </c>
      <c r="CO85" s="1644" t="e">
        <f t="shared" si="37"/>
        <v>#VALUE!</v>
      </c>
      <c r="CP85" s="1644" t="e">
        <f t="shared" si="38"/>
        <v>#VALUE!</v>
      </c>
      <c r="CQ85" s="1644" t="e">
        <f t="shared" si="39"/>
        <v>#VALUE!</v>
      </c>
      <c r="CR85" s="1644" t="e">
        <f t="shared" si="40"/>
        <v>#VALUE!</v>
      </c>
      <c r="CS85" s="1644" t="e">
        <f t="shared" si="57"/>
        <v>#VALUE!</v>
      </c>
      <c r="CT85" s="1644" t="e">
        <f t="shared" si="72"/>
        <v>#VALUE!</v>
      </c>
      <c r="CU85" s="505" t="e">
        <f t="shared" si="73"/>
        <v>#VALUE!</v>
      </c>
      <c r="CV85" s="1648" t="e">
        <f t="shared" si="74"/>
        <v>#VALUE!</v>
      </c>
      <c r="CW85" s="521" t="e">
        <f t="shared" si="75"/>
        <v>#VALUE!</v>
      </c>
      <c r="CX85" s="522" t="e">
        <f t="shared" si="76"/>
        <v>#VALUE!</v>
      </c>
      <c r="CZ85" s="1647" t="e">
        <f t="shared" si="58"/>
        <v>#VALUE!</v>
      </c>
      <c r="DA85" s="1671">
        <v>60</v>
      </c>
      <c r="DB85" s="1644" t="e">
        <f t="shared" si="46"/>
        <v>#VALUE!</v>
      </c>
      <c r="DC85" s="1644" t="e">
        <f t="shared" si="47"/>
        <v>#VALUE!</v>
      </c>
      <c r="DD85" s="1644" t="e">
        <f t="shared" si="48"/>
        <v>#VALUE!</v>
      </c>
      <c r="DE85" s="1644" t="e">
        <f t="shared" si="49"/>
        <v>#VALUE!</v>
      </c>
      <c r="DF85" s="1644" t="e">
        <f t="shared" si="50"/>
        <v>#VALUE!</v>
      </c>
      <c r="DG85" s="1644" t="e">
        <f t="shared" si="59"/>
        <v>#VALUE!</v>
      </c>
      <c r="DH85" s="1644" t="e">
        <f t="shared" si="51"/>
        <v>#VALUE!</v>
      </c>
      <c r="DI85" s="505" t="e">
        <f t="shared" si="52"/>
        <v>#VALUE!</v>
      </c>
      <c r="DJ85" s="1648" t="e">
        <f t="shared" si="53"/>
        <v>#VALUE!</v>
      </c>
      <c r="DK85" s="521" t="e">
        <f t="shared" si="54"/>
        <v>#VALUE!</v>
      </c>
      <c r="DL85" s="522" t="e">
        <f t="shared" si="55"/>
        <v>#VALUE!</v>
      </c>
      <c r="EA85" s="1647">
        <f t="shared" si="86"/>
        <v>24.000633322175549</v>
      </c>
      <c r="EB85" s="1671">
        <v>76</v>
      </c>
      <c r="EC85" s="1644">
        <f t="shared" si="77"/>
        <v>297.15063332217551</v>
      </c>
      <c r="ED85" s="1644">
        <f t="shared" si="78"/>
        <v>-32.581440875774611</v>
      </c>
      <c r="EE85" s="1644">
        <f t="shared" si="79"/>
        <v>40.582876513413943</v>
      </c>
      <c r="EF85" s="1644">
        <f t="shared" si="80"/>
        <v>2.9852406359596202</v>
      </c>
      <c r="EG85" s="1644">
        <f t="shared" si="81"/>
        <v>2.2687828833293113</v>
      </c>
      <c r="EH85" s="1644">
        <f t="shared" si="87"/>
        <v>1.8881070919450717E-2</v>
      </c>
      <c r="EI85" s="1644">
        <f t="shared" si="82"/>
        <v>0.75450304172874183</v>
      </c>
      <c r="EJ85" s="505">
        <f t="shared" si="83"/>
        <v>76</v>
      </c>
      <c r="EK85" s="1648">
        <f t="shared" si="84"/>
        <v>60.390591990221523</v>
      </c>
      <c r="EL85" s="521">
        <f t="shared" si="85"/>
        <v>19.525949107086319</v>
      </c>
      <c r="EM85" s="522">
        <f t="shared" si="88"/>
        <v>1.4245825439821658E-2</v>
      </c>
    </row>
    <row r="86" spans="2:143">
      <c r="B86" s="293"/>
      <c r="H86" s="164"/>
      <c r="CL86" s="1647" t="e">
        <f t="shared" si="56"/>
        <v>#VALUE!</v>
      </c>
      <c r="CM86" s="1671">
        <v>61</v>
      </c>
      <c r="CN86" s="1644" t="e">
        <f t="shared" si="36"/>
        <v>#VALUE!</v>
      </c>
      <c r="CO86" s="1644" t="e">
        <f t="shared" si="37"/>
        <v>#VALUE!</v>
      </c>
      <c r="CP86" s="1644" t="e">
        <f t="shared" si="38"/>
        <v>#VALUE!</v>
      </c>
      <c r="CQ86" s="1644" t="e">
        <f t="shared" si="39"/>
        <v>#VALUE!</v>
      </c>
      <c r="CR86" s="1644" t="e">
        <f t="shared" si="40"/>
        <v>#VALUE!</v>
      </c>
      <c r="CS86" s="1644" t="e">
        <f t="shared" si="57"/>
        <v>#VALUE!</v>
      </c>
      <c r="CT86" s="1644" t="e">
        <f t="shared" si="72"/>
        <v>#VALUE!</v>
      </c>
      <c r="CU86" s="505" t="e">
        <f t="shared" si="73"/>
        <v>#VALUE!</v>
      </c>
      <c r="CV86" s="1648" t="e">
        <f t="shared" si="74"/>
        <v>#VALUE!</v>
      </c>
      <c r="CW86" s="521" t="e">
        <f t="shared" si="75"/>
        <v>#VALUE!</v>
      </c>
      <c r="CX86" s="522" t="e">
        <f t="shared" si="76"/>
        <v>#VALUE!</v>
      </c>
      <c r="CZ86" s="1647" t="e">
        <f t="shared" si="58"/>
        <v>#VALUE!</v>
      </c>
      <c r="DA86" s="1671">
        <v>61</v>
      </c>
      <c r="DB86" s="1644" t="e">
        <f t="shared" si="46"/>
        <v>#VALUE!</v>
      </c>
      <c r="DC86" s="1644" t="e">
        <f t="shared" si="47"/>
        <v>#VALUE!</v>
      </c>
      <c r="DD86" s="1644" t="e">
        <f t="shared" si="48"/>
        <v>#VALUE!</v>
      </c>
      <c r="DE86" s="1644" t="e">
        <f t="shared" si="49"/>
        <v>#VALUE!</v>
      </c>
      <c r="DF86" s="1644" t="e">
        <f t="shared" si="50"/>
        <v>#VALUE!</v>
      </c>
      <c r="DG86" s="1644" t="e">
        <f t="shared" si="59"/>
        <v>#VALUE!</v>
      </c>
      <c r="DH86" s="1644" t="e">
        <f t="shared" si="51"/>
        <v>#VALUE!</v>
      </c>
      <c r="DI86" s="505" t="e">
        <f t="shared" si="52"/>
        <v>#VALUE!</v>
      </c>
      <c r="DJ86" s="1648" t="e">
        <f t="shared" si="53"/>
        <v>#VALUE!</v>
      </c>
      <c r="DK86" s="521" t="e">
        <f t="shared" si="54"/>
        <v>#VALUE!</v>
      </c>
      <c r="DL86" s="522" t="e">
        <f t="shared" si="55"/>
        <v>#VALUE!</v>
      </c>
      <c r="EA86" s="1647">
        <f t="shared" si="86"/>
        <v>24.000633322175549</v>
      </c>
      <c r="EB86" s="1671">
        <v>77</v>
      </c>
      <c r="EC86" s="1644">
        <f t="shared" si="77"/>
        <v>297.15063332217551</v>
      </c>
      <c r="ED86" s="1644">
        <f t="shared" si="78"/>
        <v>-32.581440875774611</v>
      </c>
      <c r="EE86" s="1644">
        <f t="shared" si="79"/>
        <v>40.582876513413943</v>
      </c>
      <c r="EF86" s="1644">
        <f t="shared" si="80"/>
        <v>2.9852406359596202</v>
      </c>
      <c r="EG86" s="1644">
        <f t="shared" si="81"/>
        <v>2.2986352896889075</v>
      </c>
      <c r="EH86" s="1644">
        <f t="shared" si="87"/>
        <v>1.8881070919450717E-2</v>
      </c>
      <c r="EI86" s="1644">
        <f t="shared" si="82"/>
        <v>0.76466115798378498</v>
      </c>
      <c r="EJ86" s="505">
        <f t="shared" si="83"/>
        <v>77</v>
      </c>
      <c r="EK86" s="1648">
        <f t="shared" si="84"/>
        <v>60.878582896768066</v>
      </c>
      <c r="EL86" s="521">
        <f t="shared" si="85"/>
        <v>19.735719229213849</v>
      </c>
      <c r="EM86" s="522">
        <f t="shared" si="88"/>
        <v>1.4437621553241152E-2</v>
      </c>
    </row>
    <row r="87" spans="2:143">
      <c r="B87" s="293"/>
      <c r="H87" s="164"/>
      <c r="CL87" s="1647" t="e">
        <f t="shared" si="56"/>
        <v>#VALUE!</v>
      </c>
      <c r="CM87" s="1671">
        <v>62</v>
      </c>
      <c r="CN87" s="1644" t="e">
        <f t="shared" si="36"/>
        <v>#VALUE!</v>
      </c>
      <c r="CO87" s="1644" t="e">
        <f t="shared" si="37"/>
        <v>#VALUE!</v>
      </c>
      <c r="CP87" s="1644" t="e">
        <f t="shared" si="38"/>
        <v>#VALUE!</v>
      </c>
      <c r="CQ87" s="1644" t="e">
        <f t="shared" si="39"/>
        <v>#VALUE!</v>
      </c>
      <c r="CR87" s="1644" t="e">
        <f t="shared" si="40"/>
        <v>#VALUE!</v>
      </c>
      <c r="CS87" s="1644" t="e">
        <f t="shared" si="57"/>
        <v>#VALUE!</v>
      </c>
      <c r="CT87" s="1644" t="e">
        <f t="shared" si="72"/>
        <v>#VALUE!</v>
      </c>
      <c r="CU87" s="505" t="e">
        <f t="shared" si="73"/>
        <v>#VALUE!</v>
      </c>
      <c r="CV87" s="1648" t="e">
        <f t="shared" si="74"/>
        <v>#VALUE!</v>
      </c>
      <c r="CW87" s="521" t="e">
        <f t="shared" si="75"/>
        <v>#VALUE!</v>
      </c>
      <c r="CX87" s="522" t="e">
        <f t="shared" si="76"/>
        <v>#VALUE!</v>
      </c>
      <c r="CZ87" s="1647" t="e">
        <f t="shared" si="58"/>
        <v>#VALUE!</v>
      </c>
      <c r="DA87" s="1671">
        <v>62</v>
      </c>
      <c r="DB87" s="1644" t="e">
        <f t="shared" si="46"/>
        <v>#VALUE!</v>
      </c>
      <c r="DC87" s="1644" t="e">
        <f t="shared" si="47"/>
        <v>#VALUE!</v>
      </c>
      <c r="DD87" s="1644" t="e">
        <f t="shared" si="48"/>
        <v>#VALUE!</v>
      </c>
      <c r="DE87" s="1644" t="e">
        <f t="shared" si="49"/>
        <v>#VALUE!</v>
      </c>
      <c r="DF87" s="1644" t="e">
        <f t="shared" si="50"/>
        <v>#VALUE!</v>
      </c>
      <c r="DG87" s="1644" t="e">
        <f t="shared" si="59"/>
        <v>#VALUE!</v>
      </c>
      <c r="DH87" s="1644" t="e">
        <f t="shared" si="51"/>
        <v>#VALUE!</v>
      </c>
      <c r="DI87" s="505" t="e">
        <f t="shared" si="52"/>
        <v>#VALUE!</v>
      </c>
      <c r="DJ87" s="1648" t="e">
        <f t="shared" si="53"/>
        <v>#VALUE!</v>
      </c>
      <c r="DK87" s="521" t="e">
        <f t="shared" si="54"/>
        <v>#VALUE!</v>
      </c>
      <c r="DL87" s="522" t="e">
        <f t="shared" si="55"/>
        <v>#VALUE!</v>
      </c>
      <c r="EA87" s="1647">
        <f t="shared" si="86"/>
        <v>24.000633322175549</v>
      </c>
      <c r="EB87" s="1671">
        <v>78</v>
      </c>
      <c r="EC87" s="1644">
        <f t="shared" si="77"/>
        <v>297.15063332217551</v>
      </c>
      <c r="ED87" s="1644">
        <f t="shared" si="78"/>
        <v>-32.581440875774611</v>
      </c>
      <c r="EE87" s="1644">
        <f t="shared" si="79"/>
        <v>40.582876513413943</v>
      </c>
      <c r="EF87" s="1644">
        <f t="shared" si="80"/>
        <v>2.9852406359596202</v>
      </c>
      <c r="EG87" s="1644">
        <f t="shared" si="81"/>
        <v>2.3284876960485037</v>
      </c>
      <c r="EH87" s="1644">
        <f t="shared" si="87"/>
        <v>1.8881070919450717E-2</v>
      </c>
      <c r="EI87" s="1644">
        <f t="shared" si="82"/>
        <v>0.77482540060039862</v>
      </c>
      <c r="EJ87" s="505">
        <f t="shared" si="83"/>
        <v>78</v>
      </c>
      <c r="EK87" s="1648">
        <f t="shared" si="84"/>
        <v>61.366868110709959</v>
      </c>
      <c r="EL87" s="521">
        <f t="shared" si="85"/>
        <v>19.943113162004575</v>
      </c>
      <c r="EM87" s="522">
        <f t="shared" si="88"/>
        <v>1.4629533338927938E-2</v>
      </c>
    </row>
    <row r="88" spans="2:143">
      <c r="B88" s="293"/>
      <c r="H88" s="164"/>
      <c r="CL88" s="1647" t="e">
        <f t="shared" si="56"/>
        <v>#VALUE!</v>
      </c>
      <c r="CM88" s="1671">
        <v>63</v>
      </c>
      <c r="CN88" s="1644" t="e">
        <f t="shared" si="36"/>
        <v>#VALUE!</v>
      </c>
      <c r="CO88" s="1644" t="e">
        <f t="shared" si="37"/>
        <v>#VALUE!</v>
      </c>
      <c r="CP88" s="1644" t="e">
        <f t="shared" si="38"/>
        <v>#VALUE!</v>
      </c>
      <c r="CQ88" s="1644" t="e">
        <f t="shared" si="39"/>
        <v>#VALUE!</v>
      </c>
      <c r="CR88" s="1644" t="e">
        <f t="shared" si="40"/>
        <v>#VALUE!</v>
      </c>
      <c r="CS88" s="1644" t="e">
        <f t="shared" si="57"/>
        <v>#VALUE!</v>
      </c>
      <c r="CT88" s="1644" t="e">
        <f t="shared" si="72"/>
        <v>#VALUE!</v>
      </c>
      <c r="CU88" s="505" t="e">
        <f t="shared" si="73"/>
        <v>#VALUE!</v>
      </c>
      <c r="CV88" s="1648" t="e">
        <f t="shared" si="74"/>
        <v>#VALUE!</v>
      </c>
      <c r="CW88" s="521" t="e">
        <f t="shared" si="75"/>
        <v>#VALUE!</v>
      </c>
      <c r="CX88" s="522" t="e">
        <f t="shared" si="76"/>
        <v>#VALUE!</v>
      </c>
      <c r="CZ88" s="1647" t="e">
        <f t="shared" si="58"/>
        <v>#VALUE!</v>
      </c>
      <c r="DA88" s="1671">
        <v>63</v>
      </c>
      <c r="DB88" s="1644" t="e">
        <f t="shared" si="46"/>
        <v>#VALUE!</v>
      </c>
      <c r="DC88" s="1644" t="e">
        <f t="shared" si="47"/>
        <v>#VALUE!</v>
      </c>
      <c r="DD88" s="1644" t="e">
        <f t="shared" si="48"/>
        <v>#VALUE!</v>
      </c>
      <c r="DE88" s="1644" t="e">
        <f t="shared" si="49"/>
        <v>#VALUE!</v>
      </c>
      <c r="DF88" s="1644" t="e">
        <f t="shared" si="50"/>
        <v>#VALUE!</v>
      </c>
      <c r="DG88" s="1644" t="e">
        <f t="shared" si="59"/>
        <v>#VALUE!</v>
      </c>
      <c r="DH88" s="1644" t="e">
        <f t="shared" si="51"/>
        <v>#VALUE!</v>
      </c>
      <c r="DI88" s="505" t="e">
        <f t="shared" si="52"/>
        <v>#VALUE!</v>
      </c>
      <c r="DJ88" s="1648" t="e">
        <f t="shared" si="53"/>
        <v>#VALUE!</v>
      </c>
      <c r="DK88" s="521" t="e">
        <f t="shared" si="54"/>
        <v>#VALUE!</v>
      </c>
      <c r="DL88" s="522" t="e">
        <f t="shared" si="55"/>
        <v>#VALUE!</v>
      </c>
      <c r="EA88" s="1647">
        <f t="shared" si="86"/>
        <v>24.000633322175549</v>
      </c>
      <c r="EB88" s="1671">
        <v>79</v>
      </c>
      <c r="EC88" s="1644">
        <f t="shared" si="77"/>
        <v>297.15063332217551</v>
      </c>
      <c r="ED88" s="1644">
        <f t="shared" si="78"/>
        <v>-32.581440875774611</v>
      </c>
      <c r="EE88" s="1644">
        <f t="shared" si="79"/>
        <v>40.582876513413943</v>
      </c>
      <c r="EF88" s="1644">
        <f t="shared" si="80"/>
        <v>2.9852406359596202</v>
      </c>
      <c r="EG88" s="1644">
        <f t="shared" si="81"/>
        <v>2.3583401024080999</v>
      </c>
      <c r="EH88" s="1644">
        <f t="shared" si="87"/>
        <v>1.8881070919450717E-2</v>
      </c>
      <c r="EI88" s="1644">
        <f t="shared" si="82"/>
        <v>0.78499577512246888</v>
      </c>
      <c r="EJ88" s="505">
        <f t="shared" si="83"/>
        <v>79</v>
      </c>
      <c r="EK88" s="1648">
        <f t="shared" si="84"/>
        <v>61.855447898372759</v>
      </c>
      <c r="EL88" s="521">
        <f t="shared" si="85"/>
        <v>20.148188471548345</v>
      </c>
      <c r="EM88" s="522">
        <f t="shared" si="88"/>
        <v>1.4821560901556521E-2</v>
      </c>
    </row>
    <row r="89" spans="2:143">
      <c r="B89" s="293"/>
      <c r="H89" s="164"/>
      <c r="CL89" s="1647" t="e">
        <f t="shared" si="56"/>
        <v>#VALUE!</v>
      </c>
      <c r="CM89" s="1671">
        <v>64</v>
      </c>
      <c r="CN89" s="1644" t="e">
        <f t="shared" si="36"/>
        <v>#VALUE!</v>
      </c>
      <c r="CO89" s="1644" t="e">
        <f t="shared" si="37"/>
        <v>#VALUE!</v>
      </c>
      <c r="CP89" s="1644" t="e">
        <f t="shared" si="38"/>
        <v>#VALUE!</v>
      </c>
      <c r="CQ89" s="1644" t="e">
        <f t="shared" si="39"/>
        <v>#VALUE!</v>
      </c>
      <c r="CR89" s="1644" t="e">
        <f t="shared" si="40"/>
        <v>#VALUE!</v>
      </c>
      <c r="CS89" s="1644" t="e">
        <f t="shared" si="57"/>
        <v>#VALUE!</v>
      </c>
      <c r="CT89" s="1644" t="e">
        <f t="shared" si="72"/>
        <v>#VALUE!</v>
      </c>
      <c r="CU89" s="505" t="e">
        <f t="shared" si="73"/>
        <v>#VALUE!</v>
      </c>
      <c r="CV89" s="1648" t="e">
        <f t="shared" si="74"/>
        <v>#VALUE!</v>
      </c>
      <c r="CW89" s="521" t="e">
        <f t="shared" si="75"/>
        <v>#VALUE!</v>
      </c>
      <c r="CX89" s="522" t="e">
        <f t="shared" si="76"/>
        <v>#VALUE!</v>
      </c>
      <c r="CZ89" s="1647" t="e">
        <f t="shared" si="58"/>
        <v>#VALUE!</v>
      </c>
      <c r="DA89" s="1671">
        <v>64</v>
      </c>
      <c r="DB89" s="1644" t="e">
        <f t="shared" si="46"/>
        <v>#VALUE!</v>
      </c>
      <c r="DC89" s="1644" t="e">
        <f t="shared" si="47"/>
        <v>#VALUE!</v>
      </c>
      <c r="DD89" s="1644" t="e">
        <f t="shared" si="48"/>
        <v>#VALUE!</v>
      </c>
      <c r="DE89" s="1644" t="e">
        <f t="shared" si="49"/>
        <v>#VALUE!</v>
      </c>
      <c r="DF89" s="1644" t="e">
        <f t="shared" si="50"/>
        <v>#VALUE!</v>
      </c>
      <c r="DG89" s="1644" t="e">
        <f t="shared" si="59"/>
        <v>#VALUE!</v>
      </c>
      <c r="DH89" s="1644" t="e">
        <f t="shared" si="51"/>
        <v>#VALUE!</v>
      </c>
      <c r="DI89" s="505" t="e">
        <f t="shared" si="52"/>
        <v>#VALUE!</v>
      </c>
      <c r="DJ89" s="1648" t="e">
        <f t="shared" si="53"/>
        <v>#VALUE!</v>
      </c>
      <c r="DK89" s="521" t="e">
        <f t="shared" si="54"/>
        <v>#VALUE!</v>
      </c>
      <c r="DL89" s="522" t="e">
        <f t="shared" si="55"/>
        <v>#VALUE!</v>
      </c>
      <c r="EA89" s="1647">
        <f t="shared" si="86"/>
        <v>24.000633322175549</v>
      </c>
      <c r="EB89" s="1671">
        <v>80</v>
      </c>
      <c r="EC89" s="1644">
        <f t="shared" si="77"/>
        <v>297.15063332217551</v>
      </c>
      <c r="ED89" s="1644">
        <f t="shared" si="78"/>
        <v>-32.581440875774611</v>
      </c>
      <c r="EE89" s="1644">
        <f t="shared" si="79"/>
        <v>40.582876513413943</v>
      </c>
      <c r="EF89" s="1644">
        <f t="shared" si="80"/>
        <v>2.9852406359596202</v>
      </c>
      <c r="EG89" s="1644">
        <f t="shared" si="81"/>
        <v>2.3881925087676961</v>
      </c>
      <c r="EH89" s="1644">
        <f t="shared" si="87"/>
        <v>1.8881070919450717E-2</v>
      </c>
      <c r="EI89" s="1644">
        <f t="shared" si="82"/>
        <v>0.79517228710057319</v>
      </c>
      <c r="EJ89" s="505">
        <f t="shared" si="83"/>
        <v>80</v>
      </c>
      <c r="EK89" s="1648">
        <f t="shared" si="84"/>
        <v>62.344322526403474</v>
      </c>
      <c r="EL89" s="521">
        <f t="shared" si="85"/>
        <v>20.35100061093155</v>
      </c>
      <c r="EM89" s="522">
        <f t="shared" si="88"/>
        <v>1.5013704345927749E-2</v>
      </c>
    </row>
    <row r="90" spans="2:143">
      <c r="B90" s="293"/>
      <c r="H90" s="164"/>
      <c r="CL90" s="1647" t="e">
        <f t="shared" si="56"/>
        <v>#VALUE!</v>
      </c>
      <c r="CM90" s="1671">
        <v>65</v>
      </c>
      <c r="CN90" s="1644" t="e">
        <f t="shared" ref="CN90:CN125" si="89">273.15+CL90</f>
        <v>#VALUE!</v>
      </c>
      <c r="CO90" s="1644" t="e">
        <f t="shared" ref="CO90:CO125" si="90">-5800.2206/CN90+1.3914993-0.048640239*CN90</f>
        <v>#VALUE!</v>
      </c>
      <c r="CP90" s="1644" t="e">
        <f t="shared" ref="CP90:CP125" si="91">0.000041764768*POWER(CN90,2)-0.000000014452093*POWER(CN90,3)+6.5459673*LN(CN90)</f>
        <v>#VALUE!</v>
      </c>
      <c r="CQ90" s="1644" t="e">
        <f t="shared" ref="CQ90:CQ125" si="92">EXP(CO90+CP90)/1000</f>
        <v>#VALUE!</v>
      </c>
      <c r="CR90" s="1644" t="e">
        <f t="shared" ref="CR90:CR125" si="93">CM90/100*CQ90</f>
        <v>#VALUE!</v>
      </c>
      <c r="CS90" s="1644" t="e">
        <f t="shared" si="57"/>
        <v>#VALUE!</v>
      </c>
      <c r="CT90" s="1644" t="e">
        <f t="shared" ref="CT90:CT121" si="94">CX90/CS90</f>
        <v>#VALUE!</v>
      </c>
      <c r="CU90" s="505" t="e">
        <f t="shared" ref="CU90:CU125" si="95">IF(CL90+CM90&gt;0,CM90,0)</f>
        <v>#VALUE!</v>
      </c>
      <c r="CV90" s="1648" t="e">
        <f t="shared" ref="CV90:CV125" si="96">IF(CL90+CM90&gt;0,(1.006*CL90+CX90*(2501+1.805*CL90)),0)</f>
        <v>#VALUE!</v>
      </c>
      <c r="CW90" s="521" t="e">
        <f t="shared" ref="CW90:CW125" si="97">IF(CL90+CM90&gt;0,(6.54+14.526*LN(CR90)+0.7389*POWER(LN(CR90),2)+0.09486*POWER(LN(CR90),3)+0.4569*POWER(CR90,0.1984)),0)</f>
        <v>#VALUE!</v>
      </c>
      <c r="CX90" s="522" t="e">
        <f t="shared" ref="CX90:CX125" si="98">IF(CL90+CM90&gt;0,0.62198*(CR90/($F$3-CR90)),0)</f>
        <v>#VALUE!</v>
      </c>
      <c r="CZ90" s="1647" t="e">
        <f t="shared" si="58"/>
        <v>#VALUE!</v>
      </c>
      <c r="DA90" s="1671">
        <v>65</v>
      </c>
      <c r="DB90" s="1644" t="e">
        <f t="shared" ref="DB90:DB125" si="99">273.15+CZ90</f>
        <v>#VALUE!</v>
      </c>
      <c r="DC90" s="1644" t="e">
        <f t="shared" ref="DC90:DC125" si="100">-5800.2206/DB90+1.3914993-0.048640239*DB90</f>
        <v>#VALUE!</v>
      </c>
      <c r="DD90" s="1644" t="e">
        <f t="shared" ref="DD90:DD125" si="101">0.000041764768*POWER(DB90,2)-0.000000014452093*POWER(DB90,3)+6.5459673*LN(DB90)</f>
        <v>#VALUE!</v>
      </c>
      <c r="DE90" s="1644" t="e">
        <f t="shared" ref="DE90:DE125" si="102">EXP(DC90+DD90)/1000</f>
        <v>#VALUE!</v>
      </c>
      <c r="DF90" s="1644" t="e">
        <f t="shared" ref="DF90:DF125" si="103">DA90/100*DE90</f>
        <v>#VALUE!</v>
      </c>
      <c r="DG90" s="1644" t="e">
        <f t="shared" si="59"/>
        <v>#VALUE!</v>
      </c>
      <c r="DH90" s="1644" t="e">
        <f t="shared" ref="DH90:DH125" si="104">DL90/DG90</f>
        <v>#VALUE!</v>
      </c>
      <c r="DI90" s="505" t="e">
        <f t="shared" ref="DI90:DI125" si="105">IF(CZ90+DA90&gt;0,DA90,0)</f>
        <v>#VALUE!</v>
      </c>
      <c r="DJ90" s="1648" t="e">
        <f t="shared" ref="DJ90:DJ125" si="106">IF(CZ90+DA90&gt;0,(1.006*CZ90+DL90*(2501+1.805*CZ90)),0)</f>
        <v>#VALUE!</v>
      </c>
      <c r="DK90" s="521" t="e">
        <f t="shared" ref="DK90:DK125" si="107">IF(CZ90+DA90&gt;0,(6.54+14.526*LN(DF90)+0.7389*POWER(LN(DF90),2)+0.09486*POWER(LN(DF90),3)+0.4569*POWER(DF90,0.1984)),0)</f>
        <v>#VALUE!</v>
      </c>
      <c r="DL90" s="522" t="e">
        <f t="shared" ref="DL90:DL125" si="108">IF(CZ90+DA90&gt;0,0.62198*(DF90/($F$3-DF90)),0)</f>
        <v>#VALUE!</v>
      </c>
      <c r="EA90" s="1647">
        <f t="shared" si="86"/>
        <v>24.000633322175549</v>
      </c>
      <c r="EB90" s="1671">
        <v>81</v>
      </c>
      <c r="EC90" s="1644">
        <f t="shared" si="77"/>
        <v>297.15063332217551</v>
      </c>
      <c r="ED90" s="1644">
        <f t="shared" si="78"/>
        <v>-32.581440875774611</v>
      </c>
      <c r="EE90" s="1644">
        <f t="shared" si="79"/>
        <v>40.582876513413943</v>
      </c>
      <c r="EF90" s="1644">
        <f t="shared" si="80"/>
        <v>2.9852406359596202</v>
      </c>
      <c r="EG90" s="1644">
        <f t="shared" si="81"/>
        <v>2.4180449151272927</v>
      </c>
      <c r="EH90" s="1644">
        <f t="shared" si="87"/>
        <v>1.8881070919450717E-2</v>
      </c>
      <c r="EI90" s="1644">
        <f t="shared" si="82"/>
        <v>0.80535494209199021</v>
      </c>
      <c r="EJ90" s="505">
        <f t="shared" si="83"/>
        <v>81</v>
      </c>
      <c r="EK90" s="1648">
        <f t="shared" si="84"/>
        <v>62.833492261771028</v>
      </c>
      <c r="EL90" s="521">
        <f t="shared" si="85"/>
        <v>20.551603023404784</v>
      </c>
      <c r="EM90" s="522">
        <f t="shared" si="88"/>
        <v>1.5205963776968992E-2</v>
      </c>
    </row>
    <row r="91" spans="2:143">
      <c r="B91" s="293"/>
      <c r="H91" s="164"/>
      <c r="CL91" s="1647" t="e">
        <f t="shared" ref="CL91:CL125" si="109">$O$7</f>
        <v>#VALUE!</v>
      </c>
      <c r="CM91" s="1671">
        <v>66</v>
      </c>
      <c r="CN91" s="1644" t="e">
        <f t="shared" si="89"/>
        <v>#VALUE!</v>
      </c>
      <c r="CO91" s="1644" t="e">
        <f t="shared" si="90"/>
        <v>#VALUE!</v>
      </c>
      <c r="CP91" s="1644" t="e">
        <f t="shared" si="91"/>
        <v>#VALUE!</v>
      </c>
      <c r="CQ91" s="1644" t="e">
        <f t="shared" si="92"/>
        <v>#VALUE!</v>
      </c>
      <c r="CR91" s="1644" t="e">
        <f t="shared" si="93"/>
        <v>#VALUE!</v>
      </c>
      <c r="CS91" s="1644" t="e">
        <f t="shared" ref="CS91:CS125" si="110">0.62198*(CQ91/($F$3-CQ91))</f>
        <v>#VALUE!</v>
      </c>
      <c r="CT91" s="1644" t="e">
        <f t="shared" si="94"/>
        <v>#VALUE!</v>
      </c>
      <c r="CU91" s="505" t="e">
        <f t="shared" si="95"/>
        <v>#VALUE!</v>
      </c>
      <c r="CV91" s="1648" t="e">
        <f t="shared" si="96"/>
        <v>#VALUE!</v>
      </c>
      <c r="CW91" s="521" t="e">
        <f t="shared" si="97"/>
        <v>#VALUE!</v>
      </c>
      <c r="CX91" s="522" t="e">
        <f t="shared" si="98"/>
        <v>#VALUE!</v>
      </c>
      <c r="CZ91" s="1647" t="e">
        <f t="shared" ref="CZ91:CZ125" si="111">$AF$11</f>
        <v>#VALUE!</v>
      </c>
      <c r="DA91" s="1671">
        <v>66</v>
      </c>
      <c r="DB91" s="1644" t="e">
        <f t="shared" si="99"/>
        <v>#VALUE!</v>
      </c>
      <c r="DC91" s="1644" t="e">
        <f t="shared" si="100"/>
        <v>#VALUE!</v>
      </c>
      <c r="DD91" s="1644" t="e">
        <f t="shared" si="101"/>
        <v>#VALUE!</v>
      </c>
      <c r="DE91" s="1644" t="e">
        <f t="shared" si="102"/>
        <v>#VALUE!</v>
      </c>
      <c r="DF91" s="1644" t="e">
        <f t="shared" si="103"/>
        <v>#VALUE!</v>
      </c>
      <c r="DG91" s="1644" t="e">
        <f t="shared" ref="DG91:DG125" si="112">0.62198*(DE91/($F$3-DE91))</f>
        <v>#VALUE!</v>
      </c>
      <c r="DH91" s="1644" t="e">
        <f t="shared" si="104"/>
        <v>#VALUE!</v>
      </c>
      <c r="DI91" s="505" t="e">
        <f t="shared" si="105"/>
        <v>#VALUE!</v>
      </c>
      <c r="DJ91" s="1648" t="e">
        <f t="shared" si="106"/>
        <v>#VALUE!</v>
      </c>
      <c r="DK91" s="521" t="e">
        <f t="shared" si="107"/>
        <v>#VALUE!</v>
      </c>
      <c r="DL91" s="522" t="e">
        <f t="shared" si="108"/>
        <v>#VALUE!</v>
      </c>
      <c r="EA91" s="1647">
        <f t="shared" si="86"/>
        <v>24.000633322175549</v>
      </c>
      <c r="EB91" s="1671">
        <v>82</v>
      </c>
      <c r="EC91" s="1644">
        <f t="shared" si="77"/>
        <v>297.15063332217551</v>
      </c>
      <c r="ED91" s="1644">
        <f t="shared" si="78"/>
        <v>-32.581440875774611</v>
      </c>
      <c r="EE91" s="1644">
        <f t="shared" si="79"/>
        <v>40.582876513413943</v>
      </c>
      <c r="EF91" s="1644">
        <f t="shared" si="80"/>
        <v>2.9852406359596202</v>
      </c>
      <c r="EG91" s="1644">
        <f t="shared" si="81"/>
        <v>2.4478973214868884</v>
      </c>
      <c r="EH91" s="1644">
        <f t="shared" si="87"/>
        <v>1.8881070919450717E-2</v>
      </c>
      <c r="EI91" s="1644">
        <f t="shared" si="82"/>
        <v>0.8155437456607092</v>
      </c>
      <c r="EJ91" s="505">
        <f t="shared" si="83"/>
        <v>82</v>
      </c>
      <c r="EK91" s="1648">
        <f t="shared" si="84"/>
        <v>63.322957371766734</v>
      </c>
      <c r="EL91" s="521">
        <f t="shared" si="85"/>
        <v>20.750047239296858</v>
      </c>
      <c r="EM91" s="522">
        <f t="shared" si="88"/>
        <v>1.5398339299734328E-2</v>
      </c>
    </row>
    <row r="92" spans="2:143">
      <c r="B92" s="293"/>
      <c r="H92" s="164"/>
      <c r="CL92" s="1647" t="e">
        <f t="shared" si="109"/>
        <v>#VALUE!</v>
      </c>
      <c r="CM92" s="1671">
        <v>67</v>
      </c>
      <c r="CN92" s="1644" t="e">
        <f t="shared" si="89"/>
        <v>#VALUE!</v>
      </c>
      <c r="CO92" s="1644" t="e">
        <f t="shared" si="90"/>
        <v>#VALUE!</v>
      </c>
      <c r="CP92" s="1644" t="e">
        <f t="shared" si="91"/>
        <v>#VALUE!</v>
      </c>
      <c r="CQ92" s="1644" t="e">
        <f t="shared" si="92"/>
        <v>#VALUE!</v>
      </c>
      <c r="CR92" s="1644" t="e">
        <f t="shared" si="93"/>
        <v>#VALUE!</v>
      </c>
      <c r="CS92" s="1644" t="e">
        <f t="shared" si="110"/>
        <v>#VALUE!</v>
      </c>
      <c r="CT92" s="1644" t="e">
        <f t="shared" si="94"/>
        <v>#VALUE!</v>
      </c>
      <c r="CU92" s="505" t="e">
        <f t="shared" si="95"/>
        <v>#VALUE!</v>
      </c>
      <c r="CV92" s="1648" t="e">
        <f t="shared" si="96"/>
        <v>#VALUE!</v>
      </c>
      <c r="CW92" s="521" t="e">
        <f t="shared" si="97"/>
        <v>#VALUE!</v>
      </c>
      <c r="CX92" s="522" t="e">
        <f t="shared" si="98"/>
        <v>#VALUE!</v>
      </c>
      <c r="CZ92" s="1647" t="e">
        <f t="shared" si="111"/>
        <v>#VALUE!</v>
      </c>
      <c r="DA92" s="1671">
        <v>67</v>
      </c>
      <c r="DB92" s="1644" t="e">
        <f t="shared" si="99"/>
        <v>#VALUE!</v>
      </c>
      <c r="DC92" s="1644" t="e">
        <f t="shared" si="100"/>
        <v>#VALUE!</v>
      </c>
      <c r="DD92" s="1644" t="e">
        <f t="shared" si="101"/>
        <v>#VALUE!</v>
      </c>
      <c r="DE92" s="1644" t="e">
        <f t="shared" si="102"/>
        <v>#VALUE!</v>
      </c>
      <c r="DF92" s="1644" t="e">
        <f t="shared" si="103"/>
        <v>#VALUE!</v>
      </c>
      <c r="DG92" s="1644" t="e">
        <f t="shared" si="112"/>
        <v>#VALUE!</v>
      </c>
      <c r="DH92" s="1644" t="e">
        <f t="shared" si="104"/>
        <v>#VALUE!</v>
      </c>
      <c r="DI92" s="505" t="e">
        <f t="shared" si="105"/>
        <v>#VALUE!</v>
      </c>
      <c r="DJ92" s="1648" t="e">
        <f t="shared" si="106"/>
        <v>#VALUE!</v>
      </c>
      <c r="DK92" s="521" t="e">
        <f t="shared" si="107"/>
        <v>#VALUE!</v>
      </c>
      <c r="DL92" s="522" t="e">
        <f t="shared" si="108"/>
        <v>#VALUE!</v>
      </c>
      <c r="EA92" s="1647">
        <f t="shared" si="86"/>
        <v>24.000633322175549</v>
      </c>
      <c r="EB92" s="1671">
        <v>83</v>
      </c>
      <c r="EC92" s="1644">
        <f t="shared" si="77"/>
        <v>297.15063332217551</v>
      </c>
      <c r="ED92" s="1644">
        <f t="shared" si="78"/>
        <v>-32.581440875774611</v>
      </c>
      <c r="EE92" s="1644">
        <f t="shared" si="79"/>
        <v>40.582876513413943</v>
      </c>
      <c r="EF92" s="1644">
        <f t="shared" si="80"/>
        <v>2.9852406359596202</v>
      </c>
      <c r="EG92" s="1644">
        <f t="shared" si="81"/>
        <v>2.4777497278464846</v>
      </c>
      <c r="EH92" s="1644">
        <f t="shared" si="87"/>
        <v>1.8881070919450717E-2</v>
      </c>
      <c r="EI92" s="1644">
        <f t="shared" si="82"/>
        <v>0.82573870337744171</v>
      </c>
      <c r="EJ92" s="505">
        <f t="shared" si="83"/>
        <v>83</v>
      </c>
      <c r="EK92" s="1648">
        <f t="shared" si="84"/>
        <v>63.812718124004846</v>
      </c>
      <c r="EL92" s="521">
        <f t="shared" si="85"/>
        <v>20.946382967125945</v>
      </c>
      <c r="EM92" s="522">
        <f t="shared" si="88"/>
        <v>1.5590831019404757E-2</v>
      </c>
    </row>
    <row r="93" spans="2:143">
      <c r="B93" s="293"/>
      <c r="H93" s="164"/>
      <c r="CL93" s="1647" t="e">
        <f t="shared" si="109"/>
        <v>#VALUE!</v>
      </c>
      <c r="CM93" s="1671">
        <v>68</v>
      </c>
      <c r="CN93" s="1644" t="e">
        <f t="shared" si="89"/>
        <v>#VALUE!</v>
      </c>
      <c r="CO93" s="1644" t="e">
        <f t="shared" si="90"/>
        <v>#VALUE!</v>
      </c>
      <c r="CP93" s="1644" t="e">
        <f t="shared" si="91"/>
        <v>#VALUE!</v>
      </c>
      <c r="CQ93" s="1644" t="e">
        <f t="shared" si="92"/>
        <v>#VALUE!</v>
      </c>
      <c r="CR93" s="1644" t="e">
        <f t="shared" si="93"/>
        <v>#VALUE!</v>
      </c>
      <c r="CS93" s="1644" t="e">
        <f t="shared" si="110"/>
        <v>#VALUE!</v>
      </c>
      <c r="CT93" s="1644" t="e">
        <f t="shared" si="94"/>
        <v>#VALUE!</v>
      </c>
      <c r="CU93" s="505" t="e">
        <f t="shared" si="95"/>
        <v>#VALUE!</v>
      </c>
      <c r="CV93" s="1648" t="e">
        <f t="shared" si="96"/>
        <v>#VALUE!</v>
      </c>
      <c r="CW93" s="521" t="e">
        <f t="shared" si="97"/>
        <v>#VALUE!</v>
      </c>
      <c r="CX93" s="522" t="e">
        <f t="shared" si="98"/>
        <v>#VALUE!</v>
      </c>
      <c r="CZ93" s="1647" t="e">
        <f t="shared" si="111"/>
        <v>#VALUE!</v>
      </c>
      <c r="DA93" s="1671">
        <v>68</v>
      </c>
      <c r="DB93" s="1644" t="e">
        <f t="shared" si="99"/>
        <v>#VALUE!</v>
      </c>
      <c r="DC93" s="1644" t="e">
        <f t="shared" si="100"/>
        <v>#VALUE!</v>
      </c>
      <c r="DD93" s="1644" t="e">
        <f t="shared" si="101"/>
        <v>#VALUE!</v>
      </c>
      <c r="DE93" s="1644" t="e">
        <f t="shared" si="102"/>
        <v>#VALUE!</v>
      </c>
      <c r="DF93" s="1644" t="e">
        <f t="shared" si="103"/>
        <v>#VALUE!</v>
      </c>
      <c r="DG93" s="1644" t="e">
        <f t="shared" si="112"/>
        <v>#VALUE!</v>
      </c>
      <c r="DH93" s="1644" t="e">
        <f t="shared" si="104"/>
        <v>#VALUE!</v>
      </c>
      <c r="DI93" s="505" t="e">
        <f t="shared" si="105"/>
        <v>#VALUE!</v>
      </c>
      <c r="DJ93" s="1648" t="e">
        <f t="shared" si="106"/>
        <v>#VALUE!</v>
      </c>
      <c r="DK93" s="521" t="e">
        <f t="shared" si="107"/>
        <v>#VALUE!</v>
      </c>
      <c r="DL93" s="522" t="e">
        <f t="shared" si="108"/>
        <v>#VALUE!</v>
      </c>
      <c r="EA93" s="1647">
        <f t="shared" si="86"/>
        <v>24.000633322175549</v>
      </c>
      <c r="EB93" s="1671">
        <v>84</v>
      </c>
      <c r="EC93" s="1644">
        <f t="shared" si="77"/>
        <v>297.15063332217551</v>
      </c>
      <c r="ED93" s="1644">
        <f t="shared" si="78"/>
        <v>-32.581440875774611</v>
      </c>
      <c r="EE93" s="1644">
        <f t="shared" si="79"/>
        <v>40.582876513413943</v>
      </c>
      <c r="EF93" s="1644">
        <f t="shared" si="80"/>
        <v>2.9852406359596202</v>
      </c>
      <c r="EG93" s="1644">
        <f t="shared" si="81"/>
        <v>2.5076021342060808</v>
      </c>
      <c r="EH93" s="1644">
        <f t="shared" si="87"/>
        <v>1.8881070919450717E-2</v>
      </c>
      <c r="EI93" s="1644">
        <f t="shared" si="82"/>
        <v>0.8359398208196307</v>
      </c>
      <c r="EJ93" s="505">
        <f t="shared" si="83"/>
        <v>84</v>
      </c>
      <c r="EK93" s="1648">
        <f t="shared" si="84"/>
        <v>64.302774786422958</v>
      </c>
      <c r="EL93" s="521">
        <f t="shared" si="85"/>
        <v>21.140658179321242</v>
      </c>
      <c r="EM93" s="522">
        <f t="shared" si="88"/>
        <v>1.5783439041288372E-2</v>
      </c>
    </row>
    <row r="94" spans="2:143">
      <c r="B94" s="293"/>
      <c r="H94" s="164"/>
      <c r="CL94" s="1647" t="e">
        <f t="shared" si="109"/>
        <v>#VALUE!</v>
      </c>
      <c r="CM94" s="1671">
        <v>69</v>
      </c>
      <c r="CN94" s="1644" t="e">
        <f t="shared" si="89"/>
        <v>#VALUE!</v>
      </c>
      <c r="CO94" s="1644" t="e">
        <f t="shared" si="90"/>
        <v>#VALUE!</v>
      </c>
      <c r="CP94" s="1644" t="e">
        <f t="shared" si="91"/>
        <v>#VALUE!</v>
      </c>
      <c r="CQ94" s="1644" t="e">
        <f t="shared" si="92"/>
        <v>#VALUE!</v>
      </c>
      <c r="CR94" s="1644" t="e">
        <f t="shared" si="93"/>
        <v>#VALUE!</v>
      </c>
      <c r="CS94" s="1644" t="e">
        <f t="shared" si="110"/>
        <v>#VALUE!</v>
      </c>
      <c r="CT94" s="1644" t="e">
        <f t="shared" si="94"/>
        <v>#VALUE!</v>
      </c>
      <c r="CU94" s="505" t="e">
        <f t="shared" si="95"/>
        <v>#VALUE!</v>
      </c>
      <c r="CV94" s="1648" t="e">
        <f t="shared" si="96"/>
        <v>#VALUE!</v>
      </c>
      <c r="CW94" s="521" t="e">
        <f t="shared" si="97"/>
        <v>#VALUE!</v>
      </c>
      <c r="CX94" s="522" t="e">
        <f t="shared" si="98"/>
        <v>#VALUE!</v>
      </c>
      <c r="CZ94" s="1647" t="e">
        <f t="shared" si="111"/>
        <v>#VALUE!</v>
      </c>
      <c r="DA94" s="1671">
        <v>69</v>
      </c>
      <c r="DB94" s="1644" t="e">
        <f t="shared" si="99"/>
        <v>#VALUE!</v>
      </c>
      <c r="DC94" s="1644" t="e">
        <f t="shared" si="100"/>
        <v>#VALUE!</v>
      </c>
      <c r="DD94" s="1644" t="e">
        <f t="shared" si="101"/>
        <v>#VALUE!</v>
      </c>
      <c r="DE94" s="1644" t="e">
        <f t="shared" si="102"/>
        <v>#VALUE!</v>
      </c>
      <c r="DF94" s="1644" t="e">
        <f t="shared" si="103"/>
        <v>#VALUE!</v>
      </c>
      <c r="DG94" s="1644" t="e">
        <f t="shared" si="112"/>
        <v>#VALUE!</v>
      </c>
      <c r="DH94" s="1644" t="e">
        <f t="shared" si="104"/>
        <v>#VALUE!</v>
      </c>
      <c r="DI94" s="505" t="e">
        <f t="shared" si="105"/>
        <v>#VALUE!</v>
      </c>
      <c r="DJ94" s="1648" t="e">
        <f t="shared" si="106"/>
        <v>#VALUE!</v>
      </c>
      <c r="DK94" s="521" t="e">
        <f t="shared" si="107"/>
        <v>#VALUE!</v>
      </c>
      <c r="DL94" s="522" t="e">
        <f t="shared" si="108"/>
        <v>#VALUE!</v>
      </c>
      <c r="EA94" s="1647">
        <f t="shared" si="86"/>
        <v>24.000633322175549</v>
      </c>
      <c r="EB94" s="1671">
        <v>85</v>
      </c>
      <c r="EC94" s="1644">
        <f t="shared" si="77"/>
        <v>297.15063332217551</v>
      </c>
      <c r="ED94" s="1644">
        <f t="shared" si="78"/>
        <v>-32.581440875774611</v>
      </c>
      <c r="EE94" s="1644">
        <f t="shared" si="79"/>
        <v>40.582876513413943</v>
      </c>
      <c r="EF94" s="1644">
        <f t="shared" si="80"/>
        <v>2.9852406359596202</v>
      </c>
      <c r="EG94" s="1644">
        <f t="shared" si="81"/>
        <v>2.537454540565677</v>
      </c>
      <c r="EH94" s="1644">
        <f t="shared" si="87"/>
        <v>1.8881070919450717E-2</v>
      </c>
      <c r="EI94" s="1644">
        <f t="shared" si="82"/>
        <v>0.84614710357146061</v>
      </c>
      <c r="EJ94" s="505">
        <f t="shared" si="83"/>
        <v>85</v>
      </c>
      <c r="EK94" s="1648">
        <f t="shared" si="84"/>
        <v>64.793127627282544</v>
      </c>
      <c r="EL94" s="521">
        <f t="shared" si="85"/>
        <v>21.332919192934533</v>
      </c>
      <c r="EM94" s="522">
        <f t="shared" si="88"/>
        <v>1.5976163470820558E-2</v>
      </c>
    </row>
    <row r="95" spans="2:143">
      <c r="B95" s="293"/>
      <c r="H95" s="164"/>
      <c r="CL95" s="1647" t="e">
        <f t="shared" si="109"/>
        <v>#VALUE!</v>
      </c>
      <c r="CM95" s="1671">
        <v>70</v>
      </c>
      <c r="CN95" s="1644" t="e">
        <f t="shared" si="89"/>
        <v>#VALUE!</v>
      </c>
      <c r="CO95" s="1644" t="e">
        <f t="shared" si="90"/>
        <v>#VALUE!</v>
      </c>
      <c r="CP95" s="1644" t="e">
        <f t="shared" si="91"/>
        <v>#VALUE!</v>
      </c>
      <c r="CQ95" s="1644" t="e">
        <f t="shared" si="92"/>
        <v>#VALUE!</v>
      </c>
      <c r="CR95" s="1644" t="e">
        <f t="shared" si="93"/>
        <v>#VALUE!</v>
      </c>
      <c r="CS95" s="1644" t="e">
        <f t="shared" si="110"/>
        <v>#VALUE!</v>
      </c>
      <c r="CT95" s="1644" t="e">
        <f t="shared" si="94"/>
        <v>#VALUE!</v>
      </c>
      <c r="CU95" s="505" t="e">
        <f t="shared" si="95"/>
        <v>#VALUE!</v>
      </c>
      <c r="CV95" s="1648" t="e">
        <f t="shared" si="96"/>
        <v>#VALUE!</v>
      </c>
      <c r="CW95" s="521" t="e">
        <f t="shared" si="97"/>
        <v>#VALUE!</v>
      </c>
      <c r="CX95" s="522" t="e">
        <f t="shared" si="98"/>
        <v>#VALUE!</v>
      </c>
      <c r="CZ95" s="1647" t="e">
        <f t="shared" si="111"/>
        <v>#VALUE!</v>
      </c>
      <c r="DA95" s="1671">
        <v>70</v>
      </c>
      <c r="DB95" s="1644" t="e">
        <f t="shared" si="99"/>
        <v>#VALUE!</v>
      </c>
      <c r="DC95" s="1644" t="e">
        <f t="shared" si="100"/>
        <v>#VALUE!</v>
      </c>
      <c r="DD95" s="1644" t="e">
        <f t="shared" si="101"/>
        <v>#VALUE!</v>
      </c>
      <c r="DE95" s="1644" t="e">
        <f t="shared" si="102"/>
        <v>#VALUE!</v>
      </c>
      <c r="DF95" s="1644" t="e">
        <f t="shared" si="103"/>
        <v>#VALUE!</v>
      </c>
      <c r="DG95" s="1644" t="e">
        <f t="shared" si="112"/>
        <v>#VALUE!</v>
      </c>
      <c r="DH95" s="1644" t="e">
        <f t="shared" si="104"/>
        <v>#VALUE!</v>
      </c>
      <c r="DI95" s="505" t="e">
        <f t="shared" si="105"/>
        <v>#VALUE!</v>
      </c>
      <c r="DJ95" s="1648" t="e">
        <f t="shared" si="106"/>
        <v>#VALUE!</v>
      </c>
      <c r="DK95" s="521" t="e">
        <f t="shared" si="107"/>
        <v>#VALUE!</v>
      </c>
      <c r="DL95" s="522" t="e">
        <f t="shared" si="108"/>
        <v>#VALUE!</v>
      </c>
      <c r="EA95" s="1647">
        <f t="shared" si="86"/>
        <v>24.000633322175549</v>
      </c>
      <c r="EB95" s="1671">
        <v>86</v>
      </c>
      <c r="EC95" s="1644">
        <f t="shared" si="77"/>
        <v>297.15063332217551</v>
      </c>
      <c r="ED95" s="1644">
        <f t="shared" si="78"/>
        <v>-32.581440875774611</v>
      </c>
      <c r="EE95" s="1644">
        <f t="shared" si="79"/>
        <v>40.582876513413943</v>
      </c>
      <c r="EF95" s="1644">
        <f t="shared" si="80"/>
        <v>2.9852406359596202</v>
      </c>
      <c r="EG95" s="1644">
        <f t="shared" si="81"/>
        <v>2.5673069469252732</v>
      </c>
      <c r="EH95" s="1644">
        <f t="shared" si="87"/>
        <v>1.8881070919450717E-2</v>
      </c>
      <c r="EI95" s="1644">
        <f t="shared" si="82"/>
        <v>0.85636055722386739</v>
      </c>
      <c r="EJ95" s="505">
        <f t="shared" si="83"/>
        <v>86</v>
      </c>
      <c r="EK95" s="1648">
        <f t="shared" si="84"/>
        <v>65.28377691516944</v>
      </c>
      <c r="EL95" s="521">
        <f t="shared" si="85"/>
        <v>21.523210745690125</v>
      </c>
      <c r="EM95" s="522">
        <f t="shared" si="88"/>
        <v>1.6169004413564173E-2</v>
      </c>
    </row>
    <row r="96" spans="2:143">
      <c r="B96" s="293"/>
      <c r="H96" s="164"/>
      <c r="CL96" s="1647" t="e">
        <f t="shared" si="109"/>
        <v>#VALUE!</v>
      </c>
      <c r="CM96" s="1671">
        <v>71</v>
      </c>
      <c r="CN96" s="1644" t="e">
        <f t="shared" si="89"/>
        <v>#VALUE!</v>
      </c>
      <c r="CO96" s="1644" t="e">
        <f t="shared" si="90"/>
        <v>#VALUE!</v>
      </c>
      <c r="CP96" s="1644" t="e">
        <f t="shared" si="91"/>
        <v>#VALUE!</v>
      </c>
      <c r="CQ96" s="1644" t="e">
        <f t="shared" si="92"/>
        <v>#VALUE!</v>
      </c>
      <c r="CR96" s="1644" t="e">
        <f t="shared" si="93"/>
        <v>#VALUE!</v>
      </c>
      <c r="CS96" s="1644" t="e">
        <f t="shared" si="110"/>
        <v>#VALUE!</v>
      </c>
      <c r="CT96" s="1644" t="e">
        <f t="shared" si="94"/>
        <v>#VALUE!</v>
      </c>
      <c r="CU96" s="505" t="e">
        <f t="shared" si="95"/>
        <v>#VALUE!</v>
      </c>
      <c r="CV96" s="1648" t="e">
        <f t="shared" si="96"/>
        <v>#VALUE!</v>
      </c>
      <c r="CW96" s="521" t="e">
        <f t="shared" si="97"/>
        <v>#VALUE!</v>
      </c>
      <c r="CX96" s="522" t="e">
        <f t="shared" si="98"/>
        <v>#VALUE!</v>
      </c>
      <c r="CZ96" s="1647" t="e">
        <f t="shared" si="111"/>
        <v>#VALUE!</v>
      </c>
      <c r="DA96" s="1671">
        <v>71</v>
      </c>
      <c r="DB96" s="1644" t="e">
        <f t="shared" si="99"/>
        <v>#VALUE!</v>
      </c>
      <c r="DC96" s="1644" t="e">
        <f t="shared" si="100"/>
        <v>#VALUE!</v>
      </c>
      <c r="DD96" s="1644" t="e">
        <f t="shared" si="101"/>
        <v>#VALUE!</v>
      </c>
      <c r="DE96" s="1644" t="e">
        <f t="shared" si="102"/>
        <v>#VALUE!</v>
      </c>
      <c r="DF96" s="1644" t="e">
        <f t="shared" si="103"/>
        <v>#VALUE!</v>
      </c>
      <c r="DG96" s="1644" t="e">
        <f t="shared" si="112"/>
        <v>#VALUE!</v>
      </c>
      <c r="DH96" s="1644" t="e">
        <f t="shared" si="104"/>
        <v>#VALUE!</v>
      </c>
      <c r="DI96" s="505" t="e">
        <f t="shared" si="105"/>
        <v>#VALUE!</v>
      </c>
      <c r="DJ96" s="1648" t="e">
        <f t="shared" si="106"/>
        <v>#VALUE!</v>
      </c>
      <c r="DK96" s="521" t="e">
        <f t="shared" si="107"/>
        <v>#VALUE!</v>
      </c>
      <c r="DL96" s="522" t="e">
        <f t="shared" si="108"/>
        <v>#VALUE!</v>
      </c>
      <c r="EA96" s="1647">
        <f t="shared" si="86"/>
        <v>24.000633322175549</v>
      </c>
      <c r="EB96" s="1671">
        <v>87</v>
      </c>
      <c r="EC96" s="1644">
        <f t="shared" si="77"/>
        <v>297.15063332217551</v>
      </c>
      <c r="ED96" s="1644">
        <f t="shared" si="78"/>
        <v>-32.581440875774611</v>
      </c>
      <c r="EE96" s="1644">
        <f t="shared" si="79"/>
        <v>40.582876513413943</v>
      </c>
      <c r="EF96" s="1644">
        <f t="shared" si="80"/>
        <v>2.9852406359596202</v>
      </c>
      <c r="EG96" s="1644">
        <f t="shared" si="81"/>
        <v>2.5971593532848694</v>
      </c>
      <c r="EH96" s="1644">
        <f t="shared" si="87"/>
        <v>1.8881070919450717E-2</v>
      </c>
      <c r="EI96" s="1644">
        <f t="shared" si="82"/>
        <v>0.86658018737455011</v>
      </c>
      <c r="EJ96" s="505">
        <f t="shared" si="83"/>
        <v>87</v>
      </c>
      <c r="EK96" s="1648">
        <f t="shared" si="84"/>
        <v>65.774722918994328</v>
      </c>
      <c r="EL96" s="521">
        <f t="shared" si="85"/>
        <v>21.711576067693521</v>
      </c>
      <c r="EM96" s="522">
        <f t="shared" si="88"/>
        <v>1.6361961975209772E-2</v>
      </c>
    </row>
    <row r="97" spans="2:143">
      <c r="B97" s="293"/>
      <c r="H97" s="164"/>
      <c r="CL97" s="1647" t="e">
        <f t="shared" si="109"/>
        <v>#VALUE!</v>
      </c>
      <c r="CM97" s="1671">
        <v>72</v>
      </c>
      <c r="CN97" s="1644" t="e">
        <f t="shared" si="89"/>
        <v>#VALUE!</v>
      </c>
      <c r="CO97" s="1644" t="e">
        <f t="shared" si="90"/>
        <v>#VALUE!</v>
      </c>
      <c r="CP97" s="1644" t="e">
        <f t="shared" si="91"/>
        <v>#VALUE!</v>
      </c>
      <c r="CQ97" s="1644" t="e">
        <f t="shared" si="92"/>
        <v>#VALUE!</v>
      </c>
      <c r="CR97" s="1644" t="e">
        <f t="shared" si="93"/>
        <v>#VALUE!</v>
      </c>
      <c r="CS97" s="1644" t="e">
        <f t="shared" si="110"/>
        <v>#VALUE!</v>
      </c>
      <c r="CT97" s="1644" t="e">
        <f t="shared" si="94"/>
        <v>#VALUE!</v>
      </c>
      <c r="CU97" s="505" t="e">
        <f t="shared" si="95"/>
        <v>#VALUE!</v>
      </c>
      <c r="CV97" s="1648" t="e">
        <f t="shared" si="96"/>
        <v>#VALUE!</v>
      </c>
      <c r="CW97" s="521" t="e">
        <f t="shared" si="97"/>
        <v>#VALUE!</v>
      </c>
      <c r="CX97" s="522" t="e">
        <f t="shared" si="98"/>
        <v>#VALUE!</v>
      </c>
      <c r="CZ97" s="1647" t="e">
        <f t="shared" si="111"/>
        <v>#VALUE!</v>
      </c>
      <c r="DA97" s="1671">
        <v>72</v>
      </c>
      <c r="DB97" s="1644" t="e">
        <f t="shared" si="99"/>
        <v>#VALUE!</v>
      </c>
      <c r="DC97" s="1644" t="e">
        <f t="shared" si="100"/>
        <v>#VALUE!</v>
      </c>
      <c r="DD97" s="1644" t="e">
        <f t="shared" si="101"/>
        <v>#VALUE!</v>
      </c>
      <c r="DE97" s="1644" t="e">
        <f t="shared" si="102"/>
        <v>#VALUE!</v>
      </c>
      <c r="DF97" s="1644" t="e">
        <f t="shared" si="103"/>
        <v>#VALUE!</v>
      </c>
      <c r="DG97" s="1644" t="e">
        <f t="shared" si="112"/>
        <v>#VALUE!</v>
      </c>
      <c r="DH97" s="1644" t="e">
        <f t="shared" si="104"/>
        <v>#VALUE!</v>
      </c>
      <c r="DI97" s="505" t="e">
        <f t="shared" si="105"/>
        <v>#VALUE!</v>
      </c>
      <c r="DJ97" s="1648" t="e">
        <f t="shared" si="106"/>
        <v>#VALUE!</v>
      </c>
      <c r="DK97" s="521" t="e">
        <f t="shared" si="107"/>
        <v>#VALUE!</v>
      </c>
      <c r="DL97" s="522" t="e">
        <f t="shared" si="108"/>
        <v>#VALUE!</v>
      </c>
      <c r="EA97" s="1647">
        <f t="shared" si="86"/>
        <v>24.000633322175549</v>
      </c>
      <c r="EB97" s="1671">
        <v>88</v>
      </c>
      <c r="EC97" s="1644">
        <f t="shared" si="77"/>
        <v>297.15063332217551</v>
      </c>
      <c r="ED97" s="1644">
        <f t="shared" si="78"/>
        <v>-32.581440875774611</v>
      </c>
      <c r="EE97" s="1644">
        <f t="shared" si="79"/>
        <v>40.582876513413943</v>
      </c>
      <c r="EF97" s="1644">
        <f t="shared" si="80"/>
        <v>2.9852406359596202</v>
      </c>
      <c r="EG97" s="1644">
        <f t="shared" si="81"/>
        <v>2.627011759644466</v>
      </c>
      <c r="EH97" s="1644">
        <f t="shared" si="87"/>
        <v>1.8881070919450717E-2</v>
      </c>
      <c r="EI97" s="1644">
        <f t="shared" si="82"/>
        <v>0.87680599962798</v>
      </c>
      <c r="EJ97" s="505">
        <f t="shared" si="83"/>
        <v>88</v>
      </c>
      <c r="EK97" s="1648">
        <f t="shared" si="84"/>
        <v>66.265965907993277</v>
      </c>
      <c r="EL97" s="521">
        <f t="shared" si="85"/>
        <v>21.898056949093945</v>
      </c>
      <c r="EM97" s="522">
        <f t="shared" si="88"/>
        <v>1.655503626157577E-2</v>
      </c>
    </row>
    <row r="98" spans="2:143">
      <c r="B98" s="293"/>
      <c r="CL98" s="1647" t="e">
        <f t="shared" si="109"/>
        <v>#VALUE!</v>
      </c>
      <c r="CM98" s="1671">
        <v>73</v>
      </c>
      <c r="CN98" s="1644" t="e">
        <f t="shared" si="89"/>
        <v>#VALUE!</v>
      </c>
      <c r="CO98" s="1644" t="e">
        <f t="shared" si="90"/>
        <v>#VALUE!</v>
      </c>
      <c r="CP98" s="1644" t="e">
        <f t="shared" si="91"/>
        <v>#VALUE!</v>
      </c>
      <c r="CQ98" s="1644" t="e">
        <f t="shared" si="92"/>
        <v>#VALUE!</v>
      </c>
      <c r="CR98" s="1644" t="e">
        <f t="shared" si="93"/>
        <v>#VALUE!</v>
      </c>
      <c r="CS98" s="1644" t="e">
        <f t="shared" si="110"/>
        <v>#VALUE!</v>
      </c>
      <c r="CT98" s="1644" t="e">
        <f t="shared" si="94"/>
        <v>#VALUE!</v>
      </c>
      <c r="CU98" s="505" t="e">
        <f t="shared" si="95"/>
        <v>#VALUE!</v>
      </c>
      <c r="CV98" s="1648" t="e">
        <f t="shared" si="96"/>
        <v>#VALUE!</v>
      </c>
      <c r="CW98" s="521" t="e">
        <f t="shared" si="97"/>
        <v>#VALUE!</v>
      </c>
      <c r="CX98" s="522" t="e">
        <f t="shared" si="98"/>
        <v>#VALUE!</v>
      </c>
      <c r="CZ98" s="1647" t="e">
        <f t="shared" si="111"/>
        <v>#VALUE!</v>
      </c>
      <c r="DA98" s="1671">
        <v>73</v>
      </c>
      <c r="DB98" s="1644" t="e">
        <f t="shared" si="99"/>
        <v>#VALUE!</v>
      </c>
      <c r="DC98" s="1644" t="e">
        <f t="shared" si="100"/>
        <v>#VALUE!</v>
      </c>
      <c r="DD98" s="1644" t="e">
        <f t="shared" si="101"/>
        <v>#VALUE!</v>
      </c>
      <c r="DE98" s="1644" t="e">
        <f t="shared" si="102"/>
        <v>#VALUE!</v>
      </c>
      <c r="DF98" s="1644" t="e">
        <f t="shared" si="103"/>
        <v>#VALUE!</v>
      </c>
      <c r="DG98" s="1644" t="e">
        <f t="shared" si="112"/>
        <v>#VALUE!</v>
      </c>
      <c r="DH98" s="1644" t="e">
        <f t="shared" si="104"/>
        <v>#VALUE!</v>
      </c>
      <c r="DI98" s="505" t="e">
        <f t="shared" si="105"/>
        <v>#VALUE!</v>
      </c>
      <c r="DJ98" s="1648" t="e">
        <f t="shared" si="106"/>
        <v>#VALUE!</v>
      </c>
      <c r="DK98" s="521" t="e">
        <f t="shared" si="107"/>
        <v>#VALUE!</v>
      </c>
      <c r="DL98" s="522" t="e">
        <f t="shared" si="108"/>
        <v>#VALUE!</v>
      </c>
      <c r="EA98" s="1647">
        <f t="shared" si="86"/>
        <v>24.000633322175549</v>
      </c>
      <c r="EB98" s="1671">
        <v>89</v>
      </c>
      <c r="EC98" s="1644">
        <f t="shared" si="77"/>
        <v>297.15063332217551</v>
      </c>
      <c r="ED98" s="1644">
        <f t="shared" si="78"/>
        <v>-32.581440875774611</v>
      </c>
      <c r="EE98" s="1644">
        <f t="shared" si="79"/>
        <v>40.582876513413943</v>
      </c>
      <c r="EF98" s="1644">
        <f t="shared" si="80"/>
        <v>2.9852406359596202</v>
      </c>
      <c r="EG98" s="1644">
        <f t="shared" si="81"/>
        <v>2.6568641660040622</v>
      </c>
      <c r="EH98" s="1644">
        <f t="shared" si="87"/>
        <v>1.8881070919450717E-2</v>
      </c>
      <c r="EI98" s="1644">
        <f t="shared" si="82"/>
        <v>0.88703799959541019</v>
      </c>
      <c r="EJ98" s="505">
        <f t="shared" si="83"/>
        <v>89</v>
      </c>
      <c r="EK98" s="1648">
        <f t="shared" si="84"/>
        <v>66.75750615172808</v>
      </c>
      <c r="EL98" s="521">
        <f t="shared" si="85"/>
        <v>22.082693803972454</v>
      </c>
      <c r="EM98" s="522">
        <f t="shared" si="88"/>
        <v>1.6748227378608635E-2</v>
      </c>
    </row>
    <row r="99" spans="2:143">
      <c r="B99" s="293"/>
      <c r="AF99" s="347"/>
      <c r="AG99" s="347"/>
      <c r="AH99" s="347"/>
      <c r="AI99" s="347"/>
      <c r="CL99" s="1647" t="e">
        <f t="shared" si="109"/>
        <v>#VALUE!</v>
      </c>
      <c r="CM99" s="1671">
        <v>74</v>
      </c>
      <c r="CN99" s="1644" t="e">
        <f t="shared" si="89"/>
        <v>#VALUE!</v>
      </c>
      <c r="CO99" s="1644" t="e">
        <f t="shared" si="90"/>
        <v>#VALUE!</v>
      </c>
      <c r="CP99" s="1644" t="e">
        <f t="shared" si="91"/>
        <v>#VALUE!</v>
      </c>
      <c r="CQ99" s="1644" t="e">
        <f t="shared" si="92"/>
        <v>#VALUE!</v>
      </c>
      <c r="CR99" s="1644" t="e">
        <f t="shared" si="93"/>
        <v>#VALUE!</v>
      </c>
      <c r="CS99" s="1644" t="e">
        <f t="shared" si="110"/>
        <v>#VALUE!</v>
      </c>
      <c r="CT99" s="1644" t="e">
        <f t="shared" si="94"/>
        <v>#VALUE!</v>
      </c>
      <c r="CU99" s="505" t="e">
        <f t="shared" si="95"/>
        <v>#VALUE!</v>
      </c>
      <c r="CV99" s="1648" t="e">
        <f t="shared" si="96"/>
        <v>#VALUE!</v>
      </c>
      <c r="CW99" s="521" t="e">
        <f t="shared" si="97"/>
        <v>#VALUE!</v>
      </c>
      <c r="CX99" s="522" t="e">
        <f t="shared" si="98"/>
        <v>#VALUE!</v>
      </c>
      <c r="CZ99" s="1647" t="e">
        <f t="shared" si="111"/>
        <v>#VALUE!</v>
      </c>
      <c r="DA99" s="1671">
        <v>74</v>
      </c>
      <c r="DB99" s="1644" t="e">
        <f t="shared" si="99"/>
        <v>#VALUE!</v>
      </c>
      <c r="DC99" s="1644" t="e">
        <f t="shared" si="100"/>
        <v>#VALUE!</v>
      </c>
      <c r="DD99" s="1644" t="e">
        <f t="shared" si="101"/>
        <v>#VALUE!</v>
      </c>
      <c r="DE99" s="1644" t="e">
        <f t="shared" si="102"/>
        <v>#VALUE!</v>
      </c>
      <c r="DF99" s="1644" t="e">
        <f t="shared" si="103"/>
        <v>#VALUE!</v>
      </c>
      <c r="DG99" s="1644" t="e">
        <f t="shared" si="112"/>
        <v>#VALUE!</v>
      </c>
      <c r="DH99" s="1644" t="e">
        <f t="shared" si="104"/>
        <v>#VALUE!</v>
      </c>
      <c r="DI99" s="505" t="e">
        <f t="shared" si="105"/>
        <v>#VALUE!</v>
      </c>
      <c r="DJ99" s="1648" t="e">
        <f t="shared" si="106"/>
        <v>#VALUE!</v>
      </c>
      <c r="DK99" s="521" t="e">
        <f t="shared" si="107"/>
        <v>#VALUE!</v>
      </c>
      <c r="DL99" s="522" t="e">
        <f t="shared" si="108"/>
        <v>#VALUE!</v>
      </c>
      <c r="EA99" s="1647">
        <f t="shared" si="86"/>
        <v>24.000633322175549</v>
      </c>
      <c r="EB99" s="1671">
        <v>90</v>
      </c>
      <c r="EC99" s="1644">
        <f t="shared" si="77"/>
        <v>297.15063332217551</v>
      </c>
      <c r="ED99" s="1644">
        <f t="shared" si="78"/>
        <v>-32.581440875774611</v>
      </c>
      <c r="EE99" s="1644">
        <f t="shared" si="79"/>
        <v>40.582876513413943</v>
      </c>
      <c r="EF99" s="1644">
        <f t="shared" si="80"/>
        <v>2.9852406359596202</v>
      </c>
      <c r="EG99" s="1644">
        <f t="shared" si="81"/>
        <v>2.6867165723636584</v>
      </c>
      <c r="EH99" s="1644">
        <f t="shared" si="87"/>
        <v>1.8881070919450717E-2</v>
      </c>
      <c r="EI99" s="1644">
        <f t="shared" si="82"/>
        <v>0.89727619289488714</v>
      </c>
      <c r="EJ99" s="505">
        <f t="shared" si="83"/>
        <v>90</v>
      </c>
      <c r="EK99" s="1648">
        <f t="shared" si="84"/>
        <v>67.249343920086972</v>
      </c>
      <c r="EL99" s="521">
        <f t="shared" si="85"/>
        <v>22.265525730706454</v>
      </c>
      <c r="EM99" s="522">
        <f t="shared" si="88"/>
        <v>1.6941535432383106E-2</v>
      </c>
    </row>
    <row r="100" spans="2:143">
      <c r="B100" s="293"/>
      <c r="AF100" s="347"/>
      <c r="AG100" s="347"/>
      <c r="AH100" s="347"/>
      <c r="AI100" s="347"/>
      <c r="CL100" s="1647" t="e">
        <f t="shared" si="109"/>
        <v>#VALUE!</v>
      </c>
      <c r="CM100" s="1671">
        <v>75</v>
      </c>
      <c r="CN100" s="1644" t="e">
        <f t="shared" si="89"/>
        <v>#VALUE!</v>
      </c>
      <c r="CO100" s="1644" t="e">
        <f t="shared" si="90"/>
        <v>#VALUE!</v>
      </c>
      <c r="CP100" s="1644" t="e">
        <f t="shared" si="91"/>
        <v>#VALUE!</v>
      </c>
      <c r="CQ100" s="1644" t="e">
        <f t="shared" si="92"/>
        <v>#VALUE!</v>
      </c>
      <c r="CR100" s="1644" t="e">
        <f t="shared" si="93"/>
        <v>#VALUE!</v>
      </c>
      <c r="CS100" s="1644" t="e">
        <f t="shared" si="110"/>
        <v>#VALUE!</v>
      </c>
      <c r="CT100" s="1644" t="e">
        <f t="shared" si="94"/>
        <v>#VALUE!</v>
      </c>
      <c r="CU100" s="505" t="e">
        <f t="shared" si="95"/>
        <v>#VALUE!</v>
      </c>
      <c r="CV100" s="1648" t="e">
        <f t="shared" si="96"/>
        <v>#VALUE!</v>
      </c>
      <c r="CW100" s="521" t="e">
        <f t="shared" si="97"/>
        <v>#VALUE!</v>
      </c>
      <c r="CX100" s="522" t="e">
        <f t="shared" si="98"/>
        <v>#VALUE!</v>
      </c>
      <c r="CZ100" s="1647" t="e">
        <f t="shared" si="111"/>
        <v>#VALUE!</v>
      </c>
      <c r="DA100" s="1671">
        <v>75</v>
      </c>
      <c r="DB100" s="1644" t="e">
        <f t="shared" si="99"/>
        <v>#VALUE!</v>
      </c>
      <c r="DC100" s="1644" t="e">
        <f t="shared" si="100"/>
        <v>#VALUE!</v>
      </c>
      <c r="DD100" s="1644" t="e">
        <f t="shared" si="101"/>
        <v>#VALUE!</v>
      </c>
      <c r="DE100" s="1644" t="e">
        <f t="shared" si="102"/>
        <v>#VALUE!</v>
      </c>
      <c r="DF100" s="1644" t="e">
        <f t="shared" si="103"/>
        <v>#VALUE!</v>
      </c>
      <c r="DG100" s="1644" t="e">
        <f t="shared" si="112"/>
        <v>#VALUE!</v>
      </c>
      <c r="DH100" s="1644" t="e">
        <f t="shared" si="104"/>
        <v>#VALUE!</v>
      </c>
      <c r="DI100" s="505" t="e">
        <f t="shared" si="105"/>
        <v>#VALUE!</v>
      </c>
      <c r="DJ100" s="1648" t="e">
        <f t="shared" si="106"/>
        <v>#VALUE!</v>
      </c>
      <c r="DK100" s="521" t="e">
        <f t="shared" si="107"/>
        <v>#VALUE!</v>
      </c>
      <c r="DL100" s="522" t="e">
        <f t="shared" si="108"/>
        <v>#VALUE!</v>
      </c>
      <c r="EA100" s="1647">
        <f t="shared" si="86"/>
        <v>24.000633322175549</v>
      </c>
      <c r="EB100" s="1671">
        <v>91</v>
      </c>
      <c r="EC100" s="1644">
        <f t="shared" si="77"/>
        <v>297.15063332217551</v>
      </c>
      <c r="ED100" s="1644">
        <f t="shared" si="78"/>
        <v>-32.581440875774611</v>
      </c>
      <c r="EE100" s="1644">
        <f t="shared" si="79"/>
        <v>40.582876513413943</v>
      </c>
      <c r="EF100" s="1644">
        <f t="shared" si="80"/>
        <v>2.9852406359596202</v>
      </c>
      <c r="EG100" s="1644">
        <f t="shared" si="81"/>
        <v>2.7165689787232545</v>
      </c>
      <c r="EH100" s="1644">
        <f t="shared" si="87"/>
        <v>1.8881070919450717E-2</v>
      </c>
      <c r="EI100" s="1644">
        <f t="shared" si="82"/>
        <v>0.90752058515126033</v>
      </c>
      <c r="EJ100" s="505">
        <f t="shared" si="83"/>
        <v>91</v>
      </c>
      <c r="EK100" s="1648">
        <f t="shared" si="84"/>
        <v>67.741479483284934</v>
      </c>
      <c r="EL100" s="521">
        <f t="shared" si="85"/>
        <v>22.446590569041874</v>
      </c>
      <c r="EM100" s="522">
        <f t="shared" si="88"/>
        <v>1.713496052910236E-2</v>
      </c>
    </row>
    <row r="101" spans="2:143">
      <c r="B101" s="293"/>
      <c r="AF101" s="347"/>
      <c r="AG101" s="347"/>
      <c r="AH101" s="347"/>
      <c r="AI101" s="347"/>
      <c r="CL101" s="1647" t="e">
        <f t="shared" si="109"/>
        <v>#VALUE!</v>
      </c>
      <c r="CM101" s="1671">
        <v>76</v>
      </c>
      <c r="CN101" s="1644" t="e">
        <f t="shared" si="89"/>
        <v>#VALUE!</v>
      </c>
      <c r="CO101" s="1644" t="e">
        <f t="shared" si="90"/>
        <v>#VALUE!</v>
      </c>
      <c r="CP101" s="1644" t="e">
        <f t="shared" si="91"/>
        <v>#VALUE!</v>
      </c>
      <c r="CQ101" s="1644" t="e">
        <f t="shared" si="92"/>
        <v>#VALUE!</v>
      </c>
      <c r="CR101" s="1644" t="e">
        <f t="shared" si="93"/>
        <v>#VALUE!</v>
      </c>
      <c r="CS101" s="1644" t="e">
        <f t="shared" si="110"/>
        <v>#VALUE!</v>
      </c>
      <c r="CT101" s="1644" t="e">
        <f t="shared" si="94"/>
        <v>#VALUE!</v>
      </c>
      <c r="CU101" s="505" t="e">
        <f t="shared" si="95"/>
        <v>#VALUE!</v>
      </c>
      <c r="CV101" s="1648" t="e">
        <f t="shared" si="96"/>
        <v>#VALUE!</v>
      </c>
      <c r="CW101" s="521" t="e">
        <f t="shared" si="97"/>
        <v>#VALUE!</v>
      </c>
      <c r="CX101" s="522" t="e">
        <f t="shared" si="98"/>
        <v>#VALUE!</v>
      </c>
      <c r="CZ101" s="1647" t="e">
        <f t="shared" si="111"/>
        <v>#VALUE!</v>
      </c>
      <c r="DA101" s="1671">
        <v>76</v>
      </c>
      <c r="DB101" s="1644" t="e">
        <f t="shared" si="99"/>
        <v>#VALUE!</v>
      </c>
      <c r="DC101" s="1644" t="e">
        <f t="shared" si="100"/>
        <v>#VALUE!</v>
      </c>
      <c r="DD101" s="1644" t="e">
        <f t="shared" si="101"/>
        <v>#VALUE!</v>
      </c>
      <c r="DE101" s="1644" t="e">
        <f t="shared" si="102"/>
        <v>#VALUE!</v>
      </c>
      <c r="DF101" s="1644" t="e">
        <f t="shared" si="103"/>
        <v>#VALUE!</v>
      </c>
      <c r="DG101" s="1644" t="e">
        <f t="shared" si="112"/>
        <v>#VALUE!</v>
      </c>
      <c r="DH101" s="1644" t="e">
        <f t="shared" si="104"/>
        <v>#VALUE!</v>
      </c>
      <c r="DI101" s="505" t="e">
        <f t="shared" si="105"/>
        <v>#VALUE!</v>
      </c>
      <c r="DJ101" s="1648" t="e">
        <f t="shared" si="106"/>
        <v>#VALUE!</v>
      </c>
      <c r="DK101" s="521" t="e">
        <f t="shared" si="107"/>
        <v>#VALUE!</v>
      </c>
      <c r="DL101" s="522" t="e">
        <f t="shared" si="108"/>
        <v>#VALUE!</v>
      </c>
      <c r="EA101" s="1647">
        <f t="shared" si="86"/>
        <v>24.000633322175549</v>
      </c>
      <c r="EB101" s="1671">
        <v>92</v>
      </c>
      <c r="EC101" s="1644">
        <f t="shared" si="77"/>
        <v>297.15063332217551</v>
      </c>
      <c r="ED101" s="1644">
        <f t="shared" si="78"/>
        <v>-32.581440875774611</v>
      </c>
      <c r="EE101" s="1644">
        <f t="shared" si="79"/>
        <v>40.582876513413943</v>
      </c>
      <c r="EF101" s="1644">
        <f t="shared" si="80"/>
        <v>2.9852406359596202</v>
      </c>
      <c r="EG101" s="1644">
        <f t="shared" si="81"/>
        <v>2.7464213850828507</v>
      </c>
      <c r="EH101" s="1644">
        <f t="shared" si="87"/>
        <v>1.8881070919450717E-2</v>
      </c>
      <c r="EI101" s="1644">
        <f t="shared" si="82"/>
        <v>0.91777118199619334</v>
      </c>
      <c r="EJ101" s="505">
        <f t="shared" si="83"/>
        <v>92</v>
      </c>
      <c r="EK101" s="1648">
        <f t="shared" si="84"/>
        <v>68.233913111864311</v>
      </c>
      <c r="EL101" s="521">
        <f t="shared" si="85"/>
        <v>22.625924954087068</v>
      </c>
      <c r="EM101" s="522">
        <f t="shared" si="88"/>
        <v>1.7328502775098238E-2</v>
      </c>
    </row>
    <row r="102" spans="2:143">
      <c r="B102" s="293"/>
      <c r="AF102" s="347"/>
      <c r="AG102" s="347"/>
      <c r="AH102" s="347"/>
      <c r="AI102" s="347"/>
      <c r="CL102" s="1647" t="e">
        <f t="shared" si="109"/>
        <v>#VALUE!</v>
      </c>
      <c r="CM102" s="1671">
        <v>77</v>
      </c>
      <c r="CN102" s="1644" t="e">
        <f t="shared" si="89"/>
        <v>#VALUE!</v>
      </c>
      <c r="CO102" s="1644" t="e">
        <f t="shared" si="90"/>
        <v>#VALUE!</v>
      </c>
      <c r="CP102" s="1644" t="e">
        <f t="shared" si="91"/>
        <v>#VALUE!</v>
      </c>
      <c r="CQ102" s="1644" t="e">
        <f t="shared" si="92"/>
        <v>#VALUE!</v>
      </c>
      <c r="CR102" s="1644" t="e">
        <f t="shared" si="93"/>
        <v>#VALUE!</v>
      </c>
      <c r="CS102" s="1644" t="e">
        <f t="shared" si="110"/>
        <v>#VALUE!</v>
      </c>
      <c r="CT102" s="1644" t="e">
        <f t="shared" si="94"/>
        <v>#VALUE!</v>
      </c>
      <c r="CU102" s="505" t="e">
        <f t="shared" si="95"/>
        <v>#VALUE!</v>
      </c>
      <c r="CV102" s="1648" t="e">
        <f t="shared" si="96"/>
        <v>#VALUE!</v>
      </c>
      <c r="CW102" s="521" t="e">
        <f t="shared" si="97"/>
        <v>#VALUE!</v>
      </c>
      <c r="CX102" s="522" t="e">
        <f t="shared" si="98"/>
        <v>#VALUE!</v>
      </c>
      <c r="CZ102" s="1647" t="e">
        <f t="shared" si="111"/>
        <v>#VALUE!</v>
      </c>
      <c r="DA102" s="1671">
        <v>77</v>
      </c>
      <c r="DB102" s="1644" t="e">
        <f t="shared" si="99"/>
        <v>#VALUE!</v>
      </c>
      <c r="DC102" s="1644" t="e">
        <f t="shared" si="100"/>
        <v>#VALUE!</v>
      </c>
      <c r="DD102" s="1644" t="e">
        <f t="shared" si="101"/>
        <v>#VALUE!</v>
      </c>
      <c r="DE102" s="1644" t="e">
        <f t="shared" si="102"/>
        <v>#VALUE!</v>
      </c>
      <c r="DF102" s="1644" t="e">
        <f t="shared" si="103"/>
        <v>#VALUE!</v>
      </c>
      <c r="DG102" s="1644" t="e">
        <f t="shared" si="112"/>
        <v>#VALUE!</v>
      </c>
      <c r="DH102" s="1644" t="e">
        <f t="shared" si="104"/>
        <v>#VALUE!</v>
      </c>
      <c r="DI102" s="505" t="e">
        <f t="shared" si="105"/>
        <v>#VALUE!</v>
      </c>
      <c r="DJ102" s="1648" t="e">
        <f t="shared" si="106"/>
        <v>#VALUE!</v>
      </c>
      <c r="DK102" s="521" t="e">
        <f t="shared" si="107"/>
        <v>#VALUE!</v>
      </c>
      <c r="DL102" s="522" t="e">
        <f t="shared" si="108"/>
        <v>#VALUE!</v>
      </c>
      <c r="EA102" s="1647">
        <f t="shared" si="86"/>
        <v>24.000633322175549</v>
      </c>
      <c r="EB102" s="1671">
        <v>93</v>
      </c>
      <c r="EC102" s="1644">
        <f t="shared" si="77"/>
        <v>297.15063332217551</v>
      </c>
      <c r="ED102" s="1644">
        <f t="shared" si="78"/>
        <v>-32.581440875774611</v>
      </c>
      <c r="EE102" s="1644">
        <f t="shared" si="79"/>
        <v>40.582876513413943</v>
      </c>
      <c r="EF102" s="1644">
        <f t="shared" si="80"/>
        <v>2.9852406359596202</v>
      </c>
      <c r="EG102" s="1644">
        <f t="shared" si="81"/>
        <v>2.7762737914424469</v>
      </c>
      <c r="EH102" s="1644">
        <f t="shared" si="87"/>
        <v>1.8881070919450717E-2</v>
      </c>
      <c r="EI102" s="1644">
        <f t="shared" si="82"/>
        <v>0.92802798906817252</v>
      </c>
      <c r="EJ102" s="505">
        <f t="shared" si="83"/>
        <v>93</v>
      </c>
      <c r="EK102" s="1648">
        <f t="shared" si="84"/>
        <v>68.72664507669522</v>
      </c>
      <c r="EL102" s="521">
        <f t="shared" si="85"/>
        <v>22.803564367426162</v>
      </c>
      <c r="EM102" s="522">
        <f t="shared" si="88"/>
        <v>1.7522162276831399E-2</v>
      </c>
    </row>
    <row r="103" spans="2:143">
      <c r="B103" s="293"/>
      <c r="AF103" s="347"/>
      <c r="AG103" s="347"/>
      <c r="AH103" s="347"/>
      <c r="AI103" s="347"/>
      <c r="CL103" s="1647" t="e">
        <f t="shared" si="109"/>
        <v>#VALUE!</v>
      </c>
      <c r="CM103" s="1671">
        <v>78</v>
      </c>
      <c r="CN103" s="1644" t="e">
        <f t="shared" si="89"/>
        <v>#VALUE!</v>
      </c>
      <c r="CO103" s="1644" t="e">
        <f t="shared" si="90"/>
        <v>#VALUE!</v>
      </c>
      <c r="CP103" s="1644" t="e">
        <f t="shared" si="91"/>
        <v>#VALUE!</v>
      </c>
      <c r="CQ103" s="1644" t="e">
        <f t="shared" si="92"/>
        <v>#VALUE!</v>
      </c>
      <c r="CR103" s="1644" t="e">
        <f t="shared" si="93"/>
        <v>#VALUE!</v>
      </c>
      <c r="CS103" s="1644" t="e">
        <f t="shared" si="110"/>
        <v>#VALUE!</v>
      </c>
      <c r="CT103" s="1644" t="e">
        <f t="shared" si="94"/>
        <v>#VALUE!</v>
      </c>
      <c r="CU103" s="505" t="e">
        <f t="shared" si="95"/>
        <v>#VALUE!</v>
      </c>
      <c r="CV103" s="1648" t="e">
        <f t="shared" si="96"/>
        <v>#VALUE!</v>
      </c>
      <c r="CW103" s="521" t="e">
        <f t="shared" si="97"/>
        <v>#VALUE!</v>
      </c>
      <c r="CX103" s="522" t="e">
        <f t="shared" si="98"/>
        <v>#VALUE!</v>
      </c>
      <c r="CZ103" s="1647" t="e">
        <f t="shared" si="111"/>
        <v>#VALUE!</v>
      </c>
      <c r="DA103" s="1671">
        <v>78</v>
      </c>
      <c r="DB103" s="1644" t="e">
        <f t="shared" si="99"/>
        <v>#VALUE!</v>
      </c>
      <c r="DC103" s="1644" t="e">
        <f t="shared" si="100"/>
        <v>#VALUE!</v>
      </c>
      <c r="DD103" s="1644" t="e">
        <f t="shared" si="101"/>
        <v>#VALUE!</v>
      </c>
      <c r="DE103" s="1644" t="e">
        <f t="shared" si="102"/>
        <v>#VALUE!</v>
      </c>
      <c r="DF103" s="1644" t="e">
        <f t="shared" si="103"/>
        <v>#VALUE!</v>
      </c>
      <c r="DG103" s="1644" t="e">
        <f t="shared" si="112"/>
        <v>#VALUE!</v>
      </c>
      <c r="DH103" s="1644" t="e">
        <f t="shared" si="104"/>
        <v>#VALUE!</v>
      </c>
      <c r="DI103" s="505" t="e">
        <f t="shared" si="105"/>
        <v>#VALUE!</v>
      </c>
      <c r="DJ103" s="1648" t="e">
        <f t="shared" si="106"/>
        <v>#VALUE!</v>
      </c>
      <c r="DK103" s="521" t="e">
        <f t="shared" si="107"/>
        <v>#VALUE!</v>
      </c>
      <c r="DL103" s="522" t="e">
        <f t="shared" si="108"/>
        <v>#VALUE!</v>
      </c>
      <c r="EA103" s="1647">
        <f t="shared" si="86"/>
        <v>24.000633322175549</v>
      </c>
      <c r="EB103" s="1671">
        <v>94</v>
      </c>
      <c r="EC103" s="1644">
        <f t="shared" si="77"/>
        <v>297.15063332217551</v>
      </c>
      <c r="ED103" s="1644">
        <f t="shared" si="78"/>
        <v>-32.581440875774611</v>
      </c>
      <c r="EE103" s="1644">
        <f t="shared" si="79"/>
        <v>40.582876513413943</v>
      </c>
      <c r="EF103" s="1644">
        <f t="shared" si="80"/>
        <v>2.9852406359596202</v>
      </c>
      <c r="EG103" s="1644">
        <f t="shared" si="81"/>
        <v>2.8061261978020426</v>
      </c>
      <c r="EH103" s="1644">
        <f t="shared" si="87"/>
        <v>1.8881070919450717E-2</v>
      </c>
      <c r="EI103" s="1644">
        <f t="shared" si="82"/>
        <v>0.93829101201251897</v>
      </c>
      <c r="EJ103" s="505">
        <f t="shared" si="83"/>
        <v>94</v>
      </c>
      <c r="EK103" s="1648">
        <f t="shared" si="84"/>
        <v>69.219675648976107</v>
      </c>
      <c r="EL103" s="521">
        <f t="shared" si="85"/>
        <v>22.979543185534819</v>
      </c>
      <c r="EM103" s="522">
        <f t="shared" si="88"/>
        <v>1.7715939140891555E-2</v>
      </c>
    </row>
    <row r="104" spans="2:143">
      <c r="B104" s="293"/>
      <c r="L104" s="347"/>
      <c r="T104" s="347"/>
      <c r="AC104" s="347"/>
      <c r="AF104" s="347"/>
      <c r="AG104" s="347"/>
      <c r="AH104" s="347"/>
      <c r="AI104" s="347"/>
      <c r="AK104" s="347"/>
      <c r="AL104" s="347"/>
      <c r="AM104" s="347"/>
      <c r="AN104" s="347"/>
      <c r="AO104" s="347"/>
      <c r="AP104" s="347"/>
      <c r="AQ104" s="347"/>
      <c r="AR104" s="347"/>
      <c r="AS104" s="347"/>
      <c r="CL104" s="1647" t="e">
        <f t="shared" si="109"/>
        <v>#VALUE!</v>
      </c>
      <c r="CM104" s="1671">
        <v>79</v>
      </c>
      <c r="CN104" s="1644" t="e">
        <f t="shared" si="89"/>
        <v>#VALUE!</v>
      </c>
      <c r="CO104" s="1644" t="e">
        <f t="shared" si="90"/>
        <v>#VALUE!</v>
      </c>
      <c r="CP104" s="1644" t="e">
        <f t="shared" si="91"/>
        <v>#VALUE!</v>
      </c>
      <c r="CQ104" s="1644" t="e">
        <f t="shared" si="92"/>
        <v>#VALUE!</v>
      </c>
      <c r="CR104" s="1644" t="e">
        <f t="shared" si="93"/>
        <v>#VALUE!</v>
      </c>
      <c r="CS104" s="1644" t="e">
        <f t="shared" si="110"/>
        <v>#VALUE!</v>
      </c>
      <c r="CT104" s="1644" t="e">
        <f t="shared" si="94"/>
        <v>#VALUE!</v>
      </c>
      <c r="CU104" s="505" t="e">
        <f t="shared" si="95"/>
        <v>#VALUE!</v>
      </c>
      <c r="CV104" s="1648" t="e">
        <f t="shared" si="96"/>
        <v>#VALUE!</v>
      </c>
      <c r="CW104" s="521" t="e">
        <f t="shared" si="97"/>
        <v>#VALUE!</v>
      </c>
      <c r="CX104" s="522" t="e">
        <f t="shared" si="98"/>
        <v>#VALUE!</v>
      </c>
      <c r="CZ104" s="1647" t="e">
        <f t="shared" si="111"/>
        <v>#VALUE!</v>
      </c>
      <c r="DA104" s="1671">
        <v>79</v>
      </c>
      <c r="DB104" s="1644" t="e">
        <f t="shared" si="99"/>
        <v>#VALUE!</v>
      </c>
      <c r="DC104" s="1644" t="e">
        <f t="shared" si="100"/>
        <v>#VALUE!</v>
      </c>
      <c r="DD104" s="1644" t="e">
        <f t="shared" si="101"/>
        <v>#VALUE!</v>
      </c>
      <c r="DE104" s="1644" t="e">
        <f t="shared" si="102"/>
        <v>#VALUE!</v>
      </c>
      <c r="DF104" s="1644" t="e">
        <f t="shared" si="103"/>
        <v>#VALUE!</v>
      </c>
      <c r="DG104" s="1644" t="e">
        <f t="shared" si="112"/>
        <v>#VALUE!</v>
      </c>
      <c r="DH104" s="1644" t="e">
        <f t="shared" si="104"/>
        <v>#VALUE!</v>
      </c>
      <c r="DI104" s="505" t="e">
        <f t="shared" si="105"/>
        <v>#VALUE!</v>
      </c>
      <c r="DJ104" s="1648" t="e">
        <f t="shared" si="106"/>
        <v>#VALUE!</v>
      </c>
      <c r="DK104" s="521" t="e">
        <f t="shared" si="107"/>
        <v>#VALUE!</v>
      </c>
      <c r="DL104" s="522" t="e">
        <f t="shared" si="108"/>
        <v>#VALUE!</v>
      </c>
      <c r="EA104" s="1647">
        <f t="shared" si="86"/>
        <v>24.000633322175549</v>
      </c>
      <c r="EB104" s="1671">
        <v>95</v>
      </c>
      <c r="EC104" s="1644">
        <f t="shared" si="77"/>
        <v>297.15063332217551</v>
      </c>
      <c r="ED104" s="1644">
        <f t="shared" si="78"/>
        <v>-32.581440875774611</v>
      </c>
      <c r="EE104" s="1644">
        <f t="shared" si="79"/>
        <v>40.582876513413943</v>
      </c>
      <c r="EF104" s="1644">
        <f t="shared" si="80"/>
        <v>2.9852406359596202</v>
      </c>
      <c r="EG104" s="1644">
        <f t="shared" si="81"/>
        <v>2.8359786041616393</v>
      </c>
      <c r="EH104" s="1644">
        <f t="shared" si="87"/>
        <v>1.8881070919450717E-2</v>
      </c>
      <c r="EI104" s="1644">
        <f t="shared" si="82"/>
        <v>0.94856025648139852</v>
      </c>
      <c r="EJ104" s="505">
        <f t="shared" si="83"/>
        <v>95</v>
      </c>
      <c r="EK104" s="1648">
        <f t="shared" si="84"/>
        <v>69.713005100234227</v>
      </c>
      <c r="EL104" s="521">
        <f t="shared" si="85"/>
        <v>23.153894725668277</v>
      </c>
      <c r="EM104" s="522">
        <f t="shared" si="88"/>
        <v>1.7909833473997647E-2</v>
      </c>
    </row>
    <row r="105" spans="2:143">
      <c r="B105" s="293"/>
      <c r="L105" s="347"/>
      <c r="T105" s="347"/>
      <c r="AC105" s="347"/>
      <c r="AF105" s="347"/>
      <c r="AG105" s="347"/>
      <c r="AH105" s="347"/>
      <c r="AI105" s="347"/>
      <c r="AK105" s="347"/>
      <c r="AL105" s="347"/>
      <c r="AM105" s="347"/>
      <c r="AN105" s="347"/>
      <c r="AO105" s="347"/>
      <c r="AP105" s="347"/>
      <c r="AQ105" s="347"/>
      <c r="AR105" s="347"/>
      <c r="AS105" s="347"/>
      <c r="CL105" s="1647" t="e">
        <f t="shared" si="109"/>
        <v>#VALUE!</v>
      </c>
      <c r="CM105" s="1671">
        <v>80</v>
      </c>
      <c r="CN105" s="1644" t="e">
        <f t="shared" si="89"/>
        <v>#VALUE!</v>
      </c>
      <c r="CO105" s="1644" t="e">
        <f t="shared" si="90"/>
        <v>#VALUE!</v>
      </c>
      <c r="CP105" s="1644" t="e">
        <f t="shared" si="91"/>
        <v>#VALUE!</v>
      </c>
      <c r="CQ105" s="1644" t="e">
        <f t="shared" si="92"/>
        <v>#VALUE!</v>
      </c>
      <c r="CR105" s="1644" t="e">
        <f t="shared" si="93"/>
        <v>#VALUE!</v>
      </c>
      <c r="CS105" s="1644" t="e">
        <f t="shared" si="110"/>
        <v>#VALUE!</v>
      </c>
      <c r="CT105" s="1644" t="e">
        <f t="shared" si="94"/>
        <v>#VALUE!</v>
      </c>
      <c r="CU105" s="505" t="e">
        <f t="shared" si="95"/>
        <v>#VALUE!</v>
      </c>
      <c r="CV105" s="1648" t="e">
        <f t="shared" si="96"/>
        <v>#VALUE!</v>
      </c>
      <c r="CW105" s="521" t="e">
        <f t="shared" si="97"/>
        <v>#VALUE!</v>
      </c>
      <c r="CX105" s="522" t="e">
        <f t="shared" si="98"/>
        <v>#VALUE!</v>
      </c>
      <c r="CZ105" s="1647" t="e">
        <f t="shared" si="111"/>
        <v>#VALUE!</v>
      </c>
      <c r="DA105" s="1671">
        <v>80</v>
      </c>
      <c r="DB105" s="1644" t="e">
        <f t="shared" si="99"/>
        <v>#VALUE!</v>
      </c>
      <c r="DC105" s="1644" t="e">
        <f t="shared" si="100"/>
        <v>#VALUE!</v>
      </c>
      <c r="DD105" s="1644" t="e">
        <f t="shared" si="101"/>
        <v>#VALUE!</v>
      </c>
      <c r="DE105" s="1644" t="e">
        <f t="shared" si="102"/>
        <v>#VALUE!</v>
      </c>
      <c r="DF105" s="1644" t="e">
        <f t="shared" si="103"/>
        <v>#VALUE!</v>
      </c>
      <c r="DG105" s="1644" t="e">
        <f t="shared" si="112"/>
        <v>#VALUE!</v>
      </c>
      <c r="DH105" s="1644" t="e">
        <f t="shared" si="104"/>
        <v>#VALUE!</v>
      </c>
      <c r="DI105" s="505" t="e">
        <f t="shared" si="105"/>
        <v>#VALUE!</v>
      </c>
      <c r="DJ105" s="1648" t="e">
        <f t="shared" si="106"/>
        <v>#VALUE!</v>
      </c>
      <c r="DK105" s="521" t="e">
        <f t="shared" si="107"/>
        <v>#VALUE!</v>
      </c>
      <c r="DL105" s="522" t="e">
        <f t="shared" si="108"/>
        <v>#VALUE!</v>
      </c>
      <c r="EA105" s="1647">
        <f t="shared" si="86"/>
        <v>24.000633322175549</v>
      </c>
      <c r="EB105" s="1671">
        <v>96</v>
      </c>
      <c r="EC105" s="1644">
        <f t="shared" si="77"/>
        <v>297.15063332217551</v>
      </c>
      <c r="ED105" s="1644">
        <f t="shared" si="78"/>
        <v>-32.581440875774611</v>
      </c>
      <c r="EE105" s="1644">
        <f t="shared" si="79"/>
        <v>40.582876513413943</v>
      </c>
      <c r="EF105" s="1644">
        <f t="shared" si="80"/>
        <v>2.9852406359596202</v>
      </c>
      <c r="EG105" s="1644">
        <f t="shared" si="81"/>
        <v>2.8658310105212355</v>
      </c>
      <c r="EH105" s="1644">
        <f t="shared" si="87"/>
        <v>1.8881070919450717E-2</v>
      </c>
      <c r="EI105" s="1644">
        <f t="shared" si="82"/>
        <v>0.958835728133831</v>
      </c>
      <c r="EJ105" s="505">
        <f t="shared" si="83"/>
        <v>96</v>
      </c>
      <c r="EK105" s="1648">
        <f t="shared" si="84"/>
        <v>70.20663370232613</v>
      </c>
      <c r="EL105" s="521">
        <f t="shared" si="85"/>
        <v>23.32665128937872</v>
      </c>
      <c r="EM105" s="522">
        <f t="shared" si="88"/>
        <v>1.8103845382998029E-2</v>
      </c>
    </row>
    <row r="106" spans="2:143">
      <c r="B106" s="293"/>
      <c r="L106" s="347"/>
      <c r="T106" s="347"/>
      <c r="AC106" s="347"/>
      <c r="AF106" s="347"/>
      <c r="AG106" s="347"/>
      <c r="AH106" s="347"/>
      <c r="AI106" s="347"/>
      <c r="AK106" s="347"/>
      <c r="AL106" s="347"/>
      <c r="AM106" s="347"/>
      <c r="AN106" s="347"/>
      <c r="AO106" s="347"/>
      <c r="AP106" s="347"/>
      <c r="AQ106" s="347"/>
      <c r="AR106" s="347"/>
      <c r="AS106" s="347"/>
      <c r="CL106" s="1647" t="e">
        <f t="shared" si="109"/>
        <v>#VALUE!</v>
      </c>
      <c r="CM106" s="1671">
        <v>81</v>
      </c>
      <c r="CN106" s="1644" t="e">
        <f t="shared" si="89"/>
        <v>#VALUE!</v>
      </c>
      <c r="CO106" s="1644" t="e">
        <f t="shared" si="90"/>
        <v>#VALUE!</v>
      </c>
      <c r="CP106" s="1644" t="e">
        <f t="shared" si="91"/>
        <v>#VALUE!</v>
      </c>
      <c r="CQ106" s="1644" t="e">
        <f t="shared" si="92"/>
        <v>#VALUE!</v>
      </c>
      <c r="CR106" s="1644" t="e">
        <f t="shared" si="93"/>
        <v>#VALUE!</v>
      </c>
      <c r="CS106" s="1644" t="e">
        <f t="shared" si="110"/>
        <v>#VALUE!</v>
      </c>
      <c r="CT106" s="1644" t="e">
        <f t="shared" si="94"/>
        <v>#VALUE!</v>
      </c>
      <c r="CU106" s="505" t="e">
        <f t="shared" si="95"/>
        <v>#VALUE!</v>
      </c>
      <c r="CV106" s="1648" t="e">
        <f t="shared" si="96"/>
        <v>#VALUE!</v>
      </c>
      <c r="CW106" s="521" t="e">
        <f t="shared" si="97"/>
        <v>#VALUE!</v>
      </c>
      <c r="CX106" s="522" t="e">
        <f t="shared" si="98"/>
        <v>#VALUE!</v>
      </c>
      <c r="CZ106" s="1647" t="e">
        <f t="shared" si="111"/>
        <v>#VALUE!</v>
      </c>
      <c r="DA106" s="1671">
        <v>81</v>
      </c>
      <c r="DB106" s="1644" t="e">
        <f t="shared" si="99"/>
        <v>#VALUE!</v>
      </c>
      <c r="DC106" s="1644" t="e">
        <f t="shared" si="100"/>
        <v>#VALUE!</v>
      </c>
      <c r="DD106" s="1644" t="e">
        <f t="shared" si="101"/>
        <v>#VALUE!</v>
      </c>
      <c r="DE106" s="1644" t="e">
        <f t="shared" si="102"/>
        <v>#VALUE!</v>
      </c>
      <c r="DF106" s="1644" t="e">
        <f t="shared" si="103"/>
        <v>#VALUE!</v>
      </c>
      <c r="DG106" s="1644" t="e">
        <f t="shared" si="112"/>
        <v>#VALUE!</v>
      </c>
      <c r="DH106" s="1644" t="e">
        <f t="shared" si="104"/>
        <v>#VALUE!</v>
      </c>
      <c r="DI106" s="505" t="e">
        <f t="shared" si="105"/>
        <v>#VALUE!</v>
      </c>
      <c r="DJ106" s="1648" t="e">
        <f t="shared" si="106"/>
        <v>#VALUE!</v>
      </c>
      <c r="DK106" s="521" t="e">
        <f t="shared" si="107"/>
        <v>#VALUE!</v>
      </c>
      <c r="DL106" s="522" t="e">
        <f t="shared" si="108"/>
        <v>#VALUE!</v>
      </c>
      <c r="EA106" s="1647">
        <f t="shared" si="86"/>
        <v>24.000633322175549</v>
      </c>
      <c r="EB106" s="1671">
        <v>97</v>
      </c>
      <c r="EC106" s="1644">
        <f t="shared" si="77"/>
        <v>297.15063332217551</v>
      </c>
      <c r="ED106" s="1644">
        <f t="shared" si="78"/>
        <v>-32.581440875774611</v>
      </c>
      <c r="EE106" s="1644">
        <f t="shared" si="79"/>
        <v>40.582876513413943</v>
      </c>
      <c r="EF106" s="1644">
        <f t="shared" si="80"/>
        <v>2.9852406359596202</v>
      </c>
      <c r="EG106" s="1644">
        <f t="shared" si="81"/>
        <v>2.8956834168808316</v>
      </c>
      <c r="EH106" s="1644">
        <f t="shared" si="87"/>
        <v>1.8881070919450717E-2</v>
      </c>
      <c r="EI106" s="1644">
        <f t="shared" ref="EI106:EI109" si="113">EM106/EH106</f>
        <v>0.96911743263570205</v>
      </c>
      <c r="EJ106" s="505">
        <f t="shared" si="83"/>
        <v>97</v>
      </c>
      <c r="EK106" s="1648">
        <f t="shared" si="84"/>
        <v>70.700561727438142</v>
      </c>
      <c r="EL106" s="521">
        <f t="shared" si="85"/>
        <v>23.497844203808121</v>
      </c>
      <c r="EM106" s="522">
        <f t="shared" si="88"/>
        <v>1.8297974974870693E-2</v>
      </c>
    </row>
    <row r="107" spans="2:143">
      <c r="B107" s="293"/>
      <c r="L107" s="347"/>
      <c r="T107" s="347"/>
      <c r="AC107" s="347"/>
      <c r="AF107" s="347"/>
      <c r="AG107" s="347"/>
      <c r="AH107" s="347"/>
      <c r="AI107" s="347"/>
      <c r="AK107" s="347"/>
      <c r="AL107" s="347"/>
      <c r="AM107" s="347"/>
      <c r="AN107" s="347"/>
      <c r="AO107" s="347"/>
      <c r="AP107" s="347"/>
      <c r="AQ107" s="347"/>
      <c r="AR107" s="347"/>
      <c r="AS107" s="347"/>
      <c r="CL107" s="1647" t="e">
        <f t="shared" si="109"/>
        <v>#VALUE!</v>
      </c>
      <c r="CM107" s="1671">
        <v>82</v>
      </c>
      <c r="CN107" s="1644" t="e">
        <f t="shared" si="89"/>
        <v>#VALUE!</v>
      </c>
      <c r="CO107" s="1644" t="e">
        <f t="shared" si="90"/>
        <v>#VALUE!</v>
      </c>
      <c r="CP107" s="1644" t="e">
        <f t="shared" si="91"/>
        <v>#VALUE!</v>
      </c>
      <c r="CQ107" s="1644" t="e">
        <f t="shared" si="92"/>
        <v>#VALUE!</v>
      </c>
      <c r="CR107" s="1644" t="e">
        <f t="shared" si="93"/>
        <v>#VALUE!</v>
      </c>
      <c r="CS107" s="1644" t="e">
        <f t="shared" si="110"/>
        <v>#VALUE!</v>
      </c>
      <c r="CT107" s="1644" t="e">
        <f t="shared" si="94"/>
        <v>#VALUE!</v>
      </c>
      <c r="CU107" s="505" t="e">
        <f t="shared" si="95"/>
        <v>#VALUE!</v>
      </c>
      <c r="CV107" s="1648" t="e">
        <f t="shared" si="96"/>
        <v>#VALUE!</v>
      </c>
      <c r="CW107" s="521" t="e">
        <f t="shared" si="97"/>
        <v>#VALUE!</v>
      </c>
      <c r="CX107" s="522" t="e">
        <f t="shared" si="98"/>
        <v>#VALUE!</v>
      </c>
      <c r="CZ107" s="1647" t="e">
        <f t="shared" si="111"/>
        <v>#VALUE!</v>
      </c>
      <c r="DA107" s="1671">
        <v>82</v>
      </c>
      <c r="DB107" s="1644" t="e">
        <f t="shared" si="99"/>
        <v>#VALUE!</v>
      </c>
      <c r="DC107" s="1644" t="e">
        <f t="shared" si="100"/>
        <v>#VALUE!</v>
      </c>
      <c r="DD107" s="1644" t="e">
        <f t="shared" si="101"/>
        <v>#VALUE!</v>
      </c>
      <c r="DE107" s="1644" t="e">
        <f t="shared" si="102"/>
        <v>#VALUE!</v>
      </c>
      <c r="DF107" s="1644" t="e">
        <f t="shared" si="103"/>
        <v>#VALUE!</v>
      </c>
      <c r="DG107" s="1644" t="e">
        <f t="shared" si="112"/>
        <v>#VALUE!</v>
      </c>
      <c r="DH107" s="1644" t="e">
        <f t="shared" si="104"/>
        <v>#VALUE!</v>
      </c>
      <c r="DI107" s="505" t="e">
        <f t="shared" si="105"/>
        <v>#VALUE!</v>
      </c>
      <c r="DJ107" s="1648" t="e">
        <f t="shared" si="106"/>
        <v>#VALUE!</v>
      </c>
      <c r="DK107" s="521" t="e">
        <f t="shared" si="107"/>
        <v>#VALUE!</v>
      </c>
      <c r="DL107" s="522" t="e">
        <f t="shared" si="108"/>
        <v>#VALUE!</v>
      </c>
      <c r="EA107" s="1647">
        <f t="shared" si="86"/>
        <v>24.000633322175549</v>
      </c>
      <c r="EB107" s="1671">
        <v>98</v>
      </c>
      <c r="EC107" s="1644">
        <f t="shared" si="77"/>
        <v>297.15063332217551</v>
      </c>
      <c r="ED107" s="1644">
        <f t="shared" si="78"/>
        <v>-32.581440875774611</v>
      </c>
      <c r="EE107" s="1644">
        <f t="shared" si="79"/>
        <v>40.582876513413943</v>
      </c>
      <c r="EF107" s="1644">
        <f t="shared" si="80"/>
        <v>2.9852406359596202</v>
      </c>
      <c r="EG107" s="1644">
        <f t="shared" si="81"/>
        <v>2.9255358232404278</v>
      </c>
      <c r="EH107" s="1644">
        <f t="shared" si="87"/>
        <v>1.8881070919450717E-2</v>
      </c>
      <c r="EI107" s="1644">
        <f t="shared" si="113"/>
        <v>0.97940537565977304</v>
      </c>
      <c r="EJ107" s="505">
        <f t="shared" si="83"/>
        <v>98</v>
      </c>
      <c r="EK107" s="1648">
        <f t="shared" si="84"/>
        <v>71.194789448086965</v>
      </c>
      <c r="EL107" s="521">
        <f t="shared" si="85"/>
        <v>23.667503860891944</v>
      </c>
      <c r="EM107" s="522">
        <f t="shared" si="88"/>
        <v>1.8492222356723445E-2</v>
      </c>
    </row>
    <row r="108" spans="2:143">
      <c r="B108" s="293"/>
      <c r="L108" s="347"/>
      <c r="T108" s="347"/>
      <c r="AC108" s="347"/>
      <c r="AF108" s="347"/>
      <c r="AG108" s="347"/>
      <c r="AH108" s="347"/>
      <c r="AI108" s="347"/>
      <c r="AK108" s="347"/>
      <c r="AL108" s="347"/>
      <c r="AM108" s="347"/>
      <c r="AN108" s="347"/>
      <c r="AO108" s="347"/>
      <c r="AP108" s="347"/>
      <c r="AQ108" s="347"/>
      <c r="AR108" s="347"/>
      <c r="AS108" s="347"/>
      <c r="CL108" s="1647" t="e">
        <f t="shared" si="109"/>
        <v>#VALUE!</v>
      </c>
      <c r="CM108" s="1671">
        <v>83</v>
      </c>
      <c r="CN108" s="1644" t="e">
        <f t="shared" si="89"/>
        <v>#VALUE!</v>
      </c>
      <c r="CO108" s="1644" t="e">
        <f t="shared" si="90"/>
        <v>#VALUE!</v>
      </c>
      <c r="CP108" s="1644" t="e">
        <f t="shared" si="91"/>
        <v>#VALUE!</v>
      </c>
      <c r="CQ108" s="1644" t="e">
        <f t="shared" si="92"/>
        <v>#VALUE!</v>
      </c>
      <c r="CR108" s="1644" t="e">
        <f t="shared" si="93"/>
        <v>#VALUE!</v>
      </c>
      <c r="CS108" s="1644" t="e">
        <f t="shared" si="110"/>
        <v>#VALUE!</v>
      </c>
      <c r="CT108" s="1644" t="e">
        <f t="shared" si="94"/>
        <v>#VALUE!</v>
      </c>
      <c r="CU108" s="505" t="e">
        <f t="shared" si="95"/>
        <v>#VALUE!</v>
      </c>
      <c r="CV108" s="1648" t="e">
        <f t="shared" si="96"/>
        <v>#VALUE!</v>
      </c>
      <c r="CW108" s="521" t="e">
        <f t="shared" si="97"/>
        <v>#VALUE!</v>
      </c>
      <c r="CX108" s="522" t="e">
        <f t="shared" si="98"/>
        <v>#VALUE!</v>
      </c>
      <c r="CZ108" s="1647" t="e">
        <f t="shared" si="111"/>
        <v>#VALUE!</v>
      </c>
      <c r="DA108" s="1671">
        <v>83</v>
      </c>
      <c r="DB108" s="1644" t="e">
        <f t="shared" si="99"/>
        <v>#VALUE!</v>
      </c>
      <c r="DC108" s="1644" t="e">
        <f t="shared" si="100"/>
        <v>#VALUE!</v>
      </c>
      <c r="DD108" s="1644" t="e">
        <f t="shared" si="101"/>
        <v>#VALUE!</v>
      </c>
      <c r="DE108" s="1644" t="e">
        <f t="shared" si="102"/>
        <v>#VALUE!</v>
      </c>
      <c r="DF108" s="1644" t="e">
        <f t="shared" si="103"/>
        <v>#VALUE!</v>
      </c>
      <c r="DG108" s="1644" t="e">
        <f t="shared" si="112"/>
        <v>#VALUE!</v>
      </c>
      <c r="DH108" s="1644" t="e">
        <f t="shared" si="104"/>
        <v>#VALUE!</v>
      </c>
      <c r="DI108" s="505" t="e">
        <f t="shared" si="105"/>
        <v>#VALUE!</v>
      </c>
      <c r="DJ108" s="1648" t="e">
        <f t="shared" si="106"/>
        <v>#VALUE!</v>
      </c>
      <c r="DK108" s="521" t="e">
        <f t="shared" si="107"/>
        <v>#VALUE!</v>
      </c>
      <c r="DL108" s="522" t="e">
        <f t="shared" si="108"/>
        <v>#VALUE!</v>
      </c>
      <c r="EA108" s="1647">
        <f t="shared" si="86"/>
        <v>24.000633322175549</v>
      </c>
      <c r="EB108" s="1671">
        <v>99</v>
      </c>
      <c r="EC108" s="1644">
        <f t="shared" si="77"/>
        <v>297.15063332217551</v>
      </c>
      <c r="ED108" s="1644">
        <f t="shared" si="78"/>
        <v>-32.581440875774611</v>
      </c>
      <c r="EE108" s="1644">
        <f t="shared" si="79"/>
        <v>40.582876513413943</v>
      </c>
      <c r="EF108" s="1644">
        <f t="shared" si="80"/>
        <v>2.9852406359596202</v>
      </c>
      <c r="EG108" s="1644">
        <f t="shared" si="81"/>
        <v>2.955388229600024</v>
      </c>
      <c r="EH108" s="1644">
        <f t="shared" si="87"/>
        <v>1.8881070919450717E-2</v>
      </c>
      <c r="EI108" s="1644">
        <f t="shared" si="113"/>
        <v>0.98969956288569116</v>
      </c>
      <c r="EJ108" s="505">
        <f t="shared" si="83"/>
        <v>99</v>
      </c>
      <c r="EK108" s="1648">
        <f t="shared" si="84"/>
        <v>71.689317137120028</v>
      </c>
      <c r="EL108" s="521">
        <f t="shared" si="85"/>
        <v>23.835659754599856</v>
      </c>
      <c r="EM108" s="522">
        <f t="shared" si="88"/>
        <v>1.8686587635794109E-2</v>
      </c>
    </row>
    <row r="109" spans="2:143">
      <c r="B109" s="293"/>
      <c r="L109" s="347"/>
      <c r="T109" s="347"/>
      <c r="AC109" s="347"/>
      <c r="AF109" s="347"/>
      <c r="AG109" s="347"/>
      <c r="AH109" s="347"/>
      <c r="AI109" s="347"/>
      <c r="AK109" s="347"/>
      <c r="AL109" s="347"/>
      <c r="AM109" s="347"/>
      <c r="AN109" s="347"/>
      <c r="AO109" s="347"/>
      <c r="AP109" s="347"/>
      <c r="AQ109" s="347"/>
      <c r="AR109" s="347"/>
      <c r="AS109" s="347"/>
      <c r="CL109" s="1647" t="e">
        <f t="shared" si="109"/>
        <v>#VALUE!</v>
      </c>
      <c r="CM109" s="1671">
        <v>84</v>
      </c>
      <c r="CN109" s="1644" t="e">
        <f t="shared" si="89"/>
        <v>#VALUE!</v>
      </c>
      <c r="CO109" s="1644" t="e">
        <f t="shared" si="90"/>
        <v>#VALUE!</v>
      </c>
      <c r="CP109" s="1644" t="e">
        <f t="shared" si="91"/>
        <v>#VALUE!</v>
      </c>
      <c r="CQ109" s="1644" t="e">
        <f t="shared" si="92"/>
        <v>#VALUE!</v>
      </c>
      <c r="CR109" s="1644" t="e">
        <f t="shared" si="93"/>
        <v>#VALUE!</v>
      </c>
      <c r="CS109" s="1644" t="e">
        <f t="shared" si="110"/>
        <v>#VALUE!</v>
      </c>
      <c r="CT109" s="1644" t="e">
        <f t="shared" si="94"/>
        <v>#VALUE!</v>
      </c>
      <c r="CU109" s="505" t="e">
        <f t="shared" si="95"/>
        <v>#VALUE!</v>
      </c>
      <c r="CV109" s="1648" t="e">
        <f t="shared" si="96"/>
        <v>#VALUE!</v>
      </c>
      <c r="CW109" s="521" t="e">
        <f t="shared" si="97"/>
        <v>#VALUE!</v>
      </c>
      <c r="CX109" s="522" t="e">
        <f t="shared" si="98"/>
        <v>#VALUE!</v>
      </c>
      <c r="CZ109" s="1647" t="e">
        <f t="shared" si="111"/>
        <v>#VALUE!</v>
      </c>
      <c r="DA109" s="1671">
        <v>84</v>
      </c>
      <c r="DB109" s="1644" t="e">
        <f t="shared" si="99"/>
        <v>#VALUE!</v>
      </c>
      <c r="DC109" s="1644" t="e">
        <f t="shared" si="100"/>
        <v>#VALUE!</v>
      </c>
      <c r="DD109" s="1644" t="e">
        <f t="shared" si="101"/>
        <v>#VALUE!</v>
      </c>
      <c r="DE109" s="1644" t="e">
        <f t="shared" si="102"/>
        <v>#VALUE!</v>
      </c>
      <c r="DF109" s="1644" t="e">
        <f t="shared" si="103"/>
        <v>#VALUE!</v>
      </c>
      <c r="DG109" s="1644" t="e">
        <f t="shared" si="112"/>
        <v>#VALUE!</v>
      </c>
      <c r="DH109" s="1644" t="e">
        <f t="shared" si="104"/>
        <v>#VALUE!</v>
      </c>
      <c r="DI109" s="505" t="e">
        <f t="shared" si="105"/>
        <v>#VALUE!</v>
      </c>
      <c r="DJ109" s="1648" t="e">
        <f t="shared" si="106"/>
        <v>#VALUE!</v>
      </c>
      <c r="DK109" s="521" t="e">
        <f t="shared" si="107"/>
        <v>#VALUE!</v>
      </c>
      <c r="DL109" s="522" t="e">
        <f t="shared" si="108"/>
        <v>#VALUE!</v>
      </c>
      <c r="EA109" s="1647">
        <f t="shared" si="86"/>
        <v>24.000633322175549</v>
      </c>
      <c r="EB109" s="1671">
        <v>100</v>
      </c>
      <c r="EC109" s="1644">
        <f t="shared" si="77"/>
        <v>297.15063332217551</v>
      </c>
      <c r="ED109" s="1644">
        <f t="shared" si="78"/>
        <v>-32.581440875774611</v>
      </c>
      <c r="EE109" s="1644">
        <f t="shared" si="79"/>
        <v>40.582876513413943</v>
      </c>
      <c r="EF109" s="1644">
        <f t="shared" si="80"/>
        <v>2.9852406359596202</v>
      </c>
      <c r="EG109" s="1644">
        <f t="shared" si="81"/>
        <v>2.9852406359596202</v>
      </c>
      <c r="EH109" s="1644">
        <f t="shared" si="87"/>
        <v>1.8881070919450717E-2</v>
      </c>
      <c r="EI109" s="1644">
        <f t="shared" si="113"/>
        <v>1</v>
      </c>
      <c r="EJ109" s="505">
        <f t="shared" si="83"/>
        <v>100</v>
      </c>
      <c r="EK109" s="1648">
        <f t="shared" si="84"/>
        <v>72.184145067716102</v>
      </c>
      <c r="EL109" s="521">
        <f t="shared" si="85"/>
        <v>24.002340516330509</v>
      </c>
      <c r="EM109" s="522">
        <f t="shared" si="88"/>
        <v>1.8881070919450717E-2</v>
      </c>
    </row>
    <row r="110" spans="2:143">
      <c r="B110" s="293"/>
      <c r="L110" s="347"/>
      <c r="T110" s="347"/>
      <c r="AC110" s="347"/>
      <c r="AF110" s="347"/>
      <c r="AG110" s="347"/>
      <c r="AH110" s="347"/>
      <c r="AI110" s="347"/>
      <c r="AK110" s="347"/>
      <c r="AL110" s="347"/>
      <c r="AM110" s="347"/>
      <c r="AN110" s="347"/>
      <c r="AO110" s="347"/>
      <c r="AP110" s="347"/>
      <c r="AQ110" s="347"/>
      <c r="AR110" s="347"/>
      <c r="AS110" s="347"/>
      <c r="CL110" s="1647" t="e">
        <f t="shared" si="109"/>
        <v>#VALUE!</v>
      </c>
      <c r="CM110" s="1671">
        <v>85</v>
      </c>
      <c r="CN110" s="1644" t="e">
        <f t="shared" si="89"/>
        <v>#VALUE!</v>
      </c>
      <c r="CO110" s="1644" t="e">
        <f t="shared" si="90"/>
        <v>#VALUE!</v>
      </c>
      <c r="CP110" s="1644" t="e">
        <f t="shared" si="91"/>
        <v>#VALUE!</v>
      </c>
      <c r="CQ110" s="1644" t="e">
        <f t="shared" si="92"/>
        <v>#VALUE!</v>
      </c>
      <c r="CR110" s="1644" t="e">
        <f t="shared" si="93"/>
        <v>#VALUE!</v>
      </c>
      <c r="CS110" s="1644" t="e">
        <f t="shared" si="110"/>
        <v>#VALUE!</v>
      </c>
      <c r="CT110" s="1644" t="e">
        <f t="shared" si="94"/>
        <v>#VALUE!</v>
      </c>
      <c r="CU110" s="505" t="e">
        <f t="shared" si="95"/>
        <v>#VALUE!</v>
      </c>
      <c r="CV110" s="1648" t="e">
        <f t="shared" si="96"/>
        <v>#VALUE!</v>
      </c>
      <c r="CW110" s="521" t="e">
        <f t="shared" si="97"/>
        <v>#VALUE!</v>
      </c>
      <c r="CX110" s="522" t="e">
        <f t="shared" si="98"/>
        <v>#VALUE!</v>
      </c>
      <c r="CZ110" s="1647" t="e">
        <f t="shared" si="111"/>
        <v>#VALUE!</v>
      </c>
      <c r="DA110" s="1671">
        <v>85</v>
      </c>
      <c r="DB110" s="1644" t="e">
        <f t="shared" si="99"/>
        <v>#VALUE!</v>
      </c>
      <c r="DC110" s="1644" t="e">
        <f t="shared" si="100"/>
        <v>#VALUE!</v>
      </c>
      <c r="DD110" s="1644" t="e">
        <f t="shared" si="101"/>
        <v>#VALUE!</v>
      </c>
      <c r="DE110" s="1644" t="e">
        <f t="shared" si="102"/>
        <v>#VALUE!</v>
      </c>
      <c r="DF110" s="1644" t="e">
        <f t="shared" si="103"/>
        <v>#VALUE!</v>
      </c>
      <c r="DG110" s="1644" t="e">
        <f t="shared" si="112"/>
        <v>#VALUE!</v>
      </c>
      <c r="DH110" s="1644" t="e">
        <f t="shared" si="104"/>
        <v>#VALUE!</v>
      </c>
      <c r="DI110" s="505" t="e">
        <f t="shared" si="105"/>
        <v>#VALUE!</v>
      </c>
      <c r="DJ110" s="1648" t="e">
        <f t="shared" si="106"/>
        <v>#VALUE!</v>
      </c>
      <c r="DK110" s="521" t="e">
        <f t="shared" si="107"/>
        <v>#VALUE!</v>
      </c>
      <c r="DL110" s="522" t="e">
        <f t="shared" si="108"/>
        <v>#VALUE!</v>
      </c>
    </row>
    <row r="111" spans="2:143">
      <c r="B111" s="293"/>
      <c r="L111" s="347"/>
      <c r="T111" s="347"/>
      <c r="AC111" s="347"/>
      <c r="AF111" s="347"/>
      <c r="AG111" s="347"/>
      <c r="AH111" s="347"/>
      <c r="AI111" s="347"/>
      <c r="AK111" s="347"/>
      <c r="AL111" s="347"/>
      <c r="AM111" s="347"/>
      <c r="AN111" s="347"/>
      <c r="AO111" s="347"/>
      <c r="AP111" s="347"/>
      <c r="AQ111" s="347"/>
      <c r="AR111" s="347"/>
      <c r="AS111" s="347"/>
      <c r="CL111" s="1647" t="e">
        <f t="shared" si="109"/>
        <v>#VALUE!</v>
      </c>
      <c r="CM111" s="1671">
        <v>86</v>
      </c>
      <c r="CN111" s="1644" t="e">
        <f t="shared" si="89"/>
        <v>#VALUE!</v>
      </c>
      <c r="CO111" s="1644" t="e">
        <f t="shared" si="90"/>
        <v>#VALUE!</v>
      </c>
      <c r="CP111" s="1644" t="e">
        <f t="shared" si="91"/>
        <v>#VALUE!</v>
      </c>
      <c r="CQ111" s="1644" t="e">
        <f t="shared" si="92"/>
        <v>#VALUE!</v>
      </c>
      <c r="CR111" s="1644" t="e">
        <f t="shared" si="93"/>
        <v>#VALUE!</v>
      </c>
      <c r="CS111" s="1644" t="e">
        <f t="shared" si="110"/>
        <v>#VALUE!</v>
      </c>
      <c r="CT111" s="1644" t="e">
        <f t="shared" si="94"/>
        <v>#VALUE!</v>
      </c>
      <c r="CU111" s="505" t="e">
        <f t="shared" si="95"/>
        <v>#VALUE!</v>
      </c>
      <c r="CV111" s="1648" t="e">
        <f t="shared" si="96"/>
        <v>#VALUE!</v>
      </c>
      <c r="CW111" s="521" t="e">
        <f t="shared" si="97"/>
        <v>#VALUE!</v>
      </c>
      <c r="CX111" s="522" t="e">
        <f t="shared" si="98"/>
        <v>#VALUE!</v>
      </c>
      <c r="CZ111" s="1647" t="e">
        <f t="shared" si="111"/>
        <v>#VALUE!</v>
      </c>
      <c r="DA111" s="1671">
        <v>86</v>
      </c>
      <c r="DB111" s="1644" t="e">
        <f t="shared" si="99"/>
        <v>#VALUE!</v>
      </c>
      <c r="DC111" s="1644" t="e">
        <f t="shared" si="100"/>
        <v>#VALUE!</v>
      </c>
      <c r="DD111" s="1644" t="e">
        <f t="shared" si="101"/>
        <v>#VALUE!</v>
      </c>
      <c r="DE111" s="1644" t="e">
        <f t="shared" si="102"/>
        <v>#VALUE!</v>
      </c>
      <c r="DF111" s="1644" t="e">
        <f t="shared" si="103"/>
        <v>#VALUE!</v>
      </c>
      <c r="DG111" s="1644" t="e">
        <f t="shared" si="112"/>
        <v>#VALUE!</v>
      </c>
      <c r="DH111" s="1644" t="e">
        <f t="shared" si="104"/>
        <v>#VALUE!</v>
      </c>
      <c r="DI111" s="505" t="e">
        <f t="shared" si="105"/>
        <v>#VALUE!</v>
      </c>
      <c r="DJ111" s="1648" t="e">
        <f t="shared" si="106"/>
        <v>#VALUE!</v>
      </c>
      <c r="DK111" s="521" t="e">
        <f t="shared" si="107"/>
        <v>#VALUE!</v>
      </c>
      <c r="DL111" s="522" t="e">
        <f t="shared" si="108"/>
        <v>#VALUE!</v>
      </c>
    </row>
    <row r="112" spans="2:143">
      <c r="B112" s="293"/>
      <c r="L112" s="347"/>
      <c r="T112" s="347"/>
      <c r="AC112" s="347"/>
      <c r="AF112" s="347"/>
      <c r="AG112" s="347"/>
      <c r="AH112" s="347"/>
      <c r="AI112" s="347"/>
      <c r="AK112" s="347"/>
      <c r="AL112" s="347"/>
      <c r="AM112" s="347"/>
      <c r="AN112" s="347"/>
      <c r="AO112" s="347"/>
      <c r="AP112" s="347"/>
      <c r="AQ112" s="347"/>
      <c r="AR112" s="347"/>
      <c r="AS112" s="347"/>
      <c r="CL112" s="1647" t="e">
        <f t="shared" si="109"/>
        <v>#VALUE!</v>
      </c>
      <c r="CM112" s="1671">
        <v>87</v>
      </c>
      <c r="CN112" s="1644" t="e">
        <f t="shared" si="89"/>
        <v>#VALUE!</v>
      </c>
      <c r="CO112" s="1644" t="e">
        <f t="shared" si="90"/>
        <v>#VALUE!</v>
      </c>
      <c r="CP112" s="1644" t="e">
        <f t="shared" si="91"/>
        <v>#VALUE!</v>
      </c>
      <c r="CQ112" s="1644" t="e">
        <f t="shared" si="92"/>
        <v>#VALUE!</v>
      </c>
      <c r="CR112" s="1644" t="e">
        <f t="shared" si="93"/>
        <v>#VALUE!</v>
      </c>
      <c r="CS112" s="1644" t="e">
        <f t="shared" si="110"/>
        <v>#VALUE!</v>
      </c>
      <c r="CT112" s="1644" t="e">
        <f t="shared" si="94"/>
        <v>#VALUE!</v>
      </c>
      <c r="CU112" s="505" t="e">
        <f t="shared" si="95"/>
        <v>#VALUE!</v>
      </c>
      <c r="CV112" s="1648" t="e">
        <f t="shared" si="96"/>
        <v>#VALUE!</v>
      </c>
      <c r="CW112" s="521" t="e">
        <f t="shared" si="97"/>
        <v>#VALUE!</v>
      </c>
      <c r="CX112" s="522" t="e">
        <f t="shared" si="98"/>
        <v>#VALUE!</v>
      </c>
      <c r="CZ112" s="1647" t="e">
        <f t="shared" si="111"/>
        <v>#VALUE!</v>
      </c>
      <c r="DA112" s="1671">
        <v>87</v>
      </c>
      <c r="DB112" s="1644" t="e">
        <f t="shared" si="99"/>
        <v>#VALUE!</v>
      </c>
      <c r="DC112" s="1644" t="e">
        <f t="shared" si="100"/>
        <v>#VALUE!</v>
      </c>
      <c r="DD112" s="1644" t="e">
        <f t="shared" si="101"/>
        <v>#VALUE!</v>
      </c>
      <c r="DE112" s="1644" t="e">
        <f t="shared" si="102"/>
        <v>#VALUE!</v>
      </c>
      <c r="DF112" s="1644" t="e">
        <f t="shared" si="103"/>
        <v>#VALUE!</v>
      </c>
      <c r="DG112" s="1644" t="e">
        <f t="shared" si="112"/>
        <v>#VALUE!</v>
      </c>
      <c r="DH112" s="1644" t="e">
        <f t="shared" si="104"/>
        <v>#VALUE!</v>
      </c>
      <c r="DI112" s="505" t="e">
        <f t="shared" si="105"/>
        <v>#VALUE!</v>
      </c>
      <c r="DJ112" s="1648" t="e">
        <f t="shared" si="106"/>
        <v>#VALUE!</v>
      </c>
      <c r="DK112" s="521" t="e">
        <f t="shared" si="107"/>
        <v>#VALUE!</v>
      </c>
      <c r="DL112" s="522" t="e">
        <f t="shared" si="108"/>
        <v>#VALUE!</v>
      </c>
    </row>
    <row r="113" spans="2:117">
      <c r="B113" s="293"/>
      <c r="L113" s="347"/>
      <c r="T113" s="347"/>
      <c r="AC113" s="347"/>
      <c r="AF113" s="347"/>
      <c r="AG113" s="347"/>
      <c r="AH113" s="347"/>
      <c r="AI113" s="347"/>
      <c r="AK113" s="347"/>
      <c r="AL113" s="347"/>
      <c r="AM113" s="347"/>
      <c r="AN113" s="347"/>
      <c r="AO113" s="347"/>
      <c r="AP113" s="347"/>
      <c r="AQ113" s="347"/>
      <c r="AR113" s="347"/>
      <c r="AS113" s="347"/>
      <c r="CL113" s="1647" t="e">
        <f t="shared" si="109"/>
        <v>#VALUE!</v>
      </c>
      <c r="CM113" s="1671">
        <v>88</v>
      </c>
      <c r="CN113" s="1644" t="e">
        <f t="shared" si="89"/>
        <v>#VALUE!</v>
      </c>
      <c r="CO113" s="1644" t="e">
        <f t="shared" si="90"/>
        <v>#VALUE!</v>
      </c>
      <c r="CP113" s="1644" t="e">
        <f t="shared" si="91"/>
        <v>#VALUE!</v>
      </c>
      <c r="CQ113" s="1644" t="e">
        <f t="shared" si="92"/>
        <v>#VALUE!</v>
      </c>
      <c r="CR113" s="1644" t="e">
        <f t="shared" si="93"/>
        <v>#VALUE!</v>
      </c>
      <c r="CS113" s="1644" t="e">
        <f t="shared" si="110"/>
        <v>#VALUE!</v>
      </c>
      <c r="CT113" s="1644" t="e">
        <f t="shared" si="94"/>
        <v>#VALUE!</v>
      </c>
      <c r="CU113" s="505" t="e">
        <f t="shared" si="95"/>
        <v>#VALUE!</v>
      </c>
      <c r="CV113" s="1648" t="e">
        <f t="shared" si="96"/>
        <v>#VALUE!</v>
      </c>
      <c r="CW113" s="521" t="e">
        <f t="shared" si="97"/>
        <v>#VALUE!</v>
      </c>
      <c r="CX113" s="522" t="e">
        <f t="shared" si="98"/>
        <v>#VALUE!</v>
      </c>
      <c r="CZ113" s="1647" t="e">
        <f t="shared" si="111"/>
        <v>#VALUE!</v>
      </c>
      <c r="DA113" s="1671">
        <v>88</v>
      </c>
      <c r="DB113" s="1644" t="e">
        <f t="shared" si="99"/>
        <v>#VALUE!</v>
      </c>
      <c r="DC113" s="1644" t="e">
        <f t="shared" si="100"/>
        <v>#VALUE!</v>
      </c>
      <c r="DD113" s="1644" t="e">
        <f t="shared" si="101"/>
        <v>#VALUE!</v>
      </c>
      <c r="DE113" s="1644" t="e">
        <f t="shared" si="102"/>
        <v>#VALUE!</v>
      </c>
      <c r="DF113" s="1644" t="e">
        <f t="shared" si="103"/>
        <v>#VALUE!</v>
      </c>
      <c r="DG113" s="1644" t="e">
        <f t="shared" si="112"/>
        <v>#VALUE!</v>
      </c>
      <c r="DH113" s="1644" t="e">
        <f t="shared" si="104"/>
        <v>#VALUE!</v>
      </c>
      <c r="DI113" s="505" t="e">
        <f t="shared" si="105"/>
        <v>#VALUE!</v>
      </c>
      <c r="DJ113" s="1648" t="e">
        <f t="shared" si="106"/>
        <v>#VALUE!</v>
      </c>
      <c r="DK113" s="521" t="e">
        <f t="shared" si="107"/>
        <v>#VALUE!</v>
      </c>
      <c r="DL113" s="522" t="e">
        <f t="shared" si="108"/>
        <v>#VALUE!</v>
      </c>
    </row>
    <row r="114" spans="2:117">
      <c r="B114" s="293"/>
      <c r="L114" s="347"/>
      <c r="T114" s="347"/>
      <c r="AC114" s="347"/>
      <c r="AF114" s="347"/>
      <c r="AG114" s="347"/>
      <c r="AH114" s="347"/>
      <c r="AI114" s="347"/>
      <c r="AK114" s="347"/>
      <c r="AL114" s="347"/>
      <c r="AM114" s="347"/>
      <c r="AN114" s="347"/>
      <c r="AO114" s="347"/>
      <c r="AP114" s="347"/>
      <c r="AQ114" s="347"/>
      <c r="AR114" s="347"/>
      <c r="AS114" s="347"/>
      <c r="CL114" s="1647" t="e">
        <f t="shared" si="109"/>
        <v>#VALUE!</v>
      </c>
      <c r="CM114" s="1671">
        <v>89</v>
      </c>
      <c r="CN114" s="1644" t="e">
        <f t="shared" si="89"/>
        <v>#VALUE!</v>
      </c>
      <c r="CO114" s="1644" t="e">
        <f t="shared" si="90"/>
        <v>#VALUE!</v>
      </c>
      <c r="CP114" s="1644" t="e">
        <f t="shared" si="91"/>
        <v>#VALUE!</v>
      </c>
      <c r="CQ114" s="1644" t="e">
        <f t="shared" si="92"/>
        <v>#VALUE!</v>
      </c>
      <c r="CR114" s="1644" t="e">
        <f t="shared" si="93"/>
        <v>#VALUE!</v>
      </c>
      <c r="CS114" s="1644" t="e">
        <f t="shared" si="110"/>
        <v>#VALUE!</v>
      </c>
      <c r="CT114" s="1644" t="e">
        <f t="shared" si="94"/>
        <v>#VALUE!</v>
      </c>
      <c r="CU114" s="505" t="e">
        <f t="shared" si="95"/>
        <v>#VALUE!</v>
      </c>
      <c r="CV114" s="1648" t="e">
        <f t="shared" si="96"/>
        <v>#VALUE!</v>
      </c>
      <c r="CW114" s="521" t="e">
        <f t="shared" si="97"/>
        <v>#VALUE!</v>
      </c>
      <c r="CX114" s="522" t="e">
        <f t="shared" si="98"/>
        <v>#VALUE!</v>
      </c>
      <c r="CZ114" s="1647" t="e">
        <f t="shared" si="111"/>
        <v>#VALUE!</v>
      </c>
      <c r="DA114" s="1671">
        <v>89</v>
      </c>
      <c r="DB114" s="1644" t="e">
        <f t="shared" si="99"/>
        <v>#VALUE!</v>
      </c>
      <c r="DC114" s="1644" t="e">
        <f t="shared" si="100"/>
        <v>#VALUE!</v>
      </c>
      <c r="DD114" s="1644" t="e">
        <f t="shared" si="101"/>
        <v>#VALUE!</v>
      </c>
      <c r="DE114" s="1644" t="e">
        <f t="shared" si="102"/>
        <v>#VALUE!</v>
      </c>
      <c r="DF114" s="1644" t="e">
        <f t="shared" si="103"/>
        <v>#VALUE!</v>
      </c>
      <c r="DG114" s="1644" t="e">
        <f t="shared" si="112"/>
        <v>#VALUE!</v>
      </c>
      <c r="DH114" s="1644" t="e">
        <f t="shared" si="104"/>
        <v>#VALUE!</v>
      </c>
      <c r="DI114" s="505" t="e">
        <f t="shared" si="105"/>
        <v>#VALUE!</v>
      </c>
      <c r="DJ114" s="1648" t="e">
        <f t="shared" si="106"/>
        <v>#VALUE!</v>
      </c>
      <c r="DK114" s="521" t="e">
        <f t="shared" si="107"/>
        <v>#VALUE!</v>
      </c>
      <c r="DL114" s="522" t="e">
        <f t="shared" si="108"/>
        <v>#VALUE!</v>
      </c>
    </row>
    <row r="115" spans="2:117">
      <c r="B115" s="293"/>
      <c r="L115" s="347"/>
      <c r="T115" s="347"/>
      <c r="AC115" s="347"/>
      <c r="AF115" s="347"/>
      <c r="AG115" s="347"/>
      <c r="AH115" s="347"/>
      <c r="AI115" s="347"/>
      <c r="AK115" s="347"/>
      <c r="AL115" s="347"/>
      <c r="AM115" s="347"/>
      <c r="AN115" s="347"/>
      <c r="AO115" s="347"/>
      <c r="AP115" s="347"/>
      <c r="AQ115" s="347"/>
      <c r="AR115" s="347"/>
      <c r="AS115" s="347"/>
      <c r="CL115" s="1647" t="e">
        <f t="shared" si="109"/>
        <v>#VALUE!</v>
      </c>
      <c r="CM115" s="1671">
        <v>90</v>
      </c>
      <c r="CN115" s="1644" t="e">
        <f t="shared" si="89"/>
        <v>#VALUE!</v>
      </c>
      <c r="CO115" s="1644" t="e">
        <f t="shared" si="90"/>
        <v>#VALUE!</v>
      </c>
      <c r="CP115" s="1644" t="e">
        <f t="shared" si="91"/>
        <v>#VALUE!</v>
      </c>
      <c r="CQ115" s="1644" t="e">
        <f t="shared" si="92"/>
        <v>#VALUE!</v>
      </c>
      <c r="CR115" s="1644" t="e">
        <f t="shared" si="93"/>
        <v>#VALUE!</v>
      </c>
      <c r="CS115" s="1644" t="e">
        <f t="shared" si="110"/>
        <v>#VALUE!</v>
      </c>
      <c r="CT115" s="1644" t="e">
        <f t="shared" si="94"/>
        <v>#VALUE!</v>
      </c>
      <c r="CU115" s="505" t="e">
        <f t="shared" si="95"/>
        <v>#VALUE!</v>
      </c>
      <c r="CV115" s="1648" t="e">
        <f t="shared" si="96"/>
        <v>#VALUE!</v>
      </c>
      <c r="CW115" s="521" t="e">
        <f t="shared" si="97"/>
        <v>#VALUE!</v>
      </c>
      <c r="CX115" s="522" t="e">
        <f t="shared" si="98"/>
        <v>#VALUE!</v>
      </c>
      <c r="CZ115" s="1647" t="e">
        <f t="shared" si="111"/>
        <v>#VALUE!</v>
      </c>
      <c r="DA115" s="1671">
        <v>90</v>
      </c>
      <c r="DB115" s="1644" t="e">
        <f t="shared" si="99"/>
        <v>#VALUE!</v>
      </c>
      <c r="DC115" s="1644" t="e">
        <f t="shared" si="100"/>
        <v>#VALUE!</v>
      </c>
      <c r="DD115" s="1644" t="e">
        <f t="shared" si="101"/>
        <v>#VALUE!</v>
      </c>
      <c r="DE115" s="1644" t="e">
        <f t="shared" si="102"/>
        <v>#VALUE!</v>
      </c>
      <c r="DF115" s="1644" t="e">
        <f t="shared" si="103"/>
        <v>#VALUE!</v>
      </c>
      <c r="DG115" s="1644" t="e">
        <f t="shared" si="112"/>
        <v>#VALUE!</v>
      </c>
      <c r="DH115" s="1644" t="e">
        <f t="shared" si="104"/>
        <v>#VALUE!</v>
      </c>
      <c r="DI115" s="505" t="e">
        <f t="shared" si="105"/>
        <v>#VALUE!</v>
      </c>
      <c r="DJ115" s="1648" t="e">
        <f t="shared" si="106"/>
        <v>#VALUE!</v>
      </c>
      <c r="DK115" s="521" t="e">
        <f t="shared" si="107"/>
        <v>#VALUE!</v>
      </c>
      <c r="DL115" s="522" t="e">
        <f t="shared" si="108"/>
        <v>#VALUE!</v>
      </c>
    </row>
    <row r="116" spans="2:117">
      <c r="B116" s="293"/>
      <c r="L116" s="347"/>
      <c r="T116" s="347"/>
      <c r="AC116" s="347"/>
      <c r="AF116" s="347"/>
      <c r="AG116" s="347"/>
      <c r="AH116" s="347"/>
      <c r="AI116" s="347"/>
      <c r="AK116" s="347"/>
      <c r="AL116" s="347"/>
      <c r="AM116" s="347"/>
      <c r="AN116" s="347"/>
      <c r="AO116" s="347"/>
      <c r="AP116" s="347"/>
      <c r="AQ116" s="347"/>
      <c r="AR116" s="347"/>
      <c r="AS116" s="347"/>
      <c r="CL116" s="1647" t="e">
        <f t="shared" si="109"/>
        <v>#VALUE!</v>
      </c>
      <c r="CM116" s="1671">
        <v>91</v>
      </c>
      <c r="CN116" s="1644" t="e">
        <f t="shared" si="89"/>
        <v>#VALUE!</v>
      </c>
      <c r="CO116" s="1644" t="e">
        <f t="shared" si="90"/>
        <v>#VALUE!</v>
      </c>
      <c r="CP116" s="1644" t="e">
        <f t="shared" si="91"/>
        <v>#VALUE!</v>
      </c>
      <c r="CQ116" s="1644" t="e">
        <f t="shared" si="92"/>
        <v>#VALUE!</v>
      </c>
      <c r="CR116" s="1644" t="e">
        <f t="shared" si="93"/>
        <v>#VALUE!</v>
      </c>
      <c r="CS116" s="1644" t="e">
        <f t="shared" si="110"/>
        <v>#VALUE!</v>
      </c>
      <c r="CT116" s="1644" t="e">
        <f t="shared" si="94"/>
        <v>#VALUE!</v>
      </c>
      <c r="CU116" s="505" t="e">
        <f t="shared" si="95"/>
        <v>#VALUE!</v>
      </c>
      <c r="CV116" s="1648" t="e">
        <f t="shared" si="96"/>
        <v>#VALUE!</v>
      </c>
      <c r="CW116" s="521" t="e">
        <f t="shared" si="97"/>
        <v>#VALUE!</v>
      </c>
      <c r="CX116" s="522" t="e">
        <f t="shared" si="98"/>
        <v>#VALUE!</v>
      </c>
      <c r="CZ116" s="1647" t="e">
        <f t="shared" si="111"/>
        <v>#VALUE!</v>
      </c>
      <c r="DA116" s="1671">
        <v>91</v>
      </c>
      <c r="DB116" s="1644" t="e">
        <f t="shared" si="99"/>
        <v>#VALUE!</v>
      </c>
      <c r="DC116" s="1644" t="e">
        <f t="shared" si="100"/>
        <v>#VALUE!</v>
      </c>
      <c r="DD116" s="1644" t="e">
        <f t="shared" si="101"/>
        <v>#VALUE!</v>
      </c>
      <c r="DE116" s="1644" t="e">
        <f t="shared" si="102"/>
        <v>#VALUE!</v>
      </c>
      <c r="DF116" s="1644" t="e">
        <f t="shared" si="103"/>
        <v>#VALUE!</v>
      </c>
      <c r="DG116" s="1644" t="e">
        <f t="shared" si="112"/>
        <v>#VALUE!</v>
      </c>
      <c r="DH116" s="1644" t="e">
        <f t="shared" si="104"/>
        <v>#VALUE!</v>
      </c>
      <c r="DI116" s="505" t="e">
        <f t="shared" si="105"/>
        <v>#VALUE!</v>
      </c>
      <c r="DJ116" s="1648" t="e">
        <f t="shared" si="106"/>
        <v>#VALUE!</v>
      </c>
      <c r="DK116" s="521" t="e">
        <f t="shared" si="107"/>
        <v>#VALUE!</v>
      </c>
      <c r="DL116" s="522" t="e">
        <f t="shared" si="108"/>
        <v>#VALUE!</v>
      </c>
    </row>
    <row r="117" spans="2:117">
      <c r="B117" s="293"/>
      <c r="L117" s="347"/>
      <c r="M117" s="347"/>
      <c r="N117" s="347"/>
      <c r="T117" s="347"/>
      <c r="U117" s="347"/>
      <c r="V117" s="347"/>
      <c r="AC117" s="347"/>
      <c r="AF117" s="347"/>
      <c r="AG117" s="347"/>
      <c r="AH117" s="347"/>
      <c r="AI117" s="347"/>
      <c r="AK117" s="347"/>
      <c r="AL117" s="347"/>
      <c r="AM117" s="347"/>
      <c r="AN117" s="347"/>
      <c r="AO117" s="347"/>
      <c r="AP117" s="347"/>
      <c r="AQ117" s="347"/>
      <c r="AR117" s="347"/>
      <c r="AS117" s="347"/>
      <c r="CL117" s="1647" t="e">
        <f t="shared" si="109"/>
        <v>#VALUE!</v>
      </c>
      <c r="CM117" s="1671">
        <v>92</v>
      </c>
      <c r="CN117" s="1644" t="e">
        <f t="shared" si="89"/>
        <v>#VALUE!</v>
      </c>
      <c r="CO117" s="1644" t="e">
        <f t="shared" si="90"/>
        <v>#VALUE!</v>
      </c>
      <c r="CP117" s="1644" t="e">
        <f t="shared" si="91"/>
        <v>#VALUE!</v>
      </c>
      <c r="CQ117" s="1644" t="e">
        <f t="shared" si="92"/>
        <v>#VALUE!</v>
      </c>
      <c r="CR117" s="1644" t="e">
        <f t="shared" si="93"/>
        <v>#VALUE!</v>
      </c>
      <c r="CS117" s="1644" t="e">
        <f t="shared" si="110"/>
        <v>#VALUE!</v>
      </c>
      <c r="CT117" s="1644" t="e">
        <f t="shared" si="94"/>
        <v>#VALUE!</v>
      </c>
      <c r="CU117" s="505" t="e">
        <f t="shared" si="95"/>
        <v>#VALUE!</v>
      </c>
      <c r="CV117" s="1648" t="e">
        <f t="shared" si="96"/>
        <v>#VALUE!</v>
      </c>
      <c r="CW117" s="521" t="e">
        <f t="shared" si="97"/>
        <v>#VALUE!</v>
      </c>
      <c r="CX117" s="522" t="e">
        <f t="shared" si="98"/>
        <v>#VALUE!</v>
      </c>
      <c r="CZ117" s="1647" t="e">
        <f t="shared" si="111"/>
        <v>#VALUE!</v>
      </c>
      <c r="DA117" s="1671">
        <v>92</v>
      </c>
      <c r="DB117" s="1644" t="e">
        <f t="shared" si="99"/>
        <v>#VALUE!</v>
      </c>
      <c r="DC117" s="1644" t="e">
        <f t="shared" si="100"/>
        <v>#VALUE!</v>
      </c>
      <c r="DD117" s="1644" t="e">
        <f t="shared" si="101"/>
        <v>#VALUE!</v>
      </c>
      <c r="DE117" s="1644" t="e">
        <f t="shared" si="102"/>
        <v>#VALUE!</v>
      </c>
      <c r="DF117" s="1644" t="e">
        <f t="shared" si="103"/>
        <v>#VALUE!</v>
      </c>
      <c r="DG117" s="1644" t="e">
        <f t="shared" si="112"/>
        <v>#VALUE!</v>
      </c>
      <c r="DH117" s="1644" t="e">
        <f t="shared" si="104"/>
        <v>#VALUE!</v>
      </c>
      <c r="DI117" s="505" t="e">
        <f t="shared" si="105"/>
        <v>#VALUE!</v>
      </c>
      <c r="DJ117" s="1648" t="e">
        <f t="shared" si="106"/>
        <v>#VALUE!</v>
      </c>
      <c r="DK117" s="521" t="e">
        <f t="shared" si="107"/>
        <v>#VALUE!</v>
      </c>
      <c r="DL117" s="522" t="e">
        <f t="shared" si="108"/>
        <v>#VALUE!</v>
      </c>
    </row>
    <row r="118" spans="2:117">
      <c r="B118" s="293"/>
      <c r="L118" s="347"/>
      <c r="M118" s="347"/>
      <c r="N118" s="347"/>
      <c r="T118" s="347"/>
      <c r="U118" s="347"/>
      <c r="V118" s="347"/>
      <c r="AC118" s="347"/>
      <c r="AF118" s="347"/>
      <c r="AG118" s="347"/>
      <c r="AH118" s="347"/>
      <c r="AI118" s="347"/>
      <c r="AK118" s="347"/>
      <c r="AL118" s="347"/>
      <c r="AM118" s="347"/>
      <c r="AN118" s="347"/>
      <c r="AO118" s="347"/>
      <c r="AP118" s="347"/>
      <c r="AQ118" s="347"/>
      <c r="AR118" s="347"/>
      <c r="AS118" s="347"/>
      <c r="CL118" s="1647" t="e">
        <f t="shared" si="109"/>
        <v>#VALUE!</v>
      </c>
      <c r="CM118" s="1671">
        <v>93</v>
      </c>
      <c r="CN118" s="1644" t="e">
        <f t="shared" si="89"/>
        <v>#VALUE!</v>
      </c>
      <c r="CO118" s="1644" t="e">
        <f t="shared" si="90"/>
        <v>#VALUE!</v>
      </c>
      <c r="CP118" s="1644" t="e">
        <f t="shared" si="91"/>
        <v>#VALUE!</v>
      </c>
      <c r="CQ118" s="1644" t="e">
        <f t="shared" si="92"/>
        <v>#VALUE!</v>
      </c>
      <c r="CR118" s="1644" t="e">
        <f t="shared" si="93"/>
        <v>#VALUE!</v>
      </c>
      <c r="CS118" s="1644" t="e">
        <f t="shared" si="110"/>
        <v>#VALUE!</v>
      </c>
      <c r="CT118" s="1644" t="e">
        <f t="shared" si="94"/>
        <v>#VALUE!</v>
      </c>
      <c r="CU118" s="505" t="e">
        <f t="shared" si="95"/>
        <v>#VALUE!</v>
      </c>
      <c r="CV118" s="1648" t="e">
        <f t="shared" si="96"/>
        <v>#VALUE!</v>
      </c>
      <c r="CW118" s="521" t="e">
        <f t="shared" si="97"/>
        <v>#VALUE!</v>
      </c>
      <c r="CX118" s="522" t="e">
        <f t="shared" si="98"/>
        <v>#VALUE!</v>
      </c>
      <c r="CZ118" s="1647" t="e">
        <f t="shared" si="111"/>
        <v>#VALUE!</v>
      </c>
      <c r="DA118" s="1671">
        <v>93</v>
      </c>
      <c r="DB118" s="1644" t="e">
        <f t="shared" si="99"/>
        <v>#VALUE!</v>
      </c>
      <c r="DC118" s="1644" t="e">
        <f t="shared" si="100"/>
        <v>#VALUE!</v>
      </c>
      <c r="DD118" s="1644" t="e">
        <f t="shared" si="101"/>
        <v>#VALUE!</v>
      </c>
      <c r="DE118" s="1644" t="e">
        <f t="shared" si="102"/>
        <v>#VALUE!</v>
      </c>
      <c r="DF118" s="1644" t="e">
        <f t="shared" si="103"/>
        <v>#VALUE!</v>
      </c>
      <c r="DG118" s="1644" t="e">
        <f t="shared" si="112"/>
        <v>#VALUE!</v>
      </c>
      <c r="DH118" s="1644" t="e">
        <f t="shared" si="104"/>
        <v>#VALUE!</v>
      </c>
      <c r="DI118" s="505" t="e">
        <f t="shared" si="105"/>
        <v>#VALUE!</v>
      </c>
      <c r="DJ118" s="1648" t="e">
        <f t="shared" si="106"/>
        <v>#VALUE!</v>
      </c>
      <c r="DK118" s="521" t="e">
        <f t="shared" si="107"/>
        <v>#VALUE!</v>
      </c>
      <c r="DL118" s="522" t="e">
        <f t="shared" si="108"/>
        <v>#VALUE!</v>
      </c>
    </row>
    <row r="119" spans="2:117">
      <c r="B119" s="293"/>
      <c r="L119" s="347"/>
      <c r="M119" s="347"/>
      <c r="N119" s="347"/>
      <c r="T119" s="347"/>
      <c r="U119" s="347"/>
      <c r="V119" s="347"/>
      <c r="AC119" s="347"/>
      <c r="AF119" s="347"/>
      <c r="AG119" s="347"/>
      <c r="AH119" s="347"/>
      <c r="AI119" s="347"/>
      <c r="AK119" s="347"/>
      <c r="AL119" s="347"/>
      <c r="AM119" s="347"/>
      <c r="AN119" s="347"/>
      <c r="AO119" s="347"/>
      <c r="AP119" s="347"/>
      <c r="AQ119" s="347"/>
      <c r="AR119" s="347"/>
      <c r="AS119" s="347"/>
      <c r="CL119" s="1647" t="e">
        <f t="shared" si="109"/>
        <v>#VALUE!</v>
      </c>
      <c r="CM119" s="1671">
        <v>94</v>
      </c>
      <c r="CN119" s="1644" t="e">
        <f t="shared" si="89"/>
        <v>#VALUE!</v>
      </c>
      <c r="CO119" s="1644" t="e">
        <f t="shared" si="90"/>
        <v>#VALUE!</v>
      </c>
      <c r="CP119" s="1644" t="e">
        <f t="shared" si="91"/>
        <v>#VALUE!</v>
      </c>
      <c r="CQ119" s="1644" t="e">
        <f t="shared" si="92"/>
        <v>#VALUE!</v>
      </c>
      <c r="CR119" s="1644" t="e">
        <f t="shared" si="93"/>
        <v>#VALUE!</v>
      </c>
      <c r="CS119" s="1644" t="e">
        <f t="shared" si="110"/>
        <v>#VALUE!</v>
      </c>
      <c r="CT119" s="1644" t="e">
        <f t="shared" si="94"/>
        <v>#VALUE!</v>
      </c>
      <c r="CU119" s="505" t="e">
        <f t="shared" si="95"/>
        <v>#VALUE!</v>
      </c>
      <c r="CV119" s="1648" t="e">
        <f t="shared" si="96"/>
        <v>#VALUE!</v>
      </c>
      <c r="CW119" s="521" t="e">
        <f t="shared" si="97"/>
        <v>#VALUE!</v>
      </c>
      <c r="CX119" s="522" t="e">
        <f t="shared" si="98"/>
        <v>#VALUE!</v>
      </c>
      <c r="CZ119" s="1647" t="e">
        <f t="shared" si="111"/>
        <v>#VALUE!</v>
      </c>
      <c r="DA119" s="1671">
        <v>94</v>
      </c>
      <c r="DB119" s="1644" t="e">
        <f t="shared" si="99"/>
        <v>#VALUE!</v>
      </c>
      <c r="DC119" s="1644" t="e">
        <f t="shared" si="100"/>
        <v>#VALUE!</v>
      </c>
      <c r="DD119" s="1644" t="e">
        <f t="shared" si="101"/>
        <v>#VALUE!</v>
      </c>
      <c r="DE119" s="1644" t="e">
        <f t="shared" si="102"/>
        <v>#VALUE!</v>
      </c>
      <c r="DF119" s="1644" t="e">
        <f t="shared" si="103"/>
        <v>#VALUE!</v>
      </c>
      <c r="DG119" s="1644" t="e">
        <f t="shared" si="112"/>
        <v>#VALUE!</v>
      </c>
      <c r="DH119" s="1644" t="e">
        <f t="shared" si="104"/>
        <v>#VALUE!</v>
      </c>
      <c r="DI119" s="505" t="e">
        <f t="shared" si="105"/>
        <v>#VALUE!</v>
      </c>
      <c r="DJ119" s="1648" t="e">
        <f t="shared" si="106"/>
        <v>#VALUE!</v>
      </c>
      <c r="DK119" s="521" t="e">
        <f t="shared" si="107"/>
        <v>#VALUE!</v>
      </c>
      <c r="DL119" s="522" t="e">
        <f t="shared" si="108"/>
        <v>#VALUE!</v>
      </c>
    </row>
    <row r="120" spans="2:117">
      <c r="B120" s="293"/>
      <c r="L120" s="347"/>
      <c r="M120" s="347"/>
      <c r="N120" s="347"/>
      <c r="T120" s="347"/>
      <c r="U120" s="347"/>
      <c r="V120" s="347"/>
      <c r="AC120" s="347"/>
      <c r="AK120" s="347"/>
      <c r="AL120" s="347"/>
      <c r="AM120" s="347"/>
      <c r="AN120" s="347"/>
      <c r="AO120" s="347"/>
      <c r="AP120" s="347"/>
      <c r="AQ120" s="347"/>
      <c r="AR120" s="347"/>
      <c r="AS120" s="347"/>
      <c r="CL120" s="1647" t="e">
        <f t="shared" si="109"/>
        <v>#VALUE!</v>
      </c>
      <c r="CM120" s="1671">
        <v>95</v>
      </c>
      <c r="CN120" s="1644" t="e">
        <f t="shared" si="89"/>
        <v>#VALUE!</v>
      </c>
      <c r="CO120" s="1644" t="e">
        <f t="shared" si="90"/>
        <v>#VALUE!</v>
      </c>
      <c r="CP120" s="1644" t="e">
        <f t="shared" si="91"/>
        <v>#VALUE!</v>
      </c>
      <c r="CQ120" s="1644" t="e">
        <f t="shared" si="92"/>
        <v>#VALUE!</v>
      </c>
      <c r="CR120" s="1644" t="e">
        <f t="shared" si="93"/>
        <v>#VALUE!</v>
      </c>
      <c r="CS120" s="1644" t="e">
        <f t="shared" si="110"/>
        <v>#VALUE!</v>
      </c>
      <c r="CT120" s="1644" t="e">
        <f t="shared" si="94"/>
        <v>#VALUE!</v>
      </c>
      <c r="CU120" s="505" t="e">
        <f t="shared" si="95"/>
        <v>#VALUE!</v>
      </c>
      <c r="CV120" s="1648" t="e">
        <f t="shared" si="96"/>
        <v>#VALUE!</v>
      </c>
      <c r="CW120" s="521" t="e">
        <f t="shared" si="97"/>
        <v>#VALUE!</v>
      </c>
      <c r="CX120" s="522" t="e">
        <f t="shared" si="98"/>
        <v>#VALUE!</v>
      </c>
      <c r="CZ120" s="1647" t="e">
        <f t="shared" si="111"/>
        <v>#VALUE!</v>
      </c>
      <c r="DA120" s="1671">
        <v>95</v>
      </c>
      <c r="DB120" s="1644" t="e">
        <f t="shared" si="99"/>
        <v>#VALUE!</v>
      </c>
      <c r="DC120" s="1644" t="e">
        <f t="shared" si="100"/>
        <v>#VALUE!</v>
      </c>
      <c r="DD120" s="1644" t="e">
        <f t="shared" si="101"/>
        <v>#VALUE!</v>
      </c>
      <c r="DE120" s="1644" t="e">
        <f t="shared" si="102"/>
        <v>#VALUE!</v>
      </c>
      <c r="DF120" s="1644" t="e">
        <f t="shared" si="103"/>
        <v>#VALUE!</v>
      </c>
      <c r="DG120" s="1644" t="e">
        <f t="shared" si="112"/>
        <v>#VALUE!</v>
      </c>
      <c r="DH120" s="1644" t="e">
        <f t="shared" si="104"/>
        <v>#VALUE!</v>
      </c>
      <c r="DI120" s="505" t="e">
        <f t="shared" si="105"/>
        <v>#VALUE!</v>
      </c>
      <c r="DJ120" s="1648" t="e">
        <f t="shared" si="106"/>
        <v>#VALUE!</v>
      </c>
      <c r="DK120" s="521" t="e">
        <f t="shared" si="107"/>
        <v>#VALUE!</v>
      </c>
      <c r="DL120" s="522" t="e">
        <f t="shared" si="108"/>
        <v>#VALUE!</v>
      </c>
    </row>
    <row r="121" spans="2:117">
      <c r="B121" s="293"/>
      <c r="L121" s="347"/>
      <c r="M121" s="347"/>
      <c r="N121" s="347"/>
      <c r="T121" s="347"/>
      <c r="U121" s="347"/>
      <c r="V121" s="347"/>
      <c r="AC121" s="347"/>
      <c r="AK121" s="347"/>
      <c r="AL121" s="347"/>
      <c r="AM121" s="347"/>
      <c r="AN121" s="347"/>
      <c r="AO121" s="347"/>
      <c r="AP121" s="347"/>
      <c r="AQ121" s="347"/>
      <c r="AR121" s="347"/>
      <c r="AS121" s="347"/>
      <c r="CL121" s="1647" t="e">
        <f t="shared" si="109"/>
        <v>#VALUE!</v>
      </c>
      <c r="CM121" s="1671">
        <v>96</v>
      </c>
      <c r="CN121" s="1644" t="e">
        <f t="shared" si="89"/>
        <v>#VALUE!</v>
      </c>
      <c r="CO121" s="1644" t="e">
        <f t="shared" si="90"/>
        <v>#VALUE!</v>
      </c>
      <c r="CP121" s="1644" t="e">
        <f t="shared" si="91"/>
        <v>#VALUE!</v>
      </c>
      <c r="CQ121" s="1644" t="e">
        <f t="shared" si="92"/>
        <v>#VALUE!</v>
      </c>
      <c r="CR121" s="1644" t="e">
        <f t="shared" si="93"/>
        <v>#VALUE!</v>
      </c>
      <c r="CS121" s="1644" t="e">
        <f t="shared" si="110"/>
        <v>#VALUE!</v>
      </c>
      <c r="CT121" s="1644" t="e">
        <f t="shared" si="94"/>
        <v>#VALUE!</v>
      </c>
      <c r="CU121" s="505" t="e">
        <f t="shared" si="95"/>
        <v>#VALUE!</v>
      </c>
      <c r="CV121" s="1648" t="e">
        <f t="shared" si="96"/>
        <v>#VALUE!</v>
      </c>
      <c r="CW121" s="521" t="e">
        <f t="shared" si="97"/>
        <v>#VALUE!</v>
      </c>
      <c r="CX121" s="522" t="e">
        <f t="shared" si="98"/>
        <v>#VALUE!</v>
      </c>
      <c r="CZ121" s="1647" t="e">
        <f t="shared" si="111"/>
        <v>#VALUE!</v>
      </c>
      <c r="DA121" s="1671">
        <v>96</v>
      </c>
      <c r="DB121" s="1644" t="e">
        <f t="shared" si="99"/>
        <v>#VALUE!</v>
      </c>
      <c r="DC121" s="1644" t="e">
        <f t="shared" si="100"/>
        <v>#VALUE!</v>
      </c>
      <c r="DD121" s="1644" t="e">
        <f t="shared" si="101"/>
        <v>#VALUE!</v>
      </c>
      <c r="DE121" s="1644" t="e">
        <f t="shared" si="102"/>
        <v>#VALUE!</v>
      </c>
      <c r="DF121" s="1644" t="e">
        <f t="shared" si="103"/>
        <v>#VALUE!</v>
      </c>
      <c r="DG121" s="1644" t="e">
        <f t="shared" si="112"/>
        <v>#VALUE!</v>
      </c>
      <c r="DH121" s="1644" t="e">
        <f t="shared" si="104"/>
        <v>#VALUE!</v>
      </c>
      <c r="DI121" s="505" t="e">
        <f t="shared" si="105"/>
        <v>#VALUE!</v>
      </c>
      <c r="DJ121" s="1648" t="e">
        <f t="shared" si="106"/>
        <v>#VALUE!</v>
      </c>
      <c r="DK121" s="521" t="e">
        <f t="shared" si="107"/>
        <v>#VALUE!</v>
      </c>
      <c r="DL121" s="522" t="e">
        <f t="shared" si="108"/>
        <v>#VALUE!</v>
      </c>
    </row>
    <row r="122" spans="2:117">
      <c r="B122" s="293"/>
      <c r="L122" s="347"/>
      <c r="M122" s="347"/>
      <c r="N122" s="347"/>
      <c r="T122" s="347"/>
      <c r="U122" s="347"/>
      <c r="V122" s="347"/>
      <c r="AC122" s="347"/>
      <c r="AK122" s="347"/>
      <c r="AL122" s="347"/>
      <c r="AM122" s="347"/>
      <c r="AN122" s="347"/>
      <c r="AO122" s="347"/>
      <c r="AP122" s="347"/>
      <c r="AQ122" s="347"/>
      <c r="AR122" s="347"/>
      <c r="AS122" s="347"/>
      <c r="CL122" s="1647" t="e">
        <f t="shared" si="109"/>
        <v>#VALUE!</v>
      </c>
      <c r="CM122" s="1671">
        <v>97</v>
      </c>
      <c r="CN122" s="1644" t="e">
        <f t="shared" si="89"/>
        <v>#VALUE!</v>
      </c>
      <c r="CO122" s="1644" t="e">
        <f t="shared" si="90"/>
        <v>#VALUE!</v>
      </c>
      <c r="CP122" s="1644" t="e">
        <f t="shared" si="91"/>
        <v>#VALUE!</v>
      </c>
      <c r="CQ122" s="1644" t="e">
        <f t="shared" si="92"/>
        <v>#VALUE!</v>
      </c>
      <c r="CR122" s="1644" t="e">
        <f t="shared" si="93"/>
        <v>#VALUE!</v>
      </c>
      <c r="CS122" s="1644" t="e">
        <f t="shared" si="110"/>
        <v>#VALUE!</v>
      </c>
      <c r="CT122" s="1644" t="e">
        <f t="shared" ref="CT122:CT125" si="114">CX122/CS122</f>
        <v>#VALUE!</v>
      </c>
      <c r="CU122" s="505" t="e">
        <f t="shared" si="95"/>
        <v>#VALUE!</v>
      </c>
      <c r="CV122" s="1648" t="e">
        <f t="shared" si="96"/>
        <v>#VALUE!</v>
      </c>
      <c r="CW122" s="521" t="e">
        <f t="shared" si="97"/>
        <v>#VALUE!</v>
      </c>
      <c r="CX122" s="522" t="e">
        <f t="shared" si="98"/>
        <v>#VALUE!</v>
      </c>
      <c r="CZ122" s="1647" t="e">
        <f t="shared" si="111"/>
        <v>#VALUE!</v>
      </c>
      <c r="DA122" s="1671">
        <v>97</v>
      </c>
      <c r="DB122" s="1644" t="e">
        <f t="shared" si="99"/>
        <v>#VALUE!</v>
      </c>
      <c r="DC122" s="1644" t="e">
        <f t="shared" si="100"/>
        <v>#VALUE!</v>
      </c>
      <c r="DD122" s="1644" t="e">
        <f t="shared" si="101"/>
        <v>#VALUE!</v>
      </c>
      <c r="DE122" s="1644" t="e">
        <f t="shared" si="102"/>
        <v>#VALUE!</v>
      </c>
      <c r="DF122" s="1644" t="e">
        <f t="shared" si="103"/>
        <v>#VALUE!</v>
      </c>
      <c r="DG122" s="1644" t="e">
        <f t="shared" si="112"/>
        <v>#VALUE!</v>
      </c>
      <c r="DH122" s="1644" t="e">
        <f t="shared" si="104"/>
        <v>#VALUE!</v>
      </c>
      <c r="DI122" s="505" t="e">
        <f t="shared" si="105"/>
        <v>#VALUE!</v>
      </c>
      <c r="DJ122" s="1648" t="e">
        <f t="shared" si="106"/>
        <v>#VALUE!</v>
      </c>
      <c r="DK122" s="521" t="e">
        <f t="shared" si="107"/>
        <v>#VALUE!</v>
      </c>
      <c r="DL122" s="522" t="e">
        <f t="shared" si="108"/>
        <v>#VALUE!</v>
      </c>
    </row>
    <row r="123" spans="2:117">
      <c r="B123" s="293"/>
      <c r="L123" s="347"/>
      <c r="M123" s="347"/>
      <c r="N123" s="347"/>
      <c r="T123" s="347"/>
      <c r="U123" s="347"/>
      <c r="V123" s="347"/>
      <c r="AC123" s="347"/>
      <c r="AK123" s="347"/>
      <c r="AL123" s="347"/>
      <c r="AM123" s="347"/>
      <c r="AN123" s="347"/>
      <c r="AO123" s="347"/>
      <c r="AP123" s="347"/>
      <c r="AQ123" s="347"/>
      <c r="AR123" s="347"/>
      <c r="AS123" s="347"/>
      <c r="CL123" s="1647" t="e">
        <f t="shared" si="109"/>
        <v>#VALUE!</v>
      </c>
      <c r="CM123" s="1671">
        <v>98</v>
      </c>
      <c r="CN123" s="1644" t="e">
        <f t="shared" si="89"/>
        <v>#VALUE!</v>
      </c>
      <c r="CO123" s="1644" t="e">
        <f t="shared" si="90"/>
        <v>#VALUE!</v>
      </c>
      <c r="CP123" s="1644" t="e">
        <f t="shared" si="91"/>
        <v>#VALUE!</v>
      </c>
      <c r="CQ123" s="1644" t="e">
        <f t="shared" si="92"/>
        <v>#VALUE!</v>
      </c>
      <c r="CR123" s="1644" t="e">
        <f t="shared" si="93"/>
        <v>#VALUE!</v>
      </c>
      <c r="CS123" s="1644" t="e">
        <f t="shared" si="110"/>
        <v>#VALUE!</v>
      </c>
      <c r="CT123" s="1644" t="e">
        <f t="shared" si="114"/>
        <v>#VALUE!</v>
      </c>
      <c r="CU123" s="505" t="e">
        <f t="shared" si="95"/>
        <v>#VALUE!</v>
      </c>
      <c r="CV123" s="1648" t="e">
        <f t="shared" si="96"/>
        <v>#VALUE!</v>
      </c>
      <c r="CW123" s="521" t="e">
        <f t="shared" si="97"/>
        <v>#VALUE!</v>
      </c>
      <c r="CX123" s="522" t="e">
        <f t="shared" si="98"/>
        <v>#VALUE!</v>
      </c>
      <c r="CZ123" s="1647" t="e">
        <f t="shared" si="111"/>
        <v>#VALUE!</v>
      </c>
      <c r="DA123" s="1671">
        <v>98</v>
      </c>
      <c r="DB123" s="1644" t="e">
        <f t="shared" si="99"/>
        <v>#VALUE!</v>
      </c>
      <c r="DC123" s="1644" t="e">
        <f t="shared" si="100"/>
        <v>#VALUE!</v>
      </c>
      <c r="DD123" s="1644" t="e">
        <f t="shared" si="101"/>
        <v>#VALUE!</v>
      </c>
      <c r="DE123" s="1644" t="e">
        <f t="shared" si="102"/>
        <v>#VALUE!</v>
      </c>
      <c r="DF123" s="1644" t="e">
        <f t="shared" si="103"/>
        <v>#VALUE!</v>
      </c>
      <c r="DG123" s="1644" t="e">
        <f t="shared" si="112"/>
        <v>#VALUE!</v>
      </c>
      <c r="DH123" s="1644" t="e">
        <f t="shared" si="104"/>
        <v>#VALUE!</v>
      </c>
      <c r="DI123" s="505" t="e">
        <f t="shared" si="105"/>
        <v>#VALUE!</v>
      </c>
      <c r="DJ123" s="1648" t="e">
        <f t="shared" si="106"/>
        <v>#VALUE!</v>
      </c>
      <c r="DK123" s="521" t="e">
        <f t="shared" si="107"/>
        <v>#VALUE!</v>
      </c>
      <c r="DL123" s="522" t="e">
        <f t="shared" si="108"/>
        <v>#VALUE!</v>
      </c>
    </row>
    <row r="124" spans="2:117">
      <c r="B124" s="293"/>
      <c r="L124" s="347"/>
      <c r="M124" s="347"/>
      <c r="N124" s="347"/>
      <c r="T124" s="347"/>
      <c r="U124" s="347"/>
      <c r="V124" s="347"/>
      <c r="AC124" s="347"/>
      <c r="AK124" s="347"/>
      <c r="AL124" s="347"/>
      <c r="AM124" s="347"/>
      <c r="AN124" s="347"/>
      <c r="AO124" s="347"/>
      <c r="AP124" s="347"/>
      <c r="AQ124" s="347"/>
      <c r="AR124" s="347"/>
      <c r="AS124" s="347"/>
      <c r="CL124" s="1647" t="e">
        <f t="shared" si="109"/>
        <v>#VALUE!</v>
      </c>
      <c r="CM124" s="1671">
        <v>99</v>
      </c>
      <c r="CN124" s="1644" t="e">
        <f t="shared" si="89"/>
        <v>#VALUE!</v>
      </c>
      <c r="CO124" s="1644" t="e">
        <f t="shared" si="90"/>
        <v>#VALUE!</v>
      </c>
      <c r="CP124" s="1644" t="e">
        <f t="shared" si="91"/>
        <v>#VALUE!</v>
      </c>
      <c r="CQ124" s="1644" t="e">
        <f t="shared" si="92"/>
        <v>#VALUE!</v>
      </c>
      <c r="CR124" s="1644" t="e">
        <f t="shared" si="93"/>
        <v>#VALUE!</v>
      </c>
      <c r="CS124" s="1644" t="e">
        <f t="shared" si="110"/>
        <v>#VALUE!</v>
      </c>
      <c r="CT124" s="1644" t="e">
        <f t="shared" si="114"/>
        <v>#VALUE!</v>
      </c>
      <c r="CU124" s="505" t="e">
        <f t="shared" si="95"/>
        <v>#VALUE!</v>
      </c>
      <c r="CV124" s="1648" t="e">
        <f t="shared" si="96"/>
        <v>#VALUE!</v>
      </c>
      <c r="CW124" s="521" t="e">
        <f t="shared" si="97"/>
        <v>#VALUE!</v>
      </c>
      <c r="CX124" s="522" t="e">
        <f t="shared" si="98"/>
        <v>#VALUE!</v>
      </c>
      <c r="CZ124" s="1647" t="e">
        <f t="shared" si="111"/>
        <v>#VALUE!</v>
      </c>
      <c r="DA124" s="1671">
        <v>99</v>
      </c>
      <c r="DB124" s="1644" t="e">
        <f t="shared" si="99"/>
        <v>#VALUE!</v>
      </c>
      <c r="DC124" s="1644" t="e">
        <f t="shared" si="100"/>
        <v>#VALUE!</v>
      </c>
      <c r="DD124" s="1644" t="e">
        <f t="shared" si="101"/>
        <v>#VALUE!</v>
      </c>
      <c r="DE124" s="1644" t="e">
        <f t="shared" si="102"/>
        <v>#VALUE!</v>
      </c>
      <c r="DF124" s="1644" t="e">
        <f t="shared" si="103"/>
        <v>#VALUE!</v>
      </c>
      <c r="DG124" s="1644" t="e">
        <f t="shared" si="112"/>
        <v>#VALUE!</v>
      </c>
      <c r="DH124" s="1644" t="e">
        <f t="shared" si="104"/>
        <v>#VALUE!</v>
      </c>
      <c r="DI124" s="505" t="e">
        <f t="shared" si="105"/>
        <v>#VALUE!</v>
      </c>
      <c r="DJ124" s="1648" t="e">
        <f t="shared" si="106"/>
        <v>#VALUE!</v>
      </c>
      <c r="DK124" s="521" t="e">
        <f t="shared" si="107"/>
        <v>#VALUE!</v>
      </c>
      <c r="DL124" s="522" t="e">
        <f t="shared" si="108"/>
        <v>#VALUE!</v>
      </c>
    </row>
    <row r="125" spans="2:117" ht="12.5">
      <c r="B125" s="293"/>
      <c r="L125" s="347"/>
      <c r="M125" s="347"/>
      <c r="N125" s="347"/>
      <c r="T125" s="347"/>
      <c r="U125" s="347"/>
      <c r="V125" s="347"/>
      <c r="AC125" s="347"/>
      <c r="AK125" s="347"/>
      <c r="AL125" s="347"/>
      <c r="AM125" s="347"/>
      <c r="AN125" s="347"/>
      <c r="AO125" s="347"/>
      <c r="AP125" s="347"/>
      <c r="AQ125" s="347"/>
      <c r="AR125" s="347"/>
      <c r="AS125" s="347"/>
      <c r="CL125" s="1647" t="e">
        <f t="shared" si="109"/>
        <v>#VALUE!</v>
      </c>
      <c r="CM125" s="1671">
        <v>100</v>
      </c>
      <c r="CN125" s="1644" t="e">
        <f t="shared" si="89"/>
        <v>#VALUE!</v>
      </c>
      <c r="CO125" s="1644" t="e">
        <f t="shared" si="90"/>
        <v>#VALUE!</v>
      </c>
      <c r="CP125" s="1644" t="e">
        <f t="shared" si="91"/>
        <v>#VALUE!</v>
      </c>
      <c r="CQ125" s="1644" t="e">
        <f t="shared" si="92"/>
        <v>#VALUE!</v>
      </c>
      <c r="CR125" s="1644" t="e">
        <f t="shared" si="93"/>
        <v>#VALUE!</v>
      </c>
      <c r="CS125" s="1644" t="e">
        <f t="shared" si="110"/>
        <v>#VALUE!</v>
      </c>
      <c r="CT125" s="1644" t="e">
        <f t="shared" si="114"/>
        <v>#VALUE!</v>
      </c>
      <c r="CU125" s="505" t="e">
        <f t="shared" si="95"/>
        <v>#VALUE!</v>
      </c>
      <c r="CV125" s="1648" t="e">
        <f t="shared" si="96"/>
        <v>#VALUE!</v>
      </c>
      <c r="CW125" s="521" t="e">
        <f t="shared" si="97"/>
        <v>#VALUE!</v>
      </c>
      <c r="CX125" s="522" t="e">
        <f t="shared" si="98"/>
        <v>#VALUE!</v>
      </c>
      <c r="CZ125" s="1647" t="e">
        <f t="shared" si="111"/>
        <v>#VALUE!</v>
      </c>
      <c r="DA125" s="1671">
        <v>100</v>
      </c>
      <c r="DB125" s="1644" t="e">
        <f t="shared" si="99"/>
        <v>#VALUE!</v>
      </c>
      <c r="DC125" s="1644" t="e">
        <f t="shared" si="100"/>
        <v>#VALUE!</v>
      </c>
      <c r="DD125" s="1644" t="e">
        <f t="shared" si="101"/>
        <v>#VALUE!</v>
      </c>
      <c r="DE125" s="1644" t="e">
        <f t="shared" si="102"/>
        <v>#VALUE!</v>
      </c>
      <c r="DF125" s="1644" t="e">
        <f t="shared" si="103"/>
        <v>#VALUE!</v>
      </c>
      <c r="DG125" s="1644" t="e">
        <f t="shared" si="112"/>
        <v>#VALUE!</v>
      </c>
      <c r="DH125" s="1644" t="e">
        <f t="shared" si="104"/>
        <v>#VALUE!</v>
      </c>
      <c r="DI125" s="505" t="e">
        <f t="shared" si="105"/>
        <v>#VALUE!</v>
      </c>
      <c r="DJ125" s="1648" t="e">
        <f t="shared" si="106"/>
        <v>#VALUE!</v>
      </c>
      <c r="DK125" s="521" t="e">
        <f t="shared" si="107"/>
        <v>#VALUE!</v>
      </c>
      <c r="DL125" s="522" t="e">
        <f t="shared" si="108"/>
        <v>#VALUE!</v>
      </c>
      <c r="DM125" s="275"/>
    </row>
    <row r="126" spans="2:117" ht="12.5">
      <c r="B126" s="293"/>
      <c r="L126" s="347"/>
      <c r="M126" s="347"/>
      <c r="N126" s="347"/>
      <c r="T126" s="347"/>
      <c r="U126" s="347"/>
      <c r="V126" s="347"/>
      <c r="AC126" s="347"/>
      <c r="AK126" s="347"/>
      <c r="AL126" s="347"/>
      <c r="AM126" s="347"/>
      <c r="AN126" s="347"/>
      <c r="AO126" s="347"/>
      <c r="AP126" s="347"/>
      <c r="AQ126" s="347"/>
      <c r="AR126" s="347"/>
      <c r="AS126" s="347"/>
      <c r="DM126" s="272"/>
    </row>
    <row r="127" spans="2:117">
      <c r="B127" s="293"/>
      <c r="L127" s="347"/>
      <c r="M127" s="347"/>
      <c r="N127" s="347"/>
      <c r="T127" s="347"/>
      <c r="U127" s="347"/>
      <c r="V127" s="347"/>
      <c r="AC127" s="347"/>
      <c r="AK127" s="347"/>
      <c r="AL127" s="347"/>
      <c r="AM127" s="347"/>
      <c r="AN127" s="347"/>
      <c r="AO127" s="347"/>
      <c r="AP127" s="347"/>
      <c r="AQ127" s="347"/>
      <c r="AR127" s="347"/>
      <c r="AS127" s="347"/>
    </row>
    <row r="128" spans="2:117">
      <c r="B128" s="293"/>
      <c r="L128" s="347"/>
      <c r="M128" s="347"/>
      <c r="N128" s="347"/>
      <c r="T128" s="347"/>
      <c r="U128" s="347"/>
      <c r="V128" s="347"/>
      <c r="AC128" s="347"/>
      <c r="AK128" s="347"/>
      <c r="AL128" s="347"/>
      <c r="AM128" s="347"/>
      <c r="AN128" s="347"/>
      <c r="AO128" s="347"/>
      <c r="AP128" s="347"/>
      <c r="AQ128" s="347"/>
      <c r="AR128" s="347"/>
      <c r="AS128" s="347"/>
      <c r="CL128" s="293"/>
      <c r="CM128" s="293"/>
      <c r="CN128" s="293"/>
      <c r="CO128" s="293"/>
      <c r="CP128" s="293"/>
      <c r="CQ128" s="293"/>
      <c r="CW128" s="1673" t="str">
        <f>H23</f>
        <v>-</v>
      </c>
      <c r="CX128" s="293" t="e">
        <f>MATCH(CW128,CX132:CX231)</f>
        <v>#N/A</v>
      </c>
      <c r="DK128" s="1673" t="str">
        <f>H24</f>
        <v>-</v>
      </c>
      <c r="DL128" s="293" t="e">
        <f>MATCH(DK128,DL132:DL231)</f>
        <v>#N/A</v>
      </c>
    </row>
    <row r="129" spans="2:116">
      <c r="B129" s="293"/>
      <c r="L129" s="347"/>
      <c r="M129" s="347"/>
      <c r="N129" s="347"/>
      <c r="T129" s="347"/>
      <c r="U129" s="347"/>
      <c r="V129" s="347"/>
      <c r="AC129" s="347"/>
      <c r="AK129" s="347"/>
      <c r="AL129" s="347"/>
      <c r="AM129" s="347"/>
      <c r="AN129" s="347"/>
      <c r="AO129" s="347"/>
      <c r="AP129" s="347"/>
      <c r="AQ129" s="347"/>
      <c r="AR129" s="347"/>
      <c r="AS129" s="347"/>
      <c r="CL129" s="293"/>
      <c r="CM129" s="293"/>
      <c r="CN129" s="293"/>
      <c r="CO129" s="293"/>
      <c r="CP129" s="293"/>
      <c r="CQ129" s="293"/>
      <c r="CX129" s="1190" t="e">
        <f>INDEX(CM132:CM231,CX128) + (CW128-INDEX(CX132:CX231,CX128)) * (INDEX(CM132:CM231,CX128+1)-INDEX(CM132:CM231,CX128)) / (INDEX(CX132:CX231,CX128+1)-INDEX(CX132:CX231,CX128))</f>
        <v>#N/A</v>
      </c>
      <c r="DL129" s="1190" t="e">
        <f>INDEX(DA132:DA231,DL128) + (DK128-INDEX(DL132:DL231,DL128)) * (INDEX(DA132:DA231,DL128+1)-INDEX(DA132:DA231,DL128)) / (INDEX(DL132:DL231,DL128+1)-INDEX(DL132:DL231,DL128))</f>
        <v>#N/A</v>
      </c>
    </row>
    <row r="130" spans="2:116">
      <c r="B130" s="293"/>
      <c r="L130" s="347"/>
      <c r="M130" s="347"/>
      <c r="N130" s="347"/>
      <c r="T130" s="347"/>
      <c r="U130" s="347"/>
      <c r="V130" s="347"/>
      <c r="AC130" s="347"/>
      <c r="AK130" s="347"/>
      <c r="AL130" s="347"/>
      <c r="AM130" s="347"/>
      <c r="AN130" s="347"/>
      <c r="AO130" s="347"/>
      <c r="AP130" s="347"/>
      <c r="AQ130" s="347"/>
      <c r="AR130" s="347"/>
      <c r="AS130" s="347"/>
      <c r="CL130" s="293"/>
      <c r="CM130" s="293"/>
      <c r="CN130" s="293"/>
      <c r="CO130" s="293"/>
      <c r="CP130" s="293"/>
      <c r="CQ130" s="293"/>
    </row>
    <row r="131" spans="2:116">
      <c r="B131" s="293"/>
      <c r="L131" s="347"/>
      <c r="M131" s="347"/>
      <c r="N131" s="347"/>
      <c r="T131" s="347"/>
      <c r="U131" s="347"/>
      <c r="V131" s="347"/>
      <c r="AC131" s="347"/>
      <c r="AK131" s="347"/>
      <c r="AL131" s="347"/>
      <c r="AM131" s="347"/>
      <c r="AN131" s="347"/>
      <c r="AO131" s="347"/>
      <c r="AP131" s="347"/>
      <c r="AQ131" s="347"/>
      <c r="AR131" s="347"/>
      <c r="AS131" s="347"/>
      <c r="CL131" s="1647"/>
      <c r="CM131" s="1671"/>
      <c r="CN131" s="1644"/>
      <c r="CO131" s="1644"/>
      <c r="CP131" s="1644"/>
      <c r="CQ131" s="1644"/>
      <c r="CR131" s="1644"/>
      <c r="CS131" s="1644"/>
      <c r="CT131" s="1644"/>
      <c r="CU131" s="293" t="s">
        <v>1280</v>
      </c>
      <c r="CV131" s="1646" t="s">
        <v>1185</v>
      </c>
      <c r="CW131" s="297" t="s">
        <v>1204</v>
      </c>
      <c r="CX131" s="297" t="s">
        <v>1184</v>
      </c>
      <c r="CZ131" s="1647"/>
      <c r="DA131" s="1671"/>
      <c r="DB131" s="1644"/>
      <c r="DC131" s="1644"/>
      <c r="DD131" s="1644"/>
      <c r="DE131" s="1644"/>
      <c r="DF131" s="1644"/>
      <c r="DG131" s="1644"/>
      <c r="DH131" s="1644"/>
      <c r="DI131" s="293" t="s">
        <v>1280</v>
      </c>
      <c r="DJ131" s="1646" t="s">
        <v>1185</v>
      </c>
      <c r="DK131" s="297" t="s">
        <v>1204</v>
      </c>
      <c r="DL131" s="297" t="s">
        <v>1184</v>
      </c>
    </row>
    <row r="132" spans="2:116">
      <c r="B132" s="293"/>
      <c r="L132" s="347"/>
      <c r="M132" s="347"/>
      <c r="N132" s="347"/>
      <c r="T132" s="347"/>
      <c r="U132" s="347"/>
      <c r="V132" s="347"/>
      <c r="AC132" s="347"/>
      <c r="AK132" s="347"/>
      <c r="AL132" s="347"/>
      <c r="AM132" s="347"/>
      <c r="AN132" s="347"/>
      <c r="AO132" s="347"/>
      <c r="AP132" s="347"/>
      <c r="AQ132" s="347"/>
      <c r="AR132" s="347"/>
      <c r="AS132" s="347"/>
      <c r="CL132" s="1647">
        <f>$D$23</f>
        <v>0</v>
      </c>
      <c r="CM132" s="1671">
        <v>1</v>
      </c>
      <c r="CN132" s="1644">
        <f t="shared" ref="CN132:CN195" si="115">273.15+CL132</f>
        <v>273.14999999999998</v>
      </c>
      <c r="CO132" s="1644">
        <f t="shared" ref="CO132:CO195" si="116">-5800.2206/CN132+1.3914993-0.048640239*CN132</f>
        <v>-33.129143945141777</v>
      </c>
      <c r="CP132" s="1644">
        <f t="shared" ref="CP132:CP195" si="117">0.000041764768*POWER(CN132,2)-0.000000014452093*POWER(CN132,3)+6.5459673*LN(CN132)</f>
        <v>39.544589235539483</v>
      </c>
      <c r="CQ132" s="1644">
        <f t="shared" ref="CQ132:CQ195" si="118">EXP(CO132+CP132)/1000</f>
        <v>0.61121286745119141</v>
      </c>
      <c r="CR132" s="1644">
        <f t="shared" ref="CR132:CR195" si="119">CM132/100*CQ132</f>
        <v>6.1121286745119139E-3</v>
      </c>
      <c r="CS132" s="1644">
        <f>0.62198*(CQ132/($F$3-CQ132))</f>
        <v>3.7746786226692361E-3</v>
      </c>
      <c r="CT132" s="1644">
        <f t="shared" ref="CT132:CT195" si="120">CX132/CS132</f>
        <v>9.9402775976434789E-3</v>
      </c>
      <c r="CU132" s="505">
        <f t="shared" ref="CU132:CU195" si="121">IF(CL132+CM132&gt;0,CM132,0)</f>
        <v>1</v>
      </c>
      <c r="CV132" s="1648">
        <f t="shared" ref="CV132:CV195" si="122">IF(CL132+CM132&gt;0,(1.006*CL132+CX132*(2501+1.805*CL132)),0)</f>
        <v>9.384090473140809E-2</v>
      </c>
      <c r="CW132" s="521">
        <f t="shared" ref="CW132:CW195" si="123">IF(CL132+CM132&gt;0,(6.54+14.526*LN(CR132)+0.7389*POWER(LN(CR132),2)+0.09486*POWER(LN(CR132),3)+0.4569*POWER(CR132,0.1984)),0)</f>
        <v>-60.704637408714838</v>
      </c>
      <c r="CX132" s="522">
        <f t="shared" ref="CX132:CX195" si="124">IF(CL132+CM132&gt;0,0.62198*(CR132/($F$3-CR132)),0)</f>
        <v>3.7521353351222748E-5</v>
      </c>
      <c r="CZ132" s="1647">
        <f>$D$24</f>
        <v>0</v>
      </c>
      <c r="DA132" s="1671">
        <v>1</v>
      </c>
      <c r="DB132" s="1644">
        <f t="shared" ref="DB132:DB195" si="125">273.15+CZ132</f>
        <v>273.14999999999998</v>
      </c>
      <c r="DC132" s="1644">
        <f t="shared" ref="DC132:DC195" si="126">-5800.2206/DB132+1.3914993-0.048640239*DB132</f>
        <v>-33.129143945141777</v>
      </c>
      <c r="DD132" s="1644">
        <f t="shared" ref="DD132:DD195" si="127">0.000041764768*POWER(DB132,2)-0.000000014452093*POWER(DB132,3)+6.5459673*LN(DB132)</f>
        <v>39.544589235539483</v>
      </c>
      <c r="DE132" s="1644">
        <f t="shared" ref="DE132:DE195" si="128">EXP(DC132+DD132)/1000</f>
        <v>0.61121286745119141</v>
      </c>
      <c r="DF132" s="1644">
        <f t="shared" ref="DF132:DF195" si="129">DA132/100*DE132</f>
        <v>6.1121286745119139E-3</v>
      </c>
      <c r="DG132" s="1644">
        <f>0.62198*(DE132/($F$3-DE132))</f>
        <v>3.7746786226692361E-3</v>
      </c>
      <c r="DH132" s="1644">
        <f t="shared" ref="DH132:DH195" si="130">DL132/DG132</f>
        <v>9.9402775976434789E-3</v>
      </c>
      <c r="DI132" s="505">
        <f t="shared" ref="DI132:DI195" si="131">IF(CZ132+DA132&gt;0,DA132,0)</f>
        <v>1</v>
      </c>
      <c r="DJ132" s="1648">
        <f t="shared" ref="DJ132:DJ195" si="132">IF(CZ132+DA132&gt;0,(1.006*CZ132+DL132*(2501+1.805*CZ132)),0)</f>
        <v>9.384090473140809E-2</v>
      </c>
      <c r="DK132" s="521">
        <f t="shared" ref="DK132:DK195" si="133">IF(CZ132+DA132&gt;0,(6.54+14.526*LN(DF132)+0.7389*POWER(LN(DF132),2)+0.09486*POWER(LN(DF132),3)+0.4569*POWER(DF132,0.1984)),0)</f>
        <v>-60.704637408714838</v>
      </c>
      <c r="DL132" s="522">
        <f t="shared" ref="DL132:DL195" si="134">IF(CZ132+DA132&gt;0,0.62198*(DF132/($F$3-DF132)),0)</f>
        <v>3.7521353351222748E-5</v>
      </c>
    </row>
    <row r="133" spans="2:116">
      <c r="B133" s="293"/>
      <c r="L133" s="347"/>
      <c r="M133" s="347"/>
      <c r="N133" s="347"/>
      <c r="T133" s="347"/>
      <c r="U133" s="347"/>
      <c r="V133" s="347"/>
      <c r="AC133" s="347"/>
      <c r="AK133" s="347"/>
      <c r="AL133" s="347"/>
      <c r="AM133" s="347"/>
      <c r="AN133" s="347"/>
      <c r="AO133" s="347"/>
      <c r="AP133" s="347"/>
      <c r="AQ133" s="347"/>
      <c r="AR133" s="347"/>
      <c r="AS133" s="347"/>
      <c r="CL133" s="1647">
        <f t="shared" ref="CL133:CL196" si="135">$D$23</f>
        <v>0</v>
      </c>
      <c r="CM133" s="1671">
        <v>2</v>
      </c>
      <c r="CN133" s="1644">
        <f t="shared" si="115"/>
        <v>273.14999999999998</v>
      </c>
      <c r="CO133" s="1644">
        <f t="shared" si="116"/>
        <v>-33.129143945141777</v>
      </c>
      <c r="CP133" s="1644">
        <f t="shared" si="117"/>
        <v>39.544589235539483</v>
      </c>
      <c r="CQ133" s="1644">
        <f t="shared" si="118"/>
        <v>0.61121286745119141</v>
      </c>
      <c r="CR133" s="1644">
        <f t="shared" si="119"/>
        <v>1.2224257349023828E-2</v>
      </c>
      <c r="CS133" s="1644">
        <f t="shared" ref="CS133:CS196" si="136">0.62198*(CQ133/($F$3-CQ133))</f>
        <v>3.7746786226692361E-3</v>
      </c>
      <c r="CT133" s="1644">
        <f t="shared" si="120"/>
        <v>1.9881754575232707E-2</v>
      </c>
      <c r="CU133" s="505">
        <f t="shared" si="121"/>
        <v>2</v>
      </c>
      <c r="CV133" s="1648">
        <f t="shared" si="122"/>
        <v>0.18769313217469422</v>
      </c>
      <c r="CW133" s="521">
        <f t="shared" si="123"/>
        <v>-51.01780973570601</v>
      </c>
      <c r="CX133" s="522">
        <f t="shared" si="124"/>
        <v>7.5047233976287172E-5</v>
      </c>
      <c r="CZ133" s="1647">
        <f t="shared" ref="CZ133:CZ196" si="137">$D$24</f>
        <v>0</v>
      </c>
      <c r="DA133" s="1671">
        <v>2</v>
      </c>
      <c r="DB133" s="1644">
        <f t="shared" si="125"/>
        <v>273.14999999999998</v>
      </c>
      <c r="DC133" s="1644">
        <f t="shared" si="126"/>
        <v>-33.129143945141777</v>
      </c>
      <c r="DD133" s="1644">
        <f t="shared" si="127"/>
        <v>39.544589235539483</v>
      </c>
      <c r="DE133" s="1644">
        <f t="shared" si="128"/>
        <v>0.61121286745119141</v>
      </c>
      <c r="DF133" s="1644">
        <f t="shared" si="129"/>
        <v>1.2224257349023828E-2</v>
      </c>
      <c r="DG133" s="1644">
        <f t="shared" ref="DG133:DG196" si="138">0.62198*(DE133/($F$3-DE133))</f>
        <v>3.7746786226692361E-3</v>
      </c>
      <c r="DH133" s="1644">
        <f t="shared" si="130"/>
        <v>1.9881754575232707E-2</v>
      </c>
      <c r="DI133" s="505">
        <f t="shared" si="131"/>
        <v>2</v>
      </c>
      <c r="DJ133" s="1648">
        <f t="shared" si="132"/>
        <v>0.18769313217469422</v>
      </c>
      <c r="DK133" s="521">
        <f t="shared" si="133"/>
        <v>-51.01780973570601</v>
      </c>
      <c r="DL133" s="522">
        <f t="shared" si="134"/>
        <v>7.5047233976287172E-5</v>
      </c>
    </row>
    <row r="134" spans="2:116">
      <c r="B134" s="293"/>
      <c r="L134" s="347"/>
      <c r="M134" s="347"/>
      <c r="N134" s="347"/>
      <c r="T134" s="347"/>
      <c r="U134" s="347"/>
      <c r="V134" s="347"/>
      <c r="AC134" s="347"/>
      <c r="AK134" s="347"/>
      <c r="AL134" s="347"/>
      <c r="AM134" s="347"/>
      <c r="AN134" s="347"/>
      <c r="AO134" s="347"/>
      <c r="AP134" s="347"/>
      <c r="AQ134" s="347"/>
      <c r="AR134" s="347"/>
      <c r="AS134" s="347"/>
      <c r="CL134" s="1647">
        <f t="shared" si="135"/>
        <v>0</v>
      </c>
      <c r="CM134" s="1671">
        <v>3</v>
      </c>
      <c r="CN134" s="1644">
        <f t="shared" si="115"/>
        <v>273.14999999999998</v>
      </c>
      <c r="CO134" s="1644">
        <f t="shared" si="116"/>
        <v>-33.129143945141777</v>
      </c>
      <c r="CP134" s="1644">
        <f t="shared" si="117"/>
        <v>39.544589235539483</v>
      </c>
      <c r="CQ134" s="1644">
        <f t="shared" si="118"/>
        <v>0.61121286745119141</v>
      </c>
      <c r="CR134" s="1644">
        <f t="shared" si="119"/>
        <v>1.8336386023535742E-2</v>
      </c>
      <c r="CS134" s="1644">
        <f t="shared" si="136"/>
        <v>3.7746786226692361E-3</v>
      </c>
      <c r="CT134" s="1644">
        <f t="shared" si="120"/>
        <v>2.9824431149854037E-2</v>
      </c>
      <c r="CU134" s="505">
        <f t="shared" si="121"/>
        <v>3</v>
      </c>
      <c r="CV134" s="1648">
        <f t="shared" si="122"/>
        <v>0.28155668437925591</v>
      </c>
      <c r="CW134" s="521">
        <f t="shared" si="123"/>
        <v>-45.591069802180648</v>
      </c>
      <c r="CX134" s="522">
        <f t="shared" si="124"/>
        <v>1.1257764269462451E-4</v>
      </c>
      <c r="CZ134" s="1647">
        <f t="shared" si="137"/>
        <v>0</v>
      </c>
      <c r="DA134" s="1671">
        <v>3</v>
      </c>
      <c r="DB134" s="1644">
        <f t="shared" si="125"/>
        <v>273.14999999999998</v>
      </c>
      <c r="DC134" s="1644">
        <f t="shared" si="126"/>
        <v>-33.129143945141777</v>
      </c>
      <c r="DD134" s="1644">
        <f t="shared" si="127"/>
        <v>39.544589235539483</v>
      </c>
      <c r="DE134" s="1644">
        <f t="shared" si="128"/>
        <v>0.61121286745119141</v>
      </c>
      <c r="DF134" s="1644">
        <f t="shared" si="129"/>
        <v>1.8336386023535742E-2</v>
      </c>
      <c r="DG134" s="1644">
        <f t="shared" si="138"/>
        <v>3.7746786226692361E-3</v>
      </c>
      <c r="DH134" s="1644">
        <f t="shared" si="130"/>
        <v>2.9824431149854037E-2</v>
      </c>
      <c r="DI134" s="505">
        <f t="shared" si="131"/>
        <v>3</v>
      </c>
      <c r="DJ134" s="1648">
        <f t="shared" si="132"/>
        <v>0.28155668437925591</v>
      </c>
      <c r="DK134" s="521">
        <f t="shared" si="133"/>
        <v>-45.591069802180648</v>
      </c>
      <c r="DL134" s="522">
        <f t="shared" si="134"/>
        <v>1.1257764269462451E-4</v>
      </c>
    </row>
    <row r="135" spans="2:116">
      <c r="I135" s="347"/>
      <c r="J135" s="347"/>
      <c r="K135" s="347"/>
      <c r="L135" s="347"/>
      <c r="M135" s="347"/>
      <c r="N135" s="347"/>
      <c r="T135" s="347"/>
      <c r="U135" s="347"/>
      <c r="V135" s="347"/>
      <c r="AC135" s="347"/>
      <c r="AK135" s="347"/>
      <c r="AL135" s="347"/>
      <c r="AM135" s="347"/>
      <c r="AN135" s="347"/>
      <c r="AO135" s="347"/>
      <c r="AP135" s="347"/>
      <c r="AQ135" s="347"/>
      <c r="AR135" s="347"/>
      <c r="AS135" s="347"/>
      <c r="CL135" s="1647">
        <f t="shared" si="135"/>
        <v>0</v>
      </c>
      <c r="CM135" s="1671">
        <v>4</v>
      </c>
      <c r="CN135" s="1644">
        <f t="shared" si="115"/>
        <v>273.14999999999998</v>
      </c>
      <c r="CO135" s="1644">
        <f t="shared" si="116"/>
        <v>-33.129143945141777</v>
      </c>
      <c r="CP135" s="1644">
        <f t="shared" si="117"/>
        <v>39.544589235539483</v>
      </c>
      <c r="CQ135" s="1644">
        <f t="shared" si="118"/>
        <v>0.61121286745119141</v>
      </c>
      <c r="CR135" s="1644">
        <f t="shared" si="119"/>
        <v>2.4448514698047655E-2</v>
      </c>
      <c r="CS135" s="1644">
        <f t="shared" si="136"/>
        <v>3.7746786226692361E-3</v>
      </c>
      <c r="CT135" s="1644">
        <f t="shared" si="120"/>
        <v>3.9768307538646214E-2</v>
      </c>
      <c r="CU135" s="505">
        <f t="shared" si="121"/>
        <v>4</v>
      </c>
      <c r="CV135" s="1648">
        <f t="shared" si="122"/>
        <v>0.37543156339498507</v>
      </c>
      <c r="CW135" s="521">
        <f t="shared" si="123"/>
        <v>-41.821741905967443</v>
      </c>
      <c r="CX135" s="522">
        <f t="shared" si="124"/>
        <v>1.5011258032586369E-4</v>
      </c>
      <c r="CZ135" s="1647">
        <f t="shared" si="137"/>
        <v>0</v>
      </c>
      <c r="DA135" s="1671">
        <v>4</v>
      </c>
      <c r="DB135" s="1644">
        <f t="shared" si="125"/>
        <v>273.14999999999998</v>
      </c>
      <c r="DC135" s="1644">
        <f t="shared" si="126"/>
        <v>-33.129143945141777</v>
      </c>
      <c r="DD135" s="1644">
        <f t="shared" si="127"/>
        <v>39.544589235539483</v>
      </c>
      <c r="DE135" s="1644">
        <f t="shared" si="128"/>
        <v>0.61121286745119141</v>
      </c>
      <c r="DF135" s="1644">
        <f t="shared" si="129"/>
        <v>2.4448514698047655E-2</v>
      </c>
      <c r="DG135" s="1644">
        <f t="shared" si="138"/>
        <v>3.7746786226692361E-3</v>
      </c>
      <c r="DH135" s="1644">
        <f t="shared" si="130"/>
        <v>3.9768307538646214E-2</v>
      </c>
      <c r="DI135" s="505">
        <f t="shared" si="131"/>
        <v>4</v>
      </c>
      <c r="DJ135" s="1648">
        <f t="shared" si="132"/>
        <v>0.37543156339498507</v>
      </c>
      <c r="DK135" s="521">
        <f t="shared" si="133"/>
        <v>-41.821741905967443</v>
      </c>
      <c r="DL135" s="522">
        <f t="shared" si="134"/>
        <v>1.5011258032586369E-4</v>
      </c>
    </row>
    <row r="136" spans="2:116">
      <c r="D136" s="347"/>
      <c r="E136" s="347"/>
      <c r="F136" s="347"/>
      <c r="G136" s="347"/>
      <c r="H136" s="347"/>
      <c r="I136" s="347"/>
      <c r="J136" s="347"/>
      <c r="K136" s="347"/>
      <c r="L136" s="347"/>
      <c r="M136" s="347"/>
      <c r="N136" s="347"/>
      <c r="T136" s="347"/>
      <c r="U136" s="347"/>
      <c r="V136" s="347"/>
      <c r="AC136" s="347"/>
      <c r="AK136" s="347"/>
      <c r="AL136" s="347"/>
      <c r="AM136" s="347"/>
      <c r="AN136" s="347"/>
      <c r="AO136" s="347"/>
      <c r="AP136" s="347"/>
      <c r="AQ136" s="347"/>
      <c r="AR136" s="347"/>
      <c r="AS136" s="347"/>
      <c r="CL136" s="1647">
        <f t="shared" si="135"/>
        <v>0</v>
      </c>
      <c r="CM136" s="1671">
        <v>5</v>
      </c>
      <c r="CN136" s="1644">
        <f t="shared" si="115"/>
        <v>273.14999999999998</v>
      </c>
      <c r="CO136" s="1644">
        <f t="shared" si="116"/>
        <v>-33.129143945141777</v>
      </c>
      <c r="CP136" s="1644">
        <f t="shared" si="117"/>
        <v>39.544589235539483</v>
      </c>
      <c r="CQ136" s="1644">
        <f t="shared" si="118"/>
        <v>0.61121286745119141</v>
      </c>
      <c r="CR136" s="1644">
        <f t="shared" si="119"/>
        <v>3.0560643372559572E-2</v>
      </c>
      <c r="CS136" s="1644">
        <f t="shared" si="136"/>
        <v>3.7746786226692361E-3</v>
      </c>
      <c r="CT136" s="1644">
        <f t="shared" si="120"/>
        <v>4.9713383958800379E-2</v>
      </c>
      <c r="CU136" s="505">
        <f t="shared" si="121"/>
        <v>5</v>
      </c>
      <c r="CV136" s="1648">
        <f t="shared" si="122"/>
        <v>0.46931777127226859</v>
      </c>
      <c r="CW136" s="521">
        <f t="shared" si="123"/>
        <v>-38.934393166915115</v>
      </c>
      <c r="CX136" s="522">
        <f t="shared" si="124"/>
        <v>1.8765204768983151E-4</v>
      </c>
      <c r="CZ136" s="1647">
        <f t="shared" si="137"/>
        <v>0</v>
      </c>
      <c r="DA136" s="1671">
        <v>5</v>
      </c>
      <c r="DB136" s="1644">
        <f t="shared" si="125"/>
        <v>273.14999999999998</v>
      </c>
      <c r="DC136" s="1644">
        <f t="shared" si="126"/>
        <v>-33.129143945141777</v>
      </c>
      <c r="DD136" s="1644">
        <f t="shared" si="127"/>
        <v>39.544589235539483</v>
      </c>
      <c r="DE136" s="1644">
        <f t="shared" si="128"/>
        <v>0.61121286745119141</v>
      </c>
      <c r="DF136" s="1644">
        <f t="shared" si="129"/>
        <v>3.0560643372559572E-2</v>
      </c>
      <c r="DG136" s="1644">
        <f t="shared" si="138"/>
        <v>3.7746786226692361E-3</v>
      </c>
      <c r="DH136" s="1644">
        <f t="shared" si="130"/>
        <v>4.9713383958800379E-2</v>
      </c>
      <c r="DI136" s="505">
        <f t="shared" si="131"/>
        <v>5</v>
      </c>
      <c r="DJ136" s="1648">
        <f t="shared" si="132"/>
        <v>0.46931777127226859</v>
      </c>
      <c r="DK136" s="521">
        <f t="shared" si="133"/>
        <v>-38.934393166915115</v>
      </c>
      <c r="DL136" s="522">
        <f t="shared" si="134"/>
        <v>1.8765204768983151E-4</v>
      </c>
    </row>
    <row r="137" spans="2:116">
      <c r="D137" s="347"/>
      <c r="E137" s="347"/>
      <c r="F137" s="347"/>
      <c r="G137" s="347"/>
      <c r="H137" s="347"/>
      <c r="I137" s="347"/>
      <c r="J137" s="347"/>
      <c r="K137" s="347"/>
      <c r="L137" s="347"/>
      <c r="M137" s="347"/>
      <c r="N137" s="347"/>
      <c r="T137" s="347"/>
      <c r="U137" s="347"/>
      <c r="V137" s="347"/>
      <c r="AC137" s="347"/>
      <c r="AK137" s="347"/>
      <c r="AL137" s="347"/>
      <c r="AM137" s="347"/>
      <c r="AN137" s="347"/>
      <c r="AO137" s="347"/>
      <c r="AP137" s="347"/>
      <c r="AQ137" s="347"/>
      <c r="AR137" s="347"/>
      <c r="AS137" s="347"/>
      <c r="CL137" s="1647">
        <f t="shared" si="135"/>
        <v>0</v>
      </c>
      <c r="CM137" s="1671">
        <v>6</v>
      </c>
      <c r="CN137" s="1644">
        <f t="shared" si="115"/>
        <v>273.14999999999998</v>
      </c>
      <c r="CO137" s="1644">
        <f t="shared" si="116"/>
        <v>-33.129143945141777</v>
      </c>
      <c r="CP137" s="1644">
        <f t="shared" si="117"/>
        <v>39.544589235539483</v>
      </c>
      <c r="CQ137" s="1644">
        <f t="shared" si="118"/>
        <v>0.61121286745119141</v>
      </c>
      <c r="CR137" s="1644">
        <f t="shared" si="119"/>
        <v>3.6672772047071485E-2</v>
      </c>
      <c r="CS137" s="1644">
        <f t="shared" si="136"/>
        <v>3.7746786226692361E-3</v>
      </c>
      <c r="CT137" s="1644">
        <f t="shared" si="120"/>
        <v>5.9659660627560125E-2</v>
      </c>
      <c r="CU137" s="505">
        <f t="shared" si="121"/>
        <v>6</v>
      </c>
      <c r="CV137" s="1648">
        <f t="shared" si="122"/>
        <v>0.56321531006198833</v>
      </c>
      <c r="CW137" s="521">
        <f t="shared" si="123"/>
        <v>-36.593968616892148</v>
      </c>
      <c r="CX137" s="522">
        <f t="shared" si="124"/>
        <v>2.251960456065527E-4</v>
      </c>
      <c r="CZ137" s="1647">
        <f t="shared" si="137"/>
        <v>0</v>
      </c>
      <c r="DA137" s="1671">
        <v>6</v>
      </c>
      <c r="DB137" s="1644">
        <f t="shared" si="125"/>
        <v>273.14999999999998</v>
      </c>
      <c r="DC137" s="1644">
        <f t="shared" si="126"/>
        <v>-33.129143945141777</v>
      </c>
      <c r="DD137" s="1644">
        <f t="shared" si="127"/>
        <v>39.544589235539483</v>
      </c>
      <c r="DE137" s="1644">
        <f t="shared" si="128"/>
        <v>0.61121286745119141</v>
      </c>
      <c r="DF137" s="1644">
        <f t="shared" si="129"/>
        <v>3.6672772047071485E-2</v>
      </c>
      <c r="DG137" s="1644">
        <f t="shared" si="138"/>
        <v>3.7746786226692361E-3</v>
      </c>
      <c r="DH137" s="1644">
        <f t="shared" si="130"/>
        <v>5.9659660627560125E-2</v>
      </c>
      <c r="DI137" s="505">
        <f t="shared" si="131"/>
        <v>6</v>
      </c>
      <c r="DJ137" s="1648">
        <f t="shared" si="132"/>
        <v>0.56321531006198833</v>
      </c>
      <c r="DK137" s="521">
        <f t="shared" si="133"/>
        <v>-36.593968616892148</v>
      </c>
      <c r="DL137" s="522">
        <f t="shared" si="134"/>
        <v>2.251960456065527E-4</v>
      </c>
    </row>
    <row r="138" spans="2:116">
      <c r="D138" s="347"/>
      <c r="E138" s="347"/>
      <c r="F138" s="347"/>
      <c r="G138" s="347"/>
      <c r="H138" s="347"/>
      <c r="I138" s="347"/>
      <c r="J138" s="347"/>
      <c r="K138" s="347"/>
      <c r="L138" s="347"/>
      <c r="T138" s="347"/>
      <c r="AC138" s="347"/>
      <c r="AK138" s="347"/>
      <c r="AL138" s="347"/>
      <c r="AM138" s="347"/>
      <c r="AN138" s="347"/>
      <c r="AO138" s="347"/>
      <c r="AP138" s="347"/>
      <c r="AQ138" s="347"/>
      <c r="AR138" s="347"/>
      <c r="AS138" s="347"/>
      <c r="CL138" s="1647">
        <f t="shared" si="135"/>
        <v>0</v>
      </c>
      <c r="CM138" s="1671">
        <v>7</v>
      </c>
      <c r="CN138" s="1644">
        <f t="shared" si="115"/>
        <v>273.14999999999998</v>
      </c>
      <c r="CO138" s="1644">
        <f t="shared" si="116"/>
        <v>-33.129143945141777</v>
      </c>
      <c r="CP138" s="1644">
        <f t="shared" si="117"/>
        <v>39.544589235539483</v>
      </c>
      <c r="CQ138" s="1644">
        <f t="shared" si="118"/>
        <v>0.61121286745119141</v>
      </c>
      <c r="CR138" s="1644">
        <f t="shared" si="119"/>
        <v>4.2784900721583405E-2</v>
      </c>
      <c r="CS138" s="1644">
        <f t="shared" si="136"/>
        <v>3.7746786226692361E-3</v>
      </c>
      <c r="CT138" s="1644">
        <f t="shared" si="120"/>
        <v>6.9607137762221452E-2</v>
      </c>
      <c r="CU138" s="505">
        <f t="shared" si="121"/>
        <v>7</v>
      </c>
      <c r="CV138" s="1648">
        <f t="shared" si="122"/>
        <v>0.65712418181552079</v>
      </c>
      <c r="CW138" s="521">
        <f t="shared" si="123"/>
        <v>-34.625533845827</v>
      </c>
      <c r="CX138" s="522">
        <f t="shared" si="124"/>
        <v>2.6274457489624983E-4</v>
      </c>
      <c r="CZ138" s="1647">
        <f t="shared" si="137"/>
        <v>0</v>
      </c>
      <c r="DA138" s="1671">
        <v>7</v>
      </c>
      <c r="DB138" s="1644">
        <f t="shared" si="125"/>
        <v>273.14999999999998</v>
      </c>
      <c r="DC138" s="1644">
        <f t="shared" si="126"/>
        <v>-33.129143945141777</v>
      </c>
      <c r="DD138" s="1644">
        <f t="shared" si="127"/>
        <v>39.544589235539483</v>
      </c>
      <c r="DE138" s="1644">
        <f t="shared" si="128"/>
        <v>0.61121286745119141</v>
      </c>
      <c r="DF138" s="1644">
        <f t="shared" si="129"/>
        <v>4.2784900721583405E-2</v>
      </c>
      <c r="DG138" s="1644">
        <f t="shared" si="138"/>
        <v>3.7746786226692361E-3</v>
      </c>
      <c r="DH138" s="1644">
        <f t="shared" si="130"/>
        <v>6.9607137762221452E-2</v>
      </c>
      <c r="DI138" s="505">
        <f t="shared" si="131"/>
        <v>7</v>
      </c>
      <c r="DJ138" s="1648">
        <f t="shared" si="132"/>
        <v>0.65712418181552079</v>
      </c>
      <c r="DK138" s="521">
        <f t="shared" si="133"/>
        <v>-34.625533845827</v>
      </c>
      <c r="DL138" s="522">
        <f t="shared" si="134"/>
        <v>2.6274457489624983E-4</v>
      </c>
    </row>
    <row r="139" spans="2:116">
      <c r="D139" s="347"/>
      <c r="E139" s="347"/>
      <c r="F139" s="347"/>
      <c r="G139" s="347"/>
      <c r="H139" s="347"/>
      <c r="I139" s="347"/>
      <c r="J139" s="347"/>
      <c r="K139" s="347"/>
      <c r="L139" s="347"/>
      <c r="T139" s="347"/>
      <c r="AC139" s="347"/>
      <c r="AK139" s="347"/>
      <c r="AL139" s="347"/>
      <c r="AM139" s="347"/>
      <c r="AN139" s="347"/>
      <c r="AO139" s="347"/>
      <c r="AP139" s="347"/>
      <c r="AQ139" s="347"/>
      <c r="AR139" s="347"/>
      <c r="AS139" s="347"/>
      <c r="CL139" s="1647">
        <f t="shared" si="135"/>
        <v>0</v>
      </c>
      <c r="CM139" s="1671">
        <v>8</v>
      </c>
      <c r="CN139" s="1644">
        <f t="shared" si="115"/>
        <v>273.14999999999998</v>
      </c>
      <c r="CO139" s="1644">
        <f t="shared" si="116"/>
        <v>-33.129143945141777</v>
      </c>
      <c r="CP139" s="1644">
        <f t="shared" si="117"/>
        <v>39.544589235539483</v>
      </c>
      <c r="CQ139" s="1644">
        <f t="shared" si="118"/>
        <v>0.61121286745119141</v>
      </c>
      <c r="CR139" s="1644">
        <f t="shared" si="119"/>
        <v>4.8897029396095311E-2</v>
      </c>
      <c r="CS139" s="1644">
        <f t="shared" si="136"/>
        <v>3.7746786226692361E-3</v>
      </c>
      <c r="CT139" s="1644">
        <f t="shared" si="120"/>
        <v>7.9555815580132819E-2</v>
      </c>
      <c r="CU139" s="505">
        <f t="shared" si="121"/>
        <v>8</v>
      </c>
      <c r="CV139" s="1648">
        <f t="shared" si="122"/>
        <v>0.7510443885847381</v>
      </c>
      <c r="CW139" s="521">
        <f t="shared" si="123"/>
        <v>-32.926357112801028</v>
      </c>
      <c r="CX139" s="522">
        <f t="shared" si="124"/>
        <v>3.0029763637934352E-4</v>
      </c>
      <c r="CZ139" s="1647">
        <f t="shared" si="137"/>
        <v>0</v>
      </c>
      <c r="DA139" s="1671">
        <v>8</v>
      </c>
      <c r="DB139" s="1644">
        <f t="shared" si="125"/>
        <v>273.14999999999998</v>
      </c>
      <c r="DC139" s="1644">
        <f t="shared" si="126"/>
        <v>-33.129143945141777</v>
      </c>
      <c r="DD139" s="1644">
        <f t="shared" si="127"/>
        <v>39.544589235539483</v>
      </c>
      <c r="DE139" s="1644">
        <f t="shared" si="128"/>
        <v>0.61121286745119141</v>
      </c>
      <c r="DF139" s="1644">
        <f t="shared" si="129"/>
        <v>4.8897029396095311E-2</v>
      </c>
      <c r="DG139" s="1644">
        <f t="shared" si="138"/>
        <v>3.7746786226692361E-3</v>
      </c>
      <c r="DH139" s="1644">
        <f t="shared" si="130"/>
        <v>7.9555815580132819E-2</v>
      </c>
      <c r="DI139" s="505">
        <f t="shared" si="131"/>
        <v>8</v>
      </c>
      <c r="DJ139" s="1648">
        <f t="shared" si="132"/>
        <v>0.7510443885847381</v>
      </c>
      <c r="DK139" s="521">
        <f t="shared" si="133"/>
        <v>-32.926357112801028</v>
      </c>
      <c r="DL139" s="522">
        <f t="shared" si="134"/>
        <v>3.0029763637934352E-4</v>
      </c>
    </row>
    <row r="140" spans="2:116">
      <c r="D140" s="347"/>
      <c r="E140" s="347"/>
      <c r="F140" s="347"/>
      <c r="G140" s="347"/>
      <c r="H140" s="347"/>
      <c r="I140" s="347"/>
      <c r="J140" s="347"/>
      <c r="K140" s="347"/>
      <c r="L140" s="347"/>
      <c r="T140" s="347"/>
      <c r="AC140" s="347"/>
      <c r="AK140" s="347"/>
      <c r="AL140" s="347"/>
      <c r="AM140" s="347"/>
      <c r="AN140" s="347"/>
      <c r="AO140" s="347"/>
      <c r="AP140" s="347"/>
      <c r="AQ140" s="347"/>
      <c r="AR140" s="347"/>
      <c r="AS140" s="347"/>
      <c r="CL140" s="1647">
        <f t="shared" si="135"/>
        <v>0</v>
      </c>
      <c r="CM140" s="1671">
        <v>9</v>
      </c>
      <c r="CN140" s="1644">
        <f t="shared" si="115"/>
        <v>273.14999999999998</v>
      </c>
      <c r="CO140" s="1644">
        <f t="shared" si="116"/>
        <v>-33.129143945141777</v>
      </c>
      <c r="CP140" s="1644">
        <f t="shared" si="117"/>
        <v>39.544589235539483</v>
      </c>
      <c r="CQ140" s="1644">
        <f t="shared" si="118"/>
        <v>0.61121286745119141</v>
      </c>
      <c r="CR140" s="1644">
        <f t="shared" si="119"/>
        <v>5.5009158070607224E-2</v>
      </c>
      <c r="CS140" s="1644">
        <f t="shared" si="136"/>
        <v>3.7746786226692361E-3</v>
      </c>
      <c r="CT140" s="1644">
        <f t="shared" si="120"/>
        <v>8.9505694298695176E-2</v>
      </c>
      <c r="CU140" s="505">
        <f t="shared" si="121"/>
        <v>9</v>
      </c>
      <c r="CV140" s="1648">
        <f t="shared" si="122"/>
        <v>0.84497593242200753</v>
      </c>
      <c r="CW140" s="521">
        <f t="shared" si="123"/>
        <v>-31.431026401255433</v>
      </c>
      <c r="CX140" s="522">
        <f t="shared" si="124"/>
        <v>3.3785523087645242E-4</v>
      </c>
      <c r="CZ140" s="1647">
        <f t="shared" si="137"/>
        <v>0</v>
      </c>
      <c r="DA140" s="1671">
        <v>9</v>
      </c>
      <c r="DB140" s="1644">
        <f t="shared" si="125"/>
        <v>273.14999999999998</v>
      </c>
      <c r="DC140" s="1644">
        <f t="shared" si="126"/>
        <v>-33.129143945141777</v>
      </c>
      <c r="DD140" s="1644">
        <f t="shared" si="127"/>
        <v>39.544589235539483</v>
      </c>
      <c r="DE140" s="1644">
        <f t="shared" si="128"/>
        <v>0.61121286745119141</v>
      </c>
      <c r="DF140" s="1644">
        <f t="shared" si="129"/>
        <v>5.5009158070607224E-2</v>
      </c>
      <c r="DG140" s="1644">
        <f t="shared" si="138"/>
        <v>3.7746786226692361E-3</v>
      </c>
      <c r="DH140" s="1644">
        <f t="shared" si="130"/>
        <v>8.9505694298695176E-2</v>
      </c>
      <c r="DI140" s="505">
        <f t="shared" si="131"/>
        <v>9</v>
      </c>
      <c r="DJ140" s="1648">
        <f t="shared" si="132"/>
        <v>0.84497593242200753</v>
      </c>
      <c r="DK140" s="521">
        <f t="shared" si="133"/>
        <v>-31.431026401255433</v>
      </c>
      <c r="DL140" s="522">
        <f t="shared" si="134"/>
        <v>3.3785523087645242E-4</v>
      </c>
    </row>
    <row r="141" spans="2:116">
      <c r="D141" s="347"/>
      <c r="E141" s="347"/>
      <c r="F141" s="347"/>
      <c r="G141" s="347"/>
      <c r="H141" s="347"/>
      <c r="I141" s="347"/>
      <c r="J141" s="347"/>
      <c r="K141" s="347"/>
      <c r="L141" s="347"/>
      <c r="T141" s="347"/>
      <c r="AC141" s="347"/>
      <c r="AK141" s="347"/>
      <c r="AL141" s="347"/>
      <c r="AM141" s="347"/>
      <c r="AN141" s="347"/>
      <c r="AO141" s="347"/>
      <c r="AP141" s="347"/>
      <c r="AQ141" s="347"/>
      <c r="AR141" s="347"/>
      <c r="AS141" s="347"/>
      <c r="CL141" s="1647">
        <f t="shared" si="135"/>
        <v>0</v>
      </c>
      <c r="CM141" s="1671">
        <v>10</v>
      </c>
      <c r="CN141" s="1644">
        <f t="shared" si="115"/>
        <v>273.14999999999998</v>
      </c>
      <c r="CO141" s="1644">
        <f t="shared" si="116"/>
        <v>-33.129143945141777</v>
      </c>
      <c r="CP141" s="1644">
        <f t="shared" si="117"/>
        <v>39.544589235539483</v>
      </c>
      <c r="CQ141" s="1644">
        <f t="shared" si="118"/>
        <v>0.61121286745119141</v>
      </c>
      <c r="CR141" s="1644">
        <f t="shared" si="119"/>
        <v>6.1121286745119144E-2</v>
      </c>
      <c r="CS141" s="1644">
        <f t="shared" si="136"/>
        <v>3.7746786226692361E-3</v>
      </c>
      <c r="CT141" s="1644">
        <f t="shared" si="120"/>
        <v>9.9456774135362011E-2</v>
      </c>
      <c r="CU141" s="505">
        <f t="shared" si="121"/>
        <v>10</v>
      </c>
      <c r="CV141" s="1648">
        <f t="shared" si="122"/>
        <v>0.93891881538019228</v>
      </c>
      <c r="CW141" s="521">
        <f t="shared" si="123"/>
        <v>-30.095348976856112</v>
      </c>
      <c r="CX141" s="522">
        <f t="shared" si="124"/>
        <v>3.7541735920839357E-4</v>
      </c>
      <c r="CZ141" s="1647">
        <f t="shared" si="137"/>
        <v>0</v>
      </c>
      <c r="DA141" s="1671">
        <v>10</v>
      </c>
      <c r="DB141" s="1644">
        <f t="shared" si="125"/>
        <v>273.14999999999998</v>
      </c>
      <c r="DC141" s="1644">
        <f t="shared" si="126"/>
        <v>-33.129143945141777</v>
      </c>
      <c r="DD141" s="1644">
        <f t="shared" si="127"/>
        <v>39.544589235539483</v>
      </c>
      <c r="DE141" s="1644">
        <f t="shared" si="128"/>
        <v>0.61121286745119141</v>
      </c>
      <c r="DF141" s="1644">
        <f t="shared" si="129"/>
        <v>6.1121286745119144E-2</v>
      </c>
      <c r="DG141" s="1644">
        <f t="shared" si="138"/>
        <v>3.7746786226692361E-3</v>
      </c>
      <c r="DH141" s="1644">
        <f t="shared" si="130"/>
        <v>9.9456774135362011E-2</v>
      </c>
      <c r="DI141" s="505">
        <f t="shared" si="131"/>
        <v>10</v>
      </c>
      <c r="DJ141" s="1648">
        <f t="shared" si="132"/>
        <v>0.93891881538019228</v>
      </c>
      <c r="DK141" s="521">
        <f t="shared" si="133"/>
        <v>-30.095348976856112</v>
      </c>
      <c r="DL141" s="522">
        <f t="shared" si="134"/>
        <v>3.7541735920839357E-4</v>
      </c>
    </row>
    <row r="142" spans="2:116">
      <c r="D142" s="347"/>
      <c r="E142" s="347"/>
      <c r="F142" s="347"/>
      <c r="G142" s="347"/>
      <c r="H142" s="347"/>
      <c r="I142" s="347"/>
      <c r="J142" s="347"/>
      <c r="K142" s="347"/>
      <c r="L142" s="347"/>
      <c r="T142" s="347"/>
      <c r="AC142" s="347"/>
      <c r="AK142" s="347"/>
      <c r="AL142" s="347"/>
      <c r="AM142" s="347"/>
      <c r="AN142" s="347"/>
      <c r="AO142" s="347"/>
      <c r="AP142" s="347"/>
      <c r="AQ142" s="347"/>
      <c r="AR142" s="347"/>
      <c r="AS142" s="347"/>
      <c r="CL142" s="1647">
        <f t="shared" si="135"/>
        <v>0</v>
      </c>
      <c r="CM142" s="1671">
        <v>11</v>
      </c>
      <c r="CN142" s="1644">
        <f t="shared" si="115"/>
        <v>273.14999999999998</v>
      </c>
      <c r="CO142" s="1644">
        <f t="shared" si="116"/>
        <v>-33.129143945141777</v>
      </c>
      <c r="CP142" s="1644">
        <f t="shared" si="117"/>
        <v>39.544589235539483</v>
      </c>
      <c r="CQ142" s="1644">
        <f t="shared" si="118"/>
        <v>0.61121286745119141</v>
      </c>
      <c r="CR142" s="1644">
        <f t="shared" si="119"/>
        <v>6.7233415419631057E-2</v>
      </c>
      <c r="CS142" s="1644">
        <f t="shared" si="136"/>
        <v>3.7746786226692361E-3</v>
      </c>
      <c r="CT142" s="1644">
        <f t="shared" si="120"/>
        <v>0.10940905530763916</v>
      </c>
      <c r="CU142" s="505">
        <f t="shared" si="121"/>
        <v>11</v>
      </c>
      <c r="CV142" s="1648">
        <f t="shared" si="122"/>
        <v>1.0328730395126504</v>
      </c>
      <c r="CW142" s="521">
        <f t="shared" si="123"/>
        <v>-28.888081355809522</v>
      </c>
      <c r="CX142" s="522">
        <f t="shared" si="124"/>
        <v>4.1298402219618166E-4</v>
      </c>
      <c r="CZ142" s="1647">
        <f t="shared" si="137"/>
        <v>0</v>
      </c>
      <c r="DA142" s="1671">
        <v>11</v>
      </c>
      <c r="DB142" s="1644">
        <f t="shared" si="125"/>
        <v>273.14999999999998</v>
      </c>
      <c r="DC142" s="1644">
        <f t="shared" si="126"/>
        <v>-33.129143945141777</v>
      </c>
      <c r="DD142" s="1644">
        <f t="shared" si="127"/>
        <v>39.544589235539483</v>
      </c>
      <c r="DE142" s="1644">
        <f t="shared" si="128"/>
        <v>0.61121286745119141</v>
      </c>
      <c r="DF142" s="1644">
        <f t="shared" si="129"/>
        <v>6.7233415419631057E-2</v>
      </c>
      <c r="DG142" s="1644">
        <f t="shared" si="138"/>
        <v>3.7746786226692361E-3</v>
      </c>
      <c r="DH142" s="1644">
        <f t="shared" si="130"/>
        <v>0.10940905530763916</v>
      </c>
      <c r="DI142" s="505">
        <f t="shared" si="131"/>
        <v>11</v>
      </c>
      <c r="DJ142" s="1648">
        <f t="shared" si="132"/>
        <v>1.0328730395126504</v>
      </c>
      <c r="DK142" s="521">
        <f t="shared" si="133"/>
        <v>-28.888081355809522</v>
      </c>
      <c r="DL142" s="522">
        <f t="shared" si="134"/>
        <v>4.1298402219618166E-4</v>
      </c>
    </row>
    <row r="143" spans="2:116">
      <c r="D143" s="347"/>
      <c r="E143" s="347"/>
      <c r="F143" s="347"/>
      <c r="G143" s="347"/>
      <c r="H143" s="347"/>
      <c r="I143" s="347"/>
      <c r="J143" s="347"/>
      <c r="K143" s="347"/>
      <c r="L143" s="347"/>
      <c r="T143" s="347"/>
      <c r="AC143" s="347"/>
      <c r="AK143" s="347"/>
      <c r="AL143" s="347"/>
      <c r="AM143" s="347"/>
      <c r="AN143" s="347"/>
      <c r="AO143" s="347"/>
      <c r="AP143" s="347"/>
      <c r="AQ143" s="347"/>
      <c r="AR143" s="347"/>
      <c r="AS143" s="347"/>
      <c r="CL143" s="1647">
        <f t="shared" si="135"/>
        <v>0</v>
      </c>
      <c r="CM143" s="1671">
        <v>12</v>
      </c>
      <c r="CN143" s="1644">
        <f t="shared" si="115"/>
        <v>273.14999999999998</v>
      </c>
      <c r="CO143" s="1644">
        <f t="shared" si="116"/>
        <v>-33.129143945141777</v>
      </c>
      <c r="CP143" s="1644">
        <f t="shared" si="117"/>
        <v>39.544589235539483</v>
      </c>
      <c r="CQ143" s="1644">
        <f t="shared" si="118"/>
        <v>0.61121286745119141</v>
      </c>
      <c r="CR143" s="1644">
        <f t="shared" si="119"/>
        <v>7.334554409414297E-2</v>
      </c>
      <c r="CS143" s="1644">
        <f t="shared" si="136"/>
        <v>3.7746786226692361E-3</v>
      </c>
      <c r="CT143" s="1644">
        <f t="shared" si="120"/>
        <v>0.11936253803308514</v>
      </c>
      <c r="CU143" s="505">
        <f t="shared" si="121"/>
        <v>12</v>
      </c>
      <c r="CV143" s="1648">
        <f t="shared" si="122"/>
        <v>1.1268386068732363</v>
      </c>
      <c r="CW143" s="521">
        <f t="shared" si="123"/>
        <v>-27.786326978177815</v>
      </c>
      <c r="CX143" s="522">
        <f t="shared" si="124"/>
        <v>4.5055522066103014E-4</v>
      </c>
      <c r="CZ143" s="1647">
        <f t="shared" si="137"/>
        <v>0</v>
      </c>
      <c r="DA143" s="1671">
        <v>12</v>
      </c>
      <c r="DB143" s="1644">
        <f t="shared" si="125"/>
        <v>273.14999999999998</v>
      </c>
      <c r="DC143" s="1644">
        <f t="shared" si="126"/>
        <v>-33.129143945141777</v>
      </c>
      <c r="DD143" s="1644">
        <f t="shared" si="127"/>
        <v>39.544589235539483</v>
      </c>
      <c r="DE143" s="1644">
        <f t="shared" si="128"/>
        <v>0.61121286745119141</v>
      </c>
      <c r="DF143" s="1644">
        <f t="shared" si="129"/>
        <v>7.334554409414297E-2</v>
      </c>
      <c r="DG143" s="1644">
        <f t="shared" si="138"/>
        <v>3.7746786226692361E-3</v>
      </c>
      <c r="DH143" s="1644">
        <f t="shared" si="130"/>
        <v>0.11936253803308514</v>
      </c>
      <c r="DI143" s="505">
        <f t="shared" si="131"/>
        <v>12</v>
      </c>
      <c r="DJ143" s="1648">
        <f t="shared" si="132"/>
        <v>1.1268386068732363</v>
      </c>
      <c r="DK143" s="521">
        <f t="shared" si="133"/>
        <v>-27.786326978177815</v>
      </c>
      <c r="DL143" s="522">
        <f t="shared" si="134"/>
        <v>4.5055522066103014E-4</v>
      </c>
    </row>
    <row r="144" spans="2:116">
      <c r="D144" s="347"/>
      <c r="E144" s="347"/>
      <c r="F144" s="347"/>
      <c r="G144" s="347"/>
      <c r="H144" s="347"/>
      <c r="I144" s="347"/>
      <c r="J144" s="347"/>
      <c r="K144" s="347"/>
      <c r="L144" s="347"/>
      <c r="T144" s="347"/>
      <c r="AC144" s="347"/>
      <c r="AK144" s="347"/>
      <c r="AL144" s="347"/>
      <c r="AM144" s="347"/>
      <c r="AN144" s="347"/>
      <c r="AO144" s="347"/>
      <c r="AP144" s="347"/>
      <c r="AQ144" s="347"/>
      <c r="AR144" s="347"/>
      <c r="AS144" s="347"/>
      <c r="CL144" s="1647">
        <f t="shared" si="135"/>
        <v>0</v>
      </c>
      <c r="CM144" s="1671">
        <v>13</v>
      </c>
      <c r="CN144" s="1644">
        <f t="shared" si="115"/>
        <v>273.14999999999998</v>
      </c>
      <c r="CO144" s="1644">
        <f t="shared" si="116"/>
        <v>-33.129143945141777</v>
      </c>
      <c r="CP144" s="1644">
        <f t="shared" si="117"/>
        <v>39.544589235539483</v>
      </c>
      <c r="CQ144" s="1644">
        <f t="shared" si="118"/>
        <v>0.61121286745119141</v>
      </c>
      <c r="CR144" s="1644">
        <f t="shared" si="119"/>
        <v>7.9457672768654883E-2</v>
      </c>
      <c r="CS144" s="1644">
        <f t="shared" si="136"/>
        <v>3.7746786226692361E-3</v>
      </c>
      <c r="CT144" s="1644">
        <f t="shared" si="120"/>
        <v>0.12931722252931094</v>
      </c>
      <c r="CU144" s="505">
        <f t="shared" si="121"/>
        <v>13</v>
      </c>
      <c r="CV144" s="1648">
        <f t="shared" si="122"/>
        <v>1.2208155195163009</v>
      </c>
      <c r="CW144" s="521">
        <f t="shared" si="123"/>
        <v>-26.772809788004064</v>
      </c>
      <c r="CX144" s="522">
        <f t="shared" si="124"/>
        <v>4.8813095542435056E-4</v>
      </c>
      <c r="CZ144" s="1647">
        <f t="shared" si="137"/>
        <v>0</v>
      </c>
      <c r="DA144" s="1671">
        <v>13</v>
      </c>
      <c r="DB144" s="1644">
        <f t="shared" si="125"/>
        <v>273.14999999999998</v>
      </c>
      <c r="DC144" s="1644">
        <f t="shared" si="126"/>
        <v>-33.129143945141777</v>
      </c>
      <c r="DD144" s="1644">
        <f t="shared" si="127"/>
        <v>39.544589235539483</v>
      </c>
      <c r="DE144" s="1644">
        <f t="shared" si="128"/>
        <v>0.61121286745119141</v>
      </c>
      <c r="DF144" s="1644">
        <f t="shared" si="129"/>
        <v>7.9457672768654883E-2</v>
      </c>
      <c r="DG144" s="1644">
        <f t="shared" si="138"/>
        <v>3.7746786226692361E-3</v>
      </c>
      <c r="DH144" s="1644">
        <f t="shared" si="130"/>
        <v>0.12931722252931094</v>
      </c>
      <c r="DI144" s="505">
        <f t="shared" si="131"/>
        <v>13</v>
      </c>
      <c r="DJ144" s="1648">
        <f t="shared" si="132"/>
        <v>1.2208155195163009</v>
      </c>
      <c r="DK144" s="521">
        <f t="shared" si="133"/>
        <v>-26.772809788004064</v>
      </c>
      <c r="DL144" s="522">
        <f t="shared" si="134"/>
        <v>4.8813095542435056E-4</v>
      </c>
    </row>
    <row r="145" spans="4:116">
      <c r="D145" s="347"/>
      <c r="E145" s="347"/>
      <c r="F145" s="347"/>
      <c r="G145" s="347"/>
      <c r="H145" s="347"/>
      <c r="I145" s="347"/>
      <c r="J145" s="347"/>
      <c r="K145" s="347"/>
      <c r="L145" s="347"/>
      <c r="T145" s="347"/>
      <c r="AC145" s="347"/>
      <c r="AK145" s="347"/>
      <c r="AL145" s="347"/>
      <c r="AM145" s="347"/>
      <c r="AN145" s="347"/>
      <c r="AO145" s="347"/>
      <c r="AP145" s="347"/>
      <c r="AQ145" s="347"/>
      <c r="AR145" s="347"/>
      <c r="AS145" s="347"/>
      <c r="CL145" s="1647">
        <f t="shared" si="135"/>
        <v>0</v>
      </c>
      <c r="CM145" s="1671">
        <v>14</v>
      </c>
      <c r="CN145" s="1644">
        <f t="shared" si="115"/>
        <v>273.14999999999998</v>
      </c>
      <c r="CO145" s="1644">
        <f t="shared" si="116"/>
        <v>-33.129143945141777</v>
      </c>
      <c r="CP145" s="1644">
        <f t="shared" si="117"/>
        <v>39.544589235539483</v>
      </c>
      <c r="CQ145" s="1644">
        <f t="shared" si="118"/>
        <v>0.61121286745119141</v>
      </c>
      <c r="CR145" s="1644">
        <f t="shared" si="119"/>
        <v>8.556980144316681E-2</v>
      </c>
      <c r="CS145" s="1644">
        <f t="shared" si="136"/>
        <v>3.7746786226692361E-3</v>
      </c>
      <c r="CT145" s="1644">
        <f t="shared" si="120"/>
        <v>0.1392731090139801</v>
      </c>
      <c r="CU145" s="505">
        <f t="shared" si="121"/>
        <v>14</v>
      </c>
      <c r="CV145" s="1648">
        <f t="shared" si="122"/>
        <v>1.3148037794966898</v>
      </c>
      <c r="CW145" s="521">
        <f t="shared" si="123"/>
        <v>-25.834175910874038</v>
      </c>
      <c r="CX145" s="522">
        <f t="shared" si="124"/>
        <v>5.257112273077528E-4</v>
      </c>
      <c r="CZ145" s="1647">
        <f t="shared" si="137"/>
        <v>0</v>
      </c>
      <c r="DA145" s="1671">
        <v>14</v>
      </c>
      <c r="DB145" s="1644">
        <f t="shared" si="125"/>
        <v>273.14999999999998</v>
      </c>
      <c r="DC145" s="1644">
        <f t="shared" si="126"/>
        <v>-33.129143945141777</v>
      </c>
      <c r="DD145" s="1644">
        <f t="shared" si="127"/>
        <v>39.544589235539483</v>
      </c>
      <c r="DE145" s="1644">
        <f t="shared" si="128"/>
        <v>0.61121286745119141</v>
      </c>
      <c r="DF145" s="1644">
        <f t="shared" si="129"/>
        <v>8.556980144316681E-2</v>
      </c>
      <c r="DG145" s="1644">
        <f t="shared" si="138"/>
        <v>3.7746786226692361E-3</v>
      </c>
      <c r="DH145" s="1644">
        <f t="shared" si="130"/>
        <v>0.1392731090139801</v>
      </c>
      <c r="DI145" s="505">
        <f t="shared" si="131"/>
        <v>14</v>
      </c>
      <c r="DJ145" s="1648">
        <f t="shared" si="132"/>
        <v>1.3148037794966898</v>
      </c>
      <c r="DK145" s="521">
        <f t="shared" si="133"/>
        <v>-25.834175910874038</v>
      </c>
      <c r="DL145" s="522">
        <f t="shared" si="134"/>
        <v>5.257112273077528E-4</v>
      </c>
    </row>
    <row r="146" spans="4:116">
      <c r="D146" s="347"/>
      <c r="E146" s="347"/>
      <c r="F146" s="347"/>
      <c r="G146" s="347"/>
      <c r="H146" s="347"/>
      <c r="I146" s="347"/>
      <c r="J146" s="347"/>
      <c r="K146" s="347"/>
      <c r="L146" s="347"/>
      <c r="T146" s="347"/>
      <c r="AC146" s="347"/>
      <c r="AK146" s="347"/>
      <c r="AL146" s="347"/>
      <c r="AM146" s="347"/>
      <c r="AN146" s="347"/>
      <c r="AO146" s="347"/>
      <c r="AP146" s="347"/>
      <c r="AQ146" s="347"/>
      <c r="AR146" s="347"/>
      <c r="AS146" s="347"/>
      <c r="CL146" s="1647">
        <f t="shared" si="135"/>
        <v>0</v>
      </c>
      <c r="CM146" s="1671">
        <v>15</v>
      </c>
      <c r="CN146" s="1644">
        <f t="shared" si="115"/>
        <v>273.14999999999998</v>
      </c>
      <c r="CO146" s="1644">
        <f t="shared" si="116"/>
        <v>-33.129143945141777</v>
      </c>
      <c r="CP146" s="1644">
        <f t="shared" si="117"/>
        <v>39.544589235539483</v>
      </c>
      <c r="CQ146" s="1644">
        <f t="shared" si="118"/>
        <v>0.61121286745119141</v>
      </c>
      <c r="CR146" s="1644">
        <f t="shared" si="119"/>
        <v>9.1681930117678709E-2</v>
      </c>
      <c r="CS146" s="1644">
        <f t="shared" si="136"/>
        <v>3.7746786226692361E-3</v>
      </c>
      <c r="CT146" s="1644">
        <f t="shared" si="120"/>
        <v>0.14923019770480869</v>
      </c>
      <c r="CU146" s="505">
        <f t="shared" si="121"/>
        <v>15</v>
      </c>
      <c r="CV146" s="1648">
        <f t="shared" si="122"/>
        <v>1.4088033888697455</v>
      </c>
      <c r="CW146" s="521">
        <f t="shared" si="123"/>
        <v>-24.959891144106283</v>
      </c>
      <c r="CX146" s="522">
        <f t="shared" si="124"/>
        <v>5.6329603713304503E-4</v>
      </c>
      <c r="CZ146" s="1647">
        <f t="shared" si="137"/>
        <v>0</v>
      </c>
      <c r="DA146" s="1671">
        <v>15</v>
      </c>
      <c r="DB146" s="1644">
        <f t="shared" si="125"/>
        <v>273.14999999999998</v>
      </c>
      <c r="DC146" s="1644">
        <f t="shared" si="126"/>
        <v>-33.129143945141777</v>
      </c>
      <c r="DD146" s="1644">
        <f t="shared" si="127"/>
        <v>39.544589235539483</v>
      </c>
      <c r="DE146" s="1644">
        <f t="shared" si="128"/>
        <v>0.61121286745119141</v>
      </c>
      <c r="DF146" s="1644">
        <f t="shared" si="129"/>
        <v>9.1681930117678709E-2</v>
      </c>
      <c r="DG146" s="1644">
        <f t="shared" si="138"/>
        <v>3.7746786226692361E-3</v>
      </c>
      <c r="DH146" s="1644">
        <f t="shared" si="130"/>
        <v>0.14923019770480869</v>
      </c>
      <c r="DI146" s="505">
        <f t="shared" si="131"/>
        <v>15</v>
      </c>
      <c r="DJ146" s="1648">
        <f t="shared" si="132"/>
        <v>1.4088033888697455</v>
      </c>
      <c r="DK146" s="521">
        <f t="shared" si="133"/>
        <v>-24.959891144106283</v>
      </c>
      <c r="DL146" s="522">
        <f t="shared" si="134"/>
        <v>5.6329603713304503E-4</v>
      </c>
    </row>
    <row r="147" spans="4:116">
      <c r="D147" s="347"/>
      <c r="E147" s="347"/>
      <c r="F147" s="347"/>
      <c r="G147" s="347"/>
      <c r="H147" s="347"/>
      <c r="I147" s="347"/>
      <c r="J147" s="347"/>
      <c r="K147" s="347"/>
      <c r="L147" s="347"/>
      <c r="T147" s="347"/>
      <c r="AC147" s="347"/>
      <c r="AK147" s="347"/>
      <c r="AL147" s="347"/>
      <c r="AM147" s="347"/>
      <c r="AN147" s="347"/>
      <c r="AO147" s="347"/>
      <c r="AP147" s="347"/>
      <c r="AQ147" s="347"/>
      <c r="AR147" s="347"/>
      <c r="AS147" s="347"/>
      <c r="CL147" s="1647">
        <f t="shared" si="135"/>
        <v>0</v>
      </c>
      <c r="CM147" s="1671">
        <v>16</v>
      </c>
      <c r="CN147" s="1644">
        <f t="shared" si="115"/>
        <v>273.14999999999998</v>
      </c>
      <c r="CO147" s="1644">
        <f t="shared" si="116"/>
        <v>-33.129143945141777</v>
      </c>
      <c r="CP147" s="1644">
        <f t="shared" si="117"/>
        <v>39.544589235539483</v>
      </c>
      <c r="CQ147" s="1644">
        <f t="shared" si="118"/>
        <v>0.61121286745119141</v>
      </c>
      <c r="CR147" s="1644">
        <f t="shared" si="119"/>
        <v>9.7794058792190622E-2</v>
      </c>
      <c r="CS147" s="1644">
        <f t="shared" si="136"/>
        <v>3.7746786226692361E-3</v>
      </c>
      <c r="CT147" s="1644">
        <f t="shared" si="120"/>
        <v>0.15918848881956546</v>
      </c>
      <c r="CU147" s="505">
        <f t="shared" si="121"/>
        <v>16</v>
      </c>
      <c r="CV147" s="1648">
        <f t="shared" si="122"/>
        <v>1.5028143496913082</v>
      </c>
      <c r="CW147" s="521">
        <f t="shared" si="123"/>
        <v>-24.141500046258781</v>
      </c>
      <c r="CX147" s="522">
        <f t="shared" si="124"/>
        <v>6.0088538572223443E-4</v>
      </c>
      <c r="CZ147" s="1647">
        <f t="shared" si="137"/>
        <v>0</v>
      </c>
      <c r="DA147" s="1671">
        <v>16</v>
      </c>
      <c r="DB147" s="1644">
        <f t="shared" si="125"/>
        <v>273.14999999999998</v>
      </c>
      <c r="DC147" s="1644">
        <f t="shared" si="126"/>
        <v>-33.129143945141777</v>
      </c>
      <c r="DD147" s="1644">
        <f t="shared" si="127"/>
        <v>39.544589235539483</v>
      </c>
      <c r="DE147" s="1644">
        <f t="shared" si="128"/>
        <v>0.61121286745119141</v>
      </c>
      <c r="DF147" s="1644">
        <f t="shared" si="129"/>
        <v>9.7794058792190622E-2</v>
      </c>
      <c r="DG147" s="1644">
        <f t="shared" si="138"/>
        <v>3.7746786226692361E-3</v>
      </c>
      <c r="DH147" s="1644">
        <f t="shared" si="130"/>
        <v>0.15918848881956546</v>
      </c>
      <c r="DI147" s="505">
        <f t="shared" si="131"/>
        <v>16</v>
      </c>
      <c r="DJ147" s="1648">
        <f t="shared" si="132"/>
        <v>1.5028143496913082</v>
      </c>
      <c r="DK147" s="521">
        <f t="shared" si="133"/>
        <v>-24.141500046258781</v>
      </c>
      <c r="DL147" s="522">
        <f t="shared" si="134"/>
        <v>6.0088538572223443E-4</v>
      </c>
    </row>
    <row r="148" spans="4:116">
      <c r="D148" s="347"/>
      <c r="E148" s="347"/>
      <c r="F148" s="347"/>
      <c r="G148" s="347"/>
      <c r="H148" s="347"/>
      <c r="I148" s="347"/>
      <c r="J148" s="347"/>
      <c r="K148" s="347"/>
      <c r="L148" s="347"/>
      <c r="T148" s="347"/>
      <c r="AC148" s="347"/>
      <c r="AK148" s="347"/>
      <c r="AL148" s="347"/>
      <c r="AM148" s="347"/>
      <c r="AN148" s="347"/>
      <c r="AO148" s="347"/>
      <c r="AP148" s="347"/>
      <c r="AQ148" s="347"/>
      <c r="AR148" s="347"/>
      <c r="AS148" s="347"/>
      <c r="CL148" s="1647">
        <f t="shared" si="135"/>
        <v>0</v>
      </c>
      <c r="CM148" s="1671">
        <v>17</v>
      </c>
      <c r="CN148" s="1644">
        <f t="shared" si="115"/>
        <v>273.14999999999998</v>
      </c>
      <c r="CO148" s="1644">
        <f t="shared" si="116"/>
        <v>-33.129143945141777</v>
      </c>
      <c r="CP148" s="1644">
        <f t="shared" si="117"/>
        <v>39.544589235539483</v>
      </c>
      <c r="CQ148" s="1644">
        <f t="shared" si="118"/>
        <v>0.61121286745119141</v>
      </c>
      <c r="CR148" s="1644">
        <f t="shared" si="119"/>
        <v>0.10390618746670255</v>
      </c>
      <c r="CS148" s="1644">
        <f t="shared" si="136"/>
        <v>3.7746786226692361E-3</v>
      </c>
      <c r="CT148" s="1644">
        <f t="shared" si="120"/>
        <v>0.16914798257607169</v>
      </c>
      <c r="CU148" s="505">
        <f t="shared" si="121"/>
        <v>17</v>
      </c>
      <c r="CV148" s="1648">
        <f t="shared" si="122"/>
        <v>1.5968366640177132</v>
      </c>
      <c r="CW148" s="521">
        <f t="shared" si="123"/>
        <v>-23.372113168987241</v>
      </c>
      <c r="CX148" s="522">
        <f t="shared" si="124"/>
        <v>6.3847927389752625E-4</v>
      </c>
      <c r="CZ148" s="1647">
        <f t="shared" si="137"/>
        <v>0</v>
      </c>
      <c r="DA148" s="1671">
        <v>17</v>
      </c>
      <c r="DB148" s="1644">
        <f t="shared" si="125"/>
        <v>273.14999999999998</v>
      </c>
      <c r="DC148" s="1644">
        <f t="shared" si="126"/>
        <v>-33.129143945141777</v>
      </c>
      <c r="DD148" s="1644">
        <f t="shared" si="127"/>
        <v>39.544589235539483</v>
      </c>
      <c r="DE148" s="1644">
        <f t="shared" si="128"/>
        <v>0.61121286745119141</v>
      </c>
      <c r="DF148" s="1644">
        <f t="shared" si="129"/>
        <v>0.10390618746670255</v>
      </c>
      <c r="DG148" s="1644">
        <f t="shared" si="138"/>
        <v>3.7746786226692361E-3</v>
      </c>
      <c r="DH148" s="1644">
        <f t="shared" si="130"/>
        <v>0.16914798257607169</v>
      </c>
      <c r="DI148" s="505">
        <f t="shared" si="131"/>
        <v>17</v>
      </c>
      <c r="DJ148" s="1648">
        <f t="shared" si="132"/>
        <v>1.5968366640177132</v>
      </c>
      <c r="DK148" s="521">
        <f t="shared" si="133"/>
        <v>-23.372113168987241</v>
      </c>
      <c r="DL148" s="522">
        <f t="shared" si="134"/>
        <v>6.3847927389752625E-4</v>
      </c>
    </row>
    <row r="149" spans="4:116">
      <c r="D149" s="347"/>
      <c r="E149" s="347"/>
      <c r="F149" s="347"/>
      <c r="G149" s="347"/>
      <c r="H149" s="347"/>
      <c r="I149" s="347"/>
      <c r="J149" s="347"/>
      <c r="K149" s="347"/>
      <c r="L149" s="347"/>
      <c r="T149" s="347"/>
      <c r="AC149" s="347"/>
      <c r="AK149" s="347"/>
      <c r="AL149" s="347"/>
      <c r="AM149" s="347"/>
      <c r="AN149" s="347"/>
      <c r="AO149" s="347"/>
      <c r="AP149" s="347"/>
      <c r="AQ149" s="347"/>
      <c r="AR149" s="347"/>
      <c r="AS149" s="347"/>
      <c r="CL149" s="1647">
        <f t="shared" si="135"/>
        <v>0</v>
      </c>
      <c r="CM149" s="1671">
        <v>18</v>
      </c>
      <c r="CN149" s="1644">
        <f t="shared" si="115"/>
        <v>273.14999999999998</v>
      </c>
      <c r="CO149" s="1644">
        <f t="shared" si="116"/>
        <v>-33.129143945141777</v>
      </c>
      <c r="CP149" s="1644">
        <f t="shared" si="117"/>
        <v>39.544589235539483</v>
      </c>
      <c r="CQ149" s="1644">
        <f t="shared" si="118"/>
        <v>0.61121286745119141</v>
      </c>
      <c r="CR149" s="1644">
        <f t="shared" si="119"/>
        <v>0.11001831614121445</v>
      </c>
      <c r="CS149" s="1644">
        <f t="shared" si="136"/>
        <v>3.7746786226692361E-3</v>
      </c>
      <c r="CT149" s="1644">
        <f t="shared" si="120"/>
        <v>0.17910867919220122</v>
      </c>
      <c r="CU149" s="505">
        <f t="shared" si="121"/>
        <v>18</v>
      </c>
      <c r="CV149" s="1648">
        <f t="shared" si="122"/>
        <v>1.6908703339057918</v>
      </c>
      <c r="CW149" s="521">
        <f t="shared" si="123"/>
        <v>-22.646043079750001</v>
      </c>
      <c r="CX149" s="522">
        <f t="shared" si="124"/>
        <v>6.7607770248132417E-4</v>
      </c>
      <c r="CZ149" s="1647">
        <f t="shared" si="137"/>
        <v>0</v>
      </c>
      <c r="DA149" s="1671">
        <v>18</v>
      </c>
      <c r="DB149" s="1644">
        <f t="shared" si="125"/>
        <v>273.14999999999998</v>
      </c>
      <c r="DC149" s="1644">
        <f t="shared" si="126"/>
        <v>-33.129143945141777</v>
      </c>
      <c r="DD149" s="1644">
        <f t="shared" si="127"/>
        <v>39.544589235539483</v>
      </c>
      <c r="DE149" s="1644">
        <f t="shared" si="128"/>
        <v>0.61121286745119141</v>
      </c>
      <c r="DF149" s="1644">
        <f t="shared" si="129"/>
        <v>0.11001831614121445</v>
      </c>
      <c r="DG149" s="1644">
        <f t="shared" si="138"/>
        <v>3.7746786226692361E-3</v>
      </c>
      <c r="DH149" s="1644">
        <f t="shared" si="130"/>
        <v>0.17910867919220122</v>
      </c>
      <c r="DI149" s="505">
        <f t="shared" si="131"/>
        <v>18</v>
      </c>
      <c r="DJ149" s="1648">
        <f t="shared" si="132"/>
        <v>1.6908703339057918</v>
      </c>
      <c r="DK149" s="521">
        <f t="shared" si="133"/>
        <v>-22.646043079750001</v>
      </c>
      <c r="DL149" s="522">
        <f t="shared" si="134"/>
        <v>6.7607770248132417E-4</v>
      </c>
    </row>
    <row r="150" spans="4:116">
      <c r="D150" s="347"/>
      <c r="E150" s="347"/>
      <c r="F150" s="347"/>
      <c r="G150" s="347"/>
      <c r="H150" s="347"/>
      <c r="I150" s="347"/>
      <c r="J150" s="347"/>
      <c r="K150" s="347"/>
      <c r="L150" s="347"/>
      <c r="T150" s="347"/>
      <c r="AC150" s="347"/>
      <c r="AK150" s="347"/>
      <c r="AL150" s="347"/>
      <c r="AM150" s="347"/>
      <c r="AN150" s="347"/>
      <c r="AO150" s="347"/>
      <c r="AP150" s="347"/>
      <c r="AQ150" s="347"/>
      <c r="AR150" s="347"/>
      <c r="AS150" s="347"/>
      <c r="CL150" s="1647">
        <f t="shared" si="135"/>
        <v>0</v>
      </c>
      <c r="CM150" s="1671">
        <v>19</v>
      </c>
      <c r="CN150" s="1644">
        <f t="shared" si="115"/>
        <v>273.14999999999998</v>
      </c>
      <c r="CO150" s="1644">
        <f t="shared" si="116"/>
        <v>-33.129143945141777</v>
      </c>
      <c r="CP150" s="1644">
        <f t="shared" si="117"/>
        <v>39.544589235539483</v>
      </c>
      <c r="CQ150" s="1644">
        <f t="shared" si="118"/>
        <v>0.61121286745119141</v>
      </c>
      <c r="CR150" s="1644">
        <f t="shared" si="119"/>
        <v>0.11613044481572637</v>
      </c>
      <c r="CS150" s="1644">
        <f t="shared" si="136"/>
        <v>3.7746786226692361E-3</v>
      </c>
      <c r="CT150" s="1644">
        <f t="shared" si="120"/>
        <v>0.18907057888588066</v>
      </c>
      <c r="CU150" s="505">
        <f t="shared" si="121"/>
        <v>19</v>
      </c>
      <c r="CV150" s="1648">
        <f t="shared" si="122"/>
        <v>1.7849153614128743</v>
      </c>
      <c r="CW150" s="521">
        <f t="shared" si="123"/>
        <v>-21.95854024240823</v>
      </c>
      <c r="CX150" s="522">
        <f t="shared" si="124"/>
        <v>7.1368067229623123E-4</v>
      </c>
      <c r="CZ150" s="1647">
        <f t="shared" si="137"/>
        <v>0</v>
      </c>
      <c r="DA150" s="1671">
        <v>19</v>
      </c>
      <c r="DB150" s="1644">
        <f t="shared" si="125"/>
        <v>273.14999999999998</v>
      </c>
      <c r="DC150" s="1644">
        <f t="shared" si="126"/>
        <v>-33.129143945141777</v>
      </c>
      <c r="DD150" s="1644">
        <f t="shared" si="127"/>
        <v>39.544589235539483</v>
      </c>
      <c r="DE150" s="1644">
        <f t="shared" si="128"/>
        <v>0.61121286745119141</v>
      </c>
      <c r="DF150" s="1644">
        <f t="shared" si="129"/>
        <v>0.11613044481572637</v>
      </c>
      <c r="DG150" s="1644">
        <f t="shared" si="138"/>
        <v>3.7746786226692361E-3</v>
      </c>
      <c r="DH150" s="1644">
        <f t="shared" si="130"/>
        <v>0.18907057888588066</v>
      </c>
      <c r="DI150" s="505">
        <f t="shared" si="131"/>
        <v>19</v>
      </c>
      <c r="DJ150" s="1648">
        <f t="shared" si="132"/>
        <v>1.7849153614128743</v>
      </c>
      <c r="DK150" s="521">
        <f t="shared" si="133"/>
        <v>-21.95854024240823</v>
      </c>
      <c r="DL150" s="522">
        <f t="shared" si="134"/>
        <v>7.1368067229623123E-4</v>
      </c>
    </row>
    <row r="151" spans="4:116">
      <c r="D151" s="347"/>
      <c r="E151" s="347"/>
      <c r="F151" s="347"/>
      <c r="G151" s="347"/>
      <c r="H151" s="347"/>
      <c r="L151" s="347"/>
      <c r="T151" s="347"/>
      <c r="AC151" s="347"/>
      <c r="AK151" s="347"/>
      <c r="AL151" s="347"/>
      <c r="AM151" s="347"/>
      <c r="AN151" s="347"/>
      <c r="AO151" s="347"/>
      <c r="AP151" s="347"/>
      <c r="AQ151" s="347"/>
      <c r="AR151" s="347"/>
      <c r="AS151" s="347"/>
      <c r="CL151" s="1647">
        <f t="shared" si="135"/>
        <v>0</v>
      </c>
      <c r="CM151" s="1671">
        <v>20</v>
      </c>
      <c r="CN151" s="1644">
        <f t="shared" si="115"/>
        <v>273.14999999999998</v>
      </c>
      <c r="CO151" s="1644">
        <f t="shared" si="116"/>
        <v>-33.129143945141777</v>
      </c>
      <c r="CP151" s="1644">
        <f t="shared" si="117"/>
        <v>39.544589235539483</v>
      </c>
      <c r="CQ151" s="1644">
        <f t="shared" si="118"/>
        <v>0.61121286745119141</v>
      </c>
      <c r="CR151" s="1644">
        <f t="shared" si="119"/>
        <v>0.12224257349023829</v>
      </c>
      <c r="CS151" s="1644">
        <f t="shared" si="136"/>
        <v>3.7746786226692361E-3</v>
      </c>
      <c r="CT151" s="1644">
        <f t="shared" si="120"/>
        <v>0.19903368187508919</v>
      </c>
      <c r="CU151" s="505">
        <f t="shared" si="121"/>
        <v>20</v>
      </c>
      <c r="CV151" s="1648">
        <f t="shared" si="122"/>
        <v>1.8789717485967865</v>
      </c>
      <c r="CW151" s="521">
        <f t="shared" si="123"/>
        <v>-21.305597612026681</v>
      </c>
      <c r="CX151" s="522">
        <f t="shared" si="124"/>
        <v>7.5128818416504858E-4</v>
      </c>
      <c r="CZ151" s="1647">
        <f t="shared" si="137"/>
        <v>0</v>
      </c>
      <c r="DA151" s="1671">
        <v>20</v>
      </c>
      <c r="DB151" s="1644">
        <f t="shared" si="125"/>
        <v>273.14999999999998</v>
      </c>
      <c r="DC151" s="1644">
        <f t="shared" si="126"/>
        <v>-33.129143945141777</v>
      </c>
      <c r="DD151" s="1644">
        <f t="shared" si="127"/>
        <v>39.544589235539483</v>
      </c>
      <c r="DE151" s="1644">
        <f t="shared" si="128"/>
        <v>0.61121286745119141</v>
      </c>
      <c r="DF151" s="1644">
        <f t="shared" si="129"/>
        <v>0.12224257349023829</v>
      </c>
      <c r="DG151" s="1644">
        <f t="shared" si="138"/>
        <v>3.7746786226692361E-3</v>
      </c>
      <c r="DH151" s="1644">
        <f t="shared" si="130"/>
        <v>0.19903368187508919</v>
      </c>
      <c r="DI151" s="505">
        <f t="shared" si="131"/>
        <v>20</v>
      </c>
      <c r="DJ151" s="1648">
        <f t="shared" si="132"/>
        <v>1.8789717485967865</v>
      </c>
      <c r="DK151" s="521">
        <f t="shared" si="133"/>
        <v>-21.305597612026681</v>
      </c>
      <c r="DL151" s="522">
        <f t="shared" si="134"/>
        <v>7.5128818416504858E-4</v>
      </c>
    </row>
    <row r="152" spans="4:116">
      <c r="L152" s="347"/>
      <c r="T152" s="347"/>
      <c r="AC152" s="347"/>
      <c r="AK152" s="347"/>
      <c r="AL152" s="347"/>
      <c r="AM152" s="347"/>
      <c r="AN152" s="347"/>
      <c r="AO152" s="347"/>
      <c r="AP152" s="347"/>
      <c r="AQ152" s="347"/>
      <c r="AR152" s="347"/>
      <c r="AS152" s="347"/>
      <c r="CL152" s="1647">
        <f t="shared" si="135"/>
        <v>0</v>
      </c>
      <c r="CM152" s="1671">
        <v>21</v>
      </c>
      <c r="CN152" s="1644">
        <f t="shared" si="115"/>
        <v>273.14999999999998</v>
      </c>
      <c r="CO152" s="1644">
        <f t="shared" si="116"/>
        <v>-33.129143945141777</v>
      </c>
      <c r="CP152" s="1644">
        <f t="shared" si="117"/>
        <v>39.544589235539483</v>
      </c>
      <c r="CQ152" s="1644">
        <f t="shared" si="118"/>
        <v>0.61121286745119141</v>
      </c>
      <c r="CR152" s="1644">
        <f t="shared" si="119"/>
        <v>0.1283547021647502</v>
      </c>
      <c r="CS152" s="1644">
        <f t="shared" si="136"/>
        <v>3.7746786226692361E-3</v>
      </c>
      <c r="CT152" s="1644">
        <f t="shared" si="120"/>
        <v>0.20899798837785866</v>
      </c>
      <c r="CU152" s="505">
        <f t="shared" si="121"/>
        <v>21</v>
      </c>
      <c r="CV152" s="1648">
        <f t="shared" si="122"/>
        <v>1.9730394975158521</v>
      </c>
      <c r="CW152" s="521">
        <f t="shared" si="123"/>
        <v>-20.683803566267006</v>
      </c>
      <c r="CX152" s="522">
        <f t="shared" si="124"/>
        <v>7.8890023891077651E-4</v>
      </c>
      <c r="CZ152" s="1647">
        <f t="shared" si="137"/>
        <v>0</v>
      </c>
      <c r="DA152" s="1671">
        <v>21</v>
      </c>
      <c r="DB152" s="1644">
        <f t="shared" si="125"/>
        <v>273.14999999999998</v>
      </c>
      <c r="DC152" s="1644">
        <f t="shared" si="126"/>
        <v>-33.129143945141777</v>
      </c>
      <c r="DD152" s="1644">
        <f t="shared" si="127"/>
        <v>39.544589235539483</v>
      </c>
      <c r="DE152" s="1644">
        <f t="shared" si="128"/>
        <v>0.61121286745119141</v>
      </c>
      <c r="DF152" s="1644">
        <f t="shared" si="129"/>
        <v>0.1283547021647502</v>
      </c>
      <c r="DG152" s="1644">
        <f t="shared" si="138"/>
        <v>3.7746786226692361E-3</v>
      </c>
      <c r="DH152" s="1644">
        <f t="shared" si="130"/>
        <v>0.20899798837785866</v>
      </c>
      <c r="DI152" s="505">
        <f t="shared" si="131"/>
        <v>21</v>
      </c>
      <c r="DJ152" s="1648">
        <f t="shared" si="132"/>
        <v>1.9730394975158521</v>
      </c>
      <c r="DK152" s="521">
        <f t="shared" si="133"/>
        <v>-20.683803566267006</v>
      </c>
      <c r="DL152" s="522">
        <f t="shared" si="134"/>
        <v>7.8890023891077651E-4</v>
      </c>
    </row>
    <row r="153" spans="4:116">
      <c r="L153" s="347"/>
      <c r="T153" s="347"/>
      <c r="AC153" s="347"/>
      <c r="AK153" s="347"/>
      <c r="AL153" s="347"/>
      <c r="AM153" s="347"/>
      <c r="AN153" s="347"/>
      <c r="AO153" s="347"/>
      <c r="AP153" s="347"/>
      <c r="AQ153" s="347"/>
      <c r="AR153" s="347"/>
      <c r="AS153" s="347"/>
      <c r="CL153" s="1647">
        <f t="shared" si="135"/>
        <v>0</v>
      </c>
      <c r="CM153" s="1671">
        <v>22</v>
      </c>
      <c r="CN153" s="1644">
        <f t="shared" si="115"/>
        <v>273.14999999999998</v>
      </c>
      <c r="CO153" s="1644">
        <f t="shared" si="116"/>
        <v>-33.129143945141777</v>
      </c>
      <c r="CP153" s="1644">
        <f t="shared" si="117"/>
        <v>39.544589235539483</v>
      </c>
      <c r="CQ153" s="1644">
        <f t="shared" si="118"/>
        <v>0.61121286745119141</v>
      </c>
      <c r="CR153" s="1644">
        <f t="shared" si="119"/>
        <v>0.13446683083926211</v>
      </c>
      <c r="CS153" s="1644">
        <f t="shared" si="136"/>
        <v>3.7746786226692361E-3</v>
      </c>
      <c r="CT153" s="1644">
        <f t="shared" si="120"/>
        <v>0.21896349861227349</v>
      </c>
      <c r="CU153" s="505">
        <f t="shared" si="121"/>
        <v>22</v>
      </c>
      <c r="CV153" s="1648">
        <f t="shared" si="122"/>
        <v>2.0671186102288908</v>
      </c>
      <c r="CW153" s="521">
        <f t="shared" si="123"/>
        <v>-20.090229510345161</v>
      </c>
      <c r="CX153" s="522">
        <f t="shared" si="124"/>
        <v>8.2651683735661364E-4</v>
      </c>
      <c r="CZ153" s="1647">
        <f t="shared" si="137"/>
        <v>0</v>
      </c>
      <c r="DA153" s="1671">
        <v>22</v>
      </c>
      <c r="DB153" s="1644">
        <f t="shared" si="125"/>
        <v>273.14999999999998</v>
      </c>
      <c r="DC153" s="1644">
        <f t="shared" si="126"/>
        <v>-33.129143945141777</v>
      </c>
      <c r="DD153" s="1644">
        <f t="shared" si="127"/>
        <v>39.544589235539483</v>
      </c>
      <c r="DE153" s="1644">
        <f t="shared" si="128"/>
        <v>0.61121286745119141</v>
      </c>
      <c r="DF153" s="1644">
        <f t="shared" si="129"/>
        <v>0.13446683083926211</v>
      </c>
      <c r="DG153" s="1644">
        <f t="shared" si="138"/>
        <v>3.7746786226692361E-3</v>
      </c>
      <c r="DH153" s="1644">
        <f t="shared" si="130"/>
        <v>0.21896349861227349</v>
      </c>
      <c r="DI153" s="505">
        <f t="shared" si="131"/>
        <v>22</v>
      </c>
      <c r="DJ153" s="1648">
        <f t="shared" si="132"/>
        <v>2.0671186102288908</v>
      </c>
      <c r="DK153" s="521">
        <f t="shared" si="133"/>
        <v>-20.090229510345161</v>
      </c>
      <c r="DL153" s="522">
        <f t="shared" si="134"/>
        <v>8.2651683735661364E-4</v>
      </c>
    </row>
    <row r="154" spans="4:116">
      <c r="L154" s="347"/>
      <c r="T154" s="347"/>
      <c r="AC154" s="347"/>
      <c r="AK154" s="347"/>
      <c r="AL154" s="347"/>
      <c r="AM154" s="347"/>
      <c r="AN154" s="347"/>
      <c r="AO154" s="347"/>
      <c r="AP154" s="347"/>
      <c r="AQ154" s="347"/>
      <c r="AR154" s="347"/>
      <c r="AS154" s="347"/>
      <c r="CL154" s="1647">
        <f t="shared" si="135"/>
        <v>0</v>
      </c>
      <c r="CM154" s="1671">
        <v>23</v>
      </c>
      <c r="CN154" s="1644">
        <f t="shared" si="115"/>
        <v>273.14999999999998</v>
      </c>
      <c r="CO154" s="1644">
        <f t="shared" si="116"/>
        <v>-33.129143945141777</v>
      </c>
      <c r="CP154" s="1644">
        <f t="shared" si="117"/>
        <v>39.544589235539483</v>
      </c>
      <c r="CQ154" s="1644">
        <f t="shared" si="118"/>
        <v>0.61121286745119141</v>
      </c>
      <c r="CR154" s="1644">
        <f t="shared" si="119"/>
        <v>0.14057895951377403</v>
      </c>
      <c r="CS154" s="1644">
        <f t="shared" si="136"/>
        <v>3.7746786226692361E-3</v>
      </c>
      <c r="CT154" s="1644">
        <f t="shared" si="120"/>
        <v>0.22893021279647099</v>
      </c>
      <c r="CU154" s="505">
        <f t="shared" si="121"/>
        <v>23</v>
      </c>
      <c r="CV154" s="1648">
        <f t="shared" si="122"/>
        <v>2.1612090887952218</v>
      </c>
      <c r="CW154" s="521">
        <f t="shared" si="123"/>
        <v>-19.522342793240952</v>
      </c>
      <c r="CX154" s="522">
        <f t="shared" si="124"/>
        <v>8.6413798032595828E-4</v>
      </c>
      <c r="CZ154" s="1647">
        <f t="shared" si="137"/>
        <v>0</v>
      </c>
      <c r="DA154" s="1671">
        <v>23</v>
      </c>
      <c r="DB154" s="1644">
        <f t="shared" si="125"/>
        <v>273.14999999999998</v>
      </c>
      <c r="DC154" s="1644">
        <f t="shared" si="126"/>
        <v>-33.129143945141777</v>
      </c>
      <c r="DD154" s="1644">
        <f t="shared" si="127"/>
        <v>39.544589235539483</v>
      </c>
      <c r="DE154" s="1644">
        <f t="shared" si="128"/>
        <v>0.61121286745119141</v>
      </c>
      <c r="DF154" s="1644">
        <f t="shared" si="129"/>
        <v>0.14057895951377403</v>
      </c>
      <c r="DG154" s="1644">
        <f t="shared" si="138"/>
        <v>3.7746786226692361E-3</v>
      </c>
      <c r="DH154" s="1644">
        <f t="shared" si="130"/>
        <v>0.22893021279647099</v>
      </c>
      <c r="DI154" s="505">
        <f t="shared" si="131"/>
        <v>23</v>
      </c>
      <c r="DJ154" s="1648">
        <f t="shared" si="132"/>
        <v>2.1612090887952218</v>
      </c>
      <c r="DK154" s="521">
        <f t="shared" si="133"/>
        <v>-19.522342793240952</v>
      </c>
      <c r="DL154" s="522">
        <f t="shared" si="134"/>
        <v>8.6413798032595828E-4</v>
      </c>
    </row>
    <row r="155" spans="4:116">
      <c r="L155" s="347"/>
      <c r="T155" s="347"/>
      <c r="AC155" s="347"/>
      <c r="AK155" s="347"/>
      <c r="AL155" s="347"/>
      <c r="AM155" s="347"/>
      <c r="AN155" s="347"/>
      <c r="AO155" s="347"/>
      <c r="AP155" s="347"/>
      <c r="AQ155" s="347"/>
      <c r="AR155" s="347"/>
      <c r="AS155" s="347"/>
      <c r="CL155" s="1647">
        <f t="shared" si="135"/>
        <v>0</v>
      </c>
      <c r="CM155" s="1671">
        <v>24</v>
      </c>
      <c r="CN155" s="1644">
        <f t="shared" si="115"/>
        <v>273.14999999999998</v>
      </c>
      <c r="CO155" s="1644">
        <f t="shared" si="116"/>
        <v>-33.129143945141777</v>
      </c>
      <c r="CP155" s="1644">
        <f t="shared" si="117"/>
        <v>39.544589235539483</v>
      </c>
      <c r="CQ155" s="1644">
        <f t="shared" si="118"/>
        <v>0.61121286745119141</v>
      </c>
      <c r="CR155" s="1644">
        <f t="shared" si="119"/>
        <v>0.14669108818828594</v>
      </c>
      <c r="CS155" s="1644">
        <f t="shared" si="136"/>
        <v>3.7746786226692361E-3</v>
      </c>
      <c r="CT155" s="1644">
        <f t="shared" si="120"/>
        <v>0.23889813114864111</v>
      </c>
      <c r="CU155" s="505">
        <f t="shared" si="121"/>
        <v>24</v>
      </c>
      <c r="CV155" s="1648">
        <f t="shared" si="122"/>
        <v>2.2553109352746601</v>
      </c>
      <c r="CW155" s="521">
        <f t="shared" si="123"/>
        <v>-18.9779383936458</v>
      </c>
      <c r="CX155" s="522">
        <f t="shared" si="124"/>
        <v>9.0176366864240715E-4</v>
      </c>
      <c r="CZ155" s="1647">
        <f t="shared" si="137"/>
        <v>0</v>
      </c>
      <c r="DA155" s="1671">
        <v>24</v>
      </c>
      <c r="DB155" s="1644">
        <f t="shared" si="125"/>
        <v>273.14999999999998</v>
      </c>
      <c r="DC155" s="1644">
        <f t="shared" si="126"/>
        <v>-33.129143945141777</v>
      </c>
      <c r="DD155" s="1644">
        <f t="shared" si="127"/>
        <v>39.544589235539483</v>
      </c>
      <c r="DE155" s="1644">
        <f t="shared" si="128"/>
        <v>0.61121286745119141</v>
      </c>
      <c r="DF155" s="1644">
        <f t="shared" si="129"/>
        <v>0.14669108818828594</v>
      </c>
      <c r="DG155" s="1644">
        <f t="shared" si="138"/>
        <v>3.7746786226692361E-3</v>
      </c>
      <c r="DH155" s="1644">
        <f t="shared" si="130"/>
        <v>0.23889813114864111</v>
      </c>
      <c r="DI155" s="505">
        <f t="shared" si="131"/>
        <v>24</v>
      </c>
      <c r="DJ155" s="1648">
        <f t="shared" si="132"/>
        <v>2.2553109352746601</v>
      </c>
      <c r="DK155" s="521">
        <f t="shared" si="133"/>
        <v>-18.9779383936458</v>
      </c>
      <c r="DL155" s="522">
        <f t="shared" si="134"/>
        <v>9.0176366864240715E-4</v>
      </c>
    </row>
    <row r="156" spans="4:116">
      <c r="L156" s="347"/>
      <c r="T156" s="347"/>
      <c r="AC156" s="347"/>
      <c r="AK156" s="347"/>
      <c r="AL156" s="347"/>
      <c r="AM156" s="347"/>
      <c r="AN156" s="347"/>
      <c r="AO156" s="347"/>
      <c r="AP156" s="347"/>
      <c r="AQ156" s="347"/>
      <c r="AR156" s="347"/>
      <c r="AS156" s="347"/>
      <c r="CL156" s="1647">
        <f t="shared" si="135"/>
        <v>0</v>
      </c>
      <c r="CM156" s="1671">
        <v>25</v>
      </c>
      <c r="CN156" s="1644">
        <f t="shared" si="115"/>
        <v>273.14999999999998</v>
      </c>
      <c r="CO156" s="1644">
        <f t="shared" si="116"/>
        <v>-33.129143945141777</v>
      </c>
      <c r="CP156" s="1644">
        <f t="shared" si="117"/>
        <v>39.544589235539483</v>
      </c>
      <c r="CQ156" s="1644">
        <f t="shared" si="118"/>
        <v>0.61121286745119141</v>
      </c>
      <c r="CR156" s="1644">
        <f t="shared" si="119"/>
        <v>0.15280321686279785</v>
      </c>
      <c r="CS156" s="1644">
        <f t="shared" si="136"/>
        <v>3.7746786226692361E-3</v>
      </c>
      <c r="CT156" s="1644">
        <f t="shared" si="120"/>
        <v>0.24886725388702644</v>
      </c>
      <c r="CU156" s="505">
        <f t="shared" si="121"/>
        <v>25</v>
      </c>
      <c r="CV156" s="1648">
        <f t="shared" si="122"/>
        <v>2.3494241517275198</v>
      </c>
      <c r="CW156" s="521">
        <f t="shared" si="123"/>
        <v>-18.455084724110506</v>
      </c>
      <c r="CX156" s="522">
        <f t="shared" si="124"/>
        <v>9.3939390312975605E-4</v>
      </c>
      <c r="CZ156" s="1647">
        <f t="shared" si="137"/>
        <v>0</v>
      </c>
      <c r="DA156" s="1671">
        <v>25</v>
      </c>
      <c r="DB156" s="1644">
        <f t="shared" si="125"/>
        <v>273.14999999999998</v>
      </c>
      <c r="DC156" s="1644">
        <f t="shared" si="126"/>
        <v>-33.129143945141777</v>
      </c>
      <c r="DD156" s="1644">
        <f t="shared" si="127"/>
        <v>39.544589235539483</v>
      </c>
      <c r="DE156" s="1644">
        <f t="shared" si="128"/>
        <v>0.61121286745119141</v>
      </c>
      <c r="DF156" s="1644">
        <f t="shared" si="129"/>
        <v>0.15280321686279785</v>
      </c>
      <c r="DG156" s="1644">
        <f t="shared" si="138"/>
        <v>3.7746786226692361E-3</v>
      </c>
      <c r="DH156" s="1644">
        <f t="shared" si="130"/>
        <v>0.24886725388702644</v>
      </c>
      <c r="DI156" s="505">
        <f t="shared" si="131"/>
        <v>25</v>
      </c>
      <c r="DJ156" s="1648">
        <f t="shared" si="132"/>
        <v>2.3494241517275198</v>
      </c>
      <c r="DK156" s="521">
        <f t="shared" si="133"/>
        <v>-18.455084724110506</v>
      </c>
      <c r="DL156" s="522">
        <f t="shared" si="134"/>
        <v>9.3939390312975605E-4</v>
      </c>
    </row>
    <row r="157" spans="4:116">
      <c r="L157" s="347"/>
      <c r="T157" s="347"/>
      <c r="AC157" s="347"/>
      <c r="AK157" s="347"/>
      <c r="AL157" s="347"/>
      <c r="AM157" s="347"/>
      <c r="AN157" s="347"/>
      <c r="AO157" s="347"/>
      <c r="AP157" s="347"/>
      <c r="AQ157" s="347"/>
      <c r="AR157" s="347"/>
      <c r="AS157" s="347"/>
      <c r="CL157" s="1647">
        <f t="shared" si="135"/>
        <v>0</v>
      </c>
      <c r="CM157" s="1671">
        <v>26</v>
      </c>
      <c r="CN157" s="1644">
        <f t="shared" si="115"/>
        <v>273.14999999999998</v>
      </c>
      <c r="CO157" s="1644">
        <f t="shared" si="116"/>
        <v>-33.129143945141777</v>
      </c>
      <c r="CP157" s="1644">
        <f t="shared" si="117"/>
        <v>39.544589235539483</v>
      </c>
      <c r="CQ157" s="1644">
        <f t="shared" si="118"/>
        <v>0.61121286745119141</v>
      </c>
      <c r="CR157" s="1644">
        <f t="shared" si="119"/>
        <v>0.15891534553730977</v>
      </c>
      <c r="CS157" s="1644">
        <f t="shared" si="136"/>
        <v>3.7746786226692361E-3</v>
      </c>
      <c r="CT157" s="1644">
        <f t="shared" si="120"/>
        <v>0.25883758122992245</v>
      </c>
      <c r="CU157" s="505">
        <f t="shared" si="121"/>
        <v>26</v>
      </c>
      <c r="CV157" s="1648">
        <f t="shared" si="122"/>
        <v>2.4435487402146125</v>
      </c>
      <c r="CW157" s="521">
        <f t="shared" si="123"/>
        <v>-17.952080192758054</v>
      </c>
      <c r="CX157" s="522">
        <f t="shared" si="124"/>
        <v>9.7702868461200013E-4</v>
      </c>
      <c r="CZ157" s="1647">
        <f t="shared" si="137"/>
        <v>0</v>
      </c>
      <c r="DA157" s="1671">
        <v>26</v>
      </c>
      <c r="DB157" s="1644">
        <f t="shared" si="125"/>
        <v>273.14999999999998</v>
      </c>
      <c r="DC157" s="1644">
        <f t="shared" si="126"/>
        <v>-33.129143945141777</v>
      </c>
      <c r="DD157" s="1644">
        <f t="shared" si="127"/>
        <v>39.544589235539483</v>
      </c>
      <c r="DE157" s="1644">
        <f t="shared" si="128"/>
        <v>0.61121286745119141</v>
      </c>
      <c r="DF157" s="1644">
        <f t="shared" si="129"/>
        <v>0.15891534553730977</v>
      </c>
      <c r="DG157" s="1644">
        <f t="shared" si="138"/>
        <v>3.7746786226692361E-3</v>
      </c>
      <c r="DH157" s="1644">
        <f t="shared" si="130"/>
        <v>0.25883758122992245</v>
      </c>
      <c r="DI157" s="505">
        <f t="shared" si="131"/>
        <v>26</v>
      </c>
      <c r="DJ157" s="1648">
        <f t="shared" si="132"/>
        <v>2.4435487402146125</v>
      </c>
      <c r="DK157" s="521">
        <f t="shared" si="133"/>
        <v>-17.952080192758054</v>
      </c>
      <c r="DL157" s="522">
        <f t="shared" si="134"/>
        <v>9.7702868461200013E-4</v>
      </c>
    </row>
    <row r="158" spans="4:116">
      <c r="L158" s="347"/>
      <c r="T158" s="347"/>
      <c r="AC158" s="347"/>
      <c r="AK158" s="347"/>
      <c r="AL158" s="347"/>
      <c r="AM158" s="347"/>
      <c r="AN158" s="347"/>
      <c r="AO158" s="347"/>
      <c r="AP158" s="347"/>
      <c r="AQ158" s="347"/>
      <c r="AR158" s="347"/>
      <c r="AS158" s="347"/>
      <c r="CL158" s="1647">
        <f t="shared" si="135"/>
        <v>0</v>
      </c>
      <c r="CM158" s="1671">
        <v>27</v>
      </c>
      <c r="CN158" s="1644">
        <f t="shared" si="115"/>
        <v>273.14999999999998</v>
      </c>
      <c r="CO158" s="1644">
        <f t="shared" si="116"/>
        <v>-33.129143945141777</v>
      </c>
      <c r="CP158" s="1644">
        <f t="shared" si="117"/>
        <v>39.544589235539483</v>
      </c>
      <c r="CQ158" s="1644">
        <f t="shared" si="118"/>
        <v>0.61121286745119141</v>
      </c>
      <c r="CR158" s="1644">
        <f t="shared" si="119"/>
        <v>0.16502747421182168</v>
      </c>
      <c r="CS158" s="1644">
        <f t="shared" si="136"/>
        <v>3.7746786226692361E-3</v>
      </c>
      <c r="CT158" s="1644">
        <f t="shared" si="120"/>
        <v>0.26880911339567715</v>
      </c>
      <c r="CU158" s="505">
        <f t="shared" si="121"/>
        <v>27</v>
      </c>
      <c r="CV158" s="1648">
        <f t="shared" si="122"/>
        <v>2.5376847027972462</v>
      </c>
      <c r="CW158" s="521">
        <f t="shared" si="123"/>
        <v>-17.467418059171738</v>
      </c>
      <c r="CX158" s="522">
        <f t="shared" si="124"/>
        <v>1.0146680139133332E-3</v>
      </c>
      <c r="CZ158" s="1647">
        <f t="shared" si="137"/>
        <v>0</v>
      </c>
      <c r="DA158" s="1671">
        <v>27</v>
      </c>
      <c r="DB158" s="1644">
        <f t="shared" si="125"/>
        <v>273.14999999999998</v>
      </c>
      <c r="DC158" s="1644">
        <f t="shared" si="126"/>
        <v>-33.129143945141777</v>
      </c>
      <c r="DD158" s="1644">
        <f t="shared" si="127"/>
        <v>39.544589235539483</v>
      </c>
      <c r="DE158" s="1644">
        <f t="shared" si="128"/>
        <v>0.61121286745119141</v>
      </c>
      <c r="DF158" s="1644">
        <f t="shared" si="129"/>
        <v>0.16502747421182168</v>
      </c>
      <c r="DG158" s="1644">
        <f t="shared" si="138"/>
        <v>3.7746786226692361E-3</v>
      </c>
      <c r="DH158" s="1644">
        <f t="shared" si="130"/>
        <v>0.26880911339567715</v>
      </c>
      <c r="DI158" s="505">
        <f t="shared" si="131"/>
        <v>27</v>
      </c>
      <c r="DJ158" s="1648">
        <f t="shared" si="132"/>
        <v>2.5376847027972462</v>
      </c>
      <c r="DK158" s="521">
        <f t="shared" si="133"/>
        <v>-17.467418059171738</v>
      </c>
      <c r="DL158" s="522">
        <f t="shared" si="134"/>
        <v>1.0146680139133332E-3</v>
      </c>
    </row>
    <row r="159" spans="4:116">
      <c r="L159" s="347"/>
      <c r="T159" s="347"/>
      <c r="AC159" s="347"/>
      <c r="AK159" s="347"/>
      <c r="AL159" s="347"/>
      <c r="AM159" s="347"/>
      <c r="AN159" s="347"/>
      <c r="AO159" s="347"/>
      <c r="AP159" s="347"/>
      <c r="AQ159" s="347"/>
      <c r="AR159" s="347"/>
      <c r="AS159" s="347"/>
      <c r="CL159" s="1647">
        <f t="shared" si="135"/>
        <v>0</v>
      </c>
      <c r="CM159" s="1671">
        <v>28</v>
      </c>
      <c r="CN159" s="1644">
        <f t="shared" si="115"/>
        <v>273.14999999999998</v>
      </c>
      <c r="CO159" s="1644">
        <f t="shared" si="116"/>
        <v>-33.129143945141777</v>
      </c>
      <c r="CP159" s="1644">
        <f t="shared" si="117"/>
        <v>39.544589235539483</v>
      </c>
      <c r="CQ159" s="1644">
        <f t="shared" si="118"/>
        <v>0.61121286745119141</v>
      </c>
      <c r="CR159" s="1644">
        <f t="shared" si="119"/>
        <v>0.17113960288633362</v>
      </c>
      <c r="CS159" s="1644">
        <f t="shared" si="136"/>
        <v>3.7746786226692361E-3</v>
      </c>
      <c r="CT159" s="1644">
        <f t="shared" si="120"/>
        <v>0.27878185060269167</v>
      </c>
      <c r="CU159" s="505">
        <f t="shared" si="121"/>
        <v>28</v>
      </c>
      <c r="CV159" s="1648">
        <f t="shared" si="122"/>
        <v>2.6318320415372307</v>
      </c>
      <c r="CW159" s="521">
        <f t="shared" si="123"/>
        <v>-16.999757754703474</v>
      </c>
      <c r="CX159" s="522">
        <f t="shared" si="124"/>
        <v>1.052311891858149E-3</v>
      </c>
      <c r="CZ159" s="1647">
        <f t="shared" si="137"/>
        <v>0</v>
      </c>
      <c r="DA159" s="1671">
        <v>28</v>
      </c>
      <c r="DB159" s="1644">
        <f t="shared" si="125"/>
        <v>273.14999999999998</v>
      </c>
      <c r="DC159" s="1644">
        <f t="shared" si="126"/>
        <v>-33.129143945141777</v>
      </c>
      <c r="DD159" s="1644">
        <f t="shared" si="127"/>
        <v>39.544589235539483</v>
      </c>
      <c r="DE159" s="1644">
        <f t="shared" si="128"/>
        <v>0.61121286745119141</v>
      </c>
      <c r="DF159" s="1644">
        <f t="shared" si="129"/>
        <v>0.17113960288633362</v>
      </c>
      <c r="DG159" s="1644">
        <f t="shared" si="138"/>
        <v>3.7746786226692361E-3</v>
      </c>
      <c r="DH159" s="1644">
        <f t="shared" si="130"/>
        <v>0.27878185060269167</v>
      </c>
      <c r="DI159" s="505">
        <f t="shared" si="131"/>
        <v>28</v>
      </c>
      <c r="DJ159" s="1648">
        <f t="shared" si="132"/>
        <v>2.6318320415372307</v>
      </c>
      <c r="DK159" s="521">
        <f t="shared" si="133"/>
        <v>-16.999757754703474</v>
      </c>
      <c r="DL159" s="522">
        <f t="shared" si="134"/>
        <v>1.052311891858149E-3</v>
      </c>
    </row>
    <row r="160" spans="4:116">
      <c r="L160" s="347"/>
      <c r="T160" s="347"/>
      <c r="AC160" s="347"/>
      <c r="AK160" s="347"/>
      <c r="AL160" s="347"/>
      <c r="AM160" s="347"/>
      <c r="AN160" s="347"/>
      <c r="AO160" s="347"/>
      <c r="AP160" s="347"/>
      <c r="AQ160" s="347"/>
      <c r="AR160" s="347"/>
      <c r="AS160" s="347"/>
      <c r="CL160" s="1647">
        <f t="shared" si="135"/>
        <v>0</v>
      </c>
      <c r="CM160" s="1671">
        <v>29</v>
      </c>
      <c r="CN160" s="1644">
        <f t="shared" si="115"/>
        <v>273.14999999999998</v>
      </c>
      <c r="CO160" s="1644">
        <f t="shared" si="116"/>
        <v>-33.129143945141777</v>
      </c>
      <c r="CP160" s="1644">
        <f t="shared" si="117"/>
        <v>39.544589235539483</v>
      </c>
      <c r="CQ160" s="1644">
        <f t="shared" si="118"/>
        <v>0.61121286745119141</v>
      </c>
      <c r="CR160" s="1644">
        <f t="shared" si="119"/>
        <v>0.1772517315608455</v>
      </c>
      <c r="CS160" s="1644">
        <f t="shared" si="136"/>
        <v>3.7746786226692361E-3</v>
      </c>
      <c r="CT160" s="1644">
        <f t="shared" si="120"/>
        <v>0.28875579306941956</v>
      </c>
      <c r="CU160" s="505">
        <f t="shared" si="121"/>
        <v>29</v>
      </c>
      <c r="CV160" s="1648">
        <f t="shared" si="122"/>
        <v>2.7259907584968701</v>
      </c>
      <c r="CW160" s="521">
        <f t="shared" si="123"/>
        <v>-16.547901291486603</v>
      </c>
      <c r="CX160" s="522">
        <f t="shared" si="124"/>
        <v>1.0899603192710396E-3</v>
      </c>
      <c r="CZ160" s="1647">
        <f t="shared" si="137"/>
        <v>0</v>
      </c>
      <c r="DA160" s="1671">
        <v>29</v>
      </c>
      <c r="DB160" s="1644">
        <f t="shared" si="125"/>
        <v>273.14999999999998</v>
      </c>
      <c r="DC160" s="1644">
        <f t="shared" si="126"/>
        <v>-33.129143945141777</v>
      </c>
      <c r="DD160" s="1644">
        <f t="shared" si="127"/>
        <v>39.544589235539483</v>
      </c>
      <c r="DE160" s="1644">
        <f t="shared" si="128"/>
        <v>0.61121286745119141</v>
      </c>
      <c r="DF160" s="1644">
        <f t="shared" si="129"/>
        <v>0.1772517315608455</v>
      </c>
      <c r="DG160" s="1644">
        <f t="shared" si="138"/>
        <v>3.7746786226692361E-3</v>
      </c>
      <c r="DH160" s="1644">
        <f t="shared" si="130"/>
        <v>0.28875579306941956</v>
      </c>
      <c r="DI160" s="505">
        <f t="shared" si="131"/>
        <v>29</v>
      </c>
      <c r="DJ160" s="1648">
        <f t="shared" si="132"/>
        <v>2.7259907584968701</v>
      </c>
      <c r="DK160" s="521">
        <f t="shared" si="133"/>
        <v>-16.547901291486603</v>
      </c>
      <c r="DL160" s="522">
        <f t="shared" si="134"/>
        <v>1.0899603192710396E-3</v>
      </c>
    </row>
    <row r="161" spans="12:116">
      <c r="L161" s="347"/>
      <c r="T161" s="347"/>
      <c r="AC161" s="347"/>
      <c r="AK161" s="347"/>
      <c r="AL161" s="347"/>
      <c r="AM161" s="347"/>
      <c r="AN161" s="347"/>
      <c r="AO161" s="347"/>
      <c r="AP161" s="347"/>
      <c r="AQ161" s="347"/>
      <c r="AR161" s="347"/>
      <c r="AS161" s="347"/>
      <c r="CL161" s="1647">
        <f t="shared" si="135"/>
        <v>0</v>
      </c>
      <c r="CM161" s="1671">
        <v>30</v>
      </c>
      <c r="CN161" s="1644">
        <f t="shared" si="115"/>
        <v>273.14999999999998</v>
      </c>
      <c r="CO161" s="1644">
        <f t="shared" si="116"/>
        <v>-33.129143945141777</v>
      </c>
      <c r="CP161" s="1644">
        <f t="shared" si="117"/>
        <v>39.544589235539483</v>
      </c>
      <c r="CQ161" s="1644">
        <f t="shared" si="118"/>
        <v>0.61121286745119141</v>
      </c>
      <c r="CR161" s="1644">
        <f t="shared" si="119"/>
        <v>0.18336386023535742</v>
      </c>
      <c r="CS161" s="1644">
        <f t="shared" si="136"/>
        <v>3.7746786226692361E-3</v>
      </c>
      <c r="CT161" s="1644">
        <f t="shared" si="120"/>
        <v>0.29873094101436742</v>
      </c>
      <c r="CU161" s="505">
        <f t="shared" si="121"/>
        <v>30</v>
      </c>
      <c r="CV161" s="1648">
        <f t="shared" si="122"/>
        <v>2.8201608557389699</v>
      </c>
      <c r="CW161" s="521">
        <f t="shared" si="123"/>
        <v>-16.110773714170637</v>
      </c>
      <c r="CX161" s="522">
        <f t="shared" si="124"/>
        <v>1.1276132969767973E-3</v>
      </c>
      <c r="CZ161" s="1647">
        <f t="shared" si="137"/>
        <v>0</v>
      </c>
      <c r="DA161" s="1671">
        <v>30</v>
      </c>
      <c r="DB161" s="1644">
        <f t="shared" si="125"/>
        <v>273.14999999999998</v>
      </c>
      <c r="DC161" s="1644">
        <f t="shared" si="126"/>
        <v>-33.129143945141777</v>
      </c>
      <c r="DD161" s="1644">
        <f t="shared" si="127"/>
        <v>39.544589235539483</v>
      </c>
      <c r="DE161" s="1644">
        <f t="shared" si="128"/>
        <v>0.61121286745119141</v>
      </c>
      <c r="DF161" s="1644">
        <f t="shared" si="129"/>
        <v>0.18336386023535742</v>
      </c>
      <c r="DG161" s="1644">
        <f t="shared" si="138"/>
        <v>3.7746786226692361E-3</v>
      </c>
      <c r="DH161" s="1644">
        <f t="shared" si="130"/>
        <v>0.29873094101436742</v>
      </c>
      <c r="DI161" s="505">
        <f t="shared" si="131"/>
        <v>30</v>
      </c>
      <c r="DJ161" s="1648">
        <f t="shared" si="132"/>
        <v>2.8201608557389699</v>
      </c>
      <c r="DK161" s="521">
        <f t="shared" si="133"/>
        <v>-16.110773714170637</v>
      </c>
      <c r="DL161" s="522">
        <f t="shared" si="134"/>
        <v>1.1276132969767973E-3</v>
      </c>
    </row>
    <row r="162" spans="12:116">
      <c r="L162" s="347"/>
      <c r="T162" s="347"/>
      <c r="AC162" s="347"/>
      <c r="AK162" s="347"/>
      <c r="AL162" s="347"/>
      <c r="AM162" s="347"/>
      <c r="AN162" s="347"/>
      <c r="AO162" s="347"/>
      <c r="AP162" s="347"/>
      <c r="AQ162" s="347"/>
      <c r="AR162" s="347"/>
      <c r="AS162" s="347"/>
      <c r="CL162" s="1647">
        <f t="shared" si="135"/>
        <v>0</v>
      </c>
      <c r="CM162" s="1671">
        <v>31</v>
      </c>
      <c r="CN162" s="1644">
        <f t="shared" si="115"/>
        <v>273.14999999999998</v>
      </c>
      <c r="CO162" s="1644">
        <f t="shared" si="116"/>
        <v>-33.129143945141777</v>
      </c>
      <c r="CP162" s="1644">
        <f t="shared" si="117"/>
        <v>39.544589235539483</v>
      </c>
      <c r="CQ162" s="1644">
        <f t="shared" si="118"/>
        <v>0.61121286745119141</v>
      </c>
      <c r="CR162" s="1644">
        <f t="shared" si="119"/>
        <v>0.18947598890986933</v>
      </c>
      <c r="CS162" s="1644">
        <f t="shared" si="136"/>
        <v>3.7746786226692361E-3</v>
      </c>
      <c r="CT162" s="1644">
        <f t="shared" si="120"/>
        <v>0.30870729465609459</v>
      </c>
      <c r="CU162" s="505">
        <f t="shared" si="121"/>
        <v>31</v>
      </c>
      <c r="CV162" s="1648">
        <f t="shared" si="122"/>
        <v>2.9143423353268334</v>
      </c>
      <c r="CW162" s="521">
        <f t="shared" si="123"/>
        <v>-15.687406790829579</v>
      </c>
      <c r="CX162" s="522">
        <f t="shared" si="124"/>
        <v>1.1652708258004132E-3</v>
      </c>
      <c r="CZ162" s="1647">
        <f t="shared" si="137"/>
        <v>0</v>
      </c>
      <c r="DA162" s="1671">
        <v>31</v>
      </c>
      <c r="DB162" s="1644">
        <f t="shared" si="125"/>
        <v>273.14999999999998</v>
      </c>
      <c r="DC162" s="1644">
        <f t="shared" si="126"/>
        <v>-33.129143945141777</v>
      </c>
      <c r="DD162" s="1644">
        <f t="shared" si="127"/>
        <v>39.544589235539483</v>
      </c>
      <c r="DE162" s="1644">
        <f t="shared" si="128"/>
        <v>0.61121286745119141</v>
      </c>
      <c r="DF162" s="1644">
        <f t="shared" si="129"/>
        <v>0.18947598890986933</v>
      </c>
      <c r="DG162" s="1644">
        <f t="shared" si="138"/>
        <v>3.7746786226692361E-3</v>
      </c>
      <c r="DH162" s="1644">
        <f t="shared" si="130"/>
        <v>0.30870729465609459</v>
      </c>
      <c r="DI162" s="505">
        <f t="shared" si="131"/>
        <v>31</v>
      </c>
      <c r="DJ162" s="1648">
        <f t="shared" si="132"/>
        <v>2.9143423353268334</v>
      </c>
      <c r="DK162" s="521">
        <f t="shared" si="133"/>
        <v>-15.687406790829579</v>
      </c>
      <c r="DL162" s="522">
        <f t="shared" si="134"/>
        <v>1.1652708258004132E-3</v>
      </c>
    </row>
    <row r="163" spans="12:116">
      <c r="L163" s="347"/>
      <c r="T163" s="347"/>
      <c r="AC163" s="347"/>
      <c r="AK163" s="347"/>
      <c r="AL163" s="347"/>
      <c r="AM163" s="347"/>
      <c r="AN163" s="347"/>
      <c r="AO163" s="347"/>
      <c r="AP163" s="347"/>
      <c r="AQ163" s="347"/>
      <c r="AR163" s="347"/>
      <c r="AS163" s="347"/>
      <c r="CL163" s="1647">
        <f t="shared" si="135"/>
        <v>0</v>
      </c>
      <c r="CM163" s="1671">
        <v>32</v>
      </c>
      <c r="CN163" s="1644">
        <f t="shared" si="115"/>
        <v>273.14999999999998</v>
      </c>
      <c r="CO163" s="1644">
        <f t="shared" si="116"/>
        <v>-33.129143945141777</v>
      </c>
      <c r="CP163" s="1644">
        <f t="shared" si="117"/>
        <v>39.544589235539483</v>
      </c>
      <c r="CQ163" s="1644">
        <f t="shared" si="118"/>
        <v>0.61121286745119141</v>
      </c>
      <c r="CR163" s="1644">
        <f t="shared" si="119"/>
        <v>0.19558811758438124</v>
      </c>
      <c r="CS163" s="1644">
        <f t="shared" si="136"/>
        <v>3.7746786226692361E-3</v>
      </c>
      <c r="CT163" s="1644">
        <f t="shared" si="120"/>
        <v>0.3186848542132133</v>
      </c>
      <c r="CU163" s="505">
        <f t="shared" si="121"/>
        <v>32</v>
      </c>
      <c r="CV163" s="1648">
        <f t="shared" si="122"/>
        <v>3.0085351993242626</v>
      </c>
      <c r="CW163" s="521">
        <f t="shared" si="123"/>
        <v>-15.276925319792293</v>
      </c>
      <c r="CX163" s="522">
        <f t="shared" si="124"/>
        <v>1.2029329065670782E-3</v>
      </c>
      <c r="CZ163" s="1647">
        <f t="shared" si="137"/>
        <v>0</v>
      </c>
      <c r="DA163" s="1671">
        <v>32</v>
      </c>
      <c r="DB163" s="1644">
        <f t="shared" si="125"/>
        <v>273.14999999999998</v>
      </c>
      <c r="DC163" s="1644">
        <f t="shared" si="126"/>
        <v>-33.129143945141777</v>
      </c>
      <c r="DD163" s="1644">
        <f t="shared" si="127"/>
        <v>39.544589235539483</v>
      </c>
      <c r="DE163" s="1644">
        <f t="shared" si="128"/>
        <v>0.61121286745119141</v>
      </c>
      <c r="DF163" s="1644">
        <f t="shared" si="129"/>
        <v>0.19558811758438124</v>
      </c>
      <c r="DG163" s="1644">
        <f t="shared" si="138"/>
        <v>3.7746786226692361E-3</v>
      </c>
      <c r="DH163" s="1644">
        <f t="shared" si="130"/>
        <v>0.3186848542132133</v>
      </c>
      <c r="DI163" s="505">
        <f t="shared" si="131"/>
        <v>32</v>
      </c>
      <c r="DJ163" s="1648">
        <f t="shared" si="132"/>
        <v>3.0085351993242626</v>
      </c>
      <c r="DK163" s="521">
        <f t="shared" si="133"/>
        <v>-15.276925319792293</v>
      </c>
      <c r="DL163" s="522">
        <f t="shared" si="134"/>
        <v>1.2029329065670782E-3</v>
      </c>
    </row>
    <row r="164" spans="12:116">
      <c r="L164" s="347"/>
      <c r="T164" s="347"/>
      <c r="AC164" s="347"/>
      <c r="AK164" s="347"/>
      <c r="AL164" s="347"/>
      <c r="AM164" s="347"/>
      <c r="AN164" s="347"/>
      <c r="AO164" s="347"/>
      <c r="AP164" s="347"/>
      <c r="AQ164" s="347"/>
      <c r="AR164" s="347"/>
      <c r="AS164" s="347"/>
      <c r="CL164" s="1647">
        <f t="shared" si="135"/>
        <v>0</v>
      </c>
      <c r="CM164" s="1671">
        <v>33</v>
      </c>
      <c r="CN164" s="1644">
        <f t="shared" si="115"/>
        <v>273.14999999999998</v>
      </c>
      <c r="CO164" s="1644">
        <f t="shared" si="116"/>
        <v>-33.129143945141777</v>
      </c>
      <c r="CP164" s="1644">
        <f t="shared" si="117"/>
        <v>39.544589235539483</v>
      </c>
      <c r="CQ164" s="1644">
        <f t="shared" si="118"/>
        <v>0.61121286745119141</v>
      </c>
      <c r="CR164" s="1644">
        <f t="shared" si="119"/>
        <v>0.20170024625889318</v>
      </c>
      <c r="CS164" s="1644">
        <f t="shared" si="136"/>
        <v>3.7746786226692361E-3</v>
      </c>
      <c r="CT164" s="1644">
        <f t="shared" si="120"/>
        <v>0.32866361990438858</v>
      </c>
      <c r="CU164" s="505">
        <f t="shared" si="121"/>
        <v>33</v>
      </c>
      <c r="CV164" s="1648">
        <f t="shared" si="122"/>
        <v>3.1027394497955592</v>
      </c>
      <c r="CW164" s="521">
        <f t="shared" si="123"/>
        <v>-14.878535564657552</v>
      </c>
      <c r="CX164" s="522">
        <f t="shared" si="124"/>
        <v>1.2405995401021828E-3</v>
      </c>
      <c r="CZ164" s="1647">
        <f t="shared" si="137"/>
        <v>0</v>
      </c>
      <c r="DA164" s="1671">
        <v>33</v>
      </c>
      <c r="DB164" s="1644">
        <f t="shared" si="125"/>
        <v>273.14999999999998</v>
      </c>
      <c r="DC164" s="1644">
        <f t="shared" si="126"/>
        <v>-33.129143945141777</v>
      </c>
      <c r="DD164" s="1644">
        <f t="shared" si="127"/>
        <v>39.544589235539483</v>
      </c>
      <c r="DE164" s="1644">
        <f t="shared" si="128"/>
        <v>0.61121286745119141</v>
      </c>
      <c r="DF164" s="1644">
        <f t="shared" si="129"/>
        <v>0.20170024625889318</v>
      </c>
      <c r="DG164" s="1644">
        <f t="shared" si="138"/>
        <v>3.7746786226692361E-3</v>
      </c>
      <c r="DH164" s="1644">
        <f t="shared" si="130"/>
        <v>0.32866361990438858</v>
      </c>
      <c r="DI164" s="505">
        <f t="shared" si="131"/>
        <v>33</v>
      </c>
      <c r="DJ164" s="1648">
        <f t="shared" si="132"/>
        <v>3.1027394497955592</v>
      </c>
      <c r="DK164" s="521">
        <f t="shared" si="133"/>
        <v>-14.878535564657552</v>
      </c>
      <c r="DL164" s="522">
        <f t="shared" si="134"/>
        <v>1.2405995401021828E-3</v>
      </c>
    </row>
    <row r="165" spans="12:116">
      <c r="L165" s="347"/>
      <c r="T165" s="347"/>
      <c r="AC165" s="347"/>
      <c r="AK165" s="347"/>
      <c r="AL165" s="347"/>
      <c r="AM165" s="347"/>
      <c r="AN165" s="347"/>
      <c r="AO165" s="347"/>
      <c r="AP165" s="347"/>
      <c r="AQ165" s="347"/>
      <c r="AR165" s="347"/>
      <c r="AS165" s="347"/>
      <c r="CL165" s="1647">
        <f t="shared" si="135"/>
        <v>0</v>
      </c>
      <c r="CM165" s="1671">
        <v>34</v>
      </c>
      <c r="CN165" s="1644">
        <f t="shared" si="115"/>
        <v>273.14999999999998</v>
      </c>
      <c r="CO165" s="1644">
        <f t="shared" si="116"/>
        <v>-33.129143945141777</v>
      </c>
      <c r="CP165" s="1644">
        <f t="shared" si="117"/>
        <v>39.544589235539483</v>
      </c>
      <c r="CQ165" s="1644">
        <f t="shared" si="118"/>
        <v>0.61121286745119141</v>
      </c>
      <c r="CR165" s="1644">
        <f t="shared" si="119"/>
        <v>0.2078123749334051</v>
      </c>
      <c r="CS165" s="1644">
        <f t="shared" si="136"/>
        <v>3.7746786226692361E-3</v>
      </c>
      <c r="CT165" s="1644">
        <f t="shared" si="120"/>
        <v>0.33864359194833815</v>
      </c>
      <c r="CU165" s="505">
        <f t="shared" si="121"/>
        <v>34</v>
      </c>
      <c r="CV165" s="1648">
        <f t="shared" si="122"/>
        <v>3.1969550888055212</v>
      </c>
      <c r="CW165" s="521">
        <f t="shared" si="123"/>
        <v>-14.491515432621791</v>
      </c>
      <c r="CX165" s="522">
        <f t="shared" si="124"/>
        <v>1.2782707272313159E-3</v>
      </c>
      <c r="CZ165" s="1647">
        <f t="shared" si="137"/>
        <v>0</v>
      </c>
      <c r="DA165" s="1671">
        <v>34</v>
      </c>
      <c r="DB165" s="1644">
        <f t="shared" si="125"/>
        <v>273.14999999999998</v>
      </c>
      <c r="DC165" s="1644">
        <f t="shared" si="126"/>
        <v>-33.129143945141777</v>
      </c>
      <c r="DD165" s="1644">
        <f t="shared" si="127"/>
        <v>39.544589235539483</v>
      </c>
      <c r="DE165" s="1644">
        <f t="shared" si="128"/>
        <v>0.61121286745119141</v>
      </c>
      <c r="DF165" s="1644">
        <f t="shared" si="129"/>
        <v>0.2078123749334051</v>
      </c>
      <c r="DG165" s="1644">
        <f t="shared" si="138"/>
        <v>3.7746786226692361E-3</v>
      </c>
      <c r="DH165" s="1644">
        <f t="shared" si="130"/>
        <v>0.33864359194833815</v>
      </c>
      <c r="DI165" s="505">
        <f t="shared" si="131"/>
        <v>34</v>
      </c>
      <c r="DJ165" s="1648">
        <f t="shared" si="132"/>
        <v>3.1969550888055212</v>
      </c>
      <c r="DK165" s="521">
        <f t="shared" si="133"/>
        <v>-14.491515432621791</v>
      </c>
      <c r="DL165" s="522">
        <f t="shared" si="134"/>
        <v>1.2782707272313159E-3</v>
      </c>
    </row>
    <row r="166" spans="12:116">
      <c r="L166" s="347"/>
      <c r="T166" s="347"/>
      <c r="AC166" s="347"/>
      <c r="AK166" s="347"/>
      <c r="AL166" s="347"/>
      <c r="AM166" s="347"/>
      <c r="AN166" s="347"/>
      <c r="AO166" s="347"/>
      <c r="AP166" s="347"/>
      <c r="AQ166" s="347"/>
      <c r="AR166" s="347"/>
      <c r="AS166" s="347"/>
      <c r="CL166" s="1647">
        <f t="shared" si="135"/>
        <v>0</v>
      </c>
      <c r="CM166" s="1671">
        <v>35</v>
      </c>
      <c r="CN166" s="1644">
        <f t="shared" si="115"/>
        <v>273.14999999999998</v>
      </c>
      <c r="CO166" s="1644">
        <f t="shared" si="116"/>
        <v>-33.129143945141777</v>
      </c>
      <c r="CP166" s="1644">
        <f t="shared" si="117"/>
        <v>39.544589235539483</v>
      </c>
      <c r="CQ166" s="1644">
        <f t="shared" si="118"/>
        <v>0.61121286745119141</v>
      </c>
      <c r="CR166" s="1644">
        <f t="shared" si="119"/>
        <v>0.21392450360791698</v>
      </c>
      <c r="CS166" s="1644">
        <f t="shared" si="136"/>
        <v>3.7746786226692361E-3</v>
      </c>
      <c r="CT166" s="1644">
        <f t="shared" si="120"/>
        <v>0.34862477056383295</v>
      </c>
      <c r="CU166" s="505">
        <f t="shared" si="121"/>
        <v>35</v>
      </c>
      <c r="CV166" s="1648">
        <f t="shared" si="122"/>
        <v>3.2911821184194485</v>
      </c>
      <c r="CW166" s="521">
        <f t="shared" si="123"/>
        <v>-14.115206090051286</v>
      </c>
      <c r="CX166" s="522">
        <f t="shared" si="124"/>
        <v>1.3159464687802673E-3</v>
      </c>
      <c r="CZ166" s="1647">
        <f t="shared" si="137"/>
        <v>0</v>
      </c>
      <c r="DA166" s="1671">
        <v>35</v>
      </c>
      <c r="DB166" s="1644">
        <f t="shared" si="125"/>
        <v>273.14999999999998</v>
      </c>
      <c r="DC166" s="1644">
        <f t="shared" si="126"/>
        <v>-33.129143945141777</v>
      </c>
      <c r="DD166" s="1644">
        <f t="shared" si="127"/>
        <v>39.544589235539483</v>
      </c>
      <c r="DE166" s="1644">
        <f t="shared" si="128"/>
        <v>0.61121286745119141</v>
      </c>
      <c r="DF166" s="1644">
        <f t="shared" si="129"/>
        <v>0.21392450360791698</v>
      </c>
      <c r="DG166" s="1644">
        <f t="shared" si="138"/>
        <v>3.7746786226692361E-3</v>
      </c>
      <c r="DH166" s="1644">
        <f t="shared" si="130"/>
        <v>0.34862477056383295</v>
      </c>
      <c r="DI166" s="505">
        <f t="shared" si="131"/>
        <v>35</v>
      </c>
      <c r="DJ166" s="1648">
        <f t="shared" si="132"/>
        <v>3.2911821184194485</v>
      </c>
      <c r="DK166" s="521">
        <f t="shared" si="133"/>
        <v>-14.115206090051286</v>
      </c>
      <c r="DL166" s="522">
        <f t="shared" si="134"/>
        <v>1.3159464687802673E-3</v>
      </c>
    </row>
    <row r="167" spans="12:116">
      <c r="L167" s="347"/>
      <c r="T167" s="347"/>
      <c r="AC167" s="347"/>
      <c r="AK167" s="347"/>
      <c r="AL167" s="347"/>
      <c r="AM167" s="347"/>
      <c r="AN167" s="347"/>
      <c r="AO167" s="347"/>
      <c r="AP167" s="347"/>
      <c r="AQ167" s="347"/>
      <c r="AR167" s="347"/>
      <c r="AS167" s="347"/>
      <c r="CL167" s="1647">
        <f t="shared" si="135"/>
        <v>0</v>
      </c>
      <c r="CM167" s="1671">
        <v>36</v>
      </c>
      <c r="CN167" s="1644">
        <f t="shared" si="115"/>
        <v>273.14999999999998</v>
      </c>
      <c r="CO167" s="1644">
        <f t="shared" si="116"/>
        <v>-33.129143945141777</v>
      </c>
      <c r="CP167" s="1644">
        <f t="shared" si="117"/>
        <v>39.544589235539483</v>
      </c>
      <c r="CQ167" s="1644">
        <f t="shared" si="118"/>
        <v>0.61121286745119141</v>
      </c>
      <c r="CR167" s="1644">
        <f t="shared" si="119"/>
        <v>0.2200366322824289</v>
      </c>
      <c r="CS167" s="1644">
        <f t="shared" si="136"/>
        <v>3.7746786226692361E-3</v>
      </c>
      <c r="CT167" s="1644">
        <f t="shared" si="120"/>
        <v>0.35860715596969678</v>
      </c>
      <c r="CU167" s="505">
        <f t="shared" si="121"/>
        <v>36</v>
      </c>
      <c r="CV167" s="1648">
        <f t="shared" si="122"/>
        <v>3.3854205407031421</v>
      </c>
      <c r="CW167" s="521">
        <f t="shared" si="123"/>
        <v>-13.749004770123806</v>
      </c>
      <c r="CX167" s="522">
        <f t="shared" si="124"/>
        <v>1.3536267655750269E-3</v>
      </c>
      <c r="CZ167" s="1647">
        <f t="shared" si="137"/>
        <v>0</v>
      </c>
      <c r="DA167" s="1671">
        <v>36</v>
      </c>
      <c r="DB167" s="1644">
        <f t="shared" si="125"/>
        <v>273.14999999999998</v>
      </c>
      <c r="DC167" s="1644">
        <f t="shared" si="126"/>
        <v>-33.129143945141777</v>
      </c>
      <c r="DD167" s="1644">
        <f t="shared" si="127"/>
        <v>39.544589235539483</v>
      </c>
      <c r="DE167" s="1644">
        <f t="shared" si="128"/>
        <v>0.61121286745119141</v>
      </c>
      <c r="DF167" s="1644">
        <f t="shared" si="129"/>
        <v>0.2200366322824289</v>
      </c>
      <c r="DG167" s="1644">
        <f t="shared" si="138"/>
        <v>3.7746786226692361E-3</v>
      </c>
      <c r="DH167" s="1644">
        <f t="shared" si="130"/>
        <v>0.35860715596969678</v>
      </c>
      <c r="DI167" s="505">
        <f t="shared" si="131"/>
        <v>36</v>
      </c>
      <c r="DJ167" s="1648">
        <f t="shared" si="132"/>
        <v>3.3854205407031421</v>
      </c>
      <c r="DK167" s="521">
        <f t="shared" si="133"/>
        <v>-13.749004770123806</v>
      </c>
      <c r="DL167" s="522">
        <f t="shared" si="134"/>
        <v>1.3536267655750269E-3</v>
      </c>
    </row>
    <row r="168" spans="12:116">
      <c r="L168" s="347"/>
      <c r="T168" s="347"/>
      <c r="AC168" s="347"/>
      <c r="AK168" s="347"/>
      <c r="AL168" s="347"/>
      <c r="AM168" s="347"/>
      <c r="AN168" s="347"/>
      <c r="AO168" s="347"/>
      <c r="AP168" s="347"/>
      <c r="AQ168" s="347"/>
      <c r="AR168" s="347"/>
      <c r="AS168" s="347"/>
      <c r="CL168" s="1647">
        <f t="shared" si="135"/>
        <v>0</v>
      </c>
      <c r="CM168" s="1671">
        <v>37</v>
      </c>
      <c r="CN168" s="1644">
        <f t="shared" si="115"/>
        <v>273.14999999999998</v>
      </c>
      <c r="CO168" s="1644">
        <f t="shared" si="116"/>
        <v>-33.129143945141777</v>
      </c>
      <c r="CP168" s="1644">
        <f t="shared" si="117"/>
        <v>39.544589235539483</v>
      </c>
      <c r="CQ168" s="1644">
        <f t="shared" si="118"/>
        <v>0.61121286745119141</v>
      </c>
      <c r="CR168" s="1644">
        <f t="shared" si="119"/>
        <v>0.22614876095694081</v>
      </c>
      <c r="CS168" s="1644">
        <f t="shared" si="136"/>
        <v>3.7746786226692361E-3</v>
      </c>
      <c r="CT168" s="1644">
        <f t="shared" si="120"/>
        <v>0.36859074838480604</v>
      </c>
      <c r="CU168" s="505">
        <f t="shared" si="121"/>
        <v>37</v>
      </c>
      <c r="CV168" s="1648">
        <f t="shared" si="122"/>
        <v>3.4796703577228985</v>
      </c>
      <c r="CW168" s="521">
        <f t="shared" si="123"/>
        <v>-13.392358574798283</v>
      </c>
      <c r="CX168" s="522">
        <f t="shared" si="124"/>
        <v>1.3913116184417827E-3</v>
      </c>
      <c r="CZ168" s="1647">
        <f t="shared" si="137"/>
        <v>0</v>
      </c>
      <c r="DA168" s="1671">
        <v>37</v>
      </c>
      <c r="DB168" s="1644">
        <f t="shared" si="125"/>
        <v>273.14999999999998</v>
      </c>
      <c r="DC168" s="1644">
        <f t="shared" si="126"/>
        <v>-33.129143945141777</v>
      </c>
      <c r="DD168" s="1644">
        <f t="shared" si="127"/>
        <v>39.544589235539483</v>
      </c>
      <c r="DE168" s="1644">
        <f t="shared" si="128"/>
        <v>0.61121286745119141</v>
      </c>
      <c r="DF168" s="1644">
        <f t="shared" si="129"/>
        <v>0.22614876095694081</v>
      </c>
      <c r="DG168" s="1644">
        <f t="shared" si="138"/>
        <v>3.7746786226692361E-3</v>
      </c>
      <c r="DH168" s="1644">
        <f t="shared" si="130"/>
        <v>0.36859074838480604</v>
      </c>
      <c r="DI168" s="505">
        <f t="shared" si="131"/>
        <v>37</v>
      </c>
      <c r="DJ168" s="1648">
        <f t="shared" si="132"/>
        <v>3.4796703577228985</v>
      </c>
      <c r="DK168" s="521">
        <f t="shared" si="133"/>
        <v>-13.392358574798283</v>
      </c>
      <c r="DL168" s="522">
        <f t="shared" si="134"/>
        <v>1.3913116184417827E-3</v>
      </c>
    </row>
    <row r="169" spans="12:116">
      <c r="L169" s="347"/>
      <c r="T169" s="347"/>
      <c r="AC169" s="347"/>
      <c r="AK169" s="347"/>
      <c r="AL169" s="347"/>
      <c r="AM169" s="347"/>
      <c r="AN169" s="347"/>
      <c r="AO169" s="347"/>
      <c r="AP169" s="347"/>
      <c r="AQ169" s="347"/>
      <c r="AR169" s="347"/>
      <c r="AS169" s="347"/>
      <c r="CL169" s="1647">
        <f t="shared" si="135"/>
        <v>0</v>
      </c>
      <c r="CM169" s="1671">
        <v>38</v>
      </c>
      <c r="CN169" s="1644">
        <f t="shared" si="115"/>
        <v>273.14999999999998</v>
      </c>
      <c r="CO169" s="1644">
        <f t="shared" si="116"/>
        <v>-33.129143945141777</v>
      </c>
      <c r="CP169" s="1644">
        <f t="shared" si="117"/>
        <v>39.544589235539483</v>
      </c>
      <c r="CQ169" s="1644">
        <f t="shared" si="118"/>
        <v>0.61121286745119141</v>
      </c>
      <c r="CR169" s="1644">
        <f t="shared" si="119"/>
        <v>0.23226088963145275</v>
      </c>
      <c r="CS169" s="1644">
        <f t="shared" si="136"/>
        <v>3.7746786226692361E-3</v>
      </c>
      <c r="CT169" s="1644">
        <f t="shared" si="120"/>
        <v>0.37857554802809046</v>
      </c>
      <c r="CU169" s="505">
        <f t="shared" si="121"/>
        <v>38</v>
      </c>
      <c r="CV169" s="1648">
        <f t="shared" si="122"/>
        <v>3.5739315715455167</v>
      </c>
      <c r="CW169" s="521">
        <f t="shared" si="123"/>
        <v>-13.044759110602024</v>
      </c>
      <c r="CX169" s="522">
        <f t="shared" si="124"/>
        <v>1.4290010282069238E-3</v>
      </c>
      <c r="CZ169" s="1647">
        <f t="shared" si="137"/>
        <v>0</v>
      </c>
      <c r="DA169" s="1671">
        <v>38</v>
      </c>
      <c r="DB169" s="1644">
        <f t="shared" si="125"/>
        <v>273.14999999999998</v>
      </c>
      <c r="DC169" s="1644">
        <f t="shared" si="126"/>
        <v>-33.129143945141777</v>
      </c>
      <c r="DD169" s="1644">
        <f t="shared" si="127"/>
        <v>39.544589235539483</v>
      </c>
      <c r="DE169" s="1644">
        <f t="shared" si="128"/>
        <v>0.61121286745119141</v>
      </c>
      <c r="DF169" s="1644">
        <f t="shared" si="129"/>
        <v>0.23226088963145275</v>
      </c>
      <c r="DG169" s="1644">
        <f t="shared" si="138"/>
        <v>3.7746786226692361E-3</v>
      </c>
      <c r="DH169" s="1644">
        <f t="shared" si="130"/>
        <v>0.37857554802809046</v>
      </c>
      <c r="DI169" s="505">
        <f t="shared" si="131"/>
        <v>38</v>
      </c>
      <c r="DJ169" s="1648">
        <f t="shared" si="132"/>
        <v>3.5739315715455167</v>
      </c>
      <c r="DK169" s="521">
        <f t="shared" si="133"/>
        <v>-13.044759110602024</v>
      </c>
      <c r="DL169" s="522">
        <f t="shared" si="134"/>
        <v>1.4290010282069238E-3</v>
      </c>
    </row>
    <row r="170" spans="12:116">
      <c r="L170" s="347"/>
      <c r="T170" s="347"/>
      <c r="AC170" s="347"/>
      <c r="AK170" s="347"/>
      <c r="AL170" s="347"/>
      <c r="AM170" s="347"/>
      <c r="AN170" s="347"/>
      <c r="AO170" s="347"/>
      <c r="AP170" s="347"/>
      <c r="AQ170" s="347"/>
      <c r="AR170" s="347"/>
      <c r="AS170" s="347"/>
      <c r="CL170" s="1647">
        <f t="shared" si="135"/>
        <v>0</v>
      </c>
      <c r="CM170" s="1671">
        <v>39</v>
      </c>
      <c r="CN170" s="1644">
        <f t="shared" si="115"/>
        <v>273.14999999999998</v>
      </c>
      <c r="CO170" s="1644">
        <f t="shared" si="116"/>
        <v>-33.129143945141777</v>
      </c>
      <c r="CP170" s="1644">
        <f t="shared" si="117"/>
        <v>39.544589235539483</v>
      </c>
      <c r="CQ170" s="1644">
        <f t="shared" si="118"/>
        <v>0.61121286745119141</v>
      </c>
      <c r="CR170" s="1644">
        <f t="shared" si="119"/>
        <v>0.23837301830596466</v>
      </c>
      <c r="CS170" s="1644">
        <f t="shared" si="136"/>
        <v>3.7746786226692361E-3</v>
      </c>
      <c r="CT170" s="1644">
        <f t="shared" si="120"/>
        <v>0.38856155511853246</v>
      </c>
      <c r="CU170" s="505">
        <f t="shared" si="121"/>
        <v>39</v>
      </c>
      <c r="CV170" s="1648">
        <f t="shared" si="122"/>
        <v>3.6682041842382938</v>
      </c>
      <c r="CW170" s="521">
        <f t="shared" si="123"/>
        <v>-12.705737827156145</v>
      </c>
      <c r="CX170" s="522">
        <f t="shared" si="124"/>
        <v>1.4666949956970386E-3</v>
      </c>
      <c r="CZ170" s="1647">
        <f t="shared" si="137"/>
        <v>0</v>
      </c>
      <c r="DA170" s="1671">
        <v>39</v>
      </c>
      <c r="DB170" s="1644">
        <f t="shared" si="125"/>
        <v>273.14999999999998</v>
      </c>
      <c r="DC170" s="1644">
        <f t="shared" si="126"/>
        <v>-33.129143945141777</v>
      </c>
      <c r="DD170" s="1644">
        <f t="shared" si="127"/>
        <v>39.544589235539483</v>
      </c>
      <c r="DE170" s="1644">
        <f t="shared" si="128"/>
        <v>0.61121286745119141</v>
      </c>
      <c r="DF170" s="1644">
        <f t="shared" si="129"/>
        <v>0.23837301830596466</v>
      </c>
      <c r="DG170" s="1644">
        <f t="shared" si="138"/>
        <v>3.7746786226692361E-3</v>
      </c>
      <c r="DH170" s="1644">
        <f t="shared" si="130"/>
        <v>0.38856155511853246</v>
      </c>
      <c r="DI170" s="505">
        <f t="shared" si="131"/>
        <v>39</v>
      </c>
      <c r="DJ170" s="1648">
        <f t="shared" si="132"/>
        <v>3.6682041842382938</v>
      </c>
      <c r="DK170" s="521">
        <f t="shared" si="133"/>
        <v>-12.705737827156145</v>
      </c>
      <c r="DL170" s="522">
        <f t="shared" si="134"/>
        <v>1.4666949956970386E-3</v>
      </c>
    </row>
    <row r="171" spans="12:116">
      <c r="L171" s="347"/>
      <c r="T171" s="347"/>
      <c r="AC171" s="347"/>
      <c r="AK171" s="347"/>
      <c r="AL171" s="347"/>
      <c r="AM171" s="347"/>
      <c r="AN171" s="347"/>
      <c r="AO171" s="347"/>
      <c r="AP171" s="347"/>
      <c r="AQ171" s="347"/>
      <c r="AR171" s="347"/>
      <c r="AS171" s="347"/>
      <c r="CL171" s="1647">
        <f t="shared" si="135"/>
        <v>0</v>
      </c>
      <c r="CM171" s="1671">
        <v>40</v>
      </c>
      <c r="CN171" s="1644">
        <f t="shared" si="115"/>
        <v>273.14999999999998</v>
      </c>
      <c r="CO171" s="1644">
        <f t="shared" si="116"/>
        <v>-33.129143945141777</v>
      </c>
      <c r="CP171" s="1644">
        <f t="shared" si="117"/>
        <v>39.544589235539483</v>
      </c>
      <c r="CQ171" s="1644">
        <f t="shared" si="118"/>
        <v>0.61121286745119141</v>
      </c>
      <c r="CR171" s="1644">
        <f t="shared" si="119"/>
        <v>0.24448514698047658</v>
      </c>
      <c r="CS171" s="1644">
        <f t="shared" si="136"/>
        <v>3.7746786226692361E-3</v>
      </c>
      <c r="CT171" s="1644">
        <f t="shared" si="120"/>
        <v>0.39854876987516757</v>
      </c>
      <c r="CU171" s="505">
        <f t="shared" si="121"/>
        <v>40</v>
      </c>
      <c r="CV171" s="1648">
        <f t="shared" si="122"/>
        <v>3.7624881978690286</v>
      </c>
      <c r="CW171" s="521">
        <f t="shared" si="123"/>
        <v>-12.37486195078257</v>
      </c>
      <c r="CX171" s="522">
        <f t="shared" si="124"/>
        <v>1.5043935217389159E-3</v>
      </c>
      <c r="CZ171" s="1647">
        <f t="shared" si="137"/>
        <v>0</v>
      </c>
      <c r="DA171" s="1671">
        <v>40</v>
      </c>
      <c r="DB171" s="1644">
        <f t="shared" si="125"/>
        <v>273.14999999999998</v>
      </c>
      <c r="DC171" s="1644">
        <f t="shared" si="126"/>
        <v>-33.129143945141777</v>
      </c>
      <c r="DD171" s="1644">
        <f t="shared" si="127"/>
        <v>39.544589235539483</v>
      </c>
      <c r="DE171" s="1644">
        <f t="shared" si="128"/>
        <v>0.61121286745119141</v>
      </c>
      <c r="DF171" s="1644">
        <f t="shared" si="129"/>
        <v>0.24448514698047658</v>
      </c>
      <c r="DG171" s="1644">
        <f t="shared" si="138"/>
        <v>3.7746786226692361E-3</v>
      </c>
      <c r="DH171" s="1644">
        <f t="shared" si="130"/>
        <v>0.39854876987516757</v>
      </c>
      <c r="DI171" s="505">
        <f t="shared" si="131"/>
        <v>40</v>
      </c>
      <c r="DJ171" s="1648">
        <f t="shared" si="132"/>
        <v>3.7624881978690286</v>
      </c>
      <c r="DK171" s="521">
        <f t="shared" si="133"/>
        <v>-12.37486195078257</v>
      </c>
      <c r="DL171" s="522">
        <f t="shared" si="134"/>
        <v>1.5043935217389159E-3</v>
      </c>
    </row>
    <row r="172" spans="12:116">
      <c r="L172" s="347"/>
      <c r="T172" s="347"/>
      <c r="AC172" s="347"/>
      <c r="AK172" s="347"/>
      <c r="AL172" s="347"/>
      <c r="AM172" s="347"/>
      <c r="AN172" s="347"/>
      <c r="AO172" s="347"/>
      <c r="AP172" s="347"/>
      <c r="AQ172" s="347"/>
      <c r="AR172" s="347"/>
      <c r="AS172" s="347"/>
      <c r="CL172" s="1647">
        <f t="shared" si="135"/>
        <v>0</v>
      </c>
      <c r="CM172" s="1671">
        <v>41</v>
      </c>
      <c r="CN172" s="1644">
        <f t="shared" si="115"/>
        <v>273.14999999999998</v>
      </c>
      <c r="CO172" s="1644">
        <f t="shared" si="116"/>
        <v>-33.129143945141777</v>
      </c>
      <c r="CP172" s="1644">
        <f t="shared" si="117"/>
        <v>39.544589235539483</v>
      </c>
      <c r="CQ172" s="1644">
        <f t="shared" si="118"/>
        <v>0.61121286745119141</v>
      </c>
      <c r="CR172" s="1644">
        <f t="shared" si="119"/>
        <v>0.25059727565498846</v>
      </c>
      <c r="CS172" s="1644">
        <f t="shared" si="136"/>
        <v>3.7746786226692361E-3</v>
      </c>
      <c r="CT172" s="1644">
        <f t="shared" si="120"/>
        <v>0.40853719251708392</v>
      </c>
      <c r="CU172" s="505">
        <f t="shared" si="121"/>
        <v>41</v>
      </c>
      <c r="CV172" s="1648">
        <f t="shared" si="122"/>
        <v>3.8567836145060168</v>
      </c>
      <c r="CW172" s="521">
        <f t="shared" si="123"/>
        <v>-12.051730924295507</v>
      </c>
      <c r="CX172" s="522">
        <f t="shared" si="124"/>
        <v>1.5420966071595429E-3</v>
      </c>
      <c r="CZ172" s="1647">
        <f t="shared" si="137"/>
        <v>0</v>
      </c>
      <c r="DA172" s="1671">
        <v>41</v>
      </c>
      <c r="DB172" s="1644">
        <f t="shared" si="125"/>
        <v>273.14999999999998</v>
      </c>
      <c r="DC172" s="1644">
        <f t="shared" si="126"/>
        <v>-33.129143945141777</v>
      </c>
      <c r="DD172" s="1644">
        <f t="shared" si="127"/>
        <v>39.544589235539483</v>
      </c>
      <c r="DE172" s="1644">
        <f t="shared" si="128"/>
        <v>0.61121286745119141</v>
      </c>
      <c r="DF172" s="1644">
        <f t="shared" si="129"/>
        <v>0.25059727565498846</v>
      </c>
      <c r="DG172" s="1644">
        <f t="shared" si="138"/>
        <v>3.7746786226692361E-3</v>
      </c>
      <c r="DH172" s="1644">
        <f t="shared" si="130"/>
        <v>0.40853719251708392</v>
      </c>
      <c r="DI172" s="505">
        <f t="shared" si="131"/>
        <v>41</v>
      </c>
      <c r="DJ172" s="1648">
        <f t="shared" si="132"/>
        <v>3.8567836145060168</v>
      </c>
      <c r="DK172" s="521">
        <f t="shared" si="133"/>
        <v>-12.051730924295507</v>
      </c>
      <c r="DL172" s="522">
        <f t="shared" si="134"/>
        <v>1.5420966071595429E-3</v>
      </c>
    </row>
    <row r="173" spans="12:116">
      <c r="CL173" s="1647">
        <f t="shared" si="135"/>
        <v>0</v>
      </c>
      <c r="CM173" s="1671">
        <v>42</v>
      </c>
      <c r="CN173" s="1644">
        <f t="shared" si="115"/>
        <v>273.14999999999998</v>
      </c>
      <c r="CO173" s="1644">
        <f t="shared" si="116"/>
        <v>-33.129143945141777</v>
      </c>
      <c r="CP173" s="1644">
        <f t="shared" si="117"/>
        <v>39.544589235539483</v>
      </c>
      <c r="CQ173" s="1644">
        <f t="shared" si="118"/>
        <v>0.61121286745119141</v>
      </c>
      <c r="CR173" s="1644">
        <f t="shared" si="119"/>
        <v>0.2567094043295004</v>
      </c>
      <c r="CS173" s="1644">
        <f t="shared" si="136"/>
        <v>3.7746786226692361E-3</v>
      </c>
      <c r="CT173" s="1644">
        <f t="shared" si="120"/>
        <v>0.41852682326342344</v>
      </c>
      <c r="CU173" s="505">
        <f t="shared" si="121"/>
        <v>42</v>
      </c>
      <c r="CV173" s="1648">
        <f t="shared" si="122"/>
        <v>3.951090436218061</v>
      </c>
      <c r="CW173" s="521">
        <f t="shared" si="123"/>
        <v>-11.735973279195264</v>
      </c>
      <c r="CX173" s="522">
        <f t="shared" si="124"/>
        <v>1.5798042527861099E-3</v>
      </c>
      <c r="CZ173" s="1647">
        <f t="shared" si="137"/>
        <v>0</v>
      </c>
      <c r="DA173" s="1671">
        <v>42</v>
      </c>
      <c r="DB173" s="1644">
        <f t="shared" si="125"/>
        <v>273.14999999999998</v>
      </c>
      <c r="DC173" s="1644">
        <f t="shared" si="126"/>
        <v>-33.129143945141777</v>
      </c>
      <c r="DD173" s="1644">
        <f t="shared" si="127"/>
        <v>39.544589235539483</v>
      </c>
      <c r="DE173" s="1644">
        <f t="shared" si="128"/>
        <v>0.61121286745119141</v>
      </c>
      <c r="DF173" s="1644">
        <f t="shared" si="129"/>
        <v>0.2567094043295004</v>
      </c>
      <c r="DG173" s="1644">
        <f t="shared" si="138"/>
        <v>3.7746786226692361E-3</v>
      </c>
      <c r="DH173" s="1644">
        <f t="shared" si="130"/>
        <v>0.41852682326342344</v>
      </c>
      <c r="DI173" s="505">
        <f t="shared" si="131"/>
        <v>42</v>
      </c>
      <c r="DJ173" s="1648">
        <f t="shared" si="132"/>
        <v>3.951090436218061</v>
      </c>
      <c r="DK173" s="521">
        <f t="shared" si="133"/>
        <v>-11.735973279195264</v>
      </c>
      <c r="DL173" s="522">
        <f t="shared" si="134"/>
        <v>1.5798042527861099E-3</v>
      </c>
    </row>
    <row r="174" spans="12:116">
      <c r="CL174" s="1647">
        <f t="shared" si="135"/>
        <v>0</v>
      </c>
      <c r="CM174" s="1671">
        <v>43</v>
      </c>
      <c r="CN174" s="1644">
        <f t="shared" si="115"/>
        <v>273.14999999999998</v>
      </c>
      <c r="CO174" s="1644">
        <f t="shared" si="116"/>
        <v>-33.129143945141777</v>
      </c>
      <c r="CP174" s="1644">
        <f t="shared" si="117"/>
        <v>39.544589235539483</v>
      </c>
      <c r="CQ174" s="1644">
        <f t="shared" si="118"/>
        <v>0.61121286745119141</v>
      </c>
      <c r="CR174" s="1644">
        <f t="shared" si="119"/>
        <v>0.26282153300401229</v>
      </c>
      <c r="CS174" s="1644">
        <f t="shared" si="136"/>
        <v>3.7746786226692361E-3</v>
      </c>
      <c r="CT174" s="1644">
        <f t="shared" si="120"/>
        <v>0.42851766233338012</v>
      </c>
      <c r="CU174" s="505">
        <f t="shared" si="121"/>
        <v>43</v>
      </c>
      <c r="CV174" s="1648">
        <f t="shared" si="122"/>
        <v>4.0454086650744561</v>
      </c>
      <c r="CW174" s="521">
        <f t="shared" si="123"/>
        <v>-11.427243878730533</v>
      </c>
      <c r="CX174" s="522">
        <f t="shared" si="124"/>
        <v>1.6175164594460041E-3</v>
      </c>
      <c r="CZ174" s="1647">
        <f t="shared" si="137"/>
        <v>0</v>
      </c>
      <c r="DA174" s="1671">
        <v>43</v>
      </c>
      <c r="DB174" s="1644">
        <f t="shared" si="125"/>
        <v>273.14999999999998</v>
      </c>
      <c r="DC174" s="1644">
        <f t="shared" si="126"/>
        <v>-33.129143945141777</v>
      </c>
      <c r="DD174" s="1644">
        <f t="shared" si="127"/>
        <v>39.544589235539483</v>
      </c>
      <c r="DE174" s="1644">
        <f t="shared" si="128"/>
        <v>0.61121286745119141</v>
      </c>
      <c r="DF174" s="1644">
        <f t="shared" si="129"/>
        <v>0.26282153300401229</v>
      </c>
      <c r="DG174" s="1644">
        <f t="shared" si="138"/>
        <v>3.7746786226692361E-3</v>
      </c>
      <c r="DH174" s="1644">
        <f t="shared" si="130"/>
        <v>0.42851766233338012</v>
      </c>
      <c r="DI174" s="505">
        <f t="shared" si="131"/>
        <v>43</v>
      </c>
      <c r="DJ174" s="1648">
        <f t="shared" si="132"/>
        <v>4.0454086650744561</v>
      </c>
      <c r="DK174" s="521">
        <f t="shared" si="133"/>
        <v>-11.427243878730533</v>
      </c>
      <c r="DL174" s="522">
        <f t="shared" si="134"/>
        <v>1.6175164594460041E-3</v>
      </c>
    </row>
    <row r="175" spans="12:116">
      <c r="CL175" s="1647">
        <f t="shared" si="135"/>
        <v>0</v>
      </c>
      <c r="CM175" s="1671">
        <v>44</v>
      </c>
      <c r="CN175" s="1644">
        <f t="shared" si="115"/>
        <v>273.14999999999998</v>
      </c>
      <c r="CO175" s="1644">
        <f t="shared" si="116"/>
        <v>-33.129143945141777</v>
      </c>
      <c r="CP175" s="1644">
        <f t="shared" si="117"/>
        <v>39.544589235539483</v>
      </c>
      <c r="CQ175" s="1644">
        <f t="shared" si="118"/>
        <v>0.61121286745119141</v>
      </c>
      <c r="CR175" s="1644">
        <f t="shared" si="119"/>
        <v>0.26893366167852423</v>
      </c>
      <c r="CS175" s="1644">
        <f t="shared" si="136"/>
        <v>3.7746786226692361E-3</v>
      </c>
      <c r="CT175" s="1644">
        <f t="shared" si="120"/>
        <v>0.43850970994620186</v>
      </c>
      <c r="CU175" s="505">
        <f t="shared" si="121"/>
        <v>44</v>
      </c>
      <c r="CV175" s="1648">
        <f t="shared" si="122"/>
        <v>4.1397383031450055</v>
      </c>
      <c r="CW175" s="521">
        <f t="shared" si="123"/>
        <v>-11.125221480273666</v>
      </c>
      <c r="CX175" s="522">
        <f t="shared" si="124"/>
        <v>1.6552332279668154E-3</v>
      </c>
      <c r="CZ175" s="1647">
        <f t="shared" si="137"/>
        <v>0</v>
      </c>
      <c r="DA175" s="1671">
        <v>44</v>
      </c>
      <c r="DB175" s="1644">
        <f t="shared" si="125"/>
        <v>273.14999999999998</v>
      </c>
      <c r="DC175" s="1644">
        <f t="shared" si="126"/>
        <v>-33.129143945141777</v>
      </c>
      <c r="DD175" s="1644">
        <f t="shared" si="127"/>
        <v>39.544589235539483</v>
      </c>
      <c r="DE175" s="1644">
        <f t="shared" si="128"/>
        <v>0.61121286745119141</v>
      </c>
      <c r="DF175" s="1644">
        <f t="shared" si="129"/>
        <v>0.26893366167852423</v>
      </c>
      <c r="DG175" s="1644">
        <f t="shared" si="138"/>
        <v>3.7746786226692361E-3</v>
      </c>
      <c r="DH175" s="1644">
        <f t="shared" si="130"/>
        <v>0.43850970994620186</v>
      </c>
      <c r="DI175" s="505">
        <f t="shared" si="131"/>
        <v>44</v>
      </c>
      <c r="DJ175" s="1648">
        <f t="shared" si="132"/>
        <v>4.1397383031450055</v>
      </c>
      <c r="DK175" s="521">
        <f t="shared" si="133"/>
        <v>-11.125221480273666</v>
      </c>
      <c r="DL175" s="522">
        <f t="shared" si="134"/>
        <v>1.6552332279668154E-3</v>
      </c>
    </row>
    <row r="176" spans="12:116">
      <c r="CL176" s="1647">
        <f t="shared" si="135"/>
        <v>0</v>
      </c>
      <c r="CM176" s="1671">
        <v>45</v>
      </c>
      <c r="CN176" s="1644">
        <f t="shared" si="115"/>
        <v>273.14999999999998</v>
      </c>
      <c r="CO176" s="1644">
        <f t="shared" si="116"/>
        <v>-33.129143945141777</v>
      </c>
      <c r="CP176" s="1644">
        <f t="shared" si="117"/>
        <v>39.544589235539483</v>
      </c>
      <c r="CQ176" s="1644">
        <f t="shared" si="118"/>
        <v>0.61121286745119141</v>
      </c>
      <c r="CR176" s="1644">
        <f t="shared" si="119"/>
        <v>0.27504579035303617</v>
      </c>
      <c r="CS176" s="1644">
        <f t="shared" si="136"/>
        <v>3.7746786226692361E-3</v>
      </c>
      <c r="CT176" s="1644">
        <f t="shared" si="120"/>
        <v>0.44850296632118891</v>
      </c>
      <c r="CU176" s="505">
        <f t="shared" si="121"/>
        <v>45</v>
      </c>
      <c r="CV176" s="1648">
        <f t="shared" si="122"/>
        <v>4.2340793525000064</v>
      </c>
      <c r="CW176" s="521">
        <f t="shared" si="123"/>
        <v>-10.829606573625389</v>
      </c>
      <c r="CX176" s="522">
        <f t="shared" si="124"/>
        <v>1.6929545591763322E-3</v>
      </c>
      <c r="CZ176" s="1647">
        <f t="shared" si="137"/>
        <v>0</v>
      </c>
      <c r="DA176" s="1671">
        <v>45</v>
      </c>
      <c r="DB176" s="1644">
        <f t="shared" si="125"/>
        <v>273.14999999999998</v>
      </c>
      <c r="DC176" s="1644">
        <f t="shared" si="126"/>
        <v>-33.129143945141777</v>
      </c>
      <c r="DD176" s="1644">
        <f t="shared" si="127"/>
        <v>39.544589235539483</v>
      </c>
      <c r="DE176" s="1644">
        <f t="shared" si="128"/>
        <v>0.61121286745119141</v>
      </c>
      <c r="DF176" s="1644">
        <f t="shared" si="129"/>
        <v>0.27504579035303617</v>
      </c>
      <c r="DG176" s="1644">
        <f t="shared" si="138"/>
        <v>3.7746786226692361E-3</v>
      </c>
      <c r="DH176" s="1644">
        <f t="shared" si="130"/>
        <v>0.44850296632118891</v>
      </c>
      <c r="DI176" s="505">
        <f t="shared" si="131"/>
        <v>45</v>
      </c>
      <c r="DJ176" s="1648">
        <f t="shared" si="132"/>
        <v>4.2340793525000064</v>
      </c>
      <c r="DK176" s="521">
        <f t="shared" si="133"/>
        <v>-10.829606573625389</v>
      </c>
      <c r="DL176" s="522">
        <f t="shared" si="134"/>
        <v>1.6929545591763322E-3</v>
      </c>
    </row>
    <row r="177" spans="90:116">
      <c r="CL177" s="1647">
        <f t="shared" si="135"/>
        <v>0</v>
      </c>
      <c r="CM177" s="1671">
        <v>46</v>
      </c>
      <c r="CN177" s="1644">
        <f t="shared" si="115"/>
        <v>273.14999999999998</v>
      </c>
      <c r="CO177" s="1644">
        <f t="shared" si="116"/>
        <v>-33.129143945141777</v>
      </c>
      <c r="CP177" s="1644">
        <f t="shared" si="117"/>
        <v>39.544589235539483</v>
      </c>
      <c r="CQ177" s="1644">
        <f t="shared" si="118"/>
        <v>0.61121286745119141</v>
      </c>
      <c r="CR177" s="1644">
        <f t="shared" si="119"/>
        <v>0.28115791902754805</v>
      </c>
      <c r="CS177" s="1644">
        <f t="shared" si="136"/>
        <v>3.7746786226692361E-3</v>
      </c>
      <c r="CT177" s="1644">
        <f t="shared" si="120"/>
        <v>0.45849743167769486</v>
      </c>
      <c r="CU177" s="505">
        <f t="shared" si="121"/>
        <v>46</v>
      </c>
      <c r="CV177" s="1648">
        <f t="shared" si="122"/>
        <v>4.3284318152102612</v>
      </c>
      <c r="CW177" s="521">
        <f t="shared" si="123"/>
        <v>-10.5401194585891</v>
      </c>
      <c r="CX177" s="522">
        <f t="shared" si="124"/>
        <v>1.7306804539025434E-3</v>
      </c>
      <c r="CZ177" s="1647">
        <f t="shared" si="137"/>
        <v>0</v>
      </c>
      <c r="DA177" s="1671">
        <v>46</v>
      </c>
      <c r="DB177" s="1644">
        <f t="shared" si="125"/>
        <v>273.14999999999998</v>
      </c>
      <c r="DC177" s="1644">
        <f t="shared" si="126"/>
        <v>-33.129143945141777</v>
      </c>
      <c r="DD177" s="1644">
        <f t="shared" si="127"/>
        <v>39.544589235539483</v>
      </c>
      <c r="DE177" s="1644">
        <f t="shared" si="128"/>
        <v>0.61121286745119141</v>
      </c>
      <c r="DF177" s="1644">
        <f t="shared" si="129"/>
        <v>0.28115791902754805</v>
      </c>
      <c r="DG177" s="1644">
        <f t="shared" si="138"/>
        <v>3.7746786226692361E-3</v>
      </c>
      <c r="DH177" s="1644">
        <f t="shared" si="130"/>
        <v>0.45849743167769486</v>
      </c>
      <c r="DI177" s="505">
        <f t="shared" si="131"/>
        <v>46</v>
      </c>
      <c r="DJ177" s="1648">
        <f t="shared" si="132"/>
        <v>4.3284318152102612</v>
      </c>
      <c r="DK177" s="521">
        <f t="shared" si="133"/>
        <v>-10.5401194585891</v>
      </c>
      <c r="DL177" s="522">
        <f t="shared" si="134"/>
        <v>1.7306804539025434E-3</v>
      </c>
    </row>
    <row r="178" spans="90:116">
      <c r="CL178" s="1647">
        <f t="shared" si="135"/>
        <v>0</v>
      </c>
      <c r="CM178" s="1671">
        <v>47</v>
      </c>
      <c r="CN178" s="1644">
        <f t="shared" si="115"/>
        <v>273.14999999999998</v>
      </c>
      <c r="CO178" s="1644">
        <f t="shared" si="116"/>
        <v>-33.129143945141777</v>
      </c>
      <c r="CP178" s="1644">
        <f t="shared" si="117"/>
        <v>39.544589235539483</v>
      </c>
      <c r="CQ178" s="1644">
        <f t="shared" si="118"/>
        <v>0.61121286745119141</v>
      </c>
      <c r="CR178" s="1644">
        <f t="shared" si="119"/>
        <v>0.28727004770205994</v>
      </c>
      <c r="CS178" s="1644">
        <f t="shared" si="136"/>
        <v>3.7746786226692361E-3</v>
      </c>
      <c r="CT178" s="1644">
        <f t="shared" si="120"/>
        <v>0.46849310623512652</v>
      </c>
      <c r="CU178" s="505">
        <f t="shared" si="121"/>
        <v>47</v>
      </c>
      <c r="CV178" s="1648">
        <f t="shared" si="122"/>
        <v>4.422795693347072</v>
      </c>
      <c r="CW178" s="521">
        <f t="shared" si="123"/>
        <v>-10.256498530714513</v>
      </c>
      <c r="CX178" s="522">
        <f t="shared" si="124"/>
        <v>1.7684109129736394E-3</v>
      </c>
      <c r="CZ178" s="1647">
        <f t="shared" si="137"/>
        <v>0</v>
      </c>
      <c r="DA178" s="1671">
        <v>47</v>
      </c>
      <c r="DB178" s="1644">
        <f t="shared" si="125"/>
        <v>273.14999999999998</v>
      </c>
      <c r="DC178" s="1644">
        <f t="shared" si="126"/>
        <v>-33.129143945141777</v>
      </c>
      <c r="DD178" s="1644">
        <f t="shared" si="127"/>
        <v>39.544589235539483</v>
      </c>
      <c r="DE178" s="1644">
        <f t="shared" si="128"/>
        <v>0.61121286745119141</v>
      </c>
      <c r="DF178" s="1644">
        <f t="shared" si="129"/>
        <v>0.28727004770205994</v>
      </c>
      <c r="DG178" s="1644">
        <f t="shared" si="138"/>
        <v>3.7746786226692361E-3</v>
      </c>
      <c r="DH178" s="1644">
        <f t="shared" si="130"/>
        <v>0.46849310623512652</v>
      </c>
      <c r="DI178" s="505">
        <f t="shared" si="131"/>
        <v>47</v>
      </c>
      <c r="DJ178" s="1648">
        <f t="shared" si="132"/>
        <v>4.422795693347072</v>
      </c>
      <c r="DK178" s="521">
        <f t="shared" si="133"/>
        <v>-10.256498530714513</v>
      </c>
      <c r="DL178" s="522">
        <f t="shared" si="134"/>
        <v>1.7684109129736394E-3</v>
      </c>
    </row>
    <row r="179" spans="90:116">
      <c r="CL179" s="1647">
        <f t="shared" si="135"/>
        <v>0</v>
      </c>
      <c r="CM179" s="1671">
        <v>48</v>
      </c>
      <c r="CN179" s="1644">
        <f t="shared" si="115"/>
        <v>273.14999999999998</v>
      </c>
      <c r="CO179" s="1644">
        <f t="shared" si="116"/>
        <v>-33.129143945141777</v>
      </c>
      <c r="CP179" s="1644">
        <f t="shared" si="117"/>
        <v>39.544589235539483</v>
      </c>
      <c r="CQ179" s="1644">
        <f t="shared" si="118"/>
        <v>0.61121286745119141</v>
      </c>
      <c r="CR179" s="1644">
        <f t="shared" si="119"/>
        <v>0.29338217637657188</v>
      </c>
      <c r="CS179" s="1644">
        <f t="shared" si="136"/>
        <v>3.7746786226692361E-3</v>
      </c>
      <c r="CT179" s="1644">
        <f t="shared" si="120"/>
        <v>0.47848999021294358</v>
      </c>
      <c r="CU179" s="505">
        <f t="shared" si="121"/>
        <v>48</v>
      </c>
      <c r="CV179" s="1648">
        <f t="shared" si="122"/>
        <v>4.5171709889822429</v>
      </c>
      <c r="CW179" s="521">
        <f t="shared" si="123"/>
        <v>-9.9784987487262633</v>
      </c>
      <c r="CX179" s="522">
        <f t="shared" si="124"/>
        <v>1.8061459372180101E-3</v>
      </c>
      <c r="CZ179" s="1647">
        <f t="shared" si="137"/>
        <v>0</v>
      </c>
      <c r="DA179" s="1671">
        <v>48</v>
      </c>
      <c r="DB179" s="1644">
        <f t="shared" si="125"/>
        <v>273.14999999999998</v>
      </c>
      <c r="DC179" s="1644">
        <f t="shared" si="126"/>
        <v>-33.129143945141777</v>
      </c>
      <c r="DD179" s="1644">
        <f t="shared" si="127"/>
        <v>39.544589235539483</v>
      </c>
      <c r="DE179" s="1644">
        <f t="shared" si="128"/>
        <v>0.61121286745119141</v>
      </c>
      <c r="DF179" s="1644">
        <f t="shared" si="129"/>
        <v>0.29338217637657188</v>
      </c>
      <c r="DG179" s="1644">
        <f t="shared" si="138"/>
        <v>3.7746786226692361E-3</v>
      </c>
      <c r="DH179" s="1644">
        <f t="shared" si="130"/>
        <v>0.47848999021294358</v>
      </c>
      <c r="DI179" s="505">
        <f t="shared" si="131"/>
        <v>48</v>
      </c>
      <c r="DJ179" s="1648">
        <f t="shared" si="132"/>
        <v>4.5171709889822429</v>
      </c>
      <c r="DK179" s="521">
        <f t="shared" si="133"/>
        <v>-9.9784987487262633</v>
      </c>
      <c r="DL179" s="522">
        <f t="shared" si="134"/>
        <v>1.8061459372180101E-3</v>
      </c>
    </row>
    <row r="180" spans="90:116">
      <c r="CL180" s="1647">
        <f t="shared" si="135"/>
        <v>0</v>
      </c>
      <c r="CM180" s="1671">
        <v>49</v>
      </c>
      <c r="CN180" s="1644">
        <f t="shared" si="115"/>
        <v>273.14999999999998</v>
      </c>
      <c r="CO180" s="1644">
        <f t="shared" si="116"/>
        <v>-33.129143945141777</v>
      </c>
      <c r="CP180" s="1644">
        <f t="shared" si="117"/>
        <v>39.544589235539483</v>
      </c>
      <c r="CQ180" s="1644">
        <f t="shared" si="118"/>
        <v>0.61121286745119141</v>
      </c>
      <c r="CR180" s="1644">
        <f t="shared" si="119"/>
        <v>0.29949430505108376</v>
      </c>
      <c r="CS180" s="1644">
        <f t="shared" si="136"/>
        <v>3.7746786226692361E-3</v>
      </c>
      <c r="CT180" s="1644">
        <f t="shared" si="120"/>
        <v>0.48848808383065895</v>
      </c>
      <c r="CU180" s="505">
        <f t="shared" si="121"/>
        <v>49</v>
      </c>
      <c r="CV180" s="1648">
        <f t="shared" si="122"/>
        <v>4.6115577041880798</v>
      </c>
      <c r="CW180" s="521">
        <f t="shared" si="123"/>
        <v>-9.7058902610027982</v>
      </c>
      <c r="CX180" s="522">
        <f t="shared" si="124"/>
        <v>1.8438855274642461E-3</v>
      </c>
      <c r="CZ180" s="1647">
        <f t="shared" si="137"/>
        <v>0</v>
      </c>
      <c r="DA180" s="1671">
        <v>49</v>
      </c>
      <c r="DB180" s="1644">
        <f t="shared" si="125"/>
        <v>273.14999999999998</v>
      </c>
      <c r="DC180" s="1644">
        <f t="shared" si="126"/>
        <v>-33.129143945141777</v>
      </c>
      <c r="DD180" s="1644">
        <f t="shared" si="127"/>
        <v>39.544589235539483</v>
      </c>
      <c r="DE180" s="1644">
        <f t="shared" si="128"/>
        <v>0.61121286745119141</v>
      </c>
      <c r="DF180" s="1644">
        <f t="shared" si="129"/>
        <v>0.29949430505108376</v>
      </c>
      <c r="DG180" s="1644">
        <f t="shared" si="138"/>
        <v>3.7746786226692361E-3</v>
      </c>
      <c r="DH180" s="1644">
        <f t="shared" si="130"/>
        <v>0.48848808383065895</v>
      </c>
      <c r="DI180" s="505">
        <f t="shared" si="131"/>
        <v>49</v>
      </c>
      <c r="DJ180" s="1648">
        <f t="shared" si="132"/>
        <v>4.6115577041880798</v>
      </c>
      <c r="DK180" s="521">
        <f t="shared" si="133"/>
        <v>-9.7058902610027982</v>
      </c>
      <c r="DL180" s="522">
        <f t="shared" si="134"/>
        <v>1.8438855274642461E-3</v>
      </c>
    </row>
    <row r="181" spans="90:116">
      <c r="CL181" s="1647">
        <f t="shared" si="135"/>
        <v>0</v>
      </c>
      <c r="CM181" s="1671">
        <v>50</v>
      </c>
      <c r="CN181" s="1644">
        <f t="shared" si="115"/>
        <v>273.14999999999998</v>
      </c>
      <c r="CO181" s="1644">
        <f t="shared" si="116"/>
        <v>-33.129143945141777</v>
      </c>
      <c r="CP181" s="1644">
        <f t="shared" si="117"/>
        <v>39.544589235539483</v>
      </c>
      <c r="CQ181" s="1644">
        <f t="shared" si="118"/>
        <v>0.61121286745119141</v>
      </c>
      <c r="CR181" s="1644">
        <f t="shared" si="119"/>
        <v>0.30560643372559571</v>
      </c>
      <c r="CS181" s="1644">
        <f t="shared" si="136"/>
        <v>3.7746786226692361E-3</v>
      </c>
      <c r="CT181" s="1644">
        <f t="shared" si="120"/>
        <v>0.49848738730783865</v>
      </c>
      <c r="CU181" s="505">
        <f t="shared" si="121"/>
        <v>50</v>
      </c>
      <c r="CV181" s="1648">
        <f t="shared" si="122"/>
        <v>4.7059558410373876</v>
      </c>
      <c r="CW181" s="521">
        <f t="shared" si="123"/>
        <v>-9.4384571716938694</v>
      </c>
      <c r="CX181" s="522">
        <f t="shared" si="124"/>
        <v>1.8816296845411385E-3</v>
      </c>
      <c r="CZ181" s="1647">
        <f t="shared" si="137"/>
        <v>0</v>
      </c>
      <c r="DA181" s="1671">
        <v>50</v>
      </c>
      <c r="DB181" s="1644">
        <f t="shared" si="125"/>
        <v>273.14999999999998</v>
      </c>
      <c r="DC181" s="1644">
        <f t="shared" si="126"/>
        <v>-33.129143945141777</v>
      </c>
      <c r="DD181" s="1644">
        <f t="shared" si="127"/>
        <v>39.544589235539483</v>
      </c>
      <c r="DE181" s="1644">
        <f t="shared" si="128"/>
        <v>0.61121286745119141</v>
      </c>
      <c r="DF181" s="1644">
        <f t="shared" si="129"/>
        <v>0.30560643372559571</v>
      </c>
      <c r="DG181" s="1644">
        <f t="shared" si="138"/>
        <v>3.7746786226692361E-3</v>
      </c>
      <c r="DH181" s="1644">
        <f t="shared" si="130"/>
        <v>0.49848738730783865</v>
      </c>
      <c r="DI181" s="505">
        <f t="shared" si="131"/>
        <v>50</v>
      </c>
      <c r="DJ181" s="1648">
        <f t="shared" si="132"/>
        <v>4.7059558410373876</v>
      </c>
      <c r="DK181" s="521">
        <f t="shared" si="133"/>
        <v>-9.4384571716938694</v>
      </c>
      <c r="DL181" s="522">
        <f t="shared" si="134"/>
        <v>1.8816296845411385E-3</v>
      </c>
    </row>
    <row r="182" spans="90:116">
      <c r="CL182" s="1647">
        <f t="shared" si="135"/>
        <v>0</v>
      </c>
      <c r="CM182" s="1671">
        <v>51</v>
      </c>
      <c r="CN182" s="1644">
        <f t="shared" si="115"/>
        <v>273.14999999999998</v>
      </c>
      <c r="CO182" s="1644">
        <f t="shared" si="116"/>
        <v>-33.129143945141777</v>
      </c>
      <c r="CP182" s="1644">
        <f t="shared" si="117"/>
        <v>39.544589235539483</v>
      </c>
      <c r="CQ182" s="1644">
        <f t="shared" si="118"/>
        <v>0.61121286745119141</v>
      </c>
      <c r="CR182" s="1644">
        <f t="shared" si="119"/>
        <v>0.31171856240010765</v>
      </c>
      <c r="CS182" s="1644">
        <f t="shared" si="136"/>
        <v>3.7746786226692361E-3</v>
      </c>
      <c r="CT182" s="1644">
        <f t="shared" si="120"/>
        <v>0.50848790086410178</v>
      </c>
      <c r="CU182" s="505">
        <f t="shared" si="121"/>
        <v>51</v>
      </c>
      <c r="CV182" s="1648">
        <f t="shared" si="122"/>
        <v>4.8003654016034742</v>
      </c>
      <c r="CW182" s="521">
        <f t="shared" si="123"/>
        <v>-9.1759964297740968</v>
      </c>
      <c r="CX182" s="522">
        <f t="shared" si="124"/>
        <v>1.9193784092776786E-3</v>
      </c>
      <c r="CZ182" s="1647">
        <f t="shared" si="137"/>
        <v>0</v>
      </c>
      <c r="DA182" s="1671">
        <v>51</v>
      </c>
      <c r="DB182" s="1644">
        <f t="shared" si="125"/>
        <v>273.14999999999998</v>
      </c>
      <c r="DC182" s="1644">
        <f t="shared" si="126"/>
        <v>-33.129143945141777</v>
      </c>
      <c r="DD182" s="1644">
        <f t="shared" si="127"/>
        <v>39.544589235539483</v>
      </c>
      <c r="DE182" s="1644">
        <f t="shared" si="128"/>
        <v>0.61121286745119141</v>
      </c>
      <c r="DF182" s="1644">
        <f t="shared" si="129"/>
        <v>0.31171856240010765</v>
      </c>
      <c r="DG182" s="1644">
        <f t="shared" si="138"/>
        <v>3.7746786226692361E-3</v>
      </c>
      <c r="DH182" s="1644">
        <f t="shared" si="130"/>
        <v>0.50848790086410178</v>
      </c>
      <c r="DI182" s="505">
        <f t="shared" si="131"/>
        <v>51</v>
      </c>
      <c r="DJ182" s="1648">
        <f t="shared" si="132"/>
        <v>4.8003654016034742</v>
      </c>
      <c r="DK182" s="521">
        <f t="shared" si="133"/>
        <v>-9.1759964297740968</v>
      </c>
      <c r="DL182" s="522">
        <f t="shared" si="134"/>
        <v>1.9193784092776786E-3</v>
      </c>
    </row>
    <row r="183" spans="90:116">
      <c r="CL183" s="1647">
        <f t="shared" si="135"/>
        <v>0</v>
      </c>
      <c r="CM183" s="1671">
        <v>52</v>
      </c>
      <c r="CN183" s="1644">
        <f t="shared" si="115"/>
        <v>273.14999999999998</v>
      </c>
      <c r="CO183" s="1644">
        <f t="shared" si="116"/>
        <v>-33.129143945141777</v>
      </c>
      <c r="CP183" s="1644">
        <f t="shared" si="117"/>
        <v>39.544589235539483</v>
      </c>
      <c r="CQ183" s="1644">
        <f t="shared" si="118"/>
        <v>0.61121286745119141</v>
      </c>
      <c r="CR183" s="1644">
        <f t="shared" si="119"/>
        <v>0.31783069107461953</v>
      </c>
      <c r="CS183" s="1644">
        <f t="shared" si="136"/>
        <v>3.7746786226692361E-3</v>
      </c>
      <c r="CT183" s="1644">
        <f t="shared" si="120"/>
        <v>0.51848962471912041</v>
      </c>
      <c r="CU183" s="505">
        <f t="shared" si="121"/>
        <v>52</v>
      </c>
      <c r="CV183" s="1648">
        <f t="shared" si="122"/>
        <v>4.8947863879601501</v>
      </c>
      <c r="CW183" s="521">
        <f t="shared" si="123"/>
        <v>-8.918316826615424</v>
      </c>
      <c r="CX183" s="522">
        <f t="shared" si="124"/>
        <v>1.9571317025030587E-3</v>
      </c>
      <c r="CZ183" s="1647">
        <f t="shared" si="137"/>
        <v>0</v>
      </c>
      <c r="DA183" s="1671">
        <v>52</v>
      </c>
      <c r="DB183" s="1644">
        <f t="shared" si="125"/>
        <v>273.14999999999998</v>
      </c>
      <c r="DC183" s="1644">
        <f t="shared" si="126"/>
        <v>-33.129143945141777</v>
      </c>
      <c r="DD183" s="1644">
        <f t="shared" si="127"/>
        <v>39.544589235539483</v>
      </c>
      <c r="DE183" s="1644">
        <f t="shared" si="128"/>
        <v>0.61121286745119141</v>
      </c>
      <c r="DF183" s="1644">
        <f t="shared" si="129"/>
        <v>0.31783069107461953</v>
      </c>
      <c r="DG183" s="1644">
        <f t="shared" si="138"/>
        <v>3.7746786226692361E-3</v>
      </c>
      <c r="DH183" s="1644">
        <f t="shared" si="130"/>
        <v>0.51848962471912041</v>
      </c>
      <c r="DI183" s="505">
        <f t="shared" si="131"/>
        <v>52</v>
      </c>
      <c r="DJ183" s="1648">
        <f t="shared" si="132"/>
        <v>4.8947863879601501</v>
      </c>
      <c r="DK183" s="521">
        <f t="shared" si="133"/>
        <v>-8.918316826615424</v>
      </c>
      <c r="DL183" s="522">
        <f t="shared" si="134"/>
        <v>1.9571317025030587E-3</v>
      </c>
    </row>
    <row r="184" spans="90:116">
      <c r="CL184" s="1647">
        <f t="shared" si="135"/>
        <v>0</v>
      </c>
      <c r="CM184" s="1671">
        <v>53</v>
      </c>
      <c r="CN184" s="1644">
        <f t="shared" si="115"/>
        <v>273.14999999999998</v>
      </c>
      <c r="CO184" s="1644">
        <f t="shared" si="116"/>
        <v>-33.129143945141777</v>
      </c>
      <c r="CP184" s="1644">
        <f t="shared" si="117"/>
        <v>39.544589235539483</v>
      </c>
      <c r="CQ184" s="1644">
        <f t="shared" si="118"/>
        <v>0.61121286745119141</v>
      </c>
      <c r="CR184" s="1644">
        <f t="shared" si="119"/>
        <v>0.32394281974913147</v>
      </c>
      <c r="CS184" s="1644">
        <f t="shared" si="136"/>
        <v>3.7746786226692361E-3</v>
      </c>
      <c r="CT184" s="1644">
        <f t="shared" si="120"/>
        <v>0.5284925590926205</v>
      </c>
      <c r="CU184" s="505">
        <f t="shared" si="121"/>
        <v>53</v>
      </c>
      <c r="CV184" s="1648">
        <f t="shared" si="122"/>
        <v>4.9892188021817283</v>
      </c>
      <c r="CW184" s="521">
        <f t="shared" si="123"/>
        <v>-8.6652380895963379</v>
      </c>
      <c r="CX184" s="522">
        <f t="shared" si="124"/>
        <v>1.9948895650466728E-3</v>
      </c>
      <c r="CZ184" s="1647">
        <f t="shared" si="137"/>
        <v>0</v>
      </c>
      <c r="DA184" s="1671">
        <v>53</v>
      </c>
      <c r="DB184" s="1644">
        <f t="shared" si="125"/>
        <v>273.14999999999998</v>
      </c>
      <c r="DC184" s="1644">
        <f t="shared" si="126"/>
        <v>-33.129143945141777</v>
      </c>
      <c r="DD184" s="1644">
        <f t="shared" si="127"/>
        <v>39.544589235539483</v>
      </c>
      <c r="DE184" s="1644">
        <f t="shared" si="128"/>
        <v>0.61121286745119141</v>
      </c>
      <c r="DF184" s="1644">
        <f t="shared" si="129"/>
        <v>0.32394281974913147</v>
      </c>
      <c r="DG184" s="1644">
        <f t="shared" si="138"/>
        <v>3.7746786226692361E-3</v>
      </c>
      <c r="DH184" s="1644">
        <f t="shared" si="130"/>
        <v>0.5284925590926205</v>
      </c>
      <c r="DI184" s="505">
        <f t="shared" si="131"/>
        <v>53</v>
      </c>
      <c r="DJ184" s="1648">
        <f t="shared" si="132"/>
        <v>4.9892188021817283</v>
      </c>
      <c r="DK184" s="521">
        <f t="shared" si="133"/>
        <v>-8.6652380895963379</v>
      </c>
      <c r="DL184" s="522">
        <f t="shared" si="134"/>
        <v>1.9948895650466728E-3</v>
      </c>
    </row>
    <row r="185" spans="90:116">
      <c r="CL185" s="1647">
        <f t="shared" si="135"/>
        <v>0</v>
      </c>
      <c r="CM185" s="1671">
        <v>54</v>
      </c>
      <c r="CN185" s="1644">
        <f t="shared" si="115"/>
        <v>273.14999999999998</v>
      </c>
      <c r="CO185" s="1644">
        <f t="shared" si="116"/>
        <v>-33.129143945141777</v>
      </c>
      <c r="CP185" s="1644">
        <f t="shared" si="117"/>
        <v>39.544589235539483</v>
      </c>
      <c r="CQ185" s="1644">
        <f t="shared" si="118"/>
        <v>0.61121286745119141</v>
      </c>
      <c r="CR185" s="1644">
        <f t="shared" si="119"/>
        <v>0.33005494842364336</v>
      </c>
      <c r="CS185" s="1644">
        <f t="shared" si="136"/>
        <v>3.7746786226692361E-3</v>
      </c>
      <c r="CT185" s="1644">
        <f t="shared" si="120"/>
        <v>0.53849670420438034</v>
      </c>
      <c r="CU185" s="505">
        <f t="shared" si="121"/>
        <v>54</v>
      </c>
      <c r="CV185" s="1648">
        <f t="shared" si="122"/>
        <v>5.0836626463430212</v>
      </c>
      <c r="CW185" s="521">
        <f t="shared" si="123"/>
        <v>-8.4165900609093978</v>
      </c>
      <c r="CX185" s="522">
        <f t="shared" si="124"/>
        <v>2.0326519977381134E-3</v>
      </c>
      <c r="CZ185" s="1647">
        <f t="shared" si="137"/>
        <v>0</v>
      </c>
      <c r="DA185" s="1671">
        <v>54</v>
      </c>
      <c r="DB185" s="1644">
        <f t="shared" si="125"/>
        <v>273.14999999999998</v>
      </c>
      <c r="DC185" s="1644">
        <f t="shared" si="126"/>
        <v>-33.129143945141777</v>
      </c>
      <c r="DD185" s="1644">
        <f t="shared" si="127"/>
        <v>39.544589235539483</v>
      </c>
      <c r="DE185" s="1644">
        <f t="shared" si="128"/>
        <v>0.61121286745119141</v>
      </c>
      <c r="DF185" s="1644">
        <f t="shared" si="129"/>
        <v>0.33005494842364336</v>
      </c>
      <c r="DG185" s="1644">
        <f t="shared" si="138"/>
        <v>3.7746786226692361E-3</v>
      </c>
      <c r="DH185" s="1644">
        <f t="shared" si="130"/>
        <v>0.53849670420438034</v>
      </c>
      <c r="DI185" s="505">
        <f t="shared" si="131"/>
        <v>54</v>
      </c>
      <c r="DJ185" s="1648">
        <f t="shared" si="132"/>
        <v>5.0836626463430212</v>
      </c>
      <c r="DK185" s="521">
        <f t="shared" si="133"/>
        <v>-8.4165900609093978</v>
      </c>
      <c r="DL185" s="522">
        <f t="shared" si="134"/>
        <v>2.0326519977381134E-3</v>
      </c>
    </row>
    <row r="186" spans="90:116">
      <c r="CL186" s="1647">
        <f t="shared" si="135"/>
        <v>0</v>
      </c>
      <c r="CM186" s="1671">
        <v>55</v>
      </c>
      <c r="CN186" s="1644">
        <f t="shared" si="115"/>
        <v>273.14999999999998</v>
      </c>
      <c r="CO186" s="1644">
        <f t="shared" si="116"/>
        <v>-33.129143945141777</v>
      </c>
      <c r="CP186" s="1644">
        <f t="shared" si="117"/>
        <v>39.544589235539483</v>
      </c>
      <c r="CQ186" s="1644">
        <f t="shared" si="118"/>
        <v>0.61121286745119141</v>
      </c>
      <c r="CR186" s="1644">
        <f t="shared" si="119"/>
        <v>0.3361670770981553</v>
      </c>
      <c r="CS186" s="1644">
        <f t="shared" si="136"/>
        <v>3.7746786226692361E-3</v>
      </c>
      <c r="CT186" s="1644">
        <f t="shared" si="120"/>
        <v>0.54850206027423198</v>
      </c>
      <c r="CU186" s="505">
        <f t="shared" si="121"/>
        <v>55</v>
      </c>
      <c r="CV186" s="1648">
        <f t="shared" si="122"/>
        <v>5.1781179225193483</v>
      </c>
      <c r="CW186" s="521">
        <f t="shared" si="123"/>
        <v>-8.1722119521294712</v>
      </c>
      <c r="CX186" s="522">
        <f t="shared" si="124"/>
        <v>2.0704190014071765E-3</v>
      </c>
      <c r="CZ186" s="1647">
        <f t="shared" si="137"/>
        <v>0</v>
      </c>
      <c r="DA186" s="1671">
        <v>55</v>
      </c>
      <c r="DB186" s="1644">
        <f t="shared" si="125"/>
        <v>273.14999999999998</v>
      </c>
      <c r="DC186" s="1644">
        <f t="shared" si="126"/>
        <v>-33.129143945141777</v>
      </c>
      <c r="DD186" s="1644">
        <f t="shared" si="127"/>
        <v>39.544589235539483</v>
      </c>
      <c r="DE186" s="1644">
        <f t="shared" si="128"/>
        <v>0.61121286745119141</v>
      </c>
      <c r="DF186" s="1644">
        <f t="shared" si="129"/>
        <v>0.3361670770981553</v>
      </c>
      <c r="DG186" s="1644">
        <f t="shared" si="138"/>
        <v>3.7746786226692361E-3</v>
      </c>
      <c r="DH186" s="1644">
        <f t="shared" si="130"/>
        <v>0.54850206027423198</v>
      </c>
      <c r="DI186" s="505">
        <f t="shared" si="131"/>
        <v>55</v>
      </c>
      <c r="DJ186" s="1648">
        <f t="shared" si="132"/>
        <v>5.1781179225193483</v>
      </c>
      <c r="DK186" s="521">
        <f t="shared" si="133"/>
        <v>-8.1722119521294712</v>
      </c>
      <c r="DL186" s="522">
        <f t="shared" si="134"/>
        <v>2.0704190014071765E-3</v>
      </c>
    </row>
    <row r="187" spans="90:116">
      <c r="CL187" s="1647">
        <f t="shared" si="135"/>
        <v>0</v>
      </c>
      <c r="CM187" s="1671">
        <v>56</v>
      </c>
      <c r="CN187" s="1644">
        <f t="shared" si="115"/>
        <v>273.14999999999998</v>
      </c>
      <c r="CO187" s="1644">
        <f t="shared" si="116"/>
        <v>-33.129143945141777</v>
      </c>
      <c r="CP187" s="1644">
        <f t="shared" si="117"/>
        <v>39.544589235539483</v>
      </c>
      <c r="CQ187" s="1644">
        <f t="shared" si="118"/>
        <v>0.61121286745119141</v>
      </c>
      <c r="CR187" s="1644">
        <f t="shared" si="119"/>
        <v>0.34227920577266724</v>
      </c>
      <c r="CS187" s="1644">
        <f t="shared" si="136"/>
        <v>3.7746786226692361E-3</v>
      </c>
      <c r="CT187" s="1644">
        <f t="shared" si="120"/>
        <v>0.55850862752206054</v>
      </c>
      <c r="CU187" s="505">
        <f t="shared" si="121"/>
        <v>56</v>
      </c>
      <c r="CV187" s="1648">
        <f t="shared" si="122"/>
        <v>5.2725846327865264</v>
      </c>
      <c r="CW187" s="521">
        <f t="shared" si="123"/>
        <v>-7.9319516663029797</v>
      </c>
      <c r="CX187" s="522">
        <f t="shared" si="124"/>
        <v>2.1081905768838569E-3</v>
      </c>
      <c r="CZ187" s="1647">
        <f t="shared" si="137"/>
        <v>0</v>
      </c>
      <c r="DA187" s="1671">
        <v>56</v>
      </c>
      <c r="DB187" s="1644">
        <f t="shared" si="125"/>
        <v>273.14999999999998</v>
      </c>
      <c r="DC187" s="1644">
        <f t="shared" si="126"/>
        <v>-33.129143945141777</v>
      </c>
      <c r="DD187" s="1644">
        <f t="shared" si="127"/>
        <v>39.544589235539483</v>
      </c>
      <c r="DE187" s="1644">
        <f t="shared" si="128"/>
        <v>0.61121286745119141</v>
      </c>
      <c r="DF187" s="1644">
        <f t="shared" si="129"/>
        <v>0.34227920577266724</v>
      </c>
      <c r="DG187" s="1644">
        <f t="shared" si="138"/>
        <v>3.7746786226692361E-3</v>
      </c>
      <c r="DH187" s="1644">
        <f t="shared" si="130"/>
        <v>0.55850862752206054</v>
      </c>
      <c r="DI187" s="505">
        <f t="shared" si="131"/>
        <v>56</v>
      </c>
      <c r="DJ187" s="1648">
        <f t="shared" si="132"/>
        <v>5.2725846327865264</v>
      </c>
      <c r="DK187" s="521">
        <f t="shared" si="133"/>
        <v>-7.9319516663029797</v>
      </c>
      <c r="DL187" s="522">
        <f t="shared" si="134"/>
        <v>2.1081905768838569E-3</v>
      </c>
    </row>
    <row r="188" spans="90:116">
      <c r="CL188" s="1647">
        <f t="shared" si="135"/>
        <v>0</v>
      </c>
      <c r="CM188" s="1671">
        <v>57</v>
      </c>
      <c r="CN188" s="1644">
        <f t="shared" si="115"/>
        <v>273.14999999999998</v>
      </c>
      <c r="CO188" s="1644">
        <f t="shared" si="116"/>
        <v>-33.129143945141777</v>
      </c>
      <c r="CP188" s="1644">
        <f t="shared" si="117"/>
        <v>39.544589235539483</v>
      </c>
      <c r="CQ188" s="1644">
        <f t="shared" si="118"/>
        <v>0.61121286745119141</v>
      </c>
      <c r="CR188" s="1644">
        <f t="shared" si="119"/>
        <v>0.34839133444717907</v>
      </c>
      <c r="CS188" s="1644">
        <f t="shared" si="136"/>
        <v>3.7746786226692361E-3</v>
      </c>
      <c r="CT188" s="1644">
        <f t="shared" si="120"/>
        <v>0.56851640616780397</v>
      </c>
      <c r="CU188" s="505">
        <f t="shared" si="121"/>
        <v>57</v>
      </c>
      <c r="CV188" s="1648">
        <f t="shared" si="122"/>
        <v>5.3670627792208743</v>
      </c>
      <c r="CW188" s="521">
        <f t="shared" si="123"/>
        <v>-7.695665180345391</v>
      </c>
      <c r="CX188" s="522">
        <f t="shared" si="124"/>
        <v>2.1459667249983504E-3</v>
      </c>
      <c r="CZ188" s="1647">
        <f t="shared" si="137"/>
        <v>0</v>
      </c>
      <c r="DA188" s="1671">
        <v>57</v>
      </c>
      <c r="DB188" s="1644">
        <f t="shared" si="125"/>
        <v>273.14999999999998</v>
      </c>
      <c r="DC188" s="1644">
        <f t="shared" si="126"/>
        <v>-33.129143945141777</v>
      </c>
      <c r="DD188" s="1644">
        <f t="shared" si="127"/>
        <v>39.544589235539483</v>
      </c>
      <c r="DE188" s="1644">
        <f t="shared" si="128"/>
        <v>0.61121286745119141</v>
      </c>
      <c r="DF188" s="1644">
        <f t="shared" si="129"/>
        <v>0.34839133444717907</v>
      </c>
      <c r="DG188" s="1644">
        <f t="shared" si="138"/>
        <v>3.7746786226692361E-3</v>
      </c>
      <c r="DH188" s="1644">
        <f t="shared" si="130"/>
        <v>0.56851640616780397</v>
      </c>
      <c r="DI188" s="505">
        <f t="shared" si="131"/>
        <v>57</v>
      </c>
      <c r="DJ188" s="1648">
        <f t="shared" si="132"/>
        <v>5.3670627792208743</v>
      </c>
      <c r="DK188" s="521">
        <f t="shared" si="133"/>
        <v>-7.695665180345391</v>
      </c>
      <c r="DL188" s="522">
        <f t="shared" si="134"/>
        <v>2.1459667249983504E-3</v>
      </c>
    </row>
    <row r="189" spans="90:116">
      <c r="CL189" s="1647">
        <f t="shared" si="135"/>
        <v>0</v>
      </c>
      <c r="CM189" s="1671">
        <v>58</v>
      </c>
      <c r="CN189" s="1644">
        <f t="shared" si="115"/>
        <v>273.14999999999998</v>
      </c>
      <c r="CO189" s="1644">
        <f t="shared" si="116"/>
        <v>-33.129143945141777</v>
      </c>
      <c r="CP189" s="1644">
        <f t="shared" si="117"/>
        <v>39.544589235539483</v>
      </c>
      <c r="CQ189" s="1644">
        <f t="shared" si="118"/>
        <v>0.61121286745119141</v>
      </c>
      <c r="CR189" s="1644">
        <f t="shared" si="119"/>
        <v>0.35450346312169101</v>
      </c>
      <c r="CS189" s="1644">
        <f t="shared" si="136"/>
        <v>3.7746786226692361E-3</v>
      </c>
      <c r="CT189" s="1644">
        <f t="shared" si="120"/>
        <v>0.57852539643145429</v>
      </c>
      <c r="CU189" s="505">
        <f t="shared" si="121"/>
        <v>58</v>
      </c>
      <c r="CV189" s="1648">
        <f t="shared" si="122"/>
        <v>5.4615523638992203</v>
      </c>
      <c r="CW189" s="521">
        <f t="shared" si="123"/>
        <v>-7.4632159814175925</v>
      </c>
      <c r="CX189" s="522">
        <f t="shared" si="124"/>
        <v>2.1837474465810558E-3</v>
      </c>
      <c r="CZ189" s="1647">
        <f t="shared" si="137"/>
        <v>0</v>
      </c>
      <c r="DA189" s="1671">
        <v>58</v>
      </c>
      <c r="DB189" s="1644">
        <f t="shared" si="125"/>
        <v>273.14999999999998</v>
      </c>
      <c r="DC189" s="1644">
        <f t="shared" si="126"/>
        <v>-33.129143945141777</v>
      </c>
      <c r="DD189" s="1644">
        <f t="shared" si="127"/>
        <v>39.544589235539483</v>
      </c>
      <c r="DE189" s="1644">
        <f t="shared" si="128"/>
        <v>0.61121286745119141</v>
      </c>
      <c r="DF189" s="1644">
        <f t="shared" si="129"/>
        <v>0.35450346312169101</v>
      </c>
      <c r="DG189" s="1644">
        <f t="shared" si="138"/>
        <v>3.7746786226692361E-3</v>
      </c>
      <c r="DH189" s="1644">
        <f t="shared" si="130"/>
        <v>0.57852539643145429</v>
      </c>
      <c r="DI189" s="505">
        <f t="shared" si="131"/>
        <v>58</v>
      </c>
      <c r="DJ189" s="1648">
        <f t="shared" si="132"/>
        <v>5.4615523638992203</v>
      </c>
      <c r="DK189" s="521">
        <f t="shared" si="133"/>
        <v>-7.4632159814175925</v>
      </c>
      <c r="DL189" s="522">
        <f t="shared" si="134"/>
        <v>2.1837474465810558E-3</v>
      </c>
    </row>
    <row r="190" spans="90:116">
      <c r="CL190" s="1647">
        <f t="shared" si="135"/>
        <v>0</v>
      </c>
      <c r="CM190" s="1671">
        <v>59</v>
      </c>
      <c r="CN190" s="1644">
        <f t="shared" si="115"/>
        <v>273.14999999999998</v>
      </c>
      <c r="CO190" s="1644">
        <f t="shared" si="116"/>
        <v>-33.129143945141777</v>
      </c>
      <c r="CP190" s="1644">
        <f t="shared" si="117"/>
        <v>39.544589235539483</v>
      </c>
      <c r="CQ190" s="1644">
        <f t="shared" si="118"/>
        <v>0.61121286745119141</v>
      </c>
      <c r="CR190" s="1644">
        <f t="shared" si="119"/>
        <v>0.36061559179620289</v>
      </c>
      <c r="CS190" s="1644">
        <f t="shared" si="136"/>
        <v>3.7746786226692361E-3</v>
      </c>
      <c r="CT190" s="1644">
        <f t="shared" si="120"/>
        <v>0.58853559853305626</v>
      </c>
      <c r="CU190" s="505">
        <f t="shared" si="121"/>
        <v>59</v>
      </c>
      <c r="CV190" s="1648">
        <f t="shared" si="122"/>
        <v>5.5560533888988912</v>
      </c>
      <c r="CW190" s="521">
        <f t="shared" si="123"/>
        <v>-7.2344745517137401</v>
      </c>
      <c r="CX190" s="522">
        <f t="shared" si="124"/>
        <v>2.2215327424625715E-3</v>
      </c>
      <c r="CZ190" s="1647">
        <f t="shared" si="137"/>
        <v>0</v>
      </c>
      <c r="DA190" s="1671">
        <v>59</v>
      </c>
      <c r="DB190" s="1644">
        <f t="shared" si="125"/>
        <v>273.14999999999998</v>
      </c>
      <c r="DC190" s="1644">
        <f t="shared" si="126"/>
        <v>-33.129143945141777</v>
      </c>
      <c r="DD190" s="1644">
        <f t="shared" si="127"/>
        <v>39.544589235539483</v>
      </c>
      <c r="DE190" s="1644">
        <f t="shared" si="128"/>
        <v>0.61121286745119141</v>
      </c>
      <c r="DF190" s="1644">
        <f t="shared" si="129"/>
        <v>0.36061559179620289</v>
      </c>
      <c r="DG190" s="1644">
        <f t="shared" si="138"/>
        <v>3.7746786226692361E-3</v>
      </c>
      <c r="DH190" s="1644">
        <f t="shared" si="130"/>
        <v>0.58853559853305626</v>
      </c>
      <c r="DI190" s="505">
        <f t="shared" si="131"/>
        <v>59</v>
      </c>
      <c r="DJ190" s="1648">
        <f t="shared" si="132"/>
        <v>5.5560533888988912</v>
      </c>
      <c r="DK190" s="521">
        <f t="shared" si="133"/>
        <v>-7.2344745517137401</v>
      </c>
      <c r="DL190" s="522">
        <f t="shared" si="134"/>
        <v>2.2215327424625715E-3</v>
      </c>
    </row>
    <row r="191" spans="90:116">
      <c r="CL191" s="1647">
        <f t="shared" si="135"/>
        <v>0</v>
      </c>
      <c r="CM191" s="1671">
        <v>60</v>
      </c>
      <c r="CN191" s="1644">
        <f t="shared" si="115"/>
        <v>273.14999999999998</v>
      </c>
      <c r="CO191" s="1644">
        <f t="shared" si="116"/>
        <v>-33.129143945141777</v>
      </c>
      <c r="CP191" s="1644">
        <f t="shared" si="117"/>
        <v>39.544589235539483</v>
      </c>
      <c r="CQ191" s="1644">
        <f t="shared" si="118"/>
        <v>0.61121286745119141</v>
      </c>
      <c r="CR191" s="1644">
        <f t="shared" si="119"/>
        <v>0.36672772047071484</v>
      </c>
      <c r="CS191" s="1644">
        <f t="shared" si="136"/>
        <v>3.7746786226692361E-3</v>
      </c>
      <c r="CT191" s="1644">
        <f t="shared" si="120"/>
        <v>0.59854701269270805</v>
      </c>
      <c r="CU191" s="505">
        <f t="shared" si="121"/>
        <v>60</v>
      </c>
      <c r="CV191" s="1648">
        <f t="shared" si="122"/>
        <v>5.6505658562977166</v>
      </c>
      <c r="CW191" s="521">
        <f t="shared" si="123"/>
        <v>-7.0093178967516785</v>
      </c>
      <c r="CX191" s="522">
        <f t="shared" si="124"/>
        <v>2.259322613473697E-3</v>
      </c>
      <c r="CZ191" s="1647">
        <f t="shared" si="137"/>
        <v>0</v>
      </c>
      <c r="DA191" s="1671">
        <v>60</v>
      </c>
      <c r="DB191" s="1644">
        <f t="shared" si="125"/>
        <v>273.14999999999998</v>
      </c>
      <c r="DC191" s="1644">
        <f t="shared" si="126"/>
        <v>-33.129143945141777</v>
      </c>
      <c r="DD191" s="1644">
        <f t="shared" si="127"/>
        <v>39.544589235539483</v>
      </c>
      <c r="DE191" s="1644">
        <f t="shared" si="128"/>
        <v>0.61121286745119141</v>
      </c>
      <c r="DF191" s="1644">
        <f t="shared" si="129"/>
        <v>0.36672772047071484</v>
      </c>
      <c r="DG191" s="1644">
        <f t="shared" si="138"/>
        <v>3.7746786226692361E-3</v>
      </c>
      <c r="DH191" s="1644">
        <f t="shared" si="130"/>
        <v>0.59854701269270805</v>
      </c>
      <c r="DI191" s="505">
        <f t="shared" si="131"/>
        <v>60</v>
      </c>
      <c r="DJ191" s="1648">
        <f t="shared" si="132"/>
        <v>5.6505658562977166</v>
      </c>
      <c r="DK191" s="521">
        <f t="shared" si="133"/>
        <v>-7.0093178967516785</v>
      </c>
      <c r="DL191" s="522">
        <f t="shared" si="134"/>
        <v>2.259322613473697E-3</v>
      </c>
    </row>
    <row r="192" spans="90:116">
      <c r="CL192" s="1647">
        <f t="shared" si="135"/>
        <v>0</v>
      </c>
      <c r="CM192" s="1671">
        <v>61</v>
      </c>
      <c r="CN192" s="1644">
        <f t="shared" si="115"/>
        <v>273.14999999999998</v>
      </c>
      <c r="CO192" s="1644">
        <f t="shared" si="116"/>
        <v>-33.129143945141777</v>
      </c>
      <c r="CP192" s="1644">
        <f t="shared" si="117"/>
        <v>39.544589235539483</v>
      </c>
      <c r="CQ192" s="1644">
        <f t="shared" si="118"/>
        <v>0.61121286745119141</v>
      </c>
      <c r="CR192" s="1644">
        <f t="shared" si="119"/>
        <v>0.37283984914522678</v>
      </c>
      <c r="CS192" s="1644">
        <f t="shared" si="136"/>
        <v>3.7746786226692361E-3</v>
      </c>
      <c r="CT192" s="1644">
        <f t="shared" si="120"/>
        <v>0.60855963913056099</v>
      </c>
      <c r="CU192" s="505">
        <f t="shared" si="121"/>
        <v>61</v>
      </c>
      <c r="CV192" s="1648">
        <f t="shared" si="122"/>
        <v>5.7450897681740285</v>
      </c>
      <c r="CW192" s="521">
        <f t="shared" si="123"/>
        <v>-6.7876291128284736</v>
      </c>
      <c r="CX192" s="522">
        <f t="shared" si="124"/>
        <v>2.2971170604454334E-3</v>
      </c>
      <c r="CZ192" s="1647">
        <f t="shared" si="137"/>
        <v>0</v>
      </c>
      <c r="DA192" s="1671">
        <v>61</v>
      </c>
      <c r="DB192" s="1644">
        <f t="shared" si="125"/>
        <v>273.14999999999998</v>
      </c>
      <c r="DC192" s="1644">
        <f t="shared" si="126"/>
        <v>-33.129143945141777</v>
      </c>
      <c r="DD192" s="1644">
        <f t="shared" si="127"/>
        <v>39.544589235539483</v>
      </c>
      <c r="DE192" s="1644">
        <f t="shared" si="128"/>
        <v>0.61121286745119141</v>
      </c>
      <c r="DF192" s="1644">
        <f t="shared" si="129"/>
        <v>0.37283984914522678</v>
      </c>
      <c r="DG192" s="1644">
        <f t="shared" si="138"/>
        <v>3.7746786226692361E-3</v>
      </c>
      <c r="DH192" s="1644">
        <f t="shared" si="130"/>
        <v>0.60855963913056099</v>
      </c>
      <c r="DI192" s="505">
        <f t="shared" si="131"/>
        <v>61</v>
      </c>
      <c r="DJ192" s="1648">
        <f t="shared" si="132"/>
        <v>5.7450897681740285</v>
      </c>
      <c r="DK192" s="521">
        <f t="shared" si="133"/>
        <v>-6.7876291128284736</v>
      </c>
      <c r="DL192" s="522">
        <f t="shared" si="134"/>
        <v>2.2971170604454334E-3</v>
      </c>
    </row>
    <row r="193" spans="90:116">
      <c r="CL193" s="1647">
        <f t="shared" si="135"/>
        <v>0</v>
      </c>
      <c r="CM193" s="1671">
        <v>62</v>
      </c>
      <c r="CN193" s="1644">
        <f t="shared" si="115"/>
        <v>273.14999999999998</v>
      </c>
      <c r="CO193" s="1644">
        <f t="shared" si="116"/>
        <v>-33.129143945141777</v>
      </c>
      <c r="CP193" s="1644">
        <f t="shared" si="117"/>
        <v>39.544589235539483</v>
      </c>
      <c r="CQ193" s="1644">
        <f t="shared" si="118"/>
        <v>0.61121286745119141</v>
      </c>
      <c r="CR193" s="1644">
        <f t="shared" si="119"/>
        <v>0.37895197781973866</v>
      </c>
      <c r="CS193" s="1644">
        <f t="shared" si="136"/>
        <v>3.7746786226692361E-3</v>
      </c>
      <c r="CT193" s="1644">
        <f t="shared" si="120"/>
        <v>0.61857347806681984</v>
      </c>
      <c r="CU193" s="505">
        <f t="shared" si="121"/>
        <v>62</v>
      </c>
      <c r="CV193" s="1648">
        <f t="shared" si="122"/>
        <v>5.8396251266066654</v>
      </c>
      <c r="CW193" s="521">
        <f t="shared" si="123"/>
        <v>-6.569296989800014</v>
      </c>
      <c r="CX193" s="522">
        <f t="shared" si="124"/>
        <v>2.3349160842089825E-3</v>
      </c>
      <c r="CZ193" s="1647">
        <f t="shared" si="137"/>
        <v>0</v>
      </c>
      <c r="DA193" s="1671">
        <v>62</v>
      </c>
      <c r="DB193" s="1644">
        <f t="shared" si="125"/>
        <v>273.14999999999998</v>
      </c>
      <c r="DC193" s="1644">
        <f t="shared" si="126"/>
        <v>-33.129143945141777</v>
      </c>
      <c r="DD193" s="1644">
        <f t="shared" si="127"/>
        <v>39.544589235539483</v>
      </c>
      <c r="DE193" s="1644">
        <f t="shared" si="128"/>
        <v>0.61121286745119141</v>
      </c>
      <c r="DF193" s="1644">
        <f t="shared" si="129"/>
        <v>0.37895197781973866</v>
      </c>
      <c r="DG193" s="1644">
        <f t="shared" si="138"/>
        <v>3.7746786226692361E-3</v>
      </c>
      <c r="DH193" s="1644">
        <f t="shared" si="130"/>
        <v>0.61857347806681984</v>
      </c>
      <c r="DI193" s="505">
        <f t="shared" si="131"/>
        <v>62</v>
      </c>
      <c r="DJ193" s="1648">
        <f t="shared" si="132"/>
        <v>5.8396251266066654</v>
      </c>
      <c r="DK193" s="521">
        <f t="shared" si="133"/>
        <v>-6.569296989800014</v>
      </c>
      <c r="DL193" s="522">
        <f t="shared" si="134"/>
        <v>2.3349160842089825E-3</v>
      </c>
    </row>
    <row r="194" spans="90:116">
      <c r="CL194" s="1647">
        <f t="shared" si="135"/>
        <v>0</v>
      </c>
      <c r="CM194" s="1671">
        <v>63</v>
      </c>
      <c r="CN194" s="1644">
        <f t="shared" si="115"/>
        <v>273.14999999999998</v>
      </c>
      <c r="CO194" s="1644">
        <f t="shared" si="116"/>
        <v>-33.129143945141777</v>
      </c>
      <c r="CP194" s="1644">
        <f t="shared" si="117"/>
        <v>39.544589235539483</v>
      </c>
      <c r="CQ194" s="1644">
        <f t="shared" si="118"/>
        <v>0.61121286745119141</v>
      </c>
      <c r="CR194" s="1644">
        <f t="shared" si="119"/>
        <v>0.3850641064942506</v>
      </c>
      <c r="CS194" s="1644">
        <f t="shared" si="136"/>
        <v>3.7746786226692361E-3</v>
      </c>
      <c r="CT194" s="1644">
        <f t="shared" si="120"/>
        <v>0.62858852972174295</v>
      </c>
      <c r="CU194" s="505">
        <f t="shared" si="121"/>
        <v>63</v>
      </c>
      <c r="CV194" s="1648">
        <f t="shared" si="122"/>
        <v>5.9341719336749676</v>
      </c>
      <c r="CW194" s="521">
        <f t="shared" si="123"/>
        <v>-6.3542156457759909</v>
      </c>
      <c r="CX194" s="522">
        <f t="shared" si="124"/>
        <v>2.3727196855957487E-3</v>
      </c>
      <c r="CZ194" s="1647">
        <f t="shared" si="137"/>
        <v>0</v>
      </c>
      <c r="DA194" s="1671">
        <v>63</v>
      </c>
      <c r="DB194" s="1644">
        <f t="shared" si="125"/>
        <v>273.14999999999998</v>
      </c>
      <c r="DC194" s="1644">
        <f t="shared" si="126"/>
        <v>-33.129143945141777</v>
      </c>
      <c r="DD194" s="1644">
        <f t="shared" si="127"/>
        <v>39.544589235539483</v>
      </c>
      <c r="DE194" s="1644">
        <f t="shared" si="128"/>
        <v>0.61121286745119141</v>
      </c>
      <c r="DF194" s="1644">
        <f t="shared" si="129"/>
        <v>0.3850641064942506</v>
      </c>
      <c r="DG194" s="1644">
        <f t="shared" si="138"/>
        <v>3.7746786226692361E-3</v>
      </c>
      <c r="DH194" s="1644">
        <f t="shared" si="130"/>
        <v>0.62858852972174295</v>
      </c>
      <c r="DI194" s="505">
        <f t="shared" si="131"/>
        <v>63</v>
      </c>
      <c r="DJ194" s="1648">
        <f t="shared" si="132"/>
        <v>5.9341719336749676</v>
      </c>
      <c r="DK194" s="521">
        <f t="shared" si="133"/>
        <v>-6.3542156457759909</v>
      </c>
      <c r="DL194" s="522">
        <f t="shared" si="134"/>
        <v>2.3727196855957487E-3</v>
      </c>
    </row>
    <row r="195" spans="90:116">
      <c r="CL195" s="1647">
        <f t="shared" si="135"/>
        <v>0</v>
      </c>
      <c r="CM195" s="1671">
        <v>64</v>
      </c>
      <c r="CN195" s="1644">
        <f t="shared" si="115"/>
        <v>273.14999999999998</v>
      </c>
      <c r="CO195" s="1644">
        <f t="shared" si="116"/>
        <v>-33.129143945141777</v>
      </c>
      <c r="CP195" s="1644">
        <f t="shared" si="117"/>
        <v>39.544589235539483</v>
      </c>
      <c r="CQ195" s="1644">
        <f t="shared" si="118"/>
        <v>0.61121286745119141</v>
      </c>
      <c r="CR195" s="1644">
        <f t="shared" si="119"/>
        <v>0.39117623516876249</v>
      </c>
      <c r="CS195" s="1644">
        <f t="shared" si="136"/>
        <v>3.7746786226692361E-3</v>
      </c>
      <c r="CT195" s="1644">
        <f t="shared" si="120"/>
        <v>0.63860479431564121</v>
      </c>
      <c r="CU195" s="505">
        <f t="shared" si="121"/>
        <v>64</v>
      </c>
      <c r="CV195" s="1648">
        <f t="shared" si="122"/>
        <v>6.0287301914587763</v>
      </c>
      <c r="CW195" s="521">
        <f t="shared" si="123"/>
        <v>-6.1422841906996597</v>
      </c>
      <c r="CX195" s="522">
        <f t="shared" si="124"/>
        <v>2.4105278654373355E-3</v>
      </c>
      <c r="CZ195" s="1647">
        <f t="shared" si="137"/>
        <v>0</v>
      </c>
      <c r="DA195" s="1671">
        <v>64</v>
      </c>
      <c r="DB195" s="1644">
        <f t="shared" si="125"/>
        <v>273.14999999999998</v>
      </c>
      <c r="DC195" s="1644">
        <f t="shared" si="126"/>
        <v>-33.129143945141777</v>
      </c>
      <c r="DD195" s="1644">
        <f t="shared" si="127"/>
        <v>39.544589235539483</v>
      </c>
      <c r="DE195" s="1644">
        <f t="shared" si="128"/>
        <v>0.61121286745119141</v>
      </c>
      <c r="DF195" s="1644">
        <f t="shared" si="129"/>
        <v>0.39117623516876249</v>
      </c>
      <c r="DG195" s="1644">
        <f t="shared" si="138"/>
        <v>3.7746786226692361E-3</v>
      </c>
      <c r="DH195" s="1644">
        <f t="shared" si="130"/>
        <v>0.63860479431564121</v>
      </c>
      <c r="DI195" s="505">
        <f t="shared" si="131"/>
        <v>64</v>
      </c>
      <c r="DJ195" s="1648">
        <f t="shared" si="132"/>
        <v>6.0287301914587763</v>
      </c>
      <c r="DK195" s="521">
        <f t="shared" si="133"/>
        <v>-6.1422841906996597</v>
      </c>
      <c r="DL195" s="522">
        <f t="shared" si="134"/>
        <v>2.4105278654373355E-3</v>
      </c>
    </row>
    <row r="196" spans="90:116">
      <c r="CL196" s="1647">
        <f t="shared" si="135"/>
        <v>0</v>
      </c>
      <c r="CM196" s="1671">
        <v>65</v>
      </c>
      <c r="CN196" s="1644">
        <f t="shared" ref="CN196:CN231" si="139">273.15+CL196</f>
        <v>273.14999999999998</v>
      </c>
      <c r="CO196" s="1644">
        <f t="shared" ref="CO196:CO231" si="140">-5800.2206/CN196+1.3914993-0.048640239*CN196</f>
        <v>-33.129143945141777</v>
      </c>
      <c r="CP196" s="1644">
        <f t="shared" ref="CP196:CP231" si="141">0.000041764768*POWER(CN196,2)-0.000000014452093*POWER(CN196,3)+6.5459673*LN(CN196)</f>
        <v>39.544589235539483</v>
      </c>
      <c r="CQ196" s="1644">
        <f t="shared" ref="CQ196:CQ231" si="142">EXP(CO196+CP196)/1000</f>
        <v>0.61121286745119141</v>
      </c>
      <c r="CR196" s="1644">
        <f t="shared" ref="CR196:CR231" si="143">CM196/100*CQ196</f>
        <v>0.39728836384327443</v>
      </c>
      <c r="CS196" s="1644">
        <f t="shared" si="136"/>
        <v>3.7746786226692361E-3</v>
      </c>
      <c r="CT196" s="1644">
        <f t="shared" ref="CT196:CT231" si="144">CX196/CS196</f>
        <v>0.64862227206888012</v>
      </c>
      <c r="CU196" s="505">
        <f t="shared" ref="CU196:CU231" si="145">IF(CL196+CM196&gt;0,CM196,0)</f>
        <v>65</v>
      </c>
      <c r="CV196" s="1648">
        <f t="shared" ref="CV196:CV231" si="146">IF(CL196+CM196&gt;0,(1.006*CL196+CX196*(2501+1.805*CL196)),0)</f>
        <v>6.1232999020384433</v>
      </c>
      <c r="CW196" s="521">
        <f t="shared" ref="CW196:CW231" si="147">IF(CL196+CM196&gt;0,(6.54+14.526*LN(CR196)+0.7389*POWER(LN(CR196),2)+0.09486*POWER(LN(CR196),3)+0.4569*POWER(CR196,0.1984)),0)</f>
        <v>-5.933406416112124</v>
      </c>
      <c r="CX196" s="522">
        <f t="shared" ref="CX196:CX231" si="148">IF(CL196+CM196&gt;0,0.62198*(CR196/($F$3-CR196)),0)</f>
        <v>2.448340624565551E-3</v>
      </c>
      <c r="CZ196" s="1647">
        <f t="shared" si="137"/>
        <v>0</v>
      </c>
      <c r="DA196" s="1671">
        <v>65</v>
      </c>
      <c r="DB196" s="1644">
        <f t="shared" ref="DB196:DB231" si="149">273.15+CZ196</f>
        <v>273.14999999999998</v>
      </c>
      <c r="DC196" s="1644">
        <f t="shared" ref="DC196:DC231" si="150">-5800.2206/DB196+1.3914993-0.048640239*DB196</f>
        <v>-33.129143945141777</v>
      </c>
      <c r="DD196" s="1644">
        <f t="shared" ref="DD196:DD231" si="151">0.000041764768*POWER(DB196,2)-0.000000014452093*POWER(DB196,3)+6.5459673*LN(DB196)</f>
        <v>39.544589235539483</v>
      </c>
      <c r="DE196" s="1644">
        <f t="shared" ref="DE196:DE231" si="152">EXP(DC196+DD196)/1000</f>
        <v>0.61121286745119141</v>
      </c>
      <c r="DF196" s="1644">
        <f t="shared" ref="DF196:DF231" si="153">DA196/100*DE196</f>
        <v>0.39728836384327443</v>
      </c>
      <c r="DG196" s="1644">
        <f t="shared" si="138"/>
        <v>3.7746786226692361E-3</v>
      </c>
      <c r="DH196" s="1644">
        <f t="shared" ref="DH196:DH231" si="154">DL196/DG196</f>
        <v>0.64862227206888012</v>
      </c>
      <c r="DI196" s="505">
        <f t="shared" ref="DI196:DI231" si="155">IF(CZ196+DA196&gt;0,DA196,0)</f>
        <v>65</v>
      </c>
      <c r="DJ196" s="1648">
        <f t="shared" ref="DJ196:DJ231" si="156">IF(CZ196+DA196&gt;0,(1.006*CZ196+DL196*(2501+1.805*CZ196)),0)</f>
        <v>6.1232999020384433</v>
      </c>
      <c r="DK196" s="521">
        <f t="shared" ref="DK196:DK231" si="157">IF(CZ196+DA196&gt;0,(6.54+14.526*LN(DF196)+0.7389*POWER(LN(DF196),2)+0.09486*POWER(LN(DF196),3)+0.4569*POWER(DF196,0.1984)),0)</f>
        <v>-5.933406416112124</v>
      </c>
      <c r="DL196" s="522">
        <f t="shared" ref="DL196:DL231" si="158">IF(CZ196+DA196&gt;0,0.62198*(DF196/($F$3-DF196)),0)</f>
        <v>2.448340624565551E-3</v>
      </c>
    </row>
    <row r="197" spans="90:116">
      <c r="CL197" s="1647">
        <f t="shared" ref="CL197:CL231" si="159">$D$23</f>
        <v>0</v>
      </c>
      <c r="CM197" s="1671">
        <v>66</v>
      </c>
      <c r="CN197" s="1644">
        <f t="shared" si="139"/>
        <v>273.14999999999998</v>
      </c>
      <c r="CO197" s="1644">
        <f t="shared" si="140"/>
        <v>-33.129143945141777</v>
      </c>
      <c r="CP197" s="1644">
        <f t="shared" si="141"/>
        <v>39.544589235539483</v>
      </c>
      <c r="CQ197" s="1644">
        <f t="shared" si="142"/>
        <v>0.61121286745119141</v>
      </c>
      <c r="CR197" s="1644">
        <f t="shared" si="143"/>
        <v>0.40340049251778637</v>
      </c>
      <c r="CS197" s="1644">
        <f t="shared" ref="CS197:CS231" si="160">0.62198*(CQ197/($F$3-CQ197))</f>
        <v>3.7746786226692361E-3</v>
      </c>
      <c r="CT197" s="1644">
        <f t="shared" si="144"/>
        <v>0.65864096320187759</v>
      </c>
      <c r="CU197" s="505">
        <f t="shared" si="145"/>
        <v>66</v>
      </c>
      <c r="CV197" s="1648">
        <f t="shared" si="146"/>
        <v>6.2178810674948188</v>
      </c>
      <c r="CW197" s="521">
        <f t="shared" si="147"/>
        <v>-5.7274905086911732</v>
      </c>
      <c r="CX197" s="522">
        <f t="shared" si="148"/>
        <v>2.4861579638124024E-3</v>
      </c>
      <c r="CZ197" s="1647">
        <f t="shared" ref="CZ197:CZ231" si="161">$D$24</f>
        <v>0</v>
      </c>
      <c r="DA197" s="1671">
        <v>66</v>
      </c>
      <c r="DB197" s="1644">
        <f t="shared" si="149"/>
        <v>273.14999999999998</v>
      </c>
      <c r="DC197" s="1644">
        <f t="shared" si="150"/>
        <v>-33.129143945141777</v>
      </c>
      <c r="DD197" s="1644">
        <f t="shared" si="151"/>
        <v>39.544589235539483</v>
      </c>
      <c r="DE197" s="1644">
        <f t="shared" si="152"/>
        <v>0.61121286745119141</v>
      </c>
      <c r="DF197" s="1644">
        <f t="shared" si="153"/>
        <v>0.40340049251778637</v>
      </c>
      <c r="DG197" s="1644">
        <f t="shared" ref="DG197:DG231" si="162">0.62198*(DE197/($F$3-DE197))</f>
        <v>3.7746786226692361E-3</v>
      </c>
      <c r="DH197" s="1644">
        <f t="shared" si="154"/>
        <v>0.65864096320187759</v>
      </c>
      <c r="DI197" s="505">
        <f t="shared" si="155"/>
        <v>66</v>
      </c>
      <c r="DJ197" s="1648">
        <f t="shared" si="156"/>
        <v>6.2178810674948188</v>
      </c>
      <c r="DK197" s="521">
        <f t="shared" si="157"/>
        <v>-5.7274905086911732</v>
      </c>
      <c r="DL197" s="522">
        <f t="shared" si="158"/>
        <v>2.4861579638124024E-3</v>
      </c>
    </row>
    <row r="198" spans="90:116">
      <c r="CL198" s="1647">
        <f t="shared" si="159"/>
        <v>0</v>
      </c>
      <c r="CM198" s="1671">
        <v>67</v>
      </c>
      <c r="CN198" s="1644">
        <f t="shared" si="139"/>
        <v>273.14999999999998</v>
      </c>
      <c r="CO198" s="1644">
        <f t="shared" si="140"/>
        <v>-33.129143945141777</v>
      </c>
      <c r="CP198" s="1644">
        <f t="shared" si="141"/>
        <v>39.544589235539483</v>
      </c>
      <c r="CQ198" s="1644">
        <f t="shared" si="142"/>
        <v>0.61121286745119141</v>
      </c>
      <c r="CR198" s="1644">
        <f t="shared" si="143"/>
        <v>0.40951262119229825</v>
      </c>
      <c r="CS198" s="1644">
        <f t="shared" si="160"/>
        <v>3.7746786226692361E-3</v>
      </c>
      <c r="CT198" s="1644">
        <f t="shared" si="144"/>
        <v>0.66866086793510526</v>
      </c>
      <c r="CU198" s="505">
        <f t="shared" si="145"/>
        <v>67</v>
      </c>
      <c r="CV198" s="1648">
        <f t="shared" si="146"/>
        <v>6.3124736899092575</v>
      </c>
      <c r="CW198" s="521">
        <f t="shared" si="147"/>
        <v>-5.5244487854095539</v>
      </c>
      <c r="CX198" s="522">
        <f t="shared" si="148"/>
        <v>2.523979884010099E-3</v>
      </c>
      <c r="CZ198" s="1647">
        <f t="shared" si="161"/>
        <v>0</v>
      </c>
      <c r="DA198" s="1671">
        <v>67</v>
      </c>
      <c r="DB198" s="1644">
        <f t="shared" si="149"/>
        <v>273.14999999999998</v>
      </c>
      <c r="DC198" s="1644">
        <f t="shared" si="150"/>
        <v>-33.129143945141777</v>
      </c>
      <c r="DD198" s="1644">
        <f t="shared" si="151"/>
        <v>39.544589235539483</v>
      </c>
      <c r="DE198" s="1644">
        <f t="shared" si="152"/>
        <v>0.61121286745119141</v>
      </c>
      <c r="DF198" s="1644">
        <f t="shared" si="153"/>
        <v>0.40951262119229825</v>
      </c>
      <c r="DG198" s="1644">
        <f t="shared" si="162"/>
        <v>3.7746786226692361E-3</v>
      </c>
      <c r="DH198" s="1644">
        <f t="shared" si="154"/>
        <v>0.66866086793510526</v>
      </c>
      <c r="DI198" s="505">
        <f t="shared" si="155"/>
        <v>67</v>
      </c>
      <c r="DJ198" s="1648">
        <f t="shared" si="156"/>
        <v>6.3124736899092575</v>
      </c>
      <c r="DK198" s="521">
        <f t="shared" si="157"/>
        <v>-5.5244487854095539</v>
      </c>
      <c r="DL198" s="522">
        <f t="shared" si="158"/>
        <v>2.523979884010099E-3</v>
      </c>
    </row>
    <row r="199" spans="90:116">
      <c r="CL199" s="1647">
        <f t="shared" si="159"/>
        <v>0</v>
      </c>
      <c r="CM199" s="1671">
        <v>68</v>
      </c>
      <c r="CN199" s="1644">
        <f t="shared" si="139"/>
        <v>273.14999999999998</v>
      </c>
      <c r="CO199" s="1644">
        <f t="shared" si="140"/>
        <v>-33.129143945141777</v>
      </c>
      <c r="CP199" s="1644">
        <f t="shared" si="141"/>
        <v>39.544589235539483</v>
      </c>
      <c r="CQ199" s="1644">
        <f t="shared" si="142"/>
        <v>0.61121286745119141</v>
      </c>
      <c r="CR199" s="1644">
        <f t="shared" si="143"/>
        <v>0.41562474986681019</v>
      </c>
      <c r="CS199" s="1644">
        <f t="shared" si="160"/>
        <v>3.7746786226692361E-3</v>
      </c>
      <c r="CT199" s="1644">
        <f t="shared" si="144"/>
        <v>0.67868198648908806</v>
      </c>
      <c r="CU199" s="505">
        <f t="shared" si="145"/>
        <v>68</v>
      </c>
      <c r="CV199" s="1648">
        <f t="shared" si="146"/>
        <v>6.4070777713636211</v>
      </c>
      <c r="CW199" s="521">
        <f t="shared" si="147"/>
        <v>-5.324197448382181</v>
      </c>
      <c r="CX199" s="522">
        <f t="shared" si="148"/>
        <v>2.5618063859910519E-3</v>
      </c>
      <c r="CZ199" s="1647">
        <f t="shared" si="161"/>
        <v>0</v>
      </c>
      <c r="DA199" s="1671">
        <v>68</v>
      </c>
      <c r="DB199" s="1644">
        <f t="shared" si="149"/>
        <v>273.14999999999998</v>
      </c>
      <c r="DC199" s="1644">
        <f t="shared" si="150"/>
        <v>-33.129143945141777</v>
      </c>
      <c r="DD199" s="1644">
        <f t="shared" si="151"/>
        <v>39.544589235539483</v>
      </c>
      <c r="DE199" s="1644">
        <f t="shared" si="152"/>
        <v>0.61121286745119141</v>
      </c>
      <c r="DF199" s="1644">
        <f t="shared" si="153"/>
        <v>0.41562474986681019</v>
      </c>
      <c r="DG199" s="1644">
        <f t="shared" si="162"/>
        <v>3.7746786226692361E-3</v>
      </c>
      <c r="DH199" s="1644">
        <f t="shared" si="154"/>
        <v>0.67868198648908806</v>
      </c>
      <c r="DI199" s="505">
        <f t="shared" si="155"/>
        <v>68</v>
      </c>
      <c r="DJ199" s="1648">
        <f t="shared" si="156"/>
        <v>6.4070777713636211</v>
      </c>
      <c r="DK199" s="521">
        <f t="shared" si="157"/>
        <v>-5.324197448382181</v>
      </c>
      <c r="DL199" s="522">
        <f t="shared" si="158"/>
        <v>2.5618063859910519E-3</v>
      </c>
    </row>
    <row r="200" spans="90:116">
      <c r="CL200" s="1647">
        <f t="shared" si="159"/>
        <v>0</v>
      </c>
      <c r="CM200" s="1671">
        <v>69</v>
      </c>
      <c r="CN200" s="1644">
        <f t="shared" si="139"/>
        <v>273.14999999999998</v>
      </c>
      <c r="CO200" s="1644">
        <f t="shared" si="140"/>
        <v>-33.129143945141777</v>
      </c>
      <c r="CP200" s="1644">
        <f t="shared" si="141"/>
        <v>39.544589235539483</v>
      </c>
      <c r="CQ200" s="1644">
        <f t="shared" si="142"/>
        <v>0.61121286745119141</v>
      </c>
      <c r="CR200" s="1644">
        <f t="shared" si="143"/>
        <v>0.42173687854132202</v>
      </c>
      <c r="CS200" s="1644">
        <f t="shared" si="160"/>
        <v>3.7746786226692361E-3</v>
      </c>
      <c r="CT200" s="1644">
        <f t="shared" si="144"/>
        <v>0.68870431908440433</v>
      </c>
      <c r="CU200" s="505">
        <f t="shared" si="145"/>
        <v>69</v>
      </c>
      <c r="CV200" s="1648">
        <f t="shared" si="146"/>
        <v>6.5016933139402715</v>
      </c>
      <c r="CW200" s="521">
        <f t="shared" si="147"/>
        <v>-5.1266563576701119</v>
      </c>
      <c r="CX200" s="522">
        <f t="shared" si="148"/>
        <v>2.5996374705878735E-3</v>
      </c>
      <c r="CZ200" s="1647">
        <f t="shared" si="161"/>
        <v>0</v>
      </c>
      <c r="DA200" s="1671">
        <v>69</v>
      </c>
      <c r="DB200" s="1644">
        <f t="shared" si="149"/>
        <v>273.14999999999998</v>
      </c>
      <c r="DC200" s="1644">
        <f t="shared" si="150"/>
        <v>-33.129143945141777</v>
      </c>
      <c r="DD200" s="1644">
        <f t="shared" si="151"/>
        <v>39.544589235539483</v>
      </c>
      <c r="DE200" s="1644">
        <f t="shared" si="152"/>
        <v>0.61121286745119141</v>
      </c>
      <c r="DF200" s="1644">
        <f t="shared" si="153"/>
        <v>0.42173687854132202</v>
      </c>
      <c r="DG200" s="1644">
        <f t="shared" si="162"/>
        <v>3.7746786226692361E-3</v>
      </c>
      <c r="DH200" s="1644">
        <f t="shared" si="154"/>
        <v>0.68870431908440433</v>
      </c>
      <c r="DI200" s="505">
        <f t="shared" si="155"/>
        <v>69</v>
      </c>
      <c r="DJ200" s="1648">
        <f t="shared" si="156"/>
        <v>6.5016933139402715</v>
      </c>
      <c r="DK200" s="521">
        <f t="shared" si="157"/>
        <v>-5.1266563576701119</v>
      </c>
      <c r="DL200" s="522">
        <f t="shared" si="158"/>
        <v>2.5996374705878735E-3</v>
      </c>
    </row>
    <row r="201" spans="90:116">
      <c r="CL201" s="1647">
        <f t="shared" si="159"/>
        <v>0</v>
      </c>
      <c r="CM201" s="1671">
        <v>70</v>
      </c>
      <c r="CN201" s="1644">
        <f t="shared" si="139"/>
        <v>273.14999999999998</v>
      </c>
      <c r="CO201" s="1644">
        <f t="shared" si="140"/>
        <v>-33.129143945141777</v>
      </c>
      <c r="CP201" s="1644">
        <f t="shared" si="141"/>
        <v>39.544589235539483</v>
      </c>
      <c r="CQ201" s="1644">
        <f t="shared" si="142"/>
        <v>0.61121286745119141</v>
      </c>
      <c r="CR201" s="1644">
        <f t="shared" si="143"/>
        <v>0.42784900721583397</v>
      </c>
      <c r="CS201" s="1644">
        <f t="shared" si="160"/>
        <v>3.7746786226692361E-3</v>
      </c>
      <c r="CT201" s="1644">
        <f t="shared" si="144"/>
        <v>0.69872786594168634</v>
      </c>
      <c r="CU201" s="505">
        <f t="shared" si="145"/>
        <v>70</v>
      </c>
      <c r="CV201" s="1648">
        <f t="shared" si="146"/>
        <v>6.5963203197220812</v>
      </c>
      <c r="CW201" s="521">
        <f t="shared" si="147"/>
        <v>-4.9317488204842483</v>
      </c>
      <c r="CX201" s="522">
        <f t="shared" si="148"/>
        <v>2.6374731386333791E-3</v>
      </c>
      <c r="CZ201" s="1647">
        <f t="shared" si="161"/>
        <v>0</v>
      </c>
      <c r="DA201" s="1671">
        <v>70</v>
      </c>
      <c r="DB201" s="1644">
        <f t="shared" si="149"/>
        <v>273.14999999999998</v>
      </c>
      <c r="DC201" s="1644">
        <f t="shared" si="150"/>
        <v>-33.129143945141777</v>
      </c>
      <c r="DD201" s="1644">
        <f t="shared" si="151"/>
        <v>39.544589235539483</v>
      </c>
      <c r="DE201" s="1644">
        <f t="shared" si="152"/>
        <v>0.61121286745119141</v>
      </c>
      <c r="DF201" s="1644">
        <f t="shared" si="153"/>
        <v>0.42784900721583397</v>
      </c>
      <c r="DG201" s="1644">
        <f t="shared" si="162"/>
        <v>3.7746786226692361E-3</v>
      </c>
      <c r="DH201" s="1644">
        <f t="shared" si="154"/>
        <v>0.69872786594168634</v>
      </c>
      <c r="DI201" s="505">
        <f t="shared" si="155"/>
        <v>70</v>
      </c>
      <c r="DJ201" s="1648">
        <f t="shared" si="156"/>
        <v>6.5963203197220812</v>
      </c>
      <c r="DK201" s="521">
        <f t="shared" si="157"/>
        <v>-4.9317488204842483</v>
      </c>
      <c r="DL201" s="522">
        <f t="shared" si="158"/>
        <v>2.6374731386333791E-3</v>
      </c>
    </row>
    <row r="202" spans="90:116">
      <c r="CL202" s="1647">
        <f t="shared" si="159"/>
        <v>0</v>
      </c>
      <c r="CM202" s="1671">
        <v>71</v>
      </c>
      <c r="CN202" s="1644">
        <f t="shared" si="139"/>
        <v>273.14999999999998</v>
      </c>
      <c r="CO202" s="1644">
        <f t="shared" si="140"/>
        <v>-33.129143945141777</v>
      </c>
      <c r="CP202" s="1644">
        <f t="shared" si="141"/>
        <v>39.544589235539483</v>
      </c>
      <c r="CQ202" s="1644">
        <f t="shared" si="142"/>
        <v>0.61121286745119141</v>
      </c>
      <c r="CR202" s="1644">
        <f t="shared" si="143"/>
        <v>0.43396113589034591</v>
      </c>
      <c r="CS202" s="1644">
        <f t="shared" si="160"/>
        <v>3.7746786226692361E-3</v>
      </c>
      <c r="CT202" s="1644">
        <f t="shared" si="144"/>
        <v>0.70875262728161903</v>
      </c>
      <c r="CU202" s="505">
        <f t="shared" si="145"/>
        <v>71</v>
      </c>
      <c r="CV202" s="1648">
        <f t="shared" si="146"/>
        <v>6.6909587907924211</v>
      </c>
      <c r="CW202" s="521">
        <f t="shared" si="147"/>
        <v>-4.7394013953872616</v>
      </c>
      <c r="CX202" s="522">
        <f t="shared" si="148"/>
        <v>2.6753133909605841E-3</v>
      </c>
      <c r="CZ202" s="1647">
        <f t="shared" si="161"/>
        <v>0</v>
      </c>
      <c r="DA202" s="1671">
        <v>71</v>
      </c>
      <c r="DB202" s="1644">
        <f t="shared" si="149"/>
        <v>273.14999999999998</v>
      </c>
      <c r="DC202" s="1644">
        <f t="shared" si="150"/>
        <v>-33.129143945141777</v>
      </c>
      <c r="DD202" s="1644">
        <f t="shared" si="151"/>
        <v>39.544589235539483</v>
      </c>
      <c r="DE202" s="1644">
        <f t="shared" si="152"/>
        <v>0.61121286745119141</v>
      </c>
      <c r="DF202" s="1644">
        <f t="shared" si="153"/>
        <v>0.43396113589034591</v>
      </c>
      <c r="DG202" s="1644">
        <f t="shared" si="162"/>
        <v>3.7746786226692361E-3</v>
      </c>
      <c r="DH202" s="1644">
        <f t="shared" si="154"/>
        <v>0.70875262728161903</v>
      </c>
      <c r="DI202" s="505">
        <f t="shared" si="155"/>
        <v>71</v>
      </c>
      <c r="DJ202" s="1648">
        <f t="shared" si="156"/>
        <v>6.6909587907924211</v>
      </c>
      <c r="DK202" s="521">
        <f t="shared" si="157"/>
        <v>-4.7394013953872616</v>
      </c>
      <c r="DL202" s="522">
        <f t="shared" si="158"/>
        <v>2.6753133909605841E-3</v>
      </c>
    </row>
    <row r="203" spans="90:116">
      <c r="CL203" s="1647">
        <f t="shared" si="159"/>
        <v>0</v>
      </c>
      <c r="CM203" s="1671">
        <v>72</v>
      </c>
      <c r="CN203" s="1644">
        <f t="shared" si="139"/>
        <v>273.14999999999998</v>
      </c>
      <c r="CO203" s="1644">
        <f t="shared" si="140"/>
        <v>-33.129143945141777</v>
      </c>
      <c r="CP203" s="1644">
        <f t="shared" si="141"/>
        <v>39.544589235539483</v>
      </c>
      <c r="CQ203" s="1644">
        <f t="shared" si="142"/>
        <v>0.61121286745119141</v>
      </c>
      <c r="CR203" s="1644">
        <f t="shared" si="143"/>
        <v>0.44007326456485779</v>
      </c>
      <c r="CS203" s="1644">
        <f t="shared" si="160"/>
        <v>3.7746786226692361E-3</v>
      </c>
      <c r="CT203" s="1644">
        <f t="shared" si="144"/>
        <v>0.7187786033249417</v>
      </c>
      <c r="CU203" s="505">
        <f t="shared" si="145"/>
        <v>72</v>
      </c>
      <c r="CV203" s="1648">
        <f t="shared" si="146"/>
        <v>6.7856087292351726</v>
      </c>
      <c r="CW203" s="521">
        <f t="shared" si="147"/>
        <v>-4.5495437102299077</v>
      </c>
      <c r="CX203" s="522">
        <f t="shared" si="148"/>
        <v>2.713158228402708E-3</v>
      </c>
      <c r="CZ203" s="1647">
        <f t="shared" si="161"/>
        <v>0</v>
      </c>
      <c r="DA203" s="1671">
        <v>72</v>
      </c>
      <c r="DB203" s="1644">
        <f t="shared" si="149"/>
        <v>273.14999999999998</v>
      </c>
      <c r="DC203" s="1644">
        <f t="shared" si="150"/>
        <v>-33.129143945141777</v>
      </c>
      <c r="DD203" s="1644">
        <f t="shared" si="151"/>
        <v>39.544589235539483</v>
      </c>
      <c r="DE203" s="1644">
        <f t="shared" si="152"/>
        <v>0.61121286745119141</v>
      </c>
      <c r="DF203" s="1644">
        <f t="shared" si="153"/>
        <v>0.44007326456485779</v>
      </c>
      <c r="DG203" s="1644">
        <f t="shared" si="162"/>
        <v>3.7746786226692361E-3</v>
      </c>
      <c r="DH203" s="1644">
        <f t="shared" si="154"/>
        <v>0.7187786033249417</v>
      </c>
      <c r="DI203" s="505">
        <f t="shared" si="155"/>
        <v>72</v>
      </c>
      <c r="DJ203" s="1648">
        <f t="shared" si="156"/>
        <v>6.7856087292351726</v>
      </c>
      <c r="DK203" s="521">
        <f t="shared" si="157"/>
        <v>-4.5495437102299077</v>
      </c>
      <c r="DL203" s="522">
        <f t="shared" si="158"/>
        <v>2.713158228402708E-3</v>
      </c>
    </row>
    <row r="204" spans="90:116">
      <c r="CL204" s="1647">
        <f t="shared" si="159"/>
        <v>0</v>
      </c>
      <c r="CM204" s="1671">
        <v>73</v>
      </c>
      <c r="CN204" s="1644">
        <f t="shared" si="139"/>
        <v>273.14999999999998</v>
      </c>
      <c r="CO204" s="1644">
        <f t="shared" si="140"/>
        <v>-33.129143945141777</v>
      </c>
      <c r="CP204" s="1644">
        <f t="shared" si="141"/>
        <v>39.544589235539483</v>
      </c>
      <c r="CQ204" s="1644">
        <f t="shared" si="142"/>
        <v>0.61121286745119141</v>
      </c>
      <c r="CR204" s="1644">
        <f t="shared" si="143"/>
        <v>0.44618539323936973</v>
      </c>
      <c r="CS204" s="1644">
        <f t="shared" si="160"/>
        <v>3.7746786226692361E-3</v>
      </c>
      <c r="CT204" s="1644">
        <f t="shared" si="144"/>
        <v>0.72880579429244641</v>
      </c>
      <c r="CU204" s="505">
        <f t="shared" si="145"/>
        <v>73</v>
      </c>
      <c r="CV204" s="1648">
        <f t="shared" si="146"/>
        <v>6.880270137134719</v>
      </c>
      <c r="CW204" s="521">
        <f t="shared" si="147"/>
        <v>-4.3621082926805341</v>
      </c>
      <c r="CX204" s="522">
        <f t="shared" si="148"/>
        <v>2.7510076517931704E-3</v>
      </c>
      <c r="CZ204" s="1647">
        <f t="shared" si="161"/>
        <v>0</v>
      </c>
      <c r="DA204" s="1671">
        <v>73</v>
      </c>
      <c r="DB204" s="1644">
        <f t="shared" si="149"/>
        <v>273.14999999999998</v>
      </c>
      <c r="DC204" s="1644">
        <f t="shared" si="150"/>
        <v>-33.129143945141777</v>
      </c>
      <c r="DD204" s="1644">
        <f t="shared" si="151"/>
        <v>39.544589235539483</v>
      </c>
      <c r="DE204" s="1644">
        <f t="shared" si="152"/>
        <v>0.61121286745119141</v>
      </c>
      <c r="DF204" s="1644">
        <f t="shared" si="153"/>
        <v>0.44618539323936973</v>
      </c>
      <c r="DG204" s="1644">
        <f t="shared" si="162"/>
        <v>3.7746786226692361E-3</v>
      </c>
      <c r="DH204" s="1644">
        <f t="shared" si="154"/>
        <v>0.72880579429244641</v>
      </c>
      <c r="DI204" s="505">
        <f t="shared" si="155"/>
        <v>73</v>
      </c>
      <c r="DJ204" s="1648">
        <f t="shared" si="156"/>
        <v>6.880270137134719</v>
      </c>
      <c r="DK204" s="521">
        <f t="shared" si="157"/>
        <v>-4.3621082926805341</v>
      </c>
      <c r="DL204" s="522">
        <f t="shared" si="158"/>
        <v>2.7510076517931704E-3</v>
      </c>
    </row>
    <row r="205" spans="90:116">
      <c r="CL205" s="1647">
        <f t="shared" si="159"/>
        <v>0</v>
      </c>
      <c r="CM205" s="1671">
        <v>74</v>
      </c>
      <c r="CN205" s="1644">
        <f t="shared" si="139"/>
        <v>273.14999999999998</v>
      </c>
      <c r="CO205" s="1644">
        <f t="shared" si="140"/>
        <v>-33.129143945141777</v>
      </c>
      <c r="CP205" s="1644">
        <f t="shared" si="141"/>
        <v>39.544589235539483</v>
      </c>
      <c r="CQ205" s="1644">
        <f t="shared" si="142"/>
        <v>0.61121286745119141</v>
      </c>
      <c r="CR205" s="1644">
        <f t="shared" si="143"/>
        <v>0.45229752191388162</v>
      </c>
      <c r="CS205" s="1644">
        <f t="shared" si="160"/>
        <v>3.7746786226692361E-3</v>
      </c>
      <c r="CT205" s="1644">
        <f t="shared" si="144"/>
        <v>0.73883420040497916</v>
      </c>
      <c r="CU205" s="505">
        <f t="shared" si="145"/>
        <v>74</v>
      </c>
      <c r="CV205" s="1648">
        <f t="shared" si="146"/>
        <v>6.9749430165759483</v>
      </c>
      <c r="CW205" s="521">
        <f t="shared" si="147"/>
        <v>-4.1770304123158102</v>
      </c>
      <c r="CX205" s="522">
        <f t="shared" si="148"/>
        <v>2.7888616619655931E-3</v>
      </c>
      <c r="CZ205" s="1647">
        <f t="shared" si="161"/>
        <v>0</v>
      </c>
      <c r="DA205" s="1671">
        <v>74</v>
      </c>
      <c r="DB205" s="1644">
        <f t="shared" si="149"/>
        <v>273.14999999999998</v>
      </c>
      <c r="DC205" s="1644">
        <f t="shared" si="150"/>
        <v>-33.129143945141777</v>
      </c>
      <c r="DD205" s="1644">
        <f t="shared" si="151"/>
        <v>39.544589235539483</v>
      </c>
      <c r="DE205" s="1644">
        <f t="shared" si="152"/>
        <v>0.61121286745119141</v>
      </c>
      <c r="DF205" s="1644">
        <f t="shared" si="153"/>
        <v>0.45229752191388162</v>
      </c>
      <c r="DG205" s="1644">
        <f t="shared" si="162"/>
        <v>3.7746786226692361E-3</v>
      </c>
      <c r="DH205" s="1644">
        <f t="shared" si="154"/>
        <v>0.73883420040497916</v>
      </c>
      <c r="DI205" s="505">
        <f t="shared" si="155"/>
        <v>74</v>
      </c>
      <c r="DJ205" s="1648">
        <f t="shared" si="156"/>
        <v>6.9749430165759483</v>
      </c>
      <c r="DK205" s="521">
        <f t="shared" si="157"/>
        <v>-4.1770304123158102</v>
      </c>
      <c r="DL205" s="522">
        <f t="shared" si="158"/>
        <v>2.7888616619655931E-3</v>
      </c>
    </row>
    <row r="206" spans="90:116">
      <c r="CL206" s="1647">
        <f t="shared" si="159"/>
        <v>0</v>
      </c>
      <c r="CM206" s="1671">
        <v>75</v>
      </c>
      <c r="CN206" s="1644">
        <f t="shared" si="139"/>
        <v>273.14999999999998</v>
      </c>
      <c r="CO206" s="1644">
        <f t="shared" si="140"/>
        <v>-33.129143945141777</v>
      </c>
      <c r="CP206" s="1644">
        <f t="shared" si="141"/>
        <v>39.544589235539483</v>
      </c>
      <c r="CQ206" s="1644">
        <f t="shared" si="142"/>
        <v>0.61121286745119141</v>
      </c>
      <c r="CR206" s="1644">
        <f t="shared" si="143"/>
        <v>0.45840965058839356</v>
      </c>
      <c r="CS206" s="1644">
        <f t="shared" si="160"/>
        <v>3.7746786226692361E-3</v>
      </c>
      <c r="CT206" s="1644">
        <f t="shared" si="144"/>
        <v>0.74886382188343947</v>
      </c>
      <c r="CU206" s="505">
        <f t="shared" si="145"/>
        <v>75</v>
      </c>
      <c r="CV206" s="1648">
        <f t="shared" si="146"/>
        <v>7.0696273696442571</v>
      </c>
      <c r="CW206" s="521">
        <f t="shared" si="147"/>
        <v>-3.9942479333379737</v>
      </c>
      <c r="CX206" s="522">
        <f t="shared" si="148"/>
        <v>2.8267202597538014E-3</v>
      </c>
      <c r="CZ206" s="1647">
        <f t="shared" si="161"/>
        <v>0</v>
      </c>
      <c r="DA206" s="1671">
        <v>75</v>
      </c>
      <c r="DB206" s="1644">
        <f t="shared" si="149"/>
        <v>273.14999999999998</v>
      </c>
      <c r="DC206" s="1644">
        <f t="shared" si="150"/>
        <v>-33.129143945141777</v>
      </c>
      <c r="DD206" s="1644">
        <f t="shared" si="151"/>
        <v>39.544589235539483</v>
      </c>
      <c r="DE206" s="1644">
        <f t="shared" si="152"/>
        <v>0.61121286745119141</v>
      </c>
      <c r="DF206" s="1644">
        <f t="shared" si="153"/>
        <v>0.45840965058839356</v>
      </c>
      <c r="DG206" s="1644">
        <f t="shared" si="162"/>
        <v>3.7746786226692361E-3</v>
      </c>
      <c r="DH206" s="1644">
        <f t="shared" si="154"/>
        <v>0.74886382188343947</v>
      </c>
      <c r="DI206" s="505">
        <f t="shared" si="155"/>
        <v>75</v>
      </c>
      <c r="DJ206" s="1648">
        <f t="shared" si="156"/>
        <v>7.0696273696442571</v>
      </c>
      <c r="DK206" s="521">
        <f t="shared" si="157"/>
        <v>-3.9942479333379737</v>
      </c>
      <c r="DL206" s="522">
        <f t="shared" si="158"/>
        <v>2.8267202597538014E-3</v>
      </c>
    </row>
    <row r="207" spans="90:116">
      <c r="CL207" s="1647">
        <f t="shared" si="159"/>
        <v>0</v>
      </c>
      <c r="CM207" s="1671">
        <v>76</v>
      </c>
      <c r="CN207" s="1644">
        <f t="shared" si="139"/>
        <v>273.14999999999998</v>
      </c>
      <c r="CO207" s="1644">
        <f t="shared" si="140"/>
        <v>-33.129143945141777</v>
      </c>
      <c r="CP207" s="1644">
        <f t="shared" si="141"/>
        <v>39.544589235539483</v>
      </c>
      <c r="CQ207" s="1644">
        <f t="shared" si="142"/>
        <v>0.61121286745119141</v>
      </c>
      <c r="CR207" s="1644">
        <f t="shared" si="143"/>
        <v>0.4645217792629055</v>
      </c>
      <c r="CS207" s="1644">
        <f t="shared" si="160"/>
        <v>3.7746786226692361E-3</v>
      </c>
      <c r="CT207" s="1644">
        <f t="shared" si="144"/>
        <v>0.75889465894877983</v>
      </c>
      <c r="CU207" s="505">
        <f t="shared" si="145"/>
        <v>76</v>
      </c>
      <c r="CV207" s="1648">
        <f t="shared" si="146"/>
        <v>7.1643231984255413</v>
      </c>
      <c r="CW207" s="521">
        <f t="shared" si="147"/>
        <v>-3.8137011770710436</v>
      </c>
      <c r="CX207" s="522">
        <f t="shared" si="148"/>
        <v>2.8645834459918198E-3</v>
      </c>
      <c r="CZ207" s="1647">
        <f t="shared" si="161"/>
        <v>0</v>
      </c>
      <c r="DA207" s="1671">
        <v>76</v>
      </c>
      <c r="DB207" s="1644">
        <f t="shared" si="149"/>
        <v>273.14999999999998</v>
      </c>
      <c r="DC207" s="1644">
        <f t="shared" si="150"/>
        <v>-33.129143945141777</v>
      </c>
      <c r="DD207" s="1644">
        <f t="shared" si="151"/>
        <v>39.544589235539483</v>
      </c>
      <c r="DE207" s="1644">
        <f t="shared" si="152"/>
        <v>0.61121286745119141</v>
      </c>
      <c r="DF207" s="1644">
        <f t="shared" si="153"/>
        <v>0.4645217792629055</v>
      </c>
      <c r="DG207" s="1644">
        <f t="shared" si="162"/>
        <v>3.7746786226692361E-3</v>
      </c>
      <c r="DH207" s="1644">
        <f t="shared" si="154"/>
        <v>0.75889465894877983</v>
      </c>
      <c r="DI207" s="505">
        <f t="shared" si="155"/>
        <v>76</v>
      </c>
      <c r="DJ207" s="1648">
        <f t="shared" si="156"/>
        <v>7.1643231984255413</v>
      </c>
      <c r="DK207" s="521">
        <f t="shared" si="157"/>
        <v>-3.8137011770710436</v>
      </c>
      <c r="DL207" s="522">
        <f t="shared" si="158"/>
        <v>2.8645834459918198E-3</v>
      </c>
    </row>
    <row r="208" spans="90:116">
      <c r="CL208" s="1647">
        <f t="shared" si="159"/>
        <v>0</v>
      </c>
      <c r="CM208" s="1671">
        <v>77</v>
      </c>
      <c r="CN208" s="1644">
        <f t="shared" si="139"/>
        <v>273.14999999999998</v>
      </c>
      <c r="CO208" s="1644">
        <f t="shared" si="140"/>
        <v>-33.129143945141777</v>
      </c>
      <c r="CP208" s="1644">
        <f t="shared" si="141"/>
        <v>39.544589235539483</v>
      </c>
      <c r="CQ208" s="1644">
        <f t="shared" si="142"/>
        <v>0.61121286745119141</v>
      </c>
      <c r="CR208" s="1644">
        <f t="shared" si="143"/>
        <v>0.47063390793741738</v>
      </c>
      <c r="CS208" s="1644">
        <f t="shared" si="160"/>
        <v>3.7746786226692361E-3</v>
      </c>
      <c r="CT208" s="1644">
        <f t="shared" si="144"/>
        <v>0.76892671182200689</v>
      </c>
      <c r="CU208" s="505">
        <f t="shared" si="145"/>
        <v>77</v>
      </c>
      <c r="CV208" s="1648">
        <f t="shared" si="146"/>
        <v>7.2590305050062076</v>
      </c>
      <c r="CW208" s="521">
        <f t="shared" si="147"/>
        <v>-3.6353327934662225</v>
      </c>
      <c r="CX208" s="522">
        <f t="shared" si="148"/>
        <v>2.9024512215138775E-3</v>
      </c>
      <c r="CZ208" s="1647">
        <f t="shared" si="161"/>
        <v>0</v>
      </c>
      <c r="DA208" s="1671">
        <v>77</v>
      </c>
      <c r="DB208" s="1644">
        <f t="shared" si="149"/>
        <v>273.14999999999998</v>
      </c>
      <c r="DC208" s="1644">
        <f t="shared" si="150"/>
        <v>-33.129143945141777</v>
      </c>
      <c r="DD208" s="1644">
        <f t="shared" si="151"/>
        <v>39.544589235539483</v>
      </c>
      <c r="DE208" s="1644">
        <f t="shared" si="152"/>
        <v>0.61121286745119141</v>
      </c>
      <c r="DF208" s="1644">
        <f t="shared" si="153"/>
        <v>0.47063390793741738</v>
      </c>
      <c r="DG208" s="1644">
        <f t="shared" si="162"/>
        <v>3.7746786226692361E-3</v>
      </c>
      <c r="DH208" s="1644">
        <f t="shared" si="154"/>
        <v>0.76892671182200689</v>
      </c>
      <c r="DI208" s="505">
        <f t="shared" si="155"/>
        <v>77</v>
      </c>
      <c r="DJ208" s="1648">
        <f t="shared" si="156"/>
        <v>7.2590305050062076</v>
      </c>
      <c r="DK208" s="521">
        <f t="shared" si="157"/>
        <v>-3.6353327934662225</v>
      </c>
      <c r="DL208" s="522">
        <f t="shared" si="158"/>
        <v>2.9024512215138775E-3</v>
      </c>
    </row>
    <row r="209" spans="90:116">
      <c r="CL209" s="1647">
        <f t="shared" si="159"/>
        <v>0</v>
      </c>
      <c r="CM209" s="1671">
        <v>78</v>
      </c>
      <c r="CN209" s="1644">
        <f t="shared" si="139"/>
        <v>273.14999999999998</v>
      </c>
      <c r="CO209" s="1644">
        <f t="shared" si="140"/>
        <v>-33.129143945141777</v>
      </c>
      <c r="CP209" s="1644">
        <f t="shared" si="141"/>
        <v>39.544589235539483</v>
      </c>
      <c r="CQ209" s="1644">
        <f t="shared" si="142"/>
        <v>0.61121286745119141</v>
      </c>
      <c r="CR209" s="1644">
        <f t="shared" si="143"/>
        <v>0.47674603661192932</v>
      </c>
      <c r="CS209" s="1644">
        <f t="shared" si="160"/>
        <v>3.7746786226692361E-3</v>
      </c>
      <c r="CT209" s="1644">
        <f t="shared" si="144"/>
        <v>0.77895998072418104</v>
      </c>
      <c r="CU209" s="505">
        <f t="shared" si="145"/>
        <v>78</v>
      </c>
      <c r="CV209" s="1648">
        <f t="shared" si="146"/>
        <v>7.3537492914731706</v>
      </c>
      <c r="CW209" s="521">
        <f t="shared" si="147"/>
        <v>-3.4590876409165778</v>
      </c>
      <c r="CX209" s="522">
        <f t="shared" si="148"/>
        <v>2.9403235871544066E-3</v>
      </c>
      <c r="CZ209" s="1647">
        <f t="shared" si="161"/>
        <v>0</v>
      </c>
      <c r="DA209" s="1671">
        <v>78</v>
      </c>
      <c r="DB209" s="1644">
        <f t="shared" si="149"/>
        <v>273.14999999999998</v>
      </c>
      <c r="DC209" s="1644">
        <f t="shared" si="150"/>
        <v>-33.129143945141777</v>
      </c>
      <c r="DD209" s="1644">
        <f t="shared" si="151"/>
        <v>39.544589235539483</v>
      </c>
      <c r="DE209" s="1644">
        <f t="shared" si="152"/>
        <v>0.61121286745119141</v>
      </c>
      <c r="DF209" s="1644">
        <f t="shared" si="153"/>
        <v>0.47674603661192932</v>
      </c>
      <c r="DG209" s="1644">
        <f t="shared" si="162"/>
        <v>3.7746786226692361E-3</v>
      </c>
      <c r="DH209" s="1644">
        <f t="shared" si="154"/>
        <v>0.77895998072418104</v>
      </c>
      <c r="DI209" s="505">
        <f t="shared" si="155"/>
        <v>78</v>
      </c>
      <c r="DJ209" s="1648">
        <f t="shared" si="156"/>
        <v>7.3537492914731706</v>
      </c>
      <c r="DK209" s="521">
        <f t="shared" si="157"/>
        <v>-3.4590876409165778</v>
      </c>
      <c r="DL209" s="522">
        <f t="shared" si="158"/>
        <v>2.9403235871544066E-3</v>
      </c>
    </row>
    <row r="210" spans="90:116">
      <c r="CL210" s="1647">
        <f t="shared" si="159"/>
        <v>0</v>
      </c>
      <c r="CM210" s="1671">
        <v>79</v>
      </c>
      <c r="CN210" s="1644">
        <f t="shared" si="139"/>
        <v>273.14999999999998</v>
      </c>
      <c r="CO210" s="1644">
        <f t="shared" si="140"/>
        <v>-33.129143945141777</v>
      </c>
      <c r="CP210" s="1644">
        <f t="shared" si="141"/>
        <v>39.544589235539483</v>
      </c>
      <c r="CQ210" s="1644">
        <f t="shared" si="142"/>
        <v>0.61121286745119141</v>
      </c>
      <c r="CR210" s="1644">
        <f t="shared" si="143"/>
        <v>0.48285816528644121</v>
      </c>
      <c r="CS210" s="1644">
        <f t="shared" si="160"/>
        <v>3.7746786226692361E-3</v>
      </c>
      <c r="CT210" s="1644">
        <f t="shared" si="144"/>
        <v>0.78899446587641564</v>
      </c>
      <c r="CU210" s="505">
        <f t="shared" si="145"/>
        <v>79</v>
      </c>
      <c r="CV210" s="1648">
        <f t="shared" si="146"/>
        <v>7.4484795599138431</v>
      </c>
      <c r="CW210" s="521">
        <f t="shared" si="147"/>
        <v>-3.2849126737437828</v>
      </c>
      <c r="CX210" s="522">
        <f t="shared" si="148"/>
        <v>2.9782005437480382E-3</v>
      </c>
      <c r="CZ210" s="1647">
        <f t="shared" si="161"/>
        <v>0</v>
      </c>
      <c r="DA210" s="1671">
        <v>79</v>
      </c>
      <c r="DB210" s="1644">
        <f t="shared" si="149"/>
        <v>273.14999999999998</v>
      </c>
      <c r="DC210" s="1644">
        <f t="shared" si="150"/>
        <v>-33.129143945141777</v>
      </c>
      <c r="DD210" s="1644">
        <f t="shared" si="151"/>
        <v>39.544589235539483</v>
      </c>
      <c r="DE210" s="1644">
        <f t="shared" si="152"/>
        <v>0.61121286745119141</v>
      </c>
      <c r="DF210" s="1644">
        <f t="shared" si="153"/>
        <v>0.48285816528644121</v>
      </c>
      <c r="DG210" s="1644">
        <f t="shared" si="162"/>
        <v>3.7746786226692361E-3</v>
      </c>
      <c r="DH210" s="1644">
        <f t="shared" si="154"/>
        <v>0.78899446587641564</v>
      </c>
      <c r="DI210" s="505">
        <f t="shared" si="155"/>
        <v>79</v>
      </c>
      <c r="DJ210" s="1648">
        <f t="shared" si="156"/>
        <v>7.4484795599138431</v>
      </c>
      <c r="DK210" s="521">
        <f t="shared" si="157"/>
        <v>-3.2849126737437828</v>
      </c>
      <c r="DL210" s="522">
        <f t="shared" si="158"/>
        <v>2.9782005437480382E-3</v>
      </c>
    </row>
    <row r="211" spans="90:116">
      <c r="CL211" s="1647">
        <f t="shared" si="159"/>
        <v>0</v>
      </c>
      <c r="CM211" s="1671">
        <v>80</v>
      </c>
      <c r="CN211" s="1644">
        <f t="shared" si="139"/>
        <v>273.14999999999998</v>
      </c>
      <c r="CO211" s="1644">
        <f t="shared" si="140"/>
        <v>-33.129143945141777</v>
      </c>
      <c r="CP211" s="1644">
        <f t="shared" si="141"/>
        <v>39.544589235539483</v>
      </c>
      <c r="CQ211" s="1644">
        <f t="shared" si="142"/>
        <v>0.61121286745119141</v>
      </c>
      <c r="CR211" s="1644">
        <f t="shared" si="143"/>
        <v>0.48897029396095315</v>
      </c>
      <c r="CS211" s="1644">
        <f t="shared" si="160"/>
        <v>3.7746786226692361E-3</v>
      </c>
      <c r="CT211" s="1644">
        <f t="shared" si="144"/>
        <v>0.79903016749987799</v>
      </c>
      <c r="CU211" s="505">
        <f t="shared" si="145"/>
        <v>80</v>
      </c>
      <c r="CV211" s="1648">
        <f t="shared" si="146"/>
        <v>7.5432213124161507</v>
      </c>
      <c r="CW211" s="521">
        <f t="shared" si="147"/>
        <v>-3.11275683677591</v>
      </c>
      <c r="CX211" s="522">
        <f t="shared" si="148"/>
        <v>3.0160820921296084E-3</v>
      </c>
      <c r="CZ211" s="1647">
        <f t="shared" si="161"/>
        <v>0</v>
      </c>
      <c r="DA211" s="1671">
        <v>80</v>
      </c>
      <c r="DB211" s="1644">
        <f t="shared" si="149"/>
        <v>273.14999999999998</v>
      </c>
      <c r="DC211" s="1644">
        <f t="shared" si="150"/>
        <v>-33.129143945141777</v>
      </c>
      <c r="DD211" s="1644">
        <f t="shared" si="151"/>
        <v>39.544589235539483</v>
      </c>
      <c r="DE211" s="1644">
        <f t="shared" si="152"/>
        <v>0.61121286745119141</v>
      </c>
      <c r="DF211" s="1644">
        <f t="shared" si="153"/>
        <v>0.48897029396095315</v>
      </c>
      <c r="DG211" s="1644">
        <f t="shared" si="162"/>
        <v>3.7746786226692361E-3</v>
      </c>
      <c r="DH211" s="1644">
        <f t="shared" si="154"/>
        <v>0.79903016749987799</v>
      </c>
      <c r="DI211" s="505">
        <f t="shared" si="155"/>
        <v>80</v>
      </c>
      <c r="DJ211" s="1648">
        <f t="shared" si="156"/>
        <v>7.5432213124161507</v>
      </c>
      <c r="DK211" s="521">
        <f t="shared" si="157"/>
        <v>-3.11275683677591</v>
      </c>
      <c r="DL211" s="522">
        <f t="shared" si="158"/>
        <v>3.0160820921296084E-3</v>
      </c>
    </row>
    <row r="212" spans="90:116">
      <c r="CL212" s="1647">
        <f t="shared" si="159"/>
        <v>0</v>
      </c>
      <c r="CM212" s="1671">
        <v>81</v>
      </c>
      <c r="CN212" s="1644">
        <f t="shared" si="139"/>
        <v>273.14999999999998</v>
      </c>
      <c r="CO212" s="1644">
        <f t="shared" si="140"/>
        <v>-33.129143945141777</v>
      </c>
      <c r="CP212" s="1644">
        <f t="shared" si="141"/>
        <v>39.544589235539483</v>
      </c>
      <c r="CQ212" s="1644">
        <f t="shared" si="142"/>
        <v>0.61121286745119141</v>
      </c>
      <c r="CR212" s="1644">
        <f t="shared" si="143"/>
        <v>0.49508242263546509</v>
      </c>
      <c r="CS212" s="1644">
        <f t="shared" si="160"/>
        <v>3.7746786226692361E-3</v>
      </c>
      <c r="CT212" s="1644">
        <f t="shared" si="144"/>
        <v>0.80906708581578934</v>
      </c>
      <c r="CU212" s="505">
        <f t="shared" si="145"/>
        <v>81</v>
      </c>
      <c r="CV212" s="1648">
        <f t="shared" si="146"/>
        <v>7.6379745510685249</v>
      </c>
      <c r="CW212" s="521">
        <f t="shared" si="147"/>
        <v>-2.9425709664861488</v>
      </c>
      <c r="CX212" s="522">
        <f t="shared" si="148"/>
        <v>3.0539682331341563E-3</v>
      </c>
      <c r="CZ212" s="1647">
        <f t="shared" si="161"/>
        <v>0</v>
      </c>
      <c r="DA212" s="1671">
        <v>81</v>
      </c>
      <c r="DB212" s="1644">
        <f t="shared" si="149"/>
        <v>273.14999999999998</v>
      </c>
      <c r="DC212" s="1644">
        <f t="shared" si="150"/>
        <v>-33.129143945141777</v>
      </c>
      <c r="DD212" s="1644">
        <f t="shared" si="151"/>
        <v>39.544589235539483</v>
      </c>
      <c r="DE212" s="1644">
        <f t="shared" si="152"/>
        <v>0.61121286745119141</v>
      </c>
      <c r="DF212" s="1644">
        <f t="shared" si="153"/>
        <v>0.49508242263546509</v>
      </c>
      <c r="DG212" s="1644">
        <f t="shared" si="162"/>
        <v>3.7746786226692361E-3</v>
      </c>
      <c r="DH212" s="1644">
        <f t="shared" si="154"/>
        <v>0.80906708581578934</v>
      </c>
      <c r="DI212" s="505">
        <f t="shared" si="155"/>
        <v>81</v>
      </c>
      <c r="DJ212" s="1648">
        <f t="shared" si="156"/>
        <v>7.6379745510685249</v>
      </c>
      <c r="DK212" s="521">
        <f t="shared" si="157"/>
        <v>-2.9425709664861488</v>
      </c>
      <c r="DL212" s="522">
        <f t="shared" si="158"/>
        <v>3.0539682331341563E-3</v>
      </c>
    </row>
    <row r="213" spans="90:116">
      <c r="CL213" s="1647">
        <f t="shared" si="159"/>
        <v>0</v>
      </c>
      <c r="CM213" s="1671">
        <v>82</v>
      </c>
      <c r="CN213" s="1644">
        <f t="shared" si="139"/>
        <v>273.14999999999998</v>
      </c>
      <c r="CO213" s="1644">
        <f t="shared" si="140"/>
        <v>-33.129143945141777</v>
      </c>
      <c r="CP213" s="1644">
        <f t="shared" si="141"/>
        <v>39.544589235539483</v>
      </c>
      <c r="CQ213" s="1644">
        <f t="shared" si="142"/>
        <v>0.61121286745119141</v>
      </c>
      <c r="CR213" s="1644">
        <f t="shared" si="143"/>
        <v>0.50119455130997692</v>
      </c>
      <c r="CS213" s="1644">
        <f t="shared" si="160"/>
        <v>3.7746786226692361E-3</v>
      </c>
      <c r="CT213" s="1644">
        <f t="shared" si="144"/>
        <v>0.81910522104542349</v>
      </c>
      <c r="CU213" s="505">
        <f t="shared" si="145"/>
        <v>82</v>
      </c>
      <c r="CV213" s="1648">
        <f t="shared" si="146"/>
        <v>7.7327392779598956</v>
      </c>
      <c r="CW213" s="521">
        <f t="shared" si="147"/>
        <v>-2.7743076982078687</v>
      </c>
      <c r="CX213" s="522">
        <f t="shared" si="148"/>
        <v>3.0918589675969195E-3</v>
      </c>
      <c r="CZ213" s="1647">
        <f t="shared" si="161"/>
        <v>0</v>
      </c>
      <c r="DA213" s="1671">
        <v>82</v>
      </c>
      <c r="DB213" s="1644">
        <f t="shared" si="149"/>
        <v>273.14999999999998</v>
      </c>
      <c r="DC213" s="1644">
        <f t="shared" si="150"/>
        <v>-33.129143945141777</v>
      </c>
      <c r="DD213" s="1644">
        <f t="shared" si="151"/>
        <v>39.544589235539483</v>
      </c>
      <c r="DE213" s="1644">
        <f t="shared" si="152"/>
        <v>0.61121286745119141</v>
      </c>
      <c r="DF213" s="1644">
        <f t="shared" si="153"/>
        <v>0.50119455130997692</v>
      </c>
      <c r="DG213" s="1644">
        <f t="shared" si="162"/>
        <v>3.7746786226692361E-3</v>
      </c>
      <c r="DH213" s="1644">
        <f t="shared" si="154"/>
        <v>0.81910522104542349</v>
      </c>
      <c r="DI213" s="505">
        <f t="shared" si="155"/>
        <v>82</v>
      </c>
      <c r="DJ213" s="1648">
        <f t="shared" si="156"/>
        <v>7.7327392779598956</v>
      </c>
      <c r="DK213" s="521">
        <f t="shared" si="157"/>
        <v>-2.7743076982078687</v>
      </c>
      <c r="DL213" s="522">
        <f t="shared" si="158"/>
        <v>3.0918589675969195E-3</v>
      </c>
    </row>
    <row r="214" spans="90:116">
      <c r="CL214" s="1647">
        <f t="shared" si="159"/>
        <v>0</v>
      </c>
      <c r="CM214" s="1671">
        <v>83</v>
      </c>
      <c r="CN214" s="1644">
        <f t="shared" si="139"/>
        <v>273.14999999999998</v>
      </c>
      <c r="CO214" s="1644">
        <f t="shared" si="140"/>
        <v>-33.129143945141777</v>
      </c>
      <c r="CP214" s="1644">
        <f t="shared" si="141"/>
        <v>39.544589235539483</v>
      </c>
      <c r="CQ214" s="1644">
        <f t="shared" si="142"/>
        <v>0.61121286745119141</v>
      </c>
      <c r="CR214" s="1644">
        <f t="shared" si="143"/>
        <v>0.50730667998448886</v>
      </c>
      <c r="CS214" s="1644">
        <f t="shared" si="160"/>
        <v>3.7746786226692361E-3</v>
      </c>
      <c r="CT214" s="1644">
        <f t="shared" si="144"/>
        <v>0.82914457341010961</v>
      </c>
      <c r="CU214" s="505">
        <f t="shared" si="145"/>
        <v>83</v>
      </c>
      <c r="CV214" s="1648">
        <f t="shared" si="146"/>
        <v>7.8275154951797132</v>
      </c>
      <c r="CW214" s="521">
        <f t="shared" si="147"/>
        <v>-2.6079213789828017</v>
      </c>
      <c r="CX214" s="522">
        <f t="shared" si="148"/>
        <v>3.129754296353344E-3</v>
      </c>
      <c r="CZ214" s="1647">
        <f t="shared" si="161"/>
        <v>0</v>
      </c>
      <c r="DA214" s="1671">
        <v>83</v>
      </c>
      <c r="DB214" s="1644">
        <f t="shared" si="149"/>
        <v>273.14999999999998</v>
      </c>
      <c r="DC214" s="1644">
        <f t="shared" si="150"/>
        <v>-33.129143945141777</v>
      </c>
      <c r="DD214" s="1644">
        <f t="shared" si="151"/>
        <v>39.544589235539483</v>
      </c>
      <c r="DE214" s="1644">
        <f t="shared" si="152"/>
        <v>0.61121286745119141</v>
      </c>
      <c r="DF214" s="1644">
        <f t="shared" si="153"/>
        <v>0.50730667998448886</v>
      </c>
      <c r="DG214" s="1644">
        <f t="shared" si="162"/>
        <v>3.7746786226692361E-3</v>
      </c>
      <c r="DH214" s="1644">
        <f t="shared" si="154"/>
        <v>0.82914457341010961</v>
      </c>
      <c r="DI214" s="505">
        <f t="shared" si="155"/>
        <v>83</v>
      </c>
      <c r="DJ214" s="1648">
        <f t="shared" si="156"/>
        <v>7.8275154951797132</v>
      </c>
      <c r="DK214" s="521">
        <f t="shared" si="157"/>
        <v>-2.6079213789828017</v>
      </c>
      <c r="DL214" s="522">
        <f t="shared" si="158"/>
        <v>3.129754296353344E-3</v>
      </c>
    </row>
    <row r="215" spans="90:116">
      <c r="CL215" s="1647">
        <f t="shared" si="159"/>
        <v>0</v>
      </c>
      <c r="CM215" s="1671">
        <v>84</v>
      </c>
      <c r="CN215" s="1644">
        <f t="shared" si="139"/>
        <v>273.14999999999998</v>
      </c>
      <c r="CO215" s="1644">
        <f t="shared" si="140"/>
        <v>-33.129143945141777</v>
      </c>
      <c r="CP215" s="1644">
        <f t="shared" si="141"/>
        <v>39.544589235539483</v>
      </c>
      <c r="CQ215" s="1644">
        <f t="shared" si="142"/>
        <v>0.61121286745119141</v>
      </c>
      <c r="CR215" s="1644">
        <f t="shared" si="143"/>
        <v>0.5134188086590008</v>
      </c>
      <c r="CS215" s="1644">
        <f t="shared" si="160"/>
        <v>3.7746786226692361E-3</v>
      </c>
      <c r="CT215" s="1644">
        <f t="shared" si="144"/>
        <v>0.83918514313122894</v>
      </c>
      <c r="CU215" s="505">
        <f t="shared" si="145"/>
        <v>84</v>
      </c>
      <c r="CV215" s="1648">
        <f t="shared" si="146"/>
        <v>7.9223032048179212</v>
      </c>
      <c r="CW215" s="521">
        <f t="shared" si="147"/>
        <v>-2.4433679856364314</v>
      </c>
      <c r="CX215" s="522">
        <f t="shared" si="148"/>
        <v>3.1676542202390729E-3</v>
      </c>
      <c r="CZ215" s="1647">
        <f t="shared" si="161"/>
        <v>0</v>
      </c>
      <c r="DA215" s="1671">
        <v>84</v>
      </c>
      <c r="DB215" s="1644">
        <f t="shared" si="149"/>
        <v>273.14999999999998</v>
      </c>
      <c r="DC215" s="1644">
        <f t="shared" si="150"/>
        <v>-33.129143945141777</v>
      </c>
      <c r="DD215" s="1644">
        <f t="shared" si="151"/>
        <v>39.544589235539483</v>
      </c>
      <c r="DE215" s="1644">
        <f t="shared" si="152"/>
        <v>0.61121286745119141</v>
      </c>
      <c r="DF215" s="1644">
        <f t="shared" si="153"/>
        <v>0.5134188086590008</v>
      </c>
      <c r="DG215" s="1644">
        <f t="shared" si="162"/>
        <v>3.7746786226692361E-3</v>
      </c>
      <c r="DH215" s="1644">
        <f t="shared" si="154"/>
        <v>0.83918514313122894</v>
      </c>
      <c r="DI215" s="505">
        <f t="shared" si="155"/>
        <v>84</v>
      </c>
      <c r="DJ215" s="1648">
        <f t="shared" si="156"/>
        <v>7.9223032048179212</v>
      </c>
      <c r="DK215" s="521">
        <f t="shared" si="157"/>
        <v>-2.4433679856364314</v>
      </c>
      <c r="DL215" s="522">
        <f t="shared" si="158"/>
        <v>3.1676542202390729E-3</v>
      </c>
    </row>
    <row r="216" spans="90:116">
      <c r="CL216" s="1647">
        <f t="shared" si="159"/>
        <v>0</v>
      </c>
      <c r="CM216" s="1671">
        <v>85</v>
      </c>
      <c r="CN216" s="1644">
        <f t="shared" si="139"/>
        <v>273.14999999999998</v>
      </c>
      <c r="CO216" s="1644">
        <f t="shared" si="140"/>
        <v>-33.129143945141777</v>
      </c>
      <c r="CP216" s="1644">
        <f t="shared" si="141"/>
        <v>39.544589235539483</v>
      </c>
      <c r="CQ216" s="1644">
        <f t="shared" si="142"/>
        <v>0.61121286745119141</v>
      </c>
      <c r="CR216" s="1644">
        <f t="shared" si="143"/>
        <v>0.51953093733351263</v>
      </c>
      <c r="CS216" s="1644">
        <f t="shared" si="160"/>
        <v>3.7746786226692361E-3</v>
      </c>
      <c r="CT216" s="1644">
        <f t="shared" si="144"/>
        <v>0.84922693043021713</v>
      </c>
      <c r="CU216" s="505">
        <f t="shared" si="145"/>
        <v>85</v>
      </c>
      <c r="CV216" s="1648">
        <f t="shared" si="146"/>
        <v>8.0171024089649787</v>
      </c>
      <c r="CW216" s="521">
        <f t="shared" si="147"/>
        <v>-2.2806050477083102</v>
      </c>
      <c r="CX216" s="522">
        <f t="shared" si="148"/>
        <v>3.2055587400899553E-3</v>
      </c>
      <c r="CZ216" s="1647">
        <f t="shared" si="161"/>
        <v>0</v>
      </c>
      <c r="DA216" s="1671">
        <v>85</v>
      </c>
      <c r="DB216" s="1644">
        <f t="shared" si="149"/>
        <v>273.14999999999998</v>
      </c>
      <c r="DC216" s="1644">
        <f t="shared" si="150"/>
        <v>-33.129143945141777</v>
      </c>
      <c r="DD216" s="1644">
        <f t="shared" si="151"/>
        <v>39.544589235539483</v>
      </c>
      <c r="DE216" s="1644">
        <f t="shared" si="152"/>
        <v>0.61121286745119141</v>
      </c>
      <c r="DF216" s="1644">
        <f t="shared" si="153"/>
        <v>0.51953093733351263</v>
      </c>
      <c r="DG216" s="1644">
        <f t="shared" si="162"/>
        <v>3.7746786226692361E-3</v>
      </c>
      <c r="DH216" s="1644">
        <f t="shared" si="154"/>
        <v>0.84922693043021713</v>
      </c>
      <c r="DI216" s="505">
        <f t="shared" si="155"/>
        <v>85</v>
      </c>
      <c r="DJ216" s="1648">
        <f t="shared" si="156"/>
        <v>8.0171024089649787</v>
      </c>
      <c r="DK216" s="521">
        <f t="shared" si="157"/>
        <v>-2.2806050477083102</v>
      </c>
      <c r="DL216" s="522">
        <f t="shared" si="158"/>
        <v>3.2055587400899553E-3</v>
      </c>
    </row>
    <row r="217" spans="90:116">
      <c r="CL217" s="1647">
        <f t="shared" si="159"/>
        <v>0</v>
      </c>
      <c r="CM217" s="1671">
        <v>86</v>
      </c>
      <c r="CN217" s="1644">
        <f t="shared" si="139"/>
        <v>273.14999999999998</v>
      </c>
      <c r="CO217" s="1644">
        <f t="shared" si="140"/>
        <v>-33.129143945141777</v>
      </c>
      <c r="CP217" s="1644">
        <f t="shared" si="141"/>
        <v>39.544589235539483</v>
      </c>
      <c r="CQ217" s="1644">
        <f t="shared" si="142"/>
        <v>0.61121286745119141</v>
      </c>
      <c r="CR217" s="1644">
        <f t="shared" si="143"/>
        <v>0.52564306600802457</v>
      </c>
      <c r="CS217" s="1644">
        <f t="shared" si="160"/>
        <v>3.7746786226692361E-3</v>
      </c>
      <c r="CT217" s="1644">
        <f t="shared" si="144"/>
        <v>0.85926993552856379</v>
      </c>
      <c r="CU217" s="505">
        <f t="shared" si="145"/>
        <v>86</v>
      </c>
      <c r="CV217" s="1648">
        <f t="shared" si="146"/>
        <v>8.111913109711848</v>
      </c>
      <c r="CW217" s="521">
        <f t="shared" si="147"/>
        <v>-2.119591574895721</v>
      </c>
      <c r="CX217" s="522">
        <f t="shared" si="148"/>
        <v>3.2434678567420426E-3</v>
      </c>
      <c r="CZ217" s="1647">
        <f t="shared" si="161"/>
        <v>0</v>
      </c>
      <c r="DA217" s="1671">
        <v>86</v>
      </c>
      <c r="DB217" s="1644">
        <f t="shared" si="149"/>
        <v>273.14999999999998</v>
      </c>
      <c r="DC217" s="1644">
        <f t="shared" si="150"/>
        <v>-33.129143945141777</v>
      </c>
      <c r="DD217" s="1644">
        <f t="shared" si="151"/>
        <v>39.544589235539483</v>
      </c>
      <c r="DE217" s="1644">
        <f t="shared" si="152"/>
        <v>0.61121286745119141</v>
      </c>
      <c r="DF217" s="1644">
        <f t="shared" si="153"/>
        <v>0.52564306600802457</v>
      </c>
      <c r="DG217" s="1644">
        <f t="shared" si="162"/>
        <v>3.7746786226692361E-3</v>
      </c>
      <c r="DH217" s="1644">
        <f t="shared" si="154"/>
        <v>0.85926993552856379</v>
      </c>
      <c r="DI217" s="505">
        <f t="shared" si="155"/>
        <v>86</v>
      </c>
      <c r="DJ217" s="1648">
        <f t="shared" si="156"/>
        <v>8.111913109711848</v>
      </c>
      <c r="DK217" s="521">
        <f t="shared" si="157"/>
        <v>-2.119591574895721</v>
      </c>
      <c r="DL217" s="522">
        <f t="shared" si="158"/>
        <v>3.2434678567420426E-3</v>
      </c>
    </row>
    <row r="218" spans="90:116">
      <c r="CL218" s="1647">
        <f t="shared" si="159"/>
        <v>0</v>
      </c>
      <c r="CM218" s="1671">
        <v>87</v>
      </c>
      <c r="CN218" s="1644">
        <f t="shared" si="139"/>
        <v>273.14999999999998</v>
      </c>
      <c r="CO218" s="1644">
        <f t="shared" si="140"/>
        <v>-33.129143945141777</v>
      </c>
      <c r="CP218" s="1644">
        <f t="shared" si="141"/>
        <v>39.544589235539483</v>
      </c>
      <c r="CQ218" s="1644">
        <f t="shared" si="142"/>
        <v>0.61121286745119141</v>
      </c>
      <c r="CR218" s="1644">
        <f t="shared" si="143"/>
        <v>0.53175519468253651</v>
      </c>
      <c r="CS218" s="1644">
        <f t="shared" si="160"/>
        <v>3.7746786226692361E-3</v>
      </c>
      <c r="CT218" s="1644">
        <f t="shared" si="144"/>
        <v>0.8693141586478117</v>
      </c>
      <c r="CU218" s="505">
        <f t="shared" si="145"/>
        <v>87</v>
      </c>
      <c r="CV218" s="1648">
        <f t="shared" si="146"/>
        <v>8.2067353091500017</v>
      </c>
      <c r="CW218" s="521">
        <f t="shared" si="147"/>
        <v>-1.9602879886968023</v>
      </c>
      <c r="CX218" s="522">
        <f t="shared" si="148"/>
        <v>3.2813815710315878E-3</v>
      </c>
      <c r="CZ218" s="1647">
        <f t="shared" si="161"/>
        <v>0</v>
      </c>
      <c r="DA218" s="1671">
        <v>87</v>
      </c>
      <c r="DB218" s="1644">
        <f t="shared" si="149"/>
        <v>273.14999999999998</v>
      </c>
      <c r="DC218" s="1644">
        <f t="shared" si="150"/>
        <v>-33.129143945141777</v>
      </c>
      <c r="DD218" s="1644">
        <f t="shared" si="151"/>
        <v>39.544589235539483</v>
      </c>
      <c r="DE218" s="1644">
        <f t="shared" si="152"/>
        <v>0.61121286745119141</v>
      </c>
      <c r="DF218" s="1644">
        <f t="shared" si="153"/>
        <v>0.53175519468253651</v>
      </c>
      <c r="DG218" s="1644">
        <f t="shared" si="162"/>
        <v>3.7746786226692361E-3</v>
      </c>
      <c r="DH218" s="1644">
        <f t="shared" si="154"/>
        <v>0.8693141586478117</v>
      </c>
      <c r="DI218" s="505">
        <f t="shared" si="155"/>
        <v>87</v>
      </c>
      <c r="DJ218" s="1648">
        <f t="shared" si="156"/>
        <v>8.2067353091500017</v>
      </c>
      <c r="DK218" s="521">
        <f t="shared" si="157"/>
        <v>-1.9602879886968023</v>
      </c>
      <c r="DL218" s="522">
        <f t="shared" si="158"/>
        <v>3.2813815710315878E-3</v>
      </c>
    </row>
    <row r="219" spans="90:116">
      <c r="CL219" s="1647">
        <f t="shared" si="159"/>
        <v>0</v>
      </c>
      <c r="CM219" s="1671">
        <v>88</v>
      </c>
      <c r="CN219" s="1644">
        <f t="shared" si="139"/>
        <v>273.14999999999998</v>
      </c>
      <c r="CO219" s="1644">
        <f t="shared" si="140"/>
        <v>-33.129143945141777</v>
      </c>
      <c r="CP219" s="1644">
        <f t="shared" si="141"/>
        <v>39.544589235539483</v>
      </c>
      <c r="CQ219" s="1644">
        <f t="shared" si="142"/>
        <v>0.61121286745119141</v>
      </c>
      <c r="CR219" s="1644">
        <f t="shared" si="143"/>
        <v>0.53786732335704845</v>
      </c>
      <c r="CS219" s="1644">
        <f t="shared" si="160"/>
        <v>3.7746786226692361E-3</v>
      </c>
      <c r="CT219" s="1644">
        <f t="shared" si="144"/>
        <v>0.87935960000955771</v>
      </c>
      <c r="CU219" s="505">
        <f t="shared" si="145"/>
        <v>88</v>
      </c>
      <c r="CV219" s="1648">
        <f t="shared" si="146"/>
        <v>8.3015690093714145</v>
      </c>
      <c r="CW219" s="521">
        <f t="shared" si="147"/>
        <v>-1.8026560579644051</v>
      </c>
      <c r="CX219" s="522">
        <f t="shared" si="148"/>
        <v>3.3192998837950475E-3</v>
      </c>
      <c r="CZ219" s="1647">
        <f t="shared" si="161"/>
        <v>0</v>
      </c>
      <c r="DA219" s="1671">
        <v>88</v>
      </c>
      <c r="DB219" s="1644">
        <f t="shared" si="149"/>
        <v>273.14999999999998</v>
      </c>
      <c r="DC219" s="1644">
        <f t="shared" si="150"/>
        <v>-33.129143945141777</v>
      </c>
      <c r="DD219" s="1644">
        <f t="shared" si="151"/>
        <v>39.544589235539483</v>
      </c>
      <c r="DE219" s="1644">
        <f t="shared" si="152"/>
        <v>0.61121286745119141</v>
      </c>
      <c r="DF219" s="1644">
        <f t="shared" si="153"/>
        <v>0.53786732335704845</v>
      </c>
      <c r="DG219" s="1644">
        <f t="shared" si="162"/>
        <v>3.7746786226692361E-3</v>
      </c>
      <c r="DH219" s="1644">
        <f t="shared" si="154"/>
        <v>0.87935960000955771</v>
      </c>
      <c r="DI219" s="505">
        <f t="shared" si="155"/>
        <v>88</v>
      </c>
      <c r="DJ219" s="1648">
        <f t="shared" si="156"/>
        <v>8.3015690093714145</v>
      </c>
      <c r="DK219" s="521">
        <f t="shared" si="157"/>
        <v>-1.8026560579644051</v>
      </c>
      <c r="DL219" s="522">
        <f t="shared" si="158"/>
        <v>3.3192998837950475E-3</v>
      </c>
    </row>
    <row r="220" spans="90:116">
      <c r="CL220" s="1647">
        <f t="shared" si="159"/>
        <v>0</v>
      </c>
      <c r="CM220" s="1671">
        <v>89</v>
      </c>
      <c r="CN220" s="1644">
        <f t="shared" si="139"/>
        <v>273.14999999999998</v>
      </c>
      <c r="CO220" s="1644">
        <f t="shared" si="140"/>
        <v>-33.129143945141777</v>
      </c>
      <c r="CP220" s="1644">
        <f t="shared" si="141"/>
        <v>39.544589235539483</v>
      </c>
      <c r="CQ220" s="1644">
        <f t="shared" si="142"/>
        <v>0.61121286745119141</v>
      </c>
      <c r="CR220" s="1644">
        <f t="shared" si="143"/>
        <v>0.5439794520315604</v>
      </c>
      <c r="CS220" s="1644">
        <f t="shared" si="160"/>
        <v>3.7746786226692361E-3</v>
      </c>
      <c r="CT220" s="1644">
        <f t="shared" si="144"/>
        <v>0.88940625983545218</v>
      </c>
      <c r="CU220" s="505">
        <f t="shared" si="145"/>
        <v>89</v>
      </c>
      <c r="CV220" s="1648">
        <f t="shared" si="146"/>
        <v>8.3964142124685726</v>
      </c>
      <c r="CW220" s="521">
        <f t="shared" si="147"/>
        <v>-1.6466588381049059</v>
      </c>
      <c r="CX220" s="522">
        <f t="shared" si="148"/>
        <v>3.3572227958690816E-3</v>
      </c>
      <c r="CZ220" s="1647">
        <f t="shared" si="161"/>
        <v>0</v>
      </c>
      <c r="DA220" s="1671">
        <v>89</v>
      </c>
      <c r="DB220" s="1644">
        <f t="shared" si="149"/>
        <v>273.14999999999998</v>
      </c>
      <c r="DC220" s="1644">
        <f t="shared" si="150"/>
        <v>-33.129143945141777</v>
      </c>
      <c r="DD220" s="1644">
        <f t="shared" si="151"/>
        <v>39.544589235539483</v>
      </c>
      <c r="DE220" s="1644">
        <f t="shared" si="152"/>
        <v>0.61121286745119141</v>
      </c>
      <c r="DF220" s="1644">
        <f t="shared" si="153"/>
        <v>0.5439794520315604</v>
      </c>
      <c r="DG220" s="1644">
        <f t="shared" si="162"/>
        <v>3.7746786226692361E-3</v>
      </c>
      <c r="DH220" s="1644">
        <f t="shared" si="154"/>
        <v>0.88940625983545218</v>
      </c>
      <c r="DI220" s="505">
        <f t="shared" si="155"/>
        <v>89</v>
      </c>
      <c r="DJ220" s="1648">
        <f t="shared" si="156"/>
        <v>8.3964142124685726</v>
      </c>
      <c r="DK220" s="521">
        <f t="shared" si="157"/>
        <v>-1.6466588381049059</v>
      </c>
      <c r="DL220" s="522">
        <f t="shared" si="158"/>
        <v>3.3572227958690816E-3</v>
      </c>
    </row>
    <row r="221" spans="90:116">
      <c r="CL221" s="1647">
        <f t="shared" si="159"/>
        <v>0</v>
      </c>
      <c r="CM221" s="1671">
        <v>90</v>
      </c>
      <c r="CN221" s="1644">
        <f t="shared" si="139"/>
        <v>273.14999999999998</v>
      </c>
      <c r="CO221" s="1644">
        <f t="shared" si="140"/>
        <v>-33.129143945141777</v>
      </c>
      <c r="CP221" s="1644">
        <f t="shared" si="141"/>
        <v>39.544589235539483</v>
      </c>
      <c r="CQ221" s="1644">
        <f t="shared" si="142"/>
        <v>0.61121286745119141</v>
      </c>
      <c r="CR221" s="1644">
        <f t="shared" si="143"/>
        <v>0.55009158070607234</v>
      </c>
      <c r="CS221" s="1644">
        <f t="shared" si="160"/>
        <v>3.7746786226692361E-3</v>
      </c>
      <c r="CT221" s="1644">
        <f t="shared" si="144"/>
        <v>0.89945413834719934</v>
      </c>
      <c r="CU221" s="505">
        <f t="shared" si="145"/>
        <v>90</v>
      </c>
      <c r="CV221" s="1648">
        <f t="shared" si="146"/>
        <v>8.4912709205344683</v>
      </c>
      <c r="CW221" s="521">
        <f t="shared" si="147"/>
        <v>-1.4922606136770702</v>
      </c>
      <c r="CX221" s="522">
        <f t="shared" si="148"/>
        <v>3.3951503080905509E-3</v>
      </c>
      <c r="CZ221" s="1647">
        <f t="shared" si="161"/>
        <v>0</v>
      </c>
      <c r="DA221" s="1671">
        <v>90</v>
      </c>
      <c r="DB221" s="1644">
        <f t="shared" si="149"/>
        <v>273.14999999999998</v>
      </c>
      <c r="DC221" s="1644">
        <f t="shared" si="150"/>
        <v>-33.129143945141777</v>
      </c>
      <c r="DD221" s="1644">
        <f t="shared" si="151"/>
        <v>39.544589235539483</v>
      </c>
      <c r="DE221" s="1644">
        <f t="shared" si="152"/>
        <v>0.61121286745119141</v>
      </c>
      <c r="DF221" s="1644">
        <f t="shared" si="153"/>
        <v>0.55009158070607234</v>
      </c>
      <c r="DG221" s="1644">
        <f t="shared" si="162"/>
        <v>3.7746786226692361E-3</v>
      </c>
      <c r="DH221" s="1644">
        <f t="shared" si="154"/>
        <v>0.89945413834719934</v>
      </c>
      <c r="DI221" s="505">
        <f t="shared" si="155"/>
        <v>90</v>
      </c>
      <c r="DJ221" s="1648">
        <f t="shared" si="156"/>
        <v>8.4912709205344683</v>
      </c>
      <c r="DK221" s="521">
        <f t="shared" si="157"/>
        <v>-1.4922606136770702</v>
      </c>
      <c r="DL221" s="522">
        <f t="shared" si="158"/>
        <v>3.3951503080905509E-3</v>
      </c>
    </row>
    <row r="222" spans="90:116">
      <c r="CL222" s="1647">
        <f t="shared" si="159"/>
        <v>0</v>
      </c>
      <c r="CM222" s="1671">
        <v>91</v>
      </c>
      <c r="CN222" s="1644">
        <f t="shared" si="139"/>
        <v>273.14999999999998</v>
      </c>
      <c r="CO222" s="1644">
        <f t="shared" si="140"/>
        <v>-33.129143945141777</v>
      </c>
      <c r="CP222" s="1644">
        <f t="shared" si="141"/>
        <v>39.544589235539483</v>
      </c>
      <c r="CQ222" s="1644">
        <f t="shared" si="142"/>
        <v>0.61121286745119141</v>
      </c>
      <c r="CR222" s="1644">
        <f t="shared" si="143"/>
        <v>0.55620370938058417</v>
      </c>
      <c r="CS222" s="1644">
        <f t="shared" si="160"/>
        <v>3.7746786226692361E-3</v>
      </c>
      <c r="CT222" s="1644">
        <f t="shared" si="144"/>
        <v>0.90950323576655745</v>
      </c>
      <c r="CU222" s="505">
        <f t="shared" si="145"/>
        <v>91</v>
      </c>
      <c r="CV222" s="1648">
        <f t="shared" si="146"/>
        <v>8.5861391356626022</v>
      </c>
      <c r="CW222" s="521">
        <f t="shared" si="147"/>
        <v>-1.3394268441649904</v>
      </c>
      <c r="CX222" s="522">
        <f t="shared" si="148"/>
        <v>3.4330824212965225E-3</v>
      </c>
      <c r="CZ222" s="1647">
        <f t="shared" si="161"/>
        <v>0</v>
      </c>
      <c r="DA222" s="1671">
        <v>91</v>
      </c>
      <c r="DB222" s="1644">
        <f t="shared" si="149"/>
        <v>273.14999999999998</v>
      </c>
      <c r="DC222" s="1644">
        <f t="shared" si="150"/>
        <v>-33.129143945141777</v>
      </c>
      <c r="DD222" s="1644">
        <f t="shared" si="151"/>
        <v>39.544589235539483</v>
      </c>
      <c r="DE222" s="1644">
        <f t="shared" si="152"/>
        <v>0.61121286745119141</v>
      </c>
      <c r="DF222" s="1644">
        <f t="shared" si="153"/>
        <v>0.55620370938058417</v>
      </c>
      <c r="DG222" s="1644">
        <f t="shared" si="162"/>
        <v>3.7746786226692361E-3</v>
      </c>
      <c r="DH222" s="1644">
        <f t="shared" si="154"/>
        <v>0.90950323576655745</v>
      </c>
      <c r="DI222" s="505">
        <f t="shared" si="155"/>
        <v>91</v>
      </c>
      <c r="DJ222" s="1648">
        <f t="shared" si="156"/>
        <v>8.5861391356626022</v>
      </c>
      <c r="DK222" s="521">
        <f t="shared" si="157"/>
        <v>-1.3394268441649904</v>
      </c>
      <c r="DL222" s="522">
        <f t="shared" si="158"/>
        <v>3.4330824212965225E-3</v>
      </c>
    </row>
    <row r="223" spans="90:116">
      <c r="CL223" s="1647">
        <f t="shared" si="159"/>
        <v>0</v>
      </c>
      <c r="CM223" s="1671">
        <v>92</v>
      </c>
      <c r="CN223" s="1644">
        <f t="shared" si="139"/>
        <v>273.14999999999998</v>
      </c>
      <c r="CO223" s="1644">
        <f t="shared" si="140"/>
        <v>-33.129143945141777</v>
      </c>
      <c r="CP223" s="1644">
        <f t="shared" si="141"/>
        <v>39.544589235539483</v>
      </c>
      <c r="CQ223" s="1644">
        <f t="shared" si="142"/>
        <v>0.61121286745119141</v>
      </c>
      <c r="CR223" s="1644">
        <f t="shared" si="143"/>
        <v>0.56231583805509611</v>
      </c>
      <c r="CS223" s="1644">
        <f t="shared" si="160"/>
        <v>3.7746786226692361E-3</v>
      </c>
      <c r="CT223" s="1644">
        <f t="shared" si="144"/>
        <v>0.91955355231533831</v>
      </c>
      <c r="CU223" s="505">
        <f t="shared" si="145"/>
        <v>92</v>
      </c>
      <c r="CV223" s="1648">
        <f t="shared" si="146"/>
        <v>8.6810188599469846</v>
      </c>
      <c r="CW223" s="521">
        <f t="shared" si="147"/>
        <v>-1.1881241127165274</v>
      </c>
      <c r="CX223" s="522">
        <f t="shared" si="148"/>
        <v>3.4710191363242645E-3</v>
      </c>
      <c r="CZ223" s="1647">
        <f t="shared" si="161"/>
        <v>0</v>
      </c>
      <c r="DA223" s="1671">
        <v>92</v>
      </c>
      <c r="DB223" s="1644">
        <f t="shared" si="149"/>
        <v>273.14999999999998</v>
      </c>
      <c r="DC223" s="1644">
        <f t="shared" si="150"/>
        <v>-33.129143945141777</v>
      </c>
      <c r="DD223" s="1644">
        <f t="shared" si="151"/>
        <v>39.544589235539483</v>
      </c>
      <c r="DE223" s="1644">
        <f t="shared" si="152"/>
        <v>0.61121286745119141</v>
      </c>
      <c r="DF223" s="1644">
        <f t="shared" si="153"/>
        <v>0.56231583805509611</v>
      </c>
      <c r="DG223" s="1644">
        <f t="shared" si="162"/>
        <v>3.7746786226692361E-3</v>
      </c>
      <c r="DH223" s="1644">
        <f t="shared" si="154"/>
        <v>0.91955355231533831</v>
      </c>
      <c r="DI223" s="505">
        <f t="shared" si="155"/>
        <v>92</v>
      </c>
      <c r="DJ223" s="1648">
        <f t="shared" si="156"/>
        <v>8.6810188599469846</v>
      </c>
      <c r="DK223" s="521">
        <f t="shared" si="157"/>
        <v>-1.1881241127165274</v>
      </c>
      <c r="DL223" s="522">
        <f t="shared" si="158"/>
        <v>3.4710191363242645E-3</v>
      </c>
    </row>
    <row r="224" spans="90:116">
      <c r="CL224" s="1647">
        <f t="shared" si="159"/>
        <v>0</v>
      </c>
      <c r="CM224" s="1671">
        <v>93</v>
      </c>
      <c r="CN224" s="1644">
        <f t="shared" si="139"/>
        <v>273.14999999999998</v>
      </c>
      <c r="CO224" s="1644">
        <f t="shared" si="140"/>
        <v>-33.129143945141777</v>
      </c>
      <c r="CP224" s="1644">
        <f t="shared" si="141"/>
        <v>39.544589235539483</v>
      </c>
      <c r="CQ224" s="1644">
        <f t="shared" si="142"/>
        <v>0.61121286745119141</v>
      </c>
      <c r="CR224" s="1644">
        <f t="shared" si="143"/>
        <v>0.56842796672960805</v>
      </c>
      <c r="CS224" s="1644">
        <f t="shared" si="160"/>
        <v>3.7746786226692361E-3</v>
      </c>
      <c r="CT224" s="1644">
        <f t="shared" si="144"/>
        <v>0.92960508821540755</v>
      </c>
      <c r="CU224" s="505">
        <f t="shared" si="145"/>
        <v>93</v>
      </c>
      <c r="CV224" s="1648">
        <f t="shared" si="146"/>
        <v>8.7759100954821321</v>
      </c>
      <c r="CW224" s="521">
        <f t="shared" si="147"/>
        <v>-1.0383200776544976</v>
      </c>
      <c r="CX224" s="522">
        <f t="shared" si="148"/>
        <v>3.5089604540112485E-3</v>
      </c>
      <c r="CZ224" s="1647">
        <f t="shared" si="161"/>
        <v>0</v>
      </c>
      <c r="DA224" s="1671">
        <v>93</v>
      </c>
      <c r="DB224" s="1644">
        <f t="shared" si="149"/>
        <v>273.14999999999998</v>
      </c>
      <c r="DC224" s="1644">
        <f t="shared" si="150"/>
        <v>-33.129143945141777</v>
      </c>
      <c r="DD224" s="1644">
        <f t="shared" si="151"/>
        <v>39.544589235539483</v>
      </c>
      <c r="DE224" s="1644">
        <f t="shared" si="152"/>
        <v>0.61121286745119141</v>
      </c>
      <c r="DF224" s="1644">
        <f t="shared" si="153"/>
        <v>0.56842796672960805</v>
      </c>
      <c r="DG224" s="1644">
        <f t="shared" si="162"/>
        <v>3.7746786226692361E-3</v>
      </c>
      <c r="DH224" s="1644">
        <f t="shared" si="154"/>
        <v>0.92960508821540755</v>
      </c>
      <c r="DI224" s="505">
        <f t="shared" si="155"/>
        <v>93</v>
      </c>
      <c r="DJ224" s="1648">
        <f t="shared" si="156"/>
        <v>8.7759100954821321</v>
      </c>
      <c r="DK224" s="521">
        <f t="shared" si="157"/>
        <v>-1.0383200776544976</v>
      </c>
      <c r="DL224" s="522">
        <f t="shared" si="158"/>
        <v>3.5089604540112485E-3</v>
      </c>
    </row>
    <row r="225" spans="90:116">
      <c r="CL225" s="1647">
        <f t="shared" si="159"/>
        <v>0</v>
      </c>
      <c r="CM225" s="1671">
        <v>94</v>
      </c>
      <c r="CN225" s="1644">
        <f t="shared" si="139"/>
        <v>273.14999999999998</v>
      </c>
      <c r="CO225" s="1644">
        <f t="shared" si="140"/>
        <v>-33.129143945141777</v>
      </c>
      <c r="CP225" s="1644">
        <f t="shared" si="141"/>
        <v>39.544589235539483</v>
      </c>
      <c r="CQ225" s="1644">
        <f t="shared" si="142"/>
        <v>0.61121286745119141</v>
      </c>
      <c r="CR225" s="1644">
        <f t="shared" si="143"/>
        <v>0.57454009540411988</v>
      </c>
      <c r="CS225" s="1644">
        <f t="shared" si="160"/>
        <v>3.7746786226692361E-3</v>
      </c>
      <c r="CT225" s="1644">
        <f t="shared" si="144"/>
        <v>0.93965784368868499</v>
      </c>
      <c r="CU225" s="505">
        <f t="shared" si="145"/>
        <v>94</v>
      </c>
      <c r="CV225" s="1648">
        <f t="shared" si="146"/>
        <v>8.8708128443630709</v>
      </c>
      <c r="CW225" s="521">
        <f t="shared" si="147"/>
        <v>-0.88998342658231089</v>
      </c>
      <c r="CX225" s="522">
        <f t="shared" si="148"/>
        <v>3.54690637519515E-3</v>
      </c>
      <c r="CZ225" s="1647">
        <f t="shared" si="161"/>
        <v>0</v>
      </c>
      <c r="DA225" s="1671">
        <v>94</v>
      </c>
      <c r="DB225" s="1644">
        <f t="shared" si="149"/>
        <v>273.14999999999998</v>
      </c>
      <c r="DC225" s="1644">
        <f t="shared" si="150"/>
        <v>-33.129143945141777</v>
      </c>
      <c r="DD225" s="1644">
        <f t="shared" si="151"/>
        <v>39.544589235539483</v>
      </c>
      <c r="DE225" s="1644">
        <f t="shared" si="152"/>
        <v>0.61121286745119141</v>
      </c>
      <c r="DF225" s="1644">
        <f t="shared" si="153"/>
        <v>0.57454009540411988</v>
      </c>
      <c r="DG225" s="1644">
        <f t="shared" si="162"/>
        <v>3.7746786226692361E-3</v>
      </c>
      <c r="DH225" s="1644">
        <f t="shared" si="154"/>
        <v>0.93965784368868499</v>
      </c>
      <c r="DI225" s="505">
        <f t="shared" si="155"/>
        <v>94</v>
      </c>
      <c r="DJ225" s="1648">
        <f t="shared" si="156"/>
        <v>8.8708128443630709</v>
      </c>
      <c r="DK225" s="521">
        <f t="shared" si="157"/>
        <v>-0.88998342658231089</v>
      </c>
      <c r="DL225" s="522">
        <f t="shared" si="158"/>
        <v>3.54690637519515E-3</v>
      </c>
    </row>
    <row r="226" spans="90:116">
      <c r="CL226" s="1647">
        <f t="shared" si="159"/>
        <v>0</v>
      </c>
      <c r="CM226" s="1671">
        <v>95</v>
      </c>
      <c r="CN226" s="1644">
        <f t="shared" si="139"/>
        <v>273.14999999999998</v>
      </c>
      <c r="CO226" s="1644">
        <f t="shared" si="140"/>
        <v>-33.129143945141777</v>
      </c>
      <c r="CP226" s="1644">
        <f t="shared" si="141"/>
        <v>39.544589235539483</v>
      </c>
      <c r="CQ226" s="1644">
        <f t="shared" si="142"/>
        <v>0.61121286745119141</v>
      </c>
      <c r="CR226" s="1644">
        <f t="shared" si="143"/>
        <v>0.58065222407863182</v>
      </c>
      <c r="CS226" s="1644">
        <f t="shared" si="160"/>
        <v>3.7746786226692361E-3</v>
      </c>
      <c r="CT226" s="1644">
        <f t="shared" si="144"/>
        <v>0.94971181895714385</v>
      </c>
      <c r="CU226" s="505">
        <f t="shared" si="145"/>
        <v>95</v>
      </c>
      <c r="CV226" s="1648">
        <f t="shared" si="146"/>
        <v>8.9657271086853303</v>
      </c>
      <c r="CW226" s="521">
        <f t="shared" si="147"/>
        <v>-0.74308383291896263</v>
      </c>
      <c r="CX226" s="522">
        <f t="shared" si="148"/>
        <v>3.5848569007138468E-3</v>
      </c>
      <c r="CZ226" s="1647">
        <f t="shared" si="161"/>
        <v>0</v>
      </c>
      <c r="DA226" s="1671">
        <v>95</v>
      </c>
      <c r="DB226" s="1644">
        <f t="shared" si="149"/>
        <v>273.14999999999998</v>
      </c>
      <c r="DC226" s="1644">
        <f t="shared" si="150"/>
        <v>-33.129143945141777</v>
      </c>
      <c r="DD226" s="1644">
        <f t="shared" si="151"/>
        <v>39.544589235539483</v>
      </c>
      <c r="DE226" s="1644">
        <f t="shared" si="152"/>
        <v>0.61121286745119141</v>
      </c>
      <c r="DF226" s="1644">
        <f t="shared" si="153"/>
        <v>0.58065222407863182</v>
      </c>
      <c r="DG226" s="1644">
        <f t="shared" si="162"/>
        <v>3.7746786226692361E-3</v>
      </c>
      <c r="DH226" s="1644">
        <f t="shared" si="154"/>
        <v>0.94971181895714385</v>
      </c>
      <c r="DI226" s="505">
        <f t="shared" si="155"/>
        <v>95</v>
      </c>
      <c r="DJ226" s="1648">
        <f t="shared" si="156"/>
        <v>8.9657271086853303</v>
      </c>
      <c r="DK226" s="521">
        <f t="shared" si="157"/>
        <v>-0.74308383291896263</v>
      </c>
      <c r="DL226" s="522">
        <f t="shared" si="158"/>
        <v>3.5848569007138468E-3</v>
      </c>
    </row>
    <row r="227" spans="90:116">
      <c r="CL227" s="1647">
        <f t="shared" si="159"/>
        <v>0</v>
      </c>
      <c r="CM227" s="1671">
        <v>96</v>
      </c>
      <c r="CN227" s="1644">
        <f t="shared" si="139"/>
        <v>273.14999999999998</v>
      </c>
      <c r="CO227" s="1644">
        <f t="shared" si="140"/>
        <v>-33.129143945141777</v>
      </c>
      <c r="CP227" s="1644">
        <f t="shared" si="141"/>
        <v>39.544589235539483</v>
      </c>
      <c r="CQ227" s="1644">
        <f t="shared" si="142"/>
        <v>0.61121286745119141</v>
      </c>
      <c r="CR227" s="1644">
        <f t="shared" si="143"/>
        <v>0.58676435275314376</v>
      </c>
      <c r="CS227" s="1644">
        <f t="shared" si="160"/>
        <v>3.7746786226692361E-3</v>
      </c>
      <c r="CT227" s="1644">
        <f t="shared" si="144"/>
        <v>0.95976701424281152</v>
      </c>
      <c r="CU227" s="505">
        <f t="shared" si="145"/>
        <v>96</v>
      </c>
      <c r="CV227" s="1648">
        <f t="shared" si="146"/>
        <v>9.0606528905449579</v>
      </c>
      <c r="CW227" s="521">
        <f t="shared" si="147"/>
        <v>-0.59759191471057949</v>
      </c>
      <c r="CX227" s="522">
        <f t="shared" si="148"/>
        <v>3.6228120314054208E-3</v>
      </c>
      <c r="CZ227" s="1647">
        <f t="shared" si="161"/>
        <v>0</v>
      </c>
      <c r="DA227" s="1671">
        <v>96</v>
      </c>
      <c r="DB227" s="1644">
        <f t="shared" si="149"/>
        <v>273.14999999999998</v>
      </c>
      <c r="DC227" s="1644">
        <f t="shared" si="150"/>
        <v>-33.129143945141777</v>
      </c>
      <c r="DD227" s="1644">
        <f t="shared" si="151"/>
        <v>39.544589235539483</v>
      </c>
      <c r="DE227" s="1644">
        <f t="shared" si="152"/>
        <v>0.61121286745119141</v>
      </c>
      <c r="DF227" s="1644">
        <f t="shared" si="153"/>
        <v>0.58676435275314376</v>
      </c>
      <c r="DG227" s="1644">
        <f t="shared" si="162"/>
        <v>3.7746786226692361E-3</v>
      </c>
      <c r="DH227" s="1644">
        <f t="shared" si="154"/>
        <v>0.95976701424281152</v>
      </c>
      <c r="DI227" s="505">
        <f t="shared" si="155"/>
        <v>96</v>
      </c>
      <c r="DJ227" s="1648">
        <f t="shared" si="156"/>
        <v>9.0606528905449579</v>
      </c>
      <c r="DK227" s="521">
        <f t="shared" si="157"/>
        <v>-0.59759191471057949</v>
      </c>
      <c r="DL227" s="522">
        <f t="shared" si="158"/>
        <v>3.6228120314054208E-3</v>
      </c>
    </row>
    <row r="228" spans="90:116">
      <c r="CL228" s="1647">
        <f t="shared" si="159"/>
        <v>0</v>
      </c>
      <c r="CM228" s="1671">
        <v>97</v>
      </c>
      <c r="CN228" s="1644">
        <f t="shared" si="139"/>
        <v>273.14999999999998</v>
      </c>
      <c r="CO228" s="1644">
        <f t="shared" si="140"/>
        <v>-33.129143945141777</v>
      </c>
      <c r="CP228" s="1644">
        <f t="shared" si="141"/>
        <v>39.544589235539483</v>
      </c>
      <c r="CQ228" s="1644">
        <f t="shared" si="142"/>
        <v>0.61121286745119141</v>
      </c>
      <c r="CR228" s="1644">
        <f t="shared" si="143"/>
        <v>0.5928764814276557</v>
      </c>
      <c r="CS228" s="1644">
        <f t="shared" si="160"/>
        <v>3.7746786226692361E-3</v>
      </c>
      <c r="CT228" s="1644">
        <f t="shared" si="144"/>
        <v>0.96982342976776881</v>
      </c>
      <c r="CU228" s="505">
        <f t="shared" si="145"/>
        <v>97</v>
      </c>
      <c r="CV228" s="1648">
        <f t="shared" si="146"/>
        <v>9.155590192038499</v>
      </c>
      <c r="CW228" s="521">
        <f t="shared" si="147"/>
        <v>-0.45347919557658189</v>
      </c>
      <c r="CX228" s="522">
        <f t="shared" si="148"/>
        <v>3.6607717681081562E-3</v>
      </c>
      <c r="CZ228" s="1647">
        <f t="shared" si="161"/>
        <v>0</v>
      </c>
      <c r="DA228" s="1671">
        <v>97</v>
      </c>
      <c r="DB228" s="1644">
        <f t="shared" si="149"/>
        <v>273.14999999999998</v>
      </c>
      <c r="DC228" s="1644">
        <f t="shared" si="150"/>
        <v>-33.129143945141777</v>
      </c>
      <c r="DD228" s="1644">
        <f t="shared" si="151"/>
        <v>39.544589235539483</v>
      </c>
      <c r="DE228" s="1644">
        <f t="shared" si="152"/>
        <v>0.61121286745119141</v>
      </c>
      <c r="DF228" s="1644">
        <f t="shared" si="153"/>
        <v>0.5928764814276557</v>
      </c>
      <c r="DG228" s="1644">
        <f t="shared" si="162"/>
        <v>3.7746786226692361E-3</v>
      </c>
      <c r="DH228" s="1644">
        <f t="shared" si="154"/>
        <v>0.96982342976776881</v>
      </c>
      <c r="DI228" s="505">
        <f t="shared" si="155"/>
        <v>97</v>
      </c>
      <c r="DJ228" s="1648">
        <f t="shared" si="156"/>
        <v>9.155590192038499</v>
      </c>
      <c r="DK228" s="521">
        <f t="shared" si="157"/>
        <v>-0.45347919557658189</v>
      </c>
      <c r="DL228" s="522">
        <f t="shared" si="158"/>
        <v>3.6607717681081562E-3</v>
      </c>
    </row>
    <row r="229" spans="90:116">
      <c r="CL229" s="1647">
        <f t="shared" si="159"/>
        <v>0</v>
      </c>
      <c r="CM229" s="1671">
        <v>98</v>
      </c>
      <c r="CN229" s="1644">
        <f t="shared" si="139"/>
        <v>273.14999999999998</v>
      </c>
      <c r="CO229" s="1644">
        <f t="shared" si="140"/>
        <v>-33.129143945141777</v>
      </c>
      <c r="CP229" s="1644">
        <f t="shared" si="141"/>
        <v>39.544589235539483</v>
      </c>
      <c r="CQ229" s="1644">
        <f t="shared" si="142"/>
        <v>0.61121286745119141</v>
      </c>
      <c r="CR229" s="1644">
        <f t="shared" si="143"/>
        <v>0.59898861010216753</v>
      </c>
      <c r="CS229" s="1644">
        <f t="shared" si="160"/>
        <v>3.7746786226692361E-3</v>
      </c>
      <c r="CT229" s="1644">
        <f t="shared" si="144"/>
        <v>0.9798810657541509</v>
      </c>
      <c r="CU229" s="505">
        <f t="shared" si="145"/>
        <v>98</v>
      </c>
      <c r="CV229" s="1648">
        <f t="shared" si="146"/>
        <v>9.2505390152630156</v>
      </c>
      <c r="CW229" s="521">
        <f t="shared" si="147"/>
        <v>-0.31071806765898452</v>
      </c>
      <c r="CX229" s="522">
        <f t="shared" si="148"/>
        <v>3.6987361116605417E-3</v>
      </c>
      <c r="CZ229" s="1647">
        <f t="shared" si="161"/>
        <v>0</v>
      </c>
      <c r="DA229" s="1671">
        <v>98</v>
      </c>
      <c r="DB229" s="1644">
        <f t="shared" si="149"/>
        <v>273.14999999999998</v>
      </c>
      <c r="DC229" s="1644">
        <f t="shared" si="150"/>
        <v>-33.129143945141777</v>
      </c>
      <c r="DD229" s="1644">
        <f t="shared" si="151"/>
        <v>39.544589235539483</v>
      </c>
      <c r="DE229" s="1644">
        <f t="shared" si="152"/>
        <v>0.61121286745119141</v>
      </c>
      <c r="DF229" s="1644">
        <f t="shared" si="153"/>
        <v>0.59898861010216753</v>
      </c>
      <c r="DG229" s="1644">
        <f t="shared" si="162"/>
        <v>3.7746786226692361E-3</v>
      </c>
      <c r="DH229" s="1644">
        <f t="shared" si="154"/>
        <v>0.9798810657541509</v>
      </c>
      <c r="DI229" s="505">
        <f t="shared" si="155"/>
        <v>98</v>
      </c>
      <c r="DJ229" s="1648">
        <f t="shared" si="156"/>
        <v>9.2505390152630156</v>
      </c>
      <c r="DK229" s="521">
        <f t="shared" si="157"/>
        <v>-0.31071806765898452</v>
      </c>
      <c r="DL229" s="522">
        <f t="shared" si="158"/>
        <v>3.6987361116605417E-3</v>
      </c>
    </row>
    <row r="230" spans="90:116">
      <c r="CL230" s="1647">
        <f t="shared" si="159"/>
        <v>0</v>
      </c>
      <c r="CM230" s="1671">
        <v>99</v>
      </c>
      <c r="CN230" s="1644">
        <f t="shared" si="139"/>
        <v>273.14999999999998</v>
      </c>
      <c r="CO230" s="1644">
        <f t="shared" si="140"/>
        <v>-33.129143945141777</v>
      </c>
      <c r="CP230" s="1644">
        <f t="shared" si="141"/>
        <v>39.544589235539483</v>
      </c>
      <c r="CQ230" s="1644">
        <f t="shared" si="142"/>
        <v>0.61121286745119141</v>
      </c>
      <c r="CR230" s="1644">
        <f t="shared" si="143"/>
        <v>0.60510073877667947</v>
      </c>
      <c r="CS230" s="1644">
        <f t="shared" si="160"/>
        <v>3.7746786226692361E-3</v>
      </c>
      <c r="CT230" s="1644">
        <f t="shared" si="144"/>
        <v>0.98993992242414719</v>
      </c>
      <c r="CU230" s="505">
        <f t="shared" si="145"/>
        <v>99</v>
      </c>
      <c r="CV230" s="1648">
        <f t="shared" si="146"/>
        <v>9.3454993623160778</v>
      </c>
      <c r="CW230" s="521">
        <f t="shared" si="147"/>
        <v>-0.16928175645255256</v>
      </c>
      <c r="CX230" s="522">
        <f t="shared" si="148"/>
        <v>3.7367050629012705E-3</v>
      </c>
      <c r="CZ230" s="1647">
        <f t="shared" si="161"/>
        <v>0</v>
      </c>
      <c r="DA230" s="1671">
        <v>99</v>
      </c>
      <c r="DB230" s="1644">
        <f t="shared" si="149"/>
        <v>273.14999999999998</v>
      </c>
      <c r="DC230" s="1644">
        <f t="shared" si="150"/>
        <v>-33.129143945141777</v>
      </c>
      <c r="DD230" s="1644">
        <f t="shared" si="151"/>
        <v>39.544589235539483</v>
      </c>
      <c r="DE230" s="1644">
        <f t="shared" si="152"/>
        <v>0.61121286745119141</v>
      </c>
      <c r="DF230" s="1644">
        <f t="shared" si="153"/>
        <v>0.60510073877667947</v>
      </c>
      <c r="DG230" s="1644">
        <f t="shared" si="162"/>
        <v>3.7746786226692361E-3</v>
      </c>
      <c r="DH230" s="1644">
        <f t="shared" si="154"/>
        <v>0.98993992242414719</v>
      </c>
      <c r="DI230" s="505">
        <f t="shared" si="155"/>
        <v>99</v>
      </c>
      <c r="DJ230" s="1648">
        <f t="shared" si="156"/>
        <v>9.3454993623160778</v>
      </c>
      <c r="DK230" s="521">
        <f t="shared" si="157"/>
        <v>-0.16928175645255256</v>
      </c>
      <c r="DL230" s="522">
        <f t="shared" si="158"/>
        <v>3.7367050629012705E-3</v>
      </c>
    </row>
    <row r="231" spans="90:116">
      <c r="CL231" s="1647">
        <f t="shared" si="159"/>
        <v>0</v>
      </c>
      <c r="CM231" s="1671">
        <v>100</v>
      </c>
      <c r="CN231" s="1644">
        <f t="shared" si="139"/>
        <v>273.14999999999998</v>
      </c>
      <c r="CO231" s="1644">
        <f t="shared" si="140"/>
        <v>-33.129143945141777</v>
      </c>
      <c r="CP231" s="1644">
        <f t="shared" si="141"/>
        <v>39.544589235539483</v>
      </c>
      <c r="CQ231" s="1644">
        <f t="shared" si="142"/>
        <v>0.61121286745119141</v>
      </c>
      <c r="CR231" s="1644">
        <f t="shared" si="143"/>
        <v>0.61121286745119141</v>
      </c>
      <c r="CS231" s="1644">
        <f t="shared" si="160"/>
        <v>3.7746786226692361E-3</v>
      </c>
      <c r="CT231" s="1644">
        <f t="shared" si="144"/>
        <v>1</v>
      </c>
      <c r="CU231" s="505">
        <f t="shared" si="145"/>
        <v>100</v>
      </c>
      <c r="CV231" s="1648">
        <f t="shared" si="146"/>
        <v>9.4404712352957603</v>
      </c>
      <c r="CW231" s="521">
        <f t="shared" si="147"/>
        <v>-2.9144287402271318E-2</v>
      </c>
      <c r="CX231" s="522">
        <f t="shared" si="148"/>
        <v>3.7746786226692361E-3</v>
      </c>
      <c r="CZ231" s="1647">
        <f t="shared" si="161"/>
        <v>0</v>
      </c>
      <c r="DA231" s="1671">
        <v>100</v>
      </c>
      <c r="DB231" s="1644">
        <f t="shared" si="149"/>
        <v>273.14999999999998</v>
      </c>
      <c r="DC231" s="1644">
        <f t="shared" si="150"/>
        <v>-33.129143945141777</v>
      </c>
      <c r="DD231" s="1644">
        <f t="shared" si="151"/>
        <v>39.544589235539483</v>
      </c>
      <c r="DE231" s="1644">
        <f t="shared" si="152"/>
        <v>0.61121286745119141</v>
      </c>
      <c r="DF231" s="1644">
        <f t="shared" si="153"/>
        <v>0.61121286745119141</v>
      </c>
      <c r="DG231" s="1644">
        <f t="shared" si="162"/>
        <v>3.7746786226692361E-3</v>
      </c>
      <c r="DH231" s="1644">
        <f t="shared" si="154"/>
        <v>1</v>
      </c>
      <c r="DI231" s="505">
        <f t="shared" si="155"/>
        <v>100</v>
      </c>
      <c r="DJ231" s="1648">
        <f t="shared" si="156"/>
        <v>9.4404712352957603</v>
      </c>
      <c r="DK231" s="521">
        <f t="shared" si="157"/>
        <v>-2.9144287402271318E-2</v>
      </c>
      <c r="DL231" s="522">
        <f t="shared" si="158"/>
        <v>3.7746786226692361E-3</v>
      </c>
    </row>
  </sheetData>
  <sheetProtection password="DFE4" sheet="1" objects="1" scenarios="1" formatColumns="0"/>
  <protectedRanges>
    <protectedRange sqref="C31:C32 E27 E14:E15 H20 D20 D23:D24 D22:F22 C39:D41 F2:F4 G22:G25 D25:F25 D8:F11" name="範圍1"/>
    <protectedRange sqref="E17" name="範圍1_1"/>
  </protectedRanges>
  <mergeCells count="82">
    <mergeCell ref="U4:AB4"/>
    <mergeCell ref="D4:E4"/>
    <mergeCell ref="B8:B9"/>
    <mergeCell ref="P13:R13"/>
    <mergeCell ref="M17:S17"/>
    <mergeCell ref="B14:B16"/>
    <mergeCell ref="U12:AB12"/>
    <mergeCell ref="U8:AB8"/>
    <mergeCell ref="U17:AB17"/>
    <mergeCell ref="Z15:AB15"/>
    <mergeCell ref="DP42:DQ42"/>
    <mergeCell ref="DP4:DP5"/>
    <mergeCell ref="DQ4:DQ5"/>
    <mergeCell ref="AD35:AJ35"/>
    <mergeCell ref="AH28:AI28"/>
    <mergeCell ref="AH27:AI27"/>
    <mergeCell ref="AD18:AJ18"/>
    <mergeCell ref="AG14:AI14"/>
    <mergeCell ref="AD22:AJ22"/>
    <mergeCell ref="BB16:BH16"/>
    <mergeCell ref="AL16:AR16"/>
    <mergeCell ref="AT14:AZ14"/>
    <mergeCell ref="AD26:AJ26"/>
    <mergeCell ref="AD8:AJ8"/>
    <mergeCell ref="AD4:AJ4"/>
    <mergeCell ref="AY12:AZ12"/>
    <mergeCell ref="DR43:DR44"/>
    <mergeCell ref="DQ43:DQ44"/>
    <mergeCell ref="DP43:DP44"/>
    <mergeCell ref="DN43:DN44"/>
    <mergeCell ref="DO43:DO44"/>
    <mergeCell ref="B45:C45"/>
    <mergeCell ref="B46:C46"/>
    <mergeCell ref="M40:S40"/>
    <mergeCell ref="B37:E37"/>
    <mergeCell ref="B44:E44"/>
    <mergeCell ref="U39:V40"/>
    <mergeCell ref="R25:S25"/>
    <mergeCell ref="M31:S31"/>
    <mergeCell ref="B22:C22"/>
    <mergeCell ref="B23:C23"/>
    <mergeCell ref="B25:C25"/>
    <mergeCell ref="B24:C24"/>
    <mergeCell ref="B27:F27"/>
    <mergeCell ref="DU5:DV5"/>
    <mergeCell ref="AM2:AR2"/>
    <mergeCell ref="AL4:AR4"/>
    <mergeCell ref="DS4:DS5"/>
    <mergeCell ref="DT4:DT5"/>
    <mergeCell ref="DR4:DR5"/>
    <mergeCell ref="DN2:DO2"/>
    <mergeCell ref="BC2:BH2"/>
    <mergeCell ref="BB4:BH4"/>
    <mergeCell ref="AU2:AZ2"/>
    <mergeCell ref="DN4:DN5"/>
    <mergeCell ref="DO4:DO5"/>
    <mergeCell ref="AT4:AZ4"/>
    <mergeCell ref="CH39:CI39"/>
    <mergeCell ref="AL22:AR22"/>
    <mergeCell ref="AL23:AN23"/>
    <mergeCell ref="BB23:BD23"/>
    <mergeCell ref="AT36:AZ36"/>
    <mergeCell ref="BB22:BH22"/>
    <mergeCell ref="AT31:AZ31"/>
    <mergeCell ref="BF23:BH23"/>
    <mergeCell ref="AT27:AZ27"/>
    <mergeCell ref="D2:E2"/>
    <mergeCell ref="AT19:AZ19"/>
    <mergeCell ref="AP23:AR23"/>
    <mergeCell ref="AU25:AZ25"/>
    <mergeCell ref="AE2:AJ2"/>
    <mergeCell ref="C17:D17"/>
    <mergeCell ref="B21:C21"/>
    <mergeCell ref="B19:K19"/>
    <mergeCell ref="B13:F13"/>
    <mergeCell ref="C16:D16"/>
    <mergeCell ref="N2:AB2"/>
    <mergeCell ref="M4:S4"/>
    <mergeCell ref="D3:E3"/>
    <mergeCell ref="B6:K6"/>
    <mergeCell ref="B10:B11"/>
    <mergeCell ref="U21:AB21"/>
  </mergeCells>
  <phoneticPr fontId="4" type="noConversion"/>
  <conditionalFormatting sqref="O35">
    <cfRule type="cellIs" dxfId="109" priority="165" stopIfTrue="1" operator="lessThan">
      <formula>0</formula>
    </cfRule>
  </conditionalFormatting>
  <conditionalFormatting sqref="AV8 AV12 AV17 AV22">
    <cfRule type="cellIs" dxfId="108" priority="159" stopIfTrue="1" operator="lessThan">
      <formula>0</formula>
    </cfRule>
  </conditionalFormatting>
  <conditionalFormatting sqref="AV23">
    <cfRule type="cellIs" dxfId="107" priority="157" stopIfTrue="1" operator="lessThan">
      <formula>0</formula>
    </cfRule>
  </conditionalFormatting>
  <conditionalFormatting sqref="D23">
    <cfRule type="expression" dxfId="106" priority="142">
      <formula>B20=FALSE</formula>
    </cfRule>
  </conditionalFormatting>
  <conditionalFormatting sqref="C24">
    <cfRule type="expression" dxfId="105" priority="139">
      <formula>#REF!=TRUE</formula>
    </cfRule>
  </conditionalFormatting>
  <conditionalFormatting sqref="B23">
    <cfRule type="expression" dxfId="104" priority="138">
      <formula>B20=TRUE</formula>
    </cfRule>
  </conditionalFormatting>
  <conditionalFormatting sqref="AF43">
    <cfRule type="cellIs" dxfId="103" priority="117" stopIfTrue="1" operator="lessThan">
      <formula>0</formula>
    </cfRule>
  </conditionalFormatting>
  <conditionalFormatting sqref="B25">
    <cfRule type="expression" dxfId="102" priority="167">
      <formula>B4=2</formula>
    </cfRule>
  </conditionalFormatting>
  <conditionalFormatting sqref="D24">
    <cfRule type="expression" dxfId="101" priority="170">
      <formula>C20=FALSE</formula>
    </cfRule>
  </conditionalFormatting>
  <conditionalFormatting sqref="O39">
    <cfRule type="cellIs" dxfId="100" priority="111" stopIfTrue="1" operator="lessThan">
      <formula>0</formula>
    </cfRule>
  </conditionalFormatting>
  <conditionalFormatting sqref="B41">
    <cfRule type="expression" dxfId="99" priority="110">
      <formula>C20=TRUE</formula>
    </cfRule>
  </conditionalFormatting>
  <conditionalFormatting sqref="C41">
    <cfRule type="expression" dxfId="98" priority="108">
      <formula>C20=FALSE</formula>
    </cfRule>
  </conditionalFormatting>
  <conditionalFormatting sqref="D41">
    <cfRule type="expression" dxfId="97" priority="107">
      <formula>C20=FALSE</formula>
    </cfRule>
  </conditionalFormatting>
  <conditionalFormatting sqref="AF39">
    <cfRule type="cellIs" dxfId="96" priority="106" stopIfTrue="1" operator="lessThan">
      <formula>0</formula>
    </cfRule>
  </conditionalFormatting>
  <conditionalFormatting sqref="AV44">
    <cfRule type="cellIs" dxfId="95" priority="105" stopIfTrue="1" operator="lessThan">
      <formula>0</formula>
    </cfRule>
  </conditionalFormatting>
  <conditionalFormatting sqref="AV40">
    <cfRule type="cellIs" dxfId="94" priority="104" stopIfTrue="1" operator="lessThan">
      <formula>0</formula>
    </cfRule>
  </conditionalFormatting>
  <conditionalFormatting sqref="F10">
    <cfRule type="expression" dxfId="93" priority="100">
      <formula>B4=2</formula>
    </cfRule>
  </conditionalFormatting>
  <conditionalFormatting sqref="F11">
    <cfRule type="expression" dxfId="92" priority="95">
      <formula>B4=2</formula>
    </cfRule>
  </conditionalFormatting>
  <conditionalFormatting sqref="B10:B11">
    <cfRule type="expression" dxfId="91" priority="92">
      <formula>B4=2</formula>
    </cfRule>
  </conditionalFormatting>
  <conditionalFormatting sqref="C10">
    <cfRule type="expression" dxfId="90" priority="91">
      <formula>B4=2</formula>
    </cfRule>
  </conditionalFormatting>
  <conditionalFormatting sqref="C11">
    <cfRule type="expression" dxfId="89" priority="90">
      <formula>B4=2</formula>
    </cfRule>
  </conditionalFormatting>
  <conditionalFormatting sqref="B24">
    <cfRule type="expression" dxfId="88" priority="172">
      <formula>C20=TRUE</formula>
    </cfRule>
  </conditionalFormatting>
  <conditionalFormatting sqref="D25">
    <cfRule type="expression" dxfId="87" priority="89">
      <formula>B4=1</formula>
    </cfRule>
  </conditionalFormatting>
  <conditionalFormatting sqref="E25">
    <cfRule type="expression" dxfId="86" priority="88">
      <formula>B4=1</formula>
    </cfRule>
  </conditionalFormatting>
  <conditionalFormatting sqref="F25">
    <cfRule type="expression" dxfId="85" priority="87">
      <formula>B4=1</formula>
    </cfRule>
  </conditionalFormatting>
  <conditionalFormatting sqref="C14">
    <cfRule type="expression" dxfId="84" priority="83">
      <formula>B4=2</formula>
    </cfRule>
  </conditionalFormatting>
  <conditionalFormatting sqref="C15">
    <cfRule type="expression" dxfId="83" priority="82">
      <formula>B4=2</formula>
    </cfRule>
  </conditionalFormatting>
  <conditionalFormatting sqref="C17:D17">
    <cfRule type="expression" dxfId="82" priority="81">
      <formula>B4=2</formula>
    </cfRule>
  </conditionalFormatting>
  <conditionalFormatting sqref="E14">
    <cfRule type="expression" dxfId="81" priority="74">
      <formula>B4=2</formula>
    </cfRule>
  </conditionalFormatting>
  <conditionalFormatting sqref="E15">
    <cfRule type="expression" dxfId="80" priority="73">
      <formula>B4=2</formula>
    </cfRule>
  </conditionalFormatting>
  <conditionalFormatting sqref="E17">
    <cfRule type="expression" dxfId="79" priority="72">
      <formula>B4=2</formula>
    </cfRule>
  </conditionalFormatting>
  <conditionalFormatting sqref="C31">
    <cfRule type="expression" dxfId="78" priority="71">
      <formula>B4=2</formula>
    </cfRule>
  </conditionalFormatting>
  <conditionalFormatting sqref="W15">
    <cfRule type="cellIs" dxfId="77" priority="61" operator="lessThan">
      <formula>0</formula>
    </cfRule>
  </conditionalFormatting>
  <conditionalFormatting sqref="D10">
    <cfRule type="expression" dxfId="76" priority="60">
      <formula>B4=2</formula>
    </cfRule>
  </conditionalFormatting>
  <conditionalFormatting sqref="E10">
    <cfRule type="expression" dxfId="75" priority="59">
      <formula>B4=2</formula>
    </cfRule>
  </conditionalFormatting>
  <conditionalFormatting sqref="D11">
    <cfRule type="expression" dxfId="74" priority="58">
      <formula>B4=2</formula>
    </cfRule>
  </conditionalFormatting>
  <conditionalFormatting sqref="E11">
    <cfRule type="expression" dxfId="73" priority="57">
      <formula>B4=2</formula>
    </cfRule>
  </conditionalFormatting>
  <conditionalFormatting sqref="H25">
    <cfRule type="expression" dxfId="72" priority="56">
      <formula>B4=1</formula>
    </cfRule>
  </conditionalFormatting>
  <conditionalFormatting sqref="I25">
    <cfRule type="expression" dxfId="71" priority="55">
      <formula>B4=1</formula>
    </cfRule>
  </conditionalFormatting>
  <conditionalFormatting sqref="B42">
    <cfRule type="expression" dxfId="70" priority="184">
      <formula>$I$20=TRUE</formula>
    </cfRule>
  </conditionalFormatting>
  <conditionalFormatting sqref="C42">
    <cfRule type="expression" dxfId="69" priority="185">
      <formula>$I$20=TRUE</formula>
    </cfRule>
  </conditionalFormatting>
  <conditionalFormatting sqref="B40">
    <cfRule type="expression" dxfId="68" priority="38">
      <formula>$D$20=TRUE</formula>
    </cfRule>
  </conditionalFormatting>
  <conditionalFormatting sqref="C40">
    <cfRule type="expression" dxfId="67" priority="35">
      <formula>$D$20=TRUE</formula>
    </cfRule>
  </conditionalFormatting>
  <conditionalFormatting sqref="D40">
    <cfRule type="expression" dxfId="66" priority="34">
      <formula>$D$20=TRUE</formula>
    </cfRule>
  </conditionalFormatting>
  <conditionalFormatting sqref="DS7:DS9 DS39">
    <cfRule type="cellIs" dxfId="65" priority="18" stopIfTrue="1" operator="greaterThanOrEqual">
      <formula>$C$10</formula>
    </cfRule>
  </conditionalFormatting>
  <conditionalFormatting sqref="DT7:DT9 DT39">
    <cfRule type="cellIs" dxfId="64" priority="19" stopIfTrue="1" operator="greaterThanOrEqual">
      <formula>$C$11</formula>
    </cfRule>
  </conditionalFormatting>
  <conditionalFormatting sqref="DS10:DS38">
    <cfRule type="cellIs" dxfId="63" priority="16" stopIfTrue="1" operator="greaterThanOrEqual">
      <formula>$C$10</formula>
    </cfRule>
  </conditionalFormatting>
  <conditionalFormatting sqref="DT10:DT38">
    <cfRule type="cellIs" dxfId="62" priority="17" stopIfTrue="1" operator="greaterThanOrEqual">
      <formula>$C$11</formula>
    </cfRule>
  </conditionalFormatting>
  <conditionalFormatting sqref="DN7:DN39">
    <cfRule type="cellIs" dxfId="61" priority="20" stopIfTrue="1" operator="equal">
      <formula>#REF!</formula>
    </cfRule>
    <cfRule type="cellIs" dxfId="60" priority="21" stopIfTrue="1" operator="equal">
      <formula>#REF!</formula>
    </cfRule>
    <cfRule type="cellIs" dxfId="59" priority="22" stopIfTrue="1" operator="equal">
      <formula>#REF!</formula>
    </cfRule>
  </conditionalFormatting>
  <conditionalFormatting sqref="Y25">
    <cfRule type="expression" dxfId="58" priority="15">
      <formula>Y25="≥"</formula>
    </cfRule>
  </conditionalFormatting>
  <conditionalFormatting sqref="W24">
    <cfRule type="cellIs" dxfId="57" priority="13" operator="lessThan">
      <formula>0</formula>
    </cfRule>
  </conditionalFormatting>
  <conditionalFormatting sqref="Z25">
    <cfRule type="expression" dxfId="56" priority="11">
      <formula>Y25="≥"</formula>
    </cfRule>
  </conditionalFormatting>
  <conditionalFormatting sqref="W20">
    <cfRule type="expression" dxfId="55" priority="8">
      <formula>$AA$20&gt;=1</formula>
    </cfRule>
  </conditionalFormatting>
  <conditionalFormatting sqref="B31">
    <cfRule type="expression" dxfId="54" priority="7">
      <formula>B4=2</formula>
    </cfRule>
  </conditionalFormatting>
  <conditionalFormatting sqref="D31">
    <cfRule type="expression" dxfId="53" priority="6">
      <formula>B4=2</formula>
    </cfRule>
  </conditionalFormatting>
  <conditionalFormatting sqref="G25">
    <cfRule type="expression" dxfId="52" priority="5">
      <formula>B4=1</formula>
    </cfRule>
  </conditionalFormatting>
  <conditionalFormatting sqref="J25">
    <cfRule type="expression" dxfId="51" priority="4">
      <formula>C4=1</formula>
    </cfRule>
  </conditionalFormatting>
  <conditionalFormatting sqref="U39">
    <cfRule type="expression" dxfId="50" priority="2">
      <formula>U39=U43</formula>
    </cfRule>
    <cfRule type="expression" dxfId="49" priority="3">
      <formula>U39=U42</formula>
    </cfRule>
  </conditionalFormatting>
  <conditionalFormatting sqref="W25">
    <cfRule type="expression" dxfId="48" priority="249">
      <formula>W24&gt;=H10*1.15</formula>
    </cfRule>
  </conditionalFormatting>
  <dataValidations xWindow="198" yWindow="562" count="4">
    <dataValidation allowBlank="1" showInputMessage="1" showErrorMessage="1" prompt="Fresh air flow" sqref="C32" xr:uid="{00000000-0002-0000-0200-000000000000}"/>
    <dataValidation allowBlank="1" showInputMessage="1" showErrorMessage="1" prompt="Round up" sqref="C31" xr:uid="{00000000-0002-0000-0200-000001000000}"/>
    <dataValidation allowBlank="1" showInputMessage="1" showErrorMessage="1" prompt="Use space SHR to estimate" sqref="D22:D23" xr:uid="{00000000-0002-0000-0200-000002000000}"/>
    <dataValidation type="list" allowBlank="1" showInputMessage="1" showErrorMessage="1" sqref="C42" xr:uid="{00000000-0002-0000-0200-000003000000}">
      <formula1>$CE$43:$CE$55</formula1>
    </dataValidation>
  </dataValidations>
  <pageMargins left="0.25" right="0.25" top="0.75" bottom="0.75" header="0.3" footer="0.3"/>
  <pageSetup paperSize="8" orientation="landscape" r:id="rId1"/>
  <headerFooter alignWithMargins="0">
    <oddFooter>&amp;R&amp;8Developed by Benjamin Leung</oddFooter>
  </headerFooter>
  <colBreaks count="2" manualBreakCount="2">
    <brk id="12" min="1" max="46" man="1"/>
    <brk id="29" min="1" max="46" man="1"/>
  </colBreaks>
  <drawing r:id="rId2"/>
  <legacyDrawing r:id="rId3"/>
  <mc:AlternateContent xmlns:mc="http://schemas.openxmlformats.org/markup-compatibility/2006">
    <mc:Choice Requires="x14">
      <controls>
        <mc:AlternateContent xmlns:mc="http://schemas.openxmlformats.org/markup-compatibility/2006">
          <mc:Choice Requires="x14">
            <control shapeId="13320" r:id="rId4" name="Option Button 8">
              <controlPr defaultSize="0" autoFill="0" autoLine="0" autoPict="0" macro="[0]!coil_ahuselect">
                <anchor moveWithCells="1">
                  <from>
                    <xdr:col>1</xdr:col>
                    <xdr:colOff>19050</xdr:colOff>
                    <xdr:row>2</xdr:row>
                    <xdr:rowOff>57150</xdr:rowOff>
                  </from>
                  <to>
                    <xdr:col>1</xdr:col>
                    <xdr:colOff>908050</xdr:colOff>
                    <xdr:row>3</xdr:row>
                    <xdr:rowOff>107950</xdr:rowOff>
                  </to>
                </anchor>
              </controlPr>
            </control>
          </mc:Choice>
        </mc:AlternateContent>
        <mc:AlternateContent xmlns:mc="http://schemas.openxmlformats.org/markup-compatibility/2006">
          <mc:Choice Requires="x14">
            <control shapeId="13321" r:id="rId5" name="Option Button 9">
              <controlPr defaultSize="0" autoFill="0" autoLine="0" autoPict="0" macro="[0]!coil_pauselect">
                <anchor moveWithCells="1">
                  <from>
                    <xdr:col>1</xdr:col>
                    <xdr:colOff>438150</xdr:colOff>
                    <xdr:row>2</xdr:row>
                    <xdr:rowOff>57150</xdr:rowOff>
                  </from>
                  <to>
                    <xdr:col>2</xdr:col>
                    <xdr:colOff>381000</xdr:colOff>
                    <xdr:row>3</xdr:row>
                    <xdr:rowOff>107950</xdr:rowOff>
                  </to>
                </anchor>
              </controlPr>
            </control>
          </mc:Choice>
        </mc:AlternateContent>
        <mc:AlternateContent xmlns:mc="http://schemas.openxmlformats.org/markup-compatibility/2006">
          <mc:Choice Requires="x14">
            <control shapeId="13339" r:id="rId6" name="Button 27">
              <controlPr defaultSize="0" autoFill="0" autoPict="0" macro="[0]!Home">
                <anchor>
                  <from>
                    <xdr:col>7</xdr:col>
                    <xdr:colOff>247650</xdr:colOff>
                    <xdr:row>0</xdr:row>
                    <xdr:rowOff>69850</xdr:rowOff>
                  </from>
                  <to>
                    <xdr:col>8</xdr:col>
                    <xdr:colOff>476250</xdr:colOff>
                    <xdr:row>2</xdr:row>
                    <xdr:rowOff>76200</xdr:rowOff>
                  </to>
                </anchor>
              </controlPr>
            </control>
          </mc:Choice>
        </mc:AlternateContent>
        <mc:AlternateContent xmlns:mc="http://schemas.openxmlformats.org/markup-compatibility/2006">
          <mc:Choice Requires="x14">
            <control shapeId="13369" r:id="rId7" name="Button 57">
              <controlPr defaultSize="0" autoFill="0" autoPict="0" macro="[0]!Coil_clear">
                <anchor>
                  <from>
                    <xdr:col>7</xdr:col>
                    <xdr:colOff>247650</xdr:colOff>
                    <xdr:row>2</xdr:row>
                    <xdr:rowOff>127000</xdr:rowOff>
                  </from>
                  <to>
                    <xdr:col>8</xdr:col>
                    <xdr:colOff>476250</xdr:colOff>
                    <xdr:row>4</xdr:row>
                    <xdr:rowOff>107950</xdr:rowOff>
                  </to>
                </anchor>
              </controlPr>
            </control>
          </mc:Choice>
        </mc:AlternateContent>
        <mc:AlternateContent xmlns:mc="http://schemas.openxmlformats.org/markup-compatibility/2006">
          <mc:Choice Requires="x14">
            <control shapeId="13371" r:id="rId8" name="Check Box 59">
              <controlPr defaultSize="0" autoFill="0" autoLine="0" autoPict="0">
                <anchor moveWithCells="1">
                  <from>
                    <xdr:col>1</xdr:col>
                    <xdr:colOff>0</xdr:colOff>
                    <xdr:row>18</xdr:row>
                    <xdr:rowOff>152400</xdr:rowOff>
                  </from>
                  <to>
                    <xdr:col>1</xdr:col>
                    <xdr:colOff>876300</xdr:colOff>
                    <xdr:row>20</xdr:row>
                    <xdr:rowOff>31750</xdr:rowOff>
                  </to>
                </anchor>
              </controlPr>
            </control>
          </mc:Choice>
        </mc:AlternateContent>
        <mc:AlternateContent xmlns:mc="http://schemas.openxmlformats.org/markup-compatibility/2006">
          <mc:Choice Requires="x14">
            <control shapeId="13372" r:id="rId9" name="Check Box 60">
              <controlPr defaultSize="0" autoFill="0" autoLine="0" autoPict="0">
                <anchor moveWithCells="1">
                  <from>
                    <xdr:col>2</xdr:col>
                    <xdr:colOff>0</xdr:colOff>
                    <xdr:row>18</xdr:row>
                    <xdr:rowOff>152400</xdr:rowOff>
                  </from>
                  <to>
                    <xdr:col>3</xdr:col>
                    <xdr:colOff>342900</xdr:colOff>
                    <xdr:row>20</xdr:row>
                    <xdr:rowOff>31750</xdr:rowOff>
                  </to>
                </anchor>
              </controlPr>
            </control>
          </mc:Choice>
        </mc:AlternateContent>
        <mc:AlternateContent xmlns:mc="http://schemas.openxmlformats.org/markup-compatibility/2006">
          <mc:Choice Requires="x14">
            <control shapeId="13377" r:id="rId10" name="Check Box 65">
              <controlPr defaultSize="0" autoFill="0" autoLine="0" autoPict="0">
                <anchor moveWithCells="1">
                  <from>
                    <xdr:col>4</xdr:col>
                    <xdr:colOff>0</xdr:colOff>
                    <xdr:row>18</xdr:row>
                    <xdr:rowOff>165100</xdr:rowOff>
                  </from>
                  <to>
                    <xdr:col>6</xdr:col>
                    <xdr:colOff>304800</xdr:colOff>
                    <xdr:row>20</xdr:row>
                    <xdr:rowOff>31750</xdr:rowOff>
                  </to>
                </anchor>
              </controlPr>
            </control>
          </mc:Choice>
        </mc:AlternateContent>
        <mc:AlternateContent xmlns:mc="http://schemas.openxmlformats.org/markup-compatibility/2006">
          <mc:Choice Requires="x14">
            <control shapeId="13387" r:id="rId11" name="Check Box 75">
              <controlPr defaultSize="0" autoFill="0" autoLine="0" autoPict="0">
                <anchor moveWithCells="1">
                  <from>
                    <xdr:col>5</xdr:col>
                    <xdr:colOff>355600</xdr:colOff>
                    <xdr:row>18</xdr:row>
                    <xdr:rowOff>152400</xdr:rowOff>
                  </from>
                  <to>
                    <xdr:col>8</xdr:col>
                    <xdr:colOff>38100</xdr:colOff>
                    <xdr:row>20</xdr:row>
                    <xdr:rowOff>31750</xdr:rowOff>
                  </to>
                </anchor>
              </controlPr>
            </control>
          </mc:Choice>
        </mc:AlternateContent>
        <mc:AlternateContent xmlns:mc="http://schemas.openxmlformats.org/markup-compatibility/2006">
          <mc:Choice Requires="x14">
            <control shapeId="13388" r:id="rId12" name="Button 76">
              <controlPr defaultSize="0" autoFill="0" autoPict="0" macro="[0]!Wheel">
                <anchor>
                  <from>
                    <xdr:col>6</xdr:col>
                    <xdr:colOff>317500</xdr:colOff>
                    <xdr:row>12</xdr:row>
                    <xdr:rowOff>0</xdr:rowOff>
                  </from>
                  <to>
                    <xdr:col>8</xdr:col>
                    <xdr:colOff>31750</xdr:colOff>
                    <xdr:row>13</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dimension ref="A2:DE67"/>
  <sheetViews>
    <sheetView topLeftCell="CA1" zoomScale="70" zoomScaleNormal="70" workbookViewId="0">
      <selection activeCell="CW4" sqref="CW4"/>
    </sheetView>
  </sheetViews>
  <sheetFormatPr defaultColWidth="10.26953125" defaultRowHeight="17"/>
  <cols>
    <col min="1" max="1" width="26.81640625" style="21" customWidth="1"/>
    <col min="2" max="8" width="10.26953125" style="21" customWidth="1"/>
    <col min="9" max="9" width="15.54296875" style="21" bestFit="1" customWidth="1"/>
    <col min="10" max="11" width="10.26953125" style="21"/>
    <col min="12" max="12" width="26.81640625" style="21" customWidth="1"/>
    <col min="13" max="19" width="10.26953125" style="21" customWidth="1"/>
    <col min="20" max="20" width="15.54296875" style="21" bestFit="1" customWidth="1"/>
    <col min="21" max="22" width="10.26953125" style="21"/>
    <col min="23" max="23" width="26.81640625" style="21" customWidth="1"/>
    <col min="24" max="30" width="10.26953125" style="21" customWidth="1"/>
    <col min="31" max="31" width="15.54296875" style="21" bestFit="1" customWidth="1"/>
    <col min="32" max="33" width="10.26953125" style="21"/>
    <col min="34" max="34" width="26.81640625" style="21" customWidth="1"/>
    <col min="35" max="41" width="10.26953125" style="21" customWidth="1"/>
    <col min="42" max="42" width="15.54296875" style="21" bestFit="1" customWidth="1"/>
    <col min="43" max="44" width="10.26953125" style="21"/>
    <col min="45" max="45" width="26.81640625" style="21" customWidth="1"/>
    <col min="46" max="52" width="10.26953125" style="21" customWidth="1"/>
    <col min="53" max="53" width="15.54296875" style="21" bestFit="1" customWidth="1"/>
    <col min="54" max="55" width="10.26953125" style="21"/>
    <col min="56" max="56" width="26.81640625" style="21" customWidth="1"/>
    <col min="57" max="63" width="10.26953125" style="21" customWidth="1"/>
    <col min="64" max="64" width="15.54296875" style="21" bestFit="1" customWidth="1"/>
    <col min="65" max="66" width="10.26953125" style="21"/>
    <col min="67" max="67" width="26.81640625" style="21" customWidth="1"/>
    <col min="68" max="74" width="10.26953125" style="21" customWidth="1"/>
    <col min="75" max="75" width="15.54296875" style="21" bestFit="1" customWidth="1"/>
    <col min="76" max="77" width="10.26953125" style="21"/>
    <col min="78" max="78" width="26.81640625" style="21" customWidth="1"/>
    <col min="79" max="85" width="10.26953125" style="21" customWidth="1"/>
    <col min="86" max="86" width="15.54296875" style="21" bestFit="1" customWidth="1"/>
    <col min="87" max="88" width="10.26953125" style="21"/>
    <col min="89" max="89" width="26.81640625" style="21" customWidth="1"/>
    <col min="90" max="96" width="10.26953125" style="21" customWidth="1"/>
    <col min="97" max="97" width="15.54296875" style="21" bestFit="1" customWidth="1"/>
    <col min="98" max="99" width="10.26953125" style="21"/>
    <col min="100" max="100" width="26.81640625" style="21" customWidth="1"/>
    <col min="101" max="107" width="10.26953125" style="21" customWidth="1"/>
    <col min="108" max="108" width="15.54296875" style="21" bestFit="1" customWidth="1"/>
    <col min="109" max="16384" width="10.26953125" style="21"/>
  </cols>
  <sheetData>
    <row r="2" spans="1:106">
      <c r="B2" s="1650">
        <f>Coil!CL4</f>
        <v>35</v>
      </c>
      <c r="E2" s="1651" t="s">
        <v>1331</v>
      </c>
      <c r="F2" s="1650">
        <f>Coil!$F$3</f>
        <v>101.325</v>
      </c>
      <c r="G2" s="848" t="s">
        <v>127</v>
      </c>
      <c r="M2" s="1650">
        <f>Coil!CL7</f>
        <v>7</v>
      </c>
      <c r="P2" s="1651" t="s">
        <v>1331</v>
      </c>
      <c r="Q2" s="1650">
        <f>Coil!$F$3</f>
        <v>101.325</v>
      </c>
      <c r="R2" s="848" t="s">
        <v>127</v>
      </c>
      <c r="X2" s="1650">
        <f>Coil!CL10</f>
        <v>35</v>
      </c>
      <c r="AA2" s="1651" t="s">
        <v>1331</v>
      </c>
      <c r="AB2" s="1650">
        <f>Coil!$F$3</f>
        <v>101.325</v>
      </c>
      <c r="AC2" s="848" t="s">
        <v>127</v>
      </c>
      <c r="AI2" s="1650">
        <f>Coil!CL13</f>
        <v>20</v>
      </c>
      <c r="AL2" s="1651" t="s">
        <v>1331</v>
      </c>
      <c r="AM2" s="1650">
        <f>Coil!$F$3</f>
        <v>101.325</v>
      </c>
      <c r="AN2" s="848" t="s">
        <v>127</v>
      </c>
      <c r="AT2" s="1650">
        <f>Coil!CL16</f>
        <v>13</v>
      </c>
      <c r="AW2" s="1651" t="s">
        <v>1331</v>
      </c>
      <c r="AX2" s="1650">
        <f>Coil!$F$3</f>
        <v>101.325</v>
      </c>
      <c r="AY2" s="848" t="s">
        <v>127</v>
      </c>
      <c r="BE2" s="1650">
        <f>Coil!CL19</f>
        <v>21</v>
      </c>
      <c r="BH2" s="1651" t="s">
        <v>1331</v>
      </c>
      <c r="BI2" s="1650">
        <f>Coil!$F$3</f>
        <v>101.325</v>
      </c>
      <c r="BJ2" s="848" t="s">
        <v>127</v>
      </c>
      <c r="BP2" s="1650" t="e">
        <f>Coil!CL26</f>
        <v>#VALUE!</v>
      </c>
      <c r="BS2" s="1651" t="s">
        <v>1331</v>
      </c>
      <c r="BT2" s="1650">
        <f>Coil!$F$3</f>
        <v>101.325</v>
      </c>
      <c r="BU2" s="848" t="s">
        <v>127</v>
      </c>
      <c r="CA2" s="1650" t="e">
        <f>Coil!AF11</f>
        <v>#VALUE!</v>
      </c>
      <c r="CD2" s="1651" t="s">
        <v>1331</v>
      </c>
      <c r="CE2" s="1650">
        <f>Coil!$F$3</f>
        <v>101.325</v>
      </c>
      <c r="CF2" s="848" t="s">
        <v>127</v>
      </c>
      <c r="CL2" s="1650">
        <f>Coil!CL132</f>
        <v>0</v>
      </c>
      <c r="CO2" s="1651" t="s">
        <v>1331</v>
      </c>
      <c r="CP2" s="1650">
        <f>Coil!$F$3</f>
        <v>101.325</v>
      </c>
      <c r="CQ2" s="848" t="s">
        <v>127</v>
      </c>
      <c r="CW2" s="1650">
        <f>Coil!CZ132</f>
        <v>0</v>
      </c>
      <c r="CZ2" s="1651" t="s">
        <v>1331</v>
      </c>
      <c r="DA2" s="1650">
        <f>Coil!$F$3</f>
        <v>101.325</v>
      </c>
      <c r="DB2" s="848" t="s">
        <v>127</v>
      </c>
    </row>
    <row r="3" spans="1:106">
      <c r="B3" s="1650">
        <f>Coil!CN4</f>
        <v>0</v>
      </c>
      <c r="E3" s="1651" t="s">
        <v>1332</v>
      </c>
      <c r="F3" s="1650">
        <f>Coil!$F$4</f>
        <v>1.2</v>
      </c>
      <c r="G3" s="848" t="s">
        <v>216</v>
      </c>
      <c r="M3" s="1650">
        <f>Coil!CN7</f>
        <v>40</v>
      </c>
      <c r="P3" s="1651" t="s">
        <v>1332</v>
      </c>
      <c r="Q3" s="1650">
        <f>Coil!$F$4</f>
        <v>1.2</v>
      </c>
      <c r="R3" s="848" t="s">
        <v>216</v>
      </c>
      <c r="X3" s="1650">
        <f>Coil!CN10</f>
        <v>60</v>
      </c>
      <c r="AA3" s="1651" t="s">
        <v>1332</v>
      </c>
      <c r="AB3" s="1650">
        <f>Coil!$F$4</f>
        <v>1.2</v>
      </c>
      <c r="AC3" s="848" t="s">
        <v>216</v>
      </c>
      <c r="AI3" s="1650">
        <f>Coil!CN13</f>
        <v>0</v>
      </c>
      <c r="AL3" s="1651" t="s">
        <v>1332</v>
      </c>
      <c r="AM3" s="1650">
        <f>Coil!$F$4</f>
        <v>1.2</v>
      </c>
      <c r="AN3" s="848" t="s">
        <v>216</v>
      </c>
      <c r="AT3" s="1650">
        <f>Coil!CN16</f>
        <v>95</v>
      </c>
      <c r="AW3" s="1651" t="s">
        <v>1332</v>
      </c>
      <c r="AX3" s="1650">
        <f>Coil!$F$4</f>
        <v>1.2</v>
      </c>
      <c r="AY3" s="848" t="s">
        <v>216</v>
      </c>
      <c r="BE3" s="1650">
        <f>Coil!CN19</f>
        <v>60</v>
      </c>
      <c r="BH3" s="1651" t="s">
        <v>1332</v>
      </c>
      <c r="BI3" s="1650">
        <f>Coil!$F$4</f>
        <v>1.2</v>
      </c>
      <c r="BJ3" s="848" t="s">
        <v>216</v>
      </c>
      <c r="BP3" s="1650" t="e">
        <f>Coil!CX23</f>
        <v>#VALUE!</v>
      </c>
      <c r="BS3" s="1651" t="s">
        <v>1332</v>
      </c>
      <c r="BT3" s="1650">
        <f>Coil!$F$4</f>
        <v>1.2</v>
      </c>
      <c r="BU3" s="848" t="s">
        <v>216</v>
      </c>
      <c r="CA3" s="1650" t="e">
        <f>Coil!DL23</f>
        <v>#VALUE!</v>
      </c>
      <c r="CD3" s="1651" t="s">
        <v>1332</v>
      </c>
      <c r="CE3" s="1650">
        <f>Coil!$F$4</f>
        <v>1.2</v>
      </c>
      <c r="CF3" s="848" t="s">
        <v>216</v>
      </c>
      <c r="CL3" s="1650" t="e">
        <f>Coil!CX129</f>
        <v>#N/A</v>
      </c>
      <c r="CO3" s="1651" t="s">
        <v>1332</v>
      </c>
      <c r="CP3" s="1650">
        <f>Coil!$F$4</f>
        <v>1.2</v>
      </c>
      <c r="CQ3" s="848" t="s">
        <v>216</v>
      </c>
      <c r="CW3" s="1650" t="e">
        <f>Coil!DL129</f>
        <v>#N/A</v>
      </c>
      <c r="CZ3" s="1651" t="s">
        <v>1332</v>
      </c>
      <c r="DA3" s="1650">
        <f>Coil!$F$4</f>
        <v>1.2</v>
      </c>
      <c r="DB3" s="848" t="s">
        <v>216</v>
      </c>
    </row>
    <row r="5" spans="1:106" ht="17.5">
      <c r="A5" s="23" t="s">
        <v>65</v>
      </c>
      <c r="B5" s="21">
        <f>273.15+B2</f>
        <v>308.14999999999998</v>
      </c>
      <c r="L5" s="23" t="s">
        <v>65</v>
      </c>
      <c r="M5" s="21">
        <f>273.15+M2</f>
        <v>280.14999999999998</v>
      </c>
      <c r="W5" s="23" t="s">
        <v>65</v>
      </c>
      <c r="X5" s="21">
        <f>273.15+X2</f>
        <v>308.14999999999998</v>
      </c>
      <c r="AH5" s="23" t="s">
        <v>65</v>
      </c>
      <c r="AI5" s="21">
        <f>273.15+AI2</f>
        <v>293.14999999999998</v>
      </c>
      <c r="AS5" s="23" t="s">
        <v>65</v>
      </c>
      <c r="AT5" s="21">
        <f>273.15+AT2</f>
        <v>286.14999999999998</v>
      </c>
      <c r="BD5" s="23" t="s">
        <v>65</v>
      </c>
      <c r="BE5" s="21">
        <f>273.15+BE2</f>
        <v>294.14999999999998</v>
      </c>
      <c r="BO5" s="23" t="s">
        <v>65</v>
      </c>
      <c r="BP5" s="21" t="e">
        <f>273.15+BP2</f>
        <v>#VALUE!</v>
      </c>
      <c r="BZ5" s="23" t="s">
        <v>65</v>
      </c>
      <c r="CA5" s="21" t="e">
        <f>273.15+CA2</f>
        <v>#VALUE!</v>
      </c>
      <c r="CK5" s="23" t="s">
        <v>65</v>
      </c>
      <c r="CL5" s="21">
        <f>273.15+CL2</f>
        <v>273.14999999999998</v>
      </c>
      <c r="CV5" s="23" t="s">
        <v>65</v>
      </c>
      <c r="CW5" s="21">
        <f>273.15+CW2</f>
        <v>273.14999999999998</v>
      </c>
    </row>
    <row r="6" spans="1:106">
      <c r="A6" s="20">
        <f>-5800.2206/B5+1.3914993-0.048640239*B5</f>
        <v>-32.419708504591846</v>
      </c>
      <c r="L6" s="20">
        <f>-5800.2206/M5+1.3914993-0.048640239*M5</f>
        <v>-32.939045808268347</v>
      </c>
      <c r="W6" s="20">
        <f>-5800.2206/X5+1.3914993-0.048640239*X5</f>
        <v>-32.419708504591846</v>
      </c>
      <c r="AH6" s="20">
        <f>-5800.2206/AI5+1.3914993-0.048640239*AI5</f>
        <v>-32.653232234451565</v>
      </c>
      <c r="AS6" s="20">
        <f>-5800.2206/AT5+1.3914993-0.048640239*AT5</f>
        <v>-32.79676565249197</v>
      </c>
      <c r="BD6" s="20">
        <f>-5800.2206/BE5+1.3914993-0.048640239*BE5</f>
        <v>-32.634607997940435</v>
      </c>
      <c r="BO6" s="20" t="e">
        <f>-5800.2206/BP5+1.3914993-0.048640239*BP5</f>
        <v>#VALUE!</v>
      </c>
      <c r="BZ6" s="20" t="e">
        <f>-5800.2206/CA5+1.3914993-0.048640239*CA5</f>
        <v>#VALUE!</v>
      </c>
      <c r="CK6" s="20">
        <f>-5800.2206/CL5+1.3914993-0.048640239*CL5</f>
        <v>-33.129143945141777</v>
      </c>
      <c r="CV6" s="20">
        <f>-5800.2206/CW5+1.3914993-0.048640239*CW5</f>
        <v>-33.129143945141777</v>
      </c>
    </row>
    <row r="7" spans="1:106">
      <c r="A7" s="21">
        <f>0.000041764768*POWER(B5,2)-0.000000014452093*POWER(B5,3)+6.5459673*LN(B5)</f>
        <v>41.055185841028681</v>
      </c>
      <c r="L7" s="21">
        <f>0.000041764768*POWER(M5,2)-0.000000014452093*POWER(M5,3)+6.5459673*LN(M5)</f>
        <v>39.848758816793641</v>
      </c>
      <c r="W7" s="21">
        <f>0.000041764768*POWER(X5,2)-0.000000014452093*POWER(X5,3)+6.5459673*LN(X5)</f>
        <v>41.055185841028681</v>
      </c>
      <c r="AH7" s="21">
        <f>0.000041764768*POWER(AI5,2)-0.000000014452093*POWER(AI5,3)+6.5459673*LN(AI5)</f>
        <v>40.410627072791328</v>
      </c>
      <c r="AS7" s="21">
        <f>0.000041764768*POWER(AT5,2)-0.000000014452093*POWER(AT5,3)+6.5459673*LN(AT5)</f>
        <v>40.108525535759171</v>
      </c>
      <c r="BD7" s="21">
        <f>0.000041764768*POWER(BE5,2)-0.000000014452093*POWER(BE5,3)+6.5459673*LN(BE5)</f>
        <v>40.453708645721953</v>
      </c>
      <c r="BO7" s="21" t="e">
        <f>0.000041764768*POWER(BP5,2)-0.000000014452093*POWER(BP5,3)+6.5459673*LN(BP5)</f>
        <v>#VALUE!</v>
      </c>
      <c r="BZ7" s="21" t="e">
        <f>0.000041764768*POWER(CA5,2)-0.000000014452093*POWER(CA5,3)+6.5459673*LN(CA5)</f>
        <v>#VALUE!</v>
      </c>
      <c r="CK7" s="21">
        <f>0.000041764768*POWER(CL5,2)-0.000000014452093*POWER(CL5,3)+6.5459673*LN(CL5)</f>
        <v>39.544589235539483</v>
      </c>
      <c r="CV7" s="21">
        <f>0.000041764768*POWER(CW5,2)-0.000000014452093*POWER(CW5,3)+6.5459673*LN(CW5)</f>
        <v>39.544589235539483</v>
      </c>
    </row>
    <row r="8" spans="1:106">
      <c r="A8" s="21">
        <f>EXP(A6+A7)/1000</f>
        <v>5.62781944654024</v>
      </c>
      <c r="L8" s="21">
        <f>EXP(L6+L7)/1000</f>
        <v>1.0019596471468182</v>
      </c>
      <c r="W8" s="21">
        <f>EXP(W6+W7)/1000</f>
        <v>5.62781944654024</v>
      </c>
      <c r="AH8" s="21">
        <f>EXP(AH6+AH7)/1000</f>
        <v>2.3388037000739814</v>
      </c>
      <c r="AS8" s="21">
        <f>EXP(AS6+AS7)/1000</f>
        <v>1.4978108432903556</v>
      </c>
      <c r="BD8" s="21">
        <f>EXP(BD6+BD7)/1000</f>
        <v>2.4876671127507155</v>
      </c>
      <c r="BO8" s="21" t="e">
        <f>EXP(BO6+BO7)/1000</f>
        <v>#VALUE!</v>
      </c>
      <c r="BZ8" s="21" t="e">
        <f>EXP(BZ6+BZ7)/1000</f>
        <v>#VALUE!</v>
      </c>
      <c r="CK8" s="21">
        <f>EXP(CK6+CK7)/1000</f>
        <v>0.61121286745119141</v>
      </c>
      <c r="CV8" s="21">
        <f>EXP(CV6+CV7)/1000</f>
        <v>0.61121286745119141</v>
      </c>
    </row>
    <row r="10" spans="1:106" ht="17.5">
      <c r="A10" s="23" t="s">
        <v>66</v>
      </c>
      <c r="L10" s="23" t="s">
        <v>66</v>
      </c>
      <c r="W10" s="23" t="s">
        <v>66</v>
      </c>
      <c r="AH10" s="23" t="s">
        <v>66</v>
      </c>
      <c r="AS10" s="23" t="s">
        <v>66</v>
      </c>
      <c r="BD10" s="23" t="s">
        <v>66</v>
      </c>
      <c r="BO10" s="23" t="s">
        <v>66</v>
      </c>
      <c r="BZ10" s="23" t="s">
        <v>66</v>
      </c>
      <c r="CK10" s="23" t="s">
        <v>66</v>
      </c>
      <c r="CV10" s="23" t="s">
        <v>66</v>
      </c>
    </row>
    <row r="11" spans="1:106">
      <c r="A11" s="21">
        <f>B3/100*A8</f>
        <v>0</v>
      </c>
      <c r="L11" s="21">
        <f>M3/100*L8</f>
        <v>0.4007838588587273</v>
      </c>
      <c r="W11" s="21">
        <f>X3/100*W8</f>
        <v>3.3766916679241441</v>
      </c>
      <c r="AH11" s="21">
        <f>AI3/100*AH8</f>
        <v>0</v>
      </c>
      <c r="AS11" s="21">
        <f>AT3/100*AS8</f>
        <v>1.4229203011258378</v>
      </c>
      <c r="BD11" s="21">
        <f>BE3/100*BD8</f>
        <v>1.4926002676504293</v>
      </c>
      <c r="BO11" s="21" t="e">
        <f>BP3/100*BO8</f>
        <v>#VALUE!</v>
      </c>
      <c r="BZ11" s="21" t="e">
        <f>CA3/100*BZ8</f>
        <v>#VALUE!</v>
      </c>
      <c r="CK11" s="21" t="e">
        <f>CL3/100*CK8</f>
        <v>#N/A</v>
      </c>
      <c r="CV11" s="21" t="e">
        <f>CW3/100*CV8</f>
        <v>#N/A</v>
      </c>
    </row>
    <row r="13" spans="1:106">
      <c r="A13" s="23" t="s">
        <v>19</v>
      </c>
      <c r="L13" s="23" t="s">
        <v>19</v>
      </c>
      <c r="W13" s="23" t="s">
        <v>19</v>
      </c>
      <c r="AH13" s="23" t="s">
        <v>19</v>
      </c>
      <c r="AS13" s="23" t="s">
        <v>19</v>
      </c>
      <c r="BD13" s="23" t="s">
        <v>19</v>
      </c>
      <c r="BO13" s="23" t="s">
        <v>19</v>
      </c>
      <c r="BZ13" s="23" t="s">
        <v>19</v>
      </c>
      <c r="CK13" s="23" t="s">
        <v>19</v>
      </c>
      <c r="CV13" s="23" t="s">
        <v>19</v>
      </c>
    </row>
    <row r="14" spans="1:106">
      <c r="A14" s="21">
        <f>0.62198*(A11/(F2-A11))</f>
        <v>0</v>
      </c>
      <c r="L14" s="21">
        <f>0.62198*(L11/(Q2-L11))</f>
        <v>2.4699676060335892E-3</v>
      </c>
      <c r="W14" s="21">
        <f>0.62198*(W11/(AB2-W11))</f>
        <v>2.1442276230999282E-2</v>
      </c>
      <c r="AH14" s="21">
        <f>0.62198*(AH11/(AM2-AH11))</f>
        <v>0</v>
      </c>
      <c r="AS14" s="21">
        <f>0.62198*(AS11/(AX2-AS11))</f>
        <v>8.85895440377126E-3</v>
      </c>
      <c r="BD14" s="21">
        <f>0.62198*(BD11/(BI2-BD11))</f>
        <v>9.2992607306061469E-3</v>
      </c>
      <c r="BO14" s="21" t="e">
        <f>0.62198*(BO11/(BT2-BO11))</f>
        <v>#VALUE!</v>
      </c>
      <c r="BZ14" s="21" t="e">
        <f>0.62198*(BZ11/(CE2-BZ11))</f>
        <v>#VALUE!</v>
      </c>
      <c r="CK14" s="21" t="e">
        <f>0.62198*(CK11/(CP2-CK11))</f>
        <v>#N/A</v>
      </c>
      <c r="CV14" s="21" t="e">
        <f>0.62198*(CV11/(DA2-CV11))</f>
        <v>#N/A</v>
      </c>
    </row>
    <row r="16" spans="1:106" ht="17.5">
      <c r="A16" s="23" t="s">
        <v>51</v>
      </c>
      <c r="L16" s="23" t="s">
        <v>51</v>
      </c>
      <c r="W16" s="23" t="s">
        <v>51</v>
      </c>
      <c r="AH16" s="23" t="s">
        <v>51</v>
      </c>
      <c r="AS16" s="23" t="s">
        <v>51</v>
      </c>
      <c r="BD16" s="23" t="s">
        <v>51</v>
      </c>
      <c r="BO16" s="23" t="s">
        <v>51</v>
      </c>
      <c r="BZ16" s="23" t="s">
        <v>51</v>
      </c>
      <c r="CK16" s="23" t="s">
        <v>51</v>
      </c>
      <c r="CV16" s="23" t="s">
        <v>51</v>
      </c>
    </row>
    <row r="17" spans="1:100">
      <c r="A17" s="21">
        <f>0.62198*(A8/(F2-A8))</f>
        <v>3.6577787549379875E-2</v>
      </c>
      <c r="L17" s="21">
        <f>0.62198*(L8/(Q2-L8))</f>
        <v>6.2119215998686006E-3</v>
      </c>
      <c r="W17" s="21">
        <f>0.62198*(W8/(AB2-W8))</f>
        <v>3.6577787549379875E-2</v>
      </c>
      <c r="AH17" s="21">
        <f>0.62198*(AH8/(AM2-AH8))</f>
        <v>1.4695878614876144E-2</v>
      </c>
      <c r="AS17" s="21">
        <f>0.62198*(AS8/(AX2-AS8))</f>
        <v>9.3322109555472686E-3</v>
      </c>
      <c r="BD17" s="21">
        <f>0.62198*(BD8/(BI2-BD8))</f>
        <v>1.5654805179271484E-2</v>
      </c>
      <c r="BO17" s="21" t="e">
        <f>0.62198*(BO8/(BT2-BO8))</f>
        <v>#VALUE!</v>
      </c>
      <c r="BZ17" s="21" t="e">
        <f>0.62198*(BZ8/(CE2-BZ8))</f>
        <v>#VALUE!</v>
      </c>
      <c r="CK17" s="21">
        <f>0.62198*(CK8/(CP2-CK8))</f>
        <v>3.7746786226692361E-3</v>
      </c>
      <c r="CV17" s="21">
        <f>0.62198*(CV8/(DA2-CV8))</f>
        <v>3.7746786226692361E-3</v>
      </c>
    </row>
    <row r="19" spans="1:100">
      <c r="A19" s="23" t="s">
        <v>21</v>
      </c>
      <c r="L19" s="23" t="s">
        <v>21</v>
      </c>
      <c r="W19" s="23" t="s">
        <v>21</v>
      </c>
      <c r="AH19" s="23" t="s">
        <v>21</v>
      </c>
      <c r="AS19" s="23" t="s">
        <v>21</v>
      </c>
      <c r="BD19" s="23" t="s">
        <v>21</v>
      </c>
      <c r="BO19" s="23" t="s">
        <v>21</v>
      </c>
      <c r="BZ19" s="23" t="s">
        <v>21</v>
      </c>
      <c r="CK19" s="23" t="s">
        <v>21</v>
      </c>
      <c r="CV19" s="23" t="s">
        <v>21</v>
      </c>
    </row>
    <row r="20" spans="1:100">
      <c r="A20" s="21">
        <f>A14/A17</f>
        <v>0</v>
      </c>
      <c r="L20" s="21">
        <f>L14/L17</f>
        <v>0.39761731797868083</v>
      </c>
      <c r="W20" s="21">
        <f>W14/W17</f>
        <v>0.58621031143702418</v>
      </c>
      <c r="AH20" s="21">
        <f>AH14/AH17</f>
        <v>0</v>
      </c>
      <c r="AS20" s="21">
        <f>AS14/AS17</f>
        <v>0.9492878425026714</v>
      </c>
      <c r="BD20" s="21">
        <f>BD14/BD17</f>
        <v>0.59401957572230224</v>
      </c>
      <c r="BO20" s="21" t="e">
        <f>BO14/BO17</f>
        <v>#VALUE!</v>
      </c>
      <c r="BZ20" s="21" t="e">
        <f>BZ14/BZ17</f>
        <v>#VALUE!</v>
      </c>
      <c r="CK20" s="21" t="e">
        <f>CK14/CK17</f>
        <v>#N/A</v>
      </c>
      <c r="CV20" s="21" t="e">
        <f>CV14/CV17</f>
        <v>#N/A</v>
      </c>
    </row>
    <row r="22" spans="1:100">
      <c r="A22" s="23" t="s">
        <v>22</v>
      </c>
      <c r="L22" s="23" t="s">
        <v>22</v>
      </c>
      <c r="W22" s="23" t="s">
        <v>22</v>
      </c>
      <c r="AH22" s="23" t="s">
        <v>22</v>
      </c>
      <c r="AS22" s="23" t="s">
        <v>22</v>
      </c>
      <c r="BD22" s="23" t="s">
        <v>22</v>
      </c>
      <c r="BO22" s="23" t="s">
        <v>22</v>
      </c>
      <c r="BZ22" s="23" t="s">
        <v>22</v>
      </c>
      <c r="CK22" s="23" t="s">
        <v>22</v>
      </c>
      <c r="CV22" s="23" t="s">
        <v>22</v>
      </c>
    </row>
    <row r="23" spans="1:100">
      <c r="A23" s="21">
        <f>0.2871*(B2+273.15)*(1+1.6078*A14)/F2</f>
        <v>0.87312968171724648</v>
      </c>
      <c r="L23" s="21">
        <f>0.2871*(M2+273.15)*(1+1.6078*L14)/Q2</f>
        <v>0.79694521554093833</v>
      </c>
      <c r="W23" s="21">
        <f>0.2871*(X2+273.15)*(1+1.6078*W14)/AB2</f>
        <v>0.90323073295563416</v>
      </c>
      <c r="AH23" s="21">
        <f>0.2871*(AI2+273.15)*(1+1.6078*AH14)/AM2</f>
        <v>0.83062783123612138</v>
      </c>
      <c r="AS23" s="21">
        <f>0.2871*(AT2+273.15)*(1+1.6078*AS14)/AX2</f>
        <v>0.82234211419891001</v>
      </c>
      <c r="BD23" s="21">
        <f>0.2871*(BE2+273.15)*(1+1.6078*BD14)/BI2</f>
        <v>0.84592266053129772</v>
      </c>
      <c r="BO23" s="21" t="e">
        <f>0.2871*(BP2+273.15)*(1+1.6078*BO14)/BT2</f>
        <v>#VALUE!</v>
      </c>
      <c r="BZ23" s="21" t="e">
        <f>0.2871*(CA2+273.15)*(1+1.6078*BZ14)/CE2</f>
        <v>#VALUE!</v>
      </c>
      <c r="CK23" s="21" t="e">
        <f>0.2871*(CL2+273.15)*(1+1.6078*CK14)/CP2</f>
        <v>#N/A</v>
      </c>
      <c r="CV23" s="21" t="e">
        <f>0.2871*(CW2+273.15)*(1+1.6078*CV14)/DA2</f>
        <v>#N/A</v>
      </c>
    </row>
    <row r="25" spans="1:100">
      <c r="A25" s="23" t="s">
        <v>23</v>
      </c>
      <c r="L25" s="23" t="s">
        <v>23</v>
      </c>
      <c r="W25" s="23" t="s">
        <v>23</v>
      </c>
      <c r="AH25" s="23" t="s">
        <v>23</v>
      </c>
      <c r="AS25" s="23" t="s">
        <v>23</v>
      </c>
      <c r="BD25" s="23" t="s">
        <v>23</v>
      </c>
      <c r="BO25" s="23" t="s">
        <v>23</v>
      </c>
      <c r="BZ25" s="23" t="s">
        <v>23</v>
      </c>
      <c r="CK25" s="23" t="s">
        <v>23</v>
      </c>
      <c r="CV25" s="23" t="s">
        <v>23</v>
      </c>
    </row>
    <row r="26" spans="1:100">
      <c r="A26" s="21">
        <f>1.006*B2+A14*(2501+1.805*B2)</f>
        <v>35.21</v>
      </c>
      <c r="L26" s="21">
        <f>1.006*M2+L14*(2501+1.805*M2)</f>
        <v>13.250597023392242</v>
      </c>
      <c r="W26" s="21">
        <f>1.006*X2+W14*(2501+1.805*X2)</f>
        <v>90.191748654622586</v>
      </c>
      <c r="AH26" s="21">
        <f>1.006*AI2+AH14*(2501+1.805*AI2)</f>
        <v>20.12</v>
      </c>
      <c r="AS26" s="21">
        <f>1.006*AT2+AS14*(2501+1.805*AT2)</f>
        <v>35.442120328916417</v>
      </c>
      <c r="BD26" s="21">
        <f>1.006*BE2+BD14*(2501+1.805*BE2)</f>
        <v>44.735939565239605</v>
      </c>
      <c r="BO26" s="21" t="e">
        <f>1.006*BP2+BO14*(2501+1.805*BP2)</f>
        <v>#VALUE!</v>
      </c>
      <c r="BZ26" s="21" t="e">
        <f>1.006*CA2+BZ14*(2501+1.805*CA2)</f>
        <v>#VALUE!</v>
      </c>
      <c r="CK26" s="21" t="e">
        <f>1.006*CL2+CK14*(2501+1.805*CL2)</f>
        <v>#N/A</v>
      </c>
      <c r="CV26" s="21" t="e">
        <f>1.006*CW2+CV14*(2501+1.805*CW2)</f>
        <v>#N/A</v>
      </c>
    </row>
    <row r="28" spans="1:100" ht="17.5">
      <c r="A28" s="23" t="s">
        <v>48</v>
      </c>
      <c r="L28" s="23" t="s">
        <v>48</v>
      </c>
      <c r="W28" s="23" t="s">
        <v>48</v>
      </c>
      <c r="AH28" s="23" t="s">
        <v>48</v>
      </c>
      <c r="AS28" s="23" t="s">
        <v>48</v>
      </c>
      <c r="BD28" s="23" t="s">
        <v>48</v>
      </c>
      <c r="BO28" s="23" t="s">
        <v>48</v>
      </c>
      <c r="BZ28" s="23" t="s">
        <v>48</v>
      </c>
      <c r="CK28" s="23" t="s">
        <v>48</v>
      </c>
      <c r="CV28" s="23" t="s">
        <v>48</v>
      </c>
    </row>
    <row r="29" spans="1:100">
      <c r="A29" s="21" t="e">
        <f>6.54+14.526*LN(A11)+0.7389*POWER(LN(A11),2)+0.09486*POWER(LN(A11),3)+0.4569*POWER(A11,0.1984)</f>
        <v>#NUM!</v>
      </c>
      <c r="L29" s="21">
        <f>6.54+14.526*LN(L11)+0.7389*POWER(LN(L11),2)+0.09486*POWER(LN(L11),3)+0.4569*POWER(L11,0.1984)</f>
        <v>-5.8152873027079268</v>
      </c>
      <c r="W29" s="21">
        <f>6.54+14.526*LN(W11)+0.7389*POWER(LN(W11),2)+0.09486*POWER(LN(W11),3)+0.4569*POWER(W11,0.1984)</f>
        <v>26.063434345446495</v>
      </c>
      <c r="AH29" s="21" t="e">
        <f>6.54+14.526*LN(AH11)+0.7389*POWER(LN(AH11),2)+0.09486*POWER(LN(AH11),3)+0.4569*POWER(AH11,0.1984)</f>
        <v>#NUM!</v>
      </c>
      <c r="AS29" s="21">
        <f>6.54+14.526*LN(AS11)+0.7389*POWER(LN(AS11),2)+0.09486*POWER(LN(AS11),3)+0.4569*POWER(AS11,0.1984)</f>
        <v>12.249588086092059</v>
      </c>
      <c r="BD29" s="21">
        <f>6.54+14.526*LN(BD11)+0.7389*POWER(LN(BD11),2)+0.09486*POWER(LN(BD11),3)+0.4569*POWER(BD11,0.1984)</f>
        <v>12.977264184284552</v>
      </c>
      <c r="BO29" s="21" t="e">
        <f>6.54+14.526*LN(BO11)+0.7389*POWER(LN(BO11),2)+0.09486*POWER(LN(BO11),3)+0.4569*POWER(BO11,0.1984)</f>
        <v>#VALUE!</v>
      </c>
      <c r="BZ29" s="21" t="e">
        <f>6.54+14.526*LN(BZ11)+0.7389*POWER(LN(BZ11),2)+0.09486*POWER(LN(BZ11),3)+0.4569*POWER(BZ11,0.1984)</f>
        <v>#VALUE!</v>
      </c>
      <c r="CK29" s="21" t="e">
        <f>6.54+14.526*LN(CK11)+0.7389*POWER(LN(CK11),2)+0.09486*POWER(LN(CK11),3)+0.4569*POWER(CK11,0.1984)</f>
        <v>#N/A</v>
      </c>
      <c r="CV29" s="21" t="e">
        <f>6.54+14.526*LN(CV11)+0.7389*POWER(LN(CV11),2)+0.09486*POWER(LN(CV11),3)+0.4569*POWER(CV11,0.1984)</f>
        <v>#N/A</v>
      </c>
    </row>
    <row r="31" spans="1:100" ht="19">
      <c r="A31" s="23" t="s">
        <v>52</v>
      </c>
      <c r="L31" s="23" t="s">
        <v>52</v>
      </c>
      <c r="W31" s="23" t="s">
        <v>52</v>
      </c>
      <c r="AH31" s="23" t="s">
        <v>52</v>
      </c>
      <c r="AS31" s="23" t="s">
        <v>52</v>
      </c>
      <c r="BD31" s="23" t="s">
        <v>52</v>
      </c>
      <c r="BO31" s="23" t="s">
        <v>52</v>
      </c>
      <c r="BZ31" s="23" t="s">
        <v>52</v>
      </c>
      <c r="CK31" s="23" t="s">
        <v>52</v>
      </c>
      <c r="CV31" s="23" t="s">
        <v>52</v>
      </c>
    </row>
    <row r="32" spans="1:100">
      <c r="A32" s="1652">
        <f>IF(ABS(I40-H40)&lt;0.00005,J40,IF(ABS(I41-H41)&lt;0.00005,J41,IF(ABS(I42-H42)&lt;0.00005,J42,IF(ABS(I43-H43)&lt;0.00005,J43,IF(ABS(I44-H44)&lt;0.00005,J44,IF(ABS(I45-H45)&lt;0.00005,J45,IF(ABS(I46-H46)&lt;0.00005,J46,IF(I47-H47&lt;0.00005,J47))))))))</f>
        <v>12.577918136390354</v>
      </c>
      <c r="L32" s="1652">
        <f>IF(ABS(T40-S40)&lt;0.00005,U40,IF(ABS(T41-S41)&lt;0.00005,U41,IF(ABS(T42-S42)&lt;0.00005,U42,IF(ABS(T43-S43)&lt;0.00005,U43,IF(ABS(T44-S44)&lt;0.00005,U44,IF(ABS(T45-S45)&lt;0.00005,U45,IF(ABS(T46-S46)&lt;0.00005,U46,IF(T47-S47&lt;0.00005,U47))))))))</f>
        <v>2.1647891039948921</v>
      </c>
      <c r="W32" s="1652">
        <f>IF(ABS(AE40-AD40)&lt;0.00005,AF40,IF(ABS(AE41-AD41)&lt;0.00005,AF41,IF(ABS(AE42-AD42)&lt;0.00005,AF42,IF(ABS(AE43-AD43)&lt;0.00005,AF43,IF(ABS(AE44-AD44)&lt;0.00005,AF44,IF(ABS(AE45-AD45)&lt;0.00005,AF45,IF(ABS(AE46-AD46)&lt;0.00005,AF46,IF(AE47-AD47&lt;0.00005,AF47))))))))</f>
        <v>28.165000061686133</v>
      </c>
      <c r="AH32" s="1652">
        <f>IF(ABS(AP40-AO40)&lt;0.00005,AQ40,IF(ABS(AP41-AO41)&lt;0.00005,AQ41,IF(ABS(AP42-AO42)&lt;0.00005,AQ42,IF(ABS(AP43-AO43)&lt;0.00005,AQ43,IF(ABS(AP44-AO44)&lt;0.00005,AQ44,IF(ABS(AP45-AO45)&lt;0.00005,AQ45,IF(ABS(AP46-AO46)&lt;0.00005,AQ46,IF(AP47-AO47&lt;0.00005,AQ47))))))))</f>
        <v>5.7939897729159595</v>
      </c>
      <c r="AS32" s="1652">
        <f>IF(ABS(BA40-AZ40)&lt;0.00005,BB40,IF(ABS(BA41-AZ41)&lt;0.00005,BB41,IF(ABS(BA42-AZ42)&lt;0.00005,BB42,IF(ABS(BA43-AZ43)&lt;0.00005,BB43,IF(ABS(BA44-AZ44)&lt;0.00005,BB44,IF(ABS(BA45-AZ45)&lt;0.00005,BB45,IF(ABS(BA46-AZ46)&lt;0.00005,BB46,IF(BA47-AZ47&lt;0.00005,BB47))))))))</f>
        <v>12.537107419866073</v>
      </c>
      <c r="BD32" s="1652">
        <f>IF(ABS(BL40-BK40)&lt;0.00005,BM40,IF(ABS(BL41-BK41)&lt;0.00005,BM41,IF(ABS(BL42-BK42)&lt;0.00005,BM42,IF(ABS(BL43-BK43)&lt;0.00005,BM43,IF(ABS(BL44-BK44)&lt;0.00005,BM44,IF(ABS(BL45-BK45)&lt;0.00005,BM45,IF(ABS(BL46-BK46)&lt;0.00005,BM46,IF(BL47-BK47&lt;0.00005,BM47))))))))</f>
        <v>15.99743017287223</v>
      </c>
      <c r="BO32" s="1652" t="e">
        <f>IF(ABS(BW40-BV40)&lt;0.00005,BX40,IF(ABS(BW41-BV41)&lt;0.00005,BX41,IF(ABS(BW42-BV42)&lt;0.00005,BX42,IF(ABS(BW43-BV43)&lt;0.00005,BX43,IF(ABS(BW44-BV44)&lt;0.00005,BX44,IF(ABS(BW45-BV45)&lt;0.00005,BX45,IF(ABS(BW46-BV46)&lt;0.00005,BX46,IF(BW47-BV47&lt;0.00005,BX47))))))))</f>
        <v>#VALUE!</v>
      </c>
      <c r="BZ32" s="1652" t="e">
        <f>IF(ABS(CH40-CG40)&lt;0.00005,CI40,IF(ABS(CH41-CG41)&lt;0.00005,CI41,IF(ABS(CH42-CG42)&lt;0.00005,CI42,IF(ABS(CH43-CG43)&lt;0.00005,CI43,IF(ABS(CH44-CG44)&lt;0.00005,CI44,IF(ABS(CH45-CG45)&lt;0.00005,CI45,IF(ABS(CH46-CG46)&lt;0.00005,CI46,IF(CH47-CG47&lt;0.00005,CI47))))))))</f>
        <v>#VALUE!</v>
      </c>
      <c r="CK32" s="1652" t="e">
        <f>IF(ABS(CS40-CR40)&lt;0.00005,CT40,IF(ABS(CS41-CR41)&lt;0.00005,CT41,IF(ABS(CS42-CR42)&lt;0.00005,CT42,IF(ABS(CS43-CR43)&lt;0.00005,CT43,IF(ABS(CS44-CR44)&lt;0.00005,CT44,IF(ABS(CS45-CR45)&lt;0.00005,CT45,IF(ABS(CS46-CR46)&lt;0.00005,CT46,IF(CS47-CR47&lt;0.00005,CT47))))))))</f>
        <v>#N/A</v>
      </c>
      <c r="CV32" s="1652" t="e">
        <f>IF(ABS(DD40-DC40)&lt;0.00005,DE40,IF(ABS(DD41-DC41)&lt;0.00005,DE41,IF(ABS(DD42-DC42)&lt;0.00005,DE42,IF(ABS(DD43-DC43)&lt;0.00005,DE43,IF(ABS(DD44-DC44)&lt;0.00005,DE44,IF(ABS(DD45-DC45)&lt;0.00005,DE45,IF(ABS(DD46-DC46)&lt;0.00005,DE46,IF(DD47-DC47&lt;0.00005,DE47))))))))</f>
        <v>#N/A</v>
      </c>
    </row>
    <row r="34" spans="1:109">
      <c r="A34" s="27" t="s">
        <v>31</v>
      </c>
      <c r="L34" s="27" t="s">
        <v>31</v>
      </c>
      <c r="W34" s="27" t="s">
        <v>31</v>
      </c>
      <c r="AH34" s="27" t="s">
        <v>31</v>
      </c>
      <c r="AS34" s="27" t="s">
        <v>31</v>
      </c>
      <c r="BD34" s="27" t="s">
        <v>31</v>
      </c>
      <c r="BO34" s="27" t="s">
        <v>31</v>
      </c>
      <c r="BZ34" s="27" t="s">
        <v>31</v>
      </c>
      <c r="CK34" s="27" t="s">
        <v>31</v>
      </c>
      <c r="CV34" s="27" t="s">
        <v>31</v>
      </c>
    </row>
    <row r="36" spans="1:109">
      <c r="A36" s="22" t="s">
        <v>29</v>
      </c>
      <c r="L36" s="22" t="s">
        <v>29</v>
      </c>
      <c r="W36" s="22" t="s">
        <v>29</v>
      </c>
      <c r="AH36" s="22" t="s">
        <v>29</v>
      </c>
      <c r="AS36" s="22" t="s">
        <v>29</v>
      </c>
      <c r="BD36" s="22" t="s">
        <v>29</v>
      </c>
      <c r="BO36" s="22" t="s">
        <v>29</v>
      </c>
      <c r="BZ36" s="22" t="s">
        <v>29</v>
      </c>
      <c r="CK36" s="22" t="s">
        <v>29</v>
      </c>
      <c r="CV36" s="22" t="s">
        <v>29</v>
      </c>
    </row>
    <row r="37" spans="1:109" ht="18">
      <c r="A37" s="29" t="s">
        <v>30</v>
      </c>
      <c r="B37" s="29" t="s">
        <v>56</v>
      </c>
      <c r="C37" s="29" t="s">
        <v>57</v>
      </c>
      <c r="D37" s="29" t="s">
        <v>58</v>
      </c>
      <c r="E37" s="29" t="s">
        <v>59</v>
      </c>
      <c r="F37" s="29" t="s">
        <v>60</v>
      </c>
      <c r="G37" s="29" t="s">
        <v>61</v>
      </c>
      <c r="H37" s="29" t="s">
        <v>62</v>
      </c>
      <c r="I37" s="29" t="s">
        <v>63</v>
      </c>
      <c r="J37" s="29" t="s">
        <v>64</v>
      </c>
      <c r="L37" s="29" t="s">
        <v>30</v>
      </c>
      <c r="M37" s="29" t="s">
        <v>56</v>
      </c>
      <c r="N37" s="29" t="s">
        <v>57</v>
      </c>
      <c r="O37" s="29" t="s">
        <v>58</v>
      </c>
      <c r="P37" s="29" t="s">
        <v>59</v>
      </c>
      <c r="Q37" s="29" t="s">
        <v>60</v>
      </c>
      <c r="R37" s="29" t="s">
        <v>61</v>
      </c>
      <c r="S37" s="29" t="s">
        <v>62</v>
      </c>
      <c r="T37" s="29" t="s">
        <v>63</v>
      </c>
      <c r="U37" s="29" t="s">
        <v>64</v>
      </c>
      <c r="W37" s="29" t="s">
        <v>30</v>
      </c>
      <c r="X37" s="29" t="s">
        <v>56</v>
      </c>
      <c r="Y37" s="29" t="s">
        <v>57</v>
      </c>
      <c r="Z37" s="29" t="s">
        <v>58</v>
      </c>
      <c r="AA37" s="29" t="s">
        <v>59</v>
      </c>
      <c r="AB37" s="29" t="s">
        <v>60</v>
      </c>
      <c r="AC37" s="29" t="s">
        <v>61</v>
      </c>
      <c r="AD37" s="29" t="s">
        <v>62</v>
      </c>
      <c r="AE37" s="29" t="s">
        <v>63</v>
      </c>
      <c r="AF37" s="29" t="s">
        <v>64</v>
      </c>
      <c r="AH37" s="29" t="s">
        <v>30</v>
      </c>
      <c r="AI37" s="29" t="s">
        <v>56</v>
      </c>
      <c r="AJ37" s="29" t="s">
        <v>57</v>
      </c>
      <c r="AK37" s="29" t="s">
        <v>58</v>
      </c>
      <c r="AL37" s="29" t="s">
        <v>59</v>
      </c>
      <c r="AM37" s="29" t="s">
        <v>60</v>
      </c>
      <c r="AN37" s="29" t="s">
        <v>61</v>
      </c>
      <c r="AO37" s="29" t="s">
        <v>62</v>
      </c>
      <c r="AP37" s="29" t="s">
        <v>63</v>
      </c>
      <c r="AQ37" s="29" t="s">
        <v>64</v>
      </c>
      <c r="AS37" s="29" t="s">
        <v>30</v>
      </c>
      <c r="AT37" s="29" t="s">
        <v>56</v>
      </c>
      <c r="AU37" s="29" t="s">
        <v>57</v>
      </c>
      <c r="AV37" s="29" t="s">
        <v>58</v>
      </c>
      <c r="AW37" s="29" t="s">
        <v>59</v>
      </c>
      <c r="AX37" s="29" t="s">
        <v>60</v>
      </c>
      <c r="AY37" s="29" t="s">
        <v>61</v>
      </c>
      <c r="AZ37" s="29" t="s">
        <v>62</v>
      </c>
      <c r="BA37" s="29" t="s">
        <v>63</v>
      </c>
      <c r="BB37" s="29" t="s">
        <v>64</v>
      </c>
      <c r="BD37" s="29" t="s">
        <v>30</v>
      </c>
      <c r="BE37" s="29" t="s">
        <v>56</v>
      </c>
      <c r="BF37" s="29" t="s">
        <v>57</v>
      </c>
      <c r="BG37" s="29" t="s">
        <v>58</v>
      </c>
      <c r="BH37" s="29" t="s">
        <v>59</v>
      </c>
      <c r="BI37" s="29" t="s">
        <v>60</v>
      </c>
      <c r="BJ37" s="29" t="s">
        <v>61</v>
      </c>
      <c r="BK37" s="29" t="s">
        <v>62</v>
      </c>
      <c r="BL37" s="29" t="s">
        <v>63</v>
      </c>
      <c r="BM37" s="29" t="s">
        <v>64</v>
      </c>
      <c r="BO37" s="29" t="s">
        <v>30</v>
      </c>
      <c r="BP37" s="29" t="s">
        <v>56</v>
      </c>
      <c r="BQ37" s="29" t="s">
        <v>57</v>
      </c>
      <c r="BR37" s="29" t="s">
        <v>58</v>
      </c>
      <c r="BS37" s="29" t="s">
        <v>59</v>
      </c>
      <c r="BT37" s="29" t="s">
        <v>60</v>
      </c>
      <c r="BU37" s="29" t="s">
        <v>61</v>
      </c>
      <c r="BV37" s="29" t="s">
        <v>62</v>
      </c>
      <c r="BW37" s="29" t="s">
        <v>63</v>
      </c>
      <c r="BX37" s="29" t="s">
        <v>64</v>
      </c>
      <c r="BZ37" s="29" t="s">
        <v>30</v>
      </c>
      <c r="CA37" s="29" t="s">
        <v>56</v>
      </c>
      <c r="CB37" s="29" t="s">
        <v>57</v>
      </c>
      <c r="CC37" s="29" t="s">
        <v>58</v>
      </c>
      <c r="CD37" s="29" t="s">
        <v>59</v>
      </c>
      <c r="CE37" s="29" t="s">
        <v>60</v>
      </c>
      <c r="CF37" s="29" t="s">
        <v>61</v>
      </c>
      <c r="CG37" s="29" t="s">
        <v>62</v>
      </c>
      <c r="CH37" s="29" t="s">
        <v>63</v>
      </c>
      <c r="CI37" s="29" t="s">
        <v>64</v>
      </c>
      <c r="CK37" s="29" t="s">
        <v>30</v>
      </c>
      <c r="CL37" s="29" t="s">
        <v>56</v>
      </c>
      <c r="CM37" s="29" t="s">
        <v>57</v>
      </c>
      <c r="CN37" s="29" t="s">
        <v>58</v>
      </c>
      <c r="CO37" s="29" t="s">
        <v>59</v>
      </c>
      <c r="CP37" s="29" t="s">
        <v>60</v>
      </c>
      <c r="CQ37" s="29" t="s">
        <v>61</v>
      </c>
      <c r="CR37" s="29" t="s">
        <v>62</v>
      </c>
      <c r="CS37" s="29" t="s">
        <v>63</v>
      </c>
      <c r="CT37" s="29" t="s">
        <v>64</v>
      </c>
      <c r="CV37" s="29" t="s">
        <v>30</v>
      </c>
      <c r="CW37" s="29" t="s">
        <v>56</v>
      </c>
      <c r="CX37" s="29" t="s">
        <v>57</v>
      </c>
      <c r="CY37" s="29" t="s">
        <v>58</v>
      </c>
      <c r="CZ37" s="29" t="s">
        <v>59</v>
      </c>
      <c r="DA37" s="29" t="s">
        <v>60</v>
      </c>
      <c r="DB37" s="29" t="s">
        <v>61</v>
      </c>
      <c r="DC37" s="29" t="s">
        <v>62</v>
      </c>
      <c r="DD37" s="29" t="s">
        <v>63</v>
      </c>
      <c r="DE37" s="29" t="s">
        <v>64</v>
      </c>
    </row>
    <row r="38" spans="1:109">
      <c r="A38" s="30">
        <v>1</v>
      </c>
      <c r="B38" s="30">
        <v>0</v>
      </c>
      <c r="C38" s="30">
        <v>50</v>
      </c>
      <c r="D38" s="24">
        <f t="shared" ref="D38:D49" si="0">EXP(-5800.2206/(273.15+C38)+1.3914993-0.048640239*(273.15+C38)+0.000041764768*POWER((273.15+C38),2)-0.000000014452093*POWER((273.15+C38),3)+6.5459673*LN(273.15+C38))/1000</f>
        <v>12.349856466723748</v>
      </c>
      <c r="E38" s="24">
        <f t="shared" ref="E38:E49" si="1">EXP(-5800.2206/(273.15+B38)+1.3914993-0.048640239*(273.15+B38)+0.000041764768*POWER((273.15+B38),2)-0.000000014452093*POWER((273.15+B38),3)+6.5459673*LN(273.15+B38))/1000</f>
        <v>0.6112128674511893</v>
      </c>
      <c r="F38" s="20">
        <f>0.62198*(D38/(F2-D38))</f>
        <v>8.6331568797076971E-2</v>
      </c>
      <c r="G38" s="20">
        <f>0.62198*(E38/(F2-E38))</f>
        <v>3.7746786226692235E-3</v>
      </c>
      <c r="H38" s="21">
        <f>((2501-2.381*C38)*F38-(B2-C38))/(2501+1.805*B2-4.186*C38)-A14</f>
        <v>9.3693924431741585E-2</v>
      </c>
      <c r="I38" s="21">
        <f>((2501-2.381*B38)*G38-(B2-B38))/(2501+1.805*B2-4.186*B38)-A14</f>
        <v>-9.9679346240815342E-3</v>
      </c>
      <c r="J38" s="21">
        <f t="shared" ref="J38:J49" si="2">C38-(C38-B38)*H38/(H38-I38)</f>
        <v>4.8079084799712533</v>
      </c>
      <c r="L38" s="30">
        <v>1</v>
      </c>
      <c r="M38" s="30">
        <v>0</v>
      </c>
      <c r="N38" s="30">
        <v>50</v>
      </c>
      <c r="O38" s="24">
        <f t="shared" ref="O38:O49" si="3">EXP(-5800.2206/(273.15+N38)+1.3914993-0.048640239*(273.15+N38)+0.000041764768*POWER((273.15+N38),2)-0.000000014452093*POWER((273.15+N38),3)+6.5459673*LN(273.15+N38))/1000</f>
        <v>12.349856466723748</v>
      </c>
      <c r="P38" s="24">
        <f t="shared" ref="P38:P49" si="4">EXP(-5800.2206/(273.15+M38)+1.3914993-0.048640239*(273.15+M38)+0.000041764768*POWER((273.15+M38),2)-0.000000014452093*POWER((273.15+M38),3)+6.5459673*LN(273.15+M38))/1000</f>
        <v>0.6112128674511893</v>
      </c>
      <c r="Q38" s="20">
        <f>0.62198*(O38/(Q2-O38))</f>
        <v>8.6331568797076971E-2</v>
      </c>
      <c r="R38" s="20">
        <f>0.62198*(P38/(Q2-P38))</f>
        <v>3.7746786226692235E-3</v>
      </c>
      <c r="S38" s="21">
        <f>((2501-2.381*N38)*Q38-(M2-N38))/(2501+1.805*M2-4.186*N38)-L14</f>
        <v>0.10542991687091854</v>
      </c>
      <c r="T38" s="21">
        <f>((2501-2.381*M38)*R38-(M2-M38))/(2501+1.805*M2-4.186*M38)-L14</f>
        <v>-1.4990743636592078E-3</v>
      </c>
      <c r="U38" s="21">
        <f t="shared" ref="U38:U49" si="5">N38-(N38-M38)*S38/(S38-T38)</f>
        <v>0.70096722430055536</v>
      </c>
      <c r="W38" s="30">
        <v>1</v>
      </c>
      <c r="X38" s="30">
        <v>0</v>
      </c>
      <c r="Y38" s="30">
        <v>50</v>
      </c>
      <c r="Z38" s="24">
        <f t="shared" ref="Z38:Z49" si="6">EXP(-5800.2206/(273.15+Y38)+1.3914993-0.048640239*(273.15+Y38)+0.000041764768*POWER((273.15+Y38),2)-0.000000014452093*POWER((273.15+Y38),3)+6.5459673*LN(273.15+Y38))/1000</f>
        <v>12.349856466723748</v>
      </c>
      <c r="AA38" s="24">
        <f t="shared" ref="AA38:AA49" si="7">EXP(-5800.2206/(273.15+X38)+1.3914993-0.048640239*(273.15+X38)+0.000041764768*POWER((273.15+X38),2)-0.000000014452093*POWER((273.15+X38),3)+6.5459673*LN(273.15+X38))/1000</f>
        <v>0.6112128674511893</v>
      </c>
      <c r="AB38" s="20">
        <f>0.62198*(Z38/(AB2-Z38))</f>
        <v>8.6331568797076971E-2</v>
      </c>
      <c r="AC38" s="20">
        <f>0.62198*(AA38/(AB2-AA38))</f>
        <v>3.7746786226692235E-3</v>
      </c>
      <c r="AD38" s="21">
        <f>((2501-2.381*Y38)*AB38-(X2-Y38))/(2501+1.805*X2-4.186*Y38)-W14</f>
        <v>7.2251648200742299E-2</v>
      </c>
      <c r="AE38" s="21">
        <f>((2501-2.381*X38)*AC38-(X2-X38))/(2501+1.805*X2-4.186*X38)-W14</f>
        <v>-3.141021085508082E-2</v>
      </c>
      <c r="AF38" s="21">
        <f t="shared" ref="AF38:AF49" si="8">Y38-(Y38-X38)*AD38/(AD38-AE38)</f>
        <v>15.150321989771598</v>
      </c>
      <c r="AH38" s="30">
        <v>1</v>
      </c>
      <c r="AI38" s="30">
        <v>0</v>
      </c>
      <c r="AJ38" s="30">
        <v>50</v>
      </c>
      <c r="AK38" s="24">
        <f t="shared" ref="AK38:AK49" si="9">EXP(-5800.2206/(273.15+AJ38)+1.3914993-0.048640239*(273.15+AJ38)+0.000041764768*POWER((273.15+AJ38),2)-0.000000014452093*POWER((273.15+AJ38),3)+6.5459673*LN(273.15+AJ38))/1000</f>
        <v>12.349856466723748</v>
      </c>
      <c r="AL38" s="24">
        <f t="shared" ref="AL38:AL49" si="10">EXP(-5800.2206/(273.15+AI38)+1.3914993-0.048640239*(273.15+AI38)+0.000041764768*POWER((273.15+AI38),2)-0.000000014452093*POWER((273.15+AI38),3)+6.5459673*LN(273.15+AI38))/1000</f>
        <v>0.6112128674511893</v>
      </c>
      <c r="AM38" s="20">
        <f>0.62198*(AK38/(AM2-AK38))</f>
        <v>8.6331568797076971E-2</v>
      </c>
      <c r="AN38" s="20">
        <f>0.62198*(AL38/(AM2-AL38))</f>
        <v>3.7746786226692235E-3</v>
      </c>
      <c r="AO38" s="21">
        <f>((2501-2.381*AJ38)*AM38-(AI2-AJ38))/(2501+1.805*AI2-4.186*AJ38)-AH14</f>
        <v>0.10122754544900657</v>
      </c>
      <c r="AP38" s="21">
        <f>((2501-2.381*AI38)*AN38-(AI2-AI38))/(2501+1.805*AI2-4.186*AI38)-AH14</f>
        <v>-4.1620467323732896E-3</v>
      </c>
      <c r="AQ38" s="21">
        <f t="shared" ref="AQ38:AQ49" si="11">AJ38-(AJ38-AI38)*AO38/(AO38-AP38)</f>
        <v>1.9746004544785762</v>
      </c>
      <c r="AS38" s="30">
        <v>1</v>
      </c>
      <c r="AT38" s="30">
        <v>0</v>
      </c>
      <c r="AU38" s="30">
        <v>50</v>
      </c>
      <c r="AV38" s="24">
        <f t="shared" ref="AV38:AV49" si="12">EXP(-5800.2206/(273.15+AU38)+1.3914993-0.048640239*(273.15+AU38)+0.000041764768*POWER((273.15+AU38),2)-0.000000014452093*POWER((273.15+AU38),3)+6.5459673*LN(273.15+AU38))/1000</f>
        <v>12.349856466723748</v>
      </c>
      <c r="AW38" s="24">
        <f t="shared" ref="AW38:AW49" si="13">EXP(-5800.2206/(273.15+AT38)+1.3914993-0.048640239*(273.15+AT38)+0.000041764768*POWER((273.15+AT38),2)-0.000000014452093*POWER((273.15+AT38),3)+6.5459673*LN(273.15+AT38))/1000</f>
        <v>0.6112128674511893</v>
      </c>
      <c r="AX38" s="20">
        <f>0.62198*(AV38/(AX2-AV38))</f>
        <v>8.6331568797076971E-2</v>
      </c>
      <c r="AY38" s="20">
        <f>0.62198*(AW38/(AX2-AW38))</f>
        <v>3.7746786226692235E-3</v>
      </c>
      <c r="AZ38" s="21">
        <f>((2501-2.381*AU38)*AX38-(AT2-AU38))/(2501+1.805*AT2-4.186*AU38)-AS14</f>
        <v>9.5944582405137604E-2</v>
      </c>
      <c r="BA38" s="21">
        <f>((2501-2.381*AT38)*AY38-(AT2-AT38))/(2501+1.805*AT2-4.186*AT38)-AS14</f>
        <v>-1.0268967521284979E-2</v>
      </c>
      <c r="BB38" s="21">
        <f t="shared" ref="BB38:BB49" si="14">AU38-(AU38-AT38)*AZ38/(AZ38-BA38)</f>
        <v>4.8341136928379669</v>
      </c>
      <c r="BD38" s="30">
        <v>1</v>
      </c>
      <c r="BE38" s="30">
        <v>0</v>
      </c>
      <c r="BF38" s="30">
        <v>50</v>
      </c>
      <c r="BG38" s="24">
        <f t="shared" ref="BG38:BG49" si="15">EXP(-5800.2206/(273.15+BF38)+1.3914993-0.048640239*(273.15+BF38)+0.000041764768*POWER((273.15+BF38),2)-0.000000014452093*POWER((273.15+BF38),3)+6.5459673*LN(273.15+BF38))/1000</f>
        <v>12.349856466723748</v>
      </c>
      <c r="BH38" s="24">
        <f t="shared" ref="BH38:BH49" si="16">EXP(-5800.2206/(273.15+BE38)+1.3914993-0.048640239*(273.15+BE38)+0.000041764768*POWER((273.15+BE38),2)-0.000000014452093*POWER((273.15+BE38),3)+6.5459673*LN(273.15+BE38))/1000</f>
        <v>0.6112128674511893</v>
      </c>
      <c r="BI38" s="20">
        <f>0.62198*(BG38/(BI2-BG38))</f>
        <v>8.6331568797076971E-2</v>
      </c>
      <c r="BJ38" s="20">
        <f>0.62198*(BH38/(BI2-BH38))</f>
        <v>3.7746786226692235E-3</v>
      </c>
      <c r="BK38" s="21">
        <f>((2501-2.381*BF38)*BI38-(BE2-BF38))/(2501+1.805*BE2-4.186*BF38)-BD14</f>
        <v>9.1420595337782046E-2</v>
      </c>
      <c r="BL38" s="21">
        <f>((2501-2.381*BE38)*BJ38-(BE2-BE38))/(2501+1.805*BE2-4.186*BE38)-BD14</f>
        <v>-1.3852219098368734E-2</v>
      </c>
      <c r="BM38" s="21">
        <f t="shared" ref="BM38:BM49" si="17">BF38-(BF38-BE38)*BK38/(BK38-BL38)</f>
        <v>6.5792005146638601</v>
      </c>
      <c r="BO38" s="30">
        <v>1</v>
      </c>
      <c r="BP38" s="30">
        <v>0</v>
      </c>
      <c r="BQ38" s="30">
        <v>50</v>
      </c>
      <c r="BR38" s="24">
        <f t="shared" ref="BR38:BR49" si="18">EXP(-5800.2206/(273.15+BQ38)+1.3914993-0.048640239*(273.15+BQ38)+0.000041764768*POWER((273.15+BQ38),2)-0.000000014452093*POWER((273.15+BQ38),3)+6.5459673*LN(273.15+BQ38))/1000</f>
        <v>12.349856466723748</v>
      </c>
      <c r="BS38" s="24">
        <f t="shared" ref="BS38:BS49" si="19">EXP(-5800.2206/(273.15+BP38)+1.3914993-0.048640239*(273.15+BP38)+0.000041764768*POWER((273.15+BP38),2)-0.000000014452093*POWER((273.15+BP38),3)+6.5459673*LN(273.15+BP38))/1000</f>
        <v>0.6112128674511893</v>
      </c>
      <c r="BT38" s="20">
        <f>0.62198*(BR38/(BT2-BR38))</f>
        <v>8.6331568797076971E-2</v>
      </c>
      <c r="BU38" s="20">
        <f>0.62198*(BS38/(BT2-BS38))</f>
        <v>3.7746786226692235E-3</v>
      </c>
      <c r="BV38" s="21" t="e">
        <f>((2501-2.381*BQ38)*BT38-(BP2-BQ38))/(2501+1.805*BP2-4.186*BQ38)-BO14</f>
        <v>#VALUE!</v>
      </c>
      <c r="BW38" s="21" t="e">
        <f>((2501-2.381*BP38)*BU38-(BP2-BP38))/(2501+1.805*BP2-4.186*BP38)-BO14</f>
        <v>#VALUE!</v>
      </c>
      <c r="BX38" s="21" t="e">
        <f t="shared" ref="BX38:BX49" si="20">BQ38-(BQ38-BP38)*BV38/(BV38-BW38)</f>
        <v>#VALUE!</v>
      </c>
      <c r="BZ38" s="30">
        <v>1</v>
      </c>
      <c r="CA38" s="30">
        <v>0</v>
      </c>
      <c r="CB38" s="30">
        <v>50</v>
      </c>
      <c r="CC38" s="24">
        <f t="shared" ref="CC38:CC49" si="21">EXP(-5800.2206/(273.15+CB38)+1.3914993-0.048640239*(273.15+CB38)+0.000041764768*POWER((273.15+CB38),2)-0.000000014452093*POWER((273.15+CB38),3)+6.5459673*LN(273.15+CB38))/1000</f>
        <v>12.349856466723748</v>
      </c>
      <c r="CD38" s="24">
        <f t="shared" ref="CD38:CD49" si="22">EXP(-5800.2206/(273.15+CA38)+1.3914993-0.048640239*(273.15+CA38)+0.000041764768*POWER((273.15+CA38),2)-0.000000014452093*POWER((273.15+CA38),3)+6.5459673*LN(273.15+CA38))/1000</f>
        <v>0.6112128674511893</v>
      </c>
      <c r="CE38" s="20">
        <f>0.62198*(CC38/(CE2-CC38))</f>
        <v>8.6331568797076971E-2</v>
      </c>
      <c r="CF38" s="20">
        <f>0.62198*(CD38/(CE2-CD38))</f>
        <v>3.7746786226692235E-3</v>
      </c>
      <c r="CG38" s="21" t="e">
        <f>((2501-2.381*CB38)*CE38-(CA2-CB38))/(2501+1.805*CA2-4.186*CB38)-BZ14</f>
        <v>#VALUE!</v>
      </c>
      <c r="CH38" s="21" t="e">
        <f>((2501-2.381*CA38)*CF38-(CA2-CA38))/(2501+1.805*CA2-4.186*CA38)-BZ14</f>
        <v>#VALUE!</v>
      </c>
      <c r="CI38" s="21" t="e">
        <f t="shared" ref="CI38:CI49" si="23">CB38-(CB38-CA38)*CG38/(CG38-CH38)</f>
        <v>#VALUE!</v>
      </c>
      <c r="CK38" s="30">
        <v>1</v>
      </c>
      <c r="CL38" s="30">
        <v>0</v>
      </c>
      <c r="CM38" s="30">
        <v>50</v>
      </c>
      <c r="CN38" s="24">
        <f t="shared" ref="CN38:CN49" si="24">EXP(-5800.2206/(273.15+CM38)+1.3914993-0.048640239*(273.15+CM38)+0.000041764768*POWER((273.15+CM38),2)-0.000000014452093*POWER((273.15+CM38),3)+6.5459673*LN(273.15+CM38))/1000</f>
        <v>12.349856466723748</v>
      </c>
      <c r="CO38" s="24">
        <f t="shared" ref="CO38:CO49" si="25">EXP(-5800.2206/(273.15+CL38)+1.3914993-0.048640239*(273.15+CL38)+0.000041764768*POWER((273.15+CL38),2)-0.000000014452093*POWER((273.15+CL38),3)+6.5459673*LN(273.15+CL38))/1000</f>
        <v>0.6112128674511893</v>
      </c>
      <c r="CP38" s="20">
        <f>0.62198*(CN38/(CP2-CN38))</f>
        <v>8.6331568797076971E-2</v>
      </c>
      <c r="CQ38" s="20">
        <f>0.62198*(CO38/(CP2-CO38))</f>
        <v>3.7746786226692235E-3</v>
      </c>
      <c r="CR38" s="21" t="e">
        <f>((2501-2.381*CM38)*CP38-(CL2-CM38))/(2501+1.805*CL2-4.186*CM38)-CK14</f>
        <v>#N/A</v>
      </c>
      <c r="CS38" s="21" t="e">
        <f>((2501-2.381*CL38)*CQ38-(CL2-CL38))/(2501+1.805*CL2-4.186*CL38)-CK14</f>
        <v>#N/A</v>
      </c>
      <c r="CT38" s="21" t="e">
        <f t="shared" ref="CT38:CT49" si="26">CM38-(CM38-CL38)*CR38/(CR38-CS38)</f>
        <v>#N/A</v>
      </c>
      <c r="CV38" s="30">
        <v>1</v>
      </c>
      <c r="CW38" s="30">
        <v>0</v>
      </c>
      <c r="CX38" s="30">
        <v>50</v>
      </c>
      <c r="CY38" s="24">
        <f t="shared" ref="CY38:CY49" si="27">EXP(-5800.2206/(273.15+CX38)+1.3914993-0.048640239*(273.15+CX38)+0.000041764768*POWER((273.15+CX38),2)-0.000000014452093*POWER((273.15+CX38),3)+6.5459673*LN(273.15+CX38))/1000</f>
        <v>12.349856466723748</v>
      </c>
      <c r="CZ38" s="24">
        <f t="shared" ref="CZ38:CZ49" si="28">EXP(-5800.2206/(273.15+CW38)+1.3914993-0.048640239*(273.15+CW38)+0.000041764768*POWER((273.15+CW38),2)-0.000000014452093*POWER((273.15+CW38),3)+6.5459673*LN(273.15+CW38))/1000</f>
        <v>0.6112128674511893</v>
      </c>
      <c r="DA38" s="20">
        <f>0.62198*(CY38/(DA2-CY38))</f>
        <v>8.6331568797076971E-2</v>
      </c>
      <c r="DB38" s="20">
        <f>0.62198*(CZ38/(DA2-CZ38))</f>
        <v>3.7746786226692235E-3</v>
      </c>
      <c r="DC38" s="21" t="e">
        <f>((2501-2.381*CX38)*DA38-(CW2-CX38))/(2501+1.805*CW2-4.186*CX38)-CV14</f>
        <v>#N/A</v>
      </c>
      <c r="DD38" s="21" t="e">
        <f>((2501-2.381*CW38)*DB38-(CW2-CW38))/(2501+1.805*CW2-4.186*CW38)-CV14</f>
        <v>#N/A</v>
      </c>
      <c r="DE38" s="21" t="e">
        <f t="shared" ref="DE38:DE49" si="29">CX38-(CX38-CW38)*DC38/(DC38-DD38)</f>
        <v>#N/A</v>
      </c>
    </row>
    <row r="39" spans="1:109">
      <c r="A39" s="30">
        <v>2</v>
      </c>
      <c r="B39" s="30">
        <f t="shared" ref="B39:B49" si="30">C38</f>
        <v>50</v>
      </c>
      <c r="C39" s="30">
        <f t="shared" ref="C39:C49" si="31">J38:J38</f>
        <v>4.8079084799712533</v>
      </c>
      <c r="D39" s="24">
        <f t="shared" si="0"/>
        <v>0.86086691517925396</v>
      </c>
      <c r="E39" s="24">
        <f t="shared" si="1"/>
        <v>12.349856466723748</v>
      </c>
      <c r="F39" s="20">
        <f>0.62198*(D39/(F2-D39))</f>
        <v>5.3296832159107433E-3</v>
      </c>
      <c r="G39" s="20">
        <f>0.62198*(E39/(F2-E39))</f>
        <v>8.6331568797076971E-2</v>
      </c>
      <c r="H39" s="21">
        <f>((2501-2.381*C39)*F39-(B2-C39))/(2501+1.805*B2-4.186*C39)-A14</f>
        <v>-6.652216764043547E-3</v>
      </c>
      <c r="I39" s="21">
        <f>((2501-2.381*B39)*G39-(B2-B39))/(2501+1.805*B2-4.186*B39)-A14</f>
        <v>9.3693924431741585E-2</v>
      </c>
      <c r="J39" s="21">
        <f t="shared" si="2"/>
        <v>7.8038143038451544</v>
      </c>
      <c r="L39" s="30">
        <v>2</v>
      </c>
      <c r="M39" s="30">
        <f t="shared" ref="M39:M49" si="32">N38</f>
        <v>50</v>
      </c>
      <c r="N39" s="30">
        <f t="shared" ref="N39:N49" si="33">U38:U38</f>
        <v>0.70096722430055536</v>
      </c>
      <c r="O39" s="24">
        <f t="shared" si="3"/>
        <v>0.64304902229986127</v>
      </c>
      <c r="P39" s="24">
        <f t="shared" si="4"/>
        <v>12.349856466723748</v>
      </c>
      <c r="Q39" s="20">
        <f>0.62198*(O39/(Q2-O39))</f>
        <v>3.972545496050776E-3</v>
      </c>
      <c r="R39" s="20">
        <f>0.62198*(P39/(Q2-P39))</f>
        <v>8.6331568797076971E-2</v>
      </c>
      <c r="S39" s="21">
        <f>((2501-2.381*N39)*Q39-(M2-N39))/(2501+1.805*M2-4.186*N39)-L14</f>
        <v>-1.0242862288347301E-3</v>
      </c>
      <c r="T39" s="21">
        <f>((2501-2.381*M39)*R39-(M2-M39))/(2501+1.805*M2-4.186*M39)-L14</f>
        <v>0.10542991687091854</v>
      </c>
      <c r="U39" s="21">
        <f t="shared" si="5"/>
        <v>1.1753150555430962</v>
      </c>
      <c r="W39" s="30">
        <v>2</v>
      </c>
      <c r="X39" s="30">
        <f t="shared" ref="X39:X49" si="34">Y38</f>
        <v>50</v>
      </c>
      <c r="Y39" s="30">
        <f t="shared" ref="Y39:Y49" si="35">AF38:AF38</f>
        <v>15.150321989771598</v>
      </c>
      <c r="Z39" s="24">
        <f t="shared" si="6"/>
        <v>1.7220288330442453</v>
      </c>
      <c r="AA39" s="24">
        <f t="shared" si="7"/>
        <v>12.349856466723748</v>
      </c>
      <c r="AB39" s="20">
        <f>0.62198*(Z39/(AB2-Z39))</f>
        <v>1.0753368910868359E-2</v>
      </c>
      <c r="AC39" s="20">
        <f>0.62198*(AA39/(AB2-AA39))</f>
        <v>8.6331568797076971E-2</v>
      </c>
      <c r="AD39" s="21">
        <f>((2501-2.381*Y39)*AB39-(X2-Y39))/(2501+1.805*X2-4.186*Y39)-W14</f>
        <v>-1.8780444003034767E-2</v>
      </c>
      <c r="AE39" s="21">
        <f>((2501-2.381*X39)*AC39-(X2-X39))/(2501+1.805*X2-4.186*X39)-W14</f>
        <v>7.2251648200742299E-2</v>
      </c>
      <c r="AF39" s="21">
        <f t="shared" si="8"/>
        <v>22.340010928588832</v>
      </c>
      <c r="AH39" s="30">
        <v>2</v>
      </c>
      <c r="AI39" s="30">
        <f t="shared" ref="AI39:AI49" si="36">AJ38</f>
        <v>50</v>
      </c>
      <c r="AJ39" s="30">
        <f t="shared" ref="AJ39:AJ49" si="37">AQ38:AQ38</f>
        <v>1.9746004544785762</v>
      </c>
      <c r="AK39" s="24">
        <f t="shared" si="9"/>
        <v>0.70467404580150272</v>
      </c>
      <c r="AL39" s="24">
        <f t="shared" si="10"/>
        <v>12.349856466723748</v>
      </c>
      <c r="AM39" s="20">
        <f>0.62198*(AK39/(AM2-AK39))</f>
        <v>4.3559107849354996E-3</v>
      </c>
      <c r="AN39" s="20">
        <f>0.62198*(AL39/(AM2-AL39))</f>
        <v>8.6331568797076971E-2</v>
      </c>
      <c r="AO39" s="21">
        <f>((2501-2.381*AJ39)*AM39-(AI2-AJ39))/(2501+1.805*AI2-4.186*AJ39)-AH14</f>
        <v>-2.8280801262800829E-3</v>
      </c>
      <c r="AP39" s="21">
        <f>((2501-2.381*AI39)*AN39-(AI2-AI39))/(2501+1.805*AI2-4.186*AI39)-AH14</f>
        <v>0.10122754544900657</v>
      </c>
      <c r="AQ39" s="21">
        <f t="shared" si="11"/>
        <v>3.2798607636685007</v>
      </c>
      <c r="AS39" s="30">
        <v>2</v>
      </c>
      <c r="AT39" s="30">
        <f t="shared" ref="AT39:AT49" si="38">AU38</f>
        <v>50</v>
      </c>
      <c r="AU39" s="30">
        <f t="shared" ref="AU39:AU49" si="39">BB38:BB38</f>
        <v>4.8341136928379669</v>
      </c>
      <c r="AV39" s="24">
        <f t="shared" si="12"/>
        <v>0.86244398251551013</v>
      </c>
      <c r="AW39" s="24">
        <f t="shared" si="13"/>
        <v>12.349856466723748</v>
      </c>
      <c r="AX39" s="20">
        <f>0.62198*(AV39/(AX2-AV39))</f>
        <v>5.3395307616067225E-3</v>
      </c>
      <c r="AY39" s="20">
        <f>0.62198*(AW39/(AX2-AW39))</f>
        <v>8.6331568797076971E-2</v>
      </c>
      <c r="AZ39" s="21">
        <f>((2501-2.381*AU39)*AX39-(AT2-AU39))/(2501+1.805*AT2-4.186*AU39)-AS14</f>
        <v>-6.8116890867510561E-3</v>
      </c>
      <c r="BA39" s="21">
        <f>((2501-2.381*AT39)*AY39-(AT2-AT39))/(2501+1.805*AT2-4.186*AT39)-AS14</f>
        <v>9.5944582405137604E-2</v>
      </c>
      <c r="BB39" s="21">
        <f t="shared" si="14"/>
        <v>7.8281496809598234</v>
      </c>
      <c r="BD39" s="30">
        <v>2</v>
      </c>
      <c r="BE39" s="30">
        <f t="shared" ref="BE39:BE49" si="40">BF38</f>
        <v>50</v>
      </c>
      <c r="BF39" s="30">
        <f t="shared" ref="BF39:BF49" si="41">BM38:BM38</f>
        <v>6.5792005146638601</v>
      </c>
      <c r="BG39" s="24">
        <f t="shared" si="15"/>
        <v>0.97339105321546693</v>
      </c>
      <c r="BH39" s="24">
        <f t="shared" si="16"/>
        <v>12.349856466723748</v>
      </c>
      <c r="BI39" s="20">
        <f>0.62198*(BG39/(BI2-BG39))</f>
        <v>6.0330848068416067E-3</v>
      </c>
      <c r="BJ39" s="20">
        <f>0.62198*(BH39/(BI2-BH39))</f>
        <v>8.6331568797076971E-2</v>
      </c>
      <c r="BK39" s="21">
        <f>((2501-2.381*BF39)*BI39-(BE2-BF39))/(2501+1.805*BE2-4.186*BF39)-BD14</f>
        <v>-9.0709239481078004E-3</v>
      </c>
      <c r="BL39" s="21">
        <f>((2501-2.381*BE39)*BJ39-(BE2-BE39))/(2501+1.805*BE2-4.186*BE39)-BD14</f>
        <v>9.1420595337782046E-2</v>
      </c>
      <c r="BM39" s="21">
        <f t="shared" si="17"/>
        <v>10.498603591624065</v>
      </c>
      <c r="BO39" s="30">
        <v>2</v>
      </c>
      <c r="BP39" s="30">
        <f t="shared" ref="BP39:BP49" si="42">BQ38</f>
        <v>50</v>
      </c>
      <c r="BQ39" s="30" t="e">
        <f t="shared" ref="BQ39:BQ49" si="43">BX38:BX38</f>
        <v>#VALUE!</v>
      </c>
      <c r="BR39" s="24" t="e">
        <f t="shared" si="18"/>
        <v>#VALUE!</v>
      </c>
      <c r="BS39" s="24">
        <f t="shared" si="19"/>
        <v>12.349856466723748</v>
      </c>
      <c r="BT39" s="20" t="e">
        <f>0.62198*(BR39/(BT2-BR39))</f>
        <v>#VALUE!</v>
      </c>
      <c r="BU39" s="20">
        <f>0.62198*(BS39/(BT2-BS39))</f>
        <v>8.6331568797076971E-2</v>
      </c>
      <c r="BV39" s="21" t="e">
        <f>((2501-2.381*BQ39)*BT39-(BP2-BQ39))/(2501+1.805*BP2-4.186*BQ39)-BO14</f>
        <v>#VALUE!</v>
      </c>
      <c r="BW39" s="21" t="e">
        <f>((2501-2.381*BP39)*BU39-(BP2-BP39))/(2501+1.805*BP2-4.186*BP39)-BO14</f>
        <v>#VALUE!</v>
      </c>
      <c r="BX39" s="21" t="e">
        <f t="shared" si="20"/>
        <v>#VALUE!</v>
      </c>
      <c r="BZ39" s="30">
        <v>2</v>
      </c>
      <c r="CA39" s="30">
        <f t="shared" ref="CA39:CA49" si="44">CB38</f>
        <v>50</v>
      </c>
      <c r="CB39" s="30" t="e">
        <f t="shared" ref="CB39:CB49" si="45">CI38:CI38</f>
        <v>#VALUE!</v>
      </c>
      <c r="CC39" s="24" t="e">
        <f t="shared" si="21"/>
        <v>#VALUE!</v>
      </c>
      <c r="CD39" s="24">
        <f t="shared" si="22"/>
        <v>12.349856466723748</v>
      </c>
      <c r="CE39" s="20" t="e">
        <f>0.62198*(CC39/(CE2-CC39))</f>
        <v>#VALUE!</v>
      </c>
      <c r="CF39" s="20">
        <f>0.62198*(CD39/(CE2-CD39))</f>
        <v>8.6331568797076971E-2</v>
      </c>
      <c r="CG39" s="21" t="e">
        <f>((2501-2.381*CB39)*CE39-(CA2-CB39))/(2501+1.805*CA2-4.186*CB39)-BZ14</f>
        <v>#VALUE!</v>
      </c>
      <c r="CH39" s="21" t="e">
        <f>((2501-2.381*CA39)*CF39-(CA2-CA39))/(2501+1.805*CA2-4.186*CA39)-BZ14</f>
        <v>#VALUE!</v>
      </c>
      <c r="CI39" s="21" t="e">
        <f t="shared" si="23"/>
        <v>#VALUE!</v>
      </c>
      <c r="CK39" s="30">
        <v>2</v>
      </c>
      <c r="CL39" s="30">
        <f t="shared" ref="CL39:CL49" si="46">CM38</f>
        <v>50</v>
      </c>
      <c r="CM39" s="30" t="e">
        <f t="shared" ref="CM39:CM49" si="47">CT38:CT38</f>
        <v>#N/A</v>
      </c>
      <c r="CN39" s="24" t="e">
        <f t="shared" si="24"/>
        <v>#N/A</v>
      </c>
      <c r="CO39" s="24">
        <f t="shared" si="25"/>
        <v>12.349856466723748</v>
      </c>
      <c r="CP39" s="20" t="e">
        <f>0.62198*(CN39/(CP2-CN39))</f>
        <v>#N/A</v>
      </c>
      <c r="CQ39" s="20">
        <f>0.62198*(CO39/(CP2-CO39))</f>
        <v>8.6331568797076971E-2</v>
      </c>
      <c r="CR39" s="21" t="e">
        <f>((2501-2.381*CM39)*CP39-(CL2-CM39))/(2501+1.805*CL2-4.186*CM39)-CK14</f>
        <v>#N/A</v>
      </c>
      <c r="CS39" s="21" t="e">
        <f>((2501-2.381*CL39)*CQ39-(CL2-CL39))/(2501+1.805*CL2-4.186*CL39)-CK14</f>
        <v>#N/A</v>
      </c>
      <c r="CT39" s="21" t="e">
        <f t="shared" si="26"/>
        <v>#N/A</v>
      </c>
      <c r="CV39" s="30">
        <v>2</v>
      </c>
      <c r="CW39" s="30">
        <f t="shared" ref="CW39:CW49" si="48">CX38</f>
        <v>50</v>
      </c>
      <c r="CX39" s="30" t="e">
        <f t="shared" ref="CX39:CX49" si="49">DE38:DE38</f>
        <v>#N/A</v>
      </c>
      <c r="CY39" s="24" t="e">
        <f t="shared" si="27"/>
        <v>#N/A</v>
      </c>
      <c r="CZ39" s="24">
        <f t="shared" si="28"/>
        <v>12.349856466723748</v>
      </c>
      <c r="DA39" s="20" t="e">
        <f>0.62198*(CY39/(DA2-CY39))</f>
        <v>#N/A</v>
      </c>
      <c r="DB39" s="20">
        <f>0.62198*(CZ39/(DA2-CZ39))</f>
        <v>8.6331568797076971E-2</v>
      </c>
      <c r="DC39" s="21" t="e">
        <f>((2501-2.381*CX39)*DA39-(CW2-CX39))/(2501+1.805*CW2-4.186*CX39)-CV14</f>
        <v>#N/A</v>
      </c>
      <c r="DD39" s="21" t="e">
        <f>((2501-2.381*CW39)*DB39-(CW2-CW39))/(2501+1.805*CW2-4.186*CW39)-CV14</f>
        <v>#N/A</v>
      </c>
      <c r="DE39" s="21" t="e">
        <f t="shared" si="29"/>
        <v>#N/A</v>
      </c>
    </row>
    <row r="40" spans="1:109">
      <c r="A40" s="30">
        <v>3</v>
      </c>
      <c r="B40" s="30">
        <f t="shared" si="30"/>
        <v>4.8079084799712533</v>
      </c>
      <c r="C40" s="30">
        <f t="shared" si="31"/>
        <v>7.8038143038451544</v>
      </c>
      <c r="D40" s="24">
        <f t="shared" si="0"/>
        <v>1.0585957993804807</v>
      </c>
      <c r="E40" s="24">
        <f t="shared" si="1"/>
        <v>0.86086691517925396</v>
      </c>
      <c r="F40" s="20">
        <f>0.62198*(D40/(F2-D40))</f>
        <v>6.5667600284263815E-3</v>
      </c>
      <c r="G40" s="20">
        <f>0.62198*(E40/(F2-E40))</f>
        <v>5.3296832159107433E-3</v>
      </c>
      <c r="H40" s="21">
        <f>((2501-2.381*C40)*F40-(B2-C40))/(2501+1.805*B2-4.186*C40)-A14</f>
        <v>-4.3036538115576745E-3</v>
      </c>
      <c r="I40" s="21">
        <f>((2501-2.381*B40)*G40-(B2-B40))/(2501+1.805*B2-4.186*B40)-A14</f>
        <v>-6.652216764043547E-3</v>
      </c>
      <c r="J40" s="21">
        <f t="shared" si="2"/>
        <v>13.293699726901664</v>
      </c>
      <c r="L40" s="30">
        <v>3</v>
      </c>
      <c r="M40" s="30">
        <f t="shared" si="32"/>
        <v>0.70096722430055536</v>
      </c>
      <c r="N40" s="30">
        <f t="shared" si="33"/>
        <v>1.1753150555430962</v>
      </c>
      <c r="O40" s="24">
        <f t="shared" si="3"/>
        <v>0.66541827945324028</v>
      </c>
      <c r="P40" s="24">
        <f t="shared" si="4"/>
        <v>0.64304902229986127</v>
      </c>
      <c r="Q40" s="20">
        <f>0.62198*(O40/(Q2-O40))</f>
        <v>4.1116489297893166E-3</v>
      </c>
      <c r="R40" s="20">
        <f>0.62198*(P40/(Q2-P40))</f>
        <v>3.972545496050776E-3</v>
      </c>
      <c r="S40" s="21">
        <f>((2501-2.381*N40)*Q40-(M2-N40))/(2501+1.805*M2-4.186*N40)-L14</f>
        <v>-6.9732995900942309E-4</v>
      </c>
      <c r="T40" s="21">
        <f>((2501-2.381*M40)*R40-(M2-M40))/(2501+1.805*M2-4.186*M40)-L14</f>
        <v>-1.0242862288347301E-3</v>
      </c>
      <c r="U40" s="21">
        <f t="shared" si="5"/>
        <v>2.1870006668736393</v>
      </c>
      <c r="W40" s="30">
        <v>3</v>
      </c>
      <c r="X40" s="30">
        <f t="shared" si="34"/>
        <v>15.150321989771598</v>
      </c>
      <c r="Y40" s="30">
        <f t="shared" si="35"/>
        <v>22.340010928588832</v>
      </c>
      <c r="Z40" s="24">
        <f t="shared" si="6"/>
        <v>2.7001044881440297</v>
      </c>
      <c r="AA40" s="24">
        <f t="shared" si="7"/>
        <v>1.7220288330442453</v>
      </c>
      <c r="AB40" s="20">
        <f>0.62198*(Z40/(AB2-Z40))</f>
        <v>1.7028266350192858E-2</v>
      </c>
      <c r="AC40" s="20">
        <f>0.62198*(AA40/(AB2-AA40))</f>
        <v>1.0753368910868359E-2</v>
      </c>
      <c r="AD40" s="21">
        <f>((2501-2.381*Y40)*AB40-(X2-Y40))/(2501+1.805*X2-4.186*Y40)-W14</f>
        <v>-9.695638379898926E-3</v>
      </c>
      <c r="AE40" s="21">
        <f>((2501-2.381*X40)*AC40-(X2-X40))/(2501+1.805*X2-4.186*X40)-W14</f>
        <v>-1.8780444003034767E-2</v>
      </c>
      <c r="AF40" s="21">
        <f t="shared" si="8"/>
        <v>30.013111147398966</v>
      </c>
      <c r="AH40" s="30">
        <v>3</v>
      </c>
      <c r="AI40" s="30">
        <f t="shared" si="36"/>
        <v>1.9746004544785762</v>
      </c>
      <c r="AJ40" s="30">
        <f t="shared" si="37"/>
        <v>3.2798607636685007</v>
      </c>
      <c r="AK40" s="24">
        <f t="shared" si="9"/>
        <v>0.77320149621119671</v>
      </c>
      <c r="AL40" s="24">
        <f t="shared" si="10"/>
        <v>0.70467404580150272</v>
      </c>
      <c r="AM40" s="20">
        <f>0.62198*(AK40/(AM2-AK40))</f>
        <v>4.7827674270323386E-3</v>
      </c>
      <c r="AN40" s="20">
        <f>0.62198*(AL40/(AM2-AL40))</f>
        <v>4.3559107849354996E-3</v>
      </c>
      <c r="AO40" s="21">
        <f>((2501-2.381*AJ40)*AM40-(AI2-AJ40))/(2501+1.805*AI2-4.186*AJ40)-AH14</f>
        <v>-1.9005485692442522E-3</v>
      </c>
      <c r="AP40" s="21">
        <f>((2501-2.381*AI40)*AN40-(AI2-AI40))/(2501+1.805*AI2-4.186*AI40)-AH14</f>
        <v>-2.8280801262800829E-3</v>
      </c>
      <c r="AQ40" s="21">
        <f t="shared" si="11"/>
        <v>5.9543903732593373</v>
      </c>
      <c r="AS40" s="30">
        <v>3</v>
      </c>
      <c r="AT40" s="30">
        <f t="shared" si="38"/>
        <v>4.8341136928379669</v>
      </c>
      <c r="AU40" s="30">
        <f t="shared" si="39"/>
        <v>7.8281496809598234</v>
      </c>
      <c r="AV40" s="24">
        <f t="shared" si="12"/>
        <v>1.0603536320361158</v>
      </c>
      <c r="AW40" s="24">
        <f t="shared" si="13"/>
        <v>0.86244398251551013</v>
      </c>
      <c r="AX40" s="20">
        <f>0.62198*(AV40/(AX2-AV40))</f>
        <v>6.5777796655606584E-3</v>
      </c>
      <c r="AY40" s="20">
        <f>0.62198*(AW40/(AX2-AW40))</f>
        <v>5.3395307616067225E-3</v>
      </c>
      <c r="AZ40" s="21">
        <f>((2501-2.381*AU40)*AX40-(AT2-AU40))/(2501+1.805*AT2-4.186*AU40)-AS14</f>
        <v>-4.3814527710584125E-3</v>
      </c>
      <c r="BA40" s="21">
        <f>((2501-2.381*AT40)*AY40-(AT2-AT40))/(2501+1.805*AT2-4.186*AT40)-AS14</f>
        <v>-6.8116890867510561E-3</v>
      </c>
      <c r="BB40" s="21">
        <f t="shared" si="14"/>
        <v>13.226072176026435</v>
      </c>
      <c r="BD40" s="30">
        <v>3</v>
      </c>
      <c r="BE40" s="30">
        <f t="shared" si="40"/>
        <v>6.5792005146638601</v>
      </c>
      <c r="BF40" s="30">
        <f t="shared" si="41"/>
        <v>10.498603591624065</v>
      </c>
      <c r="BG40" s="24">
        <f t="shared" si="15"/>
        <v>1.2696264033493088</v>
      </c>
      <c r="BH40" s="24">
        <f t="shared" si="16"/>
        <v>0.97339105321546693</v>
      </c>
      <c r="BI40" s="20">
        <f>0.62198*(BG40/(BI2-BG40))</f>
        <v>7.8924519690328487E-3</v>
      </c>
      <c r="BJ40" s="20">
        <f>0.62198*(BH40/(BI2-BH40))</f>
        <v>6.0330848068416067E-3</v>
      </c>
      <c r="BK40" s="21">
        <f>((2501-2.381*BF40)*BI40-(BE2-BF40))/(2501+1.805*BE2-4.186*BF40)-BD14</f>
        <v>-5.6758179623356327E-3</v>
      </c>
      <c r="BL40" s="21">
        <f>((2501-2.381*BE40)*BJ40-(BE2-BE40))/(2501+1.805*BE2-4.186*BE40)-BD14</f>
        <v>-9.0709239481078004E-3</v>
      </c>
      <c r="BM40" s="21">
        <f t="shared" si="17"/>
        <v>17.050922865033961</v>
      </c>
      <c r="BO40" s="30">
        <v>3</v>
      </c>
      <c r="BP40" s="30" t="e">
        <f t="shared" si="42"/>
        <v>#VALUE!</v>
      </c>
      <c r="BQ40" s="30" t="e">
        <f t="shared" si="43"/>
        <v>#VALUE!</v>
      </c>
      <c r="BR40" s="24" t="e">
        <f t="shared" si="18"/>
        <v>#VALUE!</v>
      </c>
      <c r="BS40" s="24" t="e">
        <f t="shared" si="19"/>
        <v>#VALUE!</v>
      </c>
      <c r="BT40" s="20" t="e">
        <f>0.62198*(BR40/(BT2-BR40))</f>
        <v>#VALUE!</v>
      </c>
      <c r="BU40" s="20" t="e">
        <f>0.62198*(BS40/(BT2-BS40))</f>
        <v>#VALUE!</v>
      </c>
      <c r="BV40" s="21" t="e">
        <f>((2501-2.381*BQ40)*BT40-(BP2-BQ40))/(2501+1.805*BP2-4.186*BQ40)-BO14</f>
        <v>#VALUE!</v>
      </c>
      <c r="BW40" s="21" t="e">
        <f>((2501-2.381*BP40)*BU40-(BP2-BP40))/(2501+1.805*BP2-4.186*BP40)-BO14</f>
        <v>#VALUE!</v>
      </c>
      <c r="BX40" s="21" t="e">
        <f t="shared" si="20"/>
        <v>#VALUE!</v>
      </c>
      <c r="BZ40" s="30">
        <v>3</v>
      </c>
      <c r="CA40" s="30" t="e">
        <f t="shared" si="44"/>
        <v>#VALUE!</v>
      </c>
      <c r="CB40" s="30" t="e">
        <f t="shared" si="45"/>
        <v>#VALUE!</v>
      </c>
      <c r="CC40" s="24" t="e">
        <f t="shared" si="21"/>
        <v>#VALUE!</v>
      </c>
      <c r="CD40" s="24" t="e">
        <f t="shared" si="22"/>
        <v>#VALUE!</v>
      </c>
      <c r="CE40" s="20" t="e">
        <f>0.62198*(CC40/(CE2-CC40))</f>
        <v>#VALUE!</v>
      </c>
      <c r="CF40" s="20" t="e">
        <f>0.62198*(CD40/(CE2-CD40))</f>
        <v>#VALUE!</v>
      </c>
      <c r="CG40" s="21" t="e">
        <f>((2501-2.381*CB40)*CE40-(CA2-CB40))/(2501+1.805*CA2-4.186*CB40)-BZ14</f>
        <v>#VALUE!</v>
      </c>
      <c r="CH40" s="21" t="e">
        <f>((2501-2.381*CA40)*CF40-(CA2-CA40))/(2501+1.805*CA2-4.186*CA40)-BZ14</f>
        <v>#VALUE!</v>
      </c>
      <c r="CI40" s="21" t="e">
        <f t="shared" si="23"/>
        <v>#VALUE!</v>
      </c>
      <c r="CK40" s="30">
        <v>3</v>
      </c>
      <c r="CL40" s="30" t="e">
        <f t="shared" si="46"/>
        <v>#N/A</v>
      </c>
      <c r="CM40" s="30" t="e">
        <f t="shared" si="47"/>
        <v>#N/A</v>
      </c>
      <c r="CN40" s="24" t="e">
        <f t="shared" si="24"/>
        <v>#N/A</v>
      </c>
      <c r="CO40" s="24" t="e">
        <f t="shared" si="25"/>
        <v>#N/A</v>
      </c>
      <c r="CP40" s="20" t="e">
        <f>0.62198*(CN40/(CP2-CN40))</f>
        <v>#N/A</v>
      </c>
      <c r="CQ40" s="20" t="e">
        <f>0.62198*(CO40/(CP2-CO40))</f>
        <v>#N/A</v>
      </c>
      <c r="CR40" s="21" t="e">
        <f>((2501-2.381*CM40)*CP40-(CL2-CM40))/(2501+1.805*CL2-4.186*CM40)-CK14</f>
        <v>#N/A</v>
      </c>
      <c r="CS40" s="21" t="e">
        <f>((2501-2.381*CL40)*CQ40-(CL2-CL40))/(2501+1.805*CL2-4.186*CL40)-CK14</f>
        <v>#N/A</v>
      </c>
      <c r="CT40" s="21" t="e">
        <f t="shared" si="26"/>
        <v>#N/A</v>
      </c>
      <c r="CV40" s="30">
        <v>3</v>
      </c>
      <c r="CW40" s="30" t="e">
        <f t="shared" si="48"/>
        <v>#N/A</v>
      </c>
      <c r="CX40" s="30" t="e">
        <f t="shared" si="49"/>
        <v>#N/A</v>
      </c>
      <c r="CY40" s="24" t="e">
        <f t="shared" si="27"/>
        <v>#N/A</v>
      </c>
      <c r="CZ40" s="24" t="e">
        <f t="shared" si="28"/>
        <v>#N/A</v>
      </c>
      <c r="DA40" s="20" t="e">
        <f>0.62198*(CY40/(DA2-CY40))</f>
        <v>#N/A</v>
      </c>
      <c r="DB40" s="20" t="e">
        <f>0.62198*(CZ40/(DA2-CZ40))</f>
        <v>#N/A</v>
      </c>
      <c r="DC40" s="21" t="e">
        <f>((2501-2.381*CX40)*DA40-(CW2-CX40))/(2501+1.805*CW2-4.186*CX40)-CV14</f>
        <v>#N/A</v>
      </c>
      <c r="DD40" s="21" t="e">
        <f>((2501-2.381*CW40)*DB40-(CW2-CW40))/(2501+1.805*CW2-4.186*CW40)-CV14</f>
        <v>#N/A</v>
      </c>
      <c r="DE40" s="21" t="e">
        <f t="shared" si="29"/>
        <v>#N/A</v>
      </c>
    </row>
    <row r="41" spans="1:109">
      <c r="A41" s="30">
        <v>4</v>
      </c>
      <c r="B41" s="30">
        <f t="shared" si="30"/>
        <v>7.8038143038451544</v>
      </c>
      <c r="C41" s="30">
        <f t="shared" si="31"/>
        <v>13.293699726901664</v>
      </c>
      <c r="D41" s="24">
        <f t="shared" si="0"/>
        <v>1.5268356772368592</v>
      </c>
      <c r="E41" s="24">
        <f t="shared" si="1"/>
        <v>1.0585957993804807</v>
      </c>
      <c r="F41" s="20">
        <f>0.62198*(D41/(F2-D41))</f>
        <v>9.5158188627240282E-3</v>
      </c>
      <c r="G41" s="20">
        <f>0.62198*(E41/(F2-E41))</f>
        <v>6.5667600284263815E-3</v>
      </c>
      <c r="H41" s="21">
        <f>((2501-2.381*C41)*F41-(B2-C41))/(2501+1.805*B2-4.186*C41)-A14</f>
        <v>7.1418994056590798E-4</v>
      </c>
      <c r="I41" s="21">
        <f>((2501-2.381*B41)*G41-(B2-B41))/(2501+1.805*B2-4.186*B41)-A14</f>
        <v>-4.3036538115576745E-3</v>
      </c>
      <c r="J41" s="21">
        <f t="shared" si="2"/>
        <v>12.512324072797837</v>
      </c>
      <c r="L41" s="30">
        <v>4</v>
      </c>
      <c r="M41" s="30">
        <f t="shared" si="32"/>
        <v>1.1753150555430962</v>
      </c>
      <c r="N41" s="30">
        <f t="shared" si="33"/>
        <v>2.1870006668736393</v>
      </c>
      <c r="O41" s="24">
        <f t="shared" si="3"/>
        <v>0.71544479003837769</v>
      </c>
      <c r="P41" s="24">
        <f t="shared" si="4"/>
        <v>0.66541827945324028</v>
      </c>
      <c r="Q41" s="20">
        <f>0.62198*(O41/(Q2-O41))</f>
        <v>4.4229631030513715E-3</v>
      </c>
      <c r="R41" s="20">
        <f>0.62198*(P41/(Q2-P41))</f>
        <v>4.1116489297893166E-3</v>
      </c>
      <c r="S41" s="21">
        <f>((2501-2.381*N41)*Q41-(M2-N41))/(2501+1.805*M2-4.186*N41)-L14</f>
        <v>1.589747743824298E-5</v>
      </c>
      <c r="T41" s="21">
        <f>((2501-2.381*M41)*R41-(M2-M41))/(2501+1.805*M2-4.186*M41)-L14</f>
        <v>-6.9732995900942309E-4</v>
      </c>
      <c r="U41" s="21">
        <f t="shared" si="5"/>
        <v>2.1644507082505844</v>
      </c>
      <c r="W41" s="30">
        <v>4</v>
      </c>
      <c r="X41" s="30">
        <f t="shared" si="34"/>
        <v>22.340010928588832</v>
      </c>
      <c r="Y41" s="30">
        <f t="shared" si="35"/>
        <v>30.013111147398966</v>
      </c>
      <c r="Z41" s="24">
        <f t="shared" si="6"/>
        <v>4.2492270443271991</v>
      </c>
      <c r="AA41" s="24">
        <f t="shared" si="7"/>
        <v>2.7001044881440297</v>
      </c>
      <c r="AB41" s="20">
        <f>0.62198*(Z41/(AB2-Z41))</f>
        <v>2.7225477135654229E-2</v>
      </c>
      <c r="AC41" s="20">
        <f>0.62198*(AA41/(AB2-AA41))</f>
        <v>1.7028266350192858E-2</v>
      </c>
      <c r="AD41" s="21">
        <f>((2501-2.381*Y41)*AB41-(X2-Y41))/(2501+1.805*X2-4.186*Y41)-W14</f>
        <v>3.6376735704865618E-3</v>
      </c>
      <c r="AE41" s="21">
        <f>((2501-2.381*X41)*AC41-(X2-X41))/(2501+1.805*X2-4.186*X41)-W14</f>
        <v>-9.695638379898926E-3</v>
      </c>
      <c r="AF41" s="21">
        <f t="shared" si="8"/>
        <v>27.919690249911206</v>
      </c>
      <c r="AH41" s="30">
        <v>4</v>
      </c>
      <c r="AI41" s="30">
        <f t="shared" si="36"/>
        <v>3.2798607636685007</v>
      </c>
      <c r="AJ41" s="30">
        <f t="shared" si="37"/>
        <v>5.9543903732593373</v>
      </c>
      <c r="AK41" s="24">
        <f t="shared" si="9"/>
        <v>0.93229867960060198</v>
      </c>
      <c r="AL41" s="24">
        <f t="shared" si="10"/>
        <v>0.77320149621119671</v>
      </c>
      <c r="AM41" s="20">
        <f>0.62198*(AK41/(AM2-AK41))</f>
        <v>5.7760287860702773E-3</v>
      </c>
      <c r="AN41" s="20">
        <f>0.62198*(AL41/(AM2-AL41))</f>
        <v>4.7827674270323386E-3</v>
      </c>
      <c r="AO41" s="21">
        <f>((2501-2.381*AJ41)*AM41-(AI2-AJ41))/(2501+1.805*AI2-4.186*AJ41)-AH14</f>
        <v>1.2672257566195285E-4</v>
      </c>
      <c r="AP41" s="21">
        <f>((2501-2.381*AI41)*AN41-(AI2-AI41))/(2501+1.805*AI2-4.186*AI41)-AH14</f>
        <v>-1.9005485692442522E-3</v>
      </c>
      <c r="AQ41" s="21">
        <f t="shared" si="11"/>
        <v>5.7872083553713507</v>
      </c>
      <c r="AS41" s="30">
        <v>4</v>
      </c>
      <c r="AT41" s="30">
        <f t="shared" si="38"/>
        <v>7.8281496809598234</v>
      </c>
      <c r="AU41" s="30">
        <f t="shared" si="39"/>
        <v>13.226072176026435</v>
      </c>
      <c r="AV41" s="24">
        <f t="shared" si="12"/>
        <v>1.5201089300446173</v>
      </c>
      <c r="AW41" s="24">
        <f t="shared" si="13"/>
        <v>1.0603536320361158</v>
      </c>
      <c r="AX41" s="20">
        <f>0.62198*(AV41/(AX2-AV41))</f>
        <v>9.4732566928653391E-3</v>
      </c>
      <c r="AY41" s="20">
        <f>0.62198*(AW41/(AX2-AW41))</f>
        <v>6.5777796655606584E-3</v>
      </c>
      <c r="AZ41" s="21">
        <f>((2501-2.381*AU41)*AX41-(AT2-AU41))/(2501+1.805*AT2-4.186*AU41)-AS14</f>
        <v>7.0742843795236661E-4</v>
      </c>
      <c r="BA41" s="21">
        <f>((2501-2.381*AT41)*AY41-(AT2-AT41))/(2501+1.805*AT2-4.186*AT41)-AS14</f>
        <v>-4.3814527710584125E-3</v>
      </c>
      <c r="BB41" s="21">
        <f t="shared" si="14"/>
        <v>12.475682508428905</v>
      </c>
      <c r="BD41" s="30">
        <v>4</v>
      </c>
      <c r="BE41" s="30">
        <f t="shared" si="40"/>
        <v>10.498603591624065</v>
      </c>
      <c r="BF41" s="30">
        <f t="shared" si="41"/>
        <v>17.050922865033961</v>
      </c>
      <c r="BG41" s="24">
        <f t="shared" si="15"/>
        <v>1.9442146693991194</v>
      </c>
      <c r="BH41" s="24">
        <f t="shared" si="16"/>
        <v>1.2696264033493088</v>
      </c>
      <c r="BI41" s="20">
        <f>0.62198*(BG41/(BI2-BG41))</f>
        <v>1.2167972269992854E-2</v>
      </c>
      <c r="BJ41" s="20">
        <f>0.62198*(BH41/(BI2-BH41))</f>
        <v>7.8924519690328487E-3</v>
      </c>
      <c r="BK41" s="21">
        <f>((2501-2.381*BF41)*BI41-(BE2-BF41))/(2501+1.805*BE2-4.186*BF41)-BD14</f>
        <v>1.2331440962430173E-3</v>
      </c>
      <c r="BL41" s="21">
        <f>((2501-2.381*BE41)*BJ41-(BE2-BE41))/(2501+1.805*BE2-4.186*BE41)-BD14</f>
        <v>-5.6758179623356327E-3</v>
      </c>
      <c r="BM41" s="21">
        <f t="shared" si="17"/>
        <v>15.881434053227256</v>
      </c>
      <c r="BO41" s="30">
        <v>4</v>
      </c>
      <c r="BP41" s="30" t="e">
        <f t="shared" si="42"/>
        <v>#VALUE!</v>
      </c>
      <c r="BQ41" s="30" t="e">
        <f t="shared" si="43"/>
        <v>#VALUE!</v>
      </c>
      <c r="BR41" s="24" t="e">
        <f t="shared" si="18"/>
        <v>#VALUE!</v>
      </c>
      <c r="BS41" s="24" t="e">
        <f t="shared" si="19"/>
        <v>#VALUE!</v>
      </c>
      <c r="BT41" s="20" t="e">
        <f>0.62198*(BR41/(BT2-BR41))</f>
        <v>#VALUE!</v>
      </c>
      <c r="BU41" s="20" t="e">
        <f>0.62198*(BS41/(BT2-BS41))</f>
        <v>#VALUE!</v>
      </c>
      <c r="BV41" s="21" t="e">
        <f>((2501-2.381*BQ41)*BT41-(BP2-BQ41))/(2501+1.805*BP2-4.186*BQ41)-BO14</f>
        <v>#VALUE!</v>
      </c>
      <c r="BW41" s="21" t="e">
        <f>((2501-2.381*BP41)*BU41-(BP2-BP41))/(2501+1.805*BP2-4.186*BP41)-BO14</f>
        <v>#VALUE!</v>
      </c>
      <c r="BX41" s="21" t="e">
        <f t="shared" si="20"/>
        <v>#VALUE!</v>
      </c>
      <c r="BZ41" s="30">
        <v>4</v>
      </c>
      <c r="CA41" s="30" t="e">
        <f t="shared" si="44"/>
        <v>#VALUE!</v>
      </c>
      <c r="CB41" s="30" t="e">
        <f t="shared" si="45"/>
        <v>#VALUE!</v>
      </c>
      <c r="CC41" s="24" t="e">
        <f t="shared" si="21"/>
        <v>#VALUE!</v>
      </c>
      <c r="CD41" s="24" t="e">
        <f t="shared" si="22"/>
        <v>#VALUE!</v>
      </c>
      <c r="CE41" s="20" t="e">
        <f>0.62198*(CC41/(CE2-CC41))</f>
        <v>#VALUE!</v>
      </c>
      <c r="CF41" s="20" t="e">
        <f>0.62198*(CD41/(CE2-CD41))</f>
        <v>#VALUE!</v>
      </c>
      <c r="CG41" s="21" t="e">
        <f>((2501-2.381*CB41)*CE41-(CA2-CB41))/(2501+1.805*CA2-4.186*CB41)-BZ14</f>
        <v>#VALUE!</v>
      </c>
      <c r="CH41" s="21" t="e">
        <f>((2501-2.381*CA41)*CF41-(CA2-CA41))/(2501+1.805*CA2-4.186*CA41)-BZ14</f>
        <v>#VALUE!</v>
      </c>
      <c r="CI41" s="21" t="e">
        <f t="shared" si="23"/>
        <v>#VALUE!</v>
      </c>
      <c r="CK41" s="30">
        <v>4</v>
      </c>
      <c r="CL41" s="30" t="e">
        <f t="shared" si="46"/>
        <v>#N/A</v>
      </c>
      <c r="CM41" s="30" t="e">
        <f t="shared" si="47"/>
        <v>#N/A</v>
      </c>
      <c r="CN41" s="24" t="e">
        <f t="shared" si="24"/>
        <v>#N/A</v>
      </c>
      <c r="CO41" s="24" t="e">
        <f t="shared" si="25"/>
        <v>#N/A</v>
      </c>
      <c r="CP41" s="20" t="e">
        <f>0.62198*(CN41/(CP2-CN41))</f>
        <v>#N/A</v>
      </c>
      <c r="CQ41" s="20" t="e">
        <f>0.62198*(CO41/(CP2-CO41))</f>
        <v>#N/A</v>
      </c>
      <c r="CR41" s="21" t="e">
        <f>((2501-2.381*CM41)*CP41-(CL2-CM41))/(2501+1.805*CL2-4.186*CM41)-CK14</f>
        <v>#N/A</v>
      </c>
      <c r="CS41" s="21" t="e">
        <f>((2501-2.381*CL41)*CQ41-(CL2-CL41))/(2501+1.805*CL2-4.186*CL41)-CK14</f>
        <v>#N/A</v>
      </c>
      <c r="CT41" s="21" t="e">
        <f t="shared" si="26"/>
        <v>#N/A</v>
      </c>
      <c r="CV41" s="30">
        <v>4</v>
      </c>
      <c r="CW41" s="30" t="e">
        <f t="shared" si="48"/>
        <v>#N/A</v>
      </c>
      <c r="CX41" s="30" t="e">
        <f t="shared" si="49"/>
        <v>#N/A</v>
      </c>
      <c r="CY41" s="24" t="e">
        <f t="shared" si="27"/>
        <v>#N/A</v>
      </c>
      <c r="CZ41" s="24" t="e">
        <f t="shared" si="28"/>
        <v>#N/A</v>
      </c>
      <c r="DA41" s="20" t="e">
        <f>0.62198*(CY41/(DA2-CY41))</f>
        <v>#N/A</v>
      </c>
      <c r="DB41" s="20" t="e">
        <f>0.62198*(CZ41/(DA2-CZ41))</f>
        <v>#N/A</v>
      </c>
      <c r="DC41" s="21" t="e">
        <f>((2501-2.381*CX41)*DA41-(CW2-CX41))/(2501+1.805*CW2-4.186*CX41)-CV14</f>
        <v>#N/A</v>
      </c>
      <c r="DD41" s="21" t="e">
        <f>((2501-2.381*CW41)*DB41-(CW2-CW41))/(2501+1.805*CW2-4.186*CW41)-CV14</f>
        <v>#N/A</v>
      </c>
      <c r="DE41" s="21" t="e">
        <f t="shared" si="29"/>
        <v>#N/A</v>
      </c>
    </row>
    <row r="42" spans="1:109">
      <c r="A42" s="30">
        <v>5</v>
      </c>
      <c r="B42" s="30">
        <f t="shared" si="30"/>
        <v>13.293699726901664</v>
      </c>
      <c r="C42" s="30">
        <f t="shared" si="31"/>
        <v>12.512324072797837</v>
      </c>
      <c r="D42" s="24">
        <f t="shared" si="0"/>
        <v>1.4506871222221542</v>
      </c>
      <c r="E42" s="24">
        <f t="shared" si="1"/>
        <v>1.5268356772368592</v>
      </c>
      <c r="F42" s="20">
        <f>0.62198*(D42/(F2-D42))</f>
        <v>9.0343387632006219E-3</v>
      </c>
      <c r="G42" s="20">
        <f>0.62198*(E42/(F2-E42))</f>
        <v>9.5158188627240282E-3</v>
      </c>
      <c r="H42" s="21">
        <f>((2501-2.381*C42)*F42-(B2-C42))/(2501+1.805*B2-4.186*C42)-A14</f>
        <v>-6.4473441546767469E-5</v>
      </c>
      <c r="I42" s="21">
        <f>((2501-2.381*B42)*G42-(B2-B42))/(2501+1.805*B2-4.186*B42)-A14</f>
        <v>7.1418994056590798E-4</v>
      </c>
      <c r="J42" s="21">
        <f t="shared" si="2"/>
        <v>12.577022090860847</v>
      </c>
      <c r="L42" s="30">
        <v>5</v>
      </c>
      <c r="M42" s="30">
        <f t="shared" si="32"/>
        <v>2.1870006668736393</v>
      </c>
      <c r="N42" s="30">
        <f t="shared" si="33"/>
        <v>2.1644507082505844</v>
      </c>
      <c r="O42" s="24">
        <f t="shared" si="3"/>
        <v>0.71429441289264373</v>
      </c>
      <c r="P42" s="24">
        <f t="shared" si="4"/>
        <v>0.71544479003837769</v>
      </c>
      <c r="Q42" s="20">
        <f>0.62198*(O42/(Q2-O42))</f>
        <v>4.4158008468225853E-3</v>
      </c>
      <c r="R42" s="20">
        <f>0.62198*(P42/(Q2-P42))</f>
        <v>4.4229631030513715E-3</v>
      </c>
      <c r="S42" s="21">
        <f>((2501-2.381*N42)*Q42-(M2-N42))/(2501+1.805*M2-4.186*N42)-L14</f>
        <v>-2.4219991810996849E-7</v>
      </c>
      <c r="T42" s="21">
        <f>((2501-2.381*M42)*R42-(M2-M42))/(2501+1.805*M2-4.186*M42)-L14</f>
        <v>1.589747743824298E-5</v>
      </c>
      <c r="U42" s="21">
        <f t="shared" si="5"/>
        <v>2.1647891039948921</v>
      </c>
      <c r="W42" s="30">
        <v>5</v>
      </c>
      <c r="X42" s="30">
        <f t="shared" si="34"/>
        <v>30.013111147398966</v>
      </c>
      <c r="Y42" s="30">
        <f t="shared" si="35"/>
        <v>27.919690249911206</v>
      </c>
      <c r="Z42" s="24">
        <f t="shared" si="6"/>
        <v>3.7645421151733203</v>
      </c>
      <c r="AA42" s="24">
        <f t="shared" si="7"/>
        <v>4.2492270443271991</v>
      </c>
      <c r="AB42" s="20">
        <f>0.62198*(Z42/(AB2-Z42))</f>
        <v>2.4000193885515417E-2</v>
      </c>
      <c r="AC42" s="20">
        <f>0.62198*(AA42/(AB2-AA42))</f>
        <v>2.7225477135654229E-2</v>
      </c>
      <c r="AD42" s="21">
        <f>((2501-2.381*Y42)*AB42-(X2-Y42))/(2501+1.805*X2-4.186*Y42)-W14</f>
        <v>-4.6051966739034736E-4</v>
      </c>
      <c r="AE42" s="21">
        <f>((2501-2.381*X42)*AC42-(X2-X42))/(2501+1.805*X2-4.186*X42)-W14</f>
        <v>3.6376735704865618E-3</v>
      </c>
      <c r="AF42" s="21">
        <f t="shared" si="8"/>
        <v>28.154930864362687</v>
      </c>
      <c r="AH42" s="30">
        <v>5</v>
      </c>
      <c r="AI42" s="30">
        <f t="shared" si="36"/>
        <v>5.9543903732593373</v>
      </c>
      <c r="AJ42" s="30">
        <f t="shared" si="37"/>
        <v>5.7872083553713507</v>
      </c>
      <c r="AK42" s="24">
        <f t="shared" si="9"/>
        <v>0.92156676101140267</v>
      </c>
      <c r="AL42" s="24">
        <f t="shared" si="10"/>
        <v>0.93229867960060198</v>
      </c>
      <c r="AM42" s="20">
        <f>0.62198*(AK42/(AM2-AK42))</f>
        <v>5.7089292220665732E-3</v>
      </c>
      <c r="AN42" s="20">
        <f>0.62198*(AL42/(AM2-AL42))</f>
        <v>5.7760287860702773E-3</v>
      </c>
      <c r="AO42" s="21">
        <f>((2501-2.381*AJ42)*AM42-(AI2-AJ42))/(2501+1.805*AI2-4.186*AJ42)-AH14</f>
        <v>-5.3424687058000628E-6</v>
      </c>
      <c r="AP42" s="21">
        <f>((2501-2.381*AI42)*AN42-(AI2-AI42))/(2501+1.805*AI2-4.186*AI42)-AH14</f>
        <v>1.2672257566195285E-4</v>
      </c>
      <c r="AQ42" s="21">
        <f t="shared" si="11"/>
        <v>5.7939714220330476</v>
      </c>
      <c r="AS42" s="30">
        <v>5</v>
      </c>
      <c r="AT42" s="30">
        <f t="shared" si="38"/>
        <v>13.226072176026435</v>
      </c>
      <c r="AU42" s="30">
        <f t="shared" si="39"/>
        <v>12.475682508428905</v>
      </c>
      <c r="AV42" s="24">
        <f t="shared" si="12"/>
        <v>1.4471997457318582</v>
      </c>
      <c r="AW42" s="24">
        <f t="shared" si="13"/>
        <v>1.5201089300446173</v>
      </c>
      <c r="AX42" s="20">
        <f>0.62198*(AV42/(AX2-AV42))</f>
        <v>9.0123059935116601E-3</v>
      </c>
      <c r="AY42" s="20">
        <f>0.62198*(AW42/(AX2-AW42))</f>
        <v>9.4732566928653391E-3</v>
      </c>
      <c r="AZ42" s="21">
        <f>((2501-2.381*AU42)*AX42-(AT2-AU42))/(2501+1.805*AT2-4.186*AU42)-AS14</f>
        <v>-6.2180190780886102E-5</v>
      </c>
      <c r="BA42" s="21">
        <f>((2501-2.381*AT42)*AY42-(AT2-AT42))/(2501+1.805*AT2-4.186*AT42)-AS14</f>
        <v>7.0742843795236661E-4</v>
      </c>
      <c r="BB42" s="21">
        <f t="shared" si="14"/>
        <v>12.536309911694925</v>
      </c>
      <c r="BD42" s="30">
        <v>5</v>
      </c>
      <c r="BE42" s="30">
        <f t="shared" si="40"/>
        <v>17.050922865033961</v>
      </c>
      <c r="BF42" s="30">
        <f t="shared" si="41"/>
        <v>15.881434053227256</v>
      </c>
      <c r="BG42" s="24">
        <f t="shared" si="15"/>
        <v>1.8047080544220229</v>
      </c>
      <c r="BH42" s="24">
        <f t="shared" si="16"/>
        <v>1.9442146693991194</v>
      </c>
      <c r="BI42" s="20">
        <f>0.62198*(BG42/(BI2-BG42))</f>
        <v>1.1279029570203002E-2</v>
      </c>
      <c r="BJ42" s="20">
        <f>0.62198*(BH42/(BI2-BH42))</f>
        <v>1.2167972269992854E-2</v>
      </c>
      <c r="BK42" s="21">
        <f>((2501-2.381*BF42)*BI42-(BE2-BF42))/(2501+1.805*BE2-4.186*BF42)-BD14</f>
        <v>-1.3263997414567595E-4</v>
      </c>
      <c r="BL42" s="21">
        <f>((2501-2.381*BE42)*BJ42-(BE2-BE42))/(2501+1.805*BE2-4.186*BE42)-BD14</f>
        <v>1.2331440962430173E-3</v>
      </c>
      <c r="BM42" s="21">
        <f t="shared" si="17"/>
        <v>15.995010546850843</v>
      </c>
      <c r="BO42" s="30">
        <v>5</v>
      </c>
      <c r="BP42" s="30" t="e">
        <f t="shared" si="42"/>
        <v>#VALUE!</v>
      </c>
      <c r="BQ42" s="30" t="e">
        <f t="shared" si="43"/>
        <v>#VALUE!</v>
      </c>
      <c r="BR42" s="24" t="e">
        <f t="shared" si="18"/>
        <v>#VALUE!</v>
      </c>
      <c r="BS42" s="24" t="e">
        <f t="shared" si="19"/>
        <v>#VALUE!</v>
      </c>
      <c r="BT42" s="20" t="e">
        <f>0.62198*(BR42/(BT2-BR42))</f>
        <v>#VALUE!</v>
      </c>
      <c r="BU42" s="20" t="e">
        <f>0.62198*(BS42/(BT2-BS42))</f>
        <v>#VALUE!</v>
      </c>
      <c r="BV42" s="21" t="e">
        <f>((2501-2.381*BQ42)*BT42-(BP2-BQ42))/(2501+1.805*BP2-4.186*BQ42)-BO14</f>
        <v>#VALUE!</v>
      </c>
      <c r="BW42" s="21" t="e">
        <f>((2501-2.381*BP42)*BU42-(BP2-BP42))/(2501+1.805*BP2-4.186*BP42)-BO14</f>
        <v>#VALUE!</v>
      </c>
      <c r="BX42" s="21" t="e">
        <f t="shared" si="20"/>
        <v>#VALUE!</v>
      </c>
      <c r="BZ42" s="30">
        <v>5</v>
      </c>
      <c r="CA42" s="30" t="e">
        <f t="shared" si="44"/>
        <v>#VALUE!</v>
      </c>
      <c r="CB42" s="30" t="e">
        <f t="shared" si="45"/>
        <v>#VALUE!</v>
      </c>
      <c r="CC42" s="24" t="e">
        <f t="shared" si="21"/>
        <v>#VALUE!</v>
      </c>
      <c r="CD42" s="24" t="e">
        <f t="shared" si="22"/>
        <v>#VALUE!</v>
      </c>
      <c r="CE42" s="20" t="e">
        <f>0.62198*(CC42/(CE2-CC42))</f>
        <v>#VALUE!</v>
      </c>
      <c r="CF42" s="20" t="e">
        <f>0.62198*(CD42/(CE2-CD42))</f>
        <v>#VALUE!</v>
      </c>
      <c r="CG42" s="21" t="e">
        <f>((2501-2.381*CB42)*CE42-(CA2-CB42))/(2501+1.805*CA2-4.186*CB42)-BZ14</f>
        <v>#VALUE!</v>
      </c>
      <c r="CH42" s="21" t="e">
        <f>((2501-2.381*CA42)*CF42-(CA2-CA42))/(2501+1.805*CA2-4.186*CA42)-BZ14</f>
        <v>#VALUE!</v>
      </c>
      <c r="CI42" s="21" t="e">
        <f t="shared" si="23"/>
        <v>#VALUE!</v>
      </c>
      <c r="CK42" s="30">
        <v>5</v>
      </c>
      <c r="CL42" s="30" t="e">
        <f t="shared" si="46"/>
        <v>#N/A</v>
      </c>
      <c r="CM42" s="30" t="e">
        <f t="shared" si="47"/>
        <v>#N/A</v>
      </c>
      <c r="CN42" s="24" t="e">
        <f t="shared" si="24"/>
        <v>#N/A</v>
      </c>
      <c r="CO42" s="24" t="e">
        <f t="shared" si="25"/>
        <v>#N/A</v>
      </c>
      <c r="CP42" s="20" t="e">
        <f>0.62198*(CN42/(CP2-CN42))</f>
        <v>#N/A</v>
      </c>
      <c r="CQ42" s="20" t="e">
        <f>0.62198*(CO42/(CP2-CO42))</f>
        <v>#N/A</v>
      </c>
      <c r="CR42" s="21" t="e">
        <f>((2501-2.381*CM42)*CP42-(CL2-CM42))/(2501+1.805*CL2-4.186*CM42)-CK14</f>
        <v>#N/A</v>
      </c>
      <c r="CS42" s="21" t="e">
        <f>((2501-2.381*CL42)*CQ42-(CL2-CL42))/(2501+1.805*CL2-4.186*CL42)-CK14</f>
        <v>#N/A</v>
      </c>
      <c r="CT42" s="21" t="e">
        <f t="shared" si="26"/>
        <v>#N/A</v>
      </c>
      <c r="CV42" s="30">
        <v>5</v>
      </c>
      <c r="CW42" s="30" t="e">
        <f t="shared" si="48"/>
        <v>#N/A</v>
      </c>
      <c r="CX42" s="30" t="e">
        <f t="shared" si="49"/>
        <v>#N/A</v>
      </c>
      <c r="CY42" s="24" t="e">
        <f t="shared" si="27"/>
        <v>#N/A</v>
      </c>
      <c r="CZ42" s="24" t="e">
        <f t="shared" si="28"/>
        <v>#N/A</v>
      </c>
      <c r="DA42" s="20" t="e">
        <f>0.62198*(CY42/(DA2-CY42))</f>
        <v>#N/A</v>
      </c>
      <c r="DB42" s="20" t="e">
        <f>0.62198*(CZ42/(DA2-CZ42))</f>
        <v>#N/A</v>
      </c>
      <c r="DC42" s="21" t="e">
        <f>((2501-2.381*CX42)*DA42-(CW2-CX42))/(2501+1.805*CW2-4.186*CX42)-CV14</f>
        <v>#N/A</v>
      </c>
      <c r="DD42" s="21" t="e">
        <f>((2501-2.381*CW42)*DB42-(CW2-CW42))/(2501+1.805*CW2-4.186*CW42)-CV14</f>
        <v>#N/A</v>
      </c>
      <c r="DE42" s="21" t="e">
        <f t="shared" si="29"/>
        <v>#N/A</v>
      </c>
    </row>
    <row r="43" spans="1:109">
      <c r="A43" s="30">
        <v>6</v>
      </c>
      <c r="B43" s="30">
        <f t="shared" si="30"/>
        <v>12.512324072797837</v>
      </c>
      <c r="C43" s="30">
        <f t="shared" si="31"/>
        <v>12.577022090860847</v>
      </c>
      <c r="D43" s="24">
        <f t="shared" si="0"/>
        <v>1.4568628365665126</v>
      </c>
      <c r="E43" s="24">
        <f t="shared" si="1"/>
        <v>1.4506871222221542</v>
      </c>
      <c r="F43" s="20">
        <f>0.62198*(D43/(F2-D43))</f>
        <v>9.0733598605604177E-3</v>
      </c>
      <c r="G43" s="20">
        <f>0.62198*(E43/(F2-E43))</f>
        <v>9.0343387632006219E-3</v>
      </c>
      <c r="H43" s="21">
        <f>((2501-2.381*C43)*F43-(B2-C43))/(2501+1.805*B2-4.186*C43)-A14</f>
        <v>-8.8182608889514235E-7</v>
      </c>
      <c r="I43" s="21">
        <f>((2501-2.381*B43)*G43-(B2-B43))/(2501+1.805*B2-4.186*B43)-A14</f>
        <v>-6.4473441546767469E-5</v>
      </c>
      <c r="J43" s="21">
        <f t="shared" si="2"/>
        <v>12.577919259454804</v>
      </c>
      <c r="L43" s="30">
        <v>6</v>
      </c>
      <c r="M43" s="30">
        <f t="shared" si="32"/>
        <v>2.1644507082505844</v>
      </c>
      <c r="N43" s="30">
        <f t="shared" si="33"/>
        <v>2.1647891039948921</v>
      </c>
      <c r="O43" s="24">
        <f t="shared" si="3"/>
        <v>0.71431166390238998</v>
      </c>
      <c r="P43" s="24">
        <f t="shared" si="4"/>
        <v>0.71429441289264373</v>
      </c>
      <c r="Q43" s="20">
        <f>0.62198*(O43/(Q2-O43))</f>
        <v>4.4159082505213793E-3</v>
      </c>
      <c r="R43" s="20">
        <f>0.62198*(P43/(Q2-P43))</f>
        <v>4.4158008468225853E-3</v>
      </c>
      <c r="S43" s="21">
        <f>((2501-2.381*N43)*Q43-(M2-N43))/(2501+1.805*M2-4.186*N43)-L14</f>
        <v>-8.3087339525916848E-11</v>
      </c>
      <c r="T43" s="21">
        <f>((2501-2.381*M43)*R43-(M2-M43))/(2501+1.805*M2-4.186*M43)-L14</f>
        <v>-2.4219991810996849E-7</v>
      </c>
      <c r="U43" s="21">
        <f t="shared" si="5"/>
        <v>2.1647892201223087</v>
      </c>
      <c r="W43" s="30">
        <v>6</v>
      </c>
      <c r="X43" s="30">
        <f t="shared" si="34"/>
        <v>27.919690249911206</v>
      </c>
      <c r="Y43" s="30">
        <f t="shared" si="35"/>
        <v>28.154930864362687</v>
      </c>
      <c r="Z43" s="24">
        <f t="shared" si="6"/>
        <v>3.8164893908348185</v>
      </c>
      <c r="AA43" s="24">
        <f t="shared" si="7"/>
        <v>3.7645421151733203</v>
      </c>
      <c r="AB43" s="20">
        <f>0.62198*(Z43/(AB2-Z43))</f>
        <v>2.4344337294065075E-2</v>
      </c>
      <c r="AC43" s="20">
        <f>0.62198*(AA43/(AB2-AA43))</f>
        <v>2.4000193885515417E-2</v>
      </c>
      <c r="AD43" s="21">
        <f>((2501-2.381*Y43)*AB43-(X2-Y43))/(2501+1.805*X2-4.186*Y43)-W14</f>
        <v>-1.9002591113731482E-5</v>
      </c>
      <c r="AE43" s="21">
        <f>((2501-2.381*X43)*AC43-(X2-X43))/(2501+1.805*X2-4.186*X43)-W14</f>
        <v>-4.6051966739034736E-4</v>
      </c>
      <c r="AF43" s="21">
        <f t="shared" si="8"/>
        <v>28.1650554585176</v>
      </c>
      <c r="AH43" s="30">
        <v>6</v>
      </c>
      <c r="AI43" s="30">
        <f t="shared" si="36"/>
        <v>5.7872083553713507</v>
      </c>
      <c r="AJ43" s="30">
        <f t="shared" si="37"/>
        <v>5.7939714220330476</v>
      </c>
      <c r="AK43" s="24">
        <f t="shared" si="9"/>
        <v>0.92199877493357796</v>
      </c>
      <c r="AL43" s="24">
        <f t="shared" si="10"/>
        <v>0.92156676101140267</v>
      </c>
      <c r="AM43" s="20">
        <f>0.62198*(AK43/(AM2-AK43))</f>
        <v>5.7116300412941908E-3</v>
      </c>
      <c r="AN43" s="20">
        <f>0.62198*(AL43/(AM2-AL43))</f>
        <v>5.7089292220665732E-3</v>
      </c>
      <c r="AO43" s="21">
        <f>((2501-2.381*AJ43)*AM43-(AI2-AJ43))/(2501+1.805*AI2-4.186*AJ43)-AH14</f>
        <v>-1.4457009472797025E-8</v>
      </c>
      <c r="AP43" s="21">
        <f>((2501-2.381*AI43)*AN43-(AI2-AI43))/(2501+1.805*AI2-4.186*AI43)-AH14</f>
        <v>-5.3424687058000628E-6</v>
      </c>
      <c r="AQ43" s="21">
        <f t="shared" si="11"/>
        <v>5.7939897729159595</v>
      </c>
      <c r="AS43" s="30">
        <v>6</v>
      </c>
      <c r="AT43" s="30">
        <f t="shared" si="38"/>
        <v>12.475682508428905</v>
      </c>
      <c r="AU43" s="30">
        <f t="shared" si="39"/>
        <v>12.536309911694925</v>
      </c>
      <c r="AV43" s="24">
        <f t="shared" si="12"/>
        <v>1.4529739860458861</v>
      </c>
      <c r="AW43" s="24">
        <f t="shared" si="13"/>
        <v>1.4471997457318582</v>
      </c>
      <c r="AX43" s="20">
        <f>0.62198*(AV43/(AX2-AV43))</f>
        <v>9.0487876927073888E-3</v>
      </c>
      <c r="AY43" s="20">
        <f>0.62198*(AW43/(AX2-AW43))</f>
        <v>9.0123059935116601E-3</v>
      </c>
      <c r="AZ43" s="21">
        <f>((2501-2.381*AU43)*AX43-(AT2-AU43))/(2501+1.805*AT2-4.186*AU43)-AS14</f>
        <v>-8.0823759534068285E-7</v>
      </c>
      <c r="BA43" s="21">
        <f>((2501-2.381*AT43)*AY43-(AT2-AT43))/(2501+1.805*AT2-4.186*AT43)-AS14</f>
        <v>-6.2180190780886102E-5</v>
      </c>
      <c r="BB43" s="21">
        <f t="shared" si="14"/>
        <v>12.537108343944251</v>
      </c>
      <c r="BD43" s="30">
        <v>6</v>
      </c>
      <c r="BE43" s="30">
        <f t="shared" si="40"/>
        <v>15.881434053227256</v>
      </c>
      <c r="BF43" s="30">
        <f t="shared" si="41"/>
        <v>15.995010546850843</v>
      </c>
      <c r="BG43" s="24">
        <f t="shared" si="15"/>
        <v>1.8178598701398716</v>
      </c>
      <c r="BH43" s="24">
        <f t="shared" si="16"/>
        <v>1.8047080544220229</v>
      </c>
      <c r="BI43" s="20">
        <f>0.62198*(BG43/(BI2-BG43))</f>
        <v>1.1362727142535018E-2</v>
      </c>
      <c r="BJ43" s="20">
        <f>0.62198*(BH43/(BI2-BH43))</f>
        <v>1.1279029570203002E-2</v>
      </c>
      <c r="BK43" s="21">
        <f>((2501-2.381*BF43)*BI43-(BE2-BF43))/(2501+1.805*BE2-4.186*BF43)-BD14</f>
        <v>-2.7730483229265745E-6</v>
      </c>
      <c r="BL43" s="21">
        <f>((2501-2.381*BE43)*BJ43-(BE2-BE43))/(2501+1.805*BE2-4.186*BE43)-BD14</f>
        <v>-1.3263997414567595E-4</v>
      </c>
      <c r="BM43" s="21">
        <f t="shared" si="17"/>
        <v>15.997435745593105</v>
      </c>
      <c r="BO43" s="30">
        <v>6</v>
      </c>
      <c r="BP43" s="30" t="e">
        <f t="shared" si="42"/>
        <v>#VALUE!</v>
      </c>
      <c r="BQ43" s="30" t="e">
        <f t="shared" si="43"/>
        <v>#VALUE!</v>
      </c>
      <c r="BR43" s="24" t="e">
        <f t="shared" si="18"/>
        <v>#VALUE!</v>
      </c>
      <c r="BS43" s="24" t="e">
        <f t="shared" si="19"/>
        <v>#VALUE!</v>
      </c>
      <c r="BT43" s="20" t="e">
        <f>0.62198*(BR43/(BT2-BR43))</f>
        <v>#VALUE!</v>
      </c>
      <c r="BU43" s="20" t="e">
        <f>0.62198*(BS43/(BT2-BS43))</f>
        <v>#VALUE!</v>
      </c>
      <c r="BV43" s="21" t="e">
        <f>((2501-2.381*BQ43)*BT43-(BP2-BQ43))/(2501+1.805*BP2-4.186*BQ43)-BO14</f>
        <v>#VALUE!</v>
      </c>
      <c r="BW43" s="21" t="e">
        <f>((2501-2.381*BP43)*BU43-(BP2-BP43))/(2501+1.805*BP2-4.186*BP43)-BO14</f>
        <v>#VALUE!</v>
      </c>
      <c r="BX43" s="21" t="e">
        <f t="shared" si="20"/>
        <v>#VALUE!</v>
      </c>
      <c r="BZ43" s="30">
        <v>6</v>
      </c>
      <c r="CA43" s="30" t="e">
        <f t="shared" si="44"/>
        <v>#VALUE!</v>
      </c>
      <c r="CB43" s="30" t="e">
        <f t="shared" si="45"/>
        <v>#VALUE!</v>
      </c>
      <c r="CC43" s="24" t="e">
        <f t="shared" si="21"/>
        <v>#VALUE!</v>
      </c>
      <c r="CD43" s="24" t="e">
        <f t="shared" si="22"/>
        <v>#VALUE!</v>
      </c>
      <c r="CE43" s="20" t="e">
        <f>0.62198*(CC43/(CE2-CC43))</f>
        <v>#VALUE!</v>
      </c>
      <c r="CF43" s="20" t="e">
        <f>0.62198*(CD43/(CE2-CD43))</f>
        <v>#VALUE!</v>
      </c>
      <c r="CG43" s="21" t="e">
        <f>((2501-2.381*CB43)*CE43-(CA2-CB43))/(2501+1.805*CA2-4.186*CB43)-BZ14</f>
        <v>#VALUE!</v>
      </c>
      <c r="CH43" s="21" t="e">
        <f>((2501-2.381*CA43)*CF43-(CA2-CA43))/(2501+1.805*CA2-4.186*CA43)-BZ14</f>
        <v>#VALUE!</v>
      </c>
      <c r="CI43" s="21" t="e">
        <f t="shared" si="23"/>
        <v>#VALUE!</v>
      </c>
      <c r="CK43" s="30">
        <v>6</v>
      </c>
      <c r="CL43" s="30" t="e">
        <f t="shared" si="46"/>
        <v>#N/A</v>
      </c>
      <c r="CM43" s="30" t="e">
        <f t="shared" si="47"/>
        <v>#N/A</v>
      </c>
      <c r="CN43" s="24" t="e">
        <f t="shared" si="24"/>
        <v>#N/A</v>
      </c>
      <c r="CO43" s="24" t="e">
        <f t="shared" si="25"/>
        <v>#N/A</v>
      </c>
      <c r="CP43" s="20" t="e">
        <f>0.62198*(CN43/(CP2-CN43))</f>
        <v>#N/A</v>
      </c>
      <c r="CQ43" s="20" t="e">
        <f>0.62198*(CO43/(CP2-CO43))</f>
        <v>#N/A</v>
      </c>
      <c r="CR43" s="21" t="e">
        <f>((2501-2.381*CM43)*CP43-(CL2-CM43))/(2501+1.805*CL2-4.186*CM43)-CK14</f>
        <v>#N/A</v>
      </c>
      <c r="CS43" s="21" t="e">
        <f>((2501-2.381*CL43)*CQ43-(CL2-CL43))/(2501+1.805*CL2-4.186*CL43)-CK14</f>
        <v>#N/A</v>
      </c>
      <c r="CT43" s="21" t="e">
        <f t="shared" si="26"/>
        <v>#N/A</v>
      </c>
      <c r="CV43" s="30">
        <v>6</v>
      </c>
      <c r="CW43" s="30" t="e">
        <f t="shared" si="48"/>
        <v>#N/A</v>
      </c>
      <c r="CX43" s="30" t="e">
        <f t="shared" si="49"/>
        <v>#N/A</v>
      </c>
      <c r="CY43" s="24" t="e">
        <f t="shared" si="27"/>
        <v>#N/A</v>
      </c>
      <c r="CZ43" s="24" t="e">
        <f t="shared" si="28"/>
        <v>#N/A</v>
      </c>
      <c r="DA43" s="20" t="e">
        <f>0.62198*(CY43/(DA2-CY43))</f>
        <v>#N/A</v>
      </c>
      <c r="DB43" s="20" t="e">
        <f>0.62198*(CZ43/(DA2-CZ43))</f>
        <v>#N/A</v>
      </c>
      <c r="DC43" s="21" t="e">
        <f>((2501-2.381*CX43)*DA43-(CW2-CX43))/(2501+1.805*CW2-4.186*CX43)-CV14</f>
        <v>#N/A</v>
      </c>
      <c r="DD43" s="21" t="e">
        <f>((2501-2.381*CW43)*DB43-(CW2-CW43))/(2501+1.805*CW2-4.186*CW43)-CV14</f>
        <v>#N/A</v>
      </c>
      <c r="DE43" s="21" t="e">
        <f t="shared" si="29"/>
        <v>#N/A</v>
      </c>
    </row>
    <row r="44" spans="1:109">
      <c r="A44" s="30">
        <v>7</v>
      </c>
      <c r="B44" s="30">
        <f t="shared" si="30"/>
        <v>12.577022090860847</v>
      </c>
      <c r="C44" s="30">
        <f t="shared" si="31"/>
        <v>12.577919259454804</v>
      </c>
      <c r="D44" s="24">
        <f t="shared" si="0"/>
        <v>1.4569486376220817</v>
      </c>
      <c r="E44" s="24">
        <f t="shared" si="1"/>
        <v>1.4568628365665126</v>
      </c>
      <c r="F44" s="20">
        <f>0.62198*(D44/(F2-D44))</f>
        <v>9.0739020263848006E-3</v>
      </c>
      <c r="G44" s="20">
        <f>0.62198*(E44/(F2-E44))</f>
        <v>9.0733598605604177E-3</v>
      </c>
      <c r="H44" s="21">
        <f>((2501-2.381*C44)*F44-(B2-C44))/(2501+1.805*B2-4.186*C44)-A14</f>
        <v>1.1052424221149677E-9</v>
      </c>
      <c r="I44" s="21">
        <f>((2501-2.381*B44)*G44-(B2-B44))/(2501+1.805*B2-4.186*B44)-A14</f>
        <v>-8.8182608889514235E-7</v>
      </c>
      <c r="J44" s="21">
        <f t="shared" si="2"/>
        <v>12.577918136390354</v>
      </c>
      <c r="L44" s="30">
        <v>7</v>
      </c>
      <c r="M44" s="30">
        <f t="shared" si="32"/>
        <v>2.1647891039948921</v>
      </c>
      <c r="N44" s="30">
        <f t="shared" si="33"/>
        <v>2.1647892201223087</v>
      </c>
      <c r="O44" s="24">
        <f t="shared" si="3"/>
        <v>0.71431166982248684</v>
      </c>
      <c r="P44" s="24">
        <f t="shared" si="4"/>
        <v>0.71431166390238998</v>
      </c>
      <c r="Q44" s="20">
        <f>0.62198*(O44/(Q2-O44))</f>
        <v>4.4159082873795347E-3</v>
      </c>
      <c r="R44" s="20">
        <f>0.62198*(P44/(Q2-P44))</f>
        <v>4.4159082505213793E-3</v>
      </c>
      <c r="S44" s="21">
        <f>((2501-2.381*N44)*Q44-(M2-N44))/(2501+1.805*M2-4.186*N44)-L14</f>
        <v>4.150325916274511E-16</v>
      </c>
      <c r="T44" s="21">
        <f>((2501-2.381*M44)*R44-(M2-M44))/(2501+1.805*M2-4.186*M44)-L14</f>
        <v>-8.3087339525916848E-11</v>
      </c>
      <c r="U44" s="21">
        <f t="shared" si="5"/>
        <v>2.1647892201217287</v>
      </c>
      <c r="W44" s="30">
        <v>7</v>
      </c>
      <c r="X44" s="30">
        <f t="shared" si="34"/>
        <v>28.154930864362687</v>
      </c>
      <c r="Y44" s="30">
        <f t="shared" si="35"/>
        <v>28.1650554585176</v>
      </c>
      <c r="Z44" s="24">
        <f t="shared" si="6"/>
        <v>3.8187391022799377</v>
      </c>
      <c r="AA44" s="24">
        <f t="shared" si="7"/>
        <v>3.8164893908348185</v>
      </c>
      <c r="AB44" s="20">
        <f>0.62198*(Z44/(AB2-Z44))</f>
        <v>2.4359249600674749E-2</v>
      </c>
      <c r="AC44" s="20">
        <f>0.62198*(AA44/(AB2-AA44))</f>
        <v>2.4344337294065075E-2</v>
      </c>
      <c r="AD44" s="21">
        <f>((2501-2.381*Y44)*AB44-(X2-Y44))/(2501+1.805*X2-4.186*Y44)-W14</f>
        <v>1.0454491093658813E-7</v>
      </c>
      <c r="AE44" s="21">
        <f>((2501-2.381*X44)*AC44-(X2-X44))/(2501+1.805*X2-4.186*X44)-W14</f>
        <v>-1.9002591113731482E-5</v>
      </c>
      <c r="AF44" s="21">
        <f t="shared" si="8"/>
        <v>28.165000061686133</v>
      </c>
      <c r="AH44" s="30">
        <v>7</v>
      </c>
      <c r="AI44" s="30">
        <f t="shared" si="36"/>
        <v>5.7939714220330476</v>
      </c>
      <c r="AJ44" s="30">
        <f t="shared" si="37"/>
        <v>5.7939897729159595</v>
      </c>
      <c r="AK44" s="24">
        <f t="shared" si="9"/>
        <v>0.92199994740211977</v>
      </c>
      <c r="AL44" s="24">
        <f t="shared" si="10"/>
        <v>0.92199877493357796</v>
      </c>
      <c r="AM44" s="20">
        <f>0.62198*(AK44/(AM2-AK44))</f>
        <v>5.7116373712414008E-3</v>
      </c>
      <c r="AN44" s="20">
        <f>0.62198*(AL44/(AM2-AL44))</f>
        <v>5.7116300412941908E-3</v>
      </c>
      <c r="AO44" s="21">
        <f>((2501-2.381*AJ44)*AM44-(AI2-AJ44))/(2501+1.805*AI2-4.186*AJ44)-AH14</f>
        <v>1.6535486031472004E-12</v>
      </c>
      <c r="AP44" s="21">
        <f>((2501-2.381*AI44)*AN44-(AI2-AI44))/(2501+1.805*AI2-4.186*AI44)-AH14</f>
        <v>-1.4457009472797025E-8</v>
      </c>
      <c r="AQ44" s="21">
        <f t="shared" si="11"/>
        <v>5.7939897708172818</v>
      </c>
      <c r="AS44" s="30">
        <v>7</v>
      </c>
      <c r="AT44" s="30">
        <f t="shared" si="38"/>
        <v>12.536309911694925</v>
      </c>
      <c r="AU44" s="30">
        <f t="shared" si="39"/>
        <v>12.537108343944251</v>
      </c>
      <c r="AV44" s="24">
        <f t="shared" si="12"/>
        <v>1.4530501648775416</v>
      </c>
      <c r="AW44" s="24">
        <f t="shared" si="13"/>
        <v>1.4529739860458861</v>
      </c>
      <c r="AX44" s="20">
        <f>0.62198*(AV44/(AX2-AV44))</f>
        <v>9.049269019404893E-3</v>
      </c>
      <c r="AY44" s="20">
        <f>0.62198*(AW44/(AX2-AW44))</f>
        <v>9.0487876927073888E-3</v>
      </c>
      <c r="AZ44" s="21">
        <f>((2501-2.381*AU44)*AX44-(AT2-AU44))/(2501+1.805*AT2-4.186*AU44)-AS14</f>
        <v>9.365104351732878E-10</v>
      </c>
      <c r="BA44" s="21">
        <f>((2501-2.381*AT44)*AY44-(AT2-AT44))/(2501+1.805*AT2-4.186*AT44)-AS14</f>
        <v>-8.0823759534068285E-7</v>
      </c>
      <c r="BB44" s="21">
        <f t="shared" si="14"/>
        <v>12.537107419866073</v>
      </c>
      <c r="BD44" s="30">
        <v>7</v>
      </c>
      <c r="BE44" s="30">
        <f t="shared" si="40"/>
        <v>15.995010546850843</v>
      </c>
      <c r="BF44" s="30">
        <f t="shared" si="41"/>
        <v>15.997435745593105</v>
      </c>
      <c r="BG44" s="24">
        <f t="shared" si="15"/>
        <v>1.8181416156465682</v>
      </c>
      <c r="BH44" s="24">
        <f t="shared" si="16"/>
        <v>1.8178598701398716</v>
      </c>
      <c r="BI44" s="20">
        <f>0.62198*(BG44/(BI2-BG44))</f>
        <v>1.1364520400512093E-2</v>
      </c>
      <c r="BJ44" s="20">
        <f>0.62198*(BH44/(BI2-BH44))</f>
        <v>1.1362727142535018E-2</v>
      </c>
      <c r="BK44" s="21">
        <f>((2501-2.381*BF44)*BI44-(BE2-BF44))/(2501+1.805*BE2-4.186*BF44)-BD14</f>
        <v>6.3866994904487884E-9</v>
      </c>
      <c r="BL44" s="21">
        <f>((2501-2.381*BE44)*BJ44-(BE2-BE44))/(2501+1.805*BE2-4.186*BE44)-BD14</f>
        <v>-2.7730483229265745E-6</v>
      </c>
      <c r="BM44" s="21">
        <f t="shared" si="17"/>
        <v>15.99743017287223</v>
      </c>
      <c r="BO44" s="30">
        <v>7</v>
      </c>
      <c r="BP44" s="30" t="e">
        <f t="shared" si="42"/>
        <v>#VALUE!</v>
      </c>
      <c r="BQ44" s="30" t="e">
        <f t="shared" si="43"/>
        <v>#VALUE!</v>
      </c>
      <c r="BR44" s="24" t="e">
        <f t="shared" si="18"/>
        <v>#VALUE!</v>
      </c>
      <c r="BS44" s="24" t="e">
        <f t="shared" si="19"/>
        <v>#VALUE!</v>
      </c>
      <c r="BT44" s="20" t="e">
        <f>0.62198*(BR44/(BT2-BR44))</f>
        <v>#VALUE!</v>
      </c>
      <c r="BU44" s="20" t="e">
        <f>0.62198*(BS44/(BT2-BS44))</f>
        <v>#VALUE!</v>
      </c>
      <c r="BV44" s="21" t="e">
        <f>((2501-2.381*BQ44)*BT44-(BP2-BQ44))/(2501+1.805*BP2-4.186*BQ44)-BO14</f>
        <v>#VALUE!</v>
      </c>
      <c r="BW44" s="21" t="e">
        <f>((2501-2.381*BP44)*BU44-(BP2-BP44))/(2501+1.805*BP2-4.186*BP44)-BO14</f>
        <v>#VALUE!</v>
      </c>
      <c r="BX44" s="21" t="e">
        <f t="shared" si="20"/>
        <v>#VALUE!</v>
      </c>
      <c r="BZ44" s="30">
        <v>7</v>
      </c>
      <c r="CA44" s="30" t="e">
        <f t="shared" si="44"/>
        <v>#VALUE!</v>
      </c>
      <c r="CB44" s="30" t="e">
        <f t="shared" si="45"/>
        <v>#VALUE!</v>
      </c>
      <c r="CC44" s="24" t="e">
        <f t="shared" si="21"/>
        <v>#VALUE!</v>
      </c>
      <c r="CD44" s="24" t="e">
        <f t="shared" si="22"/>
        <v>#VALUE!</v>
      </c>
      <c r="CE44" s="20" t="e">
        <f>0.62198*(CC44/(CE2-CC44))</f>
        <v>#VALUE!</v>
      </c>
      <c r="CF44" s="20" t="e">
        <f>0.62198*(CD44/(CE2-CD44))</f>
        <v>#VALUE!</v>
      </c>
      <c r="CG44" s="21" t="e">
        <f>((2501-2.381*CB44)*CE44-(CA2-CB44))/(2501+1.805*CA2-4.186*CB44)-BZ14</f>
        <v>#VALUE!</v>
      </c>
      <c r="CH44" s="21" t="e">
        <f>((2501-2.381*CA44)*CF44-(CA2-CA44))/(2501+1.805*CA2-4.186*CA44)-BZ14</f>
        <v>#VALUE!</v>
      </c>
      <c r="CI44" s="21" t="e">
        <f t="shared" si="23"/>
        <v>#VALUE!</v>
      </c>
      <c r="CK44" s="30">
        <v>7</v>
      </c>
      <c r="CL44" s="30" t="e">
        <f t="shared" si="46"/>
        <v>#N/A</v>
      </c>
      <c r="CM44" s="30" t="e">
        <f t="shared" si="47"/>
        <v>#N/A</v>
      </c>
      <c r="CN44" s="24" t="e">
        <f t="shared" si="24"/>
        <v>#N/A</v>
      </c>
      <c r="CO44" s="24" t="e">
        <f t="shared" si="25"/>
        <v>#N/A</v>
      </c>
      <c r="CP44" s="20" t="e">
        <f>0.62198*(CN44/(CP2-CN44))</f>
        <v>#N/A</v>
      </c>
      <c r="CQ44" s="20" t="e">
        <f>0.62198*(CO44/(CP2-CO44))</f>
        <v>#N/A</v>
      </c>
      <c r="CR44" s="21" t="e">
        <f>((2501-2.381*CM44)*CP44-(CL2-CM44))/(2501+1.805*CL2-4.186*CM44)-CK14</f>
        <v>#N/A</v>
      </c>
      <c r="CS44" s="21" t="e">
        <f>((2501-2.381*CL44)*CQ44-(CL2-CL44))/(2501+1.805*CL2-4.186*CL44)-CK14</f>
        <v>#N/A</v>
      </c>
      <c r="CT44" s="21" t="e">
        <f t="shared" si="26"/>
        <v>#N/A</v>
      </c>
      <c r="CV44" s="30">
        <v>7</v>
      </c>
      <c r="CW44" s="30" t="e">
        <f t="shared" si="48"/>
        <v>#N/A</v>
      </c>
      <c r="CX44" s="30" t="e">
        <f t="shared" si="49"/>
        <v>#N/A</v>
      </c>
      <c r="CY44" s="24" t="e">
        <f t="shared" si="27"/>
        <v>#N/A</v>
      </c>
      <c r="CZ44" s="24" t="e">
        <f t="shared" si="28"/>
        <v>#N/A</v>
      </c>
      <c r="DA44" s="20" t="e">
        <f>0.62198*(CY44/(DA2-CY44))</f>
        <v>#N/A</v>
      </c>
      <c r="DB44" s="20" t="e">
        <f>0.62198*(CZ44/(DA2-CZ44))</f>
        <v>#N/A</v>
      </c>
      <c r="DC44" s="21" t="e">
        <f>((2501-2.381*CX44)*DA44-(CW2-CX44))/(2501+1.805*CW2-4.186*CX44)-CV14</f>
        <v>#N/A</v>
      </c>
      <c r="DD44" s="21" t="e">
        <f>((2501-2.381*CW44)*DB44-(CW2-CW44))/(2501+1.805*CW2-4.186*CW44)-CV14</f>
        <v>#N/A</v>
      </c>
      <c r="DE44" s="21" t="e">
        <f t="shared" si="29"/>
        <v>#N/A</v>
      </c>
    </row>
    <row r="45" spans="1:109">
      <c r="A45" s="30">
        <v>8</v>
      </c>
      <c r="B45" s="30">
        <f t="shared" si="30"/>
        <v>12.577919259454804</v>
      </c>
      <c r="C45" s="30">
        <f t="shared" si="31"/>
        <v>12.577918136390354</v>
      </c>
      <c r="D45" s="24">
        <f t="shared" si="0"/>
        <v>1.456948530214617</v>
      </c>
      <c r="E45" s="24">
        <f t="shared" si="1"/>
        <v>1.4569486376220817</v>
      </c>
      <c r="F45" s="20">
        <f>0.62198*(D45/(F2-D45))</f>
        <v>9.0739013476902764E-3</v>
      </c>
      <c r="G45" s="20">
        <f>0.62198*(E45/(F2-E45))</f>
        <v>9.0739020263848006E-3</v>
      </c>
      <c r="H45" s="21">
        <f>((2501-2.381*C45)*F45-(B2-C45))/(2501+1.805*B2-4.186*C45)-A14</f>
        <v>-1.8892929957037422E-14</v>
      </c>
      <c r="I45" s="21">
        <f>((2501-2.381*B45)*G45-(B2-B45))/(2501+1.805*B2-4.186*B45)-A14</f>
        <v>1.1052424221149677E-9</v>
      </c>
      <c r="J45" s="21">
        <f t="shared" si="2"/>
        <v>12.577918136409551</v>
      </c>
      <c r="L45" s="30">
        <v>8</v>
      </c>
      <c r="M45" s="30">
        <f t="shared" si="32"/>
        <v>2.1647892201223087</v>
      </c>
      <c r="N45" s="30">
        <f t="shared" si="33"/>
        <v>2.1647892201217287</v>
      </c>
      <c r="O45" s="24">
        <f t="shared" si="3"/>
        <v>0.71431166982246141</v>
      </c>
      <c r="P45" s="24">
        <f t="shared" si="4"/>
        <v>0.71431166982248684</v>
      </c>
      <c r="Q45" s="20">
        <f>0.62198*(O45/(Q2-O45))</f>
        <v>4.4159082873793769E-3</v>
      </c>
      <c r="R45" s="20">
        <f>0.62198*(P45/(Q2-P45))</f>
        <v>4.4159082873795347E-3</v>
      </c>
      <c r="S45" s="21">
        <f>((2501-2.381*N45)*Q45-(M2-N45))/(2501+1.805*M2-4.186*N45)-L14</f>
        <v>2.6020852139652106E-17</v>
      </c>
      <c r="T45" s="21">
        <f>((2501-2.381*M45)*R45-(M2-M45))/(2501+1.805*M2-4.186*M45)-L14</f>
        <v>4.150325916274511E-16</v>
      </c>
      <c r="U45" s="21">
        <f t="shared" si="5"/>
        <v>2.1647892201216901</v>
      </c>
      <c r="W45" s="30">
        <v>8</v>
      </c>
      <c r="X45" s="30">
        <f t="shared" si="34"/>
        <v>28.1650554585176</v>
      </c>
      <c r="Y45" s="30">
        <f t="shared" si="35"/>
        <v>28.165000061686133</v>
      </c>
      <c r="Z45" s="24">
        <f t="shared" si="6"/>
        <v>3.8187267898181863</v>
      </c>
      <c r="AA45" s="24">
        <f t="shared" si="7"/>
        <v>3.8187391022799377</v>
      </c>
      <c r="AB45" s="20">
        <f>0.62198*(Z45/(AB2-Z45))</f>
        <v>2.4359167985133236E-2</v>
      </c>
      <c r="AC45" s="20">
        <f>0.62198*(AA45/(AB2-AA45))</f>
        <v>2.4359249600674749E-2</v>
      </c>
      <c r="AD45" s="21">
        <f>((2501-2.381*Y45)*AB45-(X2-Y45))/(2501+1.805*X2-4.186*Y45)-W14</f>
        <v>-2.3574434071527151E-11</v>
      </c>
      <c r="AE45" s="21">
        <f>((2501-2.381*X45)*AC45-(X2-X45))/(2501+1.805*X2-4.186*X45)-W14</f>
        <v>1.0454491093658813E-7</v>
      </c>
      <c r="AF45" s="21">
        <f t="shared" si="8"/>
        <v>28.165000074175069</v>
      </c>
      <c r="AH45" s="30">
        <v>8</v>
      </c>
      <c r="AI45" s="30">
        <f t="shared" si="36"/>
        <v>5.7939897729159595</v>
      </c>
      <c r="AJ45" s="30">
        <f t="shared" si="37"/>
        <v>5.7939897708172818</v>
      </c>
      <c r="AK45" s="24">
        <f t="shared" si="9"/>
        <v>0.92199994726803303</v>
      </c>
      <c r="AL45" s="24">
        <f t="shared" si="10"/>
        <v>0.92199994740211977</v>
      </c>
      <c r="AM45" s="20">
        <f>0.62198*(AK45/(AM2-AK45))</f>
        <v>5.7116373704031278E-3</v>
      </c>
      <c r="AN45" s="20">
        <f>0.62198*(AL45/(AM2-AL45))</f>
        <v>5.7116373712414008E-3</v>
      </c>
      <c r="AO45" s="21">
        <f>((2501-2.381*AJ45)*AM45-(AI2-AJ45))/(2501+1.805*AI2-4.186*AJ45)-AH14</f>
        <v>7.7760127135601871E-18</v>
      </c>
      <c r="AP45" s="21">
        <f>((2501-2.381*AI45)*AN45-(AI2-AI45))/(2501+1.805*AI2-4.186*AI45)-AH14</f>
        <v>1.6535486031472004E-12</v>
      </c>
      <c r="AQ45" s="21">
        <f t="shared" si="11"/>
        <v>5.7939897708172721</v>
      </c>
      <c r="AS45" s="30">
        <v>8</v>
      </c>
      <c r="AT45" s="30">
        <f t="shared" si="38"/>
        <v>12.537108343944251</v>
      </c>
      <c r="AU45" s="30">
        <f t="shared" si="39"/>
        <v>12.537107419866073</v>
      </c>
      <c r="AV45" s="24">
        <f t="shared" si="12"/>
        <v>1.4530500767087449</v>
      </c>
      <c r="AW45" s="24">
        <f t="shared" si="13"/>
        <v>1.4530501648775416</v>
      </c>
      <c r="AX45" s="20">
        <f>0.62198*(AV45/(AX2-AV45))</f>
        <v>9.0492684623206324E-3</v>
      </c>
      <c r="AY45" s="20">
        <f>0.62198*(AW45/(AX2-AW45))</f>
        <v>9.049269019404893E-3</v>
      </c>
      <c r="AZ45" s="21">
        <f>((2501-2.381*AU45)*AX45-(AT2-AU45))/(2501+1.805*AT2-4.186*AU45)-AS14</f>
        <v>-1.4037382367604323E-14</v>
      </c>
      <c r="BA45" s="21">
        <f>((2501-2.381*AT45)*AY45-(AT2-AT45))/(2501+1.805*AT2-4.186*AT45)-AS14</f>
        <v>9.365104351732878E-10</v>
      </c>
      <c r="BB45" s="21">
        <f t="shared" si="14"/>
        <v>12.537107419879923</v>
      </c>
      <c r="BD45" s="30">
        <v>8</v>
      </c>
      <c r="BE45" s="30">
        <f t="shared" si="40"/>
        <v>15.997435745593105</v>
      </c>
      <c r="BF45" s="30">
        <f t="shared" si="41"/>
        <v>15.99743017287223</v>
      </c>
      <c r="BG45" s="24">
        <f t="shared" si="15"/>
        <v>1.8181409681962883</v>
      </c>
      <c r="BH45" s="24">
        <f t="shared" si="16"/>
        <v>1.8181416156465682</v>
      </c>
      <c r="BI45" s="20">
        <f>0.62198*(BG45/(BI2-BG45))</f>
        <v>1.1364516279599314E-2</v>
      </c>
      <c r="BJ45" s="20">
        <f>0.62198*(BH45/(BI2-BH45))</f>
        <v>1.1364520400512093E-2</v>
      </c>
      <c r="BK45" s="21">
        <f>((2501-2.381*BF45)*BI45-(BE2-BF45))/(2501+1.805*BE2-4.186*BF45)-BD14</f>
        <v>-3.0674594808655087E-13</v>
      </c>
      <c r="BL45" s="21">
        <f>((2501-2.381*BE45)*BJ45-(BE2-BE45))/(2501+1.805*BE2-4.186*BE45)-BD14</f>
        <v>6.3866994904487884E-9</v>
      </c>
      <c r="BM45" s="21">
        <f t="shared" si="17"/>
        <v>15.997430173139868</v>
      </c>
      <c r="BO45" s="30">
        <v>8</v>
      </c>
      <c r="BP45" s="30" t="e">
        <f t="shared" si="42"/>
        <v>#VALUE!</v>
      </c>
      <c r="BQ45" s="30" t="e">
        <f t="shared" si="43"/>
        <v>#VALUE!</v>
      </c>
      <c r="BR45" s="24" t="e">
        <f t="shared" si="18"/>
        <v>#VALUE!</v>
      </c>
      <c r="BS45" s="24" t="e">
        <f t="shared" si="19"/>
        <v>#VALUE!</v>
      </c>
      <c r="BT45" s="20" t="e">
        <f>0.62198*(BR45/(BT2-BR45))</f>
        <v>#VALUE!</v>
      </c>
      <c r="BU45" s="20" t="e">
        <f>0.62198*(BS45/(BT2-BS45))</f>
        <v>#VALUE!</v>
      </c>
      <c r="BV45" s="21" t="e">
        <f>((2501-2.381*BQ45)*BT45-(BP2-BQ45))/(2501+1.805*BP2-4.186*BQ45)-BO14</f>
        <v>#VALUE!</v>
      </c>
      <c r="BW45" s="21" t="e">
        <f>((2501-2.381*BP45)*BU45-(BP2-BP45))/(2501+1.805*BP2-4.186*BP45)-BO14</f>
        <v>#VALUE!</v>
      </c>
      <c r="BX45" s="21" t="e">
        <f t="shared" si="20"/>
        <v>#VALUE!</v>
      </c>
      <c r="BZ45" s="30">
        <v>8</v>
      </c>
      <c r="CA45" s="30" t="e">
        <f t="shared" si="44"/>
        <v>#VALUE!</v>
      </c>
      <c r="CB45" s="30" t="e">
        <f t="shared" si="45"/>
        <v>#VALUE!</v>
      </c>
      <c r="CC45" s="24" t="e">
        <f t="shared" si="21"/>
        <v>#VALUE!</v>
      </c>
      <c r="CD45" s="24" t="e">
        <f t="shared" si="22"/>
        <v>#VALUE!</v>
      </c>
      <c r="CE45" s="20" t="e">
        <f>0.62198*(CC45/(CE2-CC45))</f>
        <v>#VALUE!</v>
      </c>
      <c r="CF45" s="20" t="e">
        <f>0.62198*(CD45/(CE2-CD45))</f>
        <v>#VALUE!</v>
      </c>
      <c r="CG45" s="21" t="e">
        <f>((2501-2.381*CB45)*CE45-(CA2-CB45))/(2501+1.805*CA2-4.186*CB45)-BZ14</f>
        <v>#VALUE!</v>
      </c>
      <c r="CH45" s="21" t="e">
        <f>((2501-2.381*CA45)*CF45-(CA2-CA45))/(2501+1.805*CA2-4.186*CA45)-BZ14</f>
        <v>#VALUE!</v>
      </c>
      <c r="CI45" s="21" t="e">
        <f t="shared" si="23"/>
        <v>#VALUE!</v>
      </c>
      <c r="CK45" s="30">
        <v>8</v>
      </c>
      <c r="CL45" s="30" t="e">
        <f t="shared" si="46"/>
        <v>#N/A</v>
      </c>
      <c r="CM45" s="30" t="e">
        <f t="shared" si="47"/>
        <v>#N/A</v>
      </c>
      <c r="CN45" s="24" t="e">
        <f t="shared" si="24"/>
        <v>#N/A</v>
      </c>
      <c r="CO45" s="24" t="e">
        <f t="shared" si="25"/>
        <v>#N/A</v>
      </c>
      <c r="CP45" s="20" t="e">
        <f>0.62198*(CN45/(CP2-CN45))</f>
        <v>#N/A</v>
      </c>
      <c r="CQ45" s="20" t="e">
        <f>0.62198*(CO45/(CP2-CO45))</f>
        <v>#N/A</v>
      </c>
      <c r="CR45" s="21" t="e">
        <f>((2501-2.381*CM45)*CP45-(CL2-CM45))/(2501+1.805*CL2-4.186*CM45)-CK14</f>
        <v>#N/A</v>
      </c>
      <c r="CS45" s="21" t="e">
        <f>((2501-2.381*CL45)*CQ45-(CL2-CL45))/(2501+1.805*CL2-4.186*CL45)-CK14</f>
        <v>#N/A</v>
      </c>
      <c r="CT45" s="21" t="e">
        <f t="shared" si="26"/>
        <v>#N/A</v>
      </c>
      <c r="CV45" s="30">
        <v>8</v>
      </c>
      <c r="CW45" s="30" t="e">
        <f t="shared" si="48"/>
        <v>#N/A</v>
      </c>
      <c r="CX45" s="30" t="e">
        <f t="shared" si="49"/>
        <v>#N/A</v>
      </c>
      <c r="CY45" s="24" t="e">
        <f t="shared" si="27"/>
        <v>#N/A</v>
      </c>
      <c r="CZ45" s="24" t="e">
        <f t="shared" si="28"/>
        <v>#N/A</v>
      </c>
      <c r="DA45" s="20" t="e">
        <f>0.62198*(CY45/(DA2-CY45))</f>
        <v>#N/A</v>
      </c>
      <c r="DB45" s="20" t="e">
        <f>0.62198*(CZ45/(DA2-CZ45))</f>
        <v>#N/A</v>
      </c>
      <c r="DC45" s="21" t="e">
        <f>((2501-2.381*CX45)*DA45-(CW2-CX45))/(2501+1.805*CW2-4.186*CX45)-CV14</f>
        <v>#N/A</v>
      </c>
      <c r="DD45" s="21" t="e">
        <f>((2501-2.381*CW45)*DB45-(CW2-CW45))/(2501+1.805*CW2-4.186*CW45)-CV14</f>
        <v>#N/A</v>
      </c>
      <c r="DE45" s="21" t="e">
        <f t="shared" si="29"/>
        <v>#N/A</v>
      </c>
    </row>
    <row r="46" spans="1:109">
      <c r="A46" s="30">
        <v>9</v>
      </c>
      <c r="B46" s="30">
        <f t="shared" si="30"/>
        <v>12.577918136390354</v>
      </c>
      <c r="C46" s="30">
        <f t="shared" si="31"/>
        <v>12.577918136409551</v>
      </c>
      <c r="D46" s="24">
        <f t="shared" si="0"/>
        <v>1.4569485302164595</v>
      </c>
      <c r="E46" s="24">
        <f t="shared" si="1"/>
        <v>1.456948530214617</v>
      </c>
      <c r="F46" s="20">
        <f>0.62198*(D46/(F2-D46))</f>
        <v>9.0739013477019181E-3</v>
      </c>
      <c r="G46" s="20">
        <f>0.62198*(E46/(F2-E46))</f>
        <v>9.0739013476902764E-3</v>
      </c>
      <c r="H46" s="21">
        <f>((2501-2.381*C46)*F46-(B2-C46))/(2501+1.805*B2-4.186*C46)-A14</f>
        <v>3.9607819616431924E-17</v>
      </c>
      <c r="I46" s="21">
        <f>((2501-2.381*B46)*G46-(B2-B46))/(2501+1.805*B2-4.186*B46)-A14</f>
        <v>-1.8892929957037422E-14</v>
      </c>
      <c r="J46" s="21">
        <f t="shared" si="2"/>
        <v>12.57791813640951</v>
      </c>
      <c r="L46" s="30">
        <v>9</v>
      </c>
      <c r="M46" s="30">
        <f t="shared" si="32"/>
        <v>2.1647892201217287</v>
      </c>
      <c r="N46" s="30">
        <f t="shared" si="33"/>
        <v>2.1647892201216901</v>
      </c>
      <c r="O46" s="24">
        <f t="shared" si="3"/>
        <v>0.71431166982245387</v>
      </c>
      <c r="P46" s="24">
        <f t="shared" si="4"/>
        <v>0.71431166982246141</v>
      </c>
      <c r="Q46" s="20">
        <f>0.62198*(O46/(Q2-O46))</f>
        <v>4.4159082873793292E-3</v>
      </c>
      <c r="R46" s="20">
        <f>0.62198*(P46/(Q2-P46))</f>
        <v>4.4159082873793769E-3</v>
      </c>
      <c r="S46" s="21">
        <f>((2501-2.381*N46)*Q46-(M2-N46))/(2501+1.805*M2-4.186*N46)-L14</f>
        <v>-3.7296554733501353E-17</v>
      </c>
      <c r="T46" s="21">
        <f>((2501-2.381*M46)*R46-(M2-M46))/(2501+1.805*M2-4.186*M46)-L14</f>
        <v>2.6020852139652106E-17</v>
      </c>
      <c r="U46" s="21">
        <f t="shared" si="5"/>
        <v>2.1647892201217127</v>
      </c>
      <c r="W46" s="30">
        <v>9</v>
      </c>
      <c r="X46" s="30">
        <f t="shared" si="34"/>
        <v>28.165000061686133</v>
      </c>
      <c r="Y46" s="30">
        <f t="shared" si="35"/>
        <v>28.165000074175069</v>
      </c>
      <c r="Z46" s="24">
        <f t="shared" si="6"/>
        <v>3.8187267925939756</v>
      </c>
      <c r="AA46" s="24">
        <f t="shared" si="7"/>
        <v>3.8187267898181863</v>
      </c>
      <c r="AB46" s="20">
        <f>0.62198*(Z46/(AB2-Z46))</f>
        <v>2.4359168003533091E-2</v>
      </c>
      <c r="AC46" s="20">
        <f>0.62198*(AA46/(AB2-AA46))</f>
        <v>2.4359167985133236E-2</v>
      </c>
      <c r="AD46" s="21">
        <f>((2501-2.381*Y46)*AB46-(X2-Y46))/(2501+1.805*X2-4.186*Y46)-W14</f>
        <v>4.8572257327350599E-17</v>
      </c>
      <c r="AE46" s="21">
        <f>((2501-2.381*X46)*AC46-(X2-X46))/(2501+1.805*X2-4.186*X46)-W14</f>
        <v>-2.3574434071527151E-11</v>
      </c>
      <c r="AF46" s="21">
        <f t="shared" si="8"/>
        <v>28.165000074175044</v>
      </c>
      <c r="AH46" s="30">
        <v>9</v>
      </c>
      <c r="AI46" s="30">
        <f t="shared" si="36"/>
        <v>5.7939897708172818</v>
      </c>
      <c r="AJ46" s="30">
        <f t="shared" si="37"/>
        <v>5.7939897708172721</v>
      </c>
      <c r="AK46" s="24">
        <f t="shared" si="9"/>
        <v>0.92199994726803303</v>
      </c>
      <c r="AL46" s="24">
        <f t="shared" si="10"/>
        <v>0.92199994726803303</v>
      </c>
      <c r="AM46" s="20">
        <f>0.62198*(AK46/(AM2-AK46))</f>
        <v>5.7116373704031278E-3</v>
      </c>
      <c r="AN46" s="20">
        <f>0.62198*(AL46/(AM2-AL46))</f>
        <v>5.7116373704031278E-3</v>
      </c>
      <c r="AO46" s="21">
        <f>((2501-2.381*AJ46)*AM46-(AI2-AJ46))/(2501+1.805*AI2-4.186*AJ46)-AH14</f>
        <v>4.2414614801237378E-18</v>
      </c>
      <c r="AP46" s="21">
        <f>((2501-2.381*AI46)*AN46-(AI2-AI46))/(2501+1.805*AI2-4.186*AI46)-AH14</f>
        <v>7.7760127135601871E-18</v>
      </c>
      <c r="AQ46" s="21">
        <f t="shared" si="11"/>
        <v>5.7939897708172605</v>
      </c>
      <c r="AS46" s="30">
        <v>9</v>
      </c>
      <c r="AT46" s="30">
        <f t="shared" si="38"/>
        <v>12.537107419866073</v>
      </c>
      <c r="AU46" s="30">
        <f t="shared" si="39"/>
        <v>12.537107419879923</v>
      </c>
      <c r="AV46" s="24">
        <f t="shared" si="12"/>
        <v>1.4530500767100614</v>
      </c>
      <c r="AW46" s="24">
        <f t="shared" si="13"/>
        <v>1.4530500767087449</v>
      </c>
      <c r="AX46" s="20">
        <f>0.62198*(AV46/(AX2-AV46))</f>
        <v>9.0492684623289504E-3</v>
      </c>
      <c r="AY46" s="20">
        <f>0.62198*(AW46/(AX2-AW46))</f>
        <v>9.0492684623206324E-3</v>
      </c>
      <c r="AZ46" s="21">
        <f>((2501-2.381*AU46)*AX46-(AT2-AU46))/(2501+1.805*AT2-4.186*AU46)-AS14</f>
        <v>-3.1225022567582528E-17</v>
      </c>
      <c r="BA46" s="21">
        <f>((2501-2.381*AT46)*AY46-(AT2-AT46))/(2501+1.805*AT2-4.186*AT46)-AS14</f>
        <v>-1.4037382367604323E-14</v>
      </c>
      <c r="BB46" s="21">
        <f t="shared" si="14"/>
        <v>12.537107419879954</v>
      </c>
      <c r="BD46" s="30">
        <v>9</v>
      </c>
      <c r="BE46" s="30">
        <f t="shared" si="40"/>
        <v>15.99743017287223</v>
      </c>
      <c r="BF46" s="30">
        <f t="shared" si="41"/>
        <v>15.997430173139868</v>
      </c>
      <c r="BG46" s="24">
        <f t="shared" si="15"/>
        <v>1.8181409682273839</v>
      </c>
      <c r="BH46" s="24">
        <f t="shared" si="16"/>
        <v>1.8181409681962883</v>
      </c>
      <c r="BI46" s="20">
        <f>0.62198*(BG46/(BI2-BG46))</f>
        <v>1.1364516279797232E-2</v>
      </c>
      <c r="BJ46" s="20">
        <f>0.62198*(BH46/(BI2-BH46))</f>
        <v>1.1364516279599314E-2</v>
      </c>
      <c r="BK46" s="21">
        <f>((2501-2.381*BF46)*BI46-(BE2-BF46))/(2501+1.805*BE2-4.186*BF46)-BD14</f>
        <v>0</v>
      </c>
      <c r="BL46" s="21">
        <f>((2501-2.381*BE46)*BJ46-(BE2-BE46))/(2501+1.805*BE2-4.186*BE46)-BD14</f>
        <v>-3.0674594808655087E-13</v>
      </c>
      <c r="BM46" s="21">
        <f t="shared" si="17"/>
        <v>15.997430173139868</v>
      </c>
      <c r="BO46" s="30">
        <v>9</v>
      </c>
      <c r="BP46" s="30" t="e">
        <f t="shared" si="42"/>
        <v>#VALUE!</v>
      </c>
      <c r="BQ46" s="30" t="e">
        <f t="shared" si="43"/>
        <v>#VALUE!</v>
      </c>
      <c r="BR46" s="24" t="e">
        <f t="shared" si="18"/>
        <v>#VALUE!</v>
      </c>
      <c r="BS46" s="24" t="e">
        <f t="shared" si="19"/>
        <v>#VALUE!</v>
      </c>
      <c r="BT46" s="20" t="e">
        <f>0.62198*(BR46/(BT2-BR46))</f>
        <v>#VALUE!</v>
      </c>
      <c r="BU46" s="20" t="e">
        <f>0.62198*(BS46/(BT2-BS46))</f>
        <v>#VALUE!</v>
      </c>
      <c r="BV46" s="21" t="e">
        <f>((2501-2.381*BQ46)*BT46-(BP2-BQ46))/(2501+1.805*BP2-4.186*BQ46)-BO14</f>
        <v>#VALUE!</v>
      </c>
      <c r="BW46" s="21" t="e">
        <f>((2501-2.381*BP46)*BU46-(BP2-BP46))/(2501+1.805*BP2-4.186*BP46)-BO14</f>
        <v>#VALUE!</v>
      </c>
      <c r="BX46" s="21" t="e">
        <f t="shared" si="20"/>
        <v>#VALUE!</v>
      </c>
      <c r="BZ46" s="30">
        <v>9</v>
      </c>
      <c r="CA46" s="30" t="e">
        <f t="shared" si="44"/>
        <v>#VALUE!</v>
      </c>
      <c r="CB46" s="30" t="e">
        <f t="shared" si="45"/>
        <v>#VALUE!</v>
      </c>
      <c r="CC46" s="24" t="e">
        <f t="shared" si="21"/>
        <v>#VALUE!</v>
      </c>
      <c r="CD46" s="24" t="e">
        <f t="shared" si="22"/>
        <v>#VALUE!</v>
      </c>
      <c r="CE46" s="20" t="e">
        <f>0.62198*(CC46/(CE2-CC46))</f>
        <v>#VALUE!</v>
      </c>
      <c r="CF46" s="20" t="e">
        <f>0.62198*(CD46/(CE2-CD46))</f>
        <v>#VALUE!</v>
      </c>
      <c r="CG46" s="21" t="e">
        <f>((2501-2.381*CB46)*CE46-(CA2-CB46))/(2501+1.805*CA2-4.186*CB46)-BZ14</f>
        <v>#VALUE!</v>
      </c>
      <c r="CH46" s="21" t="e">
        <f>((2501-2.381*CA46)*CF46-(CA2-CA46))/(2501+1.805*CA2-4.186*CA46)-BZ14</f>
        <v>#VALUE!</v>
      </c>
      <c r="CI46" s="21" t="e">
        <f t="shared" si="23"/>
        <v>#VALUE!</v>
      </c>
      <c r="CK46" s="30">
        <v>9</v>
      </c>
      <c r="CL46" s="30" t="e">
        <f t="shared" si="46"/>
        <v>#N/A</v>
      </c>
      <c r="CM46" s="30" t="e">
        <f t="shared" si="47"/>
        <v>#N/A</v>
      </c>
      <c r="CN46" s="24" t="e">
        <f t="shared" si="24"/>
        <v>#N/A</v>
      </c>
      <c r="CO46" s="24" t="e">
        <f t="shared" si="25"/>
        <v>#N/A</v>
      </c>
      <c r="CP46" s="20" t="e">
        <f>0.62198*(CN46/(CP2-CN46))</f>
        <v>#N/A</v>
      </c>
      <c r="CQ46" s="20" t="e">
        <f>0.62198*(CO46/(CP2-CO46))</f>
        <v>#N/A</v>
      </c>
      <c r="CR46" s="21" t="e">
        <f>((2501-2.381*CM46)*CP46-(CL2-CM46))/(2501+1.805*CL2-4.186*CM46)-CK14</f>
        <v>#N/A</v>
      </c>
      <c r="CS46" s="21" t="e">
        <f>((2501-2.381*CL46)*CQ46-(CL2-CL46))/(2501+1.805*CL2-4.186*CL46)-CK14</f>
        <v>#N/A</v>
      </c>
      <c r="CT46" s="21" t="e">
        <f t="shared" si="26"/>
        <v>#N/A</v>
      </c>
      <c r="CV46" s="30">
        <v>9</v>
      </c>
      <c r="CW46" s="30" t="e">
        <f t="shared" si="48"/>
        <v>#N/A</v>
      </c>
      <c r="CX46" s="30" t="e">
        <f t="shared" si="49"/>
        <v>#N/A</v>
      </c>
      <c r="CY46" s="24" t="e">
        <f t="shared" si="27"/>
        <v>#N/A</v>
      </c>
      <c r="CZ46" s="24" t="e">
        <f t="shared" si="28"/>
        <v>#N/A</v>
      </c>
      <c r="DA46" s="20" t="e">
        <f>0.62198*(CY46/(DA2-CY46))</f>
        <v>#N/A</v>
      </c>
      <c r="DB46" s="20" t="e">
        <f>0.62198*(CZ46/(DA2-CZ46))</f>
        <v>#N/A</v>
      </c>
      <c r="DC46" s="21" t="e">
        <f>((2501-2.381*CX46)*DA46-(CW2-CX46))/(2501+1.805*CW2-4.186*CX46)-CV14</f>
        <v>#N/A</v>
      </c>
      <c r="DD46" s="21" t="e">
        <f>((2501-2.381*CW46)*DB46-(CW2-CW46))/(2501+1.805*CW2-4.186*CW46)-CV14</f>
        <v>#N/A</v>
      </c>
      <c r="DE46" s="21" t="e">
        <f t="shared" si="29"/>
        <v>#N/A</v>
      </c>
    </row>
    <row r="47" spans="1:109">
      <c r="A47" s="30">
        <v>10</v>
      </c>
      <c r="B47" s="30">
        <f t="shared" si="30"/>
        <v>12.577918136409551</v>
      </c>
      <c r="C47" s="30">
        <f t="shared" si="31"/>
        <v>12.57791813640951</v>
      </c>
      <c r="D47" s="24">
        <f t="shared" si="0"/>
        <v>1.4569485302164442</v>
      </c>
      <c r="E47" s="24">
        <f t="shared" si="1"/>
        <v>1.4569485302164595</v>
      </c>
      <c r="F47" s="20">
        <f>0.62198*(D47/(F2-D47))</f>
        <v>9.0739013477018227E-3</v>
      </c>
      <c r="G47" s="20">
        <f>0.62198*(E47/(F2-E47))</f>
        <v>9.0739013477019181E-3</v>
      </c>
      <c r="H47" s="21">
        <f>((2501-2.381*C47)*F47-(B2-C47))/(2501+1.805*B2-4.186*C47)-A14</f>
        <v>-7.0728249315056986E-17</v>
      </c>
      <c r="I47" s="21">
        <f>((2501-2.381*B47)*G47-(B2-B47))/(2501+1.805*B2-4.186*B47)-A14</f>
        <v>3.9607819616431924E-17</v>
      </c>
      <c r="J47" s="21">
        <f t="shared" si="2"/>
        <v>12.577918136409536</v>
      </c>
      <c r="L47" s="30">
        <v>10</v>
      </c>
      <c r="M47" s="30">
        <f t="shared" si="32"/>
        <v>2.1647892201216901</v>
      </c>
      <c r="N47" s="30">
        <f t="shared" si="33"/>
        <v>2.1647892201217127</v>
      </c>
      <c r="O47" s="24">
        <f t="shared" si="3"/>
        <v>0.71431166982245387</v>
      </c>
      <c r="P47" s="24">
        <f t="shared" si="4"/>
        <v>0.71431166982245387</v>
      </c>
      <c r="Q47" s="20">
        <f>0.62198*(O47/(Q2-O47))</f>
        <v>4.4159082873793292E-3</v>
      </c>
      <c r="R47" s="20">
        <f>0.62198*(P47/(Q2-P47))</f>
        <v>4.4159082873793292E-3</v>
      </c>
      <c r="S47" s="21">
        <f>((2501-2.381*N47)*Q47-(M2-N47))/(2501+1.805*M2-4.186*N47)-L14</f>
        <v>-2.8622937353617317E-17</v>
      </c>
      <c r="T47" s="21">
        <f>((2501-2.381*M47)*R47-(M2-M47))/(2501+1.805*M2-4.186*M47)-L14</f>
        <v>-3.7296554733501353E-17</v>
      </c>
      <c r="U47" s="21">
        <f t="shared" si="5"/>
        <v>2.1647892201217873</v>
      </c>
      <c r="W47" s="30">
        <v>10</v>
      </c>
      <c r="X47" s="30">
        <f t="shared" si="34"/>
        <v>28.165000074175069</v>
      </c>
      <c r="Y47" s="30">
        <f t="shared" si="35"/>
        <v>28.165000074175044</v>
      </c>
      <c r="Z47" s="24">
        <f t="shared" si="6"/>
        <v>3.8187267925939756</v>
      </c>
      <c r="AA47" s="24">
        <f t="shared" si="7"/>
        <v>3.8187267925939756</v>
      </c>
      <c r="AB47" s="20">
        <f>0.62198*(Z47/(AB2-Z47))</f>
        <v>2.4359168003533091E-2</v>
      </c>
      <c r="AC47" s="20">
        <f>0.62198*(AA47/(AB2-AA47))</f>
        <v>2.4359168003533091E-2</v>
      </c>
      <c r="AD47" s="21">
        <f>((2501-2.381*Y47)*AB47-(X2-Y47))/(2501+1.805*X2-4.186*Y47)-W14</f>
        <v>4.163336342344337E-17</v>
      </c>
      <c r="AE47" s="21">
        <f>((2501-2.381*X47)*AC47-(X2-X47))/(2501+1.805*X2-4.186*X47)-W14</f>
        <v>4.8572257327350599E-17</v>
      </c>
      <c r="AF47" s="21">
        <f t="shared" si="8"/>
        <v>28.165000074174895</v>
      </c>
      <c r="AH47" s="30">
        <v>10</v>
      </c>
      <c r="AI47" s="30">
        <f t="shared" si="36"/>
        <v>5.7939897708172721</v>
      </c>
      <c r="AJ47" s="30">
        <f t="shared" si="37"/>
        <v>5.7939897708172605</v>
      </c>
      <c r="AK47" s="24">
        <f t="shared" si="9"/>
        <v>0.92199994726803303</v>
      </c>
      <c r="AL47" s="24">
        <f t="shared" si="10"/>
        <v>0.92199994726803303</v>
      </c>
      <c r="AM47" s="20">
        <f>0.62198*(AK47/(AM2-AK47))</f>
        <v>5.7116373704031278E-3</v>
      </c>
      <c r="AN47" s="20">
        <f>0.62198*(AL47/(AM2-AL47))</f>
        <v>5.7116373704031278E-3</v>
      </c>
      <c r="AO47" s="21">
        <f>((2501-2.381*AJ47)*AM47-(AI2-AJ47))/(2501+1.805*AI2-4.186*AJ47)-AH14</f>
        <v>0</v>
      </c>
      <c r="AP47" s="21">
        <f>((2501-2.381*AI47)*AN47-(AI2-AI47))/(2501+1.805*AI2-4.186*AI47)-AH14</f>
        <v>4.2414614801237378E-18</v>
      </c>
      <c r="AQ47" s="21">
        <f t="shared" si="11"/>
        <v>5.7939897708172605</v>
      </c>
      <c r="AS47" s="30">
        <v>10</v>
      </c>
      <c r="AT47" s="30">
        <f t="shared" si="38"/>
        <v>12.537107419879923</v>
      </c>
      <c r="AU47" s="30">
        <f t="shared" si="39"/>
        <v>12.537107419879954</v>
      </c>
      <c r="AV47" s="24">
        <f t="shared" si="12"/>
        <v>1.4530500767100614</v>
      </c>
      <c r="AW47" s="24">
        <f t="shared" si="13"/>
        <v>1.4530500767100614</v>
      </c>
      <c r="AX47" s="20">
        <f>0.62198*(AV47/(AX2-AV47))</f>
        <v>9.0492684623289504E-3</v>
      </c>
      <c r="AY47" s="20">
        <f>0.62198*(AW47/(AX2-AW47))</f>
        <v>9.0492684623289504E-3</v>
      </c>
      <c r="AZ47" s="21">
        <f>((2501-2.381*AU47)*AX47-(AT2-AU47))/(2501+1.805*AT2-4.186*AU47)-AS14</f>
        <v>-1.7347234759768071E-17</v>
      </c>
      <c r="BA47" s="21">
        <f>((2501-2.381*AT47)*AY47-(AT2-AT47))/(2501+1.805*AT2-4.186*AT47)-AS14</f>
        <v>-3.1225022567582528E-17</v>
      </c>
      <c r="BB47" s="21">
        <f t="shared" si="14"/>
        <v>12.537107419879991</v>
      </c>
      <c r="BD47" s="30">
        <v>10</v>
      </c>
      <c r="BE47" s="30">
        <f t="shared" si="40"/>
        <v>15.997430173139868</v>
      </c>
      <c r="BF47" s="30">
        <f t="shared" si="41"/>
        <v>15.997430173139868</v>
      </c>
      <c r="BG47" s="24">
        <f t="shared" si="15"/>
        <v>1.8181409682273839</v>
      </c>
      <c r="BH47" s="24">
        <f t="shared" si="16"/>
        <v>1.8181409682273839</v>
      </c>
      <c r="BI47" s="20">
        <f>0.62198*(BG47/(BI2-BG47))</f>
        <v>1.1364516279797232E-2</v>
      </c>
      <c r="BJ47" s="20">
        <f>0.62198*(BH47/(BI2-BH47))</f>
        <v>1.1364516279797232E-2</v>
      </c>
      <c r="BK47" s="21">
        <f>((2501-2.381*BF47)*BI47-(BE2-BF47))/(2501+1.805*BE2-4.186*BF47)-BD14</f>
        <v>0</v>
      </c>
      <c r="BL47" s="21">
        <f>((2501-2.381*BE47)*BJ47-(BE2-BE47))/(2501+1.805*BE2-4.186*BE47)-BD14</f>
        <v>0</v>
      </c>
      <c r="BM47" s="21" t="e">
        <f t="shared" si="17"/>
        <v>#DIV/0!</v>
      </c>
      <c r="BO47" s="30">
        <v>10</v>
      </c>
      <c r="BP47" s="30" t="e">
        <f t="shared" si="42"/>
        <v>#VALUE!</v>
      </c>
      <c r="BQ47" s="30" t="e">
        <f t="shared" si="43"/>
        <v>#VALUE!</v>
      </c>
      <c r="BR47" s="24" t="e">
        <f t="shared" si="18"/>
        <v>#VALUE!</v>
      </c>
      <c r="BS47" s="24" t="e">
        <f t="shared" si="19"/>
        <v>#VALUE!</v>
      </c>
      <c r="BT47" s="20" t="e">
        <f>0.62198*(BR47/(BT2-BR47))</f>
        <v>#VALUE!</v>
      </c>
      <c r="BU47" s="20" t="e">
        <f>0.62198*(BS47/(BT2-BS47))</f>
        <v>#VALUE!</v>
      </c>
      <c r="BV47" s="21" t="e">
        <f>((2501-2.381*BQ47)*BT47-(BP2-BQ47))/(2501+1.805*BP2-4.186*BQ47)-BO14</f>
        <v>#VALUE!</v>
      </c>
      <c r="BW47" s="21" t="e">
        <f>((2501-2.381*BP47)*BU47-(BP2-BP47))/(2501+1.805*BP2-4.186*BP47)-BO14</f>
        <v>#VALUE!</v>
      </c>
      <c r="BX47" s="21" t="e">
        <f t="shared" si="20"/>
        <v>#VALUE!</v>
      </c>
      <c r="BZ47" s="30">
        <v>10</v>
      </c>
      <c r="CA47" s="30" t="e">
        <f t="shared" si="44"/>
        <v>#VALUE!</v>
      </c>
      <c r="CB47" s="30" t="e">
        <f t="shared" si="45"/>
        <v>#VALUE!</v>
      </c>
      <c r="CC47" s="24" t="e">
        <f t="shared" si="21"/>
        <v>#VALUE!</v>
      </c>
      <c r="CD47" s="24" t="e">
        <f t="shared" si="22"/>
        <v>#VALUE!</v>
      </c>
      <c r="CE47" s="20" t="e">
        <f>0.62198*(CC47/(CE2-CC47))</f>
        <v>#VALUE!</v>
      </c>
      <c r="CF47" s="20" t="e">
        <f>0.62198*(CD47/(CE2-CD47))</f>
        <v>#VALUE!</v>
      </c>
      <c r="CG47" s="21" t="e">
        <f>((2501-2.381*CB47)*CE47-(CA2-CB47))/(2501+1.805*CA2-4.186*CB47)-BZ14</f>
        <v>#VALUE!</v>
      </c>
      <c r="CH47" s="21" t="e">
        <f>((2501-2.381*CA47)*CF47-(CA2-CA47))/(2501+1.805*CA2-4.186*CA47)-BZ14</f>
        <v>#VALUE!</v>
      </c>
      <c r="CI47" s="21" t="e">
        <f t="shared" si="23"/>
        <v>#VALUE!</v>
      </c>
      <c r="CK47" s="30">
        <v>10</v>
      </c>
      <c r="CL47" s="30" t="e">
        <f t="shared" si="46"/>
        <v>#N/A</v>
      </c>
      <c r="CM47" s="30" t="e">
        <f t="shared" si="47"/>
        <v>#N/A</v>
      </c>
      <c r="CN47" s="24" t="e">
        <f t="shared" si="24"/>
        <v>#N/A</v>
      </c>
      <c r="CO47" s="24" t="e">
        <f t="shared" si="25"/>
        <v>#N/A</v>
      </c>
      <c r="CP47" s="20" t="e">
        <f>0.62198*(CN47/(CP2-CN47))</f>
        <v>#N/A</v>
      </c>
      <c r="CQ47" s="20" t="e">
        <f>0.62198*(CO47/(CP2-CO47))</f>
        <v>#N/A</v>
      </c>
      <c r="CR47" s="21" t="e">
        <f>((2501-2.381*CM47)*CP47-(CL2-CM47))/(2501+1.805*CL2-4.186*CM47)-CK14</f>
        <v>#N/A</v>
      </c>
      <c r="CS47" s="21" t="e">
        <f>((2501-2.381*CL47)*CQ47-(CL2-CL47))/(2501+1.805*CL2-4.186*CL47)-CK14</f>
        <v>#N/A</v>
      </c>
      <c r="CT47" s="21" t="e">
        <f t="shared" si="26"/>
        <v>#N/A</v>
      </c>
      <c r="CV47" s="30">
        <v>10</v>
      </c>
      <c r="CW47" s="30" t="e">
        <f t="shared" si="48"/>
        <v>#N/A</v>
      </c>
      <c r="CX47" s="30" t="e">
        <f t="shared" si="49"/>
        <v>#N/A</v>
      </c>
      <c r="CY47" s="24" t="e">
        <f t="shared" si="27"/>
        <v>#N/A</v>
      </c>
      <c r="CZ47" s="24" t="e">
        <f t="shared" si="28"/>
        <v>#N/A</v>
      </c>
      <c r="DA47" s="20" t="e">
        <f>0.62198*(CY47/(DA2-CY47))</f>
        <v>#N/A</v>
      </c>
      <c r="DB47" s="20" t="e">
        <f>0.62198*(CZ47/(DA2-CZ47))</f>
        <v>#N/A</v>
      </c>
      <c r="DC47" s="21" t="e">
        <f>((2501-2.381*CX47)*DA47-(CW2-CX47))/(2501+1.805*CW2-4.186*CX47)-CV14</f>
        <v>#N/A</v>
      </c>
      <c r="DD47" s="21" t="e">
        <f>((2501-2.381*CW47)*DB47-(CW2-CW47))/(2501+1.805*CW2-4.186*CW47)-CV14</f>
        <v>#N/A</v>
      </c>
      <c r="DE47" s="21" t="e">
        <f t="shared" si="29"/>
        <v>#N/A</v>
      </c>
    </row>
    <row r="48" spans="1:109">
      <c r="A48" s="30">
        <v>11</v>
      </c>
      <c r="B48" s="30">
        <f t="shared" si="30"/>
        <v>12.57791813640951</v>
      </c>
      <c r="C48" s="30">
        <f t="shared" si="31"/>
        <v>12.577918136409536</v>
      </c>
      <c r="D48" s="24">
        <f t="shared" si="0"/>
        <v>1.4569485302164595</v>
      </c>
      <c r="E48" s="24">
        <f t="shared" si="1"/>
        <v>1.4569485302164442</v>
      </c>
      <c r="F48" s="20">
        <f>0.62198*(D48/(F2-D48))</f>
        <v>9.0739013477019181E-3</v>
      </c>
      <c r="G48" s="20">
        <f>0.62198*(E48/(F2-E48))</f>
        <v>9.0739013477018227E-3</v>
      </c>
      <c r="H48" s="21">
        <f>((2501-2.381*C48)*F48-(B2-C48))/(2501+1.805*B2-4.186*C48)-A14</f>
        <v>3.394955967122736E-17</v>
      </c>
      <c r="I48" s="21">
        <f>((2501-2.381*B48)*G48-(B2-B48))/(2501+1.805*B2-4.186*B48)-A14</f>
        <v>-7.0728249315056986E-17</v>
      </c>
      <c r="J48" s="21">
        <f t="shared" si="2"/>
        <v>12.577918136409528</v>
      </c>
      <c r="L48" s="30">
        <v>11</v>
      </c>
      <c r="M48" s="30">
        <f t="shared" si="32"/>
        <v>2.1647892201217127</v>
      </c>
      <c r="N48" s="30">
        <f t="shared" si="33"/>
        <v>2.1647892201217873</v>
      </c>
      <c r="O48" s="24">
        <f t="shared" si="3"/>
        <v>0.71431166982246141</v>
      </c>
      <c r="P48" s="24">
        <f t="shared" si="4"/>
        <v>0.71431166982245387</v>
      </c>
      <c r="Q48" s="20">
        <f>0.62198*(O48/(Q2-O48))</f>
        <v>4.4159082873793769E-3</v>
      </c>
      <c r="R48" s="20">
        <f>0.62198*(P48/(Q2-P48))</f>
        <v>4.4159082873793292E-3</v>
      </c>
      <c r="S48" s="21">
        <f>((2501-2.381*N48)*Q48-(M2-N48))/(2501+1.805*M2-4.186*N48)-L14</f>
        <v>4.8572257327350599E-17</v>
      </c>
      <c r="T48" s="21">
        <f>((2501-2.381*M48)*R48-(M2-M48))/(2501+1.805*M2-4.186*M48)-L14</f>
        <v>-2.8622937353617317E-17</v>
      </c>
      <c r="U48" s="21">
        <f t="shared" si="5"/>
        <v>2.1647892201217402</v>
      </c>
      <c r="W48" s="30">
        <v>11</v>
      </c>
      <c r="X48" s="30">
        <f t="shared" si="34"/>
        <v>28.165000074175044</v>
      </c>
      <c r="Y48" s="30">
        <f t="shared" si="35"/>
        <v>28.165000074174895</v>
      </c>
      <c r="Z48" s="24">
        <f t="shared" si="6"/>
        <v>3.8187267925938939</v>
      </c>
      <c r="AA48" s="24">
        <f t="shared" si="7"/>
        <v>3.8187267925939756</v>
      </c>
      <c r="AB48" s="20">
        <f>0.62198*(Z48/(AB2-Z48))</f>
        <v>2.435916800353255E-2</v>
      </c>
      <c r="AC48" s="20">
        <f>0.62198*(AA48/(AB2-AA48))</f>
        <v>2.4359168003533091E-2</v>
      </c>
      <c r="AD48" s="21">
        <f>((2501-2.381*Y48)*AB48-(X2-Y48))/(2501+1.805*X2-4.186*Y48)-W14</f>
        <v>-5.7245874707234634E-16</v>
      </c>
      <c r="AE48" s="21">
        <f>((2501-2.381*X48)*AC48-(X2-X48))/(2501+1.805*X2-4.186*X48)-W14</f>
        <v>4.163336342344337E-17</v>
      </c>
      <c r="AF48" s="21">
        <f t="shared" si="8"/>
        <v>28.165000074175033</v>
      </c>
      <c r="AH48" s="30">
        <v>11</v>
      </c>
      <c r="AI48" s="30">
        <f t="shared" si="36"/>
        <v>5.7939897708172605</v>
      </c>
      <c r="AJ48" s="30">
        <f t="shared" si="37"/>
        <v>5.7939897708172605</v>
      </c>
      <c r="AK48" s="24">
        <f t="shared" si="9"/>
        <v>0.92199994726803303</v>
      </c>
      <c r="AL48" s="24">
        <f t="shared" si="10"/>
        <v>0.92199994726803303</v>
      </c>
      <c r="AM48" s="20">
        <f>0.62198*(AK48/(AM2-AK48))</f>
        <v>5.7116373704031278E-3</v>
      </c>
      <c r="AN48" s="20">
        <f>0.62198*(AL48/(AM2-AL48))</f>
        <v>5.7116373704031278E-3</v>
      </c>
      <c r="AO48" s="21">
        <f>((2501-2.381*AJ48)*AM48-(AI2-AJ48))/(2501+1.805*AI2-4.186*AJ48)-AH14</f>
        <v>0</v>
      </c>
      <c r="AP48" s="21">
        <f>((2501-2.381*AI48)*AN48-(AI2-AI48))/(2501+1.805*AI2-4.186*AI48)-AH14</f>
        <v>0</v>
      </c>
      <c r="AQ48" s="21" t="e">
        <f t="shared" si="11"/>
        <v>#DIV/0!</v>
      </c>
      <c r="AS48" s="30">
        <v>11</v>
      </c>
      <c r="AT48" s="30">
        <f t="shared" si="38"/>
        <v>12.537107419879954</v>
      </c>
      <c r="AU48" s="30">
        <f t="shared" si="39"/>
        <v>12.537107419879991</v>
      </c>
      <c r="AV48" s="24">
        <f t="shared" si="12"/>
        <v>1.4530500767100667</v>
      </c>
      <c r="AW48" s="24">
        <f t="shared" si="13"/>
        <v>1.4530500767100614</v>
      </c>
      <c r="AX48" s="20">
        <f>0.62198*(AV48/(AX2-AV48))</f>
        <v>9.0492684623289851E-3</v>
      </c>
      <c r="AY48" s="20">
        <f>0.62198*(AW48/(AX2-AW48))</f>
        <v>9.0492684623289504E-3</v>
      </c>
      <c r="AZ48" s="21">
        <f>((2501-2.381*AU48)*AX48-(AT2-AU48))/(2501+1.805*AT2-4.186*AU48)-AS14</f>
        <v>3.2959746043559335E-17</v>
      </c>
      <c r="BA48" s="21">
        <f>((2501-2.381*AT48)*AY48-(AT2-AT48))/(2501+1.805*AT2-4.186*AT48)-AS14</f>
        <v>-1.7347234759768071E-17</v>
      </c>
      <c r="BB48" s="21">
        <f t="shared" si="14"/>
        <v>12.537107419879966</v>
      </c>
      <c r="BD48" s="30">
        <v>11</v>
      </c>
      <c r="BE48" s="30">
        <f t="shared" si="40"/>
        <v>15.997430173139868</v>
      </c>
      <c r="BF48" s="30" t="e">
        <f t="shared" si="41"/>
        <v>#DIV/0!</v>
      </c>
      <c r="BG48" s="24" t="e">
        <f t="shared" si="15"/>
        <v>#DIV/0!</v>
      </c>
      <c r="BH48" s="24">
        <f t="shared" si="16"/>
        <v>1.8181409682273839</v>
      </c>
      <c r="BI48" s="20" t="e">
        <f>0.62198*(BG48/(BI2-BG48))</f>
        <v>#DIV/0!</v>
      </c>
      <c r="BJ48" s="20">
        <f>0.62198*(BH48/(BI2-BH48))</f>
        <v>1.1364516279797232E-2</v>
      </c>
      <c r="BK48" s="21" t="e">
        <f>((2501-2.381*BF48)*BI48-(BE2-BF48))/(2501+1.805*BE2-4.186*BF48)-BD14</f>
        <v>#DIV/0!</v>
      </c>
      <c r="BL48" s="21">
        <f>((2501-2.381*BE48)*BJ48-(BE2-BE48))/(2501+1.805*BE2-4.186*BE48)-BD14</f>
        <v>0</v>
      </c>
      <c r="BM48" s="21" t="e">
        <f t="shared" si="17"/>
        <v>#DIV/0!</v>
      </c>
      <c r="BO48" s="30">
        <v>11</v>
      </c>
      <c r="BP48" s="30" t="e">
        <f t="shared" si="42"/>
        <v>#VALUE!</v>
      </c>
      <c r="BQ48" s="30" t="e">
        <f t="shared" si="43"/>
        <v>#VALUE!</v>
      </c>
      <c r="BR48" s="24" t="e">
        <f t="shared" si="18"/>
        <v>#VALUE!</v>
      </c>
      <c r="BS48" s="24" t="e">
        <f t="shared" si="19"/>
        <v>#VALUE!</v>
      </c>
      <c r="BT48" s="20" t="e">
        <f>0.62198*(BR48/(BT2-BR48))</f>
        <v>#VALUE!</v>
      </c>
      <c r="BU48" s="20" t="e">
        <f>0.62198*(BS48/(BT2-BS48))</f>
        <v>#VALUE!</v>
      </c>
      <c r="BV48" s="21" t="e">
        <f>((2501-2.381*BQ48)*BT48-(BP2-BQ48))/(2501+1.805*BP2-4.186*BQ48)-BO14</f>
        <v>#VALUE!</v>
      </c>
      <c r="BW48" s="21" t="e">
        <f>((2501-2.381*BP48)*BU48-(BP2-BP48))/(2501+1.805*BP2-4.186*BP48)-BO14</f>
        <v>#VALUE!</v>
      </c>
      <c r="BX48" s="21" t="e">
        <f t="shared" si="20"/>
        <v>#VALUE!</v>
      </c>
      <c r="BZ48" s="30">
        <v>11</v>
      </c>
      <c r="CA48" s="30" t="e">
        <f t="shared" si="44"/>
        <v>#VALUE!</v>
      </c>
      <c r="CB48" s="30" t="e">
        <f t="shared" si="45"/>
        <v>#VALUE!</v>
      </c>
      <c r="CC48" s="24" t="e">
        <f t="shared" si="21"/>
        <v>#VALUE!</v>
      </c>
      <c r="CD48" s="24" t="e">
        <f t="shared" si="22"/>
        <v>#VALUE!</v>
      </c>
      <c r="CE48" s="20" t="e">
        <f>0.62198*(CC48/(CE2-CC48))</f>
        <v>#VALUE!</v>
      </c>
      <c r="CF48" s="20" t="e">
        <f>0.62198*(CD48/(CE2-CD48))</f>
        <v>#VALUE!</v>
      </c>
      <c r="CG48" s="21" t="e">
        <f>((2501-2.381*CB48)*CE48-(CA2-CB48))/(2501+1.805*CA2-4.186*CB48)-BZ14</f>
        <v>#VALUE!</v>
      </c>
      <c r="CH48" s="21" t="e">
        <f>((2501-2.381*CA48)*CF48-(CA2-CA48))/(2501+1.805*CA2-4.186*CA48)-BZ14</f>
        <v>#VALUE!</v>
      </c>
      <c r="CI48" s="21" t="e">
        <f t="shared" si="23"/>
        <v>#VALUE!</v>
      </c>
      <c r="CK48" s="30">
        <v>11</v>
      </c>
      <c r="CL48" s="30" t="e">
        <f t="shared" si="46"/>
        <v>#N/A</v>
      </c>
      <c r="CM48" s="30" t="e">
        <f t="shared" si="47"/>
        <v>#N/A</v>
      </c>
      <c r="CN48" s="24" t="e">
        <f t="shared" si="24"/>
        <v>#N/A</v>
      </c>
      <c r="CO48" s="24" t="e">
        <f t="shared" si="25"/>
        <v>#N/A</v>
      </c>
      <c r="CP48" s="20" t="e">
        <f>0.62198*(CN48/(CP2-CN48))</f>
        <v>#N/A</v>
      </c>
      <c r="CQ48" s="20" t="e">
        <f>0.62198*(CO48/(CP2-CO48))</f>
        <v>#N/A</v>
      </c>
      <c r="CR48" s="21" t="e">
        <f>((2501-2.381*CM48)*CP48-(CL2-CM48))/(2501+1.805*CL2-4.186*CM48)-CK14</f>
        <v>#N/A</v>
      </c>
      <c r="CS48" s="21" t="e">
        <f>((2501-2.381*CL48)*CQ48-(CL2-CL48))/(2501+1.805*CL2-4.186*CL48)-CK14</f>
        <v>#N/A</v>
      </c>
      <c r="CT48" s="21" t="e">
        <f t="shared" si="26"/>
        <v>#N/A</v>
      </c>
      <c r="CV48" s="30">
        <v>11</v>
      </c>
      <c r="CW48" s="30" t="e">
        <f t="shared" si="48"/>
        <v>#N/A</v>
      </c>
      <c r="CX48" s="30" t="e">
        <f t="shared" si="49"/>
        <v>#N/A</v>
      </c>
      <c r="CY48" s="24" t="e">
        <f t="shared" si="27"/>
        <v>#N/A</v>
      </c>
      <c r="CZ48" s="24" t="e">
        <f t="shared" si="28"/>
        <v>#N/A</v>
      </c>
      <c r="DA48" s="20" t="e">
        <f>0.62198*(CY48/(DA2-CY48))</f>
        <v>#N/A</v>
      </c>
      <c r="DB48" s="20" t="e">
        <f>0.62198*(CZ48/(DA2-CZ48))</f>
        <v>#N/A</v>
      </c>
      <c r="DC48" s="21" t="e">
        <f>((2501-2.381*CX48)*DA48-(CW2-CX48))/(2501+1.805*CW2-4.186*CX48)-CV14</f>
        <v>#N/A</v>
      </c>
      <c r="DD48" s="21" t="e">
        <f>((2501-2.381*CW48)*DB48-(CW2-CW48))/(2501+1.805*CW2-4.186*CW48)-CV14</f>
        <v>#N/A</v>
      </c>
      <c r="DE48" s="21" t="e">
        <f t="shared" si="29"/>
        <v>#N/A</v>
      </c>
    </row>
    <row r="49" spans="1:109">
      <c r="A49" s="30">
        <v>12</v>
      </c>
      <c r="B49" s="30">
        <f t="shared" si="30"/>
        <v>12.577918136409536</v>
      </c>
      <c r="C49" s="30">
        <f t="shared" si="31"/>
        <v>12.577918136409528</v>
      </c>
      <c r="D49" s="24">
        <f t="shared" si="0"/>
        <v>1.4569485302164595</v>
      </c>
      <c r="E49" s="24">
        <f t="shared" si="1"/>
        <v>1.4569485302164595</v>
      </c>
      <c r="F49" s="20">
        <f>0.62198*(D49/(F2-D49))</f>
        <v>9.0739013477019181E-3</v>
      </c>
      <c r="G49" s="20">
        <f>0.62198*(E49/(F2-E49))</f>
        <v>9.0739013477019181E-3</v>
      </c>
      <c r="H49" s="21">
        <f>((2501-2.381*C49)*F49-(B2-C49))/(2501+1.805*B2-4.186*C49)-A14</f>
        <v>3.1120429698625081E-17</v>
      </c>
      <c r="I49" s="21">
        <f>((2501-2.381*B49)*G49-(B2-B49))/(2501+1.805*B2-4.186*B49)-A14</f>
        <v>3.394955967122736E-17</v>
      </c>
      <c r="J49" s="21">
        <f t="shared" si="2"/>
        <v>12.57791813640943</v>
      </c>
      <c r="L49" s="30">
        <v>12</v>
      </c>
      <c r="M49" s="30">
        <f t="shared" si="32"/>
        <v>2.1647892201217873</v>
      </c>
      <c r="N49" s="30">
        <f t="shared" si="33"/>
        <v>2.1647892201217402</v>
      </c>
      <c r="O49" s="24">
        <f t="shared" si="3"/>
        <v>0.71431166982246141</v>
      </c>
      <c r="P49" s="24">
        <f t="shared" si="4"/>
        <v>0.71431166982246141</v>
      </c>
      <c r="Q49" s="20">
        <f>0.62198*(O49/(Q2-O49))</f>
        <v>4.4159082873793769E-3</v>
      </c>
      <c r="R49" s="20">
        <f>0.62198*(P49/(Q2-P49))</f>
        <v>4.4159082873793769E-3</v>
      </c>
      <c r="S49" s="21">
        <f>((2501-2.381*N49)*Q49-(M2-N49))/(2501+1.805*M2-4.186*N49)-L14</f>
        <v>3.0791341698588326E-17</v>
      </c>
      <c r="T49" s="21">
        <f>((2501-2.381*M49)*R49-(M2-M49))/(2501+1.805*M2-4.186*M49)-L14</f>
        <v>4.8572257327350599E-17</v>
      </c>
      <c r="U49" s="21">
        <f t="shared" si="5"/>
        <v>2.1647892201216585</v>
      </c>
      <c r="W49" s="30">
        <v>12</v>
      </c>
      <c r="X49" s="30">
        <f t="shared" si="34"/>
        <v>28.165000074174895</v>
      </c>
      <c r="Y49" s="30">
        <f t="shared" si="35"/>
        <v>28.165000074175033</v>
      </c>
      <c r="Z49" s="24">
        <f t="shared" si="6"/>
        <v>3.8187267925939756</v>
      </c>
      <c r="AA49" s="24">
        <f t="shared" si="7"/>
        <v>3.8187267925938939</v>
      </c>
      <c r="AB49" s="20">
        <f>0.62198*(Z49/(AB2-Z49))</f>
        <v>2.4359168003533091E-2</v>
      </c>
      <c r="AC49" s="20">
        <f>0.62198*(AA49/(AB2-AA49))</f>
        <v>2.435916800353255E-2</v>
      </c>
      <c r="AD49" s="21">
        <f>((2501-2.381*Y49)*AB49-(X2-Y49))/(2501+1.805*X2-4.186*Y49)-W14</f>
        <v>3.1225022567582528E-17</v>
      </c>
      <c r="AE49" s="21">
        <f>((2501-2.381*X49)*AC49-(X2-X49))/(2501+1.805*X2-4.186*X49)-W14</f>
        <v>-5.7245874707234634E-16</v>
      </c>
      <c r="AF49" s="21">
        <f t="shared" si="8"/>
        <v>28.165000074175026</v>
      </c>
      <c r="AH49" s="30">
        <v>12</v>
      </c>
      <c r="AI49" s="30">
        <f t="shared" si="36"/>
        <v>5.7939897708172605</v>
      </c>
      <c r="AJ49" s="30" t="e">
        <f t="shared" si="37"/>
        <v>#DIV/0!</v>
      </c>
      <c r="AK49" s="24" t="e">
        <f t="shared" si="9"/>
        <v>#DIV/0!</v>
      </c>
      <c r="AL49" s="24">
        <f t="shared" si="10"/>
        <v>0.92199994726803303</v>
      </c>
      <c r="AM49" s="20" t="e">
        <f>0.62198*(AK49/(AM2-AK49))</f>
        <v>#DIV/0!</v>
      </c>
      <c r="AN49" s="20">
        <f>0.62198*(AL49/(AM2-AL49))</f>
        <v>5.7116373704031278E-3</v>
      </c>
      <c r="AO49" s="21" t="e">
        <f>((2501-2.381*AJ49)*AM49-(AI2-AJ49))/(2501+1.805*AI2-4.186*AJ49)-AH14</f>
        <v>#DIV/0!</v>
      </c>
      <c r="AP49" s="21">
        <f>((2501-2.381*AI49)*AN49-(AI2-AI49))/(2501+1.805*AI2-4.186*AI49)-AH14</f>
        <v>0</v>
      </c>
      <c r="AQ49" s="21" t="e">
        <f t="shared" si="11"/>
        <v>#DIV/0!</v>
      </c>
      <c r="AS49" s="30">
        <v>12</v>
      </c>
      <c r="AT49" s="30">
        <f t="shared" si="38"/>
        <v>12.537107419879991</v>
      </c>
      <c r="AU49" s="30">
        <f t="shared" si="39"/>
        <v>12.537107419879966</v>
      </c>
      <c r="AV49" s="24">
        <f t="shared" si="12"/>
        <v>1.4530500767100667</v>
      </c>
      <c r="AW49" s="24">
        <f t="shared" si="13"/>
        <v>1.4530500767100667</v>
      </c>
      <c r="AX49" s="20">
        <f>0.62198*(AV49/(AX2-AV49))</f>
        <v>9.0492684623289851E-3</v>
      </c>
      <c r="AY49" s="20">
        <f>0.62198*(AW49/(AX2-AW49))</f>
        <v>9.0492684623289851E-3</v>
      </c>
      <c r="AZ49" s="21">
        <f>((2501-2.381*AU49)*AX49-(AT2-AU49))/(2501+1.805*AT2-4.186*AU49)-AS14</f>
        <v>2.2551405187698492E-17</v>
      </c>
      <c r="BA49" s="21">
        <f>((2501-2.381*AT49)*AY49-(AT2-AT49))/(2501+1.805*AT2-4.186*AT49)-AS14</f>
        <v>3.2959746043559335E-17</v>
      </c>
      <c r="BB49" s="21">
        <f t="shared" si="14"/>
        <v>12.537107419879913</v>
      </c>
      <c r="BD49" s="30">
        <v>12</v>
      </c>
      <c r="BE49" s="30" t="e">
        <f t="shared" si="40"/>
        <v>#DIV/0!</v>
      </c>
      <c r="BF49" s="30" t="e">
        <f t="shared" si="41"/>
        <v>#DIV/0!</v>
      </c>
      <c r="BG49" s="24" t="e">
        <f t="shared" si="15"/>
        <v>#DIV/0!</v>
      </c>
      <c r="BH49" s="24" t="e">
        <f t="shared" si="16"/>
        <v>#DIV/0!</v>
      </c>
      <c r="BI49" s="20" t="e">
        <f>0.62198*(BG49/(BI2-BG49))</f>
        <v>#DIV/0!</v>
      </c>
      <c r="BJ49" s="20" t="e">
        <f>0.62198*(BH49/(BI2-BH49))</f>
        <v>#DIV/0!</v>
      </c>
      <c r="BK49" s="21" t="e">
        <f>((2501-2.381*BF49)*BI49-(BE2-BF49))/(2501+1.805*BE2-4.186*BF49)-BD14</f>
        <v>#DIV/0!</v>
      </c>
      <c r="BL49" s="21" t="e">
        <f>((2501-2.381*BE49)*BJ49-(BE2-BE49))/(2501+1.805*BE2-4.186*BE49)-BD14</f>
        <v>#DIV/0!</v>
      </c>
      <c r="BM49" s="21" t="e">
        <f t="shared" si="17"/>
        <v>#DIV/0!</v>
      </c>
      <c r="BO49" s="30">
        <v>12</v>
      </c>
      <c r="BP49" s="30" t="e">
        <f t="shared" si="42"/>
        <v>#VALUE!</v>
      </c>
      <c r="BQ49" s="30" t="e">
        <f t="shared" si="43"/>
        <v>#VALUE!</v>
      </c>
      <c r="BR49" s="24" t="e">
        <f t="shared" si="18"/>
        <v>#VALUE!</v>
      </c>
      <c r="BS49" s="24" t="e">
        <f t="shared" si="19"/>
        <v>#VALUE!</v>
      </c>
      <c r="BT49" s="20" t="e">
        <f>0.62198*(BR49/(BT2-BR49))</f>
        <v>#VALUE!</v>
      </c>
      <c r="BU49" s="20" t="e">
        <f>0.62198*(BS49/(BT2-BS49))</f>
        <v>#VALUE!</v>
      </c>
      <c r="BV49" s="21" t="e">
        <f>((2501-2.381*BQ49)*BT49-(BP2-BQ49))/(2501+1.805*BP2-4.186*BQ49)-BO14</f>
        <v>#VALUE!</v>
      </c>
      <c r="BW49" s="21" t="e">
        <f>((2501-2.381*BP49)*BU49-(BP2-BP49))/(2501+1.805*BP2-4.186*BP49)-BO14</f>
        <v>#VALUE!</v>
      </c>
      <c r="BX49" s="21" t="e">
        <f t="shared" si="20"/>
        <v>#VALUE!</v>
      </c>
      <c r="BZ49" s="30">
        <v>12</v>
      </c>
      <c r="CA49" s="30" t="e">
        <f t="shared" si="44"/>
        <v>#VALUE!</v>
      </c>
      <c r="CB49" s="30" t="e">
        <f t="shared" si="45"/>
        <v>#VALUE!</v>
      </c>
      <c r="CC49" s="24" t="e">
        <f t="shared" si="21"/>
        <v>#VALUE!</v>
      </c>
      <c r="CD49" s="24" t="e">
        <f t="shared" si="22"/>
        <v>#VALUE!</v>
      </c>
      <c r="CE49" s="20" t="e">
        <f>0.62198*(CC49/(CE2-CC49))</f>
        <v>#VALUE!</v>
      </c>
      <c r="CF49" s="20" t="e">
        <f>0.62198*(CD49/(CE2-CD49))</f>
        <v>#VALUE!</v>
      </c>
      <c r="CG49" s="21" t="e">
        <f>((2501-2.381*CB49)*CE49-(CA2-CB49))/(2501+1.805*CA2-4.186*CB49)-BZ14</f>
        <v>#VALUE!</v>
      </c>
      <c r="CH49" s="21" t="e">
        <f>((2501-2.381*CA49)*CF49-(CA2-CA49))/(2501+1.805*CA2-4.186*CA49)-BZ14</f>
        <v>#VALUE!</v>
      </c>
      <c r="CI49" s="21" t="e">
        <f t="shared" si="23"/>
        <v>#VALUE!</v>
      </c>
      <c r="CK49" s="30">
        <v>12</v>
      </c>
      <c r="CL49" s="30" t="e">
        <f t="shared" si="46"/>
        <v>#N/A</v>
      </c>
      <c r="CM49" s="30" t="e">
        <f t="shared" si="47"/>
        <v>#N/A</v>
      </c>
      <c r="CN49" s="24" t="e">
        <f t="shared" si="24"/>
        <v>#N/A</v>
      </c>
      <c r="CO49" s="24" t="e">
        <f t="shared" si="25"/>
        <v>#N/A</v>
      </c>
      <c r="CP49" s="20" t="e">
        <f>0.62198*(CN49/(CP2-CN49))</f>
        <v>#N/A</v>
      </c>
      <c r="CQ49" s="20" t="e">
        <f>0.62198*(CO49/(CP2-CO49))</f>
        <v>#N/A</v>
      </c>
      <c r="CR49" s="21" t="e">
        <f>((2501-2.381*CM49)*CP49-(CL2-CM49))/(2501+1.805*CL2-4.186*CM49)-CK14</f>
        <v>#N/A</v>
      </c>
      <c r="CS49" s="21" t="e">
        <f>((2501-2.381*CL49)*CQ49-(CL2-CL49))/(2501+1.805*CL2-4.186*CL49)-CK14</f>
        <v>#N/A</v>
      </c>
      <c r="CT49" s="21" t="e">
        <f t="shared" si="26"/>
        <v>#N/A</v>
      </c>
      <c r="CV49" s="30">
        <v>12</v>
      </c>
      <c r="CW49" s="30" t="e">
        <f t="shared" si="48"/>
        <v>#N/A</v>
      </c>
      <c r="CX49" s="30" t="e">
        <f t="shared" si="49"/>
        <v>#N/A</v>
      </c>
      <c r="CY49" s="24" t="e">
        <f t="shared" si="27"/>
        <v>#N/A</v>
      </c>
      <c r="CZ49" s="24" t="e">
        <f t="shared" si="28"/>
        <v>#N/A</v>
      </c>
      <c r="DA49" s="20" t="e">
        <f>0.62198*(CY49/(DA2-CY49))</f>
        <v>#N/A</v>
      </c>
      <c r="DB49" s="20" t="e">
        <f>0.62198*(CZ49/(DA2-CZ49))</f>
        <v>#N/A</v>
      </c>
      <c r="DC49" s="21" t="e">
        <f>((2501-2.381*CX49)*DA49-(CW2-CX49))/(2501+1.805*CW2-4.186*CX49)-CV14</f>
        <v>#N/A</v>
      </c>
      <c r="DD49" s="21" t="e">
        <f>((2501-2.381*CW49)*DB49-(CW2-CW49))/(2501+1.805*CW2-4.186*CW49)-CV14</f>
        <v>#N/A</v>
      </c>
      <c r="DE49" s="21" t="e">
        <f t="shared" si="29"/>
        <v>#N/A</v>
      </c>
    </row>
    <row r="51" spans="1:109">
      <c r="A51" s="27"/>
      <c r="L51" s="27"/>
      <c r="W51" s="27"/>
      <c r="AH51" s="27"/>
      <c r="AS51" s="27"/>
      <c r="BD51" s="27"/>
      <c r="BO51" s="27"/>
      <c r="BZ51" s="27"/>
      <c r="CK51" s="27"/>
      <c r="CV51" s="27"/>
    </row>
    <row r="53" spans="1:109">
      <c r="A53" s="22"/>
      <c r="L53" s="22"/>
      <c r="W53" s="22"/>
      <c r="AH53" s="22"/>
      <c r="AS53" s="22"/>
      <c r="BD53" s="22"/>
      <c r="BO53" s="22"/>
      <c r="BZ53" s="22"/>
      <c r="CK53" s="22"/>
      <c r="CV53" s="22"/>
    </row>
    <row r="54" spans="1:109">
      <c r="A54" s="29"/>
      <c r="B54" s="29"/>
      <c r="C54" s="29"/>
      <c r="D54" s="29"/>
      <c r="E54" s="29"/>
      <c r="F54" s="29"/>
      <c r="G54" s="29"/>
      <c r="H54" s="29"/>
      <c r="I54" s="29"/>
      <c r="J54" s="29"/>
      <c r="L54" s="29"/>
      <c r="M54" s="29"/>
      <c r="N54" s="29"/>
      <c r="O54" s="29"/>
      <c r="P54" s="29"/>
      <c r="Q54" s="29"/>
      <c r="R54" s="29"/>
      <c r="S54" s="29"/>
      <c r="T54" s="29"/>
      <c r="U54" s="29"/>
      <c r="W54" s="29"/>
      <c r="X54" s="29"/>
      <c r="Y54" s="29"/>
      <c r="Z54" s="29"/>
      <c r="AA54" s="29"/>
      <c r="AB54" s="29"/>
      <c r="AC54" s="29"/>
      <c r="AD54" s="29"/>
      <c r="AE54" s="29"/>
      <c r="AF54" s="29"/>
      <c r="AH54" s="29"/>
      <c r="AI54" s="29"/>
      <c r="AJ54" s="29"/>
      <c r="AK54" s="29"/>
      <c r="AL54" s="29"/>
      <c r="AM54" s="29"/>
      <c r="AN54" s="29"/>
      <c r="AO54" s="29"/>
      <c r="AP54" s="29"/>
      <c r="AQ54" s="29"/>
      <c r="AS54" s="29"/>
      <c r="AT54" s="29"/>
      <c r="AU54" s="29"/>
      <c r="AV54" s="29"/>
      <c r="AW54" s="29"/>
      <c r="AX54" s="29"/>
      <c r="AY54" s="29"/>
      <c r="AZ54" s="29"/>
      <c r="BA54" s="29"/>
      <c r="BB54" s="29"/>
      <c r="BD54" s="29"/>
      <c r="BE54" s="29"/>
      <c r="BF54" s="29"/>
      <c r="BG54" s="29"/>
      <c r="BH54" s="29"/>
      <c r="BI54" s="29"/>
      <c r="BJ54" s="29"/>
      <c r="BK54" s="29"/>
      <c r="BL54" s="29"/>
      <c r="BM54" s="29"/>
      <c r="BO54" s="29"/>
      <c r="BP54" s="29"/>
      <c r="BQ54" s="29"/>
      <c r="BR54" s="29"/>
      <c r="BS54" s="29"/>
      <c r="BT54" s="29"/>
      <c r="BU54" s="29"/>
      <c r="BV54" s="29"/>
      <c r="BW54" s="29"/>
      <c r="BX54" s="29"/>
      <c r="BZ54" s="29"/>
      <c r="CA54" s="29"/>
      <c r="CB54" s="29"/>
      <c r="CC54" s="29"/>
      <c r="CD54" s="29"/>
      <c r="CE54" s="29"/>
      <c r="CF54" s="29"/>
      <c r="CG54" s="29"/>
      <c r="CH54" s="29"/>
      <c r="CI54" s="29"/>
      <c r="CK54" s="29"/>
      <c r="CL54" s="29"/>
      <c r="CM54" s="29"/>
      <c r="CN54" s="29"/>
      <c r="CO54" s="29"/>
      <c r="CP54" s="29"/>
      <c r="CQ54" s="29"/>
      <c r="CR54" s="29"/>
      <c r="CS54" s="29"/>
      <c r="CT54" s="29"/>
      <c r="CV54" s="29"/>
      <c r="CW54" s="29"/>
      <c r="CX54" s="29"/>
      <c r="CY54" s="29"/>
      <c r="CZ54" s="29"/>
      <c r="DA54" s="29"/>
      <c r="DB54" s="29"/>
      <c r="DC54" s="29"/>
      <c r="DD54" s="29"/>
      <c r="DE54" s="29"/>
    </row>
    <row r="55" spans="1:109">
      <c r="A55" s="30"/>
      <c r="B55" s="30"/>
      <c r="C55" s="30"/>
      <c r="D55" s="24"/>
      <c r="E55" s="24"/>
      <c r="F55" s="20"/>
      <c r="G55" s="20"/>
      <c r="L55" s="30"/>
      <c r="M55" s="30"/>
      <c r="N55" s="30"/>
      <c r="O55" s="24"/>
      <c r="P55" s="24"/>
      <c r="Q55" s="20"/>
      <c r="R55" s="20"/>
      <c r="W55" s="30"/>
      <c r="X55" s="30"/>
      <c r="Y55" s="30"/>
      <c r="Z55" s="24"/>
      <c r="AA55" s="24"/>
      <c r="AB55" s="20"/>
      <c r="AC55" s="20"/>
      <c r="AH55" s="30"/>
      <c r="AI55" s="30"/>
      <c r="AJ55" s="30"/>
      <c r="AK55" s="24"/>
      <c r="AL55" s="24"/>
      <c r="AM55" s="20"/>
      <c r="AN55" s="20"/>
      <c r="AS55" s="30"/>
      <c r="AT55" s="30"/>
      <c r="AU55" s="30"/>
      <c r="AV55" s="24"/>
      <c r="AW55" s="24"/>
      <c r="AX55" s="20"/>
      <c r="AY55" s="20"/>
      <c r="BD55" s="30"/>
      <c r="BE55" s="30"/>
      <c r="BF55" s="30"/>
      <c r="BG55" s="24"/>
      <c r="BH55" s="24"/>
      <c r="BI55" s="20"/>
      <c r="BJ55" s="20"/>
      <c r="BO55" s="30"/>
      <c r="BP55" s="30"/>
      <c r="BQ55" s="30"/>
      <c r="BR55" s="24"/>
      <c r="BS55" s="24"/>
      <c r="BT55" s="20"/>
      <c r="BU55" s="20"/>
      <c r="BZ55" s="30"/>
      <c r="CA55" s="30"/>
      <c r="CB55" s="30"/>
      <c r="CC55" s="24"/>
      <c r="CD55" s="24"/>
      <c r="CE55" s="20"/>
      <c r="CF55" s="20"/>
      <c r="CK55" s="30"/>
      <c r="CL55" s="30"/>
      <c r="CM55" s="30"/>
      <c r="CN55" s="24"/>
      <c r="CO55" s="24"/>
      <c r="CP55" s="20"/>
      <c r="CQ55" s="20"/>
      <c r="CV55" s="30"/>
      <c r="CW55" s="30"/>
      <c r="CX55" s="30"/>
      <c r="CY55" s="24"/>
      <c r="CZ55" s="24"/>
      <c r="DA55" s="20"/>
      <c r="DB55" s="20"/>
    </row>
    <row r="56" spans="1:109">
      <c r="A56" s="30"/>
      <c r="B56" s="30"/>
      <c r="C56" s="30"/>
      <c r="D56" s="24"/>
      <c r="E56" s="24"/>
      <c r="F56" s="20"/>
      <c r="G56" s="20"/>
      <c r="L56" s="30"/>
      <c r="M56" s="30"/>
      <c r="N56" s="30"/>
      <c r="O56" s="24"/>
      <c r="P56" s="24"/>
      <c r="Q56" s="20"/>
      <c r="R56" s="20"/>
      <c r="W56" s="30"/>
      <c r="X56" s="30"/>
      <c r="Y56" s="30"/>
      <c r="Z56" s="24"/>
      <c r="AA56" s="24"/>
      <c r="AB56" s="20"/>
      <c r="AC56" s="20"/>
      <c r="AH56" s="30"/>
      <c r="AI56" s="30"/>
      <c r="AJ56" s="30"/>
      <c r="AK56" s="24"/>
      <c r="AL56" s="24"/>
      <c r="AM56" s="20"/>
      <c r="AN56" s="20"/>
      <c r="AS56" s="30"/>
      <c r="AT56" s="30"/>
      <c r="AU56" s="30"/>
      <c r="AV56" s="24"/>
      <c r="AW56" s="24"/>
      <c r="AX56" s="20"/>
      <c r="AY56" s="20"/>
      <c r="BD56" s="30"/>
      <c r="BE56" s="30"/>
      <c r="BF56" s="30"/>
      <c r="BG56" s="24"/>
      <c r="BH56" s="24"/>
      <c r="BI56" s="20"/>
      <c r="BJ56" s="20"/>
      <c r="BO56" s="30"/>
      <c r="BP56" s="30"/>
      <c r="BQ56" s="30"/>
      <c r="BR56" s="24"/>
      <c r="BS56" s="24"/>
      <c r="BT56" s="20"/>
      <c r="BU56" s="20"/>
      <c r="BZ56" s="30"/>
      <c r="CA56" s="30"/>
      <c r="CB56" s="30"/>
      <c r="CC56" s="24"/>
      <c r="CD56" s="24"/>
      <c r="CE56" s="20"/>
      <c r="CF56" s="20"/>
      <c r="CK56" s="30"/>
      <c r="CL56" s="30"/>
      <c r="CM56" s="30"/>
      <c r="CN56" s="24"/>
      <c r="CO56" s="24"/>
      <c r="CP56" s="20"/>
      <c r="CQ56" s="20"/>
      <c r="CV56" s="30"/>
      <c r="CW56" s="30"/>
      <c r="CX56" s="30"/>
      <c r="CY56" s="24"/>
      <c r="CZ56" s="24"/>
      <c r="DA56" s="20"/>
      <c r="DB56" s="20"/>
    </row>
    <row r="57" spans="1:109">
      <c r="A57" s="30"/>
      <c r="B57" s="30"/>
      <c r="C57" s="30"/>
      <c r="D57" s="24"/>
      <c r="E57" s="24"/>
      <c r="F57" s="20"/>
      <c r="G57" s="20"/>
      <c r="L57" s="30"/>
      <c r="M57" s="30"/>
      <c r="N57" s="30"/>
      <c r="O57" s="24"/>
      <c r="P57" s="24"/>
      <c r="Q57" s="20"/>
      <c r="R57" s="20"/>
      <c r="W57" s="30"/>
      <c r="X57" s="30"/>
      <c r="Y57" s="30"/>
      <c r="Z57" s="24"/>
      <c r="AA57" s="24"/>
      <c r="AB57" s="20"/>
      <c r="AC57" s="20"/>
      <c r="AH57" s="30"/>
      <c r="AI57" s="30"/>
      <c r="AJ57" s="30"/>
      <c r="AK57" s="24"/>
      <c r="AL57" s="24"/>
      <c r="AM57" s="20"/>
      <c r="AN57" s="20"/>
      <c r="AS57" s="30"/>
      <c r="AT57" s="30"/>
      <c r="AU57" s="30"/>
      <c r="AV57" s="24"/>
      <c r="AW57" s="24"/>
      <c r="AX57" s="20"/>
      <c r="AY57" s="20"/>
      <c r="BD57" s="30"/>
      <c r="BE57" s="30"/>
      <c r="BF57" s="30"/>
      <c r="BG57" s="24"/>
      <c r="BH57" s="24"/>
      <c r="BI57" s="20"/>
      <c r="BJ57" s="20"/>
      <c r="BO57" s="30"/>
      <c r="BP57" s="30"/>
      <c r="BQ57" s="30"/>
      <c r="BR57" s="24"/>
      <c r="BS57" s="24"/>
      <c r="BT57" s="20"/>
      <c r="BU57" s="20"/>
      <c r="BZ57" s="30"/>
      <c r="CA57" s="30"/>
      <c r="CB57" s="30"/>
      <c r="CC57" s="24"/>
      <c r="CD57" s="24"/>
      <c r="CE57" s="20"/>
      <c r="CF57" s="20"/>
      <c r="CK57" s="30"/>
      <c r="CL57" s="30"/>
      <c r="CM57" s="30"/>
      <c r="CN57" s="24"/>
      <c r="CO57" s="24"/>
      <c r="CP57" s="20"/>
      <c r="CQ57" s="20"/>
      <c r="CV57" s="30"/>
      <c r="CW57" s="30"/>
      <c r="CX57" s="30"/>
      <c r="CY57" s="24"/>
      <c r="CZ57" s="24"/>
      <c r="DA57" s="20"/>
      <c r="DB57" s="20"/>
    </row>
    <row r="58" spans="1:109">
      <c r="A58" s="30"/>
      <c r="B58" s="30"/>
      <c r="C58" s="30"/>
      <c r="D58" s="24"/>
      <c r="E58" s="24"/>
      <c r="F58" s="20"/>
      <c r="G58" s="20"/>
      <c r="L58" s="30"/>
      <c r="M58" s="30"/>
      <c r="N58" s="30"/>
      <c r="O58" s="24"/>
      <c r="P58" s="24"/>
      <c r="Q58" s="20"/>
      <c r="R58" s="20"/>
      <c r="W58" s="30"/>
      <c r="X58" s="30"/>
      <c r="Y58" s="30"/>
      <c r="Z58" s="24"/>
      <c r="AA58" s="24"/>
      <c r="AB58" s="20"/>
      <c r="AC58" s="20"/>
      <c r="AH58" s="30"/>
      <c r="AI58" s="30"/>
      <c r="AJ58" s="30"/>
      <c r="AK58" s="24"/>
      <c r="AL58" s="24"/>
      <c r="AM58" s="20"/>
      <c r="AN58" s="20"/>
      <c r="AS58" s="30"/>
      <c r="AT58" s="30"/>
      <c r="AU58" s="30"/>
      <c r="AV58" s="24"/>
      <c r="AW58" s="24"/>
      <c r="AX58" s="20"/>
      <c r="AY58" s="20"/>
      <c r="BD58" s="30"/>
      <c r="BE58" s="30"/>
      <c r="BF58" s="30"/>
      <c r="BG58" s="24"/>
      <c r="BH58" s="24"/>
      <c r="BI58" s="20"/>
      <c r="BJ58" s="20"/>
      <c r="BO58" s="30"/>
      <c r="BP58" s="30"/>
      <c r="BQ58" s="30"/>
      <c r="BR58" s="24"/>
      <c r="BS58" s="24"/>
      <c r="BT58" s="20"/>
      <c r="BU58" s="20"/>
      <c r="BZ58" s="30"/>
      <c r="CA58" s="30"/>
      <c r="CB58" s="30"/>
      <c r="CC58" s="24"/>
      <c r="CD58" s="24"/>
      <c r="CE58" s="20"/>
      <c r="CF58" s="20"/>
      <c r="CK58" s="30"/>
      <c r="CL58" s="30"/>
      <c r="CM58" s="30"/>
      <c r="CN58" s="24"/>
      <c r="CO58" s="24"/>
      <c r="CP58" s="20"/>
      <c r="CQ58" s="20"/>
      <c r="CV58" s="30"/>
      <c r="CW58" s="30"/>
      <c r="CX58" s="30"/>
      <c r="CY58" s="24"/>
      <c r="CZ58" s="24"/>
      <c r="DA58" s="20"/>
      <c r="DB58" s="20"/>
    </row>
    <row r="59" spans="1:109">
      <c r="A59" s="30"/>
      <c r="B59" s="30"/>
      <c r="C59" s="30"/>
      <c r="D59" s="24"/>
      <c r="E59" s="24"/>
      <c r="F59" s="20"/>
      <c r="G59" s="20"/>
      <c r="L59" s="30"/>
      <c r="M59" s="30"/>
      <c r="N59" s="30"/>
      <c r="O59" s="24"/>
      <c r="P59" s="24"/>
      <c r="Q59" s="20"/>
      <c r="R59" s="20"/>
      <c r="W59" s="30"/>
      <c r="X59" s="30"/>
      <c r="Y59" s="30"/>
      <c r="Z59" s="24"/>
      <c r="AA59" s="24"/>
      <c r="AB59" s="20"/>
      <c r="AC59" s="20"/>
      <c r="AH59" s="30"/>
      <c r="AI59" s="30"/>
      <c r="AJ59" s="30"/>
      <c r="AK59" s="24"/>
      <c r="AL59" s="24"/>
      <c r="AM59" s="20"/>
      <c r="AN59" s="20"/>
      <c r="AS59" s="30"/>
      <c r="AT59" s="30"/>
      <c r="AU59" s="30"/>
      <c r="AV59" s="24"/>
      <c r="AW59" s="24"/>
      <c r="AX59" s="20"/>
      <c r="AY59" s="20"/>
      <c r="BD59" s="30"/>
      <c r="BE59" s="30"/>
      <c r="BF59" s="30"/>
      <c r="BG59" s="24"/>
      <c r="BH59" s="24"/>
      <c r="BI59" s="20"/>
      <c r="BJ59" s="20"/>
      <c r="BO59" s="30"/>
      <c r="BP59" s="30"/>
      <c r="BQ59" s="30"/>
      <c r="BR59" s="24"/>
      <c r="BS59" s="24"/>
      <c r="BT59" s="20"/>
      <c r="BU59" s="20"/>
      <c r="BZ59" s="30"/>
      <c r="CA59" s="30"/>
      <c r="CB59" s="30"/>
      <c r="CC59" s="24"/>
      <c r="CD59" s="24"/>
      <c r="CE59" s="20"/>
      <c r="CF59" s="20"/>
      <c r="CK59" s="30"/>
      <c r="CL59" s="30"/>
      <c r="CM59" s="30"/>
      <c r="CN59" s="24"/>
      <c r="CO59" s="24"/>
      <c r="CP59" s="20"/>
      <c r="CQ59" s="20"/>
      <c r="CV59" s="30"/>
      <c r="CW59" s="30"/>
      <c r="CX59" s="30"/>
      <c r="CY59" s="24"/>
      <c r="CZ59" s="24"/>
      <c r="DA59" s="20"/>
      <c r="DB59" s="20"/>
    </row>
    <row r="60" spans="1:109">
      <c r="A60" s="30"/>
      <c r="B60" s="30"/>
      <c r="C60" s="30"/>
      <c r="D60" s="24"/>
      <c r="E60" s="24"/>
      <c r="F60" s="20"/>
      <c r="G60" s="20"/>
      <c r="L60" s="30"/>
      <c r="M60" s="30"/>
      <c r="N60" s="30"/>
      <c r="O60" s="24"/>
      <c r="P60" s="24"/>
      <c r="Q60" s="20"/>
      <c r="R60" s="20"/>
      <c r="W60" s="30"/>
      <c r="X60" s="30"/>
      <c r="Y60" s="30"/>
      <c r="Z60" s="24"/>
      <c r="AA60" s="24"/>
      <c r="AB60" s="20"/>
      <c r="AC60" s="20"/>
      <c r="AH60" s="30"/>
      <c r="AI60" s="30"/>
      <c r="AJ60" s="30"/>
      <c r="AK60" s="24"/>
      <c r="AL60" s="24"/>
      <c r="AM60" s="20"/>
      <c r="AN60" s="20"/>
      <c r="AS60" s="30"/>
      <c r="AT60" s="30"/>
      <c r="AU60" s="30"/>
      <c r="AV60" s="24"/>
      <c r="AW60" s="24"/>
      <c r="AX60" s="20"/>
      <c r="AY60" s="20"/>
      <c r="BD60" s="30"/>
      <c r="BE60" s="30"/>
      <c r="BF60" s="30"/>
      <c r="BG60" s="24"/>
      <c r="BH60" s="24"/>
      <c r="BI60" s="20"/>
      <c r="BJ60" s="20"/>
      <c r="BO60" s="30"/>
      <c r="BP60" s="30"/>
      <c r="BQ60" s="30"/>
      <c r="BR60" s="24"/>
      <c r="BS60" s="24"/>
      <c r="BT60" s="20"/>
      <c r="BU60" s="20"/>
      <c r="BZ60" s="30"/>
      <c r="CA60" s="30"/>
      <c r="CB60" s="30"/>
      <c r="CC60" s="24"/>
      <c r="CD60" s="24"/>
      <c r="CE60" s="20"/>
      <c r="CF60" s="20"/>
      <c r="CK60" s="30"/>
      <c r="CL60" s="30"/>
      <c r="CM60" s="30"/>
      <c r="CN60" s="24"/>
      <c r="CO60" s="24"/>
      <c r="CP60" s="20"/>
      <c r="CQ60" s="20"/>
      <c r="CV60" s="30"/>
      <c r="CW60" s="30"/>
      <c r="CX60" s="30"/>
      <c r="CY60" s="24"/>
      <c r="CZ60" s="24"/>
      <c r="DA60" s="20"/>
      <c r="DB60" s="20"/>
    </row>
    <row r="61" spans="1:109">
      <c r="A61" s="30"/>
      <c r="B61" s="30"/>
      <c r="C61" s="30"/>
      <c r="D61" s="24"/>
      <c r="E61" s="24"/>
      <c r="F61" s="20"/>
      <c r="G61" s="20"/>
      <c r="L61" s="30"/>
      <c r="M61" s="30"/>
      <c r="N61" s="30"/>
      <c r="O61" s="24"/>
      <c r="P61" s="24"/>
      <c r="Q61" s="20"/>
      <c r="R61" s="20"/>
      <c r="W61" s="30"/>
      <c r="X61" s="30"/>
      <c r="Y61" s="30"/>
      <c r="Z61" s="24"/>
      <c r="AA61" s="24"/>
      <c r="AB61" s="20"/>
      <c r="AC61" s="20"/>
      <c r="AH61" s="30"/>
      <c r="AI61" s="30"/>
      <c r="AJ61" s="30"/>
      <c r="AK61" s="24"/>
      <c r="AL61" s="24"/>
      <c r="AM61" s="20"/>
      <c r="AN61" s="20"/>
      <c r="AS61" s="30"/>
      <c r="AT61" s="30"/>
      <c r="AU61" s="30"/>
      <c r="AV61" s="24"/>
      <c r="AW61" s="24"/>
      <c r="AX61" s="20"/>
      <c r="AY61" s="20"/>
      <c r="BD61" s="30"/>
      <c r="BE61" s="30"/>
      <c r="BF61" s="30"/>
      <c r="BG61" s="24"/>
      <c r="BH61" s="24"/>
      <c r="BI61" s="20"/>
      <c r="BJ61" s="20"/>
      <c r="BO61" s="30"/>
      <c r="BP61" s="30"/>
      <c r="BQ61" s="30"/>
      <c r="BR61" s="24"/>
      <c r="BS61" s="24"/>
      <c r="BT61" s="20"/>
      <c r="BU61" s="20"/>
      <c r="BZ61" s="30"/>
      <c r="CA61" s="30"/>
      <c r="CB61" s="30"/>
      <c r="CC61" s="24"/>
      <c r="CD61" s="24"/>
      <c r="CE61" s="20"/>
      <c r="CF61" s="20"/>
      <c r="CK61" s="30"/>
      <c r="CL61" s="30"/>
      <c r="CM61" s="30"/>
      <c r="CN61" s="24"/>
      <c r="CO61" s="24"/>
      <c r="CP61" s="20"/>
      <c r="CQ61" s="20"/>
      <c r="CV61" s="30"/>
      <c r="CW61" s="30"/>
      <c r="CX61" s="30"/>
      <c r="CY61" s="24"/>
      <c r="CZ61" s="24"/>
      <c r="DA61" s="20"/>
      <c r="DB61" s="20"/>
    </row>
    <row r="62" spans="1:109">
      <c r="A62" s="30"/>
      <c r="B62" s="30"/>
      <c r="C62" s="30"/>
      <c r="D62" s="24"/>
      <c r="E62" s="24"/>
      <c r="F62" s="20"/>
      <c r="G62" s="20"/>
      <c r="L62" s="30"/>
      <c r="M62" s="30"/>
      <c r="N62" s="30"/>
      <c r="O62" s="24"/>
      <c r="P62" s="24"/>
      <c r="Q62" s="20"/>
      <c r="R62" s="20"/>
      <c r="W62" s="30"/>
      <c r="X62" s="30"/>
      <c r="Y62" s="30"/>
      <c r="Z62" s="24"/>
      <c r="AA62" s="24"/>
      <c r="AB62" s="20"/>
      <c r="AC62" s="20"/>
      <c r="AH62" s="30"/>
      <c r="AI62" s="30"/>
      <c r="AJ62" s="30"/>
      <c r="AK62" s="24"/>
      <c r="AL62" s="24"/>
      <c r="AM62" s="20"/>
      <c r="AN62" s="20"/>
      <c r="AS62" s="30"/>
      <c r="AT62" s="30"/>
      <c r="AU62" s="30"/>
      <c r="AV62" s="24"/>
      <c r="AW62" s="24"/>
      <c r="AX62" s="20"/>
      <c r="AY62" s="20"/>
      <c r="BD62" s="30"/>
      <c r="BE62" s="30"/>
      <c r="BF62" s="30"/>
      <c r="BG62" s="24"/>
      <c r="BH62" s="24"/>
      <c r="BI62" s="20"/>
      <c r="BJ62" s="20"/>
      <c r="BO62" s="30"/>
      <c r="BP62" s="30"/>
      <c r="BQ62" s="30"/>
      <c r="BR62" s="24"/>
      <c r="BS62" s="24"/>
      <c r="BT62" s="20"/>
      <c r="BU62" s="20"/>
      <c r="BZ62" s="30"/>
      <c r="CA62" s="30"/>
      <c r="CB62" s="30"/>
      <c r="CC62" s="24"/>
      <c r="CD62" s="24"/>
      <c r="CE62" s="20"/>
      <c r="CF62" s="20"/>
      <c r="CK62" s="30"/>
      <c r="CL62" s="30"/>
      <c r="CM62" s="30"/>
      <c r="CN62" s="24"/>
      <c r="CO62" s="24"/>
      <c r="CP62" s="20"/>
      <c r="CQ62" s="20"/>
      <c r="CV62" s="30"/>
      <c r="CW62" s="30"/>
      <c r="CX62" s="30"/>
      <c r="CY62" s="24"/>
      <c r="CZ62" s="24"/>
      <c r="DA62" s="20"/>
      <c r="DB62" s="20"/>
    </row>
    <row r="63" spans="1:109">
      <c r="A63" s="30"/>
      <c r="B63" s="30"/>
      <c r="C63" s="30"/>
      <c r="D63" s="24"/>
      <c r="E63" s="24"/>
      <c r="F63" s="20"/>
      <c r="G63" s="20"/>
      <c r="L63" s="30"/>
      <c r="M63" s="30"/>
      <c r="N63" s="30"/>
      <c r="O63" s="24"/>
      <c r="P63" s="24"/>
      <c r="Q63" s="20"/>
      <c r="R63" s="20"/>
      <c r="W63" s="30"/>
      <c r="X63" s="30"/>
      <c r="Y63" s="30"/>
      <c r="Z63" s="24"/>
      <c r="AA63" s="24"/>
      <c r="AB63" s="20"/>
      <c r="AC63" s="20"/>
      <c r="AH63" s="30"/>
      <c r="AI63" s="30"/>
      <c r="AJ63" s="30"/>
      <c r="AK63" s="24"/>
      <c r="AL63" s="24"/>
      <c r="AM63" s="20"/>
      <c r="AN63" s="20"/>
      <c r="AS63" s="30"/>
      <c r="AT63" s="30"/>
      <c r="AU63" s="30"/>
      <c r="AV63" s="24"/>
      <c r="AW63" s="24"/>
      <c r="AX63" s="20"/>
      <c r="AY63" s="20"/>
      <c r="BD63" s="30"/>
      <c r="BE63" s="30"/>
      <c r="BF63" s="30"/>
      <c r="BG63" s="24"/>
      <c r="BH63" s="24"/>
      <c r="BI63" s="20"/>
      <c r="BJ63" s="20"/>
      <c r="BO63" s="30"/>
      <c r="BP63" s="30"/>
      <c r="BQ63" s="30"/>
      <c r="BR63" s="24"/>
      <c r="BS63" s="24"/>
      <c r="BT63" s="20"/>
      <c r="BU63" s="20"/>
      <c r="BZ63" s="30"/>
      <c r="CA63" s="30"/>
      <c r="CB63" s="30"/>
      <c r="CC63" s="24"/>
      <c r="CD63" s="24"/>
      <c r="CE63" s="20"/>
      <c r="CF63" s="20"/>
      <c r="CK63" s="30"/>
      <c r="CL63" s="30"/>
      <c r="CM63" s="30"/>
      <c r="CN63" s="24"/>
      <c r="CO63" s="24"/>
      <c r="CP63" s="20"/>
      <c r="CQ63" s="20"/>
      <c r="CV63" s="30"/>
      <c r="CW63" s="30"/>
      <c r="CX63" s="30"/>
      <c r="CY63" s="24"/>
      <c r="CZ63" s="24"/>
      <c r="DA63" s="20"/>
      <c r="DB63" s="20"/>
    </row>
    <row r="64" spans="1:109">
      <c r="A64" s="30"/>
      <c r="B64" s="30"/>
      <c r="C64" s="30"/>
      <c r="D64" s="24"/>
      <c r="E64" s="24"/>
      <c r="F64" s="20"/>
      <c r="G64" s="20"/>
      <c r="L64" s="30"/>
      <c r="M64" s="30"/>
      <c r="N64" s="30"/>
      <c r="O64" s="24"/>
      <c r="P64" s="24"/>
      <c r="Q64" s="20"/>
      <c r="R64" s="20"/>
      <c r="W64" s="30"/>
      <c r="X64" s="30"/>
      <c r="Y64" s="30"/>
      <c r="Z64" s="24"/>
      <c r="AA64" s="24"/>
      <c r="AB64" s="20"/>
      <c r="AC64" s="20"/>
      <c r="AH64" s="30"/>
      <c r="AI64" s="30"/>
      <c r="AJ64" s="30"/>
      <c r="AK64" s="24"/>
      <c r="AL64" s="24"/>
      <c r="AM64" s="20"/>
      <c r="AN64" s="20"/>
      <c r="AS64" s="30"/>
      <c r="AT64" s="30"/>
      <c r="AU64" s="30"/>
      <c r="AV64" s="24"/>
      <c r="AW64" s="24"/>
      <c r="AX64" s="20"/>
      <c r="AY64" s="20"/>
      <c r="BD64" s="30"/>
      <c r="BE64" s="30"/>
      <c r="BF64" s="30"/>
      <c r="BG64" s="24"/>
      <c r="BH64" s="24"/>
      <c r="BI64" s="20"/>
      <c r="BJ64" s="20"/>
      <c r="BO64" s="30"/>
      <c r="BP64" s="30"/>
      <c r="BQ64" s="30"/>
      <c r="BR64" s="24"/>
      <c r="BS64" s="24"/>
      <c r="BT64" s="20"/>
      <c r="BU64" s="20"/>
      <c r="BZ64" s="30"/>
      <c r="CA64" s="30"/>
      <c r="CB64" s="30"/>
      <c r="CC64" s="24"/>
      <c r="CD64" s="24"/>
      <c r="CE64" s="20"/>
      <c r="CF64" s="20"/>
      <c r="CK64" s="30"/>
      <c r="CL64" s="30"/>
      <c r="CM64" s="30"/>
      <c r="CN64" s="24"/>
      <c r="CO64" s="24"/>
      <c r="CP64" s="20"/>
      <c r="CQ64" s="20"/>
      <c r="CV64" s="30"/>
      <c r="CW64" s="30"/>
      <c r="CX64" s="30"/>
      <c r="CY64" s="24"/>
      <c r="CZ64" s="24"/>
      <c r="DA64" s="20"/>
      <c r="DB64" s="20"/>
    </row>
    <row r="65" spans="1:106">
      <c r="A65" s="30"/>
      <c r="B65" s="30"/>
      <c r="C65" s="30"/>
      <c r="D65" s="24"/>
      <c r="E65" s="24"/>
      <c r="F65" s="20"/>
      <c r="G65" s="20"/>
      <c r="L65" s="30"/>
      <c r="M65" s="30"/>
      <c r="N65" s="30"/>
      <c r="O65" s="24"/>
      <c r="P65" s="24"/>
      <c r="Q65" s="20"/>
      <c r="R65" s="20"/>
      <c r="W65" s="30"/>
      <c r="X65" s="30"/>
      <c r="Y65" s="30"/>
      <c r="Z65" s="24"/>
      <c r="AA65" s="24"/>
      <c r="AB65" s="20"/>
      <c r="AC65" s="20"/>
      <c r="AH65" s="30"/>
      <c r="AI65" s="30"/>
      <c r="AJ65" s="30"/>
      <c r="AK65" s="24"/>
      <c r="AL65" s="24"/>
      <c r="AM65" s="20"/>
      <c r="AN65" s="20"/>
      <c r="AS65" s="30"/>
      <c r="AT65" s="30"/>
      <c r="AU65" s="30"/>
      <c r="AV65" s="24"/>
      <c r="AW65" s="24"/>
      <c r="AX65" s="20"/>
      <c r="AY65" s="20"/>
      <c r="BD65" s="30"/>
      <c r="BE65" s="30"/>
      <c r="BF65" s="30"/>
      <c r="BG65" s="24"/>
      <c r="BH65" s="24"/>
      <c r="BI65" s="20"/>
      <c r="BJ65" s="20"/>
      <c r="BO65" s="30"/>
      <c r="BP65" s="30"/>
      <c r="BQ65" s="30"/>
      <c r="BR65" s="24"/>
      <c r="BS65" s="24"/>
      <c r="BT65" s="20"/>
      <c r="BU65" s="20"/>
      <c r="BZ65" s="30"/>
      <c r="CA65" s="30"/>
      <c r="CB65" s="30"/>
      <c r="CC65" s="24"/>
      <c r="CD65" s="24"/>
      <c r="CE65" s="20"/>
      <c r="CF65" s="20"/>
      <c r="CK65" s="30"/>
      <c r="CL65" s="30"/>
      <c r="CM65" s="30"/>
      <c r="CN65" s="24"/>
      <c r="CO65" s="24"/>
      <c r="CP65" s="20"/>
      <c r="CQ65" s="20"/>
      <c r="CV65" s="30"/>
      <c r="CW65" s="30"/>
      <c r="CX65" s="30"/>
      <c r="CY65" s="24"/>
      <c r="CZ65" s="24"/>
      <c r="DA65" s="20"/>
      <c r="DB65" s="20"/>
    </row>
    <row r="66" spans="1:106">
      <c r="A66" s="30"/>
      <c r="B66" s="30"/>
      <c r="C66" s="30"/>
      <c r="D66" s="24"/>
      <c r="E66" s="24"/>
      <c r="F66" s="20"/>
      <c r="G66" s="20"/>
      <c r="L66" s="30"/>
      <c r="M66" s="30"/>
      <c r="N66" s="30"/>
      <c r="O66" s="24"/>
      <c r="P66" s="24"/>
      <c r="Q66" s="20"/>
      <c r="R66" s="20"/>
      <c r="W66" s="30"/>
      <c r="X66" s="30"/>
      <c r="Y66" s="30"/>
      <c r="Z66" s="24"/>
      <c r="AA66" s="24"/>
      <c r="AB66" s="20"/>
      <c r="AC66" s="20"/>
      <c r="AH66" s="30"/>
      <c r="AI66" s="30"/>
      <c r="AJ66" s="30"/>
      <c r="AK66" s="24"/>
      <c r="AL66" s="24"/>
      <c r="AM66" s="20"/>
      <c r="AN66" s="20"/>
      <c r="AS66" s="30"/>
      <c r="AT66" s="30"/>
      <c r="AU66" s="30"/>
      <c r="AV66" s="24"/>
      <c r="AW66" s="24"/>
      <c r="AX66" s="20"/>
      <c r="AY66" s="20"/>
      <c r="BD66" s="30"/>
      <c r="BE66" s="30"/>
      <c r="BF66" s="30"/>
      <c r="BG66" s="24"/>
      <c r="BH66" s="24"/>
      <c r="BI66" s="20"/>
      <c r="BJ66" s="20"/>
      <c r="BO66" s="30"/>
      <c r="BP66" s="30"/>
      <c r="BQ66" s="30"/>
      <c r="BR66" s="24"/>
      <c r="BS66" s="24"/>
      <c r="BT66" s="20"/>
      <c r="BU66" s="20"/>
      <c r="BZ66" s="30"/>
      <c r="CA66" s="30"/>
      <c r="CB66" s="30"/>
      <c r="CC66" s="24"/>
      <c r="CD66" s="24"/>
      <c r="CE66" s="20"/>
      <c r="CF66" s="20"/>
      <c r="CK66" s="30"/>
      <c r="CL66" s="30"/>
      <c r="CM66" s="30"/>
      <c r="CN66" s="24"/>
      <c r="CO66" s="24"/>
      <c r="CP66" s="20"/>
      <c r="CQ66" s="20"/>
      <c r="CV66" s="30"/>
      <c r="CW66" s="30"/>
      <c r="CX66" s="30"/>
      <c r="CY66" s="24"/>
      <c r="CZ66" s="24"/>
      <c r="DA66" s="20"/>
      <c r="DB66" s="20"/>
    </row>
    <row r="67" spans="1:106">
      <c r="A67" s="30"/>
      <c r="B67" s="30"/>
      <c r="C67" s="30"/>
      <c r="D67" s="24"/>
      <c r="E67" s="24"/>
      <c r="F67" s="20"/>
      <c r="G67" s="20"/>
      <c r="L67" s="30"/>
      <c r="M67" s="30"/>
      <c r="N67" s="30"/>
      <c r="O67" s="24"/>
      <c r="P67" s="24"/>
      <c r="Q67" s="20"/>
      <c r="R67" s="20"/>
      <c r="W67" s="30"/>
      <c r="X67" s="30"/>
      <c r="Y67" s="30"/>
      <c r="Z67" s="24"/>
      <c r="AA67" s="24"/>
      <c r="AB67" s="20"/>
      <c r="AC67" s="20"/>
      <c r="AH67" s="30"/>
      <c r="AI67" s="30"/>
      <c r="AJ67" s="30"/>
      <c r="AK67" s="24"/>
      <c r="AL67" s="24"/>
      <c r="AM67" s="20"/>
      <c r="AN67" s="20"/>
      <c r="AS67" s="30"/>
      <c r="AT67" s="30"/>
      <c r="AU67" s="30"/>
      <c r="AV67" s="24"/>
      <c r="AW67" s="24"/>
      <c r="AX67" s="20"/>
      <c r="AY67" s="20"/>
      <c r="BD67" s="30"/>
      <c r="BE67" s="30"/>
      <c r="BF67" s="30"/>
      <c r="BG67" s="24"/>
      <c r="BH67" s="24"/>
      <c r="BI67" s="20"/>
      <c r="BJ67" s="20"/>
      <c r="BO67" s="30"/>
      <c r="BP67" s="30"/>
      <c r="BQ67" s="30"/>
      <c r="BR67" s="24"/>
      <c r="BS67" s="24"/>
      <c r="BT67" s="20"/>
      <c r="BU67" s="20"/>
      <c r="BZ67" s="30"/>
      <c r="CA67" s="30"/>
      <c r="CB67" s="30"/>
      <c r="CC67" s="24"/>
      <c r="CD67" s="24"/>
      <c r="CE67" s="20"/>
      <c r="CF67" s="20"/>
      <c r="CK67" s="30"/>
      <c r="CL67" s="30"/>
      <c r="CM67" s="30"/>
      <c r="CN67" s="24"/>
      <c r="CO67" s="24"/>
      <c r="CP67" s="20"/>
      <c r="CQ67" s="20"/>
      <c r="CV67" s="30"/>
      <c r="CW67" s="30"/>
      <c r="CX67" s="30"/>
      <c r="CY67" s="24"/>
      <c r="CZ67" s="24"/>
      <c r="DA67" s="20"/>
      <c r="DB67" s="20"/>
    </row>
  </sheetData>
  <sheetProtection password="DFE4" sheet="1" objects="1" scenarios="1" selectLockedCells="1" selectUnlockedCells="1"/>
  <phoneticPr fontId="143"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4">
    <tabColor theme="6" tint="0.39997558519241921"/>
    <pageSetUpPr fitToPage="1"/>
  </sheetPr>
  <dimension ref="B1:EB195"/>
  <sheetViews>
    <sheetView showGridLines="0" showRowColHeaders="0" zoomScaleNormal="100" zoomScaleSheetLayoutView="85" workbookViewId="0"/>
  </sheetViews>
  <sheetFormatPr defaultColWidth="9.1796875" defaultRowHeight="11.5"/>
  <cols>
    <col min="1" max="1" width="2.7265625" style="293" customWidth="1"/>
    <col min="2" max="2" width="12.1796875" style="292" bestFit="1" customWidth="1"/>
    <col min="3" max="3" width="8" style="293" customWidth="1"/>
    <col min="4" max="6" width="7.26953125" style="293" customWidth="1"/>
    <col min="7" max="8" width="7.7265625" style="293" customWidth="1"/>
    <col min="9" max="10" width="7.453125" style="293" customWidth="1"/>
    <col min="11" max="11" width="6.26953125" style="293" customWidth="1"/>
    <col min="12" max="12" width="3.7265625" style="293" customWidth="1"/>
    <col min="13" max="13" width="5.453125" style="293" bestFit="1" customWidth="1"/>
    <col min="14" max="14" width="2" style="297" bestFit="1" customWidth="1"/>
    <col min="15" max="15" width="6.1796875" style="293" bestFit="1" customWidth="1"/>
    <col min="16" max="16" width="5.7265625" style="293" bestFit="1" customWidth="1"/>
    <col min="17" max="17" width="2.7265625" style="293" bestFit="1" customWidth="1"/>
    <col min="18" max="19" width="6.453125" style="293" bestFit="1" customWidth="1"/>
    <col min="20" max="20" width="8.26953125" style="293" bestFit="1" customWidth="1"/>
    <col min="21" max="21" width="3.7265625" style="293" customWidth="1"/>
    <col min="22" max="22" width="6.1796875" style="293" customWidth="1"/>
    <col min="23" max="23" width="2.7265625" style="297" customWidth="1"/>
    <col min="24" max="24" width="6.1796875" style="293" customWidth="1"/>
    <col min="25" max="25" width="6.453125" style="293" customWidth="1"/>
    <col min="26" max="26" width="2.7265625" style="293" customWidth="1"/>
    <col min="27" max="27" width="6.1796875" style="293" customWidth="1"/>
    <col min="28" max="28" width="6" style="293" customWidth="1"/>
    <col min="29" max="29" width="8" style="293" customWidth="1"/>
    <col min="30" max="30" width="7.1796875" style="293" customWidth="1"/>
    <col min="31" max="31" width="6.81640625" style="294" hidden="1" customWidth="1"/>
    <col min="32" max="32" width="7.1796875" style="294" hidden="1" customWidth="1"/>
    <col min="33" max="33" width="6.26953125" style="294" hidden="1" customWidth="1"/>
    <col min="34" max="34" width="6.453125" style="294" hidden="1" customWidth="1"/>
    <col min="35" max="35" width="6" style="294" hidden="1" customWidth="1"/>
    <col min="36" max="36" width="5.453125" style="294" hidden="1" customWidth="1"/>
    <col min="37" max="38" width="4.453125" style="293" hidden="1" customWidth="1"/>
    <col min="39" max="39" width="6.453125" style="293" hidden="1" customWidth="1"/>
    <col min="40" max="40" width="6" style="293" hidden="1" customWidth="1"/>
    <col min="41" max="41" width="5.453125" style="293" hidden="1" customWidth="1"/>
    <col min="42" max="43" width="4.453125" style="293" hidden="1" customWidth="1"/>
    <col min="44" max="45" width="5" style="293" hidden="1" customWidth="1"/>
    <col min="46" max="46" width="4.453125" style="293" hidden="1" customWidth="1"/>
    <col min="47" max="47" width="6.7265625" style="293" hidden="1" customWidth="1"/>
    <col min="48" max="49" width="12" style="293" hidden="1" customWidth="1"/>
    <col min="50" max="50" width="12.54296875" style="293" hidden="1" customWidth="1"/>
    <col min="51" max="51" width="12" style="293" hidden="1" customWidth="1"/>
    <col min="52" max="52" width="4.54296875" style="293" hidden="1" customWidth="1"/>
    <col min="53" max="53" width="7.1796875" style="293" hidden="1" customWidth="1"/>
    <col min="54" max="54" width="6.81640625" style="293" hidden="1" customWidth="1"/>
    <col min="55" max="55" width="8.453125" style="293" hidden="1" customWidth="1"/>
    <col min="56" max="56" width="6.54296875" style="293" hidden="1" customWidth="1"/>
    <col min="57" max="57" width="7" style="293" hidden="1" customWidth="1"/>
    <col min="58" max="58" width="5" style="293" hidden="1" customWidth="1"/>
    <col min="59" max="72" width="9.1796875" style="293" hidden="1" customWidth="1"/>
    <col min="73" max="73" width="5.81640625" style="293" hidden="1" customWidth="1"/>
    <col min="74" max="87" width="9.1796875" style="293" hidden="1" customWidth="1"/>
    <col min="88" max="88" width="9.453125" style="293" hidden="1" customWidth="1"/>
    <col min="89" max="116" width="9.1796875" style="293" hidden="1" customWidth="1"/>
    <col min="117" max="117" width="9.453125" style="293" hidden="1" customWidth="1"/>
    <col min="118" max="131" width="9.1796875" style="293" hidden="1" customWidth="1"/>
    <col min="132" max="132" width="9.453125" style="293" hidden="1" customWidth="1"/>
    <col min="133" max="16384" width="9.1796875" style="293"/>
  </cols>
  <sheetData>
    <row r="1" spans="2:132">
      <c r="B1" s="293"/>
      <c r="AE1" s="293"/>
      <c r="AF1" s="1643">
        <v>2</v>
      </c>
      <c r="AG1" s="1680">
        <f>IF(O22="n/a",0,1)</f>
        <v>0</v>
      </c>
    </row>
    <row r="2" spans="2:132" ht="12.75" customHeight="1">
      <c r="B2" s="1847" t="s">
        <v>427</v>
      </c>
      <c r="C2" s="1849"/>
      <c r="E2" s="2008" t="s">
        <v>1201</v>
      </c>
      <c r="F2" s="2009"/>
      <c r="G2" s="1441">
        <v>0</v>
      </c>
      <c r="H2" s="1228" t="s">
        <v>1202</v>
      </c>
      <c r="M2" s="2084" t="s">
        <v>1102</v>
      </c>
      <c r="N2" s="2084"/>
      <c r="O2" s="2084"/>
      <c r="P2" s="2084"/>
      <c r="Q2" s="2084"/>
      <c r="R2" s="2084"/>
      <c r="S2" s="2084"/>
      <c r="T2" s="2084"/>
      <c r="V2" s="2083" t="s">
        <v>2325</v>
      </c>
      <c r="W2" s="2083"/>
      <c r="X2" s="2083"/>
      <c r="Y2" s="2083"/>
      <c r="Z2" s="2083"/>
      <c r="AA2" s="2083"/>
      <c r="AB2" s="2083"/>
      <c r="AC2" s="2083"/>
      <c r="CW2" s="1673"/>
    </row>
    <row r="3" spans="2:132" ht="13.5">
      <c r="B3" s="717"/>
      <c r="C3" s="295"/>
      <c r="E3" s="2008" t="s">
        <v>358</v>
      </c>
      <c r="F3" s="2009"/>
      <c r="G3" s="1395">
        <v>101.325</v>
      </c>
      <c r="H3" s="1228" t="s">
        <v>1203</v>
      </c>
      <c r="AE3" s="297" t="s">
        <v>1120</v>
      </c>
      <c r="AF3" s="297" t="s">
        <v>1121</v>
      </c>
      <c r="AG3" s="297" t="s">
        <v>354</v>
      </c>
      <c r="AH3" s="293"/>
      <c r="AI3" s="293"/>
      <c r="AJ3" s="293"/>
      <c r="AU3" s="293" t="s">
        <v>1280</v>
      </c>
      <c r="AV3" s="297" t="s">
        <v>1185</v>
      </c>
      <c r="AW3" s="297" t="s">
        <v>1204</v>
      </c>
      <c r="AX3" s="297" t="s">
        <v>1184</v>
      </c>
      <c r="AY3" s="164" t="s">
        <v>1281</v>
      </c>
      <c r="AZ3" s="293" t="s">
        <v>1280</v>
      </c>
      <c r="BA3" s="297" t="s">
        <v>1185</v>
      </c>
      <c r="BB3" s="297" t="s">
        <v>1204</v>
      </c>
      <c r="BC3" s="297" t="s">
        <v>1184</v>
      </c>
      <c r="BD3" s="164" t="s">
        <v>1281</v>
      </c>
      <c r="BE3" s="164" t="s">
        <v>2351</v>
      </c>
      <c r="BF3" s="293" t="s">
        <v>1985</v>
      </c>
    </row>
    <row r="4" spans="2:132" ht="13.5" customHeight="1">
      <c r="B4" s="700"/>
      <c r="C4" s="296"/>
      <c r="E4" s="2008" t="s">
        <v>1284</v>
      </c>
      <c r="F4" s="2009"/>
      <c r="G4" s="1395">
        <v>1.2</v>
      </c>
      <c r="H4" s="1228" t="s">
        <v>1111</v>
      </c>
      <c r="M4" s="1847" t="s">
        <v>2296</v>
      </c>
      <c r="N4" s="1848"/>
      <c r="O4" s="1848"/>
      <c r="P4" s="1848"/>
      <c r="Q4" s="1848"/>
      <c r="R4" s="1848"/>
      <c r="S4" s="1848"/>
      <c r="T4" s="1849"/>
      <c r="V4" s="1847" t="s">
        <v>2296</v>
      </c>
      <c r="W4" s="1848"/>
      <c r="X4" s="1848"/>
      <c r="Y4" s="1848"/>
      <c r="Z4" s="1848"/>
      <c r="AA4" s="1848"/>
      <c r="AB4" s="1848"/>
      <c r="AC4" s="1849"/>
      <c r="AE4" s="362">
        <f>D8</f>
        <v>0</v>
      </c>
      <c r="AF4" s="362">
        <f>E8</f>
        <v>0</v>
      </c>
      <c r="AG4" s="503">
        <f>F8</f>
        <v>0</v>
      </c>
      <c r="AH4" s="1644">
        <f>273.15+AF4</f>
        <v>273.14999999999998</v>
      </c>
      <c r="AI4" s="1644">
        <f>IF(AH4&lt;273.16,-5674.5359/AH4+6.3925247-0.009677843*AH4,-5800.2206/AH4+1.3914993-0.048640239*AH4)</f>
        <v>-17.025409380322781</v>
      </c>
      <c r="AJ4" s="1644">
        <f>IF(AH4&lt;273.16,0.00000062215701*POWER(AH4,2)+0.0000000020747825*POWER(AH4,3)-0.000000000000948402*POWER(AH4,4)+4.1635019*LN(AH4),0.000041764768*POWER(AH4,2)-0.000000014452093*POWER(AH4,3)+6.5459673*LN(AH4))</f>
        <v>23.440757653659677</v>
      </c>
      <c r="AK4" s="1644">
        <f>EXP(AI4+AJ4)/1000</f>
        <v>0.61115357225163158</v>
      </c>
      <c r="AL4" s="1644">
        <f>0.62198*(AK4/($G$3-AK4))</f>
        <v>3.7743102100838721E-3</v>
      </c>
      <c r="AM4" s="1644">
        <f>273.15+AE4</f>
        <v>273.14999999999998</v>
      </c>
      <c r="AN4" s="1644">
        <f>IF(AM4&lt;273.16,-5674.5359/AM4+6.3925247-0.009677843*AM4,-5800.2206/AM4+1.3914993-0.048640239*AM4)</f>
        <v>-17.025409380322781</v>
      </c>
      <c r="AO4" s="1644">
        <f>IF(AM4&lt;273.16,0.00000062215701*POWER(AM4,2)+0.0000000020747825*POWER(AM4,3)-0.000000000000948402*POWER(AM4,4)+4.1635019*LN(AM4),0.000041764768*POWER(AM4,2)-0.000000014452093*POWER(AM4,3)+6.5459673*LN(AM4))</f>
        <v>23.440757653659677</v>
      </c>
      <c r="AP4" s="1644">
        <f>EXP(AN4+AO4)/1000</f>
        <v>0.61115357225163158</v>
      </c>
      <c r="AQ4" s="1644">
        <f>0.62198*(AP4/($G$3-AP4))</f>
        <v>3.7743102100838721E-3</v>
      </c>
      <c r="AR4" s="1644">
        <f>AX4/AQ4</f>
        <v>0</v>
      </c>
      <c r="AS4" s="1644">
        <f>$G$3*AX4/(0.62198+AX4)</f>
        <v>0</v>
      </c>
      <c r="AT4" s="1644">
        <f>(0.2871*(AE4+273.15)*(1+1.6078*AX4))/$G$3</f>
        <v>0.77395869726128785</v>
      </c>
      <c r="AU4" s="164">
        <f>IF(AE4+AF4&lt;&gt;0,AR4/(1-(1-AR4)*(AP4/$G$3))*100,0)</f>
        <v>0</v>
      </c>
      <c r="AV4" s="164">
        <f>IF(AE4+AF4&lt;&gt;0,1.006*AE4+AX4*(2501+1.805*AE4),0)</f>
        <v>0</v>
      </c>
      <c r="AW4" s="164">
        <f>IF(AE4+AF4&lt;&gt;0,(IF(AS4&lt;0.6112,"n/a (&lt;0C)",6.54+14.526*LN(AS4)+0.7389*POWER(LN(AS4),2)+0.09486*POWER(LN(AS4),3)+0.4569*POWER(AS4,0.1984))),0)</f>
        <v>0</v>
      </c>
      <c r="AX4" s="164">
        <f>IF(AE4+AF4&lt;&gt;0,(((2501-2.381*AF4)*AL4-(AE4-AF4))/(2501+1.805*AE4-4.186*AF4)),0)</f>
        <v>0</v>
      </c>
      <c r="AY4" s="164">
        <f>IF(AE4+AF4&lt;&gt;0,1/AT4,0)</f>
        <v>0</v>
      </c>
      <c r="AZ4" s="505">
        <f>IF($AG4=0,AU4,AU5)</f>
        <v>0</v>
      </c>
      <c r="BA4" s="521">
        <f>IF($AG4=0,AV4,AV5)</f>
        <v>0</v>
      </c>
      <c r="BB4" s="521">
        <f>IF($AG4=0,AW4,AW5)</f>
        <v>0</v>
      </c>
      <c r="BC4" s="1676">
        <f>IF($AG4=0,AX4,AX5)</f>
        <v>0</v>
      </c>
      <c r="BD4" s="521">
        <f>IF($AG4=0,AY4,AY5)</f>
        <v>0</v>
      </c>
      <c r="BE4" s="521" t="str">
        <f>IF(AG4&gt;0,'Wheel Support'!A32,"-")</f>
        <v>-</v>
      </c>
      <c r="BF4" s="293" t="e">
        <f>ROUND(IF(AF4=0,BE4,AF4),1)</f>
        <v>#VALUE!</v>
      </c>
      <c r="BH4" s="2083" t="s">
        <v>2445</v>
      </c>
      <c r="BI4" s="2083"/>
      <c r="BJ4" s="2083"/>
      <c r="BK4" s="2083"/>
      <c r="BL4" s="2083"/>
      <c r="BM4" s="2083"/>
      <c r="BN4" s="2083"/>
      <c r="BO4" s="2083"/>
      <c r="BP4" s="2083"/>
      <c r="BQ4" s="2083"/>
      <c r="BR4" s="2083"/>
      <c r="BS4" s="2083"/>
      <c r="BT4" s="2083"/>
      <c r="BV4" s="2083" t="s">
        <v>2443</v>
      </c>
      <c r="BW4" s="2083"/>
      <c r="BX4" s="2083"/>
      <c r="BY4" s="2083"/>
      <c r="BZ4" s="2083"/>
      <c r="CA4" s="2083"/>
      <c r="CB4" s="2083"/>
      <c r="CC4" s="2083"/>
      <c r="CD4" s="2083"/>
      <c r="CE4" s="2083"/>
      <c r="CF4" s="2083"/>
      <c r="CG4" s="2083"/>
      <c r="CH4" s="2083"/>
      <c r="CI4" s="2083"/>
      <c r="CK4" s="2083" t="s">
        <v>2444</v>
      </c>
      <c r="CL4" s="2083"/>
      <c r="CM4" s="2083"/>
      <c r="CN4" s="2083"/>
      <c r="CO4" s="2083"/>
      <c r="CP4" s="2083"/>
      <c r="CQ4" s="2083"/>
      <c r="CR4" s="2083"/>
      <c r="CS4" s="2083"/>
      <c r="CT4" s="2083"/>
      <c r="CU4" s="2083"/>
      <c r="CV4" s="2083"/>
      <c r="CW4" s="2083"/>
      <c r="CX4" s="2083"/>
      <c r="CZ4" s="2083" t="s">
        <v>2437</v>
      </c>
      <c r="DA4" s="2083"/>
      <c r="DB4" s="2083"/>
      <c r="DC4" s="2083"/>
      <c r="DD4" s="2083"/>
      <c r="DE4" s="2083"/>
      <c r="DF4" s="2083"/>
      <c r="DG4" s="2083"/>
      <c r="DH4" s="2083"/>
      <c r="DI4" s="2083"/>
      <c r="DJ4" s="2083"/>
      <c r="DK4" s="2083"/>
      <c r="DL4" s="2083"/>
      <c r="DM4" s="2083"/>
      <c r="DO4" s="2083" t="s">
        <v>2438</v>
      </c>
      <c r="DP4" s="2083"/>
      <c r="DQ4" s="2083"/>
      <c r="DR4" s="2083"/>
      <c r="DS4" s="2083"/>
      <c r="DT4" s="2083"/>
      <c r="DU4" s="2083"/>
      <c r="DV4" s="2083"/>
      <c r="DW4" s="2083"/>
      <c r="DX4" s="2083"/>
      <c r="DY4" s="2083"/>
      <c r="DZ4" s="2083"/>
      <c r="EA4" s="2083"/>
      <c r="EB4" s="2083"/>
    </row>
    <row r="5" spans="2:132">
      <c r="M5" s="1224" t="s">
        <v>2364</v>
      </c>
      <c r="N5" s="1629"/>
      <c r="O5" s="1384"/>
      <c r="P5" s="1384"/>
      <c r="Q5" s="1384"/>
      <c r="R5" s="1384"/>
      <c r="S5" s="1384"/>
      <c r="T5" s="1385"/>
      <c r="V5" s="2088" t="s">
        <v>2365</v>
      </c>
      <c r="W5" s="2089"/>
      <c r="X5" s="2089"/>
      <c r="Y5" s="2089"/>
      <c r="Z5" s="2089"/>
      <c r="AA5" s="2089"/>
      <c r="AB5" s="2089"/>
      <c r="AC5" s="1385"/>
      <c r="AH5" s="1644">
        <f>273.15+AE4</f>
        <v>273.14999999999998</v>
      </c>
      <c r="AI5" s="1644">
        <f>IF(AH5&lt;273.16,-5674.5359/AH5+6.3925247-0.009677843*AH5,-5800.2206/AH5+1.3914993-0.048640239*AH5)</f>
        <v>-17.025409380322781</v>
      </c>
      <c r="AJ5" s="1644">
        <f>IF(AH5&lt;273.16,0.00000062215701*POWER(AH5,2)+0.0000000020747825*POWER(AH5,3)-0.000000000000948402*POWER(AH5,4)+4.1635019*LN(AH5),0.000041764768*POWER(AH5,2)-0.000000014452093*POWER(AH5,3)+6.5459673*LN(AH5))</f>
        <v>23.440757653659677</v>
      </c>
      <c r="AK5" s="1644">
        <f>EXP(AI5+AJ5)/1000</f>
        <v>0.61115357225163158</v>
      </c>
      <c r="AL5" s="1644">
        <f>AG4/100*AK5</f>
        <v>0</v>
      </c>
      <c r="AM5" s="1644">
        <f>0.62198*(AK5/($G$3-AK5))</f>
        <v>3.7743102100838721E-3</v>
      </c>
      <c r="AN5" s="1644">
        <f>AX5/AM5</f>
        <v>0</v>
      </c>
      <c r="AO5" s="1644">
        <f>0.2871*(AE4+273.15)*(1+1.6078*AX5)/$G$3</f>
        <v>0.77395869726128785</v>
      </c>
      <c r="AP5" s="504"/>
      <c r="AQ5" s="504"/>
      <c r="AR5" s="504"/>
      <c r="AS5" s="504"/>
      <c r="AT5" s="504"/>
      <c r="AU5" s="505">
        <f>IF(AE4+AG4&gt;0,AG4,0)</f>
        <v>0</v>
      </c>
      <c r="AV5" s="520">
        <f>IF(AE4+AG4&gt;0,(1.006*AE4+AX5*(2501+1.805*AE4)),0)</f>
        <v>0</v>
      </c>
      <c r="AW5" s="521">
        <f>IF(AE4+AG4&gt;0,(IF(AL5&lt;0.6112,"n/a (&lt;0C)",6.54+14.526*LN(AL5)+0.7389*POWER(LN(AL5),2)+0.09486*POWER(LN(AL5),3)+0.4569*POWER(AL5,0.1984))),0)</f>
        <v>0</v>
      </c>
      <c r="AX5" s="522">
        <f>IF(AE4+AG4&gt;0,0.62198*(AL5/($G$3-AL5)),0)</f>
        <v>0</v>
      </c>
      <c r="AY5" s="521">
        <f>IF(AE4+AG4&gt;0,1/AO5,0)</f>
        <v>0</v>
      </c>
      <c r="BC5" s="1673"/>
      <c r="CC5" s="1673"/>
      <c r="CG5" s="1673">
        <f>BC7</f>
        <v>0</v>
      </c>
      <c r="CH5" s="293" t="e">
        <f>MATCH(CG5,CI11:CI110)</f>
        <v>#N/A</v>
      </c>
      <c r="CR5" s="1673"/>
      <c r="CW5" s="1673">
        <f>BC13</f>
        <v>0</v>
      </c>
      <c r="CX5" s="293" t="e">
        <f>MATCH(CW5,CX11:CX110)</f>
        <v>#N/A</v>
      </c>
      <c r="DG5" s="1673" t="str">
        <f>O26</f>
        <v>n/a</v>
      </c>
      <c r="DH5" s="293" t="e">
        <f>MATCH(DG5,DK11:DK110)</f>
        <v>#N/A</v>
      </c>
      <c r="DK5" s="1673" t="str">
        <f>IF(AF1=1,BC4,"n/a")</f>
        <v>n/a</v>
      </c>
      <c r="DL5" s="293" t="e">
        <f>MATCH(DK5,DM11:DM110)</f>
        <v>#N/A</v>
      </c>
      <c r="DV5" s="1673" t="str">
        <f>O38</f>
        <v>n/a</v>
      </c>
      <c r="DW5" s="293" t="e">
        <f>MATCH(DV5,DZ11:DZ110)</f>
        <v>#N/A</v>
      </c>
      <c r="DZ5" s="1673" t="str">
        <f>IF(AF1=1,BC10,"n/a")</f>
        <v>n/a</v>
      </c>
      <c r="EA5" s="293" t="e">
        <f>MATCH(DZ5,EB11:EB110)</f>
        <v>#N/A</v>
      </c>
    </row>
    <row r="6" spans="2:132" ht="13.5">
      <c r="B6" s="2021" t="s">
        <v>1091</v>
      </c>
      <c r="C6" s="2022"/>
      <c r="D6" s="2022"/>
      <c r="E6" s="2022"/>
      <c r="F6" s="2022"/>
      <c r="G6" s="2022"/>
      <c r="H6" s="2022"/>
      <c r="I6" s="2022"/>
      <c r="J6" s="2022"/>
      <c r="K6" s="2023"/>
      <c r="M6" s="697" t="s">
        <v>2292</v>
      </c>
      <c r="N6" s="297" t="s">
        <v>5</v>
      </c>
      <c r="O6" s="297" t="str">
        <f>IF(OR(D14=0,D15=0),"n/a",IF(D14&gt;D15,"Ve","Vs"))</f>
        <v>n/a</v>
      </c>
      <c r="P6" s="297" t="s">
        <v>137</v>
      </c>
      <c r="Q6" s="297" t="s">
        <v>1108</v>
      </c>
      <c r="R6" s="297" t="s">
        <v>2297</v>
      </c>
      <c r="S6" s="297" t="s">
        <v>2298</v>
      </c>
      <c r="T6" s="300" t="s">
        <v>2302</v>
      </c>
      <c r="V6" s="697" t="s">
        <v>2293</v>
      </c>
      <c r="W6" s="297" t="s">
        <v>5</v>
      </c>
      <c r="X6" s="297" t="str">
        <f>IF(OR(D14=0,D15=0),"n/a",IF(D14&gt;D15,"Ve","Vs"))</f>
        <v>n/a</v>
      </c>
      <c r="Y6" s="297" t="s">
        <v>137</v>
      </c>
      <c r="Z6" s="297" t="s">
        <v>1108</v>
      </c>
      <c r="AA6" s="297" t="s">
        <v>2309</v>
      </c>
      <c r="AB6" s="297" t="s">
        <v>2310</v>
      </c>
      <c r="AC6" s="300" t="s">
        <v>2303</v>
      </c>
      <c r="BC6" s="1673"/>
      <c r="CD6" s="1190"/>
      <c r="CH6" s="1190" t="e">
        <f>IF(CG5="n/a",0,INDEX(BW11:BW110,CH5)+(CG5-INDEX(CI11:CI110,CH5))*(INDEX(BW11:BW110,CH5+1)-INDEX(BW11:BW110,CH5))/(INDEX(CI11:CI110,CH5+1)-INDEX(CI11:CI110,CH5)))</f>
        <v>#N/A</v>
      </c>
      <c r="CS6" s="1190"/>
      <c r="CX6" s="1190" t="e">
        <f>IF(CW5="n/a",0,INDEX(CL11:CL110,CX5)+(CW5-INDEX(CX11:CX110,CX5))*(INDEX(CL11:CL110,CX5+1)-INDEX(CL11:CL110,CX5))/(INDEX(CX11:CX110,CX5+1)-INDEX(CX11:CX110,CX5)))</f>
        <v>#N/A</v>
      </c>
      <c r="DH6" s="1190">
        <f>IF(DG5="n/a",0,IF(DG5&gt;DK110,100,INDEX(DA11:DA110,DH5)+(DG5-INDEX(DK11:DK110,DH5))*(INDEX(DA11:DA110,DH5+1)-INDEX(DA11:DA110,DH5))/(INDEX(DK11:DK110,DH5+1)-INDEX(DK11:DK110,DH5))))</f>
        <v>0</v>
      </c>
      <c r="DL6" s="1190">
        <f>IF(DK5="n/a",0,IF(DK5&gt;DM110,100,INDEX(DA11:DA110,DL5)+(DK5-INDEX(DM11:DM110,DL5))*(INDEX(DA11:DA110,DL5+1)-INDEX(DA11:DA110,DL5))/(INDEX(DM11:DM110,DL5+1)-INDEX(DM11:DM110,DL5))))</f>
        <v>0</v>
      </c>
      <c r="DW6" s="1190">
        <f>IF(DV5="n/a",0,INDEX(DP11:DP110,DW5)+(DV5-INDEX(DZ11:DZ110,DW5))*(INDEX(DP11:DP110,DW5+1)-INDEX(DP11:DP110,DW5))/(INDEX(DZ11:DZ110,DW5+1)-INDEX(DZ11:DZ110,DW5)))</f>
        <v>0</v>
      </c>
      <c r="EA6" s="1190">
        <f>IF(DZ5="n/a",0,INDEX(DP11:DP110,EA5)+(DZ5-INDEX(EB11:EB110,EA5))*(INDEX(DP11:DP110,EA5+1)-INDEX(DP11:DP110,EA5))/(INDEX(EB11:EB110,EA5+1)-INDEX(EB11:EB110,EA5)))</f>
        <v>0</v>
      </c>
    </row>
    <row r="7" spans="2:132" ht="13.5">
      <c r="B7" s="301"/>
      <c r="C7" s="303" t="s">
        <v>1283</v>
      </c>
      <c r="D7" s="303" t="s">
        <v>1120</v>
      </c>
      <c r="E7" s="303" t="s">
        <v>1121</v>
      </c>
      <c r="F7" s="303" t="s">
        <v>354</v>
      </c>
      <c r="G7" s="303" t="s">
        <v>1121</v>
      </c>
      <c r="H7" s="303" t="s">
        <v>1184</v>
      </c>
      <c r="I7" s="303" t="s">
        <v>1185</v>
      </c>
      <c r="J7" s="303" t="s">
        <v>1204</v>
      </c>
      <c r="K7" s="303" t="s">
        <v>354</v>
      </c>
      <c r="M7" s="717"/>
      <c r="N7" s="297" t="s">
        <v>5</v>
      </c>
      <c r="O7" s="304" t="str">
        <f>IF(OR(D14=0,D15=0),"n/a",IF(D14&gt;D15,D15,D14))</f>
        <v>n/a</v>
      </c>
      <c r="P7" s="1626">
        <f>G4*1.02</f>
        <v>1.224</v>
      </c>
      <c r="Q7" s="297" t="s">
        <v>1108</v>
      </c>
      <c r="R7" s="308" t="str">
        <f>I8</f>
        <v>-</v>
      </c>
      <c r="S7" s="380" t="str">
        <f>I10</f>
        <v>-</v>
      </c>
      <c r="T7" s="1628" t="str">
        <f>IF(AF1=1,"n/a",IF(D19&gt;0,D19,"n/a"))</f>
        <v>n/a</v>
      </c>
      <c r="V7" s="717"/>
      <c r="W7" s="297" t="s">
        <v>5</v>
      </c>
      <c r="X7" s="305" t="str">
        <f>IF(OR(D14=0,D15=0),"n/a",IF(D14&gt;D15,D15,D14))</f>
        <v>n/a</v>
      </c>
      <c r="Y7" s="1626">
        <f>G4*1.02</f>
        <v>1.224</v>
      </c>
      <c r="Z7" s="297" t="s">
        <v>1108</v>
      </c>
      <c r="AA7" s="371" t="str">
        <f>IF(I11="-","n/a",D11)</f>
        <v>n/a</v>
      </c>
      <c r="AB7" s="1622" t="str">
        <f>IF(I9="-","n/a )",D9)</f>
        <v>n/a )</v>
      </c>
      <c r="AC7" s="1628" t="str">
        <f>IF(D18&gt;0,D18,"n/a")</f>
        <v>n/a</v>
      </c>
      <c r="AE7" s="362">
        <f>D9</f>
        <v>0</v>
      </c>
      <c r="AF7" s="362">
        <f>E9</f>
        <v>0</v>
      </c>
      <c r="AG7" s="503">
        <f>F9</f>
        <v>0</v>
      </c>
      <c r="AH7" s="1644">
        <f>273.15+AF7</f>
        <v>273.14999999999998</v>
      </c>
      <c r="AI7" s="1644">
        <f>IF(AH7&lt;273.16,-5674.5359/AH7+6.3925247-0.009677843*AH7,-5800.2206/AH7+1.3914993-0.048640239*AH7)</f>
        <v>-17.025409380322781</v>
      </c>
      <c r="AJ7" s="1644">
        <f>IF(AH7&lt;273.16,0.00000062215701*POWER(AH7,2)+0.0000000020747825*POWER(AH7,3)-0.000000000000948402*POWER(AH7,4)+4.1635019*LN(AH7),0.000041764768*POWER(AH7,2)-0.000000014452093*POWER(AH7,3)+6.5459673*LN(AH7))</f>
        <v>23.440757653659677</v>
      </c>
      <c r="AK7" s="1644">
        <f>EXP(AI7+AJ7)/1000</f>
        <v>0.61115357225163158</v>
      </c>
      <c r="AL7" s="1644">
        <f>0.62198*(AK7/($G$3-AK7))</f>
        <v>3.7743102100838721E-3</v>
      </c>
      <c r="AM7" s="1644">
        <f>273.15+AE7</f>
        <v>273.14999999999998</v>
      </c>
      <c r="AN7" s="1644">
        <f>IF(AM7&lt;273.16,-5674.5359/AM7+6.3925247-0.009677843*AM7,-5800.2206/AM7+1.3914993-0.048640239*AM7)</f>
        <v>-17.025409380322781</v>
      </c>
      <c r="AO7" s="1644">
        <f>IF(AM7&lt;273.16,0.00000062215701*POWER(AM7,2)+0.0000000020747825*POWER(AM7,3)-0.000000000000948402*POWER(AM7,4)+4.1635019*LN(AM7),0.000041764768*POWER(AM7,2)-0.000000014452093*POWER(AM7,3)+6.5459673*LN(AM7))</f>
        <v>23.440757653659677</v>
      </c>
      <c r="AP7" s="1644">
        <f>EXP(AN7+AO7)/1000</f>
        <v>0.61115357225163158</v>
      </c>
      <c r="AQ7" s="1644">
        <f>0.62198*(AP7/($G$3-AP7))</f>
        <v>3.7743102100838721E-3</v>
      </c>
      <c r="AR7" s="1644">
        <f>AX7/AQ7</f>
        <v>0</v>
      </c>
      <c r="AS7" s="1644">
        <f>$G$3*AX7/(0.62198+AX7)</f>
        <v>0</v>
      </c>
      <c r="AT7" s="1644">
        <f>(0.2871*(AE7+273.15)*(1+1.6078*AX7))/$G$3</f>
        <v>0.77395869726128785</v>
      </c>
      <c r="AU7" s="164">
        <f>IF(AE7+AF7&lt;&gt;0,AR7/(1-(1-AR7)*(AP7/$G$3))*100,0)</f>
        <v>0</v>
      </c>
      <c r="AV7" s="164">
        <f>IF(AE7+AF7&lt;&gt;0,1.006*AE7+AX7*(2501+1.805*AE7),0)</f>
        <v>0</v>
      </c>
      <c r="AW7" s="164">
        <f>IF(AE7+AF7&lt;&gt;0,(IF(AS7&lt;0.6112,"n/a (&lt;0C)",6.54+14.526*LN(AS7)+0.7389*POWER(LN(AS7),2)+0.09486*POWER(LN(AS7),3)+0.4569*POWER(AS7,0.1984))),0)</f>
        <v>0</v>
      </c>
      <c r="AX7" s="164">
        <f>IF(AE7+AF7&lt;&gt;0,(((2501-2.381*AF7)*AL7-(AE7-AF7))/(2501+1.805*AE7-4.186*AF7)),0)</f>
        <v>0</v>
      </c>
      <c r="AY7" s="164">
        <f>IF(AE7+AF7&lt;&gt;0,1/AT7,0)</f>
        <v>0</v>
      </c>
      <c r="AZ7" s="505">
        <f>IF($AG7=0,AU7,AU8)</f>
        <v>0</v>
      </c>
      <c r="BA7" s="521">
        <f>IF($AG7=0,AV7,AV8)</f>
        <v>0</v>
      </c>
      <c r="BB7" s="521">
        <f>IF($AG7=0,AW7,AW8)</f>
        <v>0</v>
      </c>
      <c r="BC7" s="1676">
        <f>IF($AG7=0,AX7,AX8)</f>
        <v>0</v>
      </c>
      <c r="BD7" s="521">
        <f>IF($AG7=0,AY7,AY8)</f>
        <v>0</v>
      </c>
      <c r="BE7" s="521" t="str">
        <f>IF(AG7&gt;0,'Wheel Support'!L32,"-")</f>
        <v>-</v>
      </c>
      <c r="BF7" s="293" t="e">
        <f>ROUND(IF(AF7=0,BE7,AF7),1)</f>
        <v>#VALUE!</v>
      </c>
      <c r="BR7" s="1645" t="str">
        <f>X31</f>
        <v>n/a</v>
      </c>
      <c r="BS7" s="293" t="e">
        <f>MATCH(BR7,BR10:BR168)</f>
        <v>#N/A</v>
      </c>
      <c r="DL7" s="1675"/>
      <c r="EA7" s="1675"/>
    </row>
    <row r="8" spans="2:132" ht="12.75" customHeight="1">
      <c r="B8" s="2024" t="s">
        <v>2331</v>
      </c>
      <c r="C8" s="310" t="s">
        <v>1102</v>
      </c>
      <c r="D8" s="1393"/>
      <c r="E8" s="1393"/>
      <c r="F8" s="1394"/>
      <c r="G8" s="386" t="str">
        <f>BE4</f>
        <v>-</v>
      </c>
      <c r="H8" s="327" t="str">
        <f>IF(BC4=0,"-",BC4)</f>
        <v>-</v>
      </c>
      <c r="I8" s="385" t="str">
        <f>IF(BA4=0,"-",BA4)</f>
        <v>-</v>
      </c>
      <c r="J8" s="386" t="str">
        <f>IF(BB4=0,"-",BB4)</f>
        <v>-</v>
      </c>
      <c r="K8" s="507" t="str">
        <f>IF(F8&gt;0,"-",IF(AZ4=0,"-",AZ4))</f>
        <v>-</v>
      </c>
      <c r="M8" s="700"/>
      <c r="N8" s="1681" t="s">
        <v>5</v>
      </c>
      <c r="O8" s="1639" t="str">
        <f>IF(OR(AF1=1,O7="n/a",T7="n/a"),"n/a",T7*O7*P7*(R7-S7))</f>
        <v>n/a</v>
      </c>
      <c r="P8" s="1632" t="s">
        <v>6</v>
      </c>
      <c r="Q8" s="319"/>
      <c r="R8" s="319"/>
      <c r="S8" s="319"/>
      <c r="T8" s="1633"/>
      <c r="V8" s="700"/>
      <c r="W8" s="1681" t="s">
        <v>5</v>
      </c>
      <c r="X8" s="1639" t="str">
        <f>IF(OR(X7="n/a",AA7="n/a",AB7="n/a )",AC7="n/a"),"n/a",AC7*X7*Y7*(AA7-AB7))</f>
        <v>n/a</v>
      </c>
      <c r="Y8" s="1632" t="s">
        <v>6</v>
      </c>
      <c r="Z8" s="319"/>
      <c r="AA8" s="319"/>
      <c r="AB8" s="319"/>
      <c r="AC8" s="296"/>
      <c r="AH8" s="1644">
        <f>273.15+AE7</f>
        <v>273.14999999999998</v>
      </c>
      <c r="AI8" s="1644">
        <f>IF(AH8&lt;273.16,-5674.5359/AH8+6.3925247-0.009677843*AH8,-5800.2206/AH8+1.3914993-0.048640239*AH8)</f>
        <v>-17.025409380322781</v>
      </c>
      <c r="AJ8" s="1644">
        <f>IF(AH8&lt;273.16,0.00000062215701*POWER(AH8,2)+0.0000000020747825*POWER(AH8,3)-0.000000000000948402*POWER(AH8,4)+4.1635019*LN(AH8),0.000041764768*POWER(AH8,2)-0.000000014452093*POWER(AH8,3)+6.5459673*LN(AH8))</f>
        <v>23.440757653659677</v>
      </c>
      <c r="AK8" s="1644">
        <f>EXP(AI8+AJ8)/1000</f>
        <v>0.61115357225163158</v>
      </c>
      <c r="AL8" s="1644">
        <f>AG7/100*AK8</f>
        <v>0</v>
      </c>
      <c r="AM8" s="1644">
        <f>0.62198*(AK8/($G$3-AK8))</f>
        <v>3.7743102100838721E-3</v>
      </c>
      <c r="AN8" s="1644">
        <f>AX8/AM8</f>
        <v>0</v>
      </c>
      <c r="AO8" s="1644">
        <f>0.2871*(AE7+273.15)*(1+1.6078*AX8)/$G$3</f>
        <v>0.77395869726128785</v>
      </c>
      <c r="AP8" s="504"/>
      <c r="AQ8" s="504"/>
      <c r="AR8" s="504"/>
      <c r="AS8" s="504"/>
      <c r="AT8" s="504"/>
      <c r="AU8" s="505">
        <f>IF(AE7+AG7&gt;0,AG7,0)</f>
        <v>0</v>
      </c>
      <c r="AV8" s="520">
        <f>IF(AE7+AG7&gt;0,(1.006*AE7+AX8*(2501+1.805*AE7)),0)</f>
        <v>0</v>
      </c>
      <c r="AW8" s="521">
        <f>IF(AE7+AG7&gt;0,(IF(AL8&lt;0.6112,"n/a (&lt;0C)",6.54+14.526*LN(AL8)+0.7389*POWER(LN(AL8),2)+0.09486*POWER(LN(AL8),3)+0.4569*POWER(AL8,0.1984))),0)</f>
        <v>0</v>
      </c>
      <c r="AX8" s="522">
        <f>IF(AE7+AG7&gt;0,0.62198*(AL8/($G$3-AL8)),0)</f>
        <v>0</v>
      </c>
      <c r="AY8" s="521">
        <f>IF(AE7+AG7&gt;0,1/AO8,0)</f>
        <v>0</v>
      </c>
      <c r="BC8" s="1673"/>
      <c r="BS8" s="1190" t="e">
        <f>INDEX(BH10:BH168,BS7) + (BR7-INDEX(BR10:BR168,BS7)) * (INDEX(BH10:BH168,BS7+1)-INDEX(BH10:BH166,BS7)) / (INDEX(BR10:BR168,BS7+1)-INDEX(BR10:BR168,BS7))</f>
        <v>#N/A</v>
      </c>
      <c r="CF8" s="293" t="s">
        <v>2351</v>
      </c>
      <c r="CG8" s="1675" t="e">
        <f>'Wheel Support'!AS32</f>
        <v>#VALUE!</v>
      </c>
      <c r="CJ8" s="1674"/>
      <c r="CU8" s="293" t="s">
        <v>2351</v>
      </c>
      <c r="CV8" s="1675" t="e">
        <f>'Wheel Support'!BD32</f>
        <v>#VALUE!</v>
      </c>
      <c r="DJ8" s="293" t="s">
        <v>2351</v>
      </c>
      <c r="DK8" s="1675" t="e">
        <f>'Wheel Support'!BO32</f>
        <v>#VALUE!</v>
      </c>
      <c r="DN8" s="1674"/>
      <c r="DY8" s="293" t="s">
        <v>2351</v>
      </c>
      <c r="DZ8" s="1675" t="e">
        <f>'Wheel Support'!BZ32</f>
        <v>#VALUE!</v>
      </c>
    </row>
    <row r="9" spans="2:132" ht="12.75" customHeight="1">
      <c r="B9" s="2025"/>
      <c r="C9" s="315" t="s">
        <v>1103</v>
      </c>
      <c r="D9" s="1393"/>
      <c r="E9" s="1393"/>
      <c r="F9" s="1394"/>
      <c r="G9" s="386" t="str">
        <f>BE7</f>
        <v>-</v>
      </c>
      <c r="H9" s="327" t="str">
        <f>IF(BC7=0,"-",BC7)</f>
        <v>-</v>
      </c>
      <c r="I9" s="385" t="str">
        <f>IF(BA7=0,"-",BA7)</f>
        <v>-</v>
      </c>
      <c r="J9" s="386" t="str">
        <f>IF(BB7=0,"-",BB7)</f>
        <v>-</v>
      </c>
      <c r="K9" s="507" t="str">
        <f>IF(F9&gt;0,"-",IF(AZ7=0,"-",AZ7))</f>
        <v>-</v>
      </c>
      <c r="M9" s="1224" t="s">
        <v>2365</v>
      </c>
      <c r="N9" s="1629"/>
      <c r="O9" s="1384"/>
      <c r="P9" s="1384"/>
      <c r="Q9" s="1384"/>
      <c r="R9" s="1384"/>
      <c r="S9" s="1384"/>
      <c r="T9" s="1385"/>
      <c r="BC9" s="1673"/>
      <c r="BR9" s="1646" t="s">
        <v>1185</v>
      </c>
      <c r="BS9" s="297" t="s">
        <v>1204</v>
      </c>
      <c r="BT9" s="297" t="s">
        <v>1184</v>
      </c>
    </row>
    <row r="10" spans="2:132" ht="12.75" customHeight="1">
      <c r="B10" s="2024" t="s">
        <v>2332</v>
      </c>
      <c r="C10" s="310" t="s">
        <v>1102</v>
      </c>
      <c r="D10" s="1393"/>
      <c r="E10" s="1393"/>
      <c r="F10" s="1394"/>
      <c r="G10" s="386" t="str">
        <f>BE10</f>
        <v>-</v>
      </c>
      <c r="H10" s="327" t="str">
        <f>IF(BC10=0,"-",BC10)</f>
        <v>-</v>
      </c>
      <c r="I10" s="385" t="str">
        <f>IF(BA10=0,"-",BA10)</f>
        <v>-</v>
      </c>
      <c r="J10" s="386" t="str">
        <f>IF(BB10=0,"-",BB10)</f>
        <v>-</v>
      </c>
      <c r="K10" s="507" t="str">
        <f>IF(F10&gt;0,"-",IF(AZ10=0,"-",AZ10))</f>
        <v>-</v>
      </c>
      <c r="M10" s="697" t="s">
        <v>2293</v>
      </c>
      <c r="N10" s="297" t="s">
        <v>5</v>
      </c>
      <c r="O10" s="297" t="str">
        <f>IF(OR(D14=0,D15=0),"n/a",IF(D14&gt;D15,"Ve","Vs"))</f>
        <v>n/a</v>
      </c>
      <c r="P10" s="297" t="s">
        <v>137</v>
      </c>
      <c r="Q10" s="297" t="s">
        <v>1108</v>
      </c>
      <c r="R10" s="297" t="s">
        <v>2299</v>
      </c>
      <c r="S10" s="297" t="s">
        <v>2300</v>
      </c>
      <c r="T10" s="300" t="s">
        <v>2303</v>
      </c>
      <c r="V10" s="1847" t="s">
        <v>2353</v>
      </c>
      <c r="W10" s="1848"/>
      <c r="X10" s="1848"/>
      <c r="Y10" s="1848"/>
      <c r="Z10" s="1848"/>
      <c r="AA10" s="1848"/>
      <c r="AB10" s="1848"/>
      <c r="AC10" s="1849"/>
      <c r="AE10" s="362">
        <f>D10</f>
        <v>0</v>
      </c>
      <c r="AF10" s="362">
        <f>E10</f>
        <v>0</v>
      </c>
      <c r="AG10" s="503">
        <f>F10</f>
        <v>0</v>
      </c>
      <c r="AH10" s="1644">
        <f>273.15+AF10</f>
        <v>273.14999999999998</v>
      </c>
      <c r="AI10" s="1644">
        <f>IF(AH10&lt;273.16,-5674.5359/AH10+6.3925247-0.009677843*AH10,-5800.2206/AH10+1.3914993-0.048640239*AH10)</f>
        <v>-17.025409380322781</v>
      </c>
      <c r="AJ10" s="1644">
        <f>IF(AH10&lt;273.16,0.00000062215701*POWER(AH10,2)+0.0000000020747825*POWER(AH10,3)-0.000000000000948402*POWER(AH10,4)+4.1635019*LN(AH10),0.000041764768*POWER(AH10,2)-0.000000014452093*POWER(AH10,3)+6.5459673*LN(AH10))</f>
        <v>23.440757653659677</v>
      </c>
      <c r="AK10" s="1644">
        <f>EXP(AI10+AJ10)/1000</f>
        <v>0.61115357225163158</v>
      </c>
      <c r="AL10" s="1644">
        <f>0.62198*(AK10/($G$3-AK10))</f>
        <v>3.7743102100838721E-3</v>
      </c>
      <c r="AM10" s="1644">
        <f>273.15+AE10</f>
        <v>273.14999999999998</v>
      </c>
      <c r="AN10" s="1644">
        <f>IF(AM10&lt;273.16,-5674.5359/AM10+6.3925247-0.009677843*AM10,-5800.2206/AM10+1.3914993-0.048640239*AM10)</f>
        <v>-17.025409380322781</v>
      </c>
      <c r="AO10" s="1644">
        <f>IF(AM10&lt;273.16,0.00000062215701*POWER(AM10,2)+0.0000000020747825*POWER(AM10,3)-0.000000000000948402*POWER(AM10,4)+4.1635019*LN(AM10),0.000041764768*POWER(AM10,2)-0.000000014452093*POWER(AM10,3)+6.5459673*LN(AM10))</f>
        <v>23.440757653659677</v>
      </c>
      <c r="AP10" s="1644">
        <f>EXP(AN10+AO10)/1000</f>
        <v>0.61115357225163158</v>
      </c>
      <c r="AQ10" s="1644">
        <f>0.62198*(AP10/($G$3-AP10))</f>
        <v>3.7743102100838721E-3</v>
      </c>
      <c r="AR10" s="1644">
        <f>AX10/AQ10</f>
        <v>0</v>
      </c>
      <c r="AS10" s="1644">
        <f>$G$3*AX10/(0.62198+AX10)</f>
        <v>0</v>
      </c>
      <c r="AT10" s="1644">
        <f>(0.2871*(AE10+273.15)*(1+1.6078*AX10))/$G$3</f>
        <v>0.77395869726128785</v>
      </c>
      <c r="AU10" s="164">
        <f>IF(AE10+AF10&lt;&gt;0,AR10/(1-(1-AR10)*(AP10/$G$3))*100,0)</f>
        <v>0</v>
      </c>
      <c r="AV10" s="164">
        <f>IF(AE10+AF10&lt;&gt;0,1.006*AE10+AX10*(2501+1.805*AE10),0)</f>
        <v>0</v>
      </c>
      <c r="AW10" s="164">
        <f>IF(AE10+AF10&lt;&gt;0,(IF(AS10&lt;0.6112,"n/a (&lt;0C)",6.54+14.526*LN(AS10)+0.7389*POWER(LN(AS10),2)+0.09486*POWER(LN(AS10),3)+0.4569*POWER(AS10,0.1984))),0)</f>
        <v>0</v>
      </c>
      <c r="AX10" s="164">
        <f>IF(AE10+AF10&lt;&gt;0,(((2501-2.381*AF10)*AL10-(AE10-AF10))/(2501+1.805*AE10-4.186*AF10)),0)</f>
        <v>0</v>
      </c>
      <c r="AY10" s="164">
        <f>IF(AE10+AF10&lt;&gt;0,1/AT10,0)</f>
        <v>0</v>
      </c>
      <c r="AZ10" s="505">
        <f>IF($AG10=0,AU10,AU11)</f>
        <v>0</v>
      </c>
      <c r="BA10" s="521">
        <f>IF($AG10=0,AV10,AV11)</f>
        <v>0</v>
      </c>
      <c r="BB10" s="521">
        <f>IF($AG10=0,AW10,AW11)</f>
        <v>0</v>
      </c>
      <c r="BC10" s="1676">
        <f>IF($AG10=0,AX10,AX11)</f>
        <v>0</v>
      </c>
      <c r="BD10" s="521">
        <f>IF($AG10=0,AY10,AY11)</f>
        <v>0</v>
      </c>
      <c r="BE10" s="521" t="str">
        <f>IF(AG10&gt;0,'Wheel Support'!W32,"-")</f>
        <v>-</v>
      </c>
      <c r="BF10" s="293" t="e">
        <f>ROUND(IF(AF10=0,BE10,AF10),1)</f>
        <v>#VALUE!</v>
      </c>
      <c r="BH10" s="1647">
        <f>D9-40</f>
        <v>-40</v>
      </c>
      <c r="BI10" s="503">
        <v>100</v>
      </c>
      <c r="BJ10" s="1644">
        <f t="shared" ref="BJ10:BJ41" si="0">273.15+BH10</f>
        <v>233.14999999999998</v>
      </c>
      <c r="BK10" s="1644">
        <f t="shared" ref="BK10:BK41" si="1">IF(BJ10&lt;273.16,-5674.5359/BJ10+6.3925247-0.009677843*BJ10,-5800.2206/BJ10+1.3914993-0.048640239*BJ10)</f>
        <v>-20.202427123307604</v>
      </c>
      <c r="BL10" s="1644">
        <f t="shared" ref="BL10:BL41" si="2">IF(BJ10&lt;273.16,0.00000062215701*POWER(BJ10,2)+0.0000000020747825*POWER(BJ10,3)-0.000000000000948402*POWER(BJ10,4)+4.1635019*LN(BJ10),0.000041764768*POWER(BJ10,2)-0.000000014452093*POWER(BJ10,3)+6.5459673*LN(BJ10))</f>
        <v>22.755401163512779</v>
      </c>
      <c r="BM10" s="1644">
        <f t="shared" ref="BM10:BM41" si="3">EXP(BK10+BL10)/1000</f>
        <v>1.2845249319288142E-2</v>
      </c>
      <c r="BN10" s="1644">
        <f t="shared" ref="BN10:BN41" si="4">BI10/100*BM10</f>
        <v>1.2845249319288142E-2</v>
      </c>
      <c r="BO10" s="1644">
        <f t="shared" ref="BO10:BO41" si="5">0.62198*(BM10/($G$3-BM10))</f>
        <v>7.8860114971122521E-5</v>
      </c>
      <c r="BP10" s="1644">
        <f t="shared" ref="BP10:BP41" si="6">BT10/BO10</f>
        <v>1</v>
      </c>
      <c r="BQ10" s="1644">
        <f t="shared" ref="BQ10:BQ41" si="7">0.2871*(BH10+273.15)*(1+1.6078*BT10)/$G$3</f>
        <v>0.66070419022993698</v>
      </c>
      <c r="BR10" s="1648">
        <f t="shared" ref="BR10:BR41" si="8">IF(BH10+BI10&gt;0,(1.006*BH10+BT10*(2501+1.805*BH10)),0)</f>
        <v>-40.048464552758141</v>
      </c>
      <c r="BS10" s="521">
        <f t="shared" ref="BS10:BS41" si="9">IF(BH10+BI10&gt;0,BH10,0)</f>
        <v>-40</v>
      </c>
      <c r="BT10" s="522">
        <f t="shared" ref="BT10:BT41" si="10">IF(BH10+BI10&gt;0,0.62198*(BN10/($G$3-BN10)),0)</f>
        <v>7.8860114971122521E-5</v>
      </c>
      <c r="BV10" s="1647"/>
      <c r="BW10" s="1671"/>
      <c r="BX10" s="1644"/>
      <c r="BY10" s="1644"/>
      <c r="BZ10" s="1644"/>
      <c r="CA10" s="1644"/>
      <c r="CB10" s="1644"/>
      <c r="CC10" s="1644"/>
      <c r="CD10" s="1644"/>
      <c r="CE10" s="1644"/>
      <c r="CF10" s="293" t="s">
        <v>1280</v>
      </c>
      <c r="CG10" s="1646" t="s">
        <v>1185</v>
      </c>
      <c r="CH10" s="297" t="s">
        <v>1204</v>
      </c>
      <c r="CI10" s="297" t="s">
        <v>1184</v>
      </c>
      <c r="CJ10" s="1672"/>
      <c r="CK10" s="1647"/>
      <c r="CL10" s="1671"/>
      <c r="CM10" s="1644"/>
      <c r="CN10" s="1644"/>
      <c r="CO10" s="1644"/>
      <c r="CP10" s="1644"/>
      <c r="CQ10" s="1644"/>
      <c r="CR10" s="1644"/>
      <c r="CS10" s="1644"/>
      <c r="CT10" s="1644"/>
      <c r="CU10" s="293" t="s">
        <v>1280</v>
      </c>
      <c r="CV10" s="1646" t="s">
        <v>1185</v>
      </c>
      <c r="CW10" s="297" t="s">
        <v>1204</v>
      </c>
      <c r="CX10" s="297" t="s">
        <v>1184</v>
      </c>
      <c r="CZ10" s="1647"/>
      <c r="DA10" s="1671"/>
      <c r="DB10" s="1644"/>
      <c r="DC10" s="1644"/>
      <c r="DD10" s="1644"/>
      <c r="DE10" s="1644"/>
      <c r="DF10" s="1644"/>
      <c r="DG10" s="1644"/>
      <c r="DH10" s="1644"/>
      <c r="DI10" s="1644"/>
      <c r="DJ10" s="293" t="s">
        <v>1280</v>
      </c>
      <c r="DK10" s="1646" t="s">
        <v>1185</v>
      </c>
      <c r="DL10" s="297" t="s">
        <v>1204</v>
      </c>
      <c r="DM10" s="297" t="s">
        <v>1184</v>
      </c>
      <c r="DN10" s="1672"/>
      <c r="DO10" s="1647"/>
      <c r="DP10" s="1671"/>
      <c r="DQ10" s="1644"/>
      <c r="DR10" s="1644"/>
      <c r="DS10" s="1644"/>
      <c r="DT10" s="1644"/>
      <c r="DU10" s="1644"/>
      <c r="DV10" s="1644"/>
      <c r="DW10" s="1644"/>
      <c r="DX10" s="1644"/>
      <c r="DY10" s="293" t="s">
        <v>1280</v>
      </c>
      <c r="DZ10" s="1646" t="s">
        <v>1185</v>
      </c>
      <c r="EA10" s="297" t="s">
        <v>1204</v>
      </c>
      <c r="EB10" s="297" t="s">
        <v>1184</v>
      </c>
    </row>
    <row r="11" spans="2:132" ht="12.75" customHeight="1">
      <c r="B11" s="2025"/>
      <c r="C11" s="315" t="s">
        <v>1103</v>
      </c>
      <c r="D11" s="1393"/>
      <c r="E11" s="1393"/>
      <c r="F11" s="1394"/>
      <c r="G11" s="386" t="str">
        <f>BE13</f>
        <v>-</v>
      </c>
      <c r="H11" s="327" t="str">
        <f>IF(BC13=0,"-",BC13)</f>
        <v>-</v>
      </c>
      <c r="I11" s="385" t="str">
        <f>IF(BA13=0,"-",BA13)</f>
        <v>-</v>
      </c>
      <c r="J11" s="386" t="str">
        <f>IF(BB13=0,"-",BB13)</f>
        <v>-</v>
      </c>
      <c r="K11" s="507" t="str">
        <f>IF(F11&gt;0,"-",IF(AZ13=0,"-",AZ13))</f>
        <v>-</v>
      </c>
      <c r="M11" s="717"/>
      <c r="N11" s="297" t="s">
        <v>5</v>
      </c>
      <c r="O11" s="304" t="str">
        <f>IF(OR(D14=0,D15=0),"n/a",IF(D14&gt;D15,D15,D14))</f>
        <v>n/a</v>
      </c>
      <c r="P11" s="1626">
        <f>G4*1.02</f>
        <v>1.224</v>
      </c>
      <c r="Q11" s="297" t="s">
        <v>1108</v>
      </c>
      <c r="R11" s="371" t="str">
        <f>IF(I8="-","n/a",D8)</f>
        <v>n/a</v>
      </c>
      <c r="S11" s="1622" t="str">
        <f>IF(I10="-","n/a)",D10)</f>
        <v>n/a)</v>
      </c>
      <c r="T11" s="1628" t="str">
        <f>IF(D18&gt;0,D18,"n/a")</f>
        <v>n/a</v>
      </c>
      <c r="V11" s="1224" t="s">
        <v>2355</v>
      </c>
      <c r="W11" s="1384"/>
      <c r="X11" s="1384"/>
      <c r="Y11" s="1384"/>
      <c r="Z11" s="1384"/>
      <c r="AA11" s="1384"/>
      <c r="AB11" s="1384"/>
      <c r="AC11" s="1385"/>
      <c r="AH11" s="1644">
        <f>273.15+AE10</f>
        <v>273.14999999999998</v>
      </c>
      <c r="AI11" s="1644">
        <f>IF(AH11&lt;273.16,-5674.5359/AH11+6.3925247-0.009677843*AH11,-5800.2206/AH11+1.3914993-0.048640239*AH11)</f>
        <v>-17.025409380322781</v>
      </c>
      <c r="AJ11" s="1644">
        <f>IF(AH11&lt;273.16,0.00000062215701*POWER(AH11,2)+0.0000000020747825*POWER(AH11,3)-0.000000000000948402*POWER(AH11,4)+4.1635019*LN(AH11),0.000041764768*POWER(AH11,2)-0.000000014452093*POWER(AH11,3)+6.5459673*LN(AH11))</f>
        <v>23.440757653659677</v>
      </c>
      <c r="AK11" s="1644">
        <f>EXP(AI11+AJ11)/1000</f>
        <v>0.61115357225163158</v>
      </c>
      <c r="AL11" s="1644">
        <f>AG10/100*AK11</f>
        <v>0</v>
      </c>
      <c r="AM11" s="1644">
        <f>0.62198*(AK11/($G$3-AK11))</f>
        <v>3.7743102100838721E-3</v>
      </c>
      <c r="AN11" s="1644">
        <f>AX11/AM11</f>
        <v>0</v>
      </c>
      <c r="AO11" s="1644">
        <f>0.2871*(AE10+273.15)*(1+1.6078*AX11)/$G$3</f>
        <v>0.77395869726128785</v>
      </c>
      <c r="AP11" s="504"/>
      <c r="AQ11" s="504"/>
      <c r="AR11" s="504"/>
      <c r="AS11" s="504"/>
      <c r="AT11" s="504"/>
      <c r="AU11" s="505">
        <f>IF(AE10+AG10&gt;0,AG10,0)</f>
        <v>0</v>
      </c>
      <c r="AV11" s="520">
        <f>IF(AE10+AG10&gt;0,(1.006*AE10+AX11*(2501+1.805*AE10)),0)</f>
        <v>0</v>
      </c>
      <c r="AW11" s="521">
        <f>IF(AE10+AG10&gt;0,(IF(AL11&lt;0.6112,"n/a (&lt;0C)",6.54+14.526*LN(AL11)+0.7389*POWER(LN(AL11),2)+0.09486*POWER(LN(AL11),3)+0.4569*POWER(AL11,0.1984))),0)</f>
        <v>0</v>
      </c>
      <c r="AX11" s="522">
        <f>IF(AE10+AG10&gt;0,0.62198*(AL11/($G$3-AL11)),0)</f>
        <v>0</v>
      </c>
      <c r="AY11" s="521">
        <f>IF(AE10+AG10&gt;0,1/AO11,0)</f>
        <v>0</v>
      </c>
      <c r="BC11" s="1673"/>
      <c r="BH11" s="1649">
        <f>IF(BH10+0.5&gt;=$D$11,$D$11,BH10+0.5)</f>
        <v>-39.5</v>
      </c>
      <c r="BI11" s="503">
        <v>100</v>
      </c>
      <c r="BJ11" s="1644">
        <f t="shared" si="0"/>
        <v>233.64999999999998</v>
      </c>
      <c r="BK11" s="1644">
        <f t="shared" si="1"/>
        <v>-20.155182666404315</v>
      </c>
      <c r="BL11" s="1644">
        <f t="shared" si="2"/>
        <v>22.764611040149987</v>
      </c>
      <c r="BM11" s="1644">
        <f t="shared" si="3"/>
        <v>1.3591279498696433E-2</v>
      </c>
      <c r="BN11" s="1644">
        <f t="shared" si="4"/>
        <v>1.3591279498696433E-2</v>
      </c>
      <c r="BO11" s="1644">
        <f t="shared" si="5"/>
        <v>8.3440790423917603E-5</v>
      </c>
      <c r="BP11" s="1644">
        <f t="shared" si="6"/>
        <v>1</v>
      </c>
      <c r="BQ11" s="1644">
        <f t="shared" si="7"/>
        <v>0.66212597398600137</v>
      </c>
      <c r="BR11" s="1648">
        <f t="shared" si="8"/>
        <v>-39.534263702905037</v>
      </c>
      <c r="BS11" s="521">
        <f t="shared" si="9"/>
        <v>-39.5</v>
      </c>
      <c r="BT11" s="522">
        <f t="shared" si="10"/>
        <v>8.3440790423917603E-5</v>
      </c>
      <c r="BV11" s="1647" t="str">
        <f t="shared" ref="BV11:BV74" si="11">$X$14</f>
        <v>n/a</v>
      </c>
      <c r="BW11" s="1671">
        <v>1</v>
      </c>
      <c r="BX11" s="1644" t="e">
        <f t="shared" ref="BX11:BX74" si="12">273.15+BV11</f>
        <v>#VALUE!</v>
      </c>
      <c r="BY11" s="1644" t="e">
        <f t="shared" ref="BY11:BY42" si="13">IF(BX11&lt;273.16,-5674.5359/BX11+6.3925247-0.009677843*BX11,-5800.2206/BX11+1.3914993-0.048640239*BX11)</f>
        <v>#VALUE!</v>
      </c>
      <c r="BZ11" s="1644" t="e">
        <f t="shared" ref="BZ11:BZ42" si="14">IF(BX11&lt;273.16,0.00000062215701*POWER(BX11,2)+0.0000000020747825*POWER(BX11,3)-0.000000000000948402*POWER(BX11,4)+4.1635019*LN(BX11),0.000041764768*POWER(BX11,2)-0.000000014452093*POWER(BX11,3)+6.5459673*LN(BX11))</f>
        <v>#VALUE!</v>
      </c>
      <c r="CA11" s="1644" t="e">
        <f t="shared" ref="CA11:CA74" si="15">EXP(BY11+BZ11)/1000</f>
        <v>#VALUE!</v>
      </c>
      <c r="CB11" s="1644" t="e">
        <f t="shared" ref="CB11:CB74" si="16">BW11/100*CA11</f>
        <v>#VALUE!</v>
      </c>
      <c r="CC11" s="1644" t="e">
        <f t="shared" ref="CC11:CC74" si="17">0.62198*(CA11/($G$3-CA11))</f>
        <v>#VALUE!</v>
      </c>
      <c r="CD11" s="1644" t="e">
        <f t="shared" ref="CD11:CD74" si="18">CI11/CC11</f>
        <v>#VALUE!</v>
      </c>
      <c r="CE11" s="1644" t="e">
        <f t="shared" ref="CE11:CE74" si="19">0.2871*(BV11+273.15)*(1+1.6078*CI11)/$G$3</f>
        <v>#VALUE!</v>
      </c>
      <c r="CF11" s="505" t="e">
        <f t="shared" ref="CF11:CF74" si="20">IF(BV11+BW11&gt;0,BW11,0)</f>
        <v>#VALUE!</v>
      </c>
      <c r="CG11" s="1648" t="e">
        <f t="shared" ref="CG11:CG74" si="21">IF(BV11+BW11&gt;0,(1.006*BV11+CI11*(2501+1.805*BV11)),0)</f>
        <v>#VALUE!</v>
      </c>
      <c r="CH11" s="521" t="e">
        <f t="shared" ref="CH11:CH42" si="22">IF(BV11+BW11&gt;0,(IF(CB11&lt;0.6112,"n/a (&lt;0C)",6.54+14.526*LN(CB11)+0.7389*POWER(LN(CB11),2)+0.09486*POWER(LN(CB11),3)+0.4569*POWER(CB11,0.1984))),0)</f>
        <v>#VALUE!</v>
      </c>
      <c r="CI11" s="522" t="e">
        <f t="shared" ref="CI11:CI74" si="23">IF(BV11+BW11&gt;0,0.62198*(CB11/($G$3-CB11)),0)</f>
        <v>#VALUE!</v>
      </c>
      <c r="CJ11" s="1672"/>
      <c r="CK11" s="1647" t="str">
        <f t="shared" ref="CK11:CK42" si="24">$X$22</f>
        <v>n/a</v>
      </c>
      <c r="CL11" s="1671">
        <v>1</v>
      </c>
      <c r="CM11" s="1644" t="e">
        <f t="shared" ref="CM11:CM74" si="25">273.15+CK11</f>
        <v>#VALUE!</v>
      </c>
      <c r="CN11" s="1644" t="e">
        <f t="shared" ref="CN11:CN42" si="26">IF(CM11&lt;273.16,-5674.5359/CM11+6.3925247-0.009677843*CM11,-5800.2206/CM11+1.3914993-0.048640239*CM11)</f>
        <v>#VALUE!</v>
      </c>
      <c r="CO11" s="1644" t="e">
        <f t="shared" ref="CO11:CO42" si="27">IF(CM11&lt;273.16,0.00000062215701*POWER(CM11,2)+0.0000000020747825*POWER(CM11,3)-0.000000000000948402*POWER(CM11,4)+4.1635019*LN(CM11),0.000041764768*POWER(CM11,2)-0.000000014452093*POWER(CM11,3)+6.5459673*LN(CM11))</f>
        <v>#VALUE!</v>
      </c>
      <c r="CP11" s="1644" t="e">
        <f t="shared" ref="CP11:CP74" si="28">EXP(CN11+CO11)/1000</f>
        <v>#VALUE!</v>
      </c>
      <c r="CQ11" s="1644" t="e">
        <f t="shared" ref="CQ11:CQ74" si="29">CL11/100*CP11</f>
        <v>#VALUE!</v>
      </c>
      <c r="CR11" s="1644" t="e">
        <f t="shared" ref="CR11:CR73" si="30">0.62198*(CP11/($G$3-CP11))</f>
        <v>#VALUE!</v>
      </c>
      <c r="CS11" s="1644" t="e">
        <f t="shared" ref="CS11:CS74" si="31">CX11/CR11</f>
        <v>#VALUE!</v>
      </c>
      <c r="CT11" s="1644" t="e">
        <f t="shared" ref="CT11:CT73" si="32">0.2871*(CK11+273.15)*(1+1.6078*CX11)/$G$3</f>
        <v>#VALUE!</v>
      </c>
      <c r="CU11" s="505" t="e">
        <f t="shared" ref="CU11:CU74" si="33">IF(CK11+CL11&gt;0,CL11,0)</f>
        <v>#VALUE!</v>
      </c>
      <c r="CV11" s="1648" t="e">
        <f t="shared" ref="CV11:CV74" si="34">IF(CK11+CL11&gt;0,(1.006*CK11+CX11*(2501+1.805*CK11)),0)</f>
        <v>#VALUE!</v>
      </c>
      <c r="CW11" s="521" t="e">
        <f t="shared" ref="CW11:CW42" si="35">IF(CK11+CL11&gt;0,(IF(CQ11&lt;0.6112,"n/a (&lt;0C)",6.54+14.526*LN(CQ11)+0.7389*POWER(LN(CQ11),2)+0.09486*POWER(LN(CQ11),3)+0.4569*POWER(CQ11,0.1984))),0)</f>
        <v>#VALUE!</v>
      </c>
      <c r="CX11" s="522" t="e">
        <f t="shared" ref="CX11:CX73" si="36">IF(CK11+CL11&gt;0,0.62198*(CQ11/($G$3-CQ11)),0)</f>
        <v>#VALUE!</v>
      </c>
      <c r="CZ11" s="1647" t="str">
        <f>$O$22</f>
        <v>n/a</v>
      </c>
      <c r="DA11" s="1671">
        <v>1</v>
      </c>
      <c r="DB11" s="1644" t="e">
        <f t="shared" ref="DB11:DB74" si="37">273.15+CZ11</f>
        <v>#VALUE!</v>
      </c>
      <c r="DC11" s="1644" t="e">
        <f t="shared" ref="DC11:DC42" si="38">IF(DB11&lt;273.16,-5674.5359/DB11+6.3925247-0.009677843*DB11,-5800.2206/DB11+1.3914993-0.048640239*DB11)</f>
        <v>#VALUE!</v>
      </c>
      <c r="DD11" s="1644" t="e">
        <f t="shared" ref="DD11:DD42" si="39">IF(DB11&lt;273.16,0.00000062215701*POWER(DB11,2)+0.0000000020747825*POWER(DB11,3)-0.000000000000948402*POWER(DB11,4)+4.1635019*LN(DB11),0.000041764768*POWER(DB11,2)-0.000000014452093*POWER(DB11,3)+6.5459673*LN(DB11))</f>
        <v>#VALUE!</v>
      </c>
      <c r="DE11" s="1644" t="e">
        <f t="shared" ref="DE11:DE74" si="40">EXP(DC11+DD11)/1000</f>
        <v>#VALUE!</v>
      </c>
      <c r="DF11" s="1644" t="e">
        <f t="shared" ref="DF11:DF74" si="41">DA11/100*DE11</f>
        <v>#VALUE!</v>
      </c>
      <c r="DG11" s="1644" t="e">
        <f t="shared" ref="DG11:DG74" si="42">0.62198*(DE11/($G$3-DE11))</f>
        <v>#VALUE!</v>
      </c>
      <c r="DH11" s="1644" t="e">
        <f t="shared" ref="DH11:DH74" si="43">DM11/DG11</f>
        <v>#VALUE!</v>
      </c>
      <c r="DI11" s="1644" t="e">
        <f t="shared" ref="DI11:DI74" si="44">0.2871*(CZ11+273.15)*(1+1.6078*DM11)/$G$3</f>
        <v>#VALUE!</v>
      </c>
      <c r="DJ11" s="505" t="e">
        <f t="shared" ref="DJ11:DJ74" si="45">IF(CZ11+DA11&gt;0,DA11,0)</f>
        <v>#VALUE!</v>
      </c>
      <c r="DK11" s="1648" t="e">
        <f t="shared" ref="DK11:DK74" si="46">IF(CZ11+DA11&gt;0,(1.006*CZ11+DM11*(2501+1.805*CZ11)),0)</f>
        <v>#VALUE!</v>
      </c>
      <c r="DL11" s="521" t="e">
        <f t="shared" ref="DL11:DL42" si="47">IF(CZ11+DA11&gt;0,(IF(DF11&lt;0.6112,"n/a (&lt;0C)",6.54+14.526*LN(DF11)+0.7389*POWER(LN(DF11),2)+0.09486*POWER(LN(DF11),3)+0.4569*POWER(DF11,0.1984))),0)</f>
        <v>#VALUE!</v>
      </c>
      <c r="DM11" s="522" t="e">
        <f t="shared" ref="DM11:DM74" si="48">IF(CZ11+DA11&gt;0,0.62198*(DF11/($G$3-DF11)),0)</f>
        <v>#VALUE!</v>
      </c>
      <c r="DN11" s="1672"/>
      <c r="DO11" s="1647" t="str">
        <f>$O$34</f>
        <v>n/a</v>
      </c>
      <c r="DP11" s="1671">
        <v>1</v>
      </c>
      <c r="DQ11" s="1644" t="e">
        <f t="shared" ref="DQ11:DQ74" si="49">273.15+DO11</f>
        <v>#VALUE!</v>
      </c>
      <c r="DR11" s="1644" t="e">
        <f t="shared" ref="DR11:DR42" si="50">IF(DQ11&lt;273.16,-5674.5359/DQ11+6.3925247-0.009677843*DQ11,-5800.2206/DQ11+1.3914993-0.048640239*DQ11)</f>
        <v>#VALUE!</v>
      </c>
      <c r="DS11" s="1644" t="e">
        <f t="shared" ref="DS11:DS42" si="51">IF(DQ11&lt;273.16,0.00000062215701*POWER(DQ11,2)+0.0000000020747825*POWER(DQ11,3)-0.000000000000948402*POWER(DQ11,4)+4.1635019*LN(DQ11),0.000041764768*POWER(DQ11,2)-0.000000014452093*POWER(DQ11,3)+6.5459673*LN(DQ11))</f>
        <v>#VALUE!</v>
      </c>
      <c r="DT11" s="1644" t="e">
        <f t="shared" ref="DT11:DT74" si="52">EXP(DR11+DS11)/1000</f>
        <v>#VALUE!</v>
      </c>
      <c r="DU11" s="1644" t="e">
        <f t="shared" ref="DU11:DU74" si="53">DP11/100*DT11</f>
        <v>#VALUE!</v>
      </c>
      <c r="DV11" s="1644" t="e">
        <f t="shared" ref="DV11:DV74" si="54">0.62198*(DT11/($G$3-DT11))</f>
        <v>#VALUE!</v>
      </c>
      <c r="DW11" s="1644" t="e">
        <f t="shared" ref="DW11:DW74" si="55">EB11/DV11</f>
        <v>#VALUE!</v>
      </c>
      <c r="DX11" s="1644" t="e">
        <f t="shared" ref="DX11:DX74" si="56">0.2871*(DO11+273.15)*(1+1.6078*EB11)/$G$3</f>
        <v>#VALUE!</v>
      </c>
      <c r="DY11" s="505" t="e">
        <f t="shared" ref="DY11:DY74" si="57">IF(DO11+DP11&gt;0,DP11,0)</f>
        <v>#VALUE!</v>
      </c>
      <c r="DZ11" s="1648" t="e">
        <f t="shared" ref="DZ11:DZ74" si="58">IF(DO11+DP11&gt;0,(1.006*DO11+EB11*(2501+1.805*DO11)),0)</f>
        <v>#VALUE!</v>
      </c>
      <c r="EA11" s="521" t="e">
        <f t="shared" ref="EA11:EA42" si="59">IF(DO11+DP11&gt;0,(IF(DU11&lt;0.6112,"n/a (&lt;0C)",6.54+14.526*LN(DU11)+0.7389*POWER(LN(DU11),2)+0.09486*POWER(LN(DU11),3)+0.4569*POWER(DU11,0.1984))),0)</f>
        <v>#VALUE!</v>
      </c>
      <c r="EB11" s="522" t="e">
        <f t="shared" ref="EB11:EB74" si="60">IF(DO11+DP11&gt;0,0.62198*(DU11/($G$3-DU11)),0)</f>
        <v>#VALUE!</v>
      </c>
    </row>
    <row r="12" spans="2:132" ht="12.75" customHeight="1">
      <c r="M12" s="700"/>
      <c r="N12" s="1681" t="s">
        <v>5</v>
      </c>
      <c r="O12" s="1639" t="str">
        <f>IF(OR(T11="n/a",O11="n/a"),"n/a",T11*O11*P11*(R11-S11))</f>
        <v>n/a</v>
      </c>
      <c r="P12" s="1632" t="s">
        <v>6</v>
      </c>
      <c r="Q12" s="319"/>
      <c r="R12" s="319"/>
      <c r="S12" s="319"/>
      <c r="T12" s="296"/>
      <c r="V12" s="697" t="s">
        <v>2293</v>
      </c>
      <c r="W12" s="297" t="s">
        <v>5</v>
      </c>
      <c r="X12" s="297" t="s">
        <v>2289</v>
      </c>
      <c r="Y12" s="297" t="s">
        <v>137</v>
      </c>
      <c r="Z12" s="297" t="s">
        <v>1108</v>
      </c>
      <c r="AA12" s="297" t="s">
        <v>2311</v>
      </c>
      <c r="AB12" s="297" t="s">
        <v>2312</v>
      </c>
      <c r="AC12" s="295"/>
      <c r="BC12" s="1673"/>
      <c r="BH12" s="1649">
        <f t="shared" ref="BH12:BH75" si="61">IF(BH11+0.5&gt;=$D$11,$D$11,BH11+0.5)</f>
        <v>-39</v>
      </c>
      <c r="BI12" s="503">
        <v>100</v>
      </c>
      <c r="BJ12" s="1644">
        <f t="shared" si="0"/>
        <v>234.14999999999998</v>
      </c>
      <c r="BK12" s="1644">
        <f t="shared" si="1"/>
        <v>-20.10816064545406</v>
      </c>
      <c r="BL12" s="1644">
        <f t="shared" si="2"/>
        <v>22.773802733320547</v>
      </c>
      <c r="BM12" s="1644">
        <f t="shared" si="3"/>
        <v>1.4377177994486883E-2</v>
      </c>
      <c r="BN12" s="1644">
        <f t="shared" si="4"/>
        <v>1.4377177994486883E-2</v>
      </c>
      <c r="BO12" s="1644">
        <f t="shared" si="5"/>
        <v>8.8266332985849585E-5</v>
      </c>
      <c r="BP12" s="1644">
        <f t="shared" si="6"/>
        <v>1</v>
      </c>
      <c r="BQ12" s="1644">
        <f t="shared" si="7"/>
        <v>0.66354803980996468</v>
      </c>
      <c r="BR12" s="1648">
        <f t="shared" si="8"/>
        <v>-39.01945940971293</v>
      </c>
      <c r="BS12" s="521">
        <f t="shared" si="9"/>
        <v>-39</v>
      </c>
      <c r="BT12" s="522">
        <f t="shared" si="10"/>
        <v>8.8266332985849585E-5</v>
      </c>
      <c r="BV12" s="1647" t="str">
        <f t="shared" si="11"/>
        <v>n/a</v>
      </c>
      <c r="BW12" s="1671">
        <v>2</v>
      </c>
      <c r="BX12" s="1644" t="e">
        <f t="shared" si="12"/>
        <v>#VALUE!</v>
      </c>
      <c r="BY12" s="1644" t="e">
        <f t="shared" si="13"/>
        <v>#VALUE!</v>
      </c>
      <c r="BZ12" s="1644" t="e">
        <f t="shared" si="14"/>
        <v>#VALUE!</v>
      </c>
      <c r="CA12" s="1644" t="e">
        <f t="shared" si="15"/>
        <v>#VALUE!</v>
      </c>
      <c r="CB12" s="1644" t="e">
        <f t="shared" si="16"/>
        <v>#VALUE!</v>
      </c>
      <c r="CC12" s="1644" t="e">
        <f t="shared" si="17"/>
        <v>#VALUE!</v>
      </c>
      <c r="CD12" s="1644" t="e">
        <f t="shared" si="18"/>
        <v>#VALUE!</v>
      </c>
      <c r="CE12" s="1644" t="e">
        <f t="shared" si="19"/>
        <v>#VALUE!</v>
      </c>
      <c r="CF12" s="505" t="e">
        <f t="shared" si="20"/>
        <v>#VALUE!</v>
      </c>
      <c r="CG12" s="1648" t="e">
        <f t="shared" si="21"/>
        <v>#VALUE!</v>
      </c>
      <c r="CH12" s="521" t="e">
        <f t="shared" si="22"/>
        <v>#VALUE!</v>
      </c>
      <c r="CI12" s="522" t="e">
        <f t="shared" si="23"/>
        <v>#VALUE!</v>
      </c>
      <c r="CJ12" s="1672"/>
      <c r="CK12" s="1647" t="str">
        <f t="shared" si="24"/>
        <v>n/a</v>
      </c>
      <c r="CL12" s="1671">
        <v>2</v>
      </c>
      <c r="CM12" s="1644" t="e">
        <f t="shared" si="25"/>
        <v>#VALUE!</v>
      </c>
      <c r="CN12" s="1644" t="e">
        <f t="shared" si="26"/>
        <v>#VALUE!</v>
      </c>
      <c r="CO12" s="1644" t="e">
        <f t="shared" si="27"/>
        <v>#VALUE!</v>
      </c>
      <c r="CP12" s="1644" t="e">
        <f t="shared" si="28"/>
        <v>#VALUE!</v>
      </c>
      <c r="CQ12" s="1644" t="e">
        <f t="shared" si="29"/>
        <v>#VALUE!</v>
      </c>
      <c r="CR12" s="1644" t="e">
        <f t="shared" si="30"/>
        <v>#VALUE!</v>
      </c>
      <c r="CS12" s="1644" t="e">
        <f t="shared" si="31"/>
        <v>#VALUE!</v>
      </c>
      <c r="CT12" s="1644" t="e">
        <f t="shared" si="32"/>
        <v>#VALUE!</v>
      </c>
      <c r="CU12" s="505" t="e">
        <f t="shared" si="33"/>
        <v>#VALUE!</v>
      </c>
      <c r="CV12" s="1648" t="e">
        <f t="shared" si="34"/>
        <v>#VALUE!</v>
      </c>
      <c r="CW12" s="521" t="e">
        <f t="shared" si="35"/>
        <v>#VALUE!</v>
      </c>
      <c r="CX12" s="522" t="e">
        <f t="shared" si="36"/>
        <v>#VALUE!</v>
      </c>
      <c r="CZ12" s="1647" t="str">
        <f t="shared" ref="CZ12:CZ75" si="62">$O$22</f>
        <v>n/a</v>
      </c>
      <c r="DA12" s="1671">
        <v>2</v>
      </c>
      <c r="DB12" s="1644" t="e">
        <f t="shared" si="37"/>
        <v>#VALUE!</v>
      </c>
      <c r="DC12" s="1644" t="e">
        <f t="shared" si="38"/>
        <v>#VALUE!</v>
      </c>
      <c r="DD12" s="1644" t="e">
        <f t="shared" si="39"/>
        <v>#VALUE!</v>
      </c>
      <c r="DE12" s="1644" t="e">
        <f t="shared" si="40"/>
        <v>#VALUE!</v>
      </c>
      <c r="DF12" s="1644" t="e">
        <f t="shared" si="41"/>
        <v>#VALUE!</v>
      </c>
      <c r="DG12" s="1644" t="e">
        <f t="shared" si="42"/>
        <v>#VALUE!</v>
      </c>
      <c r="DH12" s="1644" t="e">
        <f t="shared" si="43"/>
        <v>#VALUE!</v>
      </c>
      <c r="DI12" s="1644" t="e">
        <f t="shared" si="44"/>
        <v>#VALUE!</v>
      </c>
      <c r="DJ12" s="505" t="e">
        <f t="shared" si="45"/>
        <v>#VALUE!</v>
      </c>
      <c r="DK12" s="1648" t="e">
        <f t="shared" si="46"/>
        <v>#VALUE!</v>
      </c>
      <c r="DL12" s="521" t="e">
        <f t="shared" si="47"/>
        <v>#VALUE!</v>
      </c>
      <c r="DM12" s="522" t="e">
        <f t="shared" si="48"/>
        <v>#VALUE!</v>
      </c>
      <c r="DN12" s="1672"/>
      <c r="DO12" s="1647" t="str">
        <f t="shared" ref="DO12:DO75" si="63">$O$34</f>
        <v>n/a</v>
      </c>
      <c r="DP12" s="1671">
        <v>2</v>
      </c>
      <c r="DQ12" s="1644" t="e">
        <f t="shared" si="49"/>
        <v>#VALUE!</v>
      </c>
      <c r="DR12" s="1644" t="e">
        <f t="shared" si="50"/>
        <v>#VALUE!</v>
      </c>
      <c r="DS12" s="1644" t="e">
        <f t="shared" si="51"/>
        <v>#VALUE!</v>
      </c>
      <c r="DT12" s="1644" t="e">
        <f t="shared" si="52"/>
        <v>#VALUE!</v>
      </c>
      <c r="DU12" s="1644" t="e">
        <f t="shared" si="53"/>
        <v>#VALUE!</v>
      </c>
      <c r="DV12" s="1644" t="e">
        <f t="shared" si="54"/>
        <v>#VALUE!</v>
      </c>
      <c r="DW12" s="1644" t="e">
        <f t="shared" si="55"/>
        <v>#VALUE!</v>
      </c>
      <c r="DX12" s="1644" t="e">
        <f t="shared" si="56"/>
        <v>#VALUE!</v>
      </c>
      <c r="DY12" s="505" t="e">
        <f t="shared" si="57"/>
        <v>#VALUE!</v>
      </c>
      <c r="DZ12" s="1648" t="e">
        <f t="shared" si="58"/>
        <v>#VALUE!</v>
      </c>
      <c r="EA12" s="521" t="e">
        <f t="shared" si="59"/>
        <v>#VALUE!</v>
      </c>
      <c r="EB12" s="522" t="e">
        <f t="shared" si="60"/>
        <v>#VALUE!</v>
      </c>
    </row>
    <row r="13" spans="2:132" ht="12.75" customHeight="1">
      <c r="B13" s="1847" t="s">
        <v>2285</v>
      </c>
      <c r="C13" s="1848"/>
      <c r="D13" s="1848"/>
      <c r="E13" s="1849"/>
      <c r="M13" s="1224" t="s">
        <v>2366</v>
      </c>
      <c r="N13" s="1629"/>
      <c r="O13" s="1384"/>
      <c r="P13" s="1384"/>
      <c r="Q13" s="1384"/>
      <c r="R13" s="1384"/>
      <c r="S13" s="1384"/>
      <c r="T13" s="1385"/>
      <c r="V13" s="706" t="str">
        <f>X8</f>
        <v>n/a</v>
      </c>
      <c r="W13" s="297" t="s">
        <v>5</v>
      </c>
      <c r="X13" s="304" t="str">
        <f>IF(D14&gt;0,D14,"n/a")</f>
        <v>n/a</v>
      </c>
      <c r="Y13" s="1626">
        <f>G4*1.02</f>
        <v>1.224</v>
      </c>
      <c r="Z13" s="297" t="s">
        <v>1108</v>
      </c>
      <c r="AA13" s="297" t="s">
        <v>2311</v>
      </c>
      <c r="AB13" s="1622" t="str">
        <f>IF(I9="-","n/a )",D9)</f>
        <v>n/a )</v>
      </c>
      <c r="AC13" s="295"/>
      <c r="AE13" s="362">
        <f>D11</f>
        <v>0</v>
      </c>
      <c r="AF13" s="362">
        <f>E11</f>
        <v>0</v>
      </c>
      <c r="AG13" s="503">
        <f>F11</f>
        <v>0</v>
      </c>
      <c r="AH13" s="1644">
        <f>273.15+AF13</f>
        <v>273.14999999999998</v>
      </c>
      <c r="AI13" s="1644">
        <f>IF(AH13&lt;273.16,-5674.5359/AH13+6.3925247-0.009677843*AH13,-5800.2206/AH13+1.3914993-0.048640239*AH13)</f>
        <v>-17.025409380322781</v>
      </c>
      <c r="AJ13" s="1644">
        <f>IF(AH13&lt;273.16,0.00000062215701*POWER(AH13,2)+0.0000000020747825*POWER(AH13,3)-0.000000000000948402*POWER(AH13,4)+4.1635019*LN(AH13),0.000041764768*POWER(AH13,2)-0.000000014452093*POWER(AH13,3)+6.5459673*LN(AH13))</f>
        <v>23.440757653659677</v>
      </c>
      <c r="AK13" s="1644">
        <f>EXP(AI13+AJ13)/1000</f>
        <v>0.61115357225163158</v>
      </c>
      <c r="AL13" s="1644">
        <f>0.62198*(AK13/($G$3-AK13))</f>
        <v>3.7743102100838721E-3</v>
      </c>
      <c r="AM13" s="1644">
        <f>273.15+AE13</f>
        <v>273.14999999999998</v>
      </c>
      <c r="AN13" s="1644">
        <f>IF(AM13&lt;273.16,-5674.5359/AM13+6.3925247-0.009677843*AM13,-5800.2206/AM13+1.3914993-0.048640239*AM13)</f>
        <v>-17.025409380322781</v>
      </c>
      <c r="AO13" s="1644">
        <f>IF(AM13&lt;273.16,0.00000062215701*POWER(AM13,2)+0.0000000020747825*POWER(AM13,3)-0.000000000000948402*POWER(AM13,4)+4.1635019*LN(AM13),0.000041764768*POWER(AM13,2)-0.000000014452093*POWER(AM13,3)+6.5459673*LN(AM13))</f>
        <v>23.440757653659677</v>
      </c>
      <c r="AP13" s="1644">
        <f>EXP(AN13+AO13)/1000</f>
        <v>0.61115357225163158</v>
      </c>
      <c r="AQ13" s="1644">
        <f>0.62198*(AP13/($G$3-AP13))</f>
        <v>3.7743102100838721E-3</v>
      </c>
      <c r="AR13" s="1644">
        <f>AX13/AQ13</f>
        <v>0</v>
      </c>
      <c r="AS13" s="1644">
        <f>$G$3*AX13/(0.62198+AX13)</f>
        <v>0</v>
      </c>
      <c r="AT13" s="1644">
        <f>(0.2871*(AE13+273.15)*(1+1.6078*AX13))/$G$3</f>
        <v>0.77395869726128785</v>
      </c>
      <c r="AU13" s="164">
        <f>IF(AE13+AF13&lt;&gt;0,AR13/(1-(1-AR13)*(AP13/$G$3))*100,0)</f>
        <v>0</v>
      </c>
      <c r="AV13" s="164">
        <f>IF(AE13+AF13&lt;&gt;0,1.006*AE13+AX13*(2501+1.805*AE13),0)</f>
        <v>0</v>
      </c>
      <c r="AW13" s="164">
        <f>IF(AE13+AF13&lt;&gt;0,(IF(AS13&lt;0.6112,"n/a (&lt;0C)",6.54+14.526*LN(AS13)+0.7389*POWER(LN(AS13),2)+0.09486*POWER(LN(AS13),3)+0.4569*POWER(AS13,0.1984))),0)</f>
        <v>0</v>
      </c>
      <c r="AX13" s="164">
        <f>IF(AE13+AF13&lt;&gt;0,(((2501-2.381*AF13)*AL13-(AE13-AF13))/(2501+1.805*AE13-4.186*AF13)),0)</f>
        <v>0</v>
      </c>
      <c r="AY13" s="164">
        <f>IF(AE13+AF13&lt;&gt;0,1/AT13,0)</f>
        <v>0</v>
      </c>
      <c r="AZ13" s="505">
        <f>IF($AG13=0,AU13,AU14)</f>
        <v>0</v>
      </c>
      <c r="BA13" s="521">
        <f>IF($AG13=0,AV13,AV14)</f>
        <v>0</v>
      </c>
      <c r="BB13" s="521">
        <f>IF($AG13=0,AW13,AW14)</f>
        <v>0</v>
      </c>
      <c r="BC13" s="1676">
        <f>IF($AG13=0,AX13,AX14)</f>
        <v>0</v>
      </c>
      <c r="BD13" s="521">
        <f>IF($AG13=0,AY13,AY14)</f>
        <v>0</v>
      </c>
      <c r="BE13" s="521" t="str">
        <f>IF(AE13*AG13&gt;0,'Wheel Support'!AH32,"-")</f>
        <v>-</v>
      </c>
      <c r="BF13" s="293" t="e">
        <f>ROUND(IF(AF13=0,BE13,AF13),1)</f>
        <v>#VALUE!</v>
      </c>
      <c r="BH13" s="1649">
        <f t="shared" si="61"/>
        <v>-38.5</v>
      </c>
      <c r="BI13" s="503">
        <v>100</v>
      </c>
      <c r="BJ13" s="1644">
        <f t="shared" si="0"/>
        <v>234.64999999999998</v>
      </c>
      <c r="BK13" s="1644">
        <f t="shared" si="1"/>
        <v>-20.06135963853513</v>
      </c>
      <c r="BL13" s="1644">
        <f t="shared" si="2"/>
        <v>22.782976325256342</v>
      </c>
      <c r="BM13" s="1644">
        <f t="shared" si="3"/>
        <v>1.5204883919267706E-2</v>
      </c>
      <c r="BN13" s="1644">
        <f t="shared" si="4"/>
        <v>1.5204883919267706E-2</v>
      </c>
      <c r="BO13" s="1644">
        <f t="shared" si="5"/>
        <v>9.3348660800963496E-5</v>
      </c>
      <c r="BP13" s="1644">
        <f t="shared" si="6"/>
        <v>1</v>
      </c>
      <c r="BQ13" s="1644">
        <f t="shared" si="7"/>
        <v>0.66497040211535907</v>
      </c>
      <c r="BR13" s="1648">
        <f t="shared" si="8"/>
        <v>-38.5040220311475</v>
      </c>
      <c r="BS13" s="521">
        <f t="shared" si="9"/>
        <v>-38.5</v>
      </c>
      <c r="BT13" s="522">
        <f t="shared" si="10"/>
        <v>9.3348660800963496E-5</v>
      </c>
      <c r="BV13" s="1647" t="str">
        <f t="shared" si="11"/>
        <v>n/a</v>
      </c>
      <c r="BW13" s="1671">
        <v>3</v>
      </c>
      <c r="BX13" s="1644" t="e">
        <f t="shared" si="12"/>
        <v>#VALUE!</v>
      </c>
      <c r="BY13" s="1644" t="e">
        <f t="shared" si="13"/>
        <v>#VALUE!</v>
      </c>
      <c r="BZ13" s="1644" t="e">
        <f t="shared" si="14"/>
        <v>#VALUE!</v>
      </c>
      <c r="CA13" s="1644" t="e">
        <f t="shared" si="15"/>
        <v>#VALUE!</v>
      </c>
      <c r="CB13" s="1644" t="e">
        <f t="shared" si="16"/>
        <v>#VALUE!</v>
      </c>
      <c r="CC13" s="1644" t="e">
        <f t="shared" si="17"/>
        <v>#VALUE!</v>
      </c>
      <c r="CD13" s="1644" t="e">
        <f t="shared" si="18"/>
        <v>#VALUE!</v>
      </c>
      <c r="CE13" s="1644" t="e">
        <f t="shared" si="19"/>
        <v>#VALUE!</v>
      </c>
      <c r="CF13" s="505" t="e">
        <f t="shared" si="20"/>
        <v>#VALUE!</v>
      </c>
      <c r="CG13" s="1648" t="e">
        <f t="shared" si="21"/>
        <v>#VALUE!</v>
      </c>
      <c r="CH13" s="521" t="e">
        <f t="shared" si="22"/>
        <v>#VALUE!</v>
      </c>
      <c r="CI13" s="522" t="e">
        <f t="shared" si="23"/>
        <v>#VALUE!</v>
      </c>
      <c r="CJ13" s="1672"/>
      <c r="CK13" s="1647" t="str">
        <f t="shared" si="24"/>
        <v>n/a</v>
      </c>
      <c r="CL13" s="1671">
        <v>3</v>
      </c>
      <c r="CM13" s="1644" t="e">
        <f t="shared" si="25"/>
        <v>#VALUE!</v>
      </c>
      <c r="CN13" s="1644" t="e">
        <f t="shared" si="26"/>
        <v>#VALUE!</v>
      </c>
      <c r="CO13" s="1644" t="e">
        <f t="shared" si="27"/>
        <v>#VALUE!</v>
      </c>
      <c r="CP13" s="1644" t="e">
        <f t="shared" si="28"/>
        <v>#VALUE!</v>
      </c>
      <c r="CQ13" s="1644" t="e">
        <f t="shared" si="29"/>
        <v>#VALUE!</v>
      </c>
      <c r="CR13" s="1644" t="e">
        <f t="shared" si="30"/>
        <v>#VALUE!</v>
      </c>
      <c r="CS13" s="1644" t="e">
        <f t="shared" si="31"/>
        <v>#VALUE!</v>
      </c>
      <c r="CT13" s="1644" t="e">
        <f t="shared" si="32"/>
        <v>#VALUE!</v>
      </c>
      <c r="CU13" s="505" t="e">
        <f t="shared" si="33"/>
        <v>#VALUE!</v>
      </c>
      <c r="CV13" s="1648" t="e">
        <f t="shared" si="34"/>
        <v>#VALUE!</v>
      </c>
      <c r="CW13" s="521" t="e">
        <f t="shared" si="35"/>
        <v>#VALUE!</v>
      </c>
      <c r="CX13" s="522" t="e">
        <f t="shared" si="36"/>
        <v>#VALUE!</v>
      </c>
      <c r="CZ13" s="1647" t="str">
        <f t="shared" si="62"/>
        <v>n/a</v>
      </c>
      <c r="DA13" s="1671">
        <v>3</v>
      </c>
      <c r="DB13" s="1644" t="e">
        <f t="shared" si="37"/>
        <v>#VALUE!</v>
      </c>
      <c r="DC13" s="1644" t="e">
        <f t="shared" si="38"/>
        <v>#VALUE!</v>
      </c>
      <c r="DD13" s="1644" t="e">
        <f t="shared" si="39"/>
        <v>#VALUE!</v>
      </c>
      <c r="DE13" s="1644" t="e">
        <f t="shared" si="40"/>
        <v>#VALUE!</v>
      </c>
      <c r="DF13" s="1644" t="e">
        <f t="shared" si="41"/>
        <v>#VALUE!</v>
      </c>
      <c r="DG13" s="1644" t="e">
        <f t="shared" si="42"/>
        <v>#VALUE!</v>
      </c>
      <c r="DH13" s="1644" t="e">
        <f t="shared" si="43"/>
        <v>#VALUE!</v>
      </c>
      <c r="DI13" s="1644" t="e">
        <f t="shared" si="44"/>
        <v>#VALUE!</v>
      </c>
      <c r="DJ13" s="505" t="e">
        <f t="shared" si="45"/>
        <v>#VALUE!</v>
      </c>
      <c r="DK13" s="1648" t="e">
        <f t="shared" si="46"/>
        <v>#VALUE!</v>
      </c>
      <c r="DL13" s="521" t="e">
        <f t="shared" si="47"/>
        <v>#VALUE!</v>
      </c>
      <c r="DM13" s="522" t="e">
        <f t="shared" si="48"/>
        <v>#VALUE!</v>
      </c>
      <c r="DN13" s="1672"/>
      <c r="DO13" s="1647" t="str">
        <f t="shared" si="63"/>
        <v>n/a</v>
      </c>
      <c r="DP13" s="1671">
        <v>3</v>
      </c>
      <c r="DQ13" s="1644" t="e">
        <f t="shared" si="49"/>
        <v>#VALUE!</v>
      </c>
      <c r="DR13" s="1644" t="e">
        <f t="shared" si="50"/>
        <v>#VALUE!</v>
      </c>
      <c r="DS13" s="1644" t="e">
        <f t="shared" si="51"/>
        <v>#VALUE!</v>
      </c>
      <c r="DT13" s="1644" t="e">
        <f t="shared" si="52"/>
        <v>#VALUE!</v>
      </c>
      <c r="DU13" s="1644" t="e">
        <f t="shared" si="53"/>
        <v>#VALUE!</v>
      </c>
      <c r="DV13" s="1644" t="e">
        <f t="shared" si="54"/>
        <v>#VALUE!</v>
      </c>
      <c r="DW13" s="1644" t="e">
        <f t="shared" si="55"/>
        <v>#VALUE!</v>
      </c>
      <c r="DX13" s="1644" t="e">
        <f t="shared" si="56"/>
        <v>#VALUE!</v>
      </c>
      <c r="DY13" s="505" t="e">
        <f t="shared" si="57"/>
        <v>#VALUE!</v>
      </c>
      <c r="DZ13" s="1648" t="e">
        <f t="shared" si="58"/>
        <v>#VALUE!</v>
      </c>
      <c r="EA13" s="521" t="e">
        <f t="shared" si="59"/>
        <v>#VALUE!</v>
      </c>
      <c r="EB13" s="522" t="e">
        <f t="shared" si="60"/>
        <v>#VALUE!</v>
      </c>
    </row>
    <row r="14" spans="2:132" ht="14.25" customHeight="1">
      <c r="B14" s="301" t="s">
        <v>1092</v>
      </c>
      <c r="C14" s="298" t="s">
        <v>1112</v>
      </c>
      <c r="D14" s="1441"/>
      <c r="E14" s="316" t="s">
        <v>1132</v>
      </c>
      <c r="M14" s="697" t="s">
        <v>2292</v>
      </c>
      <c r="N14" s="297" t="s">
        <v>5</v>
      </c>
      <c r="O14" s="297" t="s">
        <v>2293</v>
      </c>
      <c r="P14" s="299" t="s">
        <v>2294</v>
      </c>
      <c r="T14" s="295"/>
      <c r="V14" s="1683" t="s">
        <v>2360</v>
      </c>
      <c r="W14" s="1682" t="s">
        <v>5</v>
      </c>
      <c r="X14" s="1664" t="str">
        <f>IF(OR(V13="n/a",X13="n/a",AB13="n/a )"),"n/a",AB13+(V13/X13/Y13))</f>
        <v>n/a</v>
      </c>
      <c r="Y14" s="311" t="s">
        <v>2315</v>
      </c>
      <c r="Z14" s="1440"/>
      <c r="AA14" s="1440"/>
      <c r="AB14" s="314"/>
      <c r="AC14" s="296"/>
      <c r="AE14" s="362"/>
      <c r="AF14" s="362"/>
      <c r="AG14" s="503"/>
      <c r="AH14" s="1644">
        <f>273.15+AE13</f>
        <v>273.14999999999998</v>
      </c>
      <c r="AI14" s="1644">
        <f>IF(AH14&lt;273.16,-5674.5359/AH14+6.3925247-0.009677843*AH14,-5800.2206/AH14+1.3914993-0.048640239*AH14)</f>
        <v>-17.025409380322781</v>
      </c>
      <c r="AJ14" s="1644">
        <f>IF(AH14&lt;273.16,0.00000062215701*POWER(AH14,2)+0.0000000020747825*POWER(AH14,3)-0.000000000000948402*POWER(AH14,4)+4.1635019*LN(AH14),0.000041764768*POWER(AH14,2)-0.000000014452093*POWER(AH14,3)+6.5459673*LN(AH14))</f>
        <v>23.440757653659677</v>
      </c>
      <c r="AK14" s="1644">
        <f>EXP(AI14+AJ14)/1000</f>
        <v>0.61115357225163158</v>
      </c>
      <c r="AL14" s="1644">
        <f>AG13/100*AK14</f>
        <v>0</v>
      </c>
      <c r="AM14" s="1644">
        <f>0.62198*(AK14/($G$3-AK14))</f>
        <v>3.7743102100838721E-3</v>
      </c>
      <c r="AN14" s="1644">
        <f>AX14/AM14</f>
        <v>0</v>
      </c>
      <c r="AO14" s="1644">
        <f>0.2871*(AE13+273.15)*(1+1.6078*AX14)/$G$3</f>
        <v>0.77395869726128785</v>
      </c>
      <c r="AP14" s="504"/>
      <c r="AQ14" s="504"/>
      <c r="AR14" s="504"/>
      <c r="AS14" s="504"/>
      <c r="AT14" s="504"/>
      <c r="AU14" s="505">
        <f>IF(AE13+AG13&gt;0,AG13,0)</f>
        <v>0</v>
      </c>
      <c r="AV14" s="520">
        <f>IF(AE13+AG13&gt;0,(1.006*AE13+AX14*(2501+1.805*AE13)),0)</f>
        <v>0</v>
      </c>
      <c r="AW14" s="521">
        <f>IF(AE13+AG13&gt;0,(IF(AL14&lt;0.6112,"n/a (&lt;0C)",6.54+14.526*LN(AL14)+0.7389*POWER(LN(AL14),2)+0.09486*POWER(LN(AL14),3)+0.4569*POWER(AL14,0.1984))),0)</f>
        <v>0</v>
      </c>
      <c r="AX14" s="522">
        <f>IF(AE13+AG13&gt;0,0.62198*(AL14/($G$3-AL14)),0)</f>
        <v>0</v>
      </c>
      <c r="AY14" s="521">
        <f>IF(AE13+AG13&gt;0,1/AO14,0)</f>
        <v>0</v>
      </c>
      <c r="BH14" s="1649">
        <f t="shared" si="61"/>
        <v>-38</v>
      </c>
      <c r="BI14" s="503">
        <v>100</v>
      </c>
      <c r="BJ14" s="1644">
        <f t="shared" si="0"/>
        <v>235.14999999999998</v>
      </c>
      <c r="BK14" s="1644">
        <f t="shared" si="1"/>
        <v>-20.014778235819556</v>
      </c>
      <c r="BL14" s="1644">
        <f t="shared" si="2"/>
        <v>22.792131897668423</v>
      </c>
      <c r="BM14" s="1644">
        <f t="shared" si="3"/>
        <v>1.6076420959781949E-2</v>
      </c>
      <c r="BN14" s="1644">
        <f t="shared" si="4"/>
        <v>1.6076420959781949E-2</v>
      </c>
      <c r="BO14" s="1644">
        <f t="shared" si="5"/>
        <v>9.8700212728683166E-5</v>
      </c>
      <c r="BP14" s="1644">
        <f t="shared" si="6"/>
        <v>1</v>
      </c>
      <c r="BQ14" s="1644">
        <f t="shared" si="7"/>
        <v>0.66639307598212572</v>
      </c>
      <c r="BR14" s="1648">
        <f t="shared" si="8"/>
        <v>-37.987920615556625</v>
      </c>
      <c r="BS14" s="521">
        <f t="shared" si="9"/>
        <v>-38</v>
      </c>
      <c r="BT14" s="522">
        <f t="shared" si="10"/>
        <v>9.8700212728683166E-5</v>
      </c>
      <c r="BV14" s="1647" t="str">
        <f t="shared" si="11"/>
        <v>n/a</v>
      </c>
      <c r="BW14" s="1671">
        <v>4</v>
      </c>
      <c r="BX14" s="1644" t="e">
        <f t="shared" si="12"/>
        <v>#VALUE!</v>
      </c>
      <c r="BY14" s="1644" t="e">
        <f t="shared" si="13"/>
        <v>#VALUE!</v>
      </c>
      <c r="BZ14" s="1644" t="e">
        <f t="shared" si="14"/>
        <v>#VALUE!</v>
      </c>
      <c r="CA14" s="1644" t="e">
        <f t="shared" si="15"/>
        <v>#VALUE!</v>
      </c>
      <c r="CB14" s="1644" t="e">
        <f t="shared" si="16"/>
        <v>#VALUE!</v>
      </c>
      <c r="CC14" s="1644" t="e">
        <f t="shared" si="17"/>
        <v>#VALUE!</v>
      </c>
      <c r="CD14" s="1644" t="e">
        <f t="shared" si="18"/>
        <v>#VALUE!</v>
      </c>
      <c r="CE14" s="1644" t="e">
        <f t="shared" si="19"/>
        <v>#VALUE!</v>
      </c>
      <c r="CF14" s="505" t="e">
        <f t="shared" si="20"/>
        <v>#VALUE!</v>
      </c>
      <c r="CG14" s="1648" t="e">
        <f t="shared" si="21"/>
        <v>#VALUE!</v>
      </c>
      <c r="CH14" s="521" t="e">
        <f t="shared" si="22"/>
        <v>#VALUE!</v>
      </c>
      <c r="CI14" s="522" t="e">
        <f t="shared" si="23"/>
        <v>#VALUE!</v>
      </c>
      <c r="CJ14" s="1672"/>
      <c r="CK14" s="1647" t="str">
        <f t="shared" si="24"/>
        <v>n/a</v>
      </c>
      <c r="CL14" s="1671">
        <v>4</v>
      </c>
      <c r="CM14" s="1644" t="e">
        <f t="shared" si="25"/>
        <v>#VALUE!</v>
      </c>
      <c r="CN14" s="1644" t="e">
        <f t="shared" si="26"/>
        <v>#VALUE!</v>
      </c>
      <c r="CO14" s="1644" t="e">
        <f t="shared" si="27"/>
        <v>#VALUE!</v>
      </c>
      <c r="CP14" s="1644" t="e">
        <f t="shared" si="28"/>
        <v>#VALUE!</v>
      </c>
      <c r="CQ14" s="1644" t="e">
        <f t="shared" si="29"/>
        <v>#VALUE!</v>
      </c>
      <c r="CR14" s="1644" t="e">
        <f t="shared" si="30"/>
        <v>#VALUE!</v>
      </c>
      <c r="CS14" s="1644" t="e">
        <f t="shared" si="31"/>
        <v>#VALUE!</v>
      </c>
      <c r="CT14" s="1644" t="e">
        <f t="shared" si="32"/>
        <v>#VALUE!</v>
      </c>
      <c r="CU14" s="505" t="e">
        <f t="shared" si="33"/>
        <v>#VALUE!</v>
      </c>
      <c r="CV14" s="1648" t="e">
        <f t="shared" si="34"/>
        <v>#VALUE!</v>
      </c>
      <c r="CW14" s="521" t="e">
        <f t="shared" si="35"/>
        <v>#VALUE!</v>
      </c>
      <c r="CX14" s="522" t="e">
        <f t="shared" si="36"/>
        <v>#VALUE!</v>
      </c>
      <c r="CZ14" s="1647" t="str">
        <f t="shared" si="62"/>
        <v>n/a</v>
      </c>
      <c r="DA14" s="1671">
        <v>4</v>
      </c>
      <c r="DB14" s="1644" t="e">
        <f t="shared" si="37"/>
        <v>#VALUE!</v>
      </c>
      <c r="DC14" s="1644" t="e">
        <f t="shared" si="38"/>
        <v>#VALUE!</v>
      </c>
      <c r="DD14" s="1644" t="e">
        <f t="shared" si="39"/>
        <v>#VALUE!</v>
      </c>
      <c r="DE14" s="1644" t="e">
        <f t="shared" si="40"/>
        <v>#VALUE!</v>
      </c>
      <c r="DF14" s="1644" t="e">
        <f t="shared" si="41"/>
        <v>#VALUE!</v>
      </c>
      <c r="DG14" s="1644" t="e">
        <f t="shared" si="42"/>
        <v>#VALUE!</v>
      </c>
      <c r="DH14" s="1644" t="e">
        <f t="shared" si="43"/>
        <v>#VALUE!</v>
      </c>
      <c r="DI14" s="1644" t="e">
        <f t="shared" si="44"/>
        <v>#VALUE!</v>
      </c>
      <c r="DJ14" s="505" t="e">
        <f t="shared" si="45"/>
        <v>#VALUE!</v>
      </c>
      <c r="DK14" s="1648" t="e">
        <f t="shared" si="46"/>
        <v>#VALUE!</v>
      </c>
      <c r="DL14" s="521" t="e">
        <f t="shared" si="47"/>
        <v>#VALUE!</v>
      </c>
      <c r="DM14" s="522" t="e">
        <f t="shared" si="48"/>
        <v>#VALUE!</v>
      </c>
      <c r="DN14" s="1672"/>
      <c r="DO14" s="1647" t="str">
        <f t="shared" si="63"/>
        <v>n/a</v>
      </c>
      <c r="DP14" s="1671">
        <v>4</v>
      </c>
      <c r="DQ14" s="1644" t="e">
        <f t="shared" si="49"/>
        <v>#VALUE!</v>
      </c>
      <c r="DR14" s="1644" t="e">
        <f t="shared" si="50"/>
        <v>#VALUE!</v>
      </c>
      <c r="DS14" s="1644" t="e">
        <f t="shared" si="51"/>
        <v>#VALUE!</v>
      </c>
      <c r="DT14" s="1644" t="e">
        <f t="shared" si="52"/>
        <v>#VALUE!</v>
      </c>
      <c r="DU14" s="1644" t="e">
        <f t="shared" si="53"/>
        <v>#VALUE!</v>
      </c>
      <c r="DV14" s="1644" t="e">
        <f t="shared" si="54"/>
        <v>#VALUE!</v>
      </c>
      <c r="DW14" s="1644" t="e">
        <f t="shared" si="55"/>
        <v>#VALUE!</v>
      </c>
      <c r="DX14" s="1644" t="e">
        <f t="shared" si="56"/>
        <v>#VALUE!</v>
      </c>
      <c r="DY14" s="505" t="e">
        <f t="shared" si="57"/>
        <v>#VALUE!</v>
      </c>
      <c r="DZ14" s="1648" t="e">
        <f t="shared" si="58"/>
        <v>#VALUE!</v>
      </c>
      <c r="EA14" s="521" t="e">
        <f t="shared" si="59"/>
        <v>#VALUE!</v>
      </c>
      <c r="EB14" s="522" t="e">
        <f t="shared" si="60"/>
        <v>#VALUE!</v>
      </c>
    </row>
    <row r="15" spans="2:132" ht="14.25" customHeight="1">
      <c r="B15" s="710" t="s">
        <v>1302</v>
      </c>
      <c r="C15" s="297" t="s">
        <v>2350</v>
      </c>
      <c r="D15" s="1441"/>
      <c r="E15" s="300" t="s">
        <v>1132</v>
      </c>
      <c r="M15" s="706" t="str">
        <f>O8</f>
        <v>n/a</v>
      </c>
      <c r="N15" s="297" t="s">
        <v>5</v>
      </c>
      <c r="O15" s="305" t="str">
        <f>O12</f>
        <v>n/a</v>
      </c>
      <c r="P15" s="299" t="s">
        <v>2294</v>
      </c>
      <c r="T15" s="295"/>
      <c r="V15" s="1627" t="s">
        <v>2356</v>
      </c>
      <c r="W15" s="298"/>
      <c r="X15" s="302"/>
      <c r="Y15" s="302"/>
      <c r="Z15" s="302"/>
      <c r="AA15" s="302"/>
      <c r="AB15" s="302"/>
      <c r="AC15" s="320"/>
      <c r="BH15" s="1649">
        <f t="shared" si="61"/>
        <v>-37.5</v>
      </c>
      <c r="BI15" s="503">
        <v>100</v>
      </c>
      <c r="BJ15" s="1644">
        <f t="shared" si="0"/>
        <v>235.64999999999998</v>
      </c>
      <c r="BK15" s="1644">
        <f t="shared" si="1"/>
        <v>-19.968415039444803</v>
      </c>
      <c r="BL15" s="1644">
        <f t="shared" si="2"/>
        <v>22.801269531751402</v>
      </c>
      <c r="BM15" s="1644">
        <f t="shared" si="3"/>
        <v>1.6993900614709494E-2</v>
      </c>
      <c r="BN15" s="1644">
        <f t="shared" si="4"/>
        <v>1.6993900614709494E-2</v>
      </c>
      <c r="BO15" s="1644">
        <f t="shared" si="5"/>
        <v>1.0433396837331641E-4</v>
      </c>
      <c r="BP15" s="1644">
        <f t="shared" si="6"/>
        <v>1</v>
      </c>
      <c r="BQ15" s="1644">
        <f t="shared" si="7"/>
        <v>0.66781607718404767</v>
      </c>
      <c r="BR15" s="1648">
        <f t="shared" si="8"/>
        <v>-37.471122850582603</v>
      </c>
      <c r="BS15" s="521">
        <f t="shared" si="9"/>
        <v>-37.5</v>
      </c>
      <c r="BT15" s="522">
        <f t="shared" si="10"/>
        <v>1.0433396837331641E-4</v>
      </c>
      <c r="BV15" s="1647" t="str">
        <f t="shared" si="11"/>
        <v>n/a</v>
      </c>
      <c r="BW15" s="1671">
        <v>5</v>
      </c>
      <c r="BX15" s="1644" t="e">
        <f t="shared" si="12"/>
        <v>#VALUE!</v>
      </c>
      <c r="BY15" s="1644" t="e">
        <f t="shared" si="13"/>
        <v>#VALUE!</v>
      </c>
      <c r="BZ15" s="1644" t="e">
        <f t="shared" si="14"/>
        <v>#VALUE!</v>
      </c>
      <c r="CA15" s="1644" t="e">
        <f t="shared" si="15"/>
        <v>#VALUE!</v>
      </c>
      <c r="CB15" s="1644" t="e">
        <f t="shared" si="16"/>
        <v>#VALUE!</v>
      </c>
      <c r="CC15" s="1644" t="e">
        <f t="shared" si="17"/>
        <v>#VALUE!</v>
      </c>
      <c r="CD15" s="1644" t="e">
        <f t="shared" si="18"/>
        <v>#VALUE!</v>
      </c>
      <c r="CE15" s="1644" t="e">
        <f t="shared" si="19"/>
        <v>#VALUE!</v>
      </c>
      <c r="CF15" s="505" t="e">
        <f t="shared" si="20"/>
        <v>#VALUE!</v>
      </c>
      <c r="CG15" s="1648" t="e">
        <f t="shared" si="21"/>
        <v>#VALUE!</v>
      </c>
      <c r="CH15" s="521" t="e">
        <f t="shared" si="22"/>
        <v>#VALUE!</v>
      </c>
      <c r="CI15" s="522" t="e">
        <f t="shared" si="23"/>
        <v>#VALUE!</v>
      </c>
      <c r="CJ15" s="1672"/>
      <c r="CK15" s="1647" t="str">
        <f t="shared" si="24"/>
        <v>n/a</v>
      </c>
      <c r="CL15" s="1671">
        <v>5</v>
      </c>
      <c r="CM15" s="1644" t="e">
        <f t="shared" si="25"/>
        <v>#VALUE!</v>
      </c>
      <c r="CN15" s="1644" t="e">
        <f t="shared" si="26"/>
        <v>#VALUE!</v>
      </c>
      <c r="CO15" s="1644" t="e">
        <f t="shared" si="27"/>
        <v>#VALUE!</v>
      </c>
      <c r="CP15" s="1644" t="e">
        <f t="shared" si="28"/>
        <v>#VALUE!</v>
      </c>
      <c r="CQ15" s="1644" t="e">
        <f t="shared" si="29"/>
        <v>#VALUE!</v>
      </c>
      <c r="CR15" s="1644" t="e">
        <f t="shared" si="30"/>
        <v>#VALUE!</v>
      </c>
      <c r="CS15" s="1644" t="e">
        <f t="shared" si="31"/>
        <v>#VALUE!</v>
      </c>
      <c r="CT15" s="1644" t="e">
        <f t="shared" si="32"/>
        <v>#VALUE!</v>
      </c>
      <c r="CU15" s="505" t="e">
        <f t="shared" si="33"/>
        <v>#VALUE!</v>
      </c>
      <c r="CV15" s="1648" t="e">
        <f t="shared" si="34"/>
        <v>#VALUE!</v>
      </c>
      <c r="CW15" s="521" t="e">
        <f t="shared" si="35"/>
        <v>#VALUE!</v>
      </c>
      <c r="CX15" s="522" t="e">
        <f t="shared" si="36"/>
        <v>#VALUE!</v>
      </c>
      <c r="CZ15" s="1647" t="str">
        <f t="shared" si="62"/>
        <v>n/a</v>
      </c>
      <c r="DA15" s="1671">
        <v>5</v>
      </c>
      <c r="DB15" s="1644" t="e">
        <f t="shared" si="37"/>
        <v>#VALUE!</v>
      </c>
      <c r="DC15" s="1644" t="e">
        <f t="shared" si="38"/>
        <v>#VALUE!</v>
      </c>
      <c r="DD15" s="1644" t="e">
        <f t="shared" si="39"/>
        <v>#VALUE!</v>
      </c>
      <c r="DE15" s="1644" t="e">
        <f t="shared" si="40"/>
        <v>#VALUE!</v>
      </c>
      <c r="DF15" s="1644" t="e">
        <f t="shared" si="41"/>
        <v>#VALUE!</v>
      </c>
      <c r="DG15" s="1644" t="e">
        <f t="shared" si="42"/>
        <v>#VALUE!</v>
      </c>
      <c r="DH15" s="1644" t="e">
        <f t="shared" si="43"/>
        <v>#VALUE!</v>
      </c>
      <c r="DI15" s="1644" t="e">
        <f t="shared" si="44"/>
        <v>#VALUE!</v>
      </c>
      <c r="DJ15" s="505" t="e">
        <f t="shared" si="45"/>
        <v>#VALUE!</v>
      </c>
      <c r="DK15" s="1648" t="e">
        <f t="shared" si="46"/>
        <v>#VALUE!</v>
      </c>
      <c r="DL15" s="521" t="e">
        <f t="shared" si="47"/>
        <v>#VALUE!</v>
      </c>
      <c r="DM15" s="522" t="e">
        <f t="shared" si="48"/>
        <v>#VALUE!</v>
      </c>
      <c r="DN15" s="1672"/>
      <c r="DO15" s="1647" t="str">
        <f t="shared" si="63"/>
        <v>n/a</v>
      </c>
      <c r="DP15" s="1671">
        <v>5</v>
      </c>
      <c r="DQ15" s="1644" t="e">
        <f t="shared" si="49"/>
        <v>#VALUE!</v>
      </c>
      <c r="DR15" s="1644" t="e">
        <f t="shared" si="50"/>
        <v>#VALUE!</v>
      </c>
      <c r="DS15" s="1644" t="e">
        <f t="shared" si="51"/>
        <v>#VALUE!</v>
      </c>
      <c r="DT15" s="1644" t="e">
        <f t="shared" si="52"/>
        <v>#VALUE!</v>
      </c>
      <c r="DU15" s="1644" t="e">
        <f t="shared" si="53"/>
        <v>#VALUE!</v>
      </c>
      <c r="DV15" s="1644" t="e">
        <f t="shared" si="54"/>
        <v>#VALUE!</v>
      </c>
      <c r="DW15" s="1644" t="e">
        <f t="shared" si="55"/>
        <v>#VALUE!</v>
      </c>
      <c r="DX15" s="1644" t="e">
        <f t="shared" si="56"/>
        <v>#VALUE!</v>
      </c>
      <c r="DY15" s="505" t="e">
        <f t="shared" si="57"/>
        <v>#VALUE!</v>
      </c>
      <c r="DZ15" s="1648" t="e">
        <f t="shared" si="58"/>
        <v>#VALUE!</v>
      </c>
      <c r="EA15" s="521" t="e">
        <f t="shared" si="59"/>
        <v>#VALUE!</v>
      </c>
      <c r="EB15" s="522" t="e">
        <f t="shared" si="60"/>
        <v>#VALUE!</v>
      </c>
    </row>
    <row r="16" spans="2:132" ht="12.75" customHeight="1">
      <c r="B16" s="710" t="s">
        <v>2369</v>
      </c>
      <c r="C16" s="297"/>
      <c r="D16" s="1708" t="str">
        <f>IF(D14*D15&gt;0,D14/D15,"-")</f>
        <v>-</v>
      </c>
      <c r="E16" s="300"/>
      <c r="F16" s="294" t="str">
        <f>IF(D16="-","",IF(D16&gt;1.5,"Ratio &gt; 1.5 - Out of Range",IF(D16&lt;0.7,"Ratio &lt; 0.7 - Out of Range","")))</f>
        <v/>
      </c>
      <c r="M16" s="379" t="s">
        <v>2295</v>
      </c>
      <c r="N16" s="1681" t="s">
        <v>5</v>
      </c>
      <c r="O16" s="1639" t="str">
        <f>IF(OR(M15="n/a",O15="n/a"),"n/a",M15-O15)</f>
        <v>n/a</v>
      </c>
      <c r="P16" s="1632" t="s">
        <v>6</v>
      </c>
      <c r="Q16" s="314"/>
      <c r="R16" s="314"/>
      <c r="S16" s="314"/>
      <c r="T16" s="296"/>
      <c r="V16" s="1683" t="s">
        <v>2358</v>
      </c>
      <c r="W16" s="1682" t="s">
        <v>5</v>
      </c>
      <c r="X16" s="1664" t="str">
        <f>IF(X14="n/a","n/a",CG8)</f>
        <v>n/a</v>
      </c>
      <c r="Y16" s="311" t="s">
        <v>2315</v>
      </c>
      <c r="Z16" s="1653" t="str">
        <f>IF(X16="n/a","","Supply moisture content unchanged")</f>
        <v/>
      </c>
      <c r="AA16" s="1662"/>
      <c r="AB16" s="314"/>
      <c r="AC16" s="296"/>
      <c r="BH16" s="1649">
        <f t="shared" si="61"/>
        <v>-37</v>
      </c>
      <c r="BI16" s="503">
        <v>100</v>
      </c>
      <c r="BJ16" s="1644">
        <f t="shared" si="0"/>
        <v>236.14999999999998</v>
      </c>
      <c r="BK16" s="1644">
        <f t="shared" si="1"/>
        <v>-19.922268663387118</v>
      </c>
      <c r="BL16" s="1644">
        <f t="shared" si="2"/>
        <v>22.810389308187826</v>
      </c>
      <c r="BM16" s="1644">
        <f t="shared" si="3"/>
        <v>1.7959525537669926E-2</v>
      </c>
      <c r="BN16" s="1644">
        <f t="shared" si="4"/>
        <v>1.7959525537669926E-2</v>
      </c>
      <c r="BO16" s="1644">
        <f t="shared" si="5"/>
        <v>1.1026346877377998E-4</v>
      </c>
      <c r="BP16" s="1644">
        <f t="shared" si="6"/>
        <v>1</v>
      </c>
      <c r="BQ16" s="1644">
        <f t="shared" si="7"/>
        <v>0.66923942221716715</v>
      </c>
      <c r="BR16" s="1648">
        <f t="shared" si="8"/>
        <v>-36.953595010358832</v>
      </c>
      <c r="BS16" s="521">
        <f t="shared" si="9"/>
        <v>-37</v>
      </c>
      <c r="BT16" s="522">
        <f t="shared" si="10"/>
        <v>1.1026346877377998E-4</v>
      </c>
      <c r="BV16" s="1647" t="str">
        <f t="shared" si="11"/>
        <v>n/a</v>
      </c>
      <c r="BW16" s="1671">
        <v>6</v>
      </c>
      <c r="BX16" s="1644" t="e">
        <f t="shared" si="12"/>
        <v>#VALUE!</v>
      </c>
      <c r="BY16" s="1644" t="e">
        <f t="shared" si="13"/>
        <v>#VALUE!</v>
      </c>
      <c r="BZ16" s="1644" t="e">
        <f t="shared" si="14"/>
        <v>#VALUE!</v>
      </c>
      <c r="CA16" s="1644" t="e">
        <f t="shared" si="15"/>
        <v>#VALUE!</v>
      </c>
      <c r="CB16" s="1644" t="e">
        <f t="shared" si="16"/>
        <v>#VALUE!</v>
      </c>
      <c r="CC16" s="1644" t="e">
        <f t="shared" si="17"/>
        <v>#VALUE!</v>
      </c>
      <c r="CD16" s="1644" t="e">
        <f t="shared" si="18"/>
        <v>#VALUE!</v>
      </c>
      <c r="CE16" s="1644" t="e">
        <f t="shared" si="19"/>
        <v>#VALUE!</v>
      </c>
      <c r="CF16" s="505" t="e">
        <f t="shared" si="20"/>
        <v>#VALUE!</v>
      </c>
      <c r="CG16" s="1648" t="e">
        <f t="shared" si="21"/>
        <v>#VALUE!</v>
      </c>
      <c r="CH16" s="521" t="e">
        <f t="shared" si="22"/>
        <v>#VALUE!</v>
      </c>
      <c r="CI16" s="522" t="e">
        <f t="shared" si="23"/>
        <v>#VALUE!</v>
      </c>
      <c r="CJ16" s="1672"/>
      <c r="CK16" s="1647" t="str">
        <f t="shared" si="24"/>
        <v>n/a</v>
      </c>
      <c r="CL16" s="1671">
        <v>6</v>
      </c>
      <c r="CM16" s="1644" t="e">
        <f t="shared" si="25"/>
        <v>#VALUE!</v>
      </c>
      <c r="CN16" s="1644" t="e">
        <f t="shared" si="26"/>
        <v>#VALUE!</v>
      </c>
      <c r="CO16" s="1644" t="e">
        <f t="shared" si="27"/>
        <v>#VALUE!</v>
      </c>
      <c r="CP16" s="1644" t="e">
        <f t="shared" si="28"/>
        <v>#VALUE!</v>
      </c>
      <c r="CQ16" s="1644" t="e">
        <f t="shared" si="29"/>
        <v>#VALUE!</v>
      </c>
      <c r="CR16" s="1644" t="e">
        <f t="shared" si="30"/>
        <v>#VALUE!</v>
      </c>
      <c r="CS16" s="1644" t="e">
        <f t="shared" si="31"/>
        <v>#VALUE!</v>
      </c>
      <c r="CT16" s="1644" t="e">
        <f t="shared" si="32"/>
        <v>#VALUE!</v>
      </c>
      <c r="CU16" s="505" t="e">
        <f t="shared" si="33"/>
        <v>#VALUE!</v>
      </c>
      <c r="CV16" s="1648" t="e">
        <f t="shared" si="34"/>
        <v>#VALUE!</v>
      </c>
      <c r="CW16" s="521" t="e">
        <f t="shared" si="35"/>
        <v>#VALUE!</v>
      </c>
      <c r="CX16" s="522" t="e">
        <f t="shared" si="36"/>
        <v>#VALUE!</v>
      </c>
      <c r="CZ16" s="1647" t="str">
        <f t="shared" si="62"/>
        <v>n/a</v>
      </c>
      <c r="DA16" s="1671">
        <v>6</v>
      </c>
      <c r="DB16" s="1644" t="e">
        <f t="shared" si="37"/>
        <v>#VALUE!</v>
      </c>
      <c r="DC16" s="1644" t="e">
        <f t="shared" si="38"/>
        <v>#VALUE!</v>
      </c>
      <c r="DD16" s="1644" t="e">
        <f t="shared" si="39"/>
        <v>#VALUE!</v>
      </c>
      <c r="DE16" s="1644" t="e">
        <f t="shared" si="40"/>
        <v>#VALUE!</v>
      </c>
      <c r="DF16" s="1644" t="e">
        <f t="shared" si="41"/>
        <v>#VALUE!</v>
      </c>
      <c r="DG16" s="1644" t="e">
        <f t="shared" si="42"/>
        <v>#VALUE!</v>
      </c>
      <c r="DH16" s="1644" t="e">
        <f t="shared" si="43"/>
        <v>#VALUE!</v>
      </c>
      <c r="DI16" s="1644" t="e">
        <f t="shared" si="44"/>
        <v>#VALUE!</v>
      </c>
      <c r="DJ16" s="505" t="e">
        <f t="shared" si="45"/>
        <v>#VALUE!</v>
      </c>
      <c r="DK16" s="1648" t="e">
        <f t="shared" si="46"/>
        <v>#VALUE!</v>
      </c>
      <c r="DL16" s="521" t="e">
        <f t="shared" si="47"/>
        <v>#VALUE!</v>
      </c>
      <c r="DM16" s="522" t="e">
        <f t="shared" si="48"/>
        <v>#VALUE!</v>
      </c>
      <c r="DN16" s="1672"/>
      <c r="DO16" s="1647" t="str">
        <f t="shared" si="63"/>
        <v>n/a</v>
      </c>
      <c r="DP16" s="1671">
        <v>6</v>
      </c>
      <c r="DQ16" s="1644" t="e">
        <f t="shared" si="49"/>
        <v>#VALUE!</v>
      </c>
      <c r="DR16" s="1644" t="e">
        <f t="shared" si="50"/>
        <v>#VALUE!</v>
      </c>
      <c r="DS16" s="1644" t="e">
        <f t="shared" si="51"/>
        <v>#VALUE!</v>
      </c>
      <c r="DT16" s="1644" t="e">
        <f t="shared" si="52"/>
        <v>#VALUE!</v>
      </c>
      <c r="DU16" s="1644" t="e">
        <f t="shared" si="53"/>
        <v>#VALUE!</v>
      </c>
      <c r="DV16" s="1644" t="e">
        <f t="shared" si="54"/>
        <v>#VALUE!</v>
      </c>
      <c r="DW16" s="1644" t="e">
        <f t="shared" si="55"/>
        <v>#VALUE!</v>
      </c>
      <c r="DX16" s="1644" t="e">
        <f t="shared" si="56"/>
        <v>#VALUE!</v>
      </c>
      <c r="DY16" s="505" t="e">
        <f t="shared" si="57"/>
        <v>#VALUE!</v>
      </c>
      <c r="DZ16" s="1648" t="e">
        <f t="shared" si="58"/>
        <v>#VALUE!</v>
      </c>
      <c r="EA16" s="521" t="e">
        <f t="shared" si="59"/>
        <v>#VALUE!</v>
      </c>
      <c r="EB16" s="522" t="e">
        <f t="shared" si="60"/>
        <v>#VALUE!</v>
      </c>
    </row>
    <row r="17" spans="2:132">
      <c r="B17" s="1667" t="s">
        <v>2286</v>
      </c>
      <c r="C17" s="1668"/>
      <c r="D17" s="1668"/>
      <c r="E17" s="1669"/>
      <c r="BH17" s="1649">
        <f t="shared" si="61"/>
        <v>-36.5</v>
      </c>
      <c r="BI17" s="503">
        <v>100</v>
      </c>
      <c r="BJ17" s="1644">
        <f t="shared" si="0"/>
        <v>236.64999999999998</v>
      </c>
      <c r="BK17" s="1644">
        <f t="shared" si="1"/>
        <v>-19.876337733336438</v>
      </c>
      <c r="BL17" s="1644">
        <f t="shared" si="2"/>
        <v>22.819491307152504</v>
      </c>
      <c r="BM17" s="1644">
        <f t="shared" si="3"/>
        <v>1.8975592988155255E-2</v>
      </c>
      <c r="BN17" s="1644">
        <f t="shared" si="4"/>
        <v>1.8975592988155255E-2</v>
      </c>
      <c r="BO17" s="1644">
        <f t="shared" si="5"/>
        <v>1.1650283777156993E-4</v>
      </c>
      <c r="BP17" s="1644">
        <f t="shared" si="6"/>
        <v>1</v>
      </c>
      <c r="BQ17" s="1644">
        <f t="shared" si="7"/>
        <v>0.67066312832921615</v>
      </c>
      <c r="BR17" s="1648">
        <f t="shared" si="8"/>
        <v>-36.43530190094279</v>
      </c>
      <c r="BS17" s="521">
        <f t="shared" si="9"/>
        <v>-36.5</v>
      </c>
      <c r="BT17" s="522">
        <f t="shared" si="10"/>
        <v>1.1650283777156993E-4</v>
      </c>
      <c r="BV17" s="1647" t="str">
        <f t="shared" si="11"/>
        <v>n/a</v>
      </c>
      <c r="BW17" s="1671">
        <v>7</v>
      </c>
      <c r="BX17" s="1644" t="e">
        <f t="shared" si="12"/>
        <v>#VALUE!</v>
      </c>
      <c r="BY17" s="1644" t="e">
        <f t="shared" si="13"/>
        <v>#VALUE!</v>
      </c>
      <c r="BZ17" s="1644" t="e">
        <f t="shared" si="14"/>
        <v>#VALUE!</v>
      </c>
      <c r="CA17" s="1644" t="e">
        <f t="shared" si="15"/>
        <v>#VALUE!</v>
      </c>
      <c r="CB17" s="1644" t="e">
        <f t="shared" si="16"/>
        <v>#VALUE!</v>
      </c>
      <c r="CC17" s="1644" t="e">
        <f t="shared" si="17"/>
        <v>#VALUE!</v>
      </c>
      <c r="CD17" s="1644" t="e">
        <f t="shared" si="18"/>
        <v>#VALUE!</v>
      </c>
      <c r="CE17" s="1644" t="e">
        <f t="shared" si="19"/>
        <v>#VALUE!</v>
      </c>
      <c r="CF17" s="505" t="e">
        <f t="shared" si="20"/>
        <v>#VALUE!</v>
      </c>
      <c r="CG17" s="1648" t="e">
        <f t="shared" si="21"/>
        <v>#VALUE!</v>
      </c>
      <c r="CH17" s="521" t="e">
        <f t="shared" si="22"/>
        <v>#VALUE!</v>
      </c>
      <c r="CI17" s="522" t="e">
        <f t="shared" si="23"/>
        <v>#VALUE!</v>
      </c>
      <c r="CJ17" s="1672"/>
      <c r="CK17" s="1647" t="str">
        <f t="shared" si="24"/>
        <v>n/a</v>
      </c>
      <c r="CL17" s="1671">
        <v>7</v>
      </c>
      <c r="CM17" s="1644" t="e">
        <f t="shared" si="25"/>
        <v>#VALUE!</v>
      </c>
      <c r="CN17" s="1644" t="e">
        <f t="shared" si="26"/>
        <v>#VALUE!</v>
      </c>
      <c r="CO17" s="1644" t="e">
        <f t="shared" si="27"/>
        <v>#VALUE!</v>
      </c>
      <c r="CP17" s="1644" t="e">
        <f t="shared" si="28"/>
        <v>#VALUE!</v>
      </c>
      <c r="CQ17" s="1644" t="e">
        <f t="shared" si="29"/>
        <v>#VALUE!</v>
      </c>
      <c r="CR17" s="1644" t="e">
        <f t="shared" si="30"/>
        <v>#VALUE!</v>
      </c>
      <c r="CS17" s="1644" t="e">
        <f t="shared" si="31"/>
        <v>#VALUE!</v>
      </c>
      <c r="CT17" s="1644" t="e">
        <f t="shared" si="32"/>
        <v>#VALUE!</v>
      </c>
      <c r="CU17" s="505" t="e">
        <f t="shared" si="33"/>
        <v>#VALUE!</v>
      </c>
      <c r="CV17" s="1648" t="e">
        <f t="shared" si="34"/>
        <v>#VALUE!</v>
      </c>
      <c r="CW17" s="521" t="e">
        <f t="shared" si="35"/>
        <v>#VALUE!</v>
      </c>
      <c r="CX17" s="522" t="e">
        <f t="shared" si="36"/>
        <v>#VALUE!</v>
      </c>
      <c r="CZ17" s="1647" t="str">
        <f t="shared" si="62"/>
        <v>n/a</v>
      </c>
      <c r="DA17" s="1671">
        <v>7</v>
      </c>
      <c r="DB17" s="1644" t="e">
        <f t="shared" si="37"/>
        <v>#VALUE!</v>
      </c>
      <c r="DC17" s="1644" t="e">
        <f t="shared" si="38"/>
        <v>#VALUE!</v>
      </c>
      <c r="DD17" s="1644" t="e">
        <f t="shared" si="39"/>
        <v>#VALUE!</v>
      </c>
      <c r="DE17" s="1644" t="e">
        <f t="shared" si="40"/>
        <v>#VALUE!</v>
      </c>
      <c r="DF17" s="1644" t="e">
        <f t="shared" si="41"/>
        <v>#VALUE!</v>
      </c>
      <c r="DG17" s="1644" t="e">
        <f t="shared" si="42"/>
        <v>#VALUE!</v>
      </c>
      <c r="DH17" s="1644" t="e">
        <f t="shared" si="43"/>
        <v>#VALUE!</v>
      </c>
      <c r="DI17" s="1644" t="e">
        <f t="shared" si="44"/>
        <v>#VALUE!</v>
      </c>
      <c r="DJ17" s="505" t="e">
        <f t="shared" si="45"/>
        <v>#VALUE!</v>
      </c>
      <c r="DK17" s="1648" t="e">
        <f t="shared" si="46"/>
        <v>#VALUE!</v>
      </c>
      <c r="DL17" s="521" t="e">
        <f t="shared" si="47"/>
        <v>#VALUE!</v>
      </c>
      <c r="DM17" s="522" t="e">
        <f t="shared" si="48"/>
        <v>#VALUE!</v>
      </c>
      <c r="DN17" s="1672"/>
      <c r="DO17" s="1647" t="str">
        <f t="shared" si="63"/>
        <v>n/a</v>
      </c>
      <c r="DP17" s="1671">
        <v>7</v>
      </c>
      <c r="DQ17" s="1644" t="e">
        <f t="shared" si="49"/>
        <v>#VALUE!</v>
      </c>
      <c r="DR17" s="1644" t="e">
        <f t="shared" si="50"/>
        <v>#VALUE!</v>
      </c>
      <c r="DS17" s="1644" t="e">
        <f t="shared" si="51"/>
        <v>#VALUE!</v>
      </c>
      <c r="DT17" s="1644" t="e">
        <f t="shared" si="52"/>
        <v>#VALUE!</v>
      </c>
      <c r="DU17" s="1644" t="e">
        <f t="shared" si="53"/>
        <v>#VALUE!</v>
      </c>
      <c r="DV17" s="1644" t="e">
        <f t="shared" si="54"/>
        <v>#VALUE!</v>
      </c>
      <c r="DW17" s="1644" t="e">
        <f t="shared" si="55"/>
        <v>#VALUE!</v>
      </c>
      <c r="DX17" s="1644" t="e">
        <f t="shared" si="56"/>
        <v>#VALUE!</v>
      </c>
      <c r="DY17" s="505" t="e">
        <f t="shared" si="57"/>
        <v>#VALUE!</v>
      </c>
      <c r="DZ17" s="1648" t="e">
        <f t="shared" si="58"/>
        <v>#VALUE!</v>
      </c>
      <c r="EA17" s="521" t="e">
        <f t="shared" si="59"/>
        <v>#VALUE!</v>
      </c>
      <c r="EB17" s="522" t="e">
        <f t="shared" si="60"/>
        <v>#VALUE!</v>
      </c>
    </row>
    <row r="18" spans="2:132" ht="13.5">
      <c r="B18" s="710" t="s">
        <v>2288</v>
      </c>
      <c r="C18" s="297" t="s">
        <v>2291</v>
      </c>
      <c r="D18" s="1623"/>
      <c r="E18" s="300"/>
      <c r="M18" s="1847" t="s">
        <v>2353</v>
      </c>
      <c r="N18" s="1848"/>
      <c r="O18" s="1848"/>
      <c r="P18" s="1848"/>
      <c r="Q18" s="1848"/>
      <c r="R18" s="1848"/>
      <c r="S18" s="1848"/>
      <c r="T18" s="1849"/>
      <c r="V18" s="1847" t="s">
        <v>2354</v>
      </c>
      <c r="W18" s="1848"/>
      <c r="X18" s="1848"/>
      <c r="Y18" s="1848"/>
      <c r="Z18" s="1848"/>
      <c r="AA18" s="1848"/>
      <c r="AB18" s="1848"/>
      <c r="AC18" s="1849"/>
      <c r="BH18" s="1649">
        <f t="shared" si="61"/>
        <v>-36</v>
      </c>
      <c r="BI18" s="503">
        <v>100</v>
      </c>
      <c r="BJ18" s="1644">
        <f t="shared" si="0"/>
        <v>237.14999999999998</v>
      </c>
      <c r="BK18" s="1644">
        <f t="shared" si="1"/>
        <v>-19.83062088657292</v>
      </c>
      <c r="BL18" s="1644">
        <f t="shared" si="2"/>
        <v>22.828575608316768</v>
      </c>
      <c r="BM18" s="1644">
        <f t="shared" si="3"/>
        <v>2.0044498393168009E-2</v>
      </c>
      <c r="BN18" s="1644">
        <f t="shared" si="4"/>
        <v>2.0044498393168009E-2</v>
      </c>
      <c r="BO18" s="1644">
        <f t="shared" si="5"/>
        <v>1.2306680407539282E-4</v>
      </c>
      <c r="BP18" s="1644">
        <f t="shared" si="6"/>
        <v>1</v>
      </c>
      <c r="BQ18" s="1644">
        <f t="shared" si="7"/>
        <v>0.6720872135500916</v>
      </c>
      <c r="BR18" s="1648">
        <f t="shared" si="8"/>
        <v>-35.916206803936262</v>
      </c>
      <c r="BS18" s="521">
        <f t="shared" si="9"/>
        <v>-36</v>
      </c>
      <c r="BT18" s="522">
        <f t="shared" si="10"/>
        <v>1.2306680407539282E-4</v>
      </c>
      <c r="BV18" s="1647" t="str">
        <f t="shared" si="11"/>
        <v>n/a</v>
      </c>
      <c r="BW18" s="1671">
        <v>8</v>
      </c>
      <c r="BX18" s="1644" t="e">
        <f t="shared" si="12"/>
        <v>#VALUE!</v>
      </c>
      <c r="BY18" s="1644" t="e">
        <f t="shared" si="13"/>
        <v>#VALUE!</v>
      </c>
      <c r="BZ18" s="1644" t="e">
        <f t="shared" si="14"/>
        <v>#VALUE!</v>
      </c>
      <c r="CA18" s="1644" t="e">
        <f t="shared" si="15"/>
        <v>#VALUE!</v>
      </c>
      <c r="CB18" s="1644" t="e">
        <f t="shared" si="16"/>
        <v>#VALUE!</v>
      </c>
      <c r="CC18" s="1644" t="e">
        <f t="shared" si="17"/>
        <v>#VALUE!</v>
      </c>
      <c r="CD18" s="1644" t="e">
        <f t="shared" si="18"/>
        <v>#VALUE!</v>
      </c>
      <c r="CE18" s="1644" t="e">
        <f t="shared" si="19"/>
        <v>#VALUE!</v>
      </c>
      <c r="CF18" s="505" t="e">
        <f t="shared" si="20"/>
        <v>#VALUE!</v>
      </c>
      <c r="CG18" s="1648" t="e">
        <f t="shared" si="21"/>
        <v>#VALUE!</v>
      </c>
      <c r="CH18" s="521" t="e">
        <f t="shared" si="22"/>
        <v>#VALUE!</v>
      </c>
      <c r="CI18" s="522" t="e">
        <f t="shared" si="23"/>
        <v>#VALUE!</v>
      </c>
      <c r="CJ18" s="1672"/>
      <c r="CK18" s="1647" t="str">
        <f t="shared" si="24"/>
        <v>n/a</v>
      </c>
      <c r="CL18" s="1671">
        <v>8</v>
      </c>
      <c r="CM18" s="1644" t="e">
        <f t="shared" si="25"/>
        <v>#VALUE!</v>
      </c>
      <c r="CN18" s="1644" t="e">
        <f t="shared" si="26"/>
        <v>#VALUE!</v>
      </c>
      <c r="CO18" s="1644" t="e">
        <f t="shared" si="27"/>
        <v>#VALUE!</v>
      </c>
      <c r="CP18" s="1644" t="e">
        <f t="shared" si="28"/>
        <v>#VALUE!</v>
      </c>
      <c r="CQ18" s="1644" t="e">
        <f t="shared" si="29"/>
        <v>#VALUE!</v>
      </c>
      <c r="CR18" s="1644" t="e">
        <f t="shared" si="30"/>
        <v>#VALUE!</v>
      </c>
      <c r="CS18" s="1644" t="e">
        <f t="shared" si="31"/>
        <v>#VALUE!</v>
      </c>
      <c r="CT18" s="1644" t="e">
        <f t="shared" si="32"/>
        <v>#VALUE!</v>
      </c>
      <c r="CU18" s="505" t="e">
        <f t="shared" si="33"/>
        <v>#VALUE!</v>
      </c>
      <c r="CV18" s="1648" t="e">
        <f t="shared" si="34"/>
        <v>#VALUE!</v>
      </c>
      <c r="CW18" s="521" t="e">
        <f t="shared" si="35"/>
        <v>#VALUE!</v>
      </c>
      <c r="CX18" s="522" t="e">
        <f t="shared" si="36"/>
        <v>#VALUE!</v>
      </c>
      <c r="CZ18" s="1647" t="str">
        <f t="shared" si="62"/>
        <v>n/a</v>
      </c>
      <c r="DA18" s="1671">
        <v>8</v>
      </c>
      <c r="DB18" s="1644" t="e">
        <f t="shared" si="37"/>
        <v>#VALUE!</v>
      </c>
      <c r="DC18" s="1644" t="e">
        <f t="shared" si="38"/>
        <v>#VALUE!</v>
      </c>
      <c r="DD18" s="1644" t="e">
        <f t="shared" si="39"/>
        <v>#VALUE!</v>
      </c>
      <c r="DE18" s="1644" t="e">
        <f t="shared" si="40"/>
        <v>#VALUE!</v>
      </c>
      <c r="DF18" s="1644" t="e">
        <f t="shared" si="41"/>
        <v>#VALUE!</v>
      </c>
      <c r="DG18" s="1644" t="e">
        <f t="shared" si="42"/>
        <v>#VALUE!</v>
      </c>
      <c r="DH18" s="1644" t="e">
        <f t="shared" si="43"/>
        <v>#VALUE!</v>
      </c>
      <c r="DI18" s="1644" t="e">
        <f t="shared" si="44"/>
        <v>#VALUE!</v>
      </c>
      <c r="DJ18" s="505" t="e">
        <f t="shared" si="45"/>
        <v>#VALUE!</v>
      </c>
      <c r="DK18" s="1648" t="e">
        <f t="shared" si="46"/>
        <v>#VALUE!</v>
      </c>
      <c r="DL18" s="521" t="e">
        <f t="shared" si="47"/>
        <v>#VALUE!</v>
      </c>
      <c r="DM18" s="522" t="e">
        <f t="shared" si="48"/>
        <v>#VALUE!</v>
      </c>
      <c r="DN18" s="1672"/>
      <c r="DO18" s="1647" t="str">
        <f t="shared" si="63"/>
        <v>n/a</v>
      </c>
      <c r="DP18" s="1671">
        <v>8</v>
      </c>
      <c r="DQ18" s="1644" t="e">
        <f t="shared" si="49"/>
        <v>#VALUE!</v>
      </c>
      <c r="DR18" s="1644" t="e">
        <f t="shared" si="50"/>
        <v>#VALUE!</v>
      </c>
      <c r="DS18" s="1644" t="e">
        <f t="shared" si="51"/>
        <v>#VALUE!</v>
      </c>
      <c r="DT18" s="1644" t="e">
        <f t="shared" si="52"/>
        <v>#VALUE!</v>
      </c>
      <c r="DU18" s="1644" t="e">
        <f t="shared" si="53"/>
        <v>#VALUE!</v>
      </c>
      <c r="DV18" s="1644" t="e">
        <f t="shared" si="54"/>
        <v>#VALUE!</v>
      </c>
      <c r="DW18" s="1644" t="e">
        <f t="shared" si="55"/>
        <v>#VALUE!</v>
      </c>
      <c r="DX18" s="1644" t="e">
        <f t="shared" si="56"/>
        <v>#VALUE!</v>
      </c>
      <c r="DY18" s="505" t="e">
        <f t="shared" si="57"/>
        <v>#VALUE!</v>
      </c>
      <c r="DZ18" s="1648" t="e">
        <f t="shared" si="58"/>
        <v>#VALUE!</v>
      </c>
      <c r="EA18" s="521" t="e">
        <f t="shared" si="59"/>
        <v>#VALUE!</v>
      </c>
      <c r="EB18" s="522" t="e">
        <f t="shared" si="60"/>
        <v>#VALUE!</v>
      </c>
    </row>
    <row r="19" spans="2:132" ht="13.5">
      <c r="B19" s="700" t="s">
        <v>2287</v>
      </c>
      <c r="C19" s="319" t="s">
        <v>2290</v>
      </c>
      <c r="D19" s="1623"/>
      <c r="E19" s="1633"/>
      <c r="M19" s="1224" t="s">
        <v>2355</v>
      </c>
      <c r="N19" s="298"/>
      <c r="O19" s="302"/>
      <c r="P19" s="302"/>
      <c r="Q19" s="302"/>
      <c r="R19" s="302"/>
      <c r="S19" s="302"/>
      <c r="T19" s="320"/>
      <c r="V19" s="1224" t="s">
        <v>2355</v>
      </c>
      <c r="W19" s="1384"/>
      <c r="X19" s="1384"/>
      <c r="Y19" s="1384"/>
      <c r="Z19" s="1384"/>
      <c r="AA19" s="1384"/>
      <c r="AB19" s="1384"/>
      <c r="AC19" s="1385"/>
      <c r="BH19" s="1649">
        <f t="shared" si="61"/>
        <v>-35.5</v>
      </c>
      <c r="BI19" s="503">
        <v>100</v>
      </c>
      <c r="BJ19" s="1644">
        <f t="shared" si="0"/>
        <v>237.64999999999998</v>
      </c>
      <c r="BK19" s="1644">
        <f t="shared" si="1"/>
        <v>-19.785116771845018</v>
      </c>
      <c r="BL19" s="1644">
        <f t="shared" si="2"/>
        <v>22.837642290852713</v>
      </c>
      <c r="BM19" s="1644">
        <f t="shared" si="3"/>
        <v>2.1168739022391855E-2</v>
      </c>
      <c r="BN19" s="1644">
        <f t="shared" si="4"/>
        <v>2.1168739022391855E-2</v>
      </c>
      <c r="BO19" s="1644">
        <f t="shared" si="5"/>
        <v>1.299707240413034E-4</v>
      </c>
      <c r="BP19" s="1644">
        <f t="shared" si="6"/>
        <v>1</v>
      </c>
      <c r="BQ19" s="1644">
        <f t="shared" si="7"/>
        <v>0.67351169672340783</v>
      </c>
      <c r="BR19" s="1648">
        <f t="shared" si="8"/>
        <v>-35.396271418242456</v>
      </c>
      <c r="BS19" s="521">
        <f t="shared" si="9"/>
        <v>-35.5</v>
      </c>
      <c r="BT19" s="522">
        <f t="shared" si="10"/>
        <v>1.299707240413034E-4</v>
      </c>
      <c r="BV19" s="1647" t="str">
        <f t="shared" si="11"/>
        <v>n/a</v>
      </c>
      <c r="BW19" s="1671">
        <v>9</v>
      </c>
      <c r="BX19" s="1644" t="e">
        <f t="shared" si="12"/>
        <v>#VALUE!</v>
      </c>
      <c r="BY19" s="1644" t="e">
        <f t="shared" si="13"/>
        <v>#VALUE!</v>
      </c>
      <c r="BZ19" s="1644" t="e">
        <f t="shared" si="14"/>
        <v>#VALUE!</v>
      </c>
      <c r="CA19" s="1644" t="e">
        <f t="shared" si="15"/>
        <v>#VALUE!</v>
      </c>
      <c r="CB19" s="1644" t="e">
        <f t="shared" si="16"/>
        <v>#VALUE!</v>
      </c>
      <c r="CC19" s="1644" t="e">
        <f t="shared" si="17"/>
        <v>#VALUE!</v>
      </c>
      <c r="CD19" s="1644" t="e">
        <f t="shared" si="18"/>
        <v>#VALUE!</v>
      </c>
      <c r="CE19" s="1644" t="e">
        <f t="shared" si="19"/>
        <v>#VALUE!</v>
      </c>
      <c r="CF19" s="505" t="e">
        <f t="shared" si="20"/>
        <v>#VALUE!</v>
      </c>
      <c r="CG19" s="1648" t="e">
        <f t="shared" si="21"/>
        <v>#VALUE!</v>
      </c>
      <c r="CH19" s="521" t="e">
        <f t="shared" si="22"/>
        <v>#VALUE!</v>
      </c>
      <c r="CI19" s="522" t="e">
        <f t="shared" si="23"/>
        <v>#VALUE!</v>
      </c>
      <c r="CJ19" s="1672"/>
      <c r="CK19" s="1647" t="str">
        <f t="shared" si="24"/>
        <v>n/a</v>
      </c>
      <c r="CL19" s="1671">
        <v>9</v>
      </c>
      <c r="CM19" s="1644" t="e">
        <f t="shared" si="25"/>
        <v>#VALUE!</v>
      </c>
      <c r="CN19" s="1644" t="e">
        <f t="shared" si="26"/>
        <v>#VALUE!</v>
      </c>
      <c r="CO19" s="1644" t="e">
        <f t="shared" si="27"/>
        <v>#VALUE!</v>
      </c>
      <c r="CP19" s="1644" t="e">
        <f t="shared" si="28"/>
        <v>#VALUE!</v>
      </c>
      <c r="CQ19" s="1644" t="e">
        <f t="shared" si="29"/>
        <v>#VALUE!</v>
      </c>
      <c r="CR19" s="1644" t="e">
        <f t="shared" si="30"/>
        <v>#VALUE!</v>
      </c>
      <c r="CS19" s="1644" t="e">
        <f t="shared" si="31"/>
        <v>#VALUE!</v>
      </c>
      <c r="CT19" s="1644" t="e">
        <f t="shared" si="32"/>
        <v>#VALUE!</v>
      </c>
      <c r="CU19" s="505" t="e">
        <f t="shared" si="33"/>
        <v>#VALUE!</v>
      </c>
      <c r="CV19" s="1648" t="e">
        <f t="shared" si="34"/>
        <v>#VALUE!</v>
      </c>
      <c r="CW19" s="521" t="e">
        <f t="shared" si="35"/>
        <v>#VALUE!</v>
      </c>
      <c r="CX19" s="522" t="e">
        <f t="shared" si="36"/>
        <v>#VALUE!</v>
      </c>
      <c r="CZ19" s="1647" t="str">
        <f t="shared" si="62"/>
        <v>n/a</v>
      </c>
      <c r="DA19" s="1671">
        <v>9</v>
      </c>
      <c r="DB19" s="1644" t="e">
        <f t="shared" si="37"/>
        <v>#VALUE!</v>
      </c>
      <c r="DC19" s="1644" t="e">
        <f t="shared" si="38"/>
        <v>#VALUE!</v>
      </c>
      <c r="DD19" s="1644" t="e">
        <f t="shared" si="39"/>
        <v>#VALUE!</v>
      </c>
      <c r="DE19" s="1644" t="e">
        <f t="shared" si="40"/>
        <v>#VALUE!</v>
      </c>
      <c r="DF19" s="1644" t="e">
        <f t="shared" si="41"/>
        <v>#VALUE!</v>
      </c>
      <c r="DG19" s="1644" t="e">
        <f t="shared" si="42"/>
        <v>#VALUE!</v>
      </c>
      <c r="DH19" s="1644" t="e">
        <f t="shared" si="43"/>
        <v>#VALUE!</v>
      </c>
      <c r="DI19" s="1644" t="e">
        <f t="shared" si="44"/>
        <v>#VALUE!</v>
      </c>
      <c r="DJ19" s="505" t="e">
        <f t="shared" si="45"/>
        <v>#VALUE!</v>
      </c>
      <c r="DK19" s="1648" t="e">
        <f t="shared" si="46"/>
        <v>#VALUE!</v>
      </c>
      <c r="DL19" s="521" t="e">
        <f t="shared" si="47"/>
        <v>#VALUE!</v>
      </c>
      <c r="DM19" s="522" t="e">
        <f t="shared" si="48"/>
        <v>#VALUE!</v>
      </c>
      <c r="DN19" s="1672"/>
      <c r="DO19" s="1647" t="str">
        <f t="shared" si="63"/>
        <v>n/a</v>
      </c>
      <c r="DP19" s="1671">
        <v>9</v>
      </c>
      <c r="DQ19" s="1644" t="e">
        <f t="shared" si="49"/>
        <v>#VALUE!</v>
      </c>
      <c r="DR19" s="1644" t="e">
        <f t="shared" si="50"/>
        <v>#VALUE!</v>
      </c>
      <c r="DS19" s="1644" t="e">
        <f t="shared" si="51"/>
        <v>#VALUE!</v>
      </c>
      <c r="DT19" s="1644" t="e">
        <f t="shared" si="52"/>
        <v>#VALUE!</v>
      </c>
      <c r="DU19" s="1644" t="e">
        <f t="shared" si="53"/>
        <v>#VALUE!</v>
      </c>
      <c r="DV19" s="1644" t="e">
        <f t="shared" si="54"/>
        <v>#VALUE!</v>
      </c>
      <c r="DW19" s="1644" t="e">
        <f t="shared" si="55"/>
        <v>#VALUE!</v>
      </c>
      <c r="DX19" s="1644" t="e">
        <f t="shared" si="56"/>
        <v>#VALUE!</v>
      </c>
      <c r="DY19" s="505" t="e">
        <f t="shared" si="57"/>
        <v>#VALUE!</v>
      </c>
      <c r="DZ19" s="1648" t="e">
        <f t="shared" si="58"/>
        <v>#VALUE!</v>
      </c>
      <c r="EA19" s="521" t="e">
        <f t="shared" si="59"/>
        <v>#VALUE!</v>
      </c>
      <c r="EB19" s="522" t="e">
        <f t="shared" si="60"/>
        <v>#VALUE!</v>
      </c>
    </row>
    <row r="20" spans="2:132" ht="13.5">
      <c r="M20" s="697" t="s">
        <v>2293</v>
      </c>
      <c r="N20" s="297" t="s">
        <v>5</v>
      </c>
      <c r="O20" s="297" t="s">
        <v>2289</v>
      </c>
      <c r="P20" s="297" t="s">
        <v>137</v>
      </c>
      <c r="Q20" s="297" t="s">
        <v>1108</v>
      </c>
      <c r="R20" s="297" t="s">
        <v>2299</v>
      </c>
      <c r="S20" s="297" t="s">
        <v>2304</v>
      </c>
      <c r="T20" s="295"/>
      <c r="V20" s="697" t="s">
        <v>2293</v>
      </c>
      <c r="W20" s="297" t="s">
        <v>5</v>
      </c>
      <c r="X20" s="297" t="s">
        <v>2289</v>
      </c>
      <c r="Y20" s="297" t="s">
        <v>137</v>
      </c>
      <c r="Z20" s="297" t="s">
        <v>1108</v>
      </c>
      <c r="AA20" s="297" t="s">
        <v>2329</v>
      </c>
      <c r="AB20" s="297" t="s">
        <v>2330</v>
      </c>
      <c r="AC20" s="295"/>
      <c r="BH20" s="1649">
        <f t="shared" si="61"/>
        <v>-35</v>
      </c>
      <c r="BI20" s="503">
        <v>100</v>
      </c>
      <c r="BJ20" s="1644">
        <f t="shared" si="0"/>
        <v>238.14999999999998</v>
      </c>
      <c r="BK20" s="1644">
        <f t="shared" si="1"/>
        <v>-19.73982404924908</v>
      </c>
      <c r="BL20" s="1644">
        <f t="shared" si="2"/>
        <v>22.846691433437375</v>
      </c>
      <c r="BM20" s="1644">
        <f t="shared" si="3"/>
        <v>2.2350917779770149E-2</v>
      </c>
      <c r="BN20" s="1644">
        <f t="shared" si="4"/>
        <v>2.2350917779770149E-2</v>
      </c>
      <c r="BO20" s="1644">
        <f t="shared" si="5"/>
        <v>1.3723060518761266E-4</v>
      </c>
      <c r="BP20" s="1644">
        <f t="shared" si="6"/>
        <v>1</v>
      </c>
      <c r="BQ20" s="1644">
        <f t="shared" si="7"/>
        <v>0.67493659753915602</v>
      </c>
      <c r="BR20" s="1648">
        <f t="shared" si="8"/>
        <v>-34.875455799908508</v>
      </c>
      <c r="BS20" s="521">
        <f t="shared" si="9"/>
        <v>-35</v>
      </c>
      <c r="BT20" s="522">
        <f t="shared" si="10"/>
        <v>1.3723060518761266E-4</v>
      </c>
      <c r="BV20" s="1647" t="str">
        <f t="shared" si="11"/>
        <v>n/a</v>
      </c>
      <c r="BW20" s="1671">
        <v>10</v>
      </c>
      <c r="BX20" s="1644" t="e">
        <f t="shared" si="12"/>
        <v>#VALUE!</v>
      </c>
      <c r="BY20" s="1644" t="e">
        <f t="shared" si="13"/>
        <v>#VALUE!</v>
      </c>
      <c r="BZ20" s="1644" t="e">
        <f t="shared" si="14"/>
        <v>#VALUE!</v>
      </c>
      <c r="CA20" s="1644" t="e">
        <f t="shared" si="15"/>
        <v>#VALUE!</v>
      </c>
      <c r="CB20" s="1644" t="e">
        <f t="shared" si="16"/>
        <v>#VALUE!</v>
      </c>
      <c r="CC20" s="1644" t="e">
        <f t="shared" si="17"/>
        <v>#VALUE!</v>
      </c>
      <c r="CD20" s="1644" t="e">
        <f t="shared" si="18"/>
        <v>#VALUE!</v>
      </c>
      <c r="CE20" s="1644" t="e">
        <f t="shared" si="19"/>
        <v>#VALUE!</v>
      </c>
      <c r="CF20" s="505" t="e">
        <f t="shared" si="20"/>
        <v>#VALUE!</v>
      </c>
      <c r="CG20" s="1648" t="e">
        <f t="shared" si="21"/>
        <v>#VALUE!</v>
      </c>
      <c r="CH20" s="521" t="e">
        <f t="shared" si="22"/>
        <v>#VALUE!</v>
      </c>
      <c r="CI20" s="522" t="e">
        <f t="shared" si="23"/>
        <v>#VALUE!</v>
      </c>
      <c r="CJ20" s="1672"/>
      <c r="CK20" s="1647" t="str">
        <f t="shared" si="24"/>
        <v>n/a</v>
      </c>
      <c r="CL20" s="1671">
        <v>10</v>
      </c>
      <c r="CM20" s="1644" t="e">
        <f t="shared" si="25"/>
        <v>#VALUE!</v>
      </c>
      <c r="CN20" s="1644" t="e">
        <f t="shared" si="26"/>
        <v>#VALUE!</v>
      </c>
      <c r="CO20" s="1644" t="e">
        <f t="shared" si="27"/>
        <v>#VALUE!</v>
      </c>
      <c r="CP20" s="1644" t="e">
        <f t="shared" si="28"/>
        <v>#VALUE!</v>
      </c>
      <c r="CQ20" s="1644" t="e">
        <f t="shared" si="29"/>
        <v>#VALUE!</v>
      </c>
      <c r="CR20" s="1644" t="e">
        <f t="shared" si="30"/>
        <v>#VALUE!</v>
      </c>
      <c r="CS20" s="1644" t="e">
        <f t="shared" si="31"/>
        <v>#VALUE!</v>
      </c>
      <c r="CT20" s="1644" t="e">
        <f t="shared" si="32"/>
        <v>#VALUE!</v>
      </c>
      <c r="CU20" s="505" t="e">
        <f t="shared" si="33"/>
        <v>#VALUE!</v>
      </c>
      <c r="CV20" s="1648" t="e">
        <f t="shared" si="34"/>
        <v>#VALUE!</v>
      </c>
      <c r="CW20" s="521" t="e">
        <f t="shared" si="35"/>
        <v>#VALUE!</v>
      </c>
      <c r="CX20" s="522" t="e">
        <f t="shared" si="36"/>
        <v>#VALUE!</v>
      </c>
      <c r="CZ20" s="1647" t="str">
        <f t="shared" si="62"/>
        <v>n/a</v>
      </c>
      <c r="DA20" s="1671">
        <v>10</v>
      </c>
      <c r="DB20" s="1644" t="e">
        <f t="shared" si="37"/>
        <v>#VALUE!</v>
      </c>
      <c r="DC20" s="1644" t="e">
        <f t="shared" si="38"/>
        <v>#VALUE!</v>
      </c>
      <c r="DD20" s="1644" t="e">
        <f t="shared" si="39"/>
        <v>#VALUE!</v>
      </c>
      <c r="DE20" s="1644" t="e">
        <f t="shared" si="40"/>
        <v>#VALUE!</v>
      </c>
      <c r="DF20" s="1644" t="e">
        <f t="shared" si="41"/>
        <v>#VALUE!</v>
      </c>
      <c r="DG20" s="1644" t="e">
        <f t="shared" si="42"/>
        <v>#VALUE!</v>
      </c>
      <c r="DH20" s="1644" t="e">
        <f t="shared" si="43"/>
        <v>#VALUE!</v>
      </c>
      <c r="DI20" s="1644" t="e">
        <f t="shared" si="44"/>
        <v>#VALUE!</v>
      </c>
      <c r="DJ20" s="505" t="e">
        <f t="shared" si="45"/>
        <v>#VALUE!</v>
      </c>
      <c r="DK20" s="1648" t="e">
        <f t="shared" si="46"/>
        <v>#VALUE!</v>
      </c>
      <c r="DL20" s="521" t="e">
        <f t="shared" si="47"/>
        <v>#VALUE!</v>
      </c>
      <c r="DM20" s="522" t="e">
        <f t="shared" si="48"/>
        <v>#VALUE!</v>
      </c>
      <c r="DN20" s="1672"/>
      <c r="DO20" s="1647" t="str">
        <f t="shared" si="63"/>
        <v>n/a</v>
      </c>
      <c r="DP20" s="1671">
        <v>10</v>
      </c>
      <c r="DQ20" s="1644" t="e">
        <f t="shared" si="49"/>
        <v>#VALUE!</v>
      </c>
      <c r="DR20" s="1644" t="e">
        <f t="shared" si="50"/>
        <v>#VALUE!</v>
      </c>
      <c r="DS20" s="1644" t="e">
        <f t="shared" si="51"/>
        <v>#VALUE!</v>
      </c>
      <c r="DT20" s="1644" t="e">
        <f t="shared" si="52"/>
        <v>#VALUE!</v>
      </c>
      <c r="DU20" s="1644" t="e">
        <f t="shared" si="53"/>
        <v>#VALUE!</v>
      </c>
      <c r="DV20" s="1644" t="e">
        <f t="shared" si="54"/>
        <v>#VALUE!</v>
      </c>
      <c r="DW20" s="1644" t="e">
        <f t="shared" si="55"/>
        <v>#VALUE!</v>
      </c>
      <c r="DX20" s="1644" t="e">
        <f t="shared" si="56"/>
        <v>#VALUE!</v>
      </c>
      <c r="DY20" s="505" t="e">
        <f t="shared" si="57"/>
        <v>#VALUE!</v>
      </c>
      <c r="DZ20" s="1648" t="e">
        <f t="shared" si="58"/>
        <v>#VALUE!</v>
      </c>
      <c r="EA20" s="521" t="e">
        <f t="shared" si="59"/>
        <v>#VALUE!</v>
      </c>
      <c r="EB20" s="522" t="e">
        <f t="shared" si="60"/>
        <v>#VALUE!</v>
      </c>
    </row>
    <row r="21" spans="2:132" ht="13.5">
      <c r="B21" s="2085" t="s">
        <v>1102</v>
      </c>
      <c r="C21" s="2086"/>
      <c r="D21" s="2086"/>
      <c r="E21" s="2086"/>
      <c r="F21" s="2086"/>
      <c r="G21" s="2087"/>
      <c r="M21" s="706" t="str">
        <f>O12</f>
        <v>n/a</v>
      </c>
      <c r="N21" s="297" t="s">
        <v>5</v>
      </c>
      <c r="O21" s="305" t="str">
        <f>IF(D14&gt;0,D14,"n/a")</f>
        <v>n/a</v>
      </c>
      <c r="P21" s="1626">
        <f>G4*1.02</f>
        <v>1.224</v>
      </c>
      <c r="Q21" s="297" t="s">
        <v>1108</v>
      </c>
      <c r="R21" s="371" t="str">
        <f>IF(I8="-","n/a",D8)</f>
        <v>n/a</v>
      </c>
      <c r="S21" s="297" t="s">
        <v>2304</v>
      </c>
      <c r="T21" s="295"/>
      <c r="V21" s="706" t="str">
        <f>X8</f>
        <v>n/a</v>
      </c>
      <c r="W21" s="297" t="s">
        <v>5</v>
      </c>
      <c r="X21" s="304" t="str">
        <f>IF(D15&gt;0,D15,"n/a")</f>
        <v>n/a</v>
      </c>
      <c r="Y21" s="1626">
        <f>G4*1.02</f>
        <v>1.224</v>
      </c>
      <c r="Z21" s="297" t="s">
        <v>1108</v>
      </c>
      <c r="AA21" s="371" t="str">
        <f>IF(I11="-","n/a",D11)</f>
        <v>n/a</v>
      </c>
      <c r="AB21" s="297" t="s">
        <v>2330</v>
      </c>
      <c r="AC21" s="295"/>
      <c r="BH21" s="1649">
        <f t="shared" si="61"/>
        <v>-34.5</v>
      </c>
      <c r="BI21" s="503">
        <v>100</v>
      </c>
      <c r="BJ21" s="1644">
        <f t="shared" si="0"/>
        <v>238.64999999999998</v>
      </c>
      <c r="BK21" s="1644">
        <f t="shared" si="1"/>
        <v>-19.69474139011049</v>
      </c>
      <c r="BL21" s="1644">
        <f t="shared" si="2"/>
        <v>22.855723114256882</v>
      </c>
      <c r="BM21" s="1644">
        <f t="shared" si="3"/>
        <v>2.3593747114415989E-2</v>
      </c>
      <c r="BN21" s="1644">
        <f t="shared" si="4"/>
        <v>2.3593747114415989E-2</v>
      </c>
      <c r="BO21" s="1644">
        <f t="shared" si="5"/>
        <v>1.4486313046425692E-4</v>
      </c>
      <c r="BP21" s="1644">
        <f t="shared" si="6"/>
        <v>1</v>
      </c>
      <c r="BQ21" s="1644">
        <f t="shared" si="7"/>
        <v>0.67636193656750643</v>
      </c>
      <c r="BR21" s="1648">
        <f t="shared" si="8"/>
        <v>-34.353718300000729</v>
      </c>
      <c r="BS21" s="521">
        <f t="shared" si="9"/>
        <v>-34.5</v>
      </c>
      <c r="BT21" s="522">
        <f t="shared" si="10"/>
        <v>1.4486313046425692E-4</v>
      </c>
      <c r="BV21" s="1647" t="str">
        <f t="shared" si="11"/>
        <v>n/a</v>
      </c>
      <c r="BW21" s="1671">
        <v>11</v>
      </c>
      <c r="BX21" s="1644" t="e">
        <f t="shared" si="12"/>
        <v>#VALUE!</v>
      </c>
      <c r="BY21" s="1644" t="e">
        <f t="shared" si="13"/>
        <v>#VALUE!</v>
      </c>
      <c r="BZ21" s="1644" t="e">
        <f t="shared" si="14"/>
        <v>#VALUE!</v>
      </c>
      <c r="CA21" s="1644" t="e">
        <f t="shared" si="15"/>
        <v>#VALUE!</v>
      </c>
      <c r="CB21" s="1644" t="e">
        <f t="shared" si="16"/>
        <v>#VALUE!</v>
      </c>
      <c r="CC21" s="1644" t="e">
        <f t="shared" si="17"/>
        <v>#VALUE!</v>
      </c>
      <c r="CD21" s="1644" t="e">
        <f t="shared" si="18"/>
        <v>#VALUE!</v>
      </c>
      <c r="CE21" s="1644" t="e">
        <f t="shared" si="19"/>
        <v>#VALUE!</v>
      </c>
      <c r="CF21" s="505" t="e">
        <f t="shared" si="20"/>
        <v>#VALUE!</v>
      </c>
      <c r="CG21" s="1648" t="e">
        <f t="shared" si="21"/>
        <v>#VALUE!</v>
      </c>
      <c r="CH21" s="521" t="e">
        <f t="shared" si="22"/>
        <v>#VALUE!</v>
      </c>
      <c r="CI21" s="522" t="e">
        <f t="shared" si="23"/>
        <v>#VALUE!</v>
      </c>
      <c r="CJ21" s="1672"/>
      <c r="CK21" s="1647" t="str">
        <f t="shared" si="24"/>
        <v>n/a</v>
      </c>
      <c r="CL21" s="1671">
        <v>11</v>
      </c>
      <c r="CM21" s="1644" t="e">
        <f t="shared" si="25"/>
        <v>#VALUE!</v>
      </c>
      <c r="CN21" s="1644" t="e">
        <f t="shared" si="26"/>
        <v>#VALUE!</v>
      </c>
      <c r="CO21" s="1644" t="e">
        <f t="shared" si="27"/>
        <v>#VALUE!</v>
      </c>
      <c r="CP21" s="1644" t="e">
        <f t="shared" si="28"/>
        <v>#VALUE!</v>
      </c>
      <c r="CQ21" s="1644" t="e">
        <f t="shared" si="29"/>
        <v>#VALUE!</v>
      </c>
      <c r="CR21" s="1644" t="e">
        <f t="shared" si="30"/>
        <v>#VALUE!</v>
      </c>
      <c r="CS21" s="1644" t="e">
        <f t="shared" si="31"/>
        <v>#VALUE!</v>
      </c>
      <c r="CT21" s="1644" t="e">
        <f t="shared" si="32"/>
        <v>#VALUE!</v>
      </c>
      <c r="CU21" s="505" t="e">
        <f t="shared" si="33"/>
        <v>#VALUE!</v>
      </c>
      <c r="CV21" s="1648" t="e">
        <f t="shared" si="34"/>
        <v>#VALUE!</v>
      </c>
      <c r="CW21" s="521" t="e">
        <f t="shared" si="35"/>
        <v>#VALUE!</v>
      </c>
      <c r="CX21" s="522" t="e">
        <f t="shared" si="36"/>
        <v>#VALUE!</v>
      </c>
      <c r="CZ21" s="1647" t="str">
        <f t="shared" si="62"/>
        <v>n/a</v>
      </c>
      <c r="DA21" s="1671">
        <v>11</v>
      </c>
      <c r="DB21" s="1644" t="e">
        <f t="shared" si="37"/>
        <v>#VALUE!</v>
      </c>
      <c r="DC21" s="1644" t="e">
        <f t="shared" si="38"/>
        <v>#VALUE!</v>
      </c>
      <c r="DD21" s="1644" t="e">
        <f t="shared" si="39"/>
        <v>#VALUE!</v>
      </c>
      <c r="DE21" s="1644" t="e">
        <f t="shared" si="40"/>
        <v>#VALUE!</v>
      </c>
      <c r="DF21" s="1644" t="e">
        <f t="shared" si="41"/>
        <v>#VALUE!</v>
      </c>
      <c r="DG21" s="1644" t="e">
        <f t="shared" si="42"/>
        <v>#VALUE!</v>
      </c>
      <c r="DH21" s="1644" t="e">
        <f t="shared" si="43"/>
        <v>#VALUE!</v>
      </c>
      <c r="DI21" s="1644" t="e">
        <f t="shared" si="44"/>
        <v>#VALUE!</v>
      </c>
      <c r="DJ21" s="505" t="e">
        <f t="shared" si="45"/>
        <v>#VALUE!</v>
      </c>
      <c r="DK21" s="1648" t="e">
        <f t="shared" si="46"/>
        <v>#VALUE!</v>
      </c>
      <c r="DL21" s="521" t="e">
        <f t="shared" si="47"/>
        <v>#VALUE!</v>
      </c>
      <c r="DM21" s="522" t="e">
        <f t="shared" si="48"/>
        <v>#VALUE!</v>
      </c>
      <c r="DN21" s="1672"/>
      <c r="DO21" s="1647" t="str">
        <f t="shared" si="63"/>
        <v>n/a</v>
      </c>
      <c r="DP21" s="1671">
        <v>11</v>
      </c>
      <c r="DQ21" s="1644" t="e">
        <f t="shared" si="49"/>
        <v>#VALUE!</v>
      </c>
      <c r="DR21" s="1644" t="e">
        <f t="shared" si="50"/>
        <v>#VALUE!</v>
      </c>
      <c r="DS21" s="1644" t="e">
        <f t="shared" si="51"/>
        <v>#VALUE!</v>
      </c>
      <c r="DT21" s="1644" t="e">
        <f t="shared" si="52"/>
        <v>#VALUE!</v>
      </c>
      <c r="DU21" s="1644" t="e">
        <f t="shared" si="53"/>
        <v>#VALUE!</v>
      </c>
      <c r="DV21" s="1644" t="e">
        <f t="shared" si="54"/>
        <v>#VALUE!</v>
      </c>
      <c r="DW21" s="1644" t="e">
        <f t="shared" si="55"/>
        <v>#VALUE!</v>
      </c>
      <c r="DX21" s="1644" t="e">
        <f t="shared" si="56"/>
        <v>#VALUE!</v>
      </c>
      <c r="DY21" s="505" t="e">
        <f t="shared" si="57"/>
        <v>#VALUE!</v>
      </c>
      <c r="DZ21" s="1648" t="e">
        <f t="shared" si="58"/>
        <v>#VALUE!</v>
      </c>
      <c r="EA21" s="521" t="e">
        <f t="shared" si="59"/>
        <v>#VALUE!</v>
      </c>
      <c r="EB21" s="522" t="e">
        <f t="shared" si="60"/>
        <v>#VALUE!</v>
      </c>
    </row>
    <row r="22" spans="2:132" ht="12.75" customHeight="1">
      <c r="B22" s="1670" t="s">
        <v>2327</v>
      </c>
      <c r="C22" s="302"/>
      <c r="D22" s="302"/>
      <c r="E22" s="302"/>
      <c r="F22" s="2066" t="s">
        <v>2328</v>
      </c>
      <c r="G22" s="2067"/>
      <c r="M22" s="1684" t="s">
        <v>2360</v>
      </c>
      <c r="N22" s="376" t="s">
        <v>5</v>
      </c>
      <c r="O22" s="1663" t="str">
        <f>IF(O12="n/a","n/a",R21-(M21/O21/P21))</f>
        <v>n/a</v>
      </c>
      <c r="P22" s="374" t="s">
        <v>2315</v>
      </c>
      <c r="Q22" s="1677" t="str">
        <f>IF(O22="n/a","",IF(O22=O28,"&lt; "&amp;ROUNDUP(J8,1)&amp;"oC dew point of supply air",""))</f>
        <v/>
      </c>
      <c r="R22" s="1440"/>
      <c r="T22" s="295"/>
      <c r="V22" s="1683" t="s">
        <v>2361</v>
      </c>
      <c r="W22" s="1682" t="s">
        <v>5</v>
      </c>
      <c r="X22" s="1664" t="str">
        <f>IF(OR(V21="n/a",X21="n/a",AA21="n/a )"),"n/a",AA21-(V21/X21/Y21))</f>
        <v>n/a</v>
      </c>
      <c r="Y22" s="311" t="s">
        <v>2315</v>
      </c>
      <c r="Z22" s="1678" t="str">
        <f>IF(X22&lt;=J11,"&lt; "&amp;ROUNDUP(J11,1)&amp;"oC dew point of exhuast air","")</f>
        <v/>
      </c>
      <c r="AA22" s="1440"/>
      <c r="AB22" s="314"/>
      <c r="AC22" s="296"/>
      <c r="BH22" s="1649">
        <f t="shared" si="61"/>
        <v>-34</v>
      </c>
      <c r="BI22" s="503">
        <v>100</v>
      </c>
      <c r="BJ22" s="1644">
        <f t="shared" si="0"/>
        <v>239.14999999999998</v>
      </c>
      <c r="BK22" s="1644">
        <f t="shared" si="1"/>
        <v>-19.649867476866266</v>
      </c>
      <c r="BL22" s="1644">
        <f t="shared" si="2"/>
        <v>22.864737411010541</v>
      </c>
      <c r="BM22" s="1644">
        <f t="shared" si="3"/>
        <v>2.4900053053829484E-2</v>
      </c>
      <c r="BN22" s="1644">
        <f t="shared" si="4"/>
        <v>2.4900053053829484E-2</v>
      </c>
      <c r="BO22" s="1644">
        <f t="shared" si="5"/>
        <v>1.528856832967789E-4</v>
      </c>
      <c r="BP22" s="1644">
        <f t="shared" si="6"/>
        <v>1</v>
      </c>
      <c r="BQ22" s="1644">
        <f t="shared" si="7"/>
        <v>0.67778773529378555</v>
      </c>
      <c r="BR22" s="1648">
        <f t="shared" si="8"/>
        <v>-33.831015500458683</v>
      </c>
      <c r="BS22" s="521">
        <f t="shared" si="9"/>
        <v>-34</v>
      </c>
      <c r="BT22" s="522">
        <f t="shared" si="10"/>
        <v>1.528856832967789E-4</v>
      </c>
      <c r="BV22" s="1647" t="str">
        <f t="shared" si="11"/>
        <v>n/a</v>
      </c>
      <c r="BW22" s="1671">
        <v>12</v>
      </c>
      <c r="BX22" s="1644" t="e">
        <f t="shared" si="12"/>
        <v>#VALUE!</v>
      </c>
      <c r="BY22" s="1644" t="e">
        <f t="shared" si="13"/>
        <v>#VALUE!</v>
      </c>
      <c r="BZ22" s="1644" t="e">
        <f t="shared" si="14"/>
        <v>#VALUE!</v>
      </c>
      <c r="CA22" s="1644" t="e">
        <f t="shared" si="15"/>
        <v>#VALUE!</v>
      </c>
      <c r="CB22" s="1644" t="e">
        <f t="shared" si="16"/>
        <v>#VALUE!</v>
      </c>
      <c r="CC22" s="1644" t="e">
        <f t="shared" si="17"/>
        <v>#VALUE!</v>
      </c>
      <c r="CD22" s="1644" t="e">
        <f t="shared" si="18"/>
        <v>#VALUE!</v>
      </c>
      <c r="CE22" s="1644" t="e">
        <f t="shared" si="19"/>
        <v>#VALUE!</v>
      </c>
      <c r="CF22" s="505" t="e">
        <f t="shared" si="20"/>
        <v>#VALUE!</v>
      </c>
      <c r="CG22" s="1648" t="e">
        <f t="shared" si="21"/>
        <v>#VALUE!</v>
      </c>
      <c r="CH22" s="521" t="e">
        <f t="shared" si="22"/>
        <v>#VALUE!</v>
      </c>
      <c r="CI22" s="522" t="e">
        <f t="shared" si="23"/>
        <v>#VALUE!</v>
      </c>
      <c r="CJ22" s="1672"/>
      <c r="CK22" s="1647" t="str">
        <f t="shared" si="24"/>
        <v>n/a</v>
      </c>
      <c r="CL22" s="1671">
        <v>12</v>
      </c>
      <c r="CM22" s="1644" t="e">
        <f t="shared" si="25"/>
        <v>#VALUE!</v>
      </c>
      <c r="CN22" s="1644" t="e">
        <f t="shared" si="26"/>
        <v>#VALUE!</v>
      </c>
      <c r="CO22" s="1644" t="e">
        <f t="shared" si="27"/>
        <v>#VALUE!</v>
      </c>
      <c r="CP22" s="1644" t="e">
        <f t="shared" si="28"/>
        <v>#VALUE!</v>
      </c>
      <c r="CQ22" s="1644" t="e">
        <f t="shared" si="29"/>
        <v>#VALUE!</v>
      </c>
      <c r="CR22" s="1644" t="e">
        <f t="shared" si="30"/>
        <v>#VALUE!</v>
      </c>
      <c r="CS22" s="1644" t="e">
        <f t="shared" si="31"/>
        <v>#VALUE!</v>
      </c>
      <c r="CT22" s="1644" t="e">
        <f t="shared" si="32"/>
        <v>#VALUE!</v>
      </c>
      <c r="CU22" s="505" t="e">
        <f t="shared" si="33"/>
        <v>#VALUE!</v>
      </c>
      <c r="CV22" s="1648" t="e">
        <f t="shared" si="34"/>
        <v>#VALUE!</v>
      </c>
      <c r="CW22" s="521" t="e">
        <f t="shared" si="35"/>
        <v>#VALUE!</v>
      </c>
      <c r="CX22" s="522" t="e">
        <f t="shared" si="36"/>
        <v>#VALUE!</v>
      </c>
      <c r="CZ22" s="1647" t="str">
        <f t="shared" si="62"/>
        <v>n/a</v>
      </c>
      <c r="DA22" s="1671">
        <v>12</v>
      </c>
      <c r="DB22" s="1644" t="e">
        <f t="shared" si="37"/>
        <v>#VALUE!</v>
      </c>
      <c r="DC22" s="1644" t="e">
        <f t="shared" si="38"/>
        <v>#VALUE!</v>
      </c>
      <c r="DD22" s="1644" t="e">
        <f t="shared" si="39"/>
        <v>#VALUE!</v>
      </c>
      <c r="DE22" s="1644" t="e">
        <f t="shared" si="40"/>
        <v>#VALUE!</v>
      </c>
      <c r="DF22" s="1644" t="e">
        <f t="shared" si="41"/>
        <v>#VALUE!</v>
      </c>
      <c r="DG22" s="1644" t="e">
        <f t="shared" si="42"/>
        <v>#VALUE!</v>
      </c>
      <c r="DH22" s="1644" t="e">
        <f t="shared" si="43"/>
        <v>#VALUE!</v>
      </c>
      <c r="DI22" s="1644" t="e">
        <f t="shared" si="44"/>
        <v>#VALUE!</v>
      </c>
      <c r="DJ22" s="505" t="e">
        <f t="shared" si="45"/>
        <v>#VALUE!</v>
      </c>
      <c r="DK22" s="1648" t="e">
        <f t="shared" si="46"/>
        <v>#VALUE!</v>
      </c>
      <c r="DL22" s="521" t="e">
        <f t="shared" si="47"/>
        <v>#VALUE!</v>
      </c>
      <c r="DM22" s="522" t="e">
        <f t="shared" si="48"/>
        <v>#VALUE!</v>
      </c>
      <c r="DN22" s="1672"/>
      <c r="DO22" s="1647" t="str">
        <f t="shared" si="63"/>
        <v>n/a</v>
      </c>
      <c r="DP22" s="1671">
        <v>12</v>
      </c>
      <c r="DQ22" s="1644" t="e">
        <f t="shared" si="49"/>
        <v>#VALUE!</v>
      </c>
      <c r="DR22" s="1644" t="e">
        <f t="shared" si="50"/>
        <v>#VALUE!</v>
      </c>
      <c r="DS22" s="1644" t="e">
        <f t="shared" si="51"/>
        <v>#VALUE!</v>
      </c>
      <c r="DT22" s="1644" t="e">
        <f t="shared" si="52"/>
        <v>#VALUE!</v>
      </c>
      <c r="DU22" s="1644" t="e">
        <f t="shared" si="53"/>
        <v>#VALUE!</v>
      </c>
      <c r="DV22" s="1644" t="e">
        <f t="shared" si="54"/>
        <v>#VALUE!</v>
      </c>
      <c r="DW22" s="1644" t="e">
        <f t="shared" si="55"/>
        <v>#VALUE!</v>
      </c>
      <c r="DX22" s="1644" t="e">
        <f t="shared" si="56"/>
        <v>#VALUE!</v>
      </c>
      <c r="DY22" s="505" t="e">
        <f t="shared" si="57"/>
        <v>#VALUE!</v>
      </c>
      <c r="DZ22" s="1648" t="e">
        <f t="shared" si="58"/>
        <v>#VALUE!</v>
      </c>
      <c r="EA22" s="521" t="e">
        <f t="shared" si="59"/>
        <v>#VALUE!</v>
      </c>
      <c r="EB22" s="522" t="e">
        <f t="shared" si="60"/>
        <v>#VALUE!</v>
      </c>
    </row>
    <row r="23" spans="2:132">
      <c r="B23" s="1654" t="str">
        <f>IF(I8="-","-",ROUND(D8,1)&amp;"/ "&amp;ROUND(BF4,1))</f>
        <v>-</v>
      </c>
      <c r="D23" s="2063" t="s">
        <v>2333</v>
      </c>
      <c r="F23" s="2068" t="str">
        <f>IF(O22="n/a","-",ROUND(O22,1)&amp;"/ "&amp;ROUND(O28,1))</f>
        <v>-</v>
      </c>
      <c r="G23" s="2069"/>
      <c r="H23" s="2081" t="str">
        <f>IF(O22="n/a","",IF(O22-O28&lt;=0.1,"**Condensation occurs at supply outlet",""))</f>
        <v/>
      </c>
      <c r="I23" s="2082"/>
      <c r="M23" s="1224" t="s">
        <v>2352</v>
      </c>
      <c r="N23" s="298"/>
      <c r="O23" s="302"/>
      <c r="P23" s="302"/>
      <c r="Q23" s="302"/>
      <c r="R23" s="302"/>
      <c r="S23" s="302"/>
      <c r="T23" s="320"/>
      <c r="V23" s="1627" t="s">
        <v>2356</v>
      </c>
      <c r="AB23" s="317"/>
      <c r="AC23" s="701"/>
      <c r="BH23" s="1649">
        <f t="shared" si="61"/>
        <v>-33.5</v>
      </c>
      <c r="BI23" s="503">
        <v>100</v>
      </c>
      <c r="BJ23" s="1644">
        <f t="shared" si="0"/>
        <v>239.64999999999998</v>
      </c>
      <c r="BK23" s="1644">
        <f t="shared" si="1"/>
        <v>-19.605201002949165</v>
      </c>
      <c r="BL23" s="1644">
        <f t="shared" si="2"/>
        <v>22.873734400914898</v>
      </c>
      <c r="BM23" s="1644">
        <f t="shared" si="3"/>
        <v>2.6272779362445549E-2</v>
      </c>
      <c r="BN23" s="1644">
        <f t="shared" si="4"/>
        <v>2.6272779362445549E-2</v>
      </c>
      <c r="BO23" s="1644">
        <f t="shared" si="5"/>
        <v>1.6131637342551631E-4</v>
      </c>
      <c r="BP23" s="1644">
        <f t="shared" si="6"/>
        <v>1</v>
      </c>
      <c r="BQ23" s="1644">
        <f t="shared" si="7"/>
        <v>0.67921401615466481</v>
      </c>
      <c r="BR23" s="1648">
        <f t="shared" si="8"/>
        <v>-33.307302147872889</v>
      </c>
      <c r="BS23" s="521">
        <f t="shared" si="9"/>
        <v>-33.5</v>
      </c>
      <c r="BT23" s="522">
        <f t="shared" si="10"/>
        <v>1.6131637342551631E-4</v>
      </c>
      <c r="BV23" s="1647" t="str">
        <f t="shared" si="11"/>
        <v>n/a</v>
      </c>
      <c r="BW23" s="1671">
        <v>13</v>
      </c>
      <c r="BX23" s="1644" t="e">
        <f t="shared" si="12"/>
        <v>#VALUE!</v>
      </c>
      <c r="BY23" s="1644" t="e">
        <f t="shared" si="13"/>
        <v>#VALUE!</v>
      </c>
      <c r="BZ23" s="1644" t="e">
        <f t="shared" si="14"/>
        <v>#VALUE!</v>
      </c>
      <c r="CA23" s="1644" t="e">
        <f t="shared" si="15"/>
        <v>#VALUE!</v>
      </c>
      <c r="CB23" s="1644" t="e">
        <f t="shared" si="16"/>
        <v>#VALUE!</v>
      </c>
      <c r="CC23" s="1644" t="e">
        <f t="shared" si="17"/>
        <v>#VALUE!</v>
      </c>
      <c r="CD23" s="1644" t="e">
        <f t="shared" si="18"/>
        <v>#VALUE!</v>
      </c>
      <c r="CE23" s="1644" t="e">
        <f t="shared" si="19"/>
        <v>#VALUE!</v>
      </c>
      <c r="CF23" s="505" t="e">
        <f t="shared" si="20"/>
        <v>#VALUE!</v>
      </c>
      <c r="CG23" s="1648" t="e">
        <f t="shared" si="21"/>
        <v>#VALUE!</v>
      </c>
      <c r="CH23" s="521" t="e">
        <f t="shared" si="22"/>
        <v>#VALUE!</v>
      </c>
      <c r="CI23" s="522" t="e">
        <f t="shared" si="23"/>
        <v>#VALUE!</v>
      </c>
      <c r="CJ23" s="1672"/>
      <c r="CK23" s="1647" t="str">
        <f t="shared" si="24"/>
        <v>n/a</v>
      </c>
      <c r="CL23" s="1671">
        <v>13</v>
      </c>
      <c r="CM23" s="1644" t="e">
        <f t="shared" si="25"/>
        <v>#VALUE!</v>
      </c>
      <c r="CN23" s="1644" t="e">
        <f t="shared" si="26"/>
        <v>#VALUE!</v>
      </c>
      <c r="CO23" s="1644" t="e">
        <f t="shared" si="27"/>
        <v>#VALUE!</v>
      </c>
      <c r="CP23" s="1644" t="e">
        <f t="shared" si="28"/>
        <v>#VALUE!</v>
      </c>
      <c r="CQ23" s="1644" t="e">
        <f t="shared" si="29"/>
        <v>#VALUE!</v>
      </c>
      <c r="CR23" s="1644" t="e">
        <f t="shared" si="30"/>
        <v>#VALUE!</v>
      </c>
      <c r="CS23" s="1644" t="e">
        <f t="shared" si="31"/>
        <v>#VALUE!</v>
      </c>
      <c r="CT23" s="1644" t="e">
        <f t="shared" si="32"/>
        <v>#VALUE!</v>
      </c>
      <c r="CU23" s="505" t="e">
        <f t="shared" si="33"/>
        <v>#VALUE!</v>
      </c>
      <c r="CV23" s="1648" t="e">
        <f t="shared" si="34"/>
        <v>#VALUE!</v>
      </c>
      <c r="CW23" s="521" t="e">
        <f t="shared" si="35"/>
        <v>#VALUE!</v>
      </c>
      <c r="CX23" s="522" t="e">
        <f t="shared" si="36"/>
        <v>#VALUE!</v>
      </c>
      <c r="CZ23" s="1647" t="str">
        <f t="shared" si="62"/>
        <v>n/a</v>
      </c>
      <c r="DA23" s="1671">
        <v>13</v>
      </c>
      <c r="DB23" s="1644" t="e">
        <f t="shared" si="37"/>
        <v>#VALUE!</v>
      </c>
      <c r="DC23" s="1644" t="e">
        <f t="shared" si="38"/>
        <v>#VALUE!</v>
      </c>
      <c r="DD23" s="1644" t="e">
        <f t="shared" si="39"/>
        <v>#VALUE!</v>
      </c>
      <c r="DE23" s="1644" t="e">
        <f t="shared" si="40"/>
        <v>#VALUE!</v>
      </c>
      <c r="DF23" s="1644" t="e">
        <f t="shared" si="41"/>
        <v>#VALUE!</v>
      </c>
      <c r="DG23" s="1644" t="e">
        <f t="shared" si="42"/>
        <v>#VALUE!</v>
      </c>
      <c r="DH23" s="1644" t="e">
        <f t="shared" si="43"/>
        <v>#VALUE!</v>
      </c>
      <c r="DI23" s="1644" t="e">
        <f t="shared" si="44"/>
        <v>#VALUE!</v>
      </c>
      <c r="DJ23" s="505" t="e">
        <f t="shared" si="45"/>
        <v>#VALUE!</v>
      </c>
      <c r="DK23" s="1648" t="e">
        <f t="shared" si="46"/>
        <v>#VALUE!</v>
      </c>
      <c r="DL23" s="521" t="e">
        <f t="shared" si="47"/>
        <v>#VALUE!</v>
      </c>
      <c r="DM23" s="522" t="e">
        <f t="shared" si="48"/>
        <v>#VALUE!</v>
      </c>
      <c r="DN23" s="1672"/>
      <c r="DO23" s="1647" t="str">
        <f t="shared" si="63"/>
        <v>n/a</v>
      </c>
      <c r="DP23" s="1671">
        <v>13</v>
      </c>
      <c r="DQ23" s="1644" t="e">
        <f t="shared" si="49"/>
        <v>#VALUE!</v>
      </c>
      <c r="DR23" s="1644" t="e">
        <f t="shared" si="50"/>
        <v>#VALUE!</v>
      </c>
      <c r="DS23" s="1644" t="e">
        <f t="shared" si="51"/>
        <v>#VALUE!</v>
      </c>
      <c r="DT23" s="1644" t="e">
        <f t="shared" si="52"/>
        <v>#VALUE!</v>
      </c>
      <c r="DU23" s="1644" t="e">
        <f t="shared" si="53"/>
        <v>#VALUE!</v>
      </c>
      <c r="DV23" s="1644" t="e">
        <f t="shared" si="54"/>
        <v>#VALUE!</v>
      </c>
      <c r="DW23" s="1644" t="e">
        <f t="shared" si="55"/>
        <v>#VALUE!</v>
      </c>
      <c r="DX23" s="1644" t="e">
        <f t="shared" si="56"/>
        <v>#VALUE!</v>
      </c>
      <c r="DY23" s="505" t="e">
        <f t="shared" si="57"/>
        <v>#VALUE!</v>
      </c>
      <c r="DZ23" s="1648" t="e">
        <f t="shared" si="58"/>
        <v>#VALUE!</v>
      </c>
      <c r="EA23" s="521" t="e">
        <f t="shared" si="59"/>
        <v>#VALUE!</v>
      </c>
      <c r="EB23" s="522" t="e">
        <f t="shared" si="60"/>
        <v>#VALUE!</v>
      </c>
    </row>
    <row r="24" spans="2:132" ht="13.5" customHeight="1">
      <c r="B24" s="697" t="s">
        <v>2319</v>
      </c>
      <c r="C24" s="1641" t="s">
        <v>2321</v>
      </c>
      <c r="D24" s="2064"/>
      <c r="E24" s="1666" t="s">
        <v>2320</v>
      </c>
      <c r="F24" s="2070" t="s">
        <v>2305</v>
      </c>
      <c r="G24" s="2071"/>
      <c r="H24" s="2081"/>
      <c r="I24" s="2082"/>
      <c r="M24" s="697" t="s">
        <v>2292</v>
      </c>
      <c r="N24" s="297" t="s">
        <v>5</v>
      </c>
      <c r="O24" s="297" t="s">
        <v>2289</v>
      </c>
      <c r="P24" s="297" t="s">
        <v>137</v>
      </c>
      <c r="Q24" s="297" t="s">
        <v>1108</v>
      </c>
      <c r="R24" s="297" t="s">
        <v>2297</v>
      </c>
      <c r="S24" s="297" t="s">
        <v>2306</v>
      </c>
      <c r="T24" s="295"/>
      <c r="V24" s="1683" t="s">
        <v>2362</v>
      </c>
      <c r="W24" s="1682" t="s">
        <v>5</v>
      </c>
      <c r="X24" s="1664" t="str">
        <f>IF(OR(X22&lt;=J11,X22="n/a"),"n/a",CV8)</f>
        <v>n/a</v>
      </c>
      <c r="Y24" s="311" t="s">
        <v>2315</v>
      </c>
      <c r="Z24" s="1653" t="str">
        <f>IF(X24="n/a","","Exhaust moisture content unchanged")</f>
        <v/>
      </c>
      <c r="AA24" s="1662"/>
      <c r="AB24" s="314"/>
      <c r="AC24" s="296"/>
      <c r="BH24" s="1649">
        <f t="shared" si="61"/>
        <v>-33</v>
      </c>
      <c r="BI24" s="503">
        <v>100</v>
      </c>
      <c r="BJ24" s="1644">
        <f t="shared" si="0"/>
        <v>240.14999999999998</v>
      </c>
      <c r="BK24" s="1644">
        <f t="shared" si="1"/>
        <v>-19.560740672673198</v>
      </c>
      <c r="BL24" s="1644">
        <f t="shared" si="2"/>
        <v>22.882714160707753</v>
      </c>
      <c r="BM24" s="1644">
        <f t="shared" si="3"/>
        <v>2.7714991828587842E-2</v>
      </c>
      <c r="BN24" s="1644">
        <f t="shared" si="4"/>
        <v>2.7714991828587842E-2</v>
      </c>
      <c r="BO24" s="1644">
        <f t="shared" si="5"/>
        <v>1.7017406356107669E-4</v>
      </c>
      <c r="BP24" s="1644">
        <f t="shared" si="6"/>
        <v>1</v>
      </c>
      <c r="BQ24" s="1644">
        <f t="shared" si="7"/>
        <v>0.68064080257559323</v>
      </c>
      <c r="BR24" s="1648">
        <f t="shared" si="8"/>
        <v>-32.782531085129762</v>
      </c>
      <c r="BS24" s="521">
        <f t="shared" si="9"/>
        <v>-33</v>
      </c>
      <c r="BT24" s="522">
        <f t="shared" si="10"/>
        <v>1.7017406356107669E-4</v>
      </c>
      <c r="BV24" s="1647" t="str">
        <f t="shared" si="11"/>
        <v>n/a</v>
      </c>
      <c r="BW24" s="1671">
        <v>14</v>
      </c>
      <c r="BX24" s="1644" t="e">
        <f t="shared" si="12"/>
        <v>#VALUE!</v>
      </c>
      <c r="BY24" s="1644" t="e">
        <f t="shared" si="13"/>
        <v>#VALUE!</v>
      </c>
      <c r="BZ24" s="1644" t="e">
        <f t="shared" si="14"/>
        <v>#VALUE!</v>
      </c>
      <c r="CA24" s="1644" t="e">
        <f t="shared" si="15"/>
        <v>#VALUE!</v>
      </c>
      <c r="CB24" s="1644" t="e">
        <f t="shared" si="16"/>
        <v>#VALUE!</v>
      </c>
      <c r="CC24" s="1644" t="e">
        <f t="shared" si="17"/>
        <v>#VALUE!</v>
      </c>
      <c r="CD24" s="1644" t="e">
        <f t="shared" si="18"/>
        <v>#VALUE!</v>
      </c>
      <c r="CE24" s="1644" t="e">
        <f t="shared" si="19"/>
        <v>#VALUE!</v>
      </c>
      <c r="CF24" s="505" t="e">
        <f t="shared" si="20"/>
        <v>#VALUE!</v>
      </c>
      <c r="CG24" s="1648" t="e">
        <f t="shared" si="21"/>
        <v>#VALUE!</v>
      </c>
      <c r="CH24" s="521" t="e">
        <f t="shared" si="22"/>
        <v>#VALUE!</v>
      </c>
      <c r="CI24" s="522" t="e">
        <f t="shared" si="23"/>
        <v>#VALUE!</v>
      </c>
      <c r="CJ24" s="1672"/>
      <c r="CK24" s="1647" t="str">
        <f t="shared" si="24"/>
        <v>n/a</v>
      </c>
      <c r="CL24" s="1671">
        <v>14</v>
      </c>
      <c r="CM24" s="1644" t="e">
        <f t="shared" si="25"/>
        <v>#VALUE!</v>
      </c>
      <c r="CN24" s="1644" t="e">
        <f t="shared" si="26"/>
        <v>#VALUE!</v>
      </c>
      <c r="CO24" s="1644" t="e">
        <f t="shared" si="27"/>
        <v>#VALUE!</v>
      </c>
      <c r="CP24" s="1644" t="e">
        <f t="shared" si="28"/>
        <v>#VALUE!</v>
      </c>
      <c r="CQ24" s="1644" t="e">
        <f t="shared" si="29"/>
        <v>#VALUE!</v>
      </c>
      <c r="CR24" s="1644" t="e">
        <f t="shared" si="30"/>
        <v>#VALUE!</v>
      </c>
      <c r="CS24" s="1644" t="e">
        <f t="shared" si="31"/>
        <v>#VALUE!</v>
      </c>
      <c r="CT24" s="1644" t="e">
        <f t="shared" si="32"/>
        <v>#VALUE!</v>
      </c>
      <c r="CU24" s="505" t="e">
        <f t="shared" si="33"/>
        <v>#VALUE!</v>
      </c>
      <c r="CV24" s="1648" t="e">
        <f t="shared" si="34"/>
        <v>#VALUE!</v>
      </c>
      <c r="CW24" s="521" t="e">
        <f t="shared" si="35"/>
        <v>#VALUE!</v>
      </c>
      <c r="CX24" s="522" t="e">
        <f t="shared" si="36"/>
        <v>#VALUE!</v>
      </c>
      <c r="CZ24" s="1647" t="str">
        <f t="shared" si="62"/>
        <v>n/a</v>
      </c>
      <c r="DA24" s="1671">
        <v>14</v>
      </c>
      <c r="DB24" s="1644" t="e">
        <f t="shared" si="37"/>
        <v>#VALUE!</v>
      </c>
      <c r="DC24" s="1644" t="e">
        <f t="shared" si="38"/>
        <v>#VALUE!</v>
      </c>
      <c r="DD24" s="1644" t="e">
        <f t="shared" si="39"/>
        <v>#VALUE!</v>
      </c>
      <c r="DE24" s="1644" t="e">
        <f t="shared" si="40"/>
        <v>#VALUE!</v>
      </c>
      <c r="DF24" s="1644" t="e">
        <f t="shared" si="41"/>
        <v>#VALUE!</v>
      </c>
      <c r="DG24" s="1644" t="e">
        <f t="shared" si="42"/>
        <v>#VALUE!</v>
      </c>
      <c r="DH24" s="1644" t="e">
        <f t="shared" si="43"/>
        <v>#VALUE!</v>
      </c>
      <c r="DI24" s="1644" t="e">
        <f t="shared" si="44"/>
        <v>#VALUE!</v>
      </c>
      <c r="DJ24" s="505" t="e">
        <f t="shared" si="45"/>
        <v>#VALUE!</v>
      </c>
      <c r="DK24" s="1648" t="e">
        <f t="shared" si="46"/>
        <v>#VALUE!</v>
      </c>
      <c r="DL24" s="521" t="e">
        <f t="shared" si="47"/>
        <v>#VALUE!</v>
      </c>
      <c r="DM24" s="522" t="e">
        <f t="shared" si="48"/>
        <v>#VALUE!</v>
      </c>
      <c r="DN24" s="1672"/>
      <c r="DO24" s="1647" t="str">
        <f t="shared" si="63"/>
        <v>n/a</v>
      </c>
      <c r="DP24" s="1671">
        <v>14</v>
      </c>
      <c r="DQ24" s="1644" t="e">
        <f t="shared" si="49"/>
        <v>#VALUE!</v>
      </c>
      <c r="DR24" s="1644" t="e">
        <f t="shared" si="50"/>
        <v>#VALUE!</v>
      </c>
      <c r="DS24" s="1644" t="e">
        <f t="shared" si="51"/>
        <v>#VALUE!</v>
      </c>
      <c r="DT24" s="1644" t="e">
        <f t="shared" si="52"/>
        <v>#VALUE!</v>
      </c>
      <c r="DU24" s="1644" t="e">
        <f t="shared" si="53"/>
        <v>#VALUE!</v>
      </c>
      <c r="DV24" s="1644" t="e">
        <f t="shared" si="54"/>
        <v>#VALUE!</v>
      </c>
      <c r="DW24" s="1644" t="e">
        <f t="shared" si="55"/>
        <v>#VALUE!</v>
      </c>
      <c r="DX24" s="1644" t="e">
        <f t="shared" si="56"/>
        <v>#VALUE!</v>
      </c>
      <c r="DY24" s="505" t="e">
        <f t="shared" si="57"/>
        <v>#VALUE!</v>
      </c>
      <c r="DZ24" s="1648" t="e">
        <f t="shared" si="58"/>
        <v>#VALUE!</v>
      </c>
      <c r="EA24" s="521" t="e">
        <f t="shared" si="59"/>
        <v>#VALUE!</v>
      </c>
      <c r="EB24" s="522" t="e">
        <f t="shared" si="60"/>
        <v>#VALUE!</v>
      </c>
    </row>
    <row r="25" spans="2:132" ht="12.75" customHeight="1">
      <c r="B25" s="697"/>
      <c r="C25" s="297"/>
      <c r="D25" s="2064"/>
      <c r="E25" s="297"/>
      <c r="F25" s="297"/>
      <c r="G25" s="295"/>
      <c r="H25" s="2081"/>
      <c r="I25" s="2082"/>
      <c r="M25" s="706" t="str">
        <f>O8</f>
        <v>n/a</v>
      </c>
      <c r="N25" s="297" t="s">
        <v>5</v>
      </c>
      <c r="O25" s="304" t="str">
        <f>IF(D14&gt;0,D14,"n/a")</f>
        <v>n/a</v>
      </c>
      <c r="P25" s="1626">
        <f>G4*1.02</f>
        <v>1.224</v>
      </c>
      <c r="Q25" s="297" t="s">
        <v>1108</v>
      </c>
      <c r="R25" s="308" t="str">
        <f>IF(I8="-","n/a",I8)</f>
        <v>n/a</v>
      </c>
      <c r="S25" s="297" t="s">
        <v>2306</v>
      </c>
      <c r="T25" s="295"/>
      <c r="V25" s="2072" t="str">
        <f>IF(X22&lt;=J11,"**Condensation occurs; exhaust temperature to be determined by saturated enthaply","")</f>
        <v/>
      </c>
      <c r="W25" s="2073"/>
      <c r="X25" s="2073"/>
      <c r="Y25" s="2073"/>
      <c r="Z25" s="2073"/>
      <c r="AA25" s="2073"/>
      <c r="AB25" s="2073"/>
      <c r="AC25" s="2074"/>
      <c r="BH25" s="1649">
        <f t="shared" si="61"/>
        <v>-32.5</v>
      </c>
      <c r="BI25" s="503">
        <v>100</v>
      </c>
      <c r="BJ25" s="1644">
        <f t="shared" si="0"/>
        <v>240.64999999999998</v>
      </c>
      <c r="BK25" s="1644">
        <f t="shared" si="1"/>
        <v>-19.516485201120584</v>
      </c>
      <c r="BL25" s="1644">
        <f t="shared" si="2"/>
        <v>22.891676766652129</v>
      </c>
      <c r="BM25" s="1644">
        <f t="shared" si="3"/>
        <v>2.9229882682952662E-2</v>
      </c>
      <c r="BN25" s="1644">
        <f t="shared" si="4"/>
        <v>2.9229882682952662E-2</v>
      </c>
      <c r="BO25" s="1644">
        <f t="shared" si="5"/>
        <v>1.794783968776487E-4</v>
      </c>
      <c r="BP25" s="1644">
        <f t="shared" si="6"/>
        <v>1</v>
      </c>
      <c r="BQ25" s="1644">
        <f t="shared" si="7"/>
        <v>0.68206811900951569</v>
      </c>
      <c r="BR25" s="1648">
        <f t="shared" si="8"/>
        <v>-32.256653180865833</v>
      </c>
      <c r="BS25" s="521">
        <f t="shared" si="9"/>
        <v>-32.5</v>
      </c>
      <c r="BT25" s="522">
        <f t="shared" si="10"/>
        <v>1.794783968776487E-4</v>
      </c>
      <c r="BV25" s="1647" t="str">
        <f t="shared" si="11"/>
        <v>n/a</v>
      </c>
      <c r="BW25" s="1671">
        <v>15</v>
      </c>
      <c r="BX25" s="1644" t="e">
        <f t="shared" si="12"/>
        <v>#VALUE!</v>
      </c>
      <c r="BY25" s="1644" t="e">
        <f t="shared" si="13"/>
        <v>#VALUE!</v>
      </c>
      <c r="BZ25" s="1644" t="e">
        <f t="shared" si="14"/>
        <v>#VALUE!</v>
      </c>
      <c r="CA25" s="1644" t="e">
        <f t="shared" si="15"/>
        <v>#VALUE!</v>
      </c>
      <c r="CB25" s="1644" t="e">
        <f t="shared" si="16"/>
        <v>#VALUE!</v>
      </c>
      <c r="CC25" s="1644" t="e">
        <f t="shared" si="17"/>
        <v>#VALUE!</v>
      </c>
      <c r="CD25" s="1644" t="e">
        <f t="shared" si="18"/>
        <v>#VALUE!</v>
      </c>
      <c r="CE25" s="1644" t="e">
        <f t="shared" si="19"/>
        <v>#VALUE!</v>
      </c>
      <c r="CF25" s="505" t="e">
        <f t="shared" si="20"/>
        <v>#VALUE!</v>
      </c>
      <c r="CG25" s="1648" t="e">
        <f t="shared" si="21"/>
        <v>#VALUE!</v>
      </c>
      <c r="CH25" s="521" t="e">
        <f t="shared" si="22"/>
        <v>#VALUE!</v>
      </c>
      <c r="CI25" s="522" t="e">
        <f t="shared" si="23"/>
        <v>#VALUE!</v>
      </c>
      <c r="CJ25" s="1672"/>
      <c r="CK25" s="1647" t="str">
        <f t="shared" si="24"/>
        <v>n/a</v>
      </c>
      <c r="CL25" s="1671">
        <v>15</v>
      </c>
      <c r="CM25" s="1644" t="e">
        <f t="shared" si="25"/>
        <v>#VALUE!</v>
      </c>
      <c r="CN25" s="1644" t="e">
        <f t="shared" si="26"/>
        <v>#VALUE!</v>
      </c>
      <c r="CO25" s="1644" t="e">
        <f t="shared" si="27"/>
        <v>#VALUE!</v>
      </c>
      <c r="CP25" s="1644" t="e">
        <f t="shared" si="28"/>
        <v>#VALUE!</v>
      </c>
      <c r="CQ25" s="1644" t="e">
        <f t="shared" si="29"/>
        <v>#VALUE!</v>
      </c>
      <c r="CR25" s="1644" t="e">
        <f t="shared" si="30"/>
        <v>#VALUE!</v>
      </c>
      <c r="CS25" s="1644" t="e">
        <f t="shared" si="31"/>
        <v>#VALUE!</v>
      </c>
      <c r="CT25" s="1644" t="e">
        <f t="shared" si="32"/>
        <v>#VALUE!</v>
      </c>
      <c r="CU25" s="505" t="e">
        <f t="shared" si="33"/>
        <v>#VALUE!</v>
      </c>
      <c r="CV25" s="1648" t="e">
        <f t="shared" si="34"/>
        <v>#VALUE!</v>
      </c>
      <c r="CW25" s="521" t="e">
        <f t="shared" si="35"/>
        <v>#VALUE!</v>
      </c>
      <c r="CX25" s="522" t="e">
        <f t="shared" si="36"/>
        <v>#VALUE!</v>
      </c>
      <c r="CZ25" s="1647" t="str">
        <f t="shared" si="62"/>
        <v>n/a</v>
      </c>
      <c r="DA25" s="1671">
        <v>15</v>
      </c>
      <c r="DB25" s="1644" t="e">
        <f t="shared" si="37"/>
        <v>#VALUE!</v>
      </c>
      <c r="DC25" s="1644" t="e">
        <f t="shared" si="38"/>
        <v>#VALUE!</v>
      </c>
      <c r="DD25" s="1644" t="e">
        <f t="shared" si="39"/>
        <v>#VALUE!</v>
      </c>
      <c r="DE25" s="1644" t="e">
        <f t="shared" si="40"/>
        <v>#VALUE!</v>
      </c>
      <c r="DF25" s="1644" t="e">
        <f t="shared" si="41"/>
        <v>#VALUE!</v>
      </c>
      <c r="DG25" s="1644" t="e">
        <f t="shared" si="42"/>
        <v>#VALUE!</v>
      </c>
      <c r="DH25" s="1644" t="e">
        <f t="shared" si="43"/>
        <v>#VALUE!</v>
      </c>
      <c r="DI25" s="1644" t="e">
        <f t="shared" si="44"/>
        <v>#VALUE!</v>
      </c>
      <c r="DJ25" s="505" t="e">
        <f t="shared" si="45"/>
        <v>#VALUE!</v>
      </c>
      <c r="DK25" s="1648" t="e">
        <f t="shared" si="46"/>
        <v>#VALUE!</v>
      </c>
      <c r="DL25" s="521" t="e">
        <f t="shared" si="47"/>
        <v>#VALUE!</v>
      </c>
      <c r="DM25" s="522" t="e">
        <f t="shared" si="48"/>
        <v>#VALUE!</v>
      </c>
      <c r="DN25" s="1672"/>
      <c r="DO25" s="1647" t="str">
        <f t="shared" si="63"/>
        <v>n/a</v>
      </c>
      <c r="DP25" s="1671">
        <v>15</v>
      </c>
      <c r="DQ25" s="1644" t="e">
        <f t="shared" si="49"/>
        <v>#VALUE!</v>
      </c>
      <c r="DR25" s="1644" t="e">
        <f t="shared" si="50"/>
        <v>#VALUE!</v>
      </c>
      <c r="DS25" s="1644" t="e">
        <f t="shared" si="51"/>
        <v>#VALUE!</v>
      </c>
      <c r="DT25" s="1644" t="e">
        <f t="shared" si="52"/>
        <v>#VALUE!</v>
      </c>
      <c r="DU25" s="1644" t="e">
        <f t="shared" si="53"/>
        <v>#VALUE!</v>
      </c>
      <c r="DV25" s="1644" t="e">
        <f t="shared" si="54"/>
        <v>#VALUE!</v>
      </c>
      <c r="DW25" s="1644" t="e">
        <f t="shared" si="55"/>
        <v>#VALUE!</v>
      </c>
      <c r="DX25" s="1644" t="e">
        <f t="shared" si="56"/>
        <v>#VALUE!</v>
      </c>
      <c r="DY25" s="505" t="e">
        <f t="shared" si="57"/>
        <v>#VALUE!</v>
      </c>
      <c r="DZ25" s="1648" t="e">
        <f t="shared" si="58"/>
        <v>#VALUE!</v>
      </c>
      <c r="EA25" s="521" t="e">
        <f t="shared" si="59"/>
        <v>#VALUE!</v>
      </c>
      <c r="EB25" s="522" t="e">
        <f t="shared" si="60"/>
        <v>#VALUE!</v>
      </c>
    </row>
    <row r="26" spans="2:132" ht="13.5">
      <c r="B26" s="697"/>
      <c r="D26" s="2064"/>
      <c r="E26" s="297"/>
      <c r="F26" s="297"/>
      <c r="G26" s="295"/>
      <c r="M26" s="1683" t="s">
        <v>2359</v>
      </c>
      <c r="N26" s="1682" t="s">
        <v>5</v>
      </c>
      <c r="O26" s="1706" t="str">
        <f>IF(O8="n/a","n/a",R25-(M25/O25/P25))</f>
        <v>n/a</v>
      </c>
      <c r="P26" s="311" t="s">
        <v>136</v>
      </c>
      <c r="Q26" s="314"/>
      <c r="R26" s="314"/>
      <c r="S26" s="314"/>
      <c r="T26" s="296"/>
      <c r="V26" s="2075"/>
      <c r="W26" s="2076"/>
      <c r="X26" s="2076"/>
      <c r="Y26" s="2076"/>
      <c r="Z26" s="2076"/>
      <c r="AA26" s="2076"/>
      <c r="AB26" s="2076"/>
      <c r="AC26" s="2077"/>
      <c r="BH26" s="1649">
        <f t="shared" si="61"/>
        <v>-32</v>
      </c>
      <c r="BI26" s="503">
        <v>100</v>
      </c>
      <c r="BJ26" s="1644">
        <f t="shared" si="0"/>
        <v>241.14999999999998</v>
      </c>
      <c r="BK26" s="1644">
        <f t="shared" si="1"/>
        <v>-19.472433314030141</v>
      </c>
      <c r="BL26" s="1644">
        <f t="shared" si="2"/>
        <v>22.900622294540199</v>
      </c>
      <c r="BM26" s="1644">
        <f t="shared" si="3"/>
        <v>3.0820775151797205E-2</v>
      </c>
      <c r="BN26" s="1644">
        <f t="shared" si="4"/>
        <v>3.0820775151797205E-2</v>
      </c>
      <c r="BO26" s="1644">
        <f t="shared" si="5"/>
        <v>1.892498253661974E-4</v>
      </c>
      <c r="BP26" s="1644">
        <f t="shared" si="6"/>
        <v>1</v>
      </c>
      <c r="BQ26" s="1644">
        <f t="shared" si="7"/>
        <v>0.68349599097690961</v>
      </c>
      <c r="BR26" s="1648">
        <f t="shared" si="8"/>
        <v>-31.729617256672292</v>
      </c>
      <c r="BS26" s="521">
        <f t="shared" si="9"/>
        <v>-32</v>
      </c>
      <c r="BT26" s="522">
        <f t="shared" si="10"/>
        <v>1.892498253661974E-4</v>
      </c>
      <c r="BV26" s="1647" t="str">
        <f t="shared" si="11"/>
        <v>n/a</v>
      </c>
      <c r="BW26" s="1671">
        <v>16</v>
      </c>
      <c r="BX26" s="1644" t="e">
        <f t="shared" si="12"/>
        <v>#VALUE!</v>
      </c>
      <c r="BY26" s="1644" t="e">
        <f t="shared" si="13"/>
        <v>#VALUE!</v>
      </c>
      <c r="BZ26" s="1644" t="e">
        <f t="shared" si="14"/>
        <v>#VALUE!</v>
      </c>
      <c r="CA26" s="1644" t="e">
        <f t="shared" si="15"/>
        <v>#VALUE!</v>
      </c>
      <c r="CB26" s="1644" t="e">
        <f t="shared" si="16"/>
        <v>#VALUE!</v>
      </c>
      <c r="CC26" s="1644" t="e">
        <f t="shared" si="17"/>
        <v>#VALUE!</v>
      </c>
      <c r="CD26" s="1644" t="e">
        <f t="shared" si="18"/>
        <v>#VALUE!</v>
      </c>
      <c r="CE26" s="1644" t="e">
        <f t="shared" si="19"/>
        <v>#VALUE!</v>
      </c>
      <c r="CF26" s="505" t="e">
        <f t="shared" si="20"/>
        <v>#VALUE!</v>
      </c>
      <c r="CG26" s="1648" t="e">
        <f t="shared" si="21"/>
        <v>#VALUE!</v>
      </c>
      <c r="CH26" s="521" t="e">
        <f t="shared" si="22"/>
        <v>#VALUE!</v>
      </c>
      <c r="CI26" s="522" t="e">
        <f t="shared" si="23"/>
        <v>#VALUE!</v>
      </c>
      <c r="CJ26" s="1672"/>
      <c r="CK26" s="1647" t="str">
        <f t="shared" si="24"/>
        <v>n/a</v>
      </c>
      <c r="CL26" s="1671">
        <v>16</v>
      </c>
      <c r="CM26" s="1644" t="e">
        <f t="shared" si="25"/>
        <v>#VALUE!</v>
      </c>
      <c r="CN26" s="1644" t="e">
        <f t="shared" si="26"/>
        <v>#VALUE!</v>
      </c>
      <c r="CO26" s="1644" t="e">
        <f t="shared" si="27"/>
        <v>#VALUE!</v>
      </c>
      <c r="CP26" s="1644" t="e">
        <f t="shared" si="28"/>
        <v>#VALUE!</v>
      </c>
      <c r="CQ26" s="1644" t="e">
        <f t="shared" si="29"/>
        <v>#VALUE!</v>
      </c>
      <c r="CR26" s="1644" t="e">
        <f t="shared" si="30"/>
        <v>#VALUE!</v>
      </c>
      <c r="CS26" s="1644" t="e">
        <f t="shared" si="31"/>
        <v>#VALUE!</v>
      </c>
      <c r="CT26" s="1644" t="e">
        <f t="shared" si="32"/>
        <v>#VALUE!</v>
      </c>
      <c r="CU26" s="505" t="e">
        <f t="shared" si="33"/>
        <v>#VALUE!</v>
      </c>
      <c r="CV26" s="1648" t="e">
        <f t="shared" si="34"/>
        <v>#VALUE!</v>
      </c>
      <c r="CW26" s="521" t="e">
        <f t="shared" si="35"/>
        <v>#VALUE!</v>
      </c>
      <c r="CX26" s="522" t="e">
        <f t="shared" si="36"/>
        <v>#VALUE!</v>
      </c>
      <c r="CZ26" s="1647" t="str">
        <f t="shared" si="62"/>
        <v>n/a</v>
      </c>
      <c r="DA26" s="1671">
        <v>16</v>
      </c>
      <c r="DB26" s="1644" t="e">
        <f t="shared" si="37"/>
        <v>#VALUE!</v>
      </c>
      <c r="DC26" s="1644" t="e">
        <f t="shared" si="38"/>
        <v>#VALUE!</v>
      </c>
      <c r="DD26" s="1644" t="e">
        <f t="shared" si="39"/>
        <v>#VALUE!</v>
      </c>
      <c r="DE26" s="1644" t="e">
        <f t="shared" si="40"/>
        <v>#VALUE!</v>
      </c>
      <c r="DF26" s="1644" t="e">
        <f t="shared" si="41"/>
        <v>#VALUE!</v>
      </c>
      <c r="DG26" s="1644" t="e">
        <f t="shared" si="42"/>
        <v>#VALUE!</v>
      </c>
      <c r="DH26" s="1644" t="e">
        <f t="shared" si="43"/>
        <v>#VALUE!</v>
      </c>
      <c r="DI26" s="1644" t="e">
        <f t="shared" si="44"/>
        <v>#VALUE!</v>
      </c>
      <c r="DJ26" s="505" t="e">
        <f t="shared" si="45"/>
        <v>#VALUE!</v>
      </c>
      <c r="DK26" s="1648" t="e">
        <f t="shared" si="46"/>
        <v>#VALUE!</v>
      </c>
      <c r="DL26" s="521" t="e">
        <f t="shared" si="47"/>
        <v>#VALUE!</v>
      </c>
      <c r="DM26" s="522" t="e">
        <f t="shared" si="48"/>
        <v>#VALUE!</v>
      </c>
      <c r="DN26" s="1672"/>
      <c r="DO26" s="1647" t="str">
        <f t="shared" si="63"/>
        <v>n/a</v>
      </c>
      <c r="DP26" s="1671">
        <v>16</v>
      </c>
      <c r="DQ26" s="1644" t="e">
        <f t="shared" si="49"/>
        <v>#VALUE!</v>
      </c>
      <c r="DR26" s="1644" t="e">
        <f t="shared" si="50"/>
        <v>#VALUE!</v>
      </c>
      <c r="DS26" s="1644" t="e">
        <f t="shared" si="51"/>
        <v>#VALUE!</v>
      </c>
      <c r="DT26" s="1644" t="e">
        <f t="shared" si="52"/>
        <v>#VALUE!</v>
      </c>
      <c r="DU26" s="1644" t="e">
        <f t="shared" si="53"/>
        <v>#VALUE!</v>
      </c>
      <c r="DV26" s="1644" t="e">
        <f t="shared" si="54"/>
        <v>#VALUE!</v>
      </c>
      <c r="DW26" s="1644" t="e">
        <f t="shared" si="55"/>
        <v>#VALUE!</v>
      </c>
      <c r="DX26" s="1644" t="e">
        <f t="shared" si="56"/>
        <v>#VALUE!</v>
      </c>
      <c r="DY26" s="505" t="e">
        <f t="shared" si="57"/>
        <v>#VALUE!</v>
      </c>
      <c r="DZ26" s="1648" t="e">
        <f t="shared" si="58"/>
        <v>#VALUE!</v>
      </c>
      <c r="EA26" s="521" t="e">
        <f t="shared" si="59"/>
        <v>#VALUE!</v>
      </c>
      <c r="EB26" s="522" t="e">
        <f t="shared" si="60"/>
        <v>#VALUE!</v>
      </c>
    </row>
    <row r="27" spans="2:132" ht="15" customHeight="1">
      <c r="B27" s="697" t="s">
        <v>2324</v>
      </c>
      <c r="C27" s="1640" t="s">
        <v>2322</v>
      </c>
      <c r="D27" s="2064"/>
      <c r="E27" s="1665" t="s">
        <v>2322</v>
      </c>
      <c r="F27" s="2070" t="s">
        <v>2323</v>
      </c>
      <c r="G27" s="2071"/>
      <c r="M27" s="1627" t="s">
        <v>2356</v>
      </c>
      <c r="T27" s="295"/>
      <c r="BH27" s="1649">
        <f t="shared" si="61"/>
        <v>-31.5</v>
      </c>
      <c r="BI27" s="503">
        <v>100</v>
      </c>
      <c r="BJ27" s="1644">
        <f t="shared" si="0"/>
        <v>241.64999999999998</v>
      </c>
      <c r="BK27" s="1644">
        <f t="shared" si="1"/>
        <v>-19.428583747687018</v>
      </c>
      <c r="BL27" s="1644">
        <f t="shared" si="2"/>
        <v>22.909550819697181</v>
      </c>
      <c r="BM27" s="1644">
        <f t="shared" si="3"/>
        <v>3.2491128148060065E-2</v>
      </c>
      <c r="BN27" s="1644">
        <f t="shared" si="4"/>
        <v>3.2491128148060065E-2</v>
      </c>
      <c r="BO27" s="1644">
        <f t="shared" si="5"/>
        <v>1.9950963907012289E-4</v>
      </c>
      <c r="BP27" s="1644">
        <f t="shared" si="6"/>
        <v>1</v>
      </c>
      <c r="BQ27" s="1644">
        <f t="shared" si="7"/>
        <v>0.68492444510718087</v>
      </c>
      <c r="BR27" s="1648">
        <f t="shared" si="8"/>
        <v>-31.201370011989052</v>
      </c>
      <c r="BS27" s="521">
        <f t="shared" si="9"/>
        <v>-31.5</v>
      </c>
      <c r="BT27" s="522">
        <f t="shared" si="10"/>
        <v>1.9950963907012289E-4</v>
      </c>
      <c r="BV27" s="1647" t="str">
        <f t="shared" si="11"/>
        <v>n/a</v>
      </c>
      <c r="BW27" s="1671">
        <v>17</v>
      </c>
      <c r="BX27" s="1644" t="e">
        <f t="shared" si="12"/>
        <v>#VALUE!</v>
      </c>
      <c r="BY27" s="1644" t="e">
        <f t="shared" si="13"/>
        <v>#VALUE!</v>
      </c>
      <c r="BZ27" s="1644" t="e">
        <f t="shared" si="14"/>
        <v>#VALUE!</v>
      </c>
      <c r="CA27" s="1644" t="e">
        <f t="shared" si="15"/>
        <v>#VALUE!</v>
      </c>
      <c r="CB27" s="1644" t="e">
        <f t="shared" si="16"/>
        <v>#VALUE!</v>
      </c>
      <c r="CC27" s="1644" t="e">
        <f t="shared" si="17"/>
        <v>#VALUE!</v>
      </c>
      <c r="CD27" s="1644" t="e">
        <f t="shared" si="18"/>
        <v>#VALUE!</v>
      </c>
      <c r="CE27" s="1644" t="e">
        <f t="shared" si="19"/>
        <v>#VALUE!</v>
      </c>
      <c r="CF27" s="505" t="e">
        <f t="shared" si="20"/>
        <v>#VALUE!</v>
      </c>
      <c r="CG27" s="1648" t="e">
        <f t="shared" si="21"/>
        <v>#VALUE!</v>
      </c>
      <c r="CH27" s="521" t="e">
        <f t="shared" si="22"/>
        <v>#VALUE!</v>
      </c>
      <c r="CI27" s="522" t="e">
        <f t="shared" si="23"/>
        <v>#VALUE!</v>
      </c>
      <c r="CJ27" s="1672"/>
      <c r="CK27" s="1647" t="str">
        <f t="shared" si="24"/>
        <v>n/a</v>
      </c>
      <c r="CL27" s="1671">
        <v>17</v>
      </c>
      <c r="CM27" s="1644" t="e">
        <f t="shared" si="25"/>
        <v>#VALUE!</v>
      </c>
      <c r="CN27" s="1644" t="e">
        <f t="shared" si="26"/>
        <v>#VALUE!</v>
      </c>
      <c r="CO27" s="1644" t="e">
        <f t="shared" si="27"/>
        <v>#VALUE!</v>
      </c>
      <c r="CP27" s="1644" t="e">
        <f t="shared" si="28"/>
        <v>#VALUE!</v>
      </c>
      <c r="CQ27" s="1644" t="e">
        <f t="shared" si="29"/>
        <v>#VALUE!</v>
      </c>
      <c r="CR27" s="1644" t="e">
        <f t="shared" si="30"/>
        <v>#VALUE!</v>
      </c>
      <c r="CS27" s="1644" t="e">
        <f t="shared" si="31"/>
        <v>#VALUE!</v>
      </c>
      <c r="CT27" s="1644" t="e">
        <f t="shared" si="32"/>
        <v>#VALUE!</v>
      </c>
      <c r="CU27" s="505" t="e">
        <f t="shared" si="33"/>
        <v>#VALUE!</v>
      </c>
      <c r="CV27" s="1648" t="e">
        <f t="shared" si="34"/>
        <v>#VALUE!</v>
      </c>
      <c r="CW27" s="521" t="e">
        <f t="shared" si="35"/>
        <v>#VALUE!</v>
      </c>
      <c r="CX27" s="522" t="e">
        <f t="shared" si="36"/>
        <v>#VALUE!</v>
      </c>
      <c r="CZ27" s="1647" t="str">
        <f t="shared" si="62"/>
        <v>n/a</v>
      </c>
      <c r="DA27" s="1671">
        <v>17</v>
      </c>
      <c r="DB27" s="1644" t="e">
        <f t="shared" si="37"/>
        <v>#VALUE!</v>
      </c>
      <c r="DC27" s="1644" t="e">
        <f t="shared" si="38"/>
        <v>#VALUE!</v>
      </c>
      <c r="DD27" s="1644" t="e">
        <f t="shared" si="39"/>
        <v>#VALUE!</v>
      </c>
      <c r="DE27" s="1644" t="e">
        <f t="shared" si="40"/>
        <v>#VALUE!</v>
      </c>
      <c r="DF27" s="1644" t="e">
        <f t="shared" si="41"/>
        <v>#VALUE!</v>
      </c>
      <c r="DG27" s="1644" t="e">
        <f t="shared" si="42"/>
        <v>#VALUE!</v>
      </c>
      <c r="DH27" s="1644" t="e">
        <f t="shared" si="43"/>
        <v>#VALUE!</v>
      </c>
      <c r="DI27" s="1644" t="e">
        <f t="shared" si="44"/>
        <v>#VALUE!</v>
      </c>
      <c r="DJ27" s="505" t="e">
        <f t="shared" si="45"/>
        <v>#VALUE!</v>
      </c>
      <c r="DK27" s="1648" t="e">
        <f t="shared" si="46"/>
        <v>#VALUE!</v>
      </c>
      <c r="DL27" s="521" t="e">
        <f t="shared" si="47"/>
        <v>#VALUE!</v>
      </c>
      <c r="DM27" s="522" t="e">
        <f t="shared" si="48"/>
        <v>#VALUE!</v>
      </c>
      <c r="DN27" s="1672"/>
      <c r="DO27" s="1647" t="str">
        <f t="shared" si="63"/>
        <v>n/a</v>
      </c>
      <c r="DP27" s="1671">
        <v>17</v>
      </c>
      <c r="DQ27" s="1644" t="e">
        <f t="shared" si="49"/>
        <v>#VALUE!</v>
      </c>
      <c r="DR27" s="1644" t="e">
        <f t="shared" si="50"/>
        <v>#VALUE!</v>
      </c>
      <c r="DS27" s="1644" t="e">
        <f t="shared" si="51"/>
        <v>#VALUE!</v>
      </c>
      <c r="DT27" s="1644" t="e">
        <f t="shared" si="52"/>
        <v>#VALUE!</v>
      </c>
      <c r="DU27" s="1644" t="e">
        <f t="shared" si="53"/>
        <v>#VALUE!</v>
      </c>
      <c r="DV27" s="1644" t="e">
        <f t="shared" si="54"/>
        <v>#VALUE!</v>
      </c>
      <c r="DW27" s="1644" t="e">
        <f t="shared" si="55"/>
        <v>#VALUE!</v>
      </c>
      <c r="DX27" s="1644" t="e">
        <f t="shared" si="56"/>
        <v>#VALUE!</v>
      </c>
      <c r="DY27" s="505" t="e">
        <f t="shared" si="57"/>
        <v>#VALUE!</v>
      </c>
      <c r="DZ27" s="1648" t="e">
        <f t="shared" si="58"/>
        <v>#VALUE!</v>
      </c>
      <c r="EA27" s="521" t="e">
        <f t="shared" si="59"/>
        <v>#VALUE!</v>
      </c>
      <c r="EB27" s="522" t="e">
        <f t="shared" si="60"/>
        <v>#VALUE!</v>
      </c>
    </row>
    <row r="28" spans="2:132" ht="13.5">
      <c r="B28" s="1654" t="str">
        <f>IF(O34="n/a","-",ROUND(O34,1)&amp;"/ "&amp;ROUND(O40,1))</f>
        <v>-</v>
      </c>
      <c r="C28" s="317"/>
      <c r="D28" s="2065"/>
      <c r="E28" s="317"/>
      <c r="F28" s="2068" t="str">
        <f>IF(I10="-","-",ROUND(D10,1)&amp;"/ "&amp;ROUND(BF10,1))</f>
        <v>-</v>
      </c>
      <c r="G28" s="2069"/>
      <c r="J28" s="1707"/>
      <c r="M28" s="1683" t="s">
        <v>2358</v>
      </c>
      <c r="N28" s="1682" t="s">
        <v>5</v>
      </c>
      <c r="O28" s="1664" t="str">
        <f>IF(AND(O8="n/a",O12="n/a"),"n/a",DK8)</f>
        <v>n/a</v>
      </c>
      <c r="P28" s="311" t="s">
        <v>2315</v>
      </c>
      <c r="Q28" s="1653" t="str">
        <f>IF(AF1=1,"Supply moisture content unchanged","")</f>
        <v/>
      </c>
      <c r="R28" s="1662"/>
      <c r="S28" s="314"/>
      <c r="T28" s="296"/>
      <c r="V28" s="1224" t="s">
        <v>2308</v>
      </c>
      <c r="W28" s="1384"/>
      <c r="X28" s="1384"/>
      <c r="Y28" s="1384"/>
      <c r="Z28" s="1384"/>
      <c r="AA28" s="1384"/>
      <c r="AB28" s="1384"/>
      <c r="AC28" s="1385"/>
      <c r="BH28" s="1649">
        <f t="shared" si="61"/>
        <v>-31</v>
      </c>
      <c r="BI28" s="503">
        <v>100</v>
      </c>
      <c r="BJ28" s="1644">
        <f t="shared" si="0"/>
        <v>242.14999999999998</v>
      </c>
      <c r="BK28" s="1644">
        <f t="shared" si="1"/>
        <v>-19.384935248813825</v>
      </c>
      <c r="BL28" s="1644">
        <f t="shared" si="2"/>
        <v>22.918462416985179</v>
      </c>
      <c r="BM28" s="1644">
        <f t="shared" si="3"/>
        <v>3.4244541103687978E-2</v>
      </c>
      <c r="BN28" s="1644">
        <f t="shared" si="4"/>
        <v>3.4244541103687978E-2</v>
      </c>
      <c r="BO28" s="1644">
        <f t="shared" si="5"/>
        <v>2.1027999622645849E-4</v>
      </c>
      <c r="BP28" s="1644">
        <f t="shared" si="6"/>
        <v>1</v>
      </c>
      <c r="BQ28" s="1644">
        <f t="shared" si="7"/>
        <v>0.6863535091814601</v>
      </c>
      <c r="BR28" s="1648">
        <f t="shared" si="8"/>
        <v>-30.671855946626479</v>
      </c>
      <c r="BS28" s="521">
        <f t="shared" si="9"/>
        <v>-31</v>
      </c>
      <c r="BT28" s="522">
        <f t="shared" si="10"/>
        <v>2.1027999622645849E-4</v>
      </c>
      <c r="BV28" s="1647" t="str">
        <f t="shared" si="11"/>
        <v>n/a</v>
      </c>
      <c r="BW28" s="1671">
        <v>18</v>
      </c>
      <c r="BX28" s="1644" t="e">
        <f t="shared" si="12"/>
        <v>#VALUE!</v>
      </c>
      <c r="BY28" s="1644" t="e">
        <f t="shared" si="13"/>
        <v>#VALUE!</v>
      </c>
      <c r="BZ28" s="1644" t="e">
        <f t="shared" si="14"/>
        <v>#VALUE!</v>
      </c>
      <c r="CA28" s="1644" t="e">
        <f t="shared" si="15"/>
        <v>#VALUE!</v>
      </c>
      <c r="CB28" s="1644" t="e">
        <f t="shared" si="16"/>
        <v>#VALUE!</v>
      </c>
      <c r="CC28" s="1644" t="e">
        <f t="shared" si="17"/>
        <v>#VALUE!</v>
      </c>
      <c r="CD28" s="1644" t="e">
        <f t="shared" si="18"/>
        <v>#VALUE!</v>
      </c>
      <c r="CE28" s="1644" t="e">
        <f t="shared" si="19"/>
        <v>#VALUE!</v>
      </c>
      <c r="CF28" s="505" t="e">
        <f t="shared" si="20"/>
        <v>#VALUE!</v>
      </c>
      <c r="CG28" s="1648" t="e">
        <f t="shared" si="21"/>
        <v>#VALUE!</v>
      </c>
      <c r="CH28" s="521" t="e">
        <f t="shared" si="22"/>
        <v>#VALUE!</v>
      </c>
      <c r="CI28" s="522" t="e">
        <f t="shared" si="23"/>
        <v>#VALUE!</v>
      </c>
      <c r="CJ28" s="1672"/>
      <c r="CK28" s="1647" t="str">
        <f t="shared" si="24"/>
        <v>n/a</v>
      </c>
      <c r="CL28" s="1671">
        <v>18</v>
      </c>
      <c r="CM28" s="1644" t="e">
        <f t="shared" si="25"/>
        <v>#VALUE!</v>
      </c>
      <c r="CN28" s="1644" t="e">
        <f t="shared" si="26"/>
        <v>#VALUE!</v>
      </c>
      <c r="CO28" s="1644" t="e">
        <f t="shared" si="27"/>
        <v>#VALUE!</v>
      </c>
      <c r="CP28" s="1644" t="e">
        <f t="shared" si="28"/>
        <v>#VALUE!</v>
      </c>
      <c r="CQ28" s="1644" t="e">
        <f t="shared" si="29"/>
        <v>#VALUE!</v>
      </c>
      <c r="CR28" s="1644" t="e">
        <f t="shared" si="30"/>
        <v>#VALUE!</v>
      </c>
      <c r="CS28" s="1644" t="e">
        <f t="shared" si="31"/>
        <v>#VALUE!</v>
      </c>
      <c r="CT28" s="1644" t="e">
        <f t="shared" si="32"/>
        <v>#VALUE!</v>
      </c>
      <c r="CU28" s="505" t="e">
        <f t="shared" si="33"/>
        <v>#VALUE!</v>
      </c>
      <c r="CV28" s="1648" t="e">
        <f t="shared" si="34"/>
        <v>#VALUE!</v>
      </c>
      <c r="CW28" s="521" t="e">
        <f t="shared" si="35"/>
        <v>#VALUE!</v>
      </c>
      <c r="CX28" s="522" t="e">
        <f t="shared" si="36"/>
        <v>#VALUE!</v>
      </c>
      <c r="CZ28" s="1647" t="str">
        <f t="shared" si="62"/>
        <v>n/a</v>
      </c>
      <c r="DA28" s="1671">
        <v>18</v>
      </c>
      <c r="DB28" s="1644" t="e">
        <f t="shared" si="37"/>
        <v>#VALUE!</v>
      </c>
      <c r="DC28" s="1644" t="e">
        <f t="shared" si="38"/>
        <v>#VALUE!</v>
      </c>
      <c r="DD28" s="1644" t="e">
        <f t="shared" si="39"/>
        <v>#VALUE!</v>
      </c>
      <c r="DE28" s="1644" t="e">
        <f t="shared" si="40"/>
        <v>#VALUE!</v>
      </c>
      <c r="DF28" s="1644" t="e">
        <f t="shared" si="41"/>
        <v>#VALUE!</v>
      </c>
      <c r="DG28" s="1644" t="e">
        <f t="shared" si="42"/>
        <v>#VALUE!</v>
      </c>
      <c r="DH28" s="1644" t="e">
        <f t="shared" si="43"/>
        <v>#VALUE!</v>
      </c>
      <c r="DI28" s="1644" t="e">
        <f t="shared" si="44"/>
        <v>#VALUE!</v>
      </c>
      <c r="DJ28" s="505" t="e">
        <f t="shared" si="45"/>
        <v>#VALUE!</v>
      </c>
      <c r="DK28" s="1648" t="e">
        <f t="shared" si="46"/>
        <v>#VALUE!</v>
      </c>
      <c r="DL28" s="521" t="e">
        <f t="shared" si="47"/>
        <v>#VALUE!</v>
      </c>
      <c r="DM28" s="522" t="e">
        <f t="shared" si="48"/>
        <v>#VALUE!</v>
      </c>
      <c r="DN28" s="1672"/>
      <c r="DO28" s="1647" t="str">
        <f t="shared" si="63"/>
        <v>n/a</v>
      </c>
      <c r="DP28" s="1671">
        <v>18</v>
      </c>
      <c r="DQ28" s="1644" t="e">
        <f t="shared" si="49"/>
        <v>#VALUE!</v>
      </c>
      <c r="DR28" s="1644" t="e">
        <f t="shared" si="50"/>
        <v>#VALUE!</v>
      </c>
      <c r="DS28" s="1644" t="e">
        <f t="shared" si="51"/>
        <v>#VALUE!</v>
      </c>
      <c r="DT28" s="1644" t="e">
        <f t="shared" si="52"/>
        <v>#VALUE!</v>
      </c>
      <c r="DU28" s="1644" t="e">
        <f t="shared" si="53"/>
        <v>#VALUE!</v>
      </c>
      <c r="DV28" s="1644" t="e">
        <f t="shared" si="54"/>
        <v>#VALUE!</v>
      </c>
      <c r="DW28" s="1644" t="e">
        <f t="shared" si="55"/>
        <v>#VALUE!</v>
      </c>
      <c r="DX28" s="1644" t="e">
        <f t="shared" si="56"/>
        <v>#VALUE!</v>
      </c>
      <c r="DY28" s="505" t="e">
        <f t="shared" si="57"/>
        <v>#VALUE!</v>
      </c>
      <c r="DZ28" s="1648" t="e">
        <f t="shared" si="58"/>
        <v>#VALUE!</v>
      </c>
      <c r="EA28" s="521" t="e">
        <f t="shared" si="59"/>
        <v>#VALUE!</v>
      </c>
      <c r="EB28" s="522" t="e">
        <f t="shared" si="60"/>
        <v>#VALUE!</v>
      </c>
    </row>
    <row r="29" spans="2:132" ht="13.5" customHeight="1">
      <c r="B29" s="379"/>
      <c r="C29" s="314"/>
      <c r="D29" s="314"/>
      <c r="E29" s="314"/>
      <c r="F29" s="314"/>
      <c r="G29" s="296"/>
      <c r="N29" s="1679"/>
      <c r="O29" s="1679"/>
      <c r="P29" s="1679"/>
      <c r="Q29" s="1679"/>
      <c r="R29" s="1679"/>
      <c r="S29" s="1679"/>
      <c r="T29" s="1679"/>
      <c r="V29" s="697" t="s">
        <v>2317</v>
      </c>
      <c r="W29" s="297" t="s">
        <v>5</v>
      </c>
      <c r="X29" s="297" t="s">
        <v>2318</v>
      </c>
      <c r="Y29" s="297" t="s">
        <v>137</v>
      </c>
      <c r="Z29" s="297" t="s">
        <v>1108</v>
      </c>
      <c r="AA29" s="297" t="s">
        <v>2313</v>
      </c>
      <c r="AB29" s="297" t="s">
        <v>2314</v>
      </c>
      <c r="AC29" s="295"/>
      <c r="BH29" s="1649">
        <f t="shared" si="61"/>
        <v>-30.5</v>
      </c>
      <c r="BI29" s="503">
        <v>100</v>
      </c>
      <c r="BJ29" s="1644">
        <f t="shared" si="0"/>
        <v>242.64999999999998</v>
      </c>
      <c r="BK29" s="1644">
        <f t="shared" si="1"/>
        <v>-19.34148657446309</v>
      </c>
      <c r="BL29" s="1644">
        <f t="shared" si="2"/>
        <v>22.927357160807002</v>
      </c>
      <c r="BM29" s="1644">
        <f t="shared" si="3"/>
        <v>3.6084758946498124E-2</v>
      </c>
      <c r="BN29" s="1644">
        <f t="shared" si="4"/>
        <v>3.6084758946498124E-2</v>
      </c>
      <c r="BO29" s="1644">
        <f t="shared" si="5"/>
        <v>2.2158395433625994E-4</v>
      </c>
      <c r="BP29" s="1644">
        <f t="shared" si="6"/>
        <v>1</v>
      </c>
      <c r="BQ29" s="1644">
        <f t="shared" si="7"/>
        <v>0.68778321217683436</v>
      </c>
      <c r="BR29" s="1648">
        <f t="shared" si="8"/>
        <v>-30.141017280851109</v>
      </c>
      <c r="BS29" s="521">
        <f t="shared" si="9"/>
        <v>-30.5</v>
      </c>
      <c r="BT29" s="522">
        <f t="shared" si="10"/>
        <v>2.2158395433625994E-4</v>
      </c>
      <c r="BV29" s="1647" t="str">
        <f t="shared" si="11"/>
        <v>n/a</v>
      </c>
      <c r="BW29" s="1671">
        <v>19</v>
      </c>
      <c r="BX29" s="1644" t="e">
        <f t="shared" si="12"/>
        <v>#VALUE!</v>
      </c>
      <c r="BY29" s="1644" t="e">
        <f t="shared" si="13"/>
        <v>#VALUE!</v>
      </c>
      <c r="BZ29" s="1644" t="e">
        <f t="shared" si="14"/>
        <v>#VALUE!</v>
      </c>
      <c r="CA29" s="1644" t="e">
        <f t="shared" si="15"/>
        <v>#VALUE!</v>
      </c>
      <c r="CB29" s="1644" t="e">
        <f t="shared" si="16"/>
        <v>#VALUE!</v>
      </c>
      <c r="CC29" s="1644" t="e">
        <f t="shared" si="17"/>
        <v>#VALUE!</v>
      </c>
      <c r="CD29" s="1644" t="e">
        <f t="shared" si="18"/>
        <v>#VALUE!</v>
      </c>
      <c r="CE29" s="1644" t="e">
        <f t="shared" si="19"/>
        <v>#VALUE!</v>
      </c>
      <c r="CF29" s="505" t="e">
        <f t="shared" si="20"/>
        <v>#VALUE!</v>
      </c>
      <c r="CG29" s="1648" t="e">
        <f t="shared" si="21"/>
        <v>#VALUE!</v>
      </c>
      <c r="CH29" s="521" t="e">
        <f t="shared" si="22"/>
        <v>#VALUE!</v>
      </c>
      <c r="CI29" s="522" t="e">
        <f t="shared" si="23"/>
        <v>#VALUE!</v>
      </c>
      <c r="CJ29" s="1672"/>
      <c r="CK29" s="1647" t="str">
        <f t="shared" si="24"/>
        <v>n/a</v>
      </c>
      <c r="CL29" s="1671">
        <v>19</v>
      </c>
      <c r="CM29" s="1644" t="e">
        <f t="shared" si="25"/>
        <v>#VALUE!</v>
      </c>
      <c r="CN29" s="1644" t="e">
        <f t="shared" si="26"/>
        <v>#VALUE!</v>
      </c>
      <c r="CO29" s="1644" t="e">
        <f t="shared" si="27"/>
        <v>#VALUE!</v>
      </c>
      <c r="CP29" s="1644" t="e">
        <f t="shared" si="28"/>
        <v>#VALUE!</v>
      </c>
      <c r="CQ29" s="1644" t="e">
        <f t="shared" si="29"/>
        <v>#VALUE!</v>
      </c>
      <c r="CR29" s="1644" t="e">
        <f t="shared" si="30"/>
        <v>#VALUE!</v>
      </c>
      <c r="CS29" s="1644" t="e">
        <f t="shared" si="31"/>
        <v>#VALUE!</v>
      </c>
      <c r="CT29" s="1644" t="e">
        <f t="shared" si="32"/>
        <v>#VALUE!</v>
      </c>
      <c r="CU29" s="505" t="e">
        <f t="shared" si="33"/>
        <v>#VALUE!</v>
      </c>
      <c r="CV29" s="1648" t="e">
        <f t="shared" si="34"/>
        <v>#VALUE!</v>
      </c>
      <c r="CW29" s="521" t="e">
        <f t="shared" si="35"/>
        <v>#VALUE!</v>
      </c>
      <c r="CX29" s="522" t="e">
        <f t="shared" si="36"/>
        <v>#VALUE!</v>
      </c>
      <c r="CZ29" s="1647" t="str">
        <f t="shared" si="62"/>
        <v>n/a</v>
      </c>
      <c r="DA29" s="1671">
        <v>19</v>
      </c>
      <c r="DB29" s="1644" t="e">
        <f t="shared" si="37"/>
        <v>#VALUE!</v>
      </c>
      <c r="DC29" s="1644" t="e">
        <f t="shared" si="38"/>
        <v>#VALUE!</v>
      </c>
      <c r="DD29" s="1644" t="e">
        <f t="shared" si="39"/>
        <v>#VALUE!</v>
      </c>
      <c r="DE29" s="1644" t="e">
        <f t="shared" si="40"/>
        <v>#VALUE!</v>
      </c>
      <c r="DF29" s="1644" t="e">
        <f t="shared" si="41"/>
        <v>#VALUE!</v>
      </c>
      <c r="DG29" s="1644" t="e">
        <f t="shared" si="42"/>
        <v>#VALUE!</v>
      </c>
      <c r="DH29" s="1644" t="e">
        <f t="shared" si="43"/>
        <v>#VALUE!</v>
      </c>
      <c r="DI29" s="1644" t="e">
        <f t="shared" si="44"/>
        <v>#VALUE!</v>
      </c>
      <c r="DJ29" s="505" t="e">
        <f t="shared" si="45"/>
        <v>#VALUE!</v>
      </c>
      <c r="DK29" s="1648" t="e">
        <f t="shared" si="46"/>
        <v>#VALUE!</v>
      </c>
      <c r="DL29" s="521" t="e">
        <f t="shared" si="47"/>
        <v>#VALUE!</v>
      </c>
      <c r="DM29" s="522" t="e">
        <f t="shared" si="48"/>
        <v>#VALUE!</v>
      </c>
      <c r="DN29" s="1672"/>
      <c r="DO29" s="1647" t="str">
        <f t="shared" si="63"/>
        <v>n/a</v>
      </c>
      <c r="DP29" s="1671">
        <v>19</v>
      </c>
      <c r="DQ29" s="1644" t="e">
        <f t="shared" si="49"/>
        <v>#VALUE!</v>
      </c>
      <c r="DR29" s="1644" t="e">
        <f t="shared" si="50"/>
        <v>#VALUE!</v>
      </c>
      <c r="DS29" s="1644" t="e">
        <f t="shared" si="51"/>
        <v>#VALUE!</v>
      </c>
      <c r="DT29" s="1644" t="e">
        <f t="shared" si="52"/>
        <v>#VALUE!</v>
      </c>
      <c r="DU29" s="1644" t="e">
        <f t="shared" si="53"/>
        <v>#VALUE!</v>
      </c>
      <c r="DV29" s="1644" t="e">
        <f t="shared" si="54"/>
        <v>#VALUE!</v>
      </c>
      <c r="DW29" s="1644" t="e">
        <f t="shared" si="55"/>
        <v>#VALUE!</v>
      </c>
      <c r="DX29" s="1644" t="e">
        <f t="shared" si="56"/>
        <v>#VALUE!</v>
      </c>
      <c r="DY29" s="505" t="e">
        <f t="shared" si="57"/>
        <v>#VALUE!</v>
      </c>
      <c r="DZ29" s="1648" t="e">
        <f t="shared" si="58"/>
        <v>#VALUE!</v>
      </c>
      <c r="EA29" s="521" t="e">
        <f t="shared" si="59"/>
        <v>#VALUE!</v>
      </c>
      <c r="EB29" s="522" t="e">
        <f t="shared" si="60"/>
        <v>#VALUE!</v>
      </c>
    </row>
    <row r="30" spans="2:132" ht="13.5">
      <c r="B30" s="2078" t="s">
        <v>2326</v>
      </c>
      <c r="C30" s="2079"/>
      <c r="D30" s="2079"/>
      <c r="E30" s="2079"/>
      <c r="F30" s="2079"/>
      <c r="G30" s="2080"/>
      <c r="M30" s="1847" t="s">
        <v>2354</v>
      </c>
      <c r="N30" s="1848"/>
      <c r="O30" s="1848"/>
      <c r="P30" s="1848"/>
      <c r="Q30" s="1848"/>
      <c r="R30" s="1848"/>
      <c r="S30" s="1848"/>
      <c r="T30" s="1849"/>
      <c r="V30" s="706" t="str">
        <f>X8</f>
        <v>n/a</v>
      </c>
      <c r="W30" s="297" t="s">
        <v>5</v>
      </c>
      <c r="X30" s="304" t="str">
        <f>IF(D15&gt;0,D15,"n/a")</f>
        <v>n/a</v>
      </c>
      <c r="Y30" s="1626">
        <f>G4*1.02</f>
        <v>1.224</v>
      </c>
      <c r="Z30" s="297" t="s">
        <v>1108</v>
      </c>
      <c r="AA30" s="308" t="str">
        <f>I11</f>
        <v>-</v>
      </c>
      <c r="AB30" s="297" t="s">
        <v>2314</v>
      </c>
      <c r="AC30" s="295"/>
      <c r="BH30" s="1649">
        <f t="shared" si="61"/>
        <v>-30</v>
      </c>
      <c r="BI30" s="503">
        <v>100</v>
      </c>
      <c r="BJ30" s="1644">
        <f t="shared" si="0"/>
        <v>243.14999999999998</v>
      </c>
      <c r="BK30" s="1644">
        <f t="shared" si="1"/>
        <v>-19.298236491911034</v>
      </c>
      <c r="BL30" s="1644">
        <f t="shared" si="2"/>
        <v>22.936235125109931</v>
      </c>
      <c r="BM30" s="1644">
        <f t="shared" si="3"/>
        <v>3.801567722495288E-2</v>
      </c>
      <c r="BN30" s="1644">
        <f t="shared" si="4"/>
        <v>3.801567722495288E-2</v>
      </c>
      <c r="BO30" s="1644">
        <f t="shared" si="5"/>
        <v>2.3344550218837407E-4</v>
      </c>
      <c r="BP30" s="1644">
        <f t="shared" si="6"/>
        <v>1</v>
      </c>
      <c r="BQ30" s="1644">
        <f t="shared" si="7"/>
        <v>0.68921358431206337</v>
      </c>
      <c r="BR30" s="1648">
        <f t="shared" si="8"/>
        <v>-29.608793872970377</v>
      </c>
      <c r="BS30" s="521">
        <f t="shared" si="9"/>
        <v>-30</v>
      </c>
      <c r="BT30" s="522">
        <f t="shared" si="10"/>
        <v>2.3344550218837407E-4</v>
      </c>
      <c r="BV30" s="1647" t="str">
        <f t="shared" si="11"/>
        <v>n/a</v>
      </c>
      <c r="BW30" s="1671">
        <v>20</v>
      </c>
      <c r="BX30" s="1644" t="e">
        <f t="shared" si="12"/>
        <v>#VALUE!</v>
      </c>
      <c r="BY30" s="1644" t="e">
        <f t="shared" si="13"/>
        <v>#VALUE!</v>
      </c>
      <c r="BZ30" s="1644" t="e">
        <f t="shared" si="14"/>
        <v>#VALUE!</v>
      </c>
      <c r="CA30" s="1644" t="e">
        <f t="shared" si="15"/>
        <v>#VALUE!</v>
      </c>
      <c r="CB30" s="1644" t="e">
        <f t="shared" si="16"/>
        <v>#VALUE!</v>
      </c>
      <c r="CC30" s="1644" t="e">
        <f t="shared" si="17"/>
        <v>#VALUE!</v>
      </c>
      <c r="CD30" s="1644" t="e">
        <f t="shared" si="18"/>
        <v>#VALUE!</v>
      </c>
      <c r="CE30" s="1644" t="e">
        <f t="shared" si="19"/>
        <v>#VALUE!</v>
      </c>
      <c r="CF30" s="505" t="e">
        <f t="shared" si="20"/>
        <v>#VALUE!</v>
      </c>
      <c r="CG30" s="1648" t="e">
        <f t="shared" si="21"/>
        <v>#VALUE!</v>
      </c>
      <c r="CH30" s="521" t="e">
        <f t="shared" si="22"/>
        <v>#VALUE!</v>
      </c>
      <c r="CI30" s="522" t="e">
        <f t="shared" si="23"/>
        <v>#VALUE!</v>
      </c>
      <c r="CJ30" s="1672"/>
      <c r="CK30" s="1647" t="str">
        <f t="shared" si="24"/>
        <v>n/a</v>
      </c>
      <c r="CL30" s="1671">
        <v>20</v>
      </c>
      <c r="CM30" s="1644" t="e">
        <f t="shared" si="25"/>
        <v>#VALUE!</v>
      </c>
      <c r="CN30" s="1644" t="e">
        <f t="shared" si="26"/>
        <v>#VALUE!</v>
      </c>
      <c r="CO30" s="1644" t="e">
        <f t="shared" si="27"/>
        <v>#VALUE!</v>
      </c>
      <c r="CP30" s="1644" t="e">
        <f t="shared" si="28"/>
        <v>#VALUE!</v>
      </c>
      <c r="CQ30" s="1644" t="e">
        <f t="shared" si="29"/>
        <v>#VALUE!</v>
      </c>
      <c r="CR30" s="1644" t="e">
        <f t="shared" si="30"/>
        <v>#VALUE!</v>
      </c>
      <c r="CS30" s="1644" t="e">
        <f t="shared" si="31"/>
        <v>#VALUE!</v>
      </c>
      <c r="CT30" s="1644" t="e">
        <f t="shared" si="32"/>
        <v>#VALUE!</v>
      </c>
      <c r="CU30" s="505" t="e">
        <f t="shared" si="33"/>
        <v>#VALUE!</v>
      </c>
      <c r="CV30" s="1648" t="e">
        <f t="shared" si="34"/>
        <v>#VALUE!</v>
      </c>
      <c r="CW30" s="521" t="e">
        <f t="shared" si="35"/>
        <v>#VALUE!</v>
      </c>
      <c r="CX30" s="522" t="e">
        <f t="shared" si="36"/>
        <v>#VALUE!</v>
      </c>
      <c r="CZ30" s="1647" t="str">
        <f t="shared" si="62"/>
        <v>n/a</v>
      </c>
      <c r="DA30" s="1671">
        <v>20</v>
      </c>
      <c r="DB30" s="1644" t="e">
        <f t="shared" si="37"/>
        <v>#VALUE!</v>
      </c>
      <c r="DC30" s="1644" t="e">
        <f t="shared" si="38"/>
        <v>#VALUE!</v>
      </c>
      <c r="DD30" s="1644" t="e">
        <f t="shared" si="39"/>
        <v>#VALUE!</v>
      </c>
      <c r="DE30" s="1644" t="e">
        <f t="shared" si="40"/>
        <v>#VALUE!</v>
      </c>
      <c r="DF30" s="1644" t="e">
        <f t="shared" si="41"/>
        <v>#VALUE!</v>
      </c>
      <c r="DG30" s="1644" t="e">
        <f t="shared" si="42"/>
        <v>#VALUE!</v>
      </c>
      <c r="DH30" s="1644" t="e">
        <f t="shared" si="43"/>
        <v>#VALUE!</v>
      </c>
      <c r="DI30" s="1644" t="e">
        <f t="shared" si="44"/>
        <v>#VALUE!</v>
      </c>
      <c r="DJ30" s="505" t="e">
        <f t="shared" si="45"/>
        <v>#VALUE!</v>
      </c>
      <c r="DK30" s="1648" t="e">
        <f t="shared" si="46"/>
        <v>#VALUE!</v>
      </c>
      <c r="DL30" s="521" t="e">
        <f t="shared" si="47"/>
        <v>#VALUE!</v>
      </c>
      <c r="DM30" s="522" t="e">
        <f t="shared" si="48"/>
        <v>#VALUE!</v>
      </c>
      <c r="DN30" s="1672"/>
      <c r="DO30" s="1647" t="str">
        <f t="shared" si="63"/>
        <v>n/a</v>
      </c>
      <c r="DP30" s="1671">
        <v>20</v>
      </c>
      <c r="DQ30" s="1644" t="e">
        <f t="shared" si="49"/>
        <v>#VALUE!</v>
      </c>
      <c r="DR30" s="1644" t="e">
        <f t="shared" si="50"/>
        <v>#VALUE!</v>
      </c>
      <c r="DS30" s="1644" t="e">
        <f t="shared" si="51"/>
        <v>#VALUE!</v>
      </c>
      <c r="DT30" s="1644" t="e">
        <f t="shared" si="52"/>
        <v>#VALUE!</v>
      </c>
      <c r="DU30" s="1644" t="e">
        <f t="shared" si="53"/>
        <v>#VALUE!</v>
      </c>
      <c r="DV30" s="1644" t="e">
        <f t="shared" si="54"/>
        <v>#VALUE!</v>
      </c>
      <c r="DW30" s="1644" t="e">
        <f t="shared" si="55"/>
        <v>#VALUE!</v>
      </c>
      <c r="DX30" s="1644" t="e">
        <f t="shared" si="56"/>
        <v>#VALUE!</v>
      </c>
      <c r="DY30" s="505" t="e">
        <f t="shared" si="57"/>
        <v>#VALUE!</v>
      </c>
      <c r="DZ30" s="1648" t="e">
        <f t="shared" si="58"/>
        <v>#VALUE!</v>
      </c>
      <c r="EA30" s="521" t="e">
        <f t="shared" si="59"/>
        <v>#VALUE!</v>
      </c>
      <c r="EB30" s="522" t="e">
        <f t="shared" si="60"/>
        <v>#VALUE!</v>
      </c>
    </row>
    <row r="31" spans="2:132" ht="13.5">
      <c r="B31" s="1670" t="s">
        <v>2327</v>
      </c>
      <c r="C31" s="302"/>
      <c r="D31" s="302"/>
      <c r="E31" s="302"/>
      <c r="F31" s="2066" t="s">
        <v>2328</v>
      </c>
      <c r="G31" s="2067"/>
      <c r="M31" s="1224" t="s">
        <v>2355</v>
      </c>
      <c r="N31" s="298"/>
      <c r="O31" s="302"/>
      <c r="P31" s="302"/>
      <c r="Q31" s="302"/>
      <c r="R31" s="302"/>
      <c r="S31" s="302"/>
      <c r="T31" s="320"/>
      <c r="V31" s="1683" t="s">
        <v>2359</v>
      </c>
      <c r="W31" s="1682" t="s">
        <v>5</v>
      </c>
      <c r="X31" s="1706" t="str">
        <f>IF(OR(V30="n/a",X30="n/a",AA30="-"),"n/a",ROUNDUP(AA30-(V30/(X30*Y30)),1))</f>
        <v>n/a</v>
      </c>
      <c r="Y31" s="341" t="s">
        <v>136</v>
      </c>
      <c r="Z31" s="1634"/>
      <c r="AA31" s="314"/>
      <c r="AB31" s="314"/>
      <c r="AC31" s="296"/>
      <c r="BH31" s="1649">
        <f t="shared" si="61"/>
        <v>-29.5</v>
      </c>
      <c r="BI31" s="503">
        <v>100</v>
      </c>
      <c r="BJ31" s="1644">
        <f t="shared" si="0"/>
        <v>243.64999999999998</v>
      </c>
      <c r="BK31" s="1644">
        <f t="shared" si="1"/>
        <v>-19.255183778552713</v>
      </c>
      <c r="BL31" s="1644">
        <f t="shared" si="2"/>
        <v>22.945096383389437</v>
      </c>
      <c r="BM31" s="1644">
        <f t="shared" si="3"/>
        <v>4.0041347384273646E-2</v>
      </c>
      <c r="BN31" s="1644">
        <f t="shared" si="4"/>
        <v>4.0041347384273646E-2</v>
      </c>
      <c r="BO31" s="1644">
        <f t="shared" si="5"/>
        <v>2.458895928613517E-4</v>
      </c>
      <c r="BP31" s="1644">
        <f t="shared" si="6"/>
        <v>1</v>
      </c>
      <c r="BQ31" s="1644">
        <f t="shared" si="7"/>
        <v>0.69064465709481737</v>
      </c>
      <c r="BR31" s="1648">
        <f t="shared" si="8"/>
        <v>-29.075123134349642</v>
      </c>
      <c r="BS31" s="521">
        <f t="shared" si="9"/>
        <v>-29.5</v>
      </c>
      <c r="BT31" s="522">
        <f t="shared" si="10"/>
        <v>2.458895928613517E-4</v>
      </c>
      <c r="BV31" s="1647" t="str">
        <f t="shared" si="11"/>
        <v>n/a</v>
      </c>
      <c r="BW31" s="1671">
        <v>21</v>
      </c>
      <c r="BX31" s="1644" t="e">
        <f t="shared" si="12"/>
        <v>#VALUE!</v>
      </c>
      <c r="BY31" s="1644" t="e">
        <f t="shared" si="13"/>
        <v>#VALUE!</v>
      </c>
      <c r="BZ31" s="1644" t="e">
        <f t="shared" si="14"/>
        <v>#VALUE!</v>
      </c>
      <c r="CA31" s="1644" t="e">
        <f t="shared" si="15"/>
        <v>#VALUE!</v>
      </c>
      <c r="CB31" s="1644" t="e">
        <f t="shared" si="16"/>
        <v>#VALUE!</v>
      </c>
      <c r="CC31" s="1644" t="e">
        <f t="shared" si="17"/>
        <v>#VALUE!</v>
      </c>
      <c r="CD31" s="1644" t="e">
        <f t="shared" si="18"/>
        <v>#VALUE!</v>
      </c>
      <c r="CE31" s="1644" t="e">
        <f t="shared" si="19"/>
        <v>#VALUE!</v>
      </c>
      <c r="CF31" s="505" t="e">
        <f t="shared" si="20"/>
        <v>#VALUE!</v>
      </c>
      <c r="CG31" s="1648" t="e">
        <f t="shared" si="21"/>
        <v>#VALUE!</v>
      </c>
      <c r="CH31" s="521" t="e">
        <f t="shared" si="22"/>
        <v>#VALUE!</v>
      </c>
      <c r="CI31" s="522" t="e">
        <f t="shared" si="23"/>
        <v>#VALUE!</v>
      </c>
      <c r="CJ31" s="1672"/>
      <c r="CK31" s="1647" t="str">
        <f t="shared" si="24"/>
        <v>n/a</v>
      </c>
      <c r="CL31" s="1671">
        <v>21</v>
      </c>
      <c r="CM31" s="1644" t="e">
        <f t="shared" si="25"/>
        <v>#VALUE!</v>
      </c>
      <c r="CN31" s="1644" t="e">
        <f t="shared" si="26"/>
        <v>#VALUE!</v>
      </c>
      <c r="CO31" s="1644" t="e">
        <f t="shared" si="27"/>
        <v>#VALUE!</v>
      </c>
      <c r="CP31" s="1644" t="e">
        <f t="shared" si="28"/>
        <v>#VALUE!</v>
      </c>
      <c r="CQ31" s="1644" t="e">
        <f t="shared" si="29"/>
        <v>#VALUE!</v>
      </c>
      <c r="CR31" s="1644" t="e">
        <f t="shared" si="30"/>
        <v>#VALUE!</v>
      </c>
      <c r="CS31" s="1644" t="e">
        <f t="shared" si="31"/>
        <v>#VALUE!</v>
      </c>
      <c r="CT31" s="1644" t="e">
        <f t="shared" si="32"/>
        <v>#VALUE!</v>
      </c>
      <c r="CU31" s="505" t="e">
        <f t="shared" si="33"/>
        <v>#VALUE!</v>
      </c>
      <c r="CV31" s="1648" t="e">
        <f t="shared" si="34"/>
        <v>#VALUE!</v>
      </c>
      <c r="CW31" s="521" t="e">
        <f t="shared" si="35"/>
        <v>#VALUE!</v>
      </c>
      <c r="CX31" s="522" t="e">
        <f t="shared" si="36"/>
        <v>#VALUE!</v>
      </c>
      <c r="CZ31" s="1647" t="str">
        <f t="shared" si="62"/>
        <v>n/a</v>
      </c>
      <c r="DA31" s="1671">
        <v>21</v>
      </c>
      <c r="DB31" s="1644" t="e">
        <f t="shared" si="37"/>
        <v>#VALUE!</v>
      </c>
      <c r="DC31" s="1644" t="e">
        <f t="shared" si="38"/>
        <v>#VALUE!</v>
      </c>
      <c r="DD31" s="1644" t="e">
        <f t="shared" si="39"/>
        <v>#VALUE!</v>
      </c>
      <c r="DE31" s="1644" t="e">
        <f t="shared" si="40"/>
        <v>#VALUE!</v>
      </c>
      <c r="DF31" s="1644" t="e">
        <f t="shared" si="41"/>
        <v>#VALUE!</v>
      </c>
      <c r="DG31" s="1644" t="e">
        <f t="shared" si="42"/>
        <v>#VALUE!</v>
      </c>
      <c r="DH31" s="1644" t="e">
        <f t="shared" si="43"/>
        <v>#VALUE!</v>
      </c>
      <c r="DI31" s="1644" t="e">
        <f t="shared" si="44"/>
        <v>#VALUE!</v>
      </c>
      <c r="DJ31" s="505" t="e">
        <f t="shared" si="45"/>
        <v>#VALUE!</v>
      </c>
      <c r="DK31" s="1648" t="e">
        <f t="shared" si="46"/>
        <v>#VALUE!</v>
      </c>
      <c r="DL31" s="521" t="e">
        <f t="shared" si="47"/>
        <v>#VALUE!</v>
      </c>
      <c r="DM31" s="522" t="e">
        <f t="shared" si="48"/>
        <v>#VALUE!</v>
      </c>
      <c r="DN31" s="1672"/>
      <c r="DO31" s="1647" t="str">
        <f t="shared" si="63"/>
        <v>n/a</v>
      </c>
      <c r="DP31" s="1671">
        <v>21</v>
      </c>
      <c r="DQ31" s="1644" t="e">
        <f t="shared" si="49"/>
        <v>#VALUE!</v>
      </c>
      <c r="DR31" s="1644" t="e">
        <f t="shared" si="50"/>
        <v>#VALUE!</v>
      </c>
      <c r="DS31" s="1644" t="e">
        <f t="shared" si="51"/>
        <v>#VALUE!</v>
      </c>
      <c r="DT31" s="1644" t="e">
        <f t="shared" si="52"/>
        <v>#VALUE!</v>
      </c>
      <c r="DU31" s="1644" t="e">
        <f t="shared" si="53"/>
        <v>#VALUE!</v>
      </c>
      <c r="DV31" s="1644" t="e">
        <f t="shared" si="54"/>
        <v>#VALUE!</v>
      </c>
      <c r="DW31" s="1644" t="e">
        <f t="shared" si="55"/>
        <v>#VALUE!</v>
      </c>
      <c r="DX31" s="1644" t="e">
        <f t="shared" si="56"/>
        <v>#VALUE!</v>
      </c>
      <c r="DY31" s="505" t="e">
        <f t="shared" si="57"/>
        <v>#VALUE!</v>
      </c>
      <c r="DZ31" s="1648" t="e">
        <f t="shared" si="58"/>
        <v>#VALUE!</v>
      </c>
      <c r="EA31" s="521" t="e">
        <f t="shared" si="59"/>
        <v>#VALUE!</v>
      </c>
      <c r="EB31" s="522" t="e">
        <f t="shared" si="60"/>
        <v>#VALUE!</v>
      </c>
    </row>
    <row r="32" spans="2:132" ht="13.5">
      <c r="B32" s="1654" t="str">
        <f>IF(I9="-","-",ROUND(D9,1)&amp;"/ "&amp;ROUND(BF7,1))</f>
        <v>-</v>
      </c>
      <c r="D32" s="2063" t="s">
        <v>2333</v>
      </c>
      <c r="F32" s="2068" t="str">
        <f>IF(X14="n/a","-",ROUND(X14,1)&amp;"/ "&amp;ROUND(CG8,1))</f>
        <v>-</v>
      </c>
      <c r="G32" s="2069"/>
      <c r="M32" s="697" t="s">
        <v>2293</v>
      </c>
      <c r="N32" s="297" t="s">
        <v>5</v>
      </c>
      <c r="O32" s="297" t="s">
        <v>2350</v>
      </c>
      <c r="P32" s="297" t="s">
        <v>137</v>
      </c>
      <c r="Q32" s="297" t="s">
        <v>1108</v>
      </c>
      <c r="R32" s="297" t="s">
        <v>2301</v>
      </c>
      <c r="S32" s="297" t="s">
        <v>2300</v>
      </c>
      <c r="T32" s="295"/>
      <c r="V32" s="1627" t="s">
        <v>2357</v>
      </c>
      <c r="W32" s="1384"/>
      <c r="X32" s="1384"/>
      <c r="Y32" s="1384"/>
      <c r="Z32" s="1384"/>
      <c r="AA32" s="1384"/>
      <c r="AB32" s="1384"/>
      <c r="AC32" s="1385"/>
      <c r="BH32" s="1649">
        <f t="shared" si="61"/>
        <v>-29</v>
      </c>
      <c r="BI32" s="503">
        <v>100</v>
      </c>
      <c r="BJ32" s="1644">
        <f t="shared" si="0"/>
        <v>244.14999999999998</v>
      </c>
      <c r="BK32" s="1644">
        <f t="shared" si="1"/>
        <v>-19.212327221798354</v>
      </c>
      <c r="BL32" s="1644">
        <f t="shared" si="2"/>
        <v>22.953941008692905</v>
      </c>
      <c r="BM32" s="1644">
        <f t="shared" si="3"/>
        <v>4.216598219738147E-2</v>
      </c>
      <c r="BN32" s="1644">
        <f t="shared" si="4"/>
        <v>4.216598219738147E-2</v>
      </c>
      <c r="BO32" s="1644">
        <f t="shared" si="5"/>
        <v>2.5894217772892762E-4</v>
      </c>
      <c r="BP32" s="1644">
        <f t="shared" si="6"/>
        <v>1</v>
      </c>
      <c r="BQ32" s="1644">
        <f t="shared" si="7"/>
        <v>0.69207646337048123</v>
      </c>
      <c r="BR32" s="1648">
        <f t="shared" si="8"/>
        <v>-28.539939941793172</v>
      </c>
      <c r="BS32" s="521">
        <f t="shared" si="9"/>
        <v>-29</v>
      </c>
      <c r="BT32" s="522">
        <f t="shared" si="10"/>
        <v>2.5894217772892762E-4</v>
      </c>
      <c r="BV32" s="1647" t="str">
        <f t="shared" si="11"/>
        <v>n/a</v>
      </c>
      <c r="BW32" s="1671">
        <v>22</v>
      </c>
      <c r="BX32" s="1644" t="e">
        <f t="shared" si="12"/>
        <v>#VALUE!</v>
      </c>
      <c r="BY32" s="1644" t="e">
        <f t="shared" si="13"/>
        <v>#VALUE!</v>
      </c>
      <c r="BZ32" s="1644" t="e">
        <f t="shared" si="14"/>
        <v>#VALUE!</v>
      </c>
      <c r="CA32" s="1644" t="e">
        <f t="shared" si="15"/>
        <v>#VALUE!</v>
      </c>
      <c r="CB32" s="1644" t="e">
        <f t="shared" si="16"/>
        <v>#VALUE!</v>
      </c>
      <c r="CC32" s="1644" t="e">
        <f t="shared" si="17"/>
        <v>#VALUE!</v>
      </c>
      <c r="CD32" s="1644" t="e">
        <f t="shared" si="18"/>
        <v>#VALUE!</v>
      </c>
      <c r="CE32" s="1644" t="e">
        <f t="shared" si="19"/>
        <v>#VALUE!</v>
      </c>
      <c r="CF32" s="505" t="e">
        <f t="shared" si="20"/>
        <v>#VALUE!</v>
      </c>
      <c r="CG32" s="1648" t="e">
        <f t="shared" si="21"/>
        <v>#VALUE!</v>
      </c>
      <c r="CH32" s="521" t="e">
        <f t="shared" si="22"/>
        <v>#VALUE!</v>
      </c>
      <c r="CI32" s="522" t="e">
        <f t="shared" si="23"/>
        <v>#VALUE!</v>
      </c>
      <c r="CJ32" s="1672"/>
      <c r="CK32" s="1647" t="str">
        <f t="shared" si="24"/>
        <v>n/a</v>
      </c>
      <c r="CL32" s="1671">
        <v>22</v>
      </c>
      <c r="CM32" s="1644" t="e">
        <f t="shared" si="25"/>
        <v>#VALUE!</v>
      </c>
      <c r="CN32" s="1644" t="e">
        <f t="shared" si="26"/>
        <v>#VALUE!</v>
      </c>
      <c r="CO32" s="1644" t="e">
        <f t="shared" si="27"/>
        <v>#VALUE!</v>
      </c>
      <c r="CP32" s="1644" t="e">
        <f t="shared" si="28"/>
        <v>#VALUE!</v>
      </c>
      <c r="CQ32" s="1644" t="e">
        <f t="shared" si="29"/>
        <v>#VALUE!</v>
      </c>
      <c r="CR32" s="1644" t="e">
        <f t="shared" si="30"/>
        <v>#VALUE!</v>
      </c>
      <c r="CS32" s="1644" t="e">
        <f t="shared" si="31"/>
        <v>#VALUE!</v>
      </c>
      <c r="CT32" s="1644" t="e">
        <f t="shared" si="32"/>
        <v>#VALUE!</v>
      </c>
      <c r="CU32" s="505" t="e">
        <f t="shared" si="33"/>
        <v>#VALUE!</v>
      </c>
      <c r="CV32" s="1648" t="e">
        <f t="shared" si="34"/>
        <v>#VALUE!</v>
      </c>
      <c r="CW32" s="521" t="e">
        <f t="shared" si="35"/>
        <v>#VALUE!</v>
      </c>
      <c r="CX32" s="522" t="e">
        <f t="shared" si="36"/>
        <v>#VALUE!</v>
      </c>
      <c r="CZ32" s="1647" t="str">
        <f t="shared" si="62"/>
        <v>n/a</v>
      </c>
      <c r="DA32" s="1671">
        <v>22</v>
      </c>
      <c r="DB32" s="1644" t="e">
        <f t="shared" si="37"/>
        <v>#VALUE!</v>
      </c>
      <c r="DC32" s="1644" t="e">
        <f t="shared" si="38"/>
        <v>#VALUE!</v>
      </c>
      <c r="DD32" s="1644" t="e">
        <f t="shared" si="39"/>
        <v>#VALUE!</v>
      </c>
      <c r="DE32" s="1644" t="e">
        <f t="shared" si="40"/>
        <v>#VALUE!</v>
      </c>
      <c r="DF32" s="1644" t="e">
        <f t="shared" si="41"/>
        <v>#VALUE!</v>
      </c>
      <c r="DG32" s="1644" t="e">
        <f t="shared" si="42"/>
        <v>#VALUE!</v>
      </c>
      <c r="DH32" s="1644" t="e">
        <f t="shared" si="43"/>
        <v>#VALUE!</v>
      </c>
      <c r="DI32" s="1644" t="e">
        <f t="shared" si="44"/>
        <v>#VALUE!</v>
      </c>
      <c r="DJ32" s="505" t="e">
        <f t="shared" si="45"/>
        <v>#VALUE!</v>
      </c>
      <c r="DK32" s="1648" t="e">
        <f t="shared" si="46"/>
        <v>#VALUE!</v>
      </c>
      <c r="DL32" s="521" t="e">
        <f t="shared" si="47"/>
        <v>#VALUE!</v>
      </c>
      <c r="DM32" s="522" t="e">
        <f t="shared" si="48"/>
        <v>#VALUE!</v>
      </c>
      <c r="DN32" s="1672"/>
      <c r="DO32" s="1647" t="str">
        <f t="shared" si="63"/>
        <v>n/a</v>
      </c>
      <c r="DP32" s="1671">
        <v>22</v>
      </c>
      <c r="DQ32" s="1644" t="e">
        <f t="shared" si="49"/>
        <v>#VALUE!</v>
      </c>
      <c r="DR32" s="1644" t="e">
        <f t="shared" si="50"/>
        <v>#VALUE!</v>
      </c>
      <c r="DS32" s="1644" t="e">
        <f t="shared" si="51"/>
        <v>#VALUE!</v>
      </c>
      <c r="DT32" s="1644" t="e">
        <f t="shared" si="52"/>
        <v>#VALUE!</v>
      </c>
      <c r="DU32" s="1644" t="e">
        <f t="shared" si="53"/>
        <v>#VALUE!</v>
      </c>
      <c r="DV32" s="1644" t="e">
        <f t="shared" si="54"/>
        <v>#VALUE!</v>
      </c>
      <c r="DW32" s="1644" t="e">
        <f t="shared" si="55"/>
        <v>#VALUE!</v>
      </c>
      <c r="DX32" s="1644" t="e">
        <f t="shared" si="56"/>
        <v>#VALUE!</v>
      </c>
      <c r="DY32" s="505" t="e">
        <f t="shared" si="57"/>
        <v>#VALUE!</v>
      </c>
      <c r="DZ32" s="1648" t="e">
        <f t="shared" si="58"/>
        <v>#VALUE!</v>
      </c>
      <c r="EA32" s="521" t="e">
        <f t="shared" si="59"/>
        <v>#VALUE!</v>
      </c>
      <c r="EB32" s="522" t="e">
        <f t="shared" si="60"/>
        <v>#VALUE!</v>
      </c>
    </row>
    <row r="33" spans="2:132" ht="15" customHeight="1">
      <c r="B33" s="697" t="s">
        <v>2319</v>
      </c>
      <c r="C33" s="1641" t="s">
        <v>2321</v>
      </c>
      <c r="D33" s="2064"/>
      <c r="E33" s="1666" t="s">
        <v>2320</v>
      </c>
      <c r="F33" s="2070" t="s">
        <v>2305</v>
      </c>
      <c r="G33" s="2071"/>
      <c r="M33" s="706" t="str">
        <f>O12</f>
        <v>n/a</v>
      </c>
      <c r="N33" s="297" t="s">
        <v>5</v>
      </c>
      <c r="O33" s="304" t="str">
        <f>IF(D15&gt;0,D15,"n/a")</f>
        <v>n/a</v>
      </c>
      <c r="P33" s="1626">
        <f>G4*1.02</f>
        <v>1.224</v>
      </c>
      <c r="Q33" s="297" t="s">
        <v>1108</v>
      </c>
      <c r="R33" s="297" t="s">
        <v>2301</v>
      </c>
      <c r="S33" s="1622" t="str">
        <f>IF(I10="-","n/a)",D10)</f>
        <v>n/a)</v>
      </c>
      <c r="T33" s="295"/>
      <c r="V33" s="1683" t="s">
        <v>2361</v>
      </c>
      <c r="W33" s="1682" t="s">
        <v>2316</v>
      </c>
      <c r="X33" s="1664" t="str">
        <f>IF(X14="n/a","n/a",BS8)</f>
        <v>n/a</v>
      </c>
      <c r="Y33" s="311" t="s">
        <v>2315</v>
      </c>
      <c r="Z33" s="1653" t="e">
        <f>"Saturated at h = "&amp;ROUNDUP(X31,1)&amp;" kJ/kg"</f>
        <v>#VALUE!</v>
      </c>
      <c r="AA33" s="314"/>
      <c r="AB33" s="314"/>
      <c r="AC33" s="296"/>
      <c r="BD33" s="1790"/>
      <c r="BH33" s="1649">
        <f t="shared" si="61"/>
        <v>-28.5</v>
      </c>
      <c r="BI33" s="503">
        <v>100</v>
      </c>
      <c r="BJ33" s="1644">
        <f t="shared" si="0"/>
        <v>244.64999999999998</v>
      </c>
      <c r="BK33" s="1644">
        <f t="shared" si="1"/>
        <v>-19.169665618971052</v>
      </c>
      <c r="BL33" s="1644">
        <f t="shared" si="2"/>
        <v>22.962769073623246</v>
      </c>
      <c r="BM33" s="1644">
        <f t="shared" si="3"/>
        <v>4.4393961354184115E-2</v>
      </c>
      <c r="BN33" s="1644">
        <f t="shared" si="4"/>
        <v>4.4393961354184115E-2</v>
      </c>
      <c r="BO33" s="1644">
        <f t="shared" si="5"/>
        <v>2.7263024149499479E-4</v>
      </c>
      <c r="BP33" s="1644">
        <f t="shared" si="6"/>
        <v>1</v>
      </c>
      <c r="BQ33" s="1644">
        <f t="shared" si="7"/>
        <v>0.69350903737257286</v>
      </c>
      <c r="BR33" s="1648">
        <f t="shared" si="8"/>
        <v>-28.003176547219123</v>
      </c>
      <c r="BS33" s="521">
        <f t="shared" si="9"/>
        <v>-28.5</v>
      </c>
      <c r="BT33" s="522">
        <f t="shared" si="10"/>
        <v>2.7263024149499479E-4</v>
      </c>
      <c r="BV33" s="1647" t="str">
        <f t="shared" si="11"/>
        <v>n/a</v>
      </c>
      <c r="BW33" s="1671">
        <v>23</v>
      </c>
      <c r="BX33" s="1644" t="e">
        <f t="shared" si="12"/>
        <v>#VALUE!</v>
      </c>
      <c r="BY33" s="1644" t="e">
        <f t="shared" si="13"/>
        <v>#VALUE!</v>
      </c>
      <c r="BZ33" s="1644" t="e">
        <f t="shared" si="14"/>
        <v>#VALUE!</v>
      </c>
      <c r="CA33" s="1644" t="e">
        <f t="shared" si="15"/>
        <v>#VALUE!</v>
      </c>
      <c r="CB33" s="1644" t="e">
        <f t="shared" si="16"/>
        <v>#VALUE!</v>
      </c>
      <c r="CC33" s="1644" t="e">
        <f t="shared" si="17"/>
        <v>#VALUE!</v>
      </c>
      <c r="CD33" s="1644" t="e">
        <f t="shared" si="18"/>
        <v>#VALUE!</v>
      </c>
      <c r="CE33" s="1644" t="e">
        <f t="shared" si="19"/>
        <v>#VALUE!</v>
      </c>
      <c r="CF33" s="505" t="e">
        <f t="shared" si="20"/>
        <v>#VALUE!</v>
      </c>
      <c r="CG33" s="1648" t="e">
        <f t="shared" si="21"/>
        <v>#VALUE!</v>
      </c>
      <c r="CH33" s="521" t="e">
        <f t="shared" si="22"/>
        <v>#VALUE!</v>
      </c>
      <c r="CI33" s="522" t="e">
        <f t="shared" si="23"/>
        <v>#VALUE!</v>
      </c>
      <c r="CJ33" s="1672"/>
      <c r="CK33" s="1647" t="str">
        <f t="shared" si="24"/>
        <v>n/a</v>
      </c>
      <c r="CL33" s="1671">
        <v>23</v>
      </c>
      <c r="CM33" s="1644" t="e">
        <f t="shared" si="25"/>
        <v>#VALUE!</v>
      </c>
      <c r="CN33" s="1644" t="e">
        <f t="shared" si="26"/>
        <v>#VALUE!</v>
      </c>
      <c r="CO33" s="1644" t="e">
        <f t="shared" si="27"/>
        <v>#VALUE!</v>
      </c>
      <c r="CP33" s="1644" t="e">
        <f t="shared" si="28"/>
        <v>#VALUE!</v>
      </c>
      <c r="CQ33" s="1644" t="e">
        <f t="shared" si="29"/>
        <v>#VALUE!</v>
      </c>
      <c r="CR33" s="1644" t="e">
        <f t="shared" si="30"/>
        <v>#VALUE!</v>
      </c>
      <c r="CS33" s="1644" t="e">
        <f t="shared" si="31"/>
        <v>#VALUE!</v>
      </c>
      <c r="CT33" s="1644" t="e">
        <f t="shared" si="32"/>
        <v>#VALUE!</v>
      </c>
      <c r="CU33" s="505" t="e">
        <f t="shared" si="33"/>
        <v>#VALUE!</v>
      </c>
      <c r="CV33" s="1648" t="e">
        <f t="shared" si="34"/>
        <v>#VALUE!</v>
      </c>
      <c r="CW33" s="521" t="e">
        <f t="shared" si="35"/>
        <v>#VALUE!</v>
      </c>
      <c r="CX33" s="522" t="e">
        <f t="shared" si="36"/>
        <v>#VALUE!</v>
      </c>
      <c r="CZ33" s="1647" t="str">
        <f t="shared" si="62"/>
        <v>n/a</v>
      </c>
      <c r="DA33" s="1671">
        <v>23</v>
      </c>
      <c r="DB33" s="1644" t="e">
        <f t="shared" si="37"/>
        <v>#VALUE!</v>
      </c>
      <c r="DC33" s="1644" t="e">
        <f t="shared" si="38"/>
        <v>#VALUE!</v>
      </c>
      <c r="DD33" s="1644" t="e">
        <f t="shared" si="39"/>
        <v>#VALUE!</v>
      </c>
      <c r="DE33" s="1644" t="e">
        <f t="shared" si="40"/>
        <v>#VALUE!</v>
      </c>
      <c r="DF33" s="1644" t="e">
        <f t="shared" si="41"/>
        <v>#VALUE!</v>
      </c>
      <c r="DG33" s="1644" t="e">
        <f t="shared" si="42"/>
        <v>#VALUE!</v>
      </c>
      <c r="DH33" s="1644" t="e">
        <f t="shared" si="43"/>
        <v>#VALUE!</v>
      </c>
      <c r="DI33" s="1644" t="e">
        <f t="shared" si="44"/>
        <v>#VALUE!</v>
      </c>
      <c r="DJ33" s="505" t="e">
        <f t="shared" si="45"/>
        <v>#VALUE!</v>
      </c>
      <c r="DK33" s="1648" t="e">
        <f t="shared" si="46"/>
        <v>#VALUE!</v>
      </c>
      <c r="DL33" s="521" t="e">
        <f t="shared" si="47"/>
        <v>#VALUE!</v>
      </c>
      <c r="DM33" s="522" t="e">
        <f t="shared" si="48"/>
        <v>#VALUE!</v>
      </c>
      <c r="DN33" s="1672"/>
      <c r="DO33" s="1647" t="str">
        <f t="shared" si="63"/>
        <v>n/a</v>
      </c>
      <c r="DP33" s="1671">
        <v>23</v>
      </c>
      <c r="DQ33" s="1644" t="e">
        <f t="shared" si="49"/>
        <v>#VALUE!</v>
      </c>
      <c r="DR33" s="1644" t="e">
        <f t="shared" si="50"/>
        <v>#VALUE!</v>
      </c>
      <c r="DS33" s="1644" t="e">
        <f t="shared" si="51"/>
        <v>#VALUE!</v>
      </c>
      <c r="DT33" s="1644" t="e">
        <f t="shared" si="52"/>
        <v>#VALUE!</v>
      </c>
      <c r="DU33" s="1644" t="e">
        <f t="shared" si="53"/>
        <v>#VALUE!</v>
      </c>
      <c r="DV33" s="1644" t="e">
        <f t="shared" si="54"/>
        <v>#VALUE!</v>
      </c>
      <c r="DW33" s="1644" t="e">
        <f t="shared" si="55"/>
        <v>#VALUE!</v>
      </c>
      <c r="DX33" s="1644" t="e">
        <f t="shared" si="56"/>
        <v>#VALUE!</v>
      </c>
      <c r="DY33" s="505" t="e">
        <f t="shared" si="57"/>
        <v>#VALUE!</v>
      </c>
      <c r="DZ33" s="1648" t="e">
        <f t="shared" si="58"/>
        <v>#VALUE!</v>
      </c>
      <c r="EA33" s="521" t="e">
        <f t="shared" si="59"/>
        <v>#VALUE!</v>
      </c>
      <c r="EB33" s="522" t="e">
        <f t="shared" si="60"/>
        <v>#VALUE!</v>
      </c>
    </row>
    <row r="34" spans="2:132" ht="15" customHeight="1">
      <c r="B34" s="697"/>
      <c r="C34" s="297"/>
      <c r="D34" s="2064"/>
      <c r="E34" s="297"/>
      <c r="F34" s="297"/>
      <c r="G34" s="295"/>
      <c r="M34" s="1684" t="s">
        <v>2361</v>
      </c>
      <c r="N34" s="376" t="s">
        <v>5</v>
      </c>
      <c r="O34" s="1663" t="str">
        <f>IF(OR(M33="n/a",O33="n/a",S33="n/a"),"n/a",M33/O33/P33+S33)</f>
        <v>n/a</v>
      </c>
      <c r="P34" s="374" t="s">
        <v>2315</v>
      </c>
      <c r="Q34" s="1440"/>
      <c r="R34" s="1440"/>
      <c r="T34" s="295"/>
      <c r="BH34" s="1649">
        <f t="shared" si="61"/>
        <v>-28</v>
      </c>
      <c r="BI34" s="503">
        <v>100</v>
      </c>
      <c r="BJ34" s="1644">
        <f t="shared" si="0"/>
        <v>245.14999999999998</v>
      </c>
      <c r="BK34" s="1644">
        <f t="shared" si="1"/>
        <v>-19.127197777205659</v>
      </c>
      <c r="BL34" s="1644">
        <f t="shared" si="2"/>
        <v>22.971580650342567</v>
      </c>
      <c r="BM34" s="1644">
        <f t="shared" si="3"/>
        <v>4.6729837212803854E-2</v>
      </c>
      <c r="BN34" s="1644">
        <f t="shared" si="4"/>
        <v>4.6729837212803854E-2</v>
      </c>
      <c r="BO34" s="1644">
        <f t="shared" si="5"/>
        <v>2.869818382847848E-4</v>
      </c>
      <c r="BP34" s="1644">
        <f t="shared" si="6"/>
        <v>1</v>
      </c>
      <c r="BQ34" s="1644">
        <f t="shared" si="7"/>
        <v>0.69494241477481922</v>
      </c>
      <c r="BR34" s="1648">
        <f t="shared" si="8"/>
        <v>-27.464762484556665</v>
      </c>
      <c r="BS34" s="521">
        <f t="shared" si="9"/>
        <v>-28</v>
      </c>
      <c r="BT34" s="522">
        <f t="shared" si="10"/>
        <v>2.869818382847848E-4</v>
      </c>
      <c r="BV34" s="1647" t="str">
        <f t="shared" si="11"/>
        <v>n/a</v>
      </c>
      <c r="BW34" s="1671">
        <v>24</v>
      </c>
      <c r="BX34" s="1644" t="e">
        <f t="shared" si="12"/>
        <v>#VALUE!</v>
      </c>
      <c r="BY34" s="1644" t="e">
        <f t="shared" si="13"/>
        <v>#VALUE!</v>
      </c>
      <c r="BZ34" s="1644" t="e">
        <f t="shared" si="14"/>
        <v>#VALUE!</v>
      </c>
      <c r="CA34" s="1644" t="e">
        <f t="shared" si="15"/>
        <v>#VALUE!</v>
      </c>
      <c r="CB34" s="1644" t="e">
        <f t="shared" si="16"/>
        <v>#VALUE!</v>
      </c>
      <c r="CC34" s="1644" t="e">
        <f t="shared" si="17"/>
        <v>#VALUE!</v>
      </c>
      <c r="CD34" s="1644" t="e">
        <f t="shared" si="18"/>
        <v>#VALUE!</v>
      </c>
      <c r="CE34" s="1644" t="e">
        <f t="shared" si="19"/>
        <v>#VALUE!</v>
      </c>
      <c r="CF34" s="505" t="e">
        <f t="shared" si="20"/>
        <v>#VALUE!</v>
      </c>
      <c r="CG34" s="1648" t="e">
        <f t="shared" si="21"/>
        <v>#VALUE!</v>
      </c>
      <c r="CH34" s="521" t="e">
        <f t="shared" si="22"/>
        <v>#VALUE!</v>
      </c>
      <c r="CI34" s="522" t="e">
        <f t="shared" si="23"/>
        <v>#VALUE!</v>
      </c>
      <c r="CJ34" s="1672"/>
      <c r="CK34" s="1647" t="str">
        <f t="shared" si="24"/>
        <v>n/a</v>
      </c>
      <c r="CL34" s="1671">
        <v>24</v>
      </c>
      <c r="CM34" s="1644" t="e">
        <f t="shared" si="25"/>
        <v>#VALUE!</v>
      </c>
      <c r="CN34" s="1644" t="e">
        <f t="shared" si="26"/>
        <v>#VALUE!</v>
      </c>
      <c r="CO34" s="1644" t="e">
        <f t="shared" si="27"/>
        <v>#VALUE!</v>
      </c>
      <c r="CP34" s="1644" t="e">
        <f t="shared" si="28"/>
        <v>#VALUE!</v>
      </c>
      <c r="CQ34" s="1644" t="e">
        <f t="shared" si="29"/>
        <v>#VALUE!</v>
      </c>
      <c r="CR34" s="1644" t="e">
        <f t="shared" si="30"/>
        <v>#VALUE!</v>
      </c>
      <c r="CS34" s="1644" t="e">
        <f t="shared" si="31"/>
        <v>#VALUE!</v>
      </c>
      <c r="CT34" s="1644" t="e">
        <f t="shared" si="32"/>
        <v>#VALUE!</v>
      </c>
      <c r="CU34" s="505" t="e">
        <f t="shared" si="33"/>
        <v>#VALUE!</v>
      </c>
      <c r="CV34" s="1648" t="e">
        <f t="shared" si="34"/>
        <v>#VALUE!</v>
      </c>
      <c r="CW34" s="521" t="e">
        <f t="shared" si="35"/>
        <v>#VALUE!</v>
      </c>
      <c r="CX34" s="522" t="e">
        <f t="shared" si="36"/>
        <v>#VALUE!</v>
      </c>
      <c r="CZ34" s="1647" t="str">
        <f t="shared" si="62"/>
        <v>n/a</v>
      </c>
      <c r="DA34" s="1671">
        <v>24</v>
      </c>
      <c r="DB34" s="1644" t="e">
        <f t="shared" si="37"/>
        <v>#VALUE!</v>
      </c>
      <c r="DC34" s="1644" t="e">
        <f t="shared" si="38"/>
        <v>#VALUE!</v>
      </c>
      <c r="DD34" s="1644" t="e">
        <f t="shared" si="39"/>
        <v>#VALUE!</v>
      </c>
      <c r="DE34" s="1644" t="e">
        <f t="shared" si="40"/>
        <v>#VALUE!</v>
      </c>
      <c r="DF34" s="1644" t="e">
        <f t="shared" si="41"/>
        <v>#VALUE!</v>
      </c>
      <c r="DG34" s="1644" t="e">
        <f t="shared" si="42"/>
        <v>#VALUE!</v>
      </c>
      <c r="DH34" s="1644" t="e">
        <f t="shared" si="43"/>
        <v>#VALUE!</v>
      </c>
      <c r="DI34" s="1644" t="e">
        <f t="shared" si="44"/>
        <v>#VALUE!</v>
      </c>
      <c r="DJ34" s="505" t="e">
        <f t="shared" si="45"/>
        <v>#VALUE!</v>
      </c>
      <c r="DK34" s="1648" t="e">
        <f t="shared" si="46"/>
        <v>#VALUE!</v>
      </c>
      <c r="DL34" s="521" t="e">
        <f t="shared" si="47"/>
        <v>#VALUE!</v>
      </c>
      <c r="DM34" s="522" t="e">
        <f t="shared" si="48"/>
        <v>#VALUE!</v>
      </c>
      <c r="DN34" s="1672"/>
      <c r="DO34" s="1647" t="str">
        <f t="shared" si="63"/>
        <v>n/a</v>
      </c>
      <c r="DP34" s="1671">
        <v>24</v>
      </c>
      <c r="DQ34" s="1644" t="e">
        <f t="shared" si="49"/>
        <v>#VALUE!</v>
      </c>
      <c r="DR34" s="1644" t="e">
        <f t="shared" si="50"/>
        <v>#VALUE!</v>
      </c>
      <c r="DS34" s="1644" t="e">
        <f t="shared" si="51"/>
        <v>#VALUE!</v>
      </c>
      <c r="DT34" s="1644" t="e">
        <f t="shared" si="52"/>
        <v>#VALUE!</v>
      </c>
      <c r="DU34" s="1644" t="e">
        <f t="shared" si="53"/>
        <v>#VALUE!</v>
      </c>
      <c r="DV34" s="1644" t="e">
        <f t="shared" si="54"/>
        <v>#VALUE!</v>
      </c>
      <c r="DW34" s="1644" t="e">
        <f t="shared" si="55"/>
        <v>#VALUE!</v>
      </c>
      <c r="DX34" s="1644" t="e">
        <f t="shared" si="56"/>
        <v>#VALUE!</v>
      </c>
      <c r="DY34" s="505" t="e">
        <f t="shared" si="57"/>
        <v>#VALUE!</v>
      </c>
      <c r="DZ34" s="1648" t="e">
        <f t="shared" si="58"/>
        <v>#VALUE!</v>
      </c>
      <c r="EA34" s="521" t="e">
        <f t="shared" si="59"/>
        <v>#VALUE!</v>
      </c>
      <c r="EB34" s="522" t="e">
        <f t="shared" si="60"/>
        <v>#VALUE!</v>
      </c>
    </row>
    <row r="35" spans="2:132" ht="13.5" customHeight="1">
      <c r="B35" s="697"/>
      <c r="D35" s="2064"/>
      <c r="E35" s="297"/>
      <c r="F35" s="297"/>
      <c r="G35" s="295"/>
      <c r="M35" s="1224" t="s">
        <v>2352</v>
      </c>
      <c r="N35" s="298"/>
      <c r="O35" s="302"/>
      <c r="P35" s="302"/>
      <c r="Q35" s="302"/>
      <c r="R35" s="302"/>
      <c r="S35" s="302"/>
      <c r="T35" s="320"/>
      <c r="BH35" s="1649">
        <f t="shared" si="61"/>
        <v>-27.5</v>
      </c>
      <c r="BI35" s="503">
        <v>100</v>
      </c>
      <c r="BJ35" s="1644">
        <f t="shared" si="0"/>
        <v>245.64999999999998</v>
      </c>
      <c r="BK35" s="1644">
        <f t="shared" si="1"/>
        <v>-19.084922513348946</v>
      </c>
      <c r="BL35" s="1644">
        <f t="shared" si="2"/>
        <v>22.980375810575698</v>
      </c>
      <c r="BM35" s="1644">
        <f t="shared" si="3"/>
        <v>4.9178340716367425E-2</v>
      </c>
      <c r="BN35" s="1644">
        <f t="shared" si="4"/>
        <v>4.9178340716367425E-2</v>
      </c>
      <c r="BO35" s="1644">
        <f t="shared" si="5"/>
        <v>3.0202612881948719E-4</v>
      </c>
      <c r="BP35" s="1644">
        <f t="shared" si="6"/>
        <v>1</v>
      </c>
      <c r="BQ35" s="1644">
        <f t="shared" si="7"/>
        <v>0.69637663274493633</v>
      </c>
      <c r="BR35" s="1648">
        <f t="shared" si="8"/>
        <v>-26.924624473791738</v>
      </c>
      <c r="BS35" s="521">
        <f t="shared" si="9"/>
        <v>-27.5</v>
      </c>
      <c r="BT35" s="522">
        <f t="shared" si="10"/>
        <v>3.0202612881948719E-4</v>
      </c>
      <c r="BV35" s="1647" t="str">
        <f t="shared" si="11"/>
        <v>n/a</v>
      </c>
      <c r="BW35" s="1671">
        <v>25</v>
      </c>
      <c r="BX35" s="1644" t="e">
        <f t="shared" si="12"/>
        <v>#VALUE!</v>
      </c>
      <c r="BY35" s="1644" t="e">
        <f t="shared" si="13"/>
        <v>#VALUE!</v>
      </c>
      <c r="BZ35" s="1644" t="e">
        <f t="shared" si="14"/>
        <v>#VALUE!</v>
      </c>
      <c r="CA35" s="1644" t="e">
        <f t="shared" si="15"/>
        <v>#VALUE!</v>
      </c>
      <c r="CB35" s="1644" t="e">
        <f t="shared" si="16"/>
        <v>#VALUE!</v>
      </c>
      <c r="CC35" s="1644" t="e">
        <f t="shared" si="17"/>
        <v>#VALUE!</v>
      </c>
      <c r="CD35" s="1644" t="e">
        <f t="shared" si="18"/>
        <v>#VALUE!</v>
      </c>
      <c r="CE35" s="1644" t="e">
        <f t="shared" si="19"/>
        <v>#VALUE!</v>
      </c>
      <c r="CF35" s="505" t="e">
        <f t="shared" si="20"/>
        <v>#VALUE!</v>
      </c>
      <c r="CG35" s="1648" t="e">
        <f t="shared" si="21"/>
        <v>#VALUE!</v>
      </c>
      <c r="CH35" s="521" t="e">
        <f t="shared" si="22"/>
        <v>#VALUE!</v>
      </c>
      <c r="CI35" s="522" t="e">
        <f t="shared" si="23"/>
        <v>#VALUE!</v>
      </c>
      <c r="CJ35" s="1672"/>
      <c r="CK35" s="1647" t="str">
        <f t="shared" si="24"/>
        <v>n/a</v>
      </c>
      <c r="CL35" s="1671">
        <v>25</v>
      </c>
      <c r="CM35" s="1644" t="e">
        <f t="shared" si="25"/>
        <v>#VALUE!</v>
      </c>
      <c r="CN35" s="1644" t="e">
        <f t="shared" si="26"/>
        <v>#VALUE!</v>
      </c>
      <c r="CO35" s="1644" t="e">
        <f t="shared" si="27"/>
        <v>#VALUE!</v>
      </c>
      <c r="CP35" s="1644" t="e">
        <f t="shared" si="28"/>
        <v>#VALUE!</v>
      </c>
      <c r="CQ35" s="1644" t="e">
        <f t="shared" si="29"/>
        <v>#VALUE!</v>
      </c>
      <c r="CR35" s="1644" t="e">
        <f t="shared" si="30"/>
        <v>#VALUE!</v>
      </c>
      <c r="CS35" s="1644" t="e">
        <f t="shared" si="31"/>
        <v>#VALUE!</v>
      </c>
      <c r="CT35" s="1644" t="e">
        <f t="shared" si="32"/>
        <v>#VALUE!</v>
      </c>
      <c r="CU35" s="505" t="e">
        <f t="shared" si="33"/>
        <v>#VALUE!</v>
      </c>
      <c r="CV35" s="1648" t="e">
        <f t="shared" si="34"/>
        <v>#VALUE!</v>
      </c>
      <c r="CW35" s="521" t="e">
        <f t="shared" si="35"/>
        <v>#VALUE!</v>
      </c>
      <c r="CX35" s="522" t="e">
        <f t="shared" si="36"/>
        <v>#VALUE!</v>
      </c>
      <c r="CZ35" s="1647" t="str">
        <f t="shared" si="62"/>
        <v>n/a</v>
      </c>
      <c r="DA35" s="1671">
        <v>25</v>
      </c>
      <c r="DB35" s="1644" t="e">
        <f t="shared" si="37"/>
        <v>#VALUE!</v>
      </c>
      <c r="DC35" s="1644" t="e">
        <f t="shared" si="38"/>
        <v>#VALUE!</v>
      </c>
      <c r="DD35" s="1644" t="e">
        <f t="shared" si="39"/>
        <v>#VALUE!</v>
      </c>
      <c r="DE35" s="1644" t="e">
        <f t="shared" si="40"/>
        <v>#VALUE!</v>
      </c>
      <c r="DF35" s="1644" t="e">
        <f t="shared" si="41"/>
        <v>#VALUE!</v>
      </c>
      <c r="DG35" s="1644" t="e">
        <f t="shared" si="42"/>
        <v>#VALUE!</v>
      </c>
      <c r="DH35" s="1644" t="e">
        <f t="shared" si="43"/>
        <v>#VALUE!</v>
      </c>
      <c r="DI35" s="1644" t="e">
        <f t="shared" si="44"/>
        <v>#VALUE!</v>
      </c>
      <c r="DJ35" s="505" t="e">
        <f t="shared" si="45"/>
        <v>#VALUE!</v>
      </c>
      <c r="DK35" s="1648" t="e">
        <f t="shared" si="46"/>
        <v>#VALUE!</v>
      </c>
      <c r="DL35" s="521" t="e">
        <f t="shared" si="47"/>
        <v>#VALUE!</v>
      </c>
      <c r="DM35" s="522" t="e">
        <f t="shared" si="48"/>
        <v>#VALUE!</v>
      </c>
      <c r="DN35" s="1672"/>
      <c r="DO35" s="1647" t="str">
        <f t="shared" si="63"/>
        <v>n/a</v>
      </c>
      <c r="DP35" s="1671">
        <v>25</v>
      </c>
      <c r="DQ35" s="1644" t="e">
        <f t="shared" si="49"/>
        <v>#VALUE!</v>
      </c>
      <c r="DR35" s="1644" t="e">
        <f t="shared" si="50"/>
        <v>#VALUE!</v>
      </c>
      <c r="DS35" s="1644" t="e">
        <f t="shared" si="51"/>
        <v>#VALUE!</v>
      </c>
      <c r="DT35" s="1644" t="e">
        <f t="shared" si="52"/>
        <v>#VALUE!</v>
      </c>
      <c r="DU35" s="1644" t="e">
        <f t="shared" si="53"/>
        <v>#VALUE!</v>
      </c>
      <c r="DV35" s="1644" t="e">
        <f t="shared" si="54"/>
        <v>#VALUE!</v>
      </c>
      <c r="DW35" s="1644" t="e">
        <f t="shared" si="55"/>
        <v>#VALUE!</v>
      </c>
      <c r="DX35" s="1644" t="e">
        <f t="shared" si="56"/>
        <v>#VALUE!</v>
      </c>
      <c r="DY35" s="505" t="e">
        <f t="shared" si="57"/>
        <v>#VALUE!</v>
      </c>
      <c r="DZ35" s="1648" t="e">
        <f t="shared" si="58"/>
        <v>#VALUE!</v>
      </c>
      <c r="EA35" s="521" t="e">
        <f t="shared" si="59"/>
        <v>#VALUE!</v>
      </c>
      <c r="EB35" s="522" t="e">
        <f t="shared" si="60"/>
        <v>#VALUE!</v>
      </c>
    </row>
    <row r="36" spans="2:132" ht="13.5" customHeight="1">
      <c r="B36" s="697" t="s">
        <v>2324</v>
      </c>
      <c r="C36" s="1640" t="s">
        <v>2322</v>
      </c>
      <c r="D36" s="2064"/>
      <c r="E36" s="1665" t="s">
        <v>2322</v>
      </c>
      <c r="F36" s="2070" t="s">
        <v>2323</v>
      </c>
      <c r="G36" s="2071"/>
      <c r="H36" s="2061" t="str">
        <f>IF(X22&lt;=J11,"**Condensation occurs at exhaust outlet","")</f>
        <v/>
      </c>
      <c r="I36" s="2062"/>
      <c r="M36" s="697" t="s">
        <v>2292</v>
      </c>
      <c r="N36" s="297" t="s">
        <v>5</v>
      </c>
      <c r="O36" s="297" t="s">
        <v>2350</v>
      </c>
      <c r="P36" s="297" t="s">
        <v>137</v>
      </c>
      <c r="Q36" s="297" t="s">
        <v>1108</v>
      </c>
      <c r="R36" s="297" t="s">
        <v>2307</v>
      </c>
      <c r="S36" s="297" t="s">
        <v>2298</v>
      </c>
      <c r="T36" s="295"/>
      <c r="BH36" s="1649">
        <f t="shared" si="61"/>
        <v>-27</v>
      </c>
      <c r="BI36" s="503">
        <v>100</v>
      </c>
      <c r="BJ36" s="1644">
        <f t="shared" si="0"/>
        <v>246.14999999999998</v>
      </c>
      <c r="BK36" s="1644">
        <f t="shared" si="1"/>
        <v>-19.04283865386093</v>
      </c>
      <c r="BL36" s="1644">
        <f t="shared" si="2"/>
        <v>22.989154625613782</v>
      </c>
      <c r="BM36" s="1644">
        <f t="shared" si="3"/>
        <v>5.1744387479055229E-2</v>
      </c>
      <c r="BN36" s="1644">
        <f t="shared" si="4"/>
        <v>5.1744387479055229E-2</v>
      </c>
      <c r="BO36" s="1644">
        <f t="shared" si="5"/>
        <v>3.1779341870237754E-4</v>
      </c>
      <c r="BP36" s="1644">
        <f t="shared" si="6"/>
        <v>1</v>
      </c>
      <c r="BQ36" s="1644">
        <f t="shared" si="7"/>
        <v>0.69781173000016627</v>
      </c>
      <c r="BR36" s="1648">
        <f t="shared" si="8"/>
        <v>-26.382686322085814</v>
      </c>
      <c r="BS36" s="521">
        <f t="shared" si="9"/>
        <v>-27</v>
      </c>
      <c r="BT36" s="522">
        <f t="shared" si="10"/>
        <v>3.1779341870237754E-4</v>
      </c>
      <c r="BV36" s="1647" t="str">
        <f t="shared" si="11"/>
        <v>n/a</v>
      </c>
      <c r="BW36" s="1671">
        <v>26</v>
      </c>
      <c r="BX36" s="1644" t="e">
        <f t="shared" si="12"/>
        <v>#VALUE!</v>
      </c>
      <c r="BY36" s="1644" t="e">
        <f t="shared" si="13"/>
        <v>#VALUE!</v>
      </c>
      <c r="BZ36" s="1644" t="e">
        <f t="shared" si="14"/>
        <v>#VALUE!</v>
      </c>
      <c r="CA36" s="1644" t="e">
        <f t="shared" si="15"/>
        <v>#VALUE!</v>
      </c>
      <c r="CB36" s="1644" t="e">
        <f t="shared" si="16"/>
        <v>#VALUE!</v>
      </c>
      <c r="CC36" s="1644" t="e">
        <f t="shared" si="17"/>
        <v>#VALUE!</v>
      </c>
      <c r="CD36" s="1644" t="e">
        <f t="shared" si="18"/>
        <v>#VALUE!</v>
      </c>
      <c r="CE36" s="1644" t="e">
        <f t="shared" si="19"/>
        <v>#VALUE!</v>
      </c>
      <c r="CF36" s="505" t="e">
        <f t="shared" si="20"/>
        <v>#VALUE!</v>
      </c>
      <c r="CG36" s="1648" t="e">
        <f t="shared" si="21"/>
        <v>#VALUE!</v>
      </c>
      <c r="CH36" s="521" t="e">
        <f t="shared" si="22"/>
        <v>#VALUE!</v>
      </c>
      <c r="CI36" s="522" t="e">
        <f t="shared" si="23"/>
        <v>#VALUE!</v>
      </c>
      <c r="CJ36" s="1672"/>
      <c r="CK36" s="1647" t="str">
        <f t="shared" si="24"/>
        <v>n/a</v>
      </c>
      <c r="CL36" s="1671">
        <v>26</v>
      </c>
      <c r="CM36" s="1644" t="e">
        <f t="shared" si="25"/>
        <v>#VALUE!</v>
      </c>
      <c r="CN36" s="1644" t="e">
        <f t="shared" si="26"/>
        <v>#VALUE!</v>
      </c>
      <c r="CO36" s="1644" t="e">
        <f t="shared" si="27"/>
        <v>#VALUE!</v>
      </c>
      <c r="CP36" s="1644" t="e">
        <f t="shared" si="28"/>
        <v>#VALUE!</v>
      </c>
      <c r="CQ36" s="1644" t="e">
        <f t="shared" si="29"/>
        <v>#VALUE!</v>
      </c>
      <c r="CR36" s="1644" t="e">
        <f t="shared" si="30"/>
        <v>#VALUE!</v>
      </c>
      <c r="CS36" s="1644" t="e">
        <f t="shared" si="31"/>
        <v>#VALUE!</v>
      </c>
      <c r="CT36" s="1644" t="e">
        <f t="shared" si="32"/>
        <v>#VALUE!</v>
      </c>
      <c r="CU36" s="505" t="e">
        <f t="shared" si="33"/>
        <v>#VALUE!</v>
      </c>
      <c r="CV36" s="1648" t="e">
        <f t="shared" si="34"/>
        <v>#VALUE!</v>
      </c>
      <c r="CW36" s="521" t="e">
        <f t="shared" si="35"/>
        <v>#VALUE!</v>
      </c>
      <c r="CX36" s="522" t="e">
        <f t="shared" si="36"/>
        <v>#VALUE!</v>
      </c>
      <c r="CZ36" s="1647" t="str">
        <f t="shared" si="62"/>
        <v>n/a</v>
      </c>
      <c r="DA36" s="1671">
        <v>26</v>
      </c>
      <c r="DB36" s="1644" t="e">
        <f t="shared" si="37"/>
        <v>#VALUE!</v>
      </c>
      <c r="DC36" s="1644" t="e">
        <f t="shared" si="38"/>
        <v>#VALUE!</v>
      </c>
      <c r="DD36" s="1644" t="e">
        <f t="shared" si="39"/>
        <v>#VALUE!</v>
      </c>
      <c r="DE36" s="1644" t="e">
        <f t="shared" si="40"/>
        <v>#VALUE!</v>
      </c>
      <c r="DF36" s="1644" t="e">
        <f t="shared" si="41"/>
        <v>#VALUE!</v>
      </c>
      <c r="DG36" s="1644" t="e">
        <f t="shared" si="42"/>
        <v>#VALUE!</v>
      </c>
      <c r="DH36" s="1644" t="e">
        <f t="shared" si="43"/>
        <v>#VALUE!</v>
      </c>
      <c r="DI36" s="1644" t="e">
        <f t="shared" si="44"/>
        <v>#VALUE!</v>
      </c>
      <c r="DJ36" s="505" t="e">
        <f t="shared" si="45"/>
        <v>#VALUE!</v>
      </c>
      <c r="DK36" s="1648" t="e">
        <f t="shared" si="46"/>
        <v>#VALUE!</v>
      </c>
      <c r="DL36" s="521" t="e">
        <f t="shared" si="47"/>
        <v>#VALUE!</v>
      </c>
      <c r="DM36" s="522" t="e">
        <f t="shared" si="48"/>
        <v>#VALUE!</v>
      </c>
      <c r="DN36" s="1672"/>
      <c r="DO36" s="1647" t="str">
        <f t="shared" si="63"/>
        <v>n/a</v>
      </c>
      <c r="DP36" s="1671">
        <v>26</v>
      </c>
      <c r="DQ36" s="1644" t="e">
        <f t="shared" si="49"/>
        <v>#VALUE!</v>
      </c>
      <c r="DR36" s="1644" t="e">
        <f t="shared" si="50"/>
        <v>#VALUE!</v>
      </c>
      <c r="DS36" s="1644" t="e">
        <f t="shared" si="51"/>
        <v>#VALUE!</v>
      </c>
      <c r="DT36" s="1644" t="e">
        <f t="shared" si="52"/>
        <v>#VALUE!</v>
      </c>
      <c r="DU36" s="1644" t="e">
        <f t="shared" si="53"/>
        <v>#VALUE!</v>
      </c>
      <c r="DV36" s="1644" t="e">
        <f t="shared" si="54"/>
        <v>#VALUE!</v>
      </c>
      <c r="DW36" s="1644" t="e">
        <f t="shared" si="55"/>
        <v>#VALUE!</v>
      </c>
      <c r="DX36" s="1644" t="e">
        <f t="shared" si="56"/>
        <v>#VALUE!</v>
      </c>
      <c r="DY36" s="505" t="e">
        <f t="shared" si="57"/>
        <v>#VALUE!</v>
      </c>
      <c r="DZ36" s="1648" t="e">
        <f t="shared" si="58"/>
        <v>#VALUE!</v>
      </c>
      <c r="EA36" s="521" t="e">
        <f t="shared" si="59"/>
        <v>#VALUE!</v>
      </c>
      <c r="EB36" s="522" t="e">
        <f t="shared" si="60"/>
        <v>#VALUE!</v>
      </c>
    </row>
    <row r="37" spans="2:132" ht="13.5" customHeight="1">
      <c r="B37" s="1654" t="str">
        <f>IF(X22="n/a","-",IF(X22&lt;=J11,ROUND(X33,1)&amp;"/ "&amp;ROUND(X33,1),ROUND(X22,1)&amp;"/ "&amp;ROUND(X24,1)))</f>
        <v>-</v>
      </c>
      <c r="C37" s="317"/>
      <c r="D37" s="2065"/>
      <c r="E37" s="317"/>
      <c r="F37" s="2068" t="str">
        <f>IF(I11="-","-",ROUND(D11,1)&amp;"/ "&amp;ROUND(BF13,1))</f>
        <v>-</v>
      </c>
      <c r="G37" s="2069"/>
      <c r="H37" s="2061"/>
      <c r="I37" s="2062"/>
      <c r="M37" s="706" t="str">
        <f>O8</f>
        <v>n/a</v>
      </c>
      <c r="N37" s="297" t="s">
        <v>5</v>
      </c>
      <c r="O37" s="304" t="str">
        <f>IF(D15&gt;0,D15,"n/a")</f>
        <v>n/a</v>
      </c>
      <c r="P37" s="1626">
        <f>G4*1.02</f>
        <v>1.224</v>
      </c>
      <c r="Q37" s="297" t="s">
        <v>1108</v>
      </c>
      <c r="R37" s="297" t="s">
        <v>2307</v>
      </c>
      <c r="S37" s="380" t="str">
        <f>I10</f>
        <v>-</v>
      </c>
      <c r="T37" s="295"/>
      <c r="BH37" s="1649">
        <f t="shared" si="61"/>
        <v>-26.5</v>
      </c>
      <c r="BI37" s="503">
        <v>100</v>
      </c>
      <c r="BJ37" s="1644">
        <f t="shared" si="0"/>
        <v>246.64999999999998</v>
      </c>
      <c r="BK37" s="1644">
        <f t="shared" si="1"/>
        <v>-19.000945034717486</v>
      </c>
      <c r="BL37" s="1644">
        <f t="shared" si="2"/>
        <v>22.997917166317752</v>
      </c>
      <c r="BM37" s="1644">
        <f t="shared" si="3"/>
        <v>5.443308404512967E-2</v>
      </c>
      <c r="BN37" s="1644">
        <f t="shared" si="4"/>
        <v>5.443308404512967E-2</v>
      </c>
      <c r="BO37" s="1644">
        <f t="shared" si="5"/>
        <v>3.3431519784506901E-4</v>
      </c>
      <c r="BP37" s="1644">
        <f t="shared" si="6"/>
        <v>1</v>
      </c>
      <c r="BQ37" s="1644">
        <f t="shared" si="7"/>
        <v>0.69924774686461877</v>
      </c>
      <c r="BR37" s="1648">
        <f t="shared" si="8"/>
        <v>-25.838868821890404</v>
      </c>
      <c r="BS37" s="521">
        <f t="shared" si="9"/>
        <v>-26.5</v>
      </c>
      <c r="BT37" s="522">
        <f t="shared" si="10"/>
        <v>3.3431519784506901E-4</v>
      </c>
      <c r="BV37" s="1647" t="str">
        <f t="shared" si="11"/>
        <v>n/a</v>
      </c>
      <c r="BW37" s="1671">
        <v>27</v>
      </c>
      <c r="BX37" s="1644" t="e">
        <f t="shared" si="12"/>
        <v>#VALUE!</v>
      </c>
      <c r="BY37" s="1644" t="e">
        <f t="shared" si="13"/>
        <v>#VALUE!</v>
      </c>
      <c r="BZ37" s="1644" t="e">
        <f t="shared" si="14"/>
        <v>#VALUE!</v>
      </c>
      <c r="CA37" s="1644" t="e">
        <f t="shared" si="15"/>
        <v>#VALUE!</v>
      </c>
      <c r="CB37" s="1644" t="e">
        <f t="shared" si="16"/>
        <v>#VALUE!</v>
      </c>
      <c r="CC37" s="1644" t="e">
        <f t="shared" si="17"/>
        <v>#VALUE!</v>
      </c>
      <c r="CD37" s="1644" t="e">
        <f t="shared" si="18"/>
        <v>#VALUE!</v>
      </c>
      <c r="CE37" s="1644" t="e">
        <f t="shared" si="19"/>
        <v>#VALUE!</v>
      </c>
      <c r="CF37" s="505" t="e">
        <f t="shared" si="20"/>
        <v>#VALUE!</v>
      </c>
      <c r="CG37" s="1648" t="e">
        <f t="shared" si="21"/>
        <v>#VALUE!</v>
      </c>
      <c r="CH37" s="521" t="e">
        <f t="shared" si="22"/>
        <v>#VALUE!</v>
      </c>
      <c r="CI37" s="522" t="e">
        <f t="shared" si="23"/>
        <v>#VALUE!</v>
      </c>
      <c r="CJ37" s="1672"/>
      <c r="CK37" s="1647" t="str">
        <f t="shared" si="24"/>
        <v>n/a</v>
      </c>
      <c r="CL37" s="1671">
        <v>27</v>
      </c>
      <c r="CM37" s="1644" t="e">
        <f t="shared" si="25"/>
        <v>#VALUE!</v>
      </c>
      <c r="CN37" s="1644" t="e">
        <f t="shared" si="26"/>
        <v>#VALUE!</v>
      </c>
      <c r="CO37" s="1644" t="e">
        <f t="shared" si="27"/>
        <v>#VALUE!</v>
      </c>
      <c r="CP37" s="1644" t="e">
        <f t="shared" si="28"/>
        <v>#VALUE!</v>
      </c>
      <c r="CQ37" s="1644" t="e">
        <f t="shared" si="29"/>
        <v>#VALUE!</v>
      </c>
      <c r="CR37" s="1644" t="e">
        <f t="shared" si="30"/>
        <v>#VALUE!</v>
      </c>
      <c r="CS37" s="1644" t="e">
        <f t="shared" si="31"/>
        <v>#VALUE!</v>
      </c>
      <c r="CT37" s="1644" t="e">
        <f t="shared" si="32"/>
        <v>#VALUE!</v>
      </c>
      <c r="CU37" s="505" t="e">
        <f t="shared" si="33"/>
        <v>#VALUE!</v>
      </c>
      <c r="CV37" s="1648" t="e">
        <f t="shared" si="34"/>
        <v>#VALUE!</v>
      </c>
      <c r="CW37" s="521" t="e">
        <f t="shared" si="35"/>
        <v>#VALUE!</v>
      </c>
      <c r="CX37" s="522" t="e">
        <f t="shared" si="36"/>
        <v>#VALUE!</v>
      </c>
      <c r="CZ37" s="1647" t="str">
        <f t="shared" si="62"/>
        <v>n/a</v>
      </c>
      <c r="DA37" s="1671">
        <v>27</v>
      </c>
      <c r="DB37" s="1644" t="e">
        <f t="shared" si="37"/>
        <v>#VALUE!</v>
      </c>
      <c r="DC37" s="1644" t="e">
        <f t="shared" si="38"/>
        <v>#VALUE!</v>
      </c>
      <c r="DD37" s="1644" t="e">
        <f t="shared" si="39"/>
        <v>#VALUE!</v>
      </c>
      <c r="DE37" s="1644" t="e">
        <f t="shared" si="40"/>
        <v>#VALUE!</v>
      </c>
      <c r="DF37" s="1644" t="e">
        <f t="shared" si="41"/>
        <v>#VALUE!</v>
      </c>
      <c r="DG37" s="1644" t="e">
        <f t="shared" si="42"/>
        <v>#VALUE!</v>
      </c>
      <c r="DH37" s="1644" t="e">
        <f t="shared" si="43"/>
        <v>#VALUE!</v>
      </c>
      <c r="DI37" s="1644" t="e">
        <f t="shared" si="44"/>
        <v>#VALUE!</v>
      </c>
      <c r="DJ37" s="505" t="e">
        <f t="shared" si="45"/>
        <v>#VALUE!</v>
      </c>
      <c r="DK37" s="1648" t="e">
        <f t="shared" si="46"/>
        <v>#VALUE!</v>
      </c>
      <c r="DL37" s="521" t="e">
        <f t="shared" si="47"/>
        <v>#VALUE!</v>
      </c>
      <c r="DM37" s="522" t="e">
        <f t="shared" si="48"/>
        <v>#VALUE!</v>
      </c>
      <c r="DN37" s="1672"/>
      <c r="DO37" s="1647" t="str">
        <f t="shared" si="63"/>
        <v>n/a</v>
      </c>
      <c r="DP37" s="1671">
        <v>27</v>
      </c>
      <c r="DQ37" s="1644" t="e">
        <f t="shared" si="49"/>
        <v>#VALUE!</v>
      </c>
      <c r="DR37" s="1644" t="e">
        <f t="shared" si="50"/>
        <v>#VALUE!</v>
      </c>
      <c r="DS37" s="1644" t="e">
        <f t="shared" si="51"/>
        <v>#VALUE!</v>
      </c>
      <c r="DT37" s="1644" t="e">
        <f t="shared" si="52"/>
        <v>#VALUE!</v>
      </c>
      <c r="DU37" s="1644" t="e">
        <f t="shared" si="53"/>
        <v>#VALUE!</v>
      </c>
      <c r="DV37" s="1644" t="e">
        <f t="shared" si="54"/>
        <v>#VALUE!</v>
      </c>
      <c r="DW37" s="1644" t="e">
        <f t="shared" si="55"/>
        <v>#VALUE!</v>
      </c>
      <c r="DX37" s="1644" t="e">
        <f t="shared" si="56"/>
        <v>#VALUE!</v>
      </c>
      <c r="DY37" s="505" t="e">
        <f t="shared" si="57"/>
        <v>#VALUE!</v>
      </c>
      <c r="DZ37" s="1648" t="e">
        <f t="shared" si="58"/>
        <v>#VALUE!</v>
      </c>
      <c r="EA37" s="521" t="e">
        <f t="shared" si="59"/>
        <v>#VALUE!</v>
      </c>
      <c r="EB37" s="522" t="e">
        <f t="shared" si="60"/>
        <v>#VALUE!</v>
      </c>
    </row>
    <row r="38" spans="2:132" ht="12" customHeight="1">
      <c r="B38" s="379"/>
      <c r="C38" s="314"/>
      <c r="D38" s="314"/>
      <c r="E38" s="314"/>
      <c r="F38" s="314"/>
      <c r="G38" s="296"/>
      <c r="H38" s="2061"/>
      <c r="I38" s="2062"/>
      <c r="M38" s="1683" t="s">
        <v>2359</v>
      </c>
      <c r="N38" s="1682" t="s">
        <v>5</v>
      </c>
      <c r="O38" s="1706" t="str">
        <f>IF(OR(AF1=1,M37="n/a",O33="n/a"),"n/a",S37+(M37/O37/P37))</f>
        <v>n/a</v>
      </c>
      <c r="P38" s="311" t="s">
        <v>136</v>
      </c>
      <c r="Q38" s="314"/>
      <c r="R38" s="314"/>
      <c r="S38" s="314"/>
      <c r="T38" s="296"/>
      <c r="U38" s="317"/>
      <c r="BH38" s="1649">
        <f t="shared" si="61"/>
        <v>-26</v>
      </c>
      <c r="BI38" s="503">
        <v>100</v>
      </c>
      <c r="BJ38" s="1644">
        <f t="shared" si="0"/>
        <v>247.14999999999998</v>
      </c>
      <c r="BK38" s="1644">
        <f t="shared" si="1"/>
        <v>-18.959240501314053</v>
      </c>
      <c r="BL38" s="1644">
        <f t="shared" si="2"/>
        <v>23.006663503121825</v>
      </c>
      <c r="BM38" s="1644">
        <f t="shared" si="3"/>
        <v>5.7249734324744915E-2</v>
      </c>
      <c r="BN38" s="1644">
        <f t="shared" si="4"/>
        <v>5.7249734324744915E-2</v>
      </c>
      <c r="BO38" s="1644">
        <f t="shared" si="5"/>
        <v>3.5162418106343826E-4</v>
      </c>
      <c r="BP38" s="1644">
        <f t="shared" si="6"/>
        <v>1</v>
      </c>
      <c r="BQ38" s="1644">
        <f t="shared" si="7"/>
        <v>0.70068472532846438</v>
      </c>
      <c r="BR38" s="1648">
        <f t="shared" si="8"/>
        <v>-25.293089645977648</v>
      </c>
      <c r="BS38" s="521">
        <f t="shared" si="9"/>
        <v>-26</v>
      </c>
      <c r="BT38" s="522">
        <f t="shared" si="10"/>
        <v>3.5162418106343826E-4</v>
      </c>
      <c r="BV38" s="1647" t="str">
        <f t="shared" si="11"/>
        <v>n/a</v>
      </c>
      <c r="BW38" s="1671">
        <v>28</v>
      </c>
      <c r="BX38" s="1644" t="e">
        <f t="shared" si="12"/>
        <v>#VALUE!</v>
      </c>
      <c r="BY38" s="1644" t="e">
        <f t="shared" si="13"/>
        <v>#VALUE!</v>
      </c>
      <c r="BZ38" s="1644" t="e">
        <f t="shared" si="14"/>
        <v>#VALUE!</v>
      </c>
      <c r="CA38" s="1644" t="e">
        <f t="shared" si="15"/>
        <v>#VALUE!</v>
      </c>
      <c r="CB38" s="1644" t="e">
        <f t="shared" si="16"/>
        <v>#VALUE!</v>
      </c>
      <c r="CC38" s="1644" t="e">
        <f t="shared" si="17"/>
        <v>#VALUE!</v>
      </c>
      <c r="CD38" s="1644" t="e">
        <f t="shared" si="18"/>
        <v>#VALUE!</v>
      </c>
      <c r="CE38" s="1644" t="e">
        <f t="shared" si="19"/>
        <v>#VALUE!</v>
      </c>
      <c r="CF38" s="505" t="e">
        <f t="shared" si="20"/>
        <v>#VALUE!</v>
      </c>
      <c r="CG38" s="1648" t="e">
        <f t="shared" si="21"/>
        <v>#VALUE!</v>
      </c>
      <c r="CH38" s="521" t="e">
        <f t="shared" si="22"/>
        <v>#VALUE!</v>
      </c>
      <c r="CI38" s="522" t="e">
        <f t="shared" si="23"/>
        <v>#VALUE!</v>
      </c>
      <c r="CJ38" s="1672"/>
      <c r="CK38" s="1647" t="str">
        <f t="shared" si="24"/>
        <v>n/a</v>
      </c>
      <c r="CL38" s="1671">
        <v>28</v>
      </c>
      <c r="CM38" s="1644" t="e">
        <f t="shared" si="25"/>
        <v>#VALUE!</v>
      </c>
      <c r="CN38" s="1644" t="e">
        <f t="shared" si="26"/>
        <v>#VALUE!</v>
      </c>
      <c r="CO38" s="1644" t="e">
        <f t="shared" si="27"/>
        <v>#VALUE!</v>
      </c>
      <c r="CP38" s="1644" t="e">
        <f t="shared" si="28"/>
        <v>#VALUE!</v>
      </c>
      <c r="CQ38" s="1644" t="e">
        <f t="shared" si="29"/>
        <v>#VALUE!</v>
      </c>
      <c r="CR38" s="1644" t="e">
        <f t="shared" si="30"/>
        <v>#VALUE!</v>
      </c>
      <c r="CS38" s="1644" t="e">
        <f t="shared" si="31"/>
        <v>#VALUE!</v>
      </c>
      <c r="CT38" s="1644" t="e">
        <f t="shared" si="32"/>
        <v>#VALUE!</v>
      </c>
      <c r="CU38" s="505" t="e">
        <f t="shared" si="33"/>
        <v>#VALUE!</v>
      </c>
      <c r="CV38" s="1648" t="e">
        <f t="shared" si="34"/>
        <v>#VALUE!</v>
      </c>
      <c r="CW38" s="521" t="e">
        <f t="shared" si="35"/>
        <v>#VALUE!</v>
      </c>
      <c r="CX38" s="522" t="e">
        <f t="shared" si="36"/>
        <v>#VALUE!</v>
      </c>
      <c r="CZ38" s="1647" t="str">
        <f t="shared" si="62"/>
        <v>n/a</v>
      </c>
      <c r="DA38" s="1671">
        <v>28</v>
      </c>
      <c r="DB38" s="1644" t="e">
        <f t="shared" si="37"/>
        <v>#VALUE!</v>
      </c>
      <c r="DC38" s="1644" t="e">
        <f t="shared" si="38"/>
        <v>#VALUE!</v>
      </c>
      <c r="DD38" s="1644" t="e">
        <f t="shared" si="39"/>
        <v>#VALUE!</v>
      </c>
      <c r="DE38" s="1644" t="e">
        <f t="shared" si="40"/>
        <v>#VALUE!</v>
      </c>
      <c r="DF38" s="1644" t="e">
        <f t="shared" si="41"/>
        <v>#VALUE!</v>
      </c>
      <c r="DG38" s="1644" t="e">
        <f t="shared" si="42"/>
        <v>#VALUE!</v>
      </c>
      <c r="DH38" s="1644" t="e">
        <f t="shared" si="43"/>
        <v>#VALUE!</v>
      </c>
      <c r="DI38" s="1644" t="e">
        <f t="shared" si="44"/>
        <v>#VALUE!</v>
      </c>
      <c r="DJ38" s="505" t="e">
        <f t="shared" si="45"/>
        <v>#VALUE!</v>
      </c>
      <c r="DK38" s="1648" t="e">
        <f t="shared" si="46"/>
        <v>#VALUE!</v>
      </c>
      <c r="DL38" s="521" t="e">
        <f t="shared" si="47"/>
        <v>#VALUE!</v>
      </c>
      <c r="DM38" s="522" t="e">
        <f t="shared" si="48"/>
        <v>#VALUE!</v>
      </c>
      <c r="DN38" s="1672"/>
      <c r="DO38" s="1647" t="str">
        <f t="shared" si="63"/>
        <v>n/a</v>
      </c>
      <c r="DP38" s="1671">
        <v>28</v>
      </c>
      <c r="DQ38" s="1644" t="e">
        <f t="shared" si="49"/>
        <v>#VALUE!</v>
      </c>
      <c r="DR38" s="1644" t="e">
        <f t="shared" si="50"/>
        <v>#VALUE!</v>
      </c>
      <c r="DS38" s="1644" t="e">
        <f t="shared" si="51"/>
        <v>#VALUE!</v>
      </c>
      <c r="DT38" s="1644" t="e">
        <f t="shared" si="52"/>
        <v>#VALUE!</v>
      </c>
      <c r="DU38" s="1644" t="e">
        <f t="shared" si="53"/>
        <v>#VALUE!</v>
      </c>
      <c r="DV38" s="1644" t="e">
        <f t="shared" si="54"/>
        <v>#VALUE!</v>
      </c>
      <c r="DW38" s="1644" t="e">
        <f t="shared" si="55"/>
        <v>#VALUE!</v>
      </c>
      <c r="DX38" s="1644" t="e">
        <f t="shared" si="56"/>
        <v>#VALUE!</v>
      </c>
      <c r="DY38" s="505" t="e">
        <f t="shared" si="57"/>
        <v>#VALUE!</v>
      </c>
      <c r="DZ38" s="1648" t="e">
        <f t="shared" si="58"/>
        <v>#VALUE!</v>
      </c>
      <c r="EA38" s="521" t="e">
        <f t="shared" si="59"/>
        <v>#VALUE!</v>
      </c>
      <c r="EB38" s="522" t="e">
        <f t="shared" si="60"/>
        <v>#VALUE!</v>
      </c>
    </row>
    <row r="39" spans="2:132" ht="12.75" customHeight="1">
      <c r="M39" s="1627" t="s">
        <v>2356</v>
      </c>
      <c r="S39" s="317"/>
      <c r="T39" s="701"/>
      <c r="BH39" s="1649">
        <f t="shared" si="61"/>
        <v>-25.5</v>
      </c>
      <c r="BI39" s="503">
        <v>100</v>
      </c>
      <c r="BJ39" s="1644">
        <f t="shared" si="0"/>
        <v>247.64999999999998</v>
      </c>
      <c r="BK39" s="1644">
        <f t="shared" si="1"/>
        <v>-18.917723908370554</v>
      </c>
      <c r="BL39" s="1644">
        <f t="shared" si="2"/>
        <v>23.015393706036932</v>
      </c>
      <c r="BM39" s="1644">
        <f t="shared" si="3"/>
        <v>6.0199846210362874E-2</v>
      </c>
      <c r="BN39" s="1644">
        <f t="shared" si="4"/>
        <v>6.0199846210362874E-2</v>
      </c>
      <c r="BO39" s="1644">
        <f t="shared" si="5"/>
        <v>3.697543498733727E-4</v>
      </c>
      <c r="BP39" s="1644">
        <f t="shared" si="6"/>
        <v>1</v>
      </c>
      <c r="BQ39" s="1644">
        <f t="shared" si="7"/>
        <v>0.7021227091090414</v>
      </c>
      <c r="BR39" s="1648">
        <f t="shared" si="8"/>
        <v>-24.745263239305491</v>
      </c>
      <c r="BS39" s="521">
        <f t="shared" si="9"/>
        <v>-25.5</v>
      </c>
      <c r="BT39" s="522">
        <f t="shared" si="10"/>
        <v>3.697543498733727E-4</v>
      </c>
      <c r="BV39" s="1647" t="str">
        <f t="shared" si="11"/>
        <v>n/a</v>
      </c>
      <c r="BW39" s="1671">
        <v>29</v>
      </c>
      <c r="BX39" s="1644" t="e">
        <f t="shared" si="12"/>
        <v>#VALUE!</v>
      </c>
      <c r="BY39" s="1644" t="e">
        <f t="shared" si="13"/>
        <v>#VALUE!</v>
      </c>
      <c r="BZ39" s="1644" t="e">
        <f t="shared" si="14"/>
        <v>#VALUE!</v>
      </c>
      <c r="CA39" s="1644" t="e">
        <f t="shared" si="15"/>
        <v>#VALUE!</v>
      </c>
      <c r="CB39" s="1644" t="e">
        <f t="shared" si="16"/>
        <v>#VALUE!</v>
      </c>
      <c r="CC39" s="1644" t="e">
        <f t="shared" si="17"/>
        <v>#VALUE!</v>
      </c>
      <c r="CD39" s="1644" t="e">
        <f t="shared" si="18"/>
        <v>#VALUE!</v>
      </c>
      <c r="CE39" s="1644" t="e">
        <f t="shared" si="19"/>
        <v>#VALUE!</v>
      </c>
      <c r="CF39" s="505" t="e">
        <f t="shared" si="20"/>
        <v>#VALUE!</v>
      </c>
      <c r="CG39" s="1648" t="e">
        <f t="shared" si="21"/>
        <v>#VALUE!</v>
      </c>
      <c r="CH39" s="521" t="e">
        <f t="shared" si="22"/>
        <v>#VALUE!</v>
      </c>
      <c r="CI39" s="522" t="e">
        <f t="shared" si="23"/>
        <v>#VALUE!</v>
      </c>
      <c r="CJ39" s="1672"/>
      <c r="CK39" s="1647" t="str">
        <f t="shared" si="24"/>
        <v>n/a</v>
      </c>
      <c r="CL39" s="1671">
        <v>29</v>
      </c>
      <c r="CM39" s="1644" t="e">
        <f t="shared" si="25"/>
        <v>#VALUE!</v>
      </c>
      <c r="CN39" s="1644" t="e">
        <f t="shared" si="26"/>
        <v>#VALUE!</v>
      </c>
      <c r="CO39" s="1644" t="e">
        <f t="shared" si="27"/>
        <v>#VALUE!</v>
      </c>
      <c r="CP39" s="1644" t="e">
        <f t="shared" si="28"/>
        <v>#VALUE!</v>
      </c>
      <c r="CQ39" s="1644" t="e">
        <f t="shared" si="29"/>
        <v>#VALUE!</v>
      </c>
      <c r="CR39" s="1644" t="e">
        <f t="shared" si="30"/>
        <v>#VALUE!</v>
      </c>
      <c r="CS39" s="1644" t="e">
        <f t="shared" si="31"/>
        <v>#VALUE!</v>
      </c>
      <c r="CT39" s="1644" t="e">
        <f t="shared" si="32"/>
        <v>#VALUE!</v>
      </c>
      <c r="CU39" s="505" t="e">
        <f t="shared" si="33"/>
        <v>#VALUE!</v>
      </c>
      <c r="CV39" s="1648" t="e">
        <f t="shared" si="34"/>
        <v>#VALUE!</v>
      </c>
      <c r="CW39" s="521" t="e">
        <f t="shared" si="35"/>
        <v>#VALUE!</v>
      </c>
      <c r="CX39" s="522" t="e">
        <f t="shared" si="36"/>
        <v>#VALUE!</v>
      </c>
      <c r="CZ39" s="1647" t="str">
        <f t="shared" si="62"/>
        <v>n/a</v>
      </c>
      <c r="DA39" s="1671">
        <v>29</v>
      </c>
      <c r="DB39" s="1644" t="e">
        <f t="shared" si="37"/>
        <v>#VALUE!</v>
      </c>
      <c r="DC39" s="1644" t="e">
        <f t="shared" si="38"/>
        <v>#VALUE!</v>
      </c>
      <c r="DD39" s="1644" t="e">
        <f t="shared" si="39"/>
        <v>#VALUE!</v>
      </c>
      <c r="DE39" s="1644" t="e">
        <f t="shared" si="40"/>
        <v>#VALUE!</v>
      </c>
      <c r="DF39" s="1644" t="e">
        <f t="shared" si="41"/>
        <v>#VALUE!</v>
      </c>
      <c r="DG39" s="1644" t="e">
        <f t="shared" si="42"/>
        <v>#VALUE!</v>
      </c>
      <c r="DH39" s="1644" t="e">
        <f t="shared" si="43"/>
        <v>#VALUE!</v>
      </c>
      <c r="DI39" s="1644" t="e">
        <f t="shared" si="44"/>
        <v>#VALUE!</v>
      </c>
      <c r="DJ39" s="505" t="e">
        <f t="shared" si="45"/>
        <v>#VALUE!</v>
      </c>
      <c r="DK39" s="1648" t="e">
        <f t="shared" si="46"/>
        <v>#VALUE!</v>
      </c>
      <c r="DL39" s="521" t="e">
        <f t="shared" si="47"/>
        <v>#VALUE!</v>
      </c>
      <c r="DM39" s="522" t="e">
        <f t="shared" si="48"/>
        <v>#VALUE!</v>
      </c>
      <c r="DN39" s="1672"/>
      <c r="DO39" s="1647" t="str">
        <f t="shared" si="63"/>
        <v>n/a</v>
      </c>
      <c r="DP39" s="1671">
        <v>29</v>
      </c>
      <c r="DQ39" s="1644" t="e">
        <f t="shared" si="49"/>
        <v>#VALUE!</v>
      </c>
      <c r="DR39" s="1644" t="e">
        <f t="shared" si="50"/>
        <v>#VALUE!</v>
      </c>
      <c r="DS39" s="1644" t="e">
        <f t="shared" si="51"/>
        <v>#VALUE!</v>
      </c>
      <c r="DT39" s="1644" t="e">
        <f t="shared" si="52"/>
        <v>#VALUE!</v>
      </c>
      <c r="DU39" s="1644" t="e">
        <f t="shared" si="53"/>
        <v>#VALUE!</v>
      </c>
      <c r="DV39" s="1644" t="e">
        <f t="shared" si="54"/>
        <v>#VALUE!</v>
      </c>
      <c r="DW39" s="1644" t="e">
        <f t="shared" si="55"/>
        <v>#VALUE!</v>
      </c>
      <c r="DX39" s="1644" t="e">
        <f t="shared" si="56"/>
        <v>#VALUE!</v>
      </c>
      <c r="DY39" s="505" t="e">
        <f t="shared" si="57"/>
        <v>#VALUE!</v>
      </c>
      <c r="DZ39" s="1648" t="e">
        <f t="shared" si="58"/>
        <v>#VALUE!</v>
      </c>
      <c r="EA39" s="521" t="e">
        <f t="shared" si="59"/>
        <v>#VALUE!</v>
      </c>
      <c r="EB39" s="522" t="e">
        <f t="shared" si="60"/>
        <v>#VALUE!</v>
      </c>
    </row>
    <row r="40" spans="2:132" ht="12.75" customHeight="1">
      <c r="M40" s="1683" t="s">
        <v>2362</v>
      </c>
      <c r="N40" s="1682" t="s">
        <v>5</v>
      </c>
      <c r="O40" s="1664" t="str">
        <f>IF(AND(O8="n/a",O12="n/a"),"n/a",DZ8)</f>
        <v>n/a</v>
      </c>
      <c r="P40" s="311" t="s">
        <v>2315</v>
      </c>
      <c r="Q40" s="1653" t="str">
        <f>IF(AF1=1,"Exhaust moisture content unchanged","")</f>
        <v/>
      </c>
      <c r="R40" s="1662"/>
      <c r="S40" s="314"/>
      <c r="T40" s="296"/>
      <c r="BH40" s="1649">
        <f t="shared" si="61"/>
        <v>-25</v>
      </c>
      <c r="BI40" s="503">
        <v>100</v>
      </c>
      <c r="BJ40" s="1644">
        <f t="shared" si="0"/>
        <v>248.14999999999998</v>
      </c>
      <c r="BK40" s="1644">
        <f t="shared" si="1"/>
        <v>-18.876394119837471</v>
      </c>
      <c r="BL40" s="1644">
        <f t="shared" si="2"/>
        <v>23.024107844654122</v>
      </c>
      <c r="BM40" s="1644">
        <f t="shared" si="3"/>
        <v>6.3289138377668114E-2</v>
      </c>
      <c r="BN40" s="1644">
        <f t="shared" si="4"/>
        <v>6.3289138377668114E-2</v>
      </c>
      <c r="BO40" s="1644">
        <f t="shared" si="5"/>
        <v>3.8874099551739833E-4</v>
      </c>
      <c r="BP40" s="1644">
        <f t="shared" si="6"/>
        <v>1</v>
      </c>
      <c r="BQ40" s="1644">
        <f t="shared" si="7"/>
        <v>0.70356174371392255</v>
      </c>
      <c r="BR40" s="1648">
        <f t="shared" si="8"/>
        <v>-24.195300707633709</v>
      </c>
      <c r="BS40" s="521">
        <f t="shared" si="9"/>
        <v>-25</v>
      </c>
      <c r="BT40" s="522">
        <f t="shared" si="10"/>
        <v>3.8874099551739833E-4</v>
      </c>
      <c r="BV40" s="1647" t="str">
        <f t="shared" si="11"/>
        <v>n/a</v>
      </c>
      <c r="BW40" s="1671">
        <v>30</v>
      </c>
      <c r="BX40" s="1644" t="e">
        <f t="shared" si="12"/>
        <v>#VALUE!</v>
      </c>
      <c r="BY40" s="1644" t="e">
        <f t="shared" si="13"/>
        <v>#VALUE!</v>
      </c>
      <c r="BZ40" s="1644" t="e">
        <f t="shared" si="14"/>
        <v>#VALUE!</v>
      </c>
      <c r="CA40" s="1644" t="e">
        <f t="shared" si="15"/>
        <v>#VALUE!</v>
      </c>
      <c r="CB40" s="1644" t="e">
        <f t="shared" si="16"/>
        <v>#VALUE!</v>
      </c>
      <c r="CC40" s="1644" t="e">
        <f t="shared" si="17"/>
        <v>#VALUE!</v>
      </c>
      <c r="CD40" s="1644" t="e">
        <f t="shared" si="18"/>
        <v>#VALUE!</v>
      </c>
      <c r="CE40" s="1644" t="e">
        <f t="shared" si="19"/>
        <v>#VALUE!</v>
      </c>
      <c r="CF40" s="505" t="e">
        <f t="shared" si="20"/>
        <v>#VALUE!</v>
      </c>
      <c r="CG40" s="1648" t="e">
        <f t="shared" si="21"/>
        <v>#VALUE!</v>
      </c>
      <c r="CH40" s="521" t="e">
        <f t="shared" si="22"/>
        <v>#VALUE!</v>
      </c>
      <c r="CI40" s="522" t="e">
        <f t="shared" si="23"/>
        <v>#VALUE!</v>
      </c>
      <c r="CJ40" s="1672"/>
      <c r="CK40" s="1647" t="str">
        <f t="shared" si="24"/>
        <v>n/a</v>
      </c>
      <c r="CL40" s="1671">
        <v>30</v>
      </c>
      <c r="CM40" s="1644" t="e">
        <f t="shared" si="25"/>
        <v>#VALUE!</v>
      </c>
      <c r="CN40" s="1644" t="e">
        <f t="shared" si="26"/>
        <v>#VALUE!</v>
      </c>
      <c r="CO40" s="1644" t="e">
        <f t="shared" si="27"/>
        <v>#VALUE!</v>
      </c>
      <c r="CP40" s="1644" t="e">
        <f t="shared" si="28"/>
        <v>#VALUE!</v>
      </c>
      <c r="CQ40" s="1644" t="e">
        <f t="shared" si="29"/>
        <v>#VALUE!</v>
      </c>
      <c r="CR40" s="1644" t="e">
        <f t="shared" si="30"/>
        <v>#VALUE!</v>
      </c>
      <c r="CS40" s="1644" t="e">
        <f t="shared" si="31"/>
        <v>#VALUE!</v>
      </c>
      <c r="CT40" s="1644" t="e">
        <f t="shared" si="32"/>
        <v>#VALUE!</v>
      </c>
      <c r="CU40" s="505" t="e">
        <f t="shared" si="33"/>
        <v>#VALUE!</v>
      </c>
      <c r="CV40" s="1648" t="e">
        <f t="shared" si="34"/>
        <v>#VALUE!</v>
      </c>
      <c r="CW40" s="521" t="e">
        <f t="shared" si="35"/>
        <v>#VALUE!</v>
      </c>
      <c r="CX40" s="522" t="e">
        <f t="shared" si="36"/>
        <v>#VALUE!</v>
      </c>
      <c r="CZ40" s="1647" t="str">
        <f t="shared" si="62"/>
        <v>n/a</v>
      </c>
      <c r="DA40" s="1671">
        <v>30</v>
      </c>
      <c r="DB40" s="1644" t="e">
        <f t="shared" si="37"/>
        <v>#VALUE!</v>
      </c>
      <c r="DC40" s="1644" t="e">
        <f t="shared" si="38"/>
        <v>#VALUE!</v>
      </c>
      <c r="DD40" s="1644" t="e">
        <f t="shared" si="39"/>
        <v>#VALUE!</v>
      </c>
      <c r="DE40" s="1644" t="e">
        <f t="shared" si="40"/>
        <v>#VALUE!</v>
      </c>
      <c r="DF40" s="1644" t="e">
        <f t="shared" si="41"/>
        <v>#VALUE!</v>
      </c>
      <c r="DG40" s="1644" t="e">
        <f t="shared" si="42"/>
        <v>#VALUE!</v>
      </c>
      <c r="DH40" s="1644" t="e">
        <f t="shared" si="43"/>
        <v>#VALUE!</v>
      </c>
      <c r="DI40" s="1644" t="e">
        <f t="shared" si="44"/>
        <v>#VALUE!</v>
      </c>
      <c r="DJ40" s="505" t="e">
        <f t="shared" si="45"/>
        <v>#VALUE!</v>
      </c>
      <c r="DK40" s="1648" t="e">
        <f t="shared" si="46"/>
        <v>#VALUE!</v>
      </c>
      <c r="DL40" s="521" t="e">
        <f t="shared" si="47"/>
        <v>#VALUE!</v>
      </c>
      <c r="DM40" s="522" t="e">
        <f t="shared" si="48"/>
        <v>#VALUE!</v>
      </c>
      <c r="DN40" s="1672"/>
      <c r="DO40" s="1647" t="str">
        <f t="shared" si="63"/>
        <v>n/a</v>
      </c>
      <c r="DP40" s="1671">
        <v>30</v>
      </c>
      <c r="DQ40" s="1644" t="e">
        <f t="shared" si="49"/>
        <v>#VALUE!</v>
      </c>
      <c r="DR40" s="1644" t="e">
        <f t="shared" si="50"/>
        <v>#VALUE!</v>
      </c>
      <c r="DS40" s="1644" t="e">
        <f t="shared" si="51"/>
        <v>#VALUE!</v>
      </c>
      <c r="DT40" s="1644" t="e">
        <f t="shared" si="52"/>
        <v>#VALUE!</v>
      </c>
      <c r="DU40" s="1644" t="e">
        <f t="shared" si="53"/>
        <v>#VALUE!</v>
      </c>
      <c r="DV40" s="1644" t="e">
        <f t="shared" si="54"/>
        <v>#VALUE!</v>
      </c>
      <c r="DW40" s="1644" t="e">
        <f t="shared" si="55"/>
        <v>#VALUE!</v>
      </c>
      <c r="DX40" s="1644" t="e">
        <f t="shared" si="56"/>
        <v>#VALUE!</v>
      </c>
      <c r="DY40" s="505" t="e">
        <f t="shared" si="57"/>
        <v>#VALUE!</v>
      </c>
      <c r="DZ40" s="1648" t="e">
        <f t="shared" si="58"/>
        <v>#VALUE!</v>
      </c>
      <c r="EA40" s="521" t="e">
        <f t="shared" si="59"/>
        <v>#VALUE!</v>
      </c>
      <c r="EB40" s="522" t="e">
        <f t="shared" si="60"/>
        <v>#VALUE!</v>
      </c>
    </row>
    <row r="41" spans="2:132" ht="12.75" customHeight="1">
      <c r="BH41" s="1649">
        <f t="shared" si="61"/>
        <v>-24.5</v>
      </c>
      <c r="BI41" s="503">
        <v>100</v>
      </c>
      <c r="BJ41" s="1644">
        <f t="shared" si="0"/>
        <v>248.64999999999998</v>
      </c>
      <c r="BK41" s="1644">
        <f t="shared" si="1"/>
        <v>-18.835250008803008</v>
      </c>
      <c r="BL41" s="1644">
        <f t="shared" si="2"/>
        <v>23.032805988147924</v>
      </c>
      <c r="BM41" s="1644">
        <f t="shared" si="3"/>
        <v>6.6523547274921366E-2</v>
      </c>
      <c r="BN41" s="1644">
        <f t="shared" si="4"/>
        <v>6.6523547274921366E-2</v>
      </c>
      <c r="BO41" s="1644">
        <f t="shared" si="5"/>
        <v>4.086207632540581E-4</v>
      </c>
      <c r="BP41" s="1644">
        <f t="shared" si="6"/>
        <v>1</v>
      </c>
      <c r="BQ41" s="1644">
        <f t="shared" si="7"/>
        <v>0.70500187650600044</v>
      </c>
      <c r="BR41" s="1648">
        <f t="shared" si="8"/>
        <v>-23.643109702804601</v>
      </c>
      <c r="BS41" s="521">
        <f t="shared" si="9"/>
        <v>-24.5</v>
      </c>
      <c r="BT41" s="522">
        <f t="shared" si="10"/>
        <v>4.086207632540581E-4</v>
      </c>
      <c r="BV41" s="1647" t="str">
        <f t="shared" si="11"/>
        <v>n/a</v>
      </c>
      <c r="BW41" s="1671">
        <v>31</v>
      </c>
      <c r="BX41" s="1644" t="e">
        <f t="shared" si="12"/>
        <v>#VALUE!</v>
      </c>
      <c r="BY41" s="1644" t="e">
        <f t="shared" si="13"/>
        <v>#VALUE!</v>
      </c>
      <c r="BZ41" s="1644" t="e">
        <f t="shared" si="14"/>
        <v>#VALUE!</v>
      </c>
      <c r="CA41" s="1644" t="e">
        <f t="shared" si="15"/>
        <v>#VALUE!</v>
      </c>
      <c r="CB41" s="1644" t="e">
        <f t="shared" si="16"/>
        <v>#VALUE!</v>
      </c>
      <c r="CC41" s="1644" t="e">
        <f t="shared" si="17"/>
        <v>#VALUE!</v>
      </c>
      <c r="CD41" s="1644" t="e">
        <f t="shared" si="18"/>
        <v>#VALUE!</v>
      </c>
      <c r="CE41" s="1644" t="e">
        <f t="shared" si="19"/>
        <v>#VALUE!</v>
      </c>
      <c r="CF41" s="505" t="e">
        <f t="shared" si="20"/>
        <v>#VALUE!</v>
      </c>
      <c r="CG41" s="1648" t="e">
        <f t="shared" si="21"/>
        <v>#VALUE!</v>
      </c>
      <c r="CH41" s="521" t="e">
        <f t="shared" si="22"/>
        <v>#VALUE!</v>
      </c>
      <c r="CI41" s="522" t="e">
        <f t="shared" si="23"/>
        <v>#VALUE!</v>
      </c>
      <c r="CJ41" s="1672"/>
      <c r="CK41" s="1647" t="str">
        <f t="shared" si="24"/>
        <v>n/a</v>
      </c>
      <c r="CL41" s="1671">
        <v>31</v>
      </c>
      <c r="CM41" s="1644" t="e">
        <f t="shared" si="25"/>
        <v>#VALUE!</v>
      </c>
      <c r="CN41" s="1644" t="e">
        <f t="shared" si="26"/>
        <v>#VALUE!</v>
      </c>
      <c r="CO41" s="1644" t="e">
        <f t="shared" si="27"/>
        <v>#VALUE!</v>
      </c>
      <c r="CP41" s="1644" t="e">
        <f t="shared" si="28"/>
        <v>#VALUE!</v>
      </c>
      <c r="CQ41" s="1644" t="e">
        <f t="shared" si="29"/>
        <v>#VALUE!</v>
      </c>
      <c r="CR41" s="1644" t="e">
        <f t="shared" si="30"/>
        <v>#VALUE!</v>
      </c>
      <c r="CS41" s="1644" t="e">
        <f t="shared" si="31"/>
        <v>#VALUE!</v>
      </c>
      <c r="CT41" s="1644" t="e">
        <f t="shared" si="32"/>
        <v>#VALUE!</v>
      </c>
      <c r="CU41" s="505" t="e">
        <f t="shared" si="33"/>
        <v>#VALUE!</v>
      </c>
      <c r="CV41" s="1648" t="e">
        <f t="shared" si="34"/>
        <v>#VALUE!</v>
      </c>
      <c r="CW41" s="521" t="e">
        <f t="shared" si="35"/>
        <v>#VALUE!</v>
      </c>
      <c r="CX41" s="522" t="e">
        <f t="shared" si="36"/>
        <v>#VALUE!</v>
      </c>
      <c r="CZ41" s="1647" t="str">
        <f t="shared" si="62"/>
        <v>n/a</v>
      </c>
      <c r="DA41" s="1671">
        <v>31</v>
      </c>
      <c r="DB41" s="1644" t="e">
        <f t="shared" si="37"/>
        <v>#VALUE!</v>
      </c>
      <c r="DC41" s="1644" t="e">
        <f t="shared" si="38"/>
        <v>#VALUE!</v>
      </c>
      <c r="DD41" s="1644" t="e">
        <f t="shared" si="39"/>
        <v>#VALUE!</v>
      </c>
      <c r="DE41" s="1644" t="e">
        <f t="shared" si="40"/>
        <v>#VALUE!</v>
      </c>
      <c r="DF41" s="1644" t="e">
        <f t="shared" si="41"/>
        <v>#VALUE!</v>
      </c>
      <c r="DG41" s="1644" t="e">
        <f t="shared" si="42"/>
        <v>#VALUE!</v>
      </c>
      <c r="DH41" s="1644" t="e">
        <f t="shared" si="43"/>
        <v>#VALUE!</v>
      </c>
      <c r="DI41" s="1644" t="e">
        <f t="shared" si="44"/>
        <v>#VALUE!</v>
      </c>
      <c r="DJ41" s="505" t="e">
        <f t="shared" si="45"/>
        <v>#VALUE!</v>
      </c>
      <c r="DK41" s="1648" t="e">
        <f t="shared" si="46"/>
        <v>#VALUE!</v>
      </c>
      <c r="DL41" s="521" t="e">
        <f t="shared" si="47"/>
        <v>#VALUE!</v>
      </c>
      <c r="DM41" s="522" t="e">
        <f t="shared" si="48"/>
        <v>#VALUE!</v>
      </c>
      <c r="DN41" s="1672"/>
      <c r="DO41" s="1647" t="str">
        <f t="shared" si="63"/>
        <v>n/a</v>
      </c>
      <c r="DP41" s="1671">
        <v>31</v>
      </c>
      <c r="DQ41" s="1644" t="e">
        <f t="shared" si="49"/>
        <v>#VALUE!</v>
      </c>
      <c r="DR41" s="1644" t="e">
        <f t="shared" si="50"/>
        <v>#VALUE!</v>
      </c>
      <c r="DS41" s="1644" t="e">
        <f t="shared" si="51"/>
        <v>#VALUE!</v>
      </c>
      <c r="DT41" s="1644" t="e">
        <f t="shared" si="52"/>
        <v>#VALUE!</v>
      </c>
      <c r="DU41" s="1644" t="e">
        <f t="shared" si="53"/>
        <v>#VALUE!</v>
      </c>
      <c r="DV41" s="1644" t="e">
        <f t="shared" si="54"/>
        <v>#VALUE!</v>
      </c>
      <c r="DW41" s="1644" t="e">
        <f t="shared" si="55"/>
        <v>#VALUE!</v>
      </c>
      <c r="DX41" s="1644" t="e">
        <f t="shared" si="56"/>
        <v>#VALUE!</v>
      </c>
      <c r="DY41" s="505" t="e">
        <f t="shared" si="57"/>
        <v>#VALUE!</v>
      </c>
      <c r="DZ41" s="1648" t="e">
        <f t="shared" si="58"/>
        <v>#VALUE!</v>
      </c>
      <c r="EA41" s="521" t="e">
        <f t="shared" si="59"/>
        <v>#VALUE!</v>
      </c>
      <c r="EB41" s="522" t="e">
        <f t="shared" si="60"/>
        <v>#VALUE!</v>
      </c>
    </row>
    <row r="42" spans="2:132" ht="12" customHeight="1">
      <c r="T42" s="297"/>
      <c r="U42" s="297"/>
      <c r="BH42" s="1649">
        <f t="shared" si="61"/>
        <v>-24</v>
      </c>
      <c r="BI42" s="503">
        <v>100</v>
      </c>
      <c r="BJ42" s="1644">
        <f t="shared" ref="BJ42:BJ73" si="64">273.15+BH42</f>
        <v>249.14999999999998</v>
      </c>
      <c r="BK42" s="1644">
        <f t="shared" ref="BK42:BK73" si="65">IF(BJ42&lt;273.16,-5674.5359/BJ42+6.3925247-0.009677843*BJ42,-5800.2206/BJ42+1.3914993-0.048640239*BJ42)</f>
        <v>-18.794290457401438</v>
      </c>
      <c r="BL42" s="1644">
        <f t="shared" ref="BL42:BL73" si="66">IF(BJ42&lt;273.16,0.00000062215701*POWER(BJ42,2)+0.0000000020747825*POWER(BJ42,3)-0.000000000000948402*POWER(BJ42,4)+4.1635019*LN(BJ42),0.000041764768*POWER(BJ42,2)-0.000000014452093*POWER(BJ42,3)+6.5459673*LN(BJ42))</f>
        <v>23.041488205279695</v>
      </c>
      <c r="BM42" s="1644">
        <f t="shared" ref="BM42:BM73" si="67">EXP(BK42+BL42)/1000</f>
        <v>6.9909234304736723E-2</v>
      </c>
      <c r="BN42" s="1644">
        <f t="shared" ref="BN42:BN73" si="68">BI42/100*BM42</f>
        <v>6.9909234304736723E-2</v>
      </c>
      <c r="BO42" s="1644">
        <f t="shared" ref="BO42:BO73" si="69">0.62198*(BM42/($G$3-BM42))</f>
        <v>4.2943169794275353E-4</v>
      </c>
      <c r="BP42" s="1644">
        <f t="shared" ref="BP42:BP73" si="70">BT42/BO42</f>
        <v>1</v>
      </c>
      <c r="BQ42" s="1644">
        <f t="shared" ref="BQ42:BQ73" si="71">0.2871*(BH42+273.15)*(1+1.6078*BT42)/$G$3</f>
        <v>0.70644315677064862</v>
      </c>
      <c r="BR42" s="1648">
        <f t="shared" ref="BR42:BR73" si="72">IF(BH42+BI42&gt;0,(1.006*BH42+BT42*(2501+1.805*BH42)),0)</f>
        <v>-23.088594304600051</v>
      </c>
      <c r="BS42" s="521">
        <f t="shared" ref="BS42:BS73" si="73">IF(BH42+BI42&gt;0,BH42,0)</f>
        <v>-24</v>
      </c>
      <c r="BT42" s="522">
        <f t="shared" ref="BT42:BT73" si="74">IF(BH42+BI42&gt;0,0.62198*(BN42/($G$3-BN42)),0)</f>
        <v>4.2943169794275353E-4</v>
      </c>
      <c r="BV42" s="1647" t="str">
        <f t="shared" si="11"/>
        <v>n/a</v>
      </c>
      <c r="BW42" s="1671">
        <v>32</v>
      </c>
      <c r="BX42" s="1644" t="e">
        <f t="shared" si="12"/>
        <v>#VALUE!</v>
      </c>
      <c r="BY42" s="1644" t="e">
        <f t="shared" si="13"/>
        <v>#VALUE!</v>
      </c>
      <c r="BZ42" s="1644" t="e">
        <f t="shared" si="14"/>
        <v>#VALUE!</v>
      </c>
      <c r="CA42" s="1644" t="e">
        <f t="shared" si="15"/>
        <v>#VALUE!</v>
      </c>
      <c r="CB42" s="1644" t="e">
        <f t="shared" si="16"/>
        <v>#VALUE!</v>
      </c>
      <c r="CC42" s="1644" t="e">
        <f t="shared" si="17"/>
        <v>#VALUE!</v>
      </c>
      <c r="CD42" s="1644" t="e">
        <f t="shared" si="18"/>
        <v>#VALUE!</v>
      </c>
      <c r="CE42" s="1644" t="e">
        <f t="shared" si="19"/>
        <v>#VALUE!</v>
      </c>
      <c r="CF42" s="505" t="e">
        <f t="shared" si="20"/>
        <v>#VALUE!</v>
      </c>
      <c r="CG42" s="1648" t="e">
        <f t="shared" si="21"/>
        <v>#VALUE!</v>
      </c>
      <c r="CH42" s="521" t="e">
        <f t="shared" si="22"/>
        <v>#VALUE!</v>
      </c>
      <c r="CI42" s="522" t="e">
        <f t="shared" si="23"/>
        <v>#VALUE!</v>
      </c>
      <c r="CJ42" s="1672"/>
      <c r="CK42" s="1647" t="str">
        <f t="shared" si="24"/>
        <v>n/a</v>
      </c>
      <c r="CL42" s="1671">
        <v>32</v>
      </c>
      <c r="CM42" s="1644" t="e">
        <f t="shared" si="25"/>
        <v>#VALUE!</v>
      </c>
      <c r="CN42" s="1644" t="e">
        <f t="shared" si="26"/>
        <v>#VALUE!</v>
      </c>
      <c r="CO42" s="1644" t="e">
        <f t="shared" si="27"/>
        <v>#VALUE!</v>
      </c>
      <c r="CP42" s="1644" t="e">
        <f t="shared" si="28"/>
        <v>#VALUE!</v>
      </c>
      <c r="CQ42" s="1644" t="e">
        <f t="shared" si="29"/>
        <v>#VALUE!</v>
      </c>
      <c r="CR42" s="1644" t="e">
        <f t="shared" si="30"/>
        <v>#VALUE!</v>
      </c>
      <c r="CS42" s="1644" t="e">
        <f t="shared" si="31"/>
        <v>#VALUE!</v>
      </c>
      <c r="CT42" s="1644" t="e">
        <f t="shared" si="32"/>
        <v>#VALUE!</v>
      </c>
      <c r="CU42" s="505" t="e">
        <f t="shared" si="33"/>
        <v>#VALUE!</v>
      </c>
      <c r="CV42" s="1648" t="e">
        <f t="shared" si="34"/>
        <v>#VALUE!</v>
      </c>
      <c r="CW42" s="521" t="e">
        <f t="shared" si="35"/>
        <v>#VALUE!</v>
      </c>
      <c r="CX42" s="522" t="e">
        <f t="shared" si="36"/>
        <v>#VALUE!</v>
      </c>
      <c r="CZ42" s="1647" t="str">
        <f t="shared" si="62"/>
        <v>n/a</v>
      </c>
      <c r="DA42" s="1671">
        <v>32</v>
      </c>
      <c r="DB42" s="1644" t="e">
        <f t="shared" si="37"/>
        <v>#VALUE!</v>
      </c>
      <c r="DC42" s="1644" t="e">
        <f t="shared" si="38"/>
        <v>#VALUE!</v>
      </c>
      <c r="DD42" s="1644" t="e">
        <f t="shared" si="39"/>
        <v>#VALUE!</v>
      </c>
      <c r="DE42" s="1644" t="e">
        <f t="shared" si="40"/>
        <v>#VALUE!</v>
      </c>
      <c r="DF42" s="1644" t="e">
        <f t="shared" si="41"/>
        <v>#VALUE!</v>
      </c>
      <c r="DG42" s="1644" t="e">
        <f t="shared" si="42"/>
        <v>#VALUE!</v>
      </c>
      <c r="DH42" s="1644" t="e">
        <f t="shared" si="43"/>
        <v>#VALUE!</v>
      </c>
      <c r="DI42" s="1644" t="e">
        <f t="shared" si="44"/>
        <v>#VALUE!</v>
      </c>
      <c r="DJ42" s="505" t="e">
        <f t="shared" si="45"/>
        <v>#VALUE!</v>
      </c>
      <c r="DK42" s="1648" t="e">
        <f t="shared" si="46"/>
        <v>#VALUE!</v>
      </c>
      <c r="DL42" s="521" t="e">
        <f t="shared" si="47"/>
        <v>#VALUE!</v>
      </c>
      <c r="DM42" s="522" t="e">
        <f t="shared" si="48"/>
        <v>#VALUE!</v>
      </c>
      <c r="DN42" s="1672"/>
      <c r="DO42" s="1647" t="str">
        <f t="shared" si="63"/>
        <v>n/a</v>
      </c>
      <c r="DP42" s="1671">
        <v>32</v>
      </c>
      <c r="DQ42" s="1644" t="e">
        <f t="shared" si="49"/>
        <v>#VALUE!</v>
      </c>
      <c r="DR42" s="1644" t="e">
        <f t="shared" si="50"/>
        <v>#VALUE!</v>
      </c>
      <c r="DS42" s="1644" t="e">
        <f t="shared" si="51"/>
        <v>#VALUE!</v>
      </c>
      <c r="DT42" s="1644" t="e">
        <f t="shared" si="52"/>
        <v>#VALUE!</v>
      </c>
      <c r="DU42" s="1644" t="e">
        <f t="shared" si="53"/>
        <v>#VALUE!</v>
      </c>
      <c r="DV42" s="1644" t="e">
        <f t="shared" si="54"/>
        <v>#VALUE!</v>
      </c>
      <c r="DW42" s="1644" t="e">
        <f t="shared" si="55"/>
        <v>#VALUE!</v>
      </c>
      <c r="DX42" s="1644" t="e">
        <f t="shared" si="56"/>
        <v>#VALUE!</v>
      </c>
      <c r="DY42" s="505" t="e">
        <f t="shared" si="57"/>
        <v>#VALUE!</v>
      </c>
      <c r="DZ42" s="1648" t="e">
        <f t="shared" si="58"/>
        <v>#VALUE!</v>
      </c>
      <c r="EA42" s="521" t="e">
        <f t="shared" si="59"/>
        <v>#VALUE!</v>
      </c>
      <c r="EB42" s="522" t="e">
        <f t="shared" si="60"/>
        <v>#VALUE!</v>
      </c>
    </row>
    <row r="43" spans="2:132" ht="12" customHeight="1">
      <c r="T43" s="317"/>
      <c r="U43" s="317"/>
      <c r="BH43" s="1649">
        <f t="shared" si="61"/>
        <v>-23.5</v>
      </c>
      <c r="BI43" s="503">
        <v>100</v>
      </c>
      <c r="BJ43" s="1644">
        <f t="shared" si="64"/>
        <v>249.64999999999998</v>
      </c>
      <c r="BK43" s="1644">
        <f t="shared" si="65"/>
        <v>-18.753514356722484</v>
      </c>
      <c r="BL43" s="1644">
        <f t="shared" si="66"/>
        <v>23.050154564400913</v>
      </c>
      <c r="BM43" s="1644">
        <f t="shared" si="67"/>
        <v>7.3452593202326277E-2</v>
      </c>
      <c r="BN43" s="1644">
        <f t="shared" si="68"/>
        <v>7.3452593202326277E-2</v>
      </c>
      <c r="BO43" s="1644">
        <f t="shared" si="69"/>
        <v>4.5121329095772119E-4</v>
      </c>
      <c r="BP43" s="1644">
        <f t="shared" si="70"/>
        <v>1</v>
      </c>
      <c r="BQ43" s="1644">
        <f t="shared" si="71"/>
        <v>0.70788563578501928</v>
      </c>
      <c r="BR43" s="1648">
        <f t="shared" si="72"/>
        <v>-22.531654899083939</v>
      </c>
      <c r="BS43" s="521">
        <f t="shared" si="73"/>
        <v>-23.5</v>
      </c>
      <c r="BT43" s="522">
        <f t="shared" si="74"/>
        <v>4.5121329095772119E-4</v>
      </c>
      <c r="BV43" s="1647" t="str">
        <f t="shared" si="11"/>
        <v>n/a</v>
      </c>
      <c r="BW43" s="1671">
        <v>33</v>
      </c>
      <c r="BX43" s="1644" t="e">
        <f t="shared" si="12"/>
        <v>#VALUE!</v>
      </c>
      <c r="BY43" s="1644" t="e">
        <f t="shared" ref="BY43:BY74" si="75">IF(BX43&lt;273.16,-5674.5359/BX43+6.3925247-0.009677843*BX43,-5800.2206/BX43+1.3914993-0.048640239*BX43)</f>
        <v>#VALUE!</v>
      </c>
      <c r="BZ43" s="1644" t="e">
        <f t="shared" ref="BZ43:BZ74" si="76">IF(BX43&lt;273.16,0.00000062215701*POWER(BX43,2)+0.0000000020747825*POWER(BX43,3)-0.000000000000948402*POWER(BX43,4)+4.1635019*LN(BX43),0.000041764768*POWER(BX43,2)-0.000000014452093*POWER(BX43,3)+6.5459673*LN(BX43))</f>
        <v>#VALUE!</v>
      </c>
      <c r="CA43" s="1644" t="e">
        <f t="shared" si="15"/>
        <v>#VALUE!</v>
      </c>
      <c r="CB43" s="1644" t="e">
        <f t="shared" si="16"/>
        <v>#VALUE!</v>
      </c>
      <c r="CC43" s="1644" t="e">
        <f t="shared" si="17"/>
        <v>#VALUE!</v>
      </c>
      <c r="CD43" s="1644" t="e">
        <f t="shared" si="18"/>
        <v>#VALUE!</v>
      </c>
      <c r="CE43" s="1644" t="e">
        <f t="shared" si="19"/>
        <v>#VALUE!</v>
      </c>
      <c r="CF43" s="505" t="e">
        <f t="shared" si="20"/>
        <v>#VALUE!</v>
      </c>
      <c r="CG43" s="1648" t="e">
        <f t="shared" si="21"/>
        <v>#VALUE!</v>
      </c>
      <c r="CH43" s="521" t="e">
        <f t="shared" ref="CH43:CH74" si="77">IF(BV43+BW43&gt;0,(IF(CB43&lt;0.6112,"n/a (&lt;0C)",6.54+14.526*LN(CB43)+0.7389*POWER(LN(CB43),2)+0.09486*POWER(LN(CB43),3)+0.4569*POWER(CB43,0.1984))),0)</f>
        <v>#VALUE!</v>
      </c>
      <c r="CI43" s="522" t="e">
        <f t="shared" si="23"/>
        <v>#VALUE!</v>
      </c>
      <c r="CJ43" s="1672"/>
      <c r="CK43" s="1647" t="str">
        <f t="shared" ref="CK43:CK74" si="78">$X$22</f>
        <v>n/a</v>
      </c>
      <c r="CL43" s="1671">
        <v>33</v>
      </c>
      <c r="CM43" s="1644" t="e">
        <f t="shared" si="25"/>
        <v>#VALUE!</v>
      </c>
      <c r="CN43" s="1644" t="e">
        <f t="shared" ref="CN43:CN74" si="79">IF(CM43&lt;273.16,-5674.5359/CM43+6.3925247-0.009677843*CM43,-5800.2206/CM43+1.3914993-0.048640239*CM43)</f>
        <v>#VALUE!</v>
      </c>
      <c r="CO43" s="1644" t="e">
        <f t="shared" ref="CO43:CO74" si="80">IF(CM43&lt;273.16,0.00000062215701*POWER(CM43,2)+0.0000000020747825*POWER(CM43,3)-0.000000000000948402*POWER(CM43,4)+4.1635019*LN(CM43),0.000041764768*POWER(CM43,2)-0.000000014452093*POWER(CM43,3)+6.5459673*LN(CM43))</f>
        <v>#VALUE!</v>
      </c>
      <c r="CP43" s="1644" t="e">
        <f t="shared" si="28"/>
        <v>#VALUE!</v>
      </c>
      <c r="CQ43" s="1644" t="e">
        <f t="shared" si="29"/>
        <v>#VALUE!</v>
      </c>
      <c r="CR43" s="1644" t="e">
        <f t="shared" si="30"/>
        <v>#VALUE!</v>
      </c>
      <c r="CS43" s="1644" t="e">
        <f t="shared" si="31"/>
        <v>#VALUE!</v>
      </c>
      <c r="CT43" s="1644" t="e">
        <f t="shared" si="32"/>
        <v>#VALUE!</v>
      </c>
      <c r="CU43" s="505" t="e">
        <f t="shared" si="33"/>
        <v>#VALUE!</v>
      </c>
      <c r="CV43" s="1648" t="e">
        <f t="shared" si="34"/>
        <v>#VALUE!</v>
      </c>
      <c r="CW43" s="521" t="e">
        <f t="shared" ref="CW43:CW74" si="81">IF(CK43+CL43&gt;0,(IF(CQ43&lt;0.6112,"n/a (&lt;0C)",6.54+14.526*LN(CQ43)+0.7389*POWER(LN(CQ43),2)+0.09486*POWER(LN(CQ43),3)+0.4569*POWER(CQ43,0.1984))),0)</f>
        <v>#VALUE!</v>
      </c>
      <c r="CX43" s="522" t="e">
        <f t="shared" si="36"/>
        <v>#VALUE!</v>
      </c>
      <c r="CZ43" s="1647" t="str">
        <f t="shared" si="62"/>
        <v>n/a</v>
      </c>
      <c r="DA43" s="1671">
        <v>33</v>
      </c>
      <c r="DB43" s="1644" t="e">
        <f t="shared" si="37"/>
        <v>#VALUE!</v>
      </c>
      <c r="DC43" s="1644" t="e">
        <f t="shared" ref="DC43:DC74" si="82">IF(DB43&lt;273.16,-5674.5359/DB43+6.3925247-0.009677843*DB43,-5800.2206/DB43+1.3914993-0.048640239*DB43)</f>
        <v>#VALUE!</v>
      </c>
      <c r="DD43" s="1644" t="e">
        <f t="shared" ref="DD43:DD74" si="83">IF(DB43&lt;273.16,0.00000062215701*POWER(DB43,2)+0.0000000020747825*POWER(DB43,3)-0.000000000000948402*POWER(DB43,4)+4.1635019*LN(DB43),0.000041764768*POWER(DB43,2)-0.000000014452093*POWER(DB43,3)+6.5459673*LN(DB43))</f>
        <v>#VALUE!</v>
      </c>
      <c r="DE43" s="1644" t="e">
        <f t="shared" si="40"/>
        <v>#VALUE!</v>
      </c>
      <c r="DF43" s="1644" t="e">
        <f t="shared" si="41"/>
        <v>#VALUE!</v>
      </c>
      <c r="DG43" s="1644" t="e">
        <f t="shared" si="42"/>
        <v>#VALUE!</v>
      </c>
      <c r="DH43" s="1644" t="e">
        <f t="shared" si="43"/>
        <v>#VALUE!</v>
      </c>
      <c r="DI43" s="1644" t="e">
        <f t="shared" si="44"/>
        <v>#VALUE!</v>
      </c>
      <c r="DJ43" s="505" t="e">
        <f t="shared" si="45"/>
        <v>#VALUE!</v>
      </c>
      <c r="DK43" s="1648" t="e">
        <f t="shared" si="46"/>
        <v>#VALUE!</v>
      </c>
      <c r="DL43" s="521" t="e">
        <f t="shared" ref="DL43:DL74" si="84">IF(CZ43+DA43&gt;0,(IF(DF43&lt;0.6112,"n/a (&lt;0C)",6.54+14.526*LN(DF43)+0.7389*POWER(LN(DF43),2)+0.09486*POWER(LN(DF43),3)+0.4569*POWER(DF43,0.1984))),0)</f>
        <v>#VALUE!</v>
      </c>
      <c r="DM43" s="522" t="e">
        <f t="shared" si="48"/>
        <v>#VALUE!</v>
      </c>
      <c r="DN43" s="1672"/>
      <c r="DO43" s="1647" t="str">
        <f t="shared" si="63"/>
        <v>n/a</v>
      </c>
      <c r="DP43" s="1671">
        <v>33</v>
      </c>
      <c r="DQ43" s="1644" t="e">
        <f t="shared" si="49"/>
        <v>#VALUE!</v>
      </c>
      <c r="DR43" s="1644" t="e">
        <f t="shared" ref="DR43:DR74" si="85">IF(DQ43&lt;273.16,-5674.5359/DQ43+6.3925247-0.009677843*DQ43,-5800.2206/DQ43+1.3914993-0.048640239*DQ43)</f>
        <v>#VALUE!</v>
      </c>
      <c r="DS43" s="1644" t="e">
        <f t="shared" ref="DS43:DS74" si="86">IF(DQ43&lt;273.16,0.00000062215701*POWER(DQ43,2)+0.0000000020747825*POWER(DQ43,3)-0.000000000000948402*POWER(DQ43,4)+4.1635019*LN(DQ43),0.000041764768*POWER(DQ43,2)-0.000000014452093*POWER(DQ43,3)+6.5459673*LN(DQ43))</f>
        <v>#VALUE!</v>
      </c>
      <c r="DT43" s="1644" t="e">
        <f t="shared" si="52"/>
        <v>#VALUE!</v>
      </c>
      <c r="DU43" s="1644" t="e">
        <f t="shared" si="53"/>
        <v>#VALUE!</v>
      </c>
      <c r="DV43" s="1644" t="e">
        <f t="shared" si="54"/>
        <v>#VALUE!</v>
      </c>
      <c r="DW43" s="1644" t="e">
        <f t="shared" si="55"/>
        <v>#VALUE!</v>
      </c>
      <c r="DX43" s="1644" t="e">
        <f t="shared" si="56"/>
        <v>#VALUE!</v>
      </c>
      <c r="DY43" s="505" t="e">
        <f t="shared" si="57"/>
        <v>#VALUE!</v>
      </c>
      <c r="DZ43" s="1648" t="e">
        <f t="shared" si="58"/>
        <v>#VALUE!</v>
      </c>
      <c r="EA43" s="521" t="e">
        <f t="shared" ref="EA43:EA74" si="87">IF(DO43+DP43&gt;0,(IF(DU43&lt;0.6112,"n/a (&lt;0C)",6.54+14.526*LN(DU43)+0.7389*POWER(LN(DU43),2)+0.09486*POWER(LN(DU43),3)+0.4569*POWER(DU43,0.1984))),0)</f>
        <v>#VALUE!</v>
      </c>
      <c r="EB43" s="522" t="e">
        <f t="shared" si="60"/>
        <v>#VALUE!</v>
      </c>
    </row>
    <row r="44" spans="2:132">
      <c r="BH44" s="1649">
        <f t="shared" si="61"/>
        <v>-23</v>
      </c>
      <c r="BI44" s="503">
        <v>100</v>
      </c>
      <c r="BJ44" s="1644">
        <f t="shared" si="64"/>
        <v>250.14999999999998</v>
      </c>
      <c r="BK44" s="1644">
        <f t="shared" si="65"/>
        <v>-18.712920606721838</v>
      </c>
      <c r="BL44" s="1644">
        <f t="shared" si="66"/>
        <v>23.05880513345646</v>
      </c>
      <c r="BM44" s="1644">
        <f t="shared" si="67"/>
        <v>7.7160257614297789E-2</v>
      </c>
      <c r="BN44" s="1644">
        <f t="shared" si="68"/>
        <v>7.7160257614297789E-2</v>
      </c>
      <c r="BO44" s="1644">
        <f t="shared" si="69"/>
        <v>4.7400652846571136E-4</v>
      </c>
      <c r="BP44" s="1644">
        <f t="shared" si="70"/>
        <v>1</v>
      </c>
      <c r="BQ44" s="1644">
        <f t="shared" si="71"/>
        <v>0.70932936688953263</v>
      </c>
      <c r="BR44" s="1648">
        <f t="shared" si="72"/>
        <v>-21.972188053336513</v>
      </c>
      <c r="BS44" s="521">
        <f t="shared" si="73"/>
        <v>-23</v>
      </c>
      <c r="BT44" s="522">
        <f t="shared" si="74"/>
        <v>4.7400652846571136E-4</v>
      </c>
      <c r="BV44" s="1647" t="str">
        <f t="shared" si="11"/>
        <v>n/a</v>
      </c>
      <c r="BW44" s="1671">
        <v>34</v>
      </c>
      <c r="BX44" s="1644" t="e">
        <f t="shared" si="12"/>
        <v>#VALUE!</v>
      </c>
      <c r="BY44" s="1644" t="e">
        <f t="shared" si="75"/>
        <v>#VALUE!</v>
      </c>
      <c r="BZ44" s="1644" t="e">
        <f t="shared" si="76"/>
        <v>#VALUE!</v>
      </c>
      <c r="CA44" s="1644" t="e">
        <f t="shared" si="15"/>
        <v>#VALUE!</v>
      </c>
      <c r="CB44" s="1644" t="e">
        <f t="shared" si="16"/>
        <v>#VALUE!</v>
      </c>
      <c r="CC44" s="1644" t="e">
        <f t="shared" si="17"/>
        <v>#VALUE!</v>
      </c>
      <c r="CD44" s="1644" t="e">
        <f t="shared" si="18"/>
        <v>#VALUE!</v>
      </c>
      <c r="CE44" s="1644" t="e">
        <f t="shared" si="19"/>
        <v>#VALUE!</v>
      </c>
      <c r="CF44" s="505" t="e">
        <f t="shared" si="20"/>
        <v>#VALUE!</v>
      </c>
      <c r="CG44" s="1648" t="e">
        <f t="shared" si="21"/>
        <v>#VALUE!</v>
      </c>
      <c r="CH44" s="521" t="e">
        <f t="shared" si="77"/>
        <v>#VALUE!</v>
      </c>
      <c r="CI44" s="522" t="e">
        <f t="shared" si="23"/>
        <v>#VALUE!</v>
      </c>
      <c r="CJ44" s="1672"/>
      <c r="CK44" s="1647" t="str">
        <f t="shared" si="78"/>
        <v>n/a</v>
      </c>
      <c r="CL44" s="1671">
        <v>34</v>
      </c>
      <c r="CM44" s="1644" t="e">
        <f t="shared" si="25"/>
        <v>#VALUE!</v>
      </c>
      <c r="CN44" s="1644" t="e">
        <f t="shared" si="79"/>
        <v>#VALUE!</v>
      </c>
      <c r="CO44" s="1644" t="e">
        <f t="shared" si="80"/>
        <v>#VALUE!</v>
      </c>
      <c r="CP44" s="1644" t="e">
        <f t="shared" si="28"/>
        <v>#VALUE!</v>
      </c>
      <c r="CQ44" s="1644" t="e">
        <f t="shared" si="29"/>
        <v>#VALUE!</v>
      </c>
      <c r="CR44" s="1644" t="e">
        <f t="shared" si="30"/>
        <v>#VALUE!</v>
      </c>
      <c r="CS44" s="1644" t="e">
        <f t="shared" si="31"/>
        <v>#VALUE!</v>
      </c>
      <c r="CT44" s="1644" t="e">
        <f t="shared" si="32"/>
        <v>#VALUE!</v>
      </c>
      <c r="CU44" s="505" t="e">
        <f t="shared" si="33"/>
        <v>#VALUE!</v>
      </c>
      <c r="CV44" s="1648" t="e">
        <f t="shared" si="34"/>
        <v>#VALUE!</v>
      </c>
      <c r="CW44" s="521" t="e">
        <f t="shared" si="81"/>
        <v>#VALUE!</v>
      </c>
      <c r="CX44" s="522" t="e">
        <f t="shared" si="36"/>
        <v>#VALUE!</v>
      </c>
      <c r="CZ44" s="1647" t="str">
        <f t="shared" si="62"/>
        <v>n/a</v>
      </c>
      <c r="DA44" s="1671">
        <v>34</v>
      </c>
      <c r="DB44" s="1644" t="e">
        <f t="shared" si="37"/>
        <v>#VALUE!</v>
      </c>
      <c r="DC44" s="1644" t="e">
        <f t="shared" si="82"/>
        <v>#VALUE!</v>
      </c>
      <c r="DD44" s="1644" t="e">
        <f t="shared" si="83"/>
        <v>#VALUE!</v>
      </c>
      <c r="DE44" s="1644" t="e">
        <f t="shared" si="40"/>
        <v>#VALUE!</v>
      </c>
      <c r="DF44" s="1644" t="e">
        <f t="shared" si="41"/>
        <v>#VALUE!</v>
      </c>
      <c r="DG44" s="1644" t="e">
        <f t="shared" si="42"/>
        <v>#VALUE!</v>
      </c>
      <c r="DH44" s="1644" t="e">
        <f t="shared" si="43"/>
        <v>#VALUE!</v>
      </c>
      <c r="DI44" s="1644" t="e">
        <f t="shared" si="44"/>
        <v>#VALUE!</v>
      </c>
      <c r="DJ44" s="505" t="e">
        <f t="shared" si="45"/>
        <v>#VALUE!</v>
      </c>
      <c r="DK44" s="1648" t="e">
        <f t="shared" si="46"/>
        <v>#VALUE!</v>
      </c>
      <c r="DL44" s="521" t="e">
        <f t="shared" si="84"/>
        <v>#VALUE!</v>
      </c>
      <c r="DM44" s="522" t="e">
        <f t="shared" si="48"/>
        <v>#VALUE!</v>
      </c>
      <c r="DN44" s="1672"/>
      <c r="DO44" s="1647" t="str">
        <f t="shared" si="63"/>
        <v>n/a</v>
      </c>
      <c r="DP44" s="1671">
        <v>34</v>
      </c>
      <c r="DQ44" s="1644" t="e">
        <f t="shared" si="49"/>
        <v>#VALUE!</v>
      </c>
      <c r="DR44" s="1644" t="e">
        <f t="shared" si="85"/>
        <v>#VALUE!</v>
      </c>
      <c r="DS44" s="1644" t="e">
        <f t="shared" si="86"/>
        <v>#VALUE!</v>
      </c>
      <c r="DT44" s="1644" t="e">
        <f t="shared" si="52"/>
        <v>#VALUE!</v>
      </c>
      <c r="DU44" s="1644" t="e">
        <f t="shared" si="53"/>
        <v>#VALUE!</v>
      </c>
      <c r="DV44" s="1644" t="e">
        <f t="shared" si="54"/>
        <v>#VALUE!</v>
      </c>
      <c r="DW44" s="1644" t="e">
        <f t="shared" si="55"/>
        <v>#VALUE!</v>
      </c>
      <c r="DX44" s="1644" t="e">
        <f t="shared" si="56"/>
        <v>#VALUE!</v>
      </c>
      <c r="DY44" s="505" t="e">
        <f t="shared" si="57"/>
        <v>#VALUE!</v>
      </c>
      <c r="DZ44" s="1648" t="e">
        <f t="shared" si="58"/>
        <v>#VALUE!</v>
      </c>
      <c r="EA44" s="521" t="e">
        <f t="shared" si="87"/>
        <v>#VALUE!</v>
      </c>
      <c r="EB44" s="522" t="e">
        <f t="shared" si="60"/>
        <v>#VALUE!</v>
      </c>
    </row>
    <row r="45" spans="2:132">
      <c r="AD45" s="317"/>
      <c r="BH45" s="1649">
        <f t="shared" si="61"/>
        <v>-22.5</v>
      </c>
      <c r="BI45" s="503">
        <v>100</v>
      </c>
      <c r="BJ45" s="1644">
        <f t="shared" si="64"/>
        <v>250.64999999999998</v>
      </c>
      <c r="BK45" s="1644">
        <f t="shared" si="65"/>
        <v>-18.672508116132729</v>
      </c>
      <c r="BL45" s="1644">
        <f t="shared" si="66"/>
        <v>23.067439979987835</v>
      </c>
      <c r="BM45" s="1644">
        <f t="shared" si="67"/>
        <v>8.1039108882144939E-2</v>
      </c>
      <c r="BN45" s="1644">
        <f t="shared" si="68"/>
        <v>8.1039108882144939E-2</v>
      </c>
      <c r="BO45" s="1644">
        <f t="shared" si="69"/>
        <v>4.9785394110295536E-4</v>
      </c>
      <c r="BP45" s="1644">
        <f t="shared" si="70"/>
        <v>1</v>
      </c>
      <c r="BQ45" s="1644">
        <f t="shared" si="71"/>
        <v>0.71077440556162608</v>
      </c>
      <c r="BR45" s="1648">
        <f t="shared" si="72"/>
        <v>-21.410086386484554</v>
      </c>
      <c r="BS45" s="521">
        <f t="shared" si="73"/>
        <v>-22.5</v>
      </c>
      <c r="BT45" s="522">
        <f t="shared" si="74"/>
        <v>4.9785394110295536E-4</v>
      </c>
      <c r="BV45" s="1647" t="str">
        <f t="shared" si="11"/>
        <v>n/a</v>
      </c>
      <c r="BW45" s="1671">
        <v>35</v>
      </c>
      <c r="BX45" s="1644" t="e">
        <f t="shared" si="12"/>
        <v>#VALUE!</v>
      </c>
      <c r="BY45" s="1644" t="e">
        <f t="shared" si="75"/>
        <v>#VALUE!</v>
      </c>
      <c r="BZ45" s="1644" t="e">
        <f t="shared" si="76"/>
        <v>#VALUE!</v>
      </c>
      <c r="CA45" s="1644" t="e">
        <f t="shared" si="15"/>
        <v>#VALUE!</v>
      </c>
      <c r="CB45" s="1644" t="e">
        <f t="shared" si="16"/>
        <v>#VALUE!</v>
      </c>
      <c r="CC45" s="1644" t="e">
        <f t="shared" si="17"/>
        <v>#VALUE!</v>
      </c>
      <c r="CD45" s="1644" t="e">
        <f t="shared" si="18"/>
        <v>#VALUE!</v>
      </c>
      <c r="CE45" s="1644" t="e">
        <f t="shared" si="19"/>
        <v>#VALUE!</v>
      </c>
      <c r="CF45" s="505" t="e">
        <f t="shared" si="20"/>
        <v>#VALUE!</v>
      </c>
      <c r="CG45" s="1648" t="e">
        <f t="shared" si="21"/>
        <v>#VALUE!</v>
      </c>
      <c r="CH45" s="521" t="e">
        <f t="shared" si="77"/>
        <v>#VALUE!</v>
      </c>
      <c r="CI45" s="522" t="e">
        <f t="shared" si="23"/>
        <v>#VALUE!</v>
      </c>
      <c r="CJ45" s="1672"/>
      <c r="CK45" s="1647" t="str">
        <f t="shared" si="78"/>
        <v>n/a</v>
      </c>
      <c r="CL45" s="1671">
        <v>35</v>
      </c>
      <c r="CM45" s="1644" t="e">
        <f t="shared" si="25"/>
        <v>#VALUE!</v>
      </c>
      <c r="CN45" s="1644" t="e">
        <f t="shared" si="79"/>
        <v>#VALUE!</v>
      </c>
      <c r="CO45" s="1644" t="e">
        <f t="shared" si="80"/>
        <v>#VALUE!</v>
      </c>
      <c r="CP45" s="1644" t="e">
        <f t="shared" si="28"/>
        <v>#VALUE!</v>
      </c>
      <c r="CQ45" s="1644" t="e">
        <f t="shared" si="29"/>
        <v>#VALUE!</v>
      </c>
      <c r="CR45" s="1644" t="e">
        <f t="shared" si="30"/>
        <v>#VALUE!</v>
      </c>
      <c r="CS45" s="1644" t="e">
        <f t="shared" si="31"/>
        <v>#VALUE!</v>
      </c>
      <c r="CT45" s="1644" t="e">
        <f t="shared" si="32"/>
        <v>#VALUE!</v>
      </c>
      <c r="CU45" s="505" t="e">
        <f t="shared" si="33"/>
        <v>#VALUE!</v>
      </c>
      <c r="CV45" s="1648" t="e">
        <f t="shared" si="34"/>
        <v>#VALUE!</v>
      </c>
      <c r="CW45" s="521" t="e">
        <f t="shared" si="81"/>
        <v>#VALUE!</v>
      </c>
      <c r="CX45" s="522" t="e">
        <f t="shared" si="36"/>
        <v>#VALUE!</v>
      </c>
      <c r="CZ45" s="1647" t="str">
        <f t="shared" si="62"/>
        <v>n/a</v>
      </c>
      <c r="DA45" s="1671">
        <v>35</v>
      </c>
      <c r="DB45" s="1644" t="e">
        <f t="shared" si="37"/>
        <v>#VALUE!</v>
      </c>
      <c r="DC45" s="1644" t="e">
        <f t="shared" si="82"/>
        <v>#VALUE!</v>
      </c>
      <c r="DD45" s="1644" t="e">
        <f t="shared" si="83"/>
        <v>#VALUE!</v>
      </c>
      <c r="DE45" s="1644" t="e">
        <f t="shared" si="40"/>
        <v>#VALUE!</v>
      </c>
      <c r="DF45" s="1644" t="e">
        <f t="shared" si="41"/>
        <v>#VALUE!</v>
      </c>
      <c r="DG45" s="1644" t="e">
        <f t="shared" si="42"/>
        <v>#VALUE!</v>
      </c>
      <c r="DH45" s="1644" t="e">
        <f t="shared" si="43"/>
        <v>#VALUE!</v>
      </c>
      <c r="DI45" s="1644" t="e">
        <f t="shared" si="44"/>
        <v>#VALUE!</v>
      </c>
      <c r="DJ45" s="505" t="e">
        <f t="shared" si="45"/>
        <v>#VALUE!</v>
      </c>
      <c r="DK45" s="1648" t="e">
        <f t="shared" si="46"/>
        <v>#VALUE!</v>
      </c>
      <c r="DL45" s="521" t="e">
        <f t="shared" si="84"/>
        <v>#VALUE!</v>
      </c>
      <c r="DM45" s="522" t="e">
        <f t="shared" si="48"/>
        <v>#VALUE!</v>
      </c>
      <c r="DN45" s="1672"/>
      <c r="DO45" s="1647" t="str">
        <f t="shared" si="63"/>
        <v>n/a</v>
      </c>
      <c r="DP45" s="1671">
        <v>35</v>
      </c>
      <c r="DQ45" s="1644" t="e">
        <f t="shared" si="49"/>
        <v>#VALUE!</v>
      </c>
      <c r="DR45" s="1644" t="e">
        <f t="shared" si="85"/>
        <v>#VALUE!</v>
      </c>
      <c r="DS45" s="1644" t="e">
        <f t="shared" si="86"/>
        <v>#VALUE!</v>
      </c>
      <c r="DT45" s="1644" t="e">
        <f t="shared" si="52"/>
        <v>#VALUE!</v>
      </c>
      <c r="DU45" s="1644" t="e">
        <f t="shared" si="53"/>
        <v>#VALUE!</v>
      </c>
      <c r="DV45" s="1644" t="e">
        <f t="shared" si="54"/>
        <v>#VALUE!</v>
      </c>
      <c r="DW45" s="1644" t="e">
        <f t="shared" si="55"/>
        <v>#VALUE!</v>
      </c>
      <c r="DX45" s="1644" t="e">
        <f t="shared" si="56"/>
        <v>#VALUE!</v>
      </c>
      <c r="DY45" s="505" t="e">
        <f t="shared" si="57"/>
        <v>#VALUE!</v>
      </c>
      <c r="DZ45" s="1648" t="e">
        <f t="shared" si="58"/>
        <v>#VALUE!</v>
      </c>
      <c r="EA45" s="521" t="e">
        <f t="shared" si="87"/>
        <v>#VALUE!</v>
      </c>
      <c r="EB45" s="522" t="e">
        <f t="shared" si="60"/>
        <v>#VALUE!</v>
      </c>
    </row>
    <row r="46" spans="2:132">
      <c r="BH46" s="1649">
        <f t="shared" si="61"/>
        <v>-22</v>
      </c>
      <c r="BI46" s="503">
        <v>100</v>
      </c>
      <c r="BJ46" s="1644">
        <f t="shared" si="64"/>
        <v>251.14999999999998</v>
      </c>
      <c r="BK46" s="1644">
        <f t="shared" si="65"/>
        <v>-18.632275802378533</v>
      </c>
      <c r="BL46" s="1644">
        <f t="shared" si="66"/>
        <v>23.076059171136382</v>
      </c>
      <c r="BM46" s="1644">
        <f t="shared" si="67"/>
        <v>8.5096284034624881E-2</v>
      </c>
      <c r="BN46" s="1644">
        <f t="shared" si="68"/>
        <v>8.5096284034624881E-2</v>
      </c>
      <c r="BO46" s="1644">
        <f t="shared" si="69"/>
        <v>5.2279965508806865E-4</v>
      </c>
      <c r="BP46" s="1644">
        <f t="shared" si="70"/>
        <v>1</v>
      </c>
      <c r="BQ46" s="1644">
        <f t="shared" si="71"/>
        <v>0.71222080949182687</v>
      </c>
      <c r="BR46" s="1648">
        <f t="shared" si="72"/>
        <v>-20.845238436928287</v>
      </c>
      <c r="BS46" s="521">
        <f t="shared" si="73"/>
        <v>-22</v>
      </c>
      <c r="BT46" s="522">
        <f t="shared" si="74"/>
        <v>5.2279965508806865E-4</v>
      </c>
      <c r="BV46" s="1647" t="str">
        <f t="shared" si="11"/>
        <v>n/a</v>
      </c>
      <c r="BW46" s="1671">
        <v>36</v>
      </c>
      <c r="BX46" s="1644" t="e">
        <f t="shared" si="12"/>
        <v>#VALUE!</v>
      </c>
      <c r="BY46" s="1644" t="e">
        <f t="shared" si="75"/>
        <v>#VALUE!</v>
      </c>
      <c r="BZ46" s="1644" t="e">
        <f t="shared" si="76"/>
        <v>#VALUE!</v>
      </c>
      <c r="CA46" s="1644" t="e">
        <f t="shared" si="15"/>
        <v>#VALUE!</v>
      </c>
      <c r="CB46" s="1644" t="e">
        <f t="shared" si="16"/>
        <v>#VALUE!</v>
      </c>
      <c r="CC46" s="1644" t="e">
        <f t="shared" si="17"/>
        <v>#VALUE!</v>
      </c>
      <c r="CD46" s="1644" t="e">
        <f t="shared" si="18"/>
        <v>#VALUE!</v>
      </c>
      <c r="CE46" s="1644" t="e">
        <f t="shared" si="19"/>
        <v>#VALUE!</v>
      </c>
      <c r="CF46" s="505" t="e">
        <f t="shared" si="20"/>
        <v>#VALUE!</v>
      </c>
      <c r="CG46" s="1648" t="e">
        <f t="shared" si="21"/>
        <v>#VALUE!</v>
      </c>
      <c r="CH46" s="521" t="e">
        <f t="shared" si="77"/>
        <v>#VALUE!</v>
      </c>
      <c r="CI46" s="522" t="e">
        <f t="shared" si="23"/>
        <v>#VALUE!</v>
      </c>
      <c r="CJ46" s="1672"/>
      <c r="CK46" s="1647" t="str">
        <f t="shared" si="78"/>
        <v>n/a</v>
      </c>
      <c r="CL46" s="1671">
        <v>36</v>
      </c>
      <c r="CM46" s="1644" t="e">
        <f t="shared" si="25"/>
        <v>#VALUE!</v>
      </c>
      <c r="CN46" s="1644" t="e">
        <f t="shared" si="79"/>
        <v>#VALUE!</v>
      </c>
      <c r="CO46" s="1644" t="e">
        <f t="shared" si="80"/>
        <v>#VALUE!</v>
      </c>
      <c r="CP46" s="1644" t="e">
        <f t="shared" si="28"/>
        <v>#VALUE!</v>
      </c>
      <c r="CQ46" s="1644" t="e">
        <f t="shared" si="29"/>
        <v>#VALUE!</v>
      </c>
      <c r="CR46" s="1644" t="e">
        <f t="shared" si="30"/>
        <v>#VALUE!</v>
      </c>
      <c r="CS46" s="1644" t="e">
        <f t="shared" si="31"/>
        <v>#VALUE!</v>
      </c>
      <c r="CT46" s="1644" t="e">
        <f t="shared" si="32"/>
        <v>#VALUE!</v>
      </c>
      <c r="CU46" s="505" t="e">
        <f t="shared" si="33"/>
        <v>#VALUE!</v>
      </c>
      <c r="CV46" s="1648" t="e">
        <f t="shared" si="34"/>
        <v>#VALUE!</v>
      </c>
      <c r="CW46" s="521" t="e">
        <f t="shared" si="81"/>
        <v>#VALUE!</v>
      </c>
      <c r="CX46" s="522" t="e">
        <f t="shared" si="36"/>
        <v>#VALUE!</v>
      </c>
      <c r="CZ46" s="1647" t="str">
        <f t="shared" si="62"/>
        <v>n/a</v>
      </c>
      <c r="DA46" s="1671">
        <v>36</v>
      </c>
      <c r="DB46" s="1644" t="e">
        <f t="shared" si="37"/>
        <v>#VALUE!</v>
      </c>
      <c r="DC46" s="1644" t="e">
        <f t="shared" si="82"/>
        <v>#VALUE!</v>
      </c>
      <c r="DD46" s="1644" t="e">
        <f t="shared" si="83"/>
        <v>#VALUE!</v>
      </c>
      <c r="DE46" s="1644" t="e">
        <f t="shared" si="40"/>
        <v>#VALUE!</v>
      </c>
      <c r="DF46" s="1644" t="e">
        <f t="shared" si="41"/>
        <v>#VALUE!</v>
      </c>
      <c r="DG46" s="1644" t="e">
        <f t="shared" si="42"/>
        <v>#VALUE!</v>
      </c>
      <c r="DH46" s="1644" t="e">
        <f t="shared" si="43"/>
        <v>#VALUE!</v>
      </c>
      <c r="DI46" s="1644" t="e">
        <f t="shared" si="44"/>
        <v>#VALUE!</v>
      </c>
      <c r="DJ46" s="505" t="e">
        <f t="shared" si="45"/>
        <v>#VALUE!</v>
      </c>
      <c r="DK46" s="1648" t="e">
        <f t="shared" si="46"/>
        <v>#VALUE!</v>
      </c>
      <c r="DL46" s="521" t="e">
        <f t="shared" si="84"/>
        <v>#VALUE!</v>
      </c>
      <c r="DM46" s="522" t="e">
        <f t="shared" si="48"/>
        <v>#VALUE!</v>
      </c>
      <c r="DN46" s="1672"/>
      <c r="DO46" s="1647" t="str">
        <f t="shared" si="63"/>
        <v>n/a</v>
      </c>
      <c r="DP46" s="1671">
        <v>36</v>
      </c>
      <c r="DQ46" s="1644" t="e">
        <f t="shared" si="49"/>
        <v>#VALUE!</v>
      </c>
      <c r="DR46" s="1644" t="e">
        <f t="shared" si="85"/>
        <v>#VALUE!</v>
      </c>
      <c r="DS46" s="1644" t="e">
        <f t="shared" si="86"/>
        <v>#VALUE!</v>
      </c>
      <c r="DT46" s="1644" t="e">
        <f t="shared" si="52"/>
        <v>#VALUE!</v>
      </c>
      <c r="DU46" s="1644" t="e">
        <f t="shared" si="53"/>
        <v>#VALUE!</v>
      </c>
      <c r="DV46" s="1644" t="e">
        <f t="shared" si="54"/>
        <v>#VALUE!</v>
      </c>
      <c r="DW46" s="1644" t="e">
        <f t="shared" si="55"/>
        <v>#VALUE!</v>
      </c>
      <c r="DX46" s="1644" t="e">
        <f t="shared" si="56"/>
        <v>#VALUE!</v>
      </c>
      <c r="DY46" s="505" t="e">
        <f t="shared" si="57"/>
        <v>#VALUE!</v>
      </c>
      <c r="DZ46" s="1648" t="e">
        <f t="shared" si="58"/>
        <v>#VALUE!</v>
      </c>
      <c r="EA46" s="521" t="e">
        <f t="shared" si="87"/>
        <v>#VALUE!</v>
      </c>
      <c r="EB46" s="522" t="e">
        <f t="shared" si="60"/>
        <v>#VALUE!</v>
      </c>
    </row>
    <row r="47" spans="2:132">
      <c r="BH47" s="1649">
        <f t="shared" si="61"/>
        <v>-21.5</v>
      </c>
      <c r="BI47" s="503">
        <v>100</v>
      </c>
      <c r="BJ47" s="1644">
        <f t="shared" si="64"/>
        <v>251.64999999999998</v>
      </c>
      <c r="BK47" s="1644">
        <f t="shared" si="65"/>
        <v>-18.592222591486461</v>
      </c>
      <c r="BL47" s="1644">
        <f t="shared" si="66"/>
        <v>23.084662773646439</v>
      </c>
      <c r="BM47" s="1644">
        <f t="shared" si="67"/>
        <v>8.9339183993251331E-2</v>
      </c>
      <c r="BN47" s="1644">
        <f t="shared" si="68"/>
        <v>8.9339183993251331E-2</v>
      </c>
      <c r="BO47" s="1644">
        <f t="shared" si="69"/>
        <v>5.4888944480852866E-4</v>
      </c>
      <c r="BP47" s="1644">
        <f t="shared" si="70"/>
        <v>1</v>
      </c>
      <c r="BQ47" s="1644">
        <f t="shared" si="71"/>
        <v>0.71366863866220853</v>
      </c>
      <c r="BR47" s="1648">
        <f t="shared" si="72"/>
        <v>-20.277528525663278</v>
      </c>
      <c r="BS47" s="521">
        <f t="shared" si="73"/>
        <v>-21.5</v>
      </c>
      <c r="BT47" s="522">
        <f t="shared" si="74"/>
        <v>5.4888944480852866E-4</v>
      </c>
      <c r="BV47" s="1647" t="str">
        <f t="shared" si="11"/>
        <v>n/a</v>
      </c>
      <c r="BW47" s="1671">
        <v>37</v>
      </c>
      <c r="BX47" s="1644" t="e">
        <f t="shared" si="12"/>
        <v>#VALUE!</v>
      </c>
      <c r="BY47" s="1644" t="e">
        <f t="shared" si="75"/>
        <v>#VALUE!</v>
      </c>
      <c r="BZ47" s="1644" t="e">
        <f t="shared" si="76"/>
        <v>#VALUE!</v>
      </c>
      <c r="CA47" s="1644" t="e">
        <f t="shared" si="15"/>
        <v>#VALUE!</v>
      </c>
      <c r="CB47" s="1644" t="e">
        <f t="shared" si="16"/>
        <v>#VALUE!</v>
      </c>
      <c r="CC47" s="1644" t="e">
        <f t="shared" si="17"/>
        <v>#VALUE!</v>
      </c>
      <c r="CD47" s="1644" t="e">
        <f t="shared" si="18"/>
        <v>#VALUE!</v>
      </c>
      <c r="CE47" s="1644" t="e">
        <f t="shared" si="19"/>
        <v>#VALUE!</v>
      </c>
      <c r="CF47" s="505" t="e">
        <f t="shared" si="20"/>
        <v>#VALUE!</v>
      </c>
      <c r="CG47" s="1648" t="e">
        <f t="shared" si="21"/>
        <v>#VALUE!</v>
      </c>
      <c r="CH47" s="521" t="e">
        <f t="shared" si="77"/>
        <v>#VALUE!</v>
      </c>
      <c r="CI47" s="522" t="e">
        <f t="shared" si="23"/>
        <v>#VALUE!</v>
      </c>
      <c r="CJ47" s="1672"/>
      <c r="CK47" s="1647" t="str">
        <f t="shared" si="78"/>
        <v>n/a</v>
      </c>
      <c r="CL47" s="1671">
        <v>37</v>
      </c>
      <c r="CM47" s="1644" t="e">
        <f t="shared" si="25"/>
        <v>#VALUE!</v>
      </c>
      <c r="CN47" s="1644" t="e">
        <f t="shared" si="79"/>
        <v>#VALUE!</v>
      </c>
      <c r="CO47" s="1644" t="e">
        <f t="shared" si="80"/>
        <v>#VALUE!</v>
      </c>
      <c r="CP47" s="1644" t="e">
        <f t="shared" si="28"/>
        <v>#VALUE!</v>
      </c>
      <c r="CQ47" s="1644" t="e">
        <f t="shared" si="29"/>
        <v>#VALUE!</v>
      </c>
      <c r="CR47" s="1644" t="e">
        <f t="shared" si="30"/>
        <v>#VALUE!</v>
      </c>
      <c r="CS47" s="1644" t="e">
        <f t="shared" si="31"/>
        <v>#VALUE!</v>
      </c>
      <c r="CT47" s="1644" t="e">
        <f t="shared" si="32"/>
        <v>#VALUE!</v>
      </c>
      <c r="CU47" s="505" t="e">
        <f t="shared" si="33"/>
        <v>#VALUE!</v>
      </c>
      <c r="CV47" s="1648" t="e">
        <f t="shared" si="34"/>
        <v>#VALUE!</v>
      </c>
      <c r="CW47" s="521" t="e">
        <f t="shared" si="81"/>
        <v>#VALUE!</v>
      </c>
      <c r="CX47" s="522" t="e">
        <f t="shared" si="36"/>
        <v>#VALUE!</v>
      </c>
      <c r="CZ47" s="1647" t="str">
        <f t="shared" si="62"/>
        <v>n/a</v>
      </c>
      <c r="DA47" s="1671">
        <v>37</v>
      </c>
      <c r="DB47" s="1644" t="e">
        <f t="shared" si="37"/>
        <v>#VALUE!</v>
      </c>
      <c r="DC47" s="1644" t="e">
        <f t="shared" si="82"/>
        <v>#VALUE!</v>
      </c>
      <c r="DD47" s="1644" t="e">
        <f t="shared" si="83"/>
        <v>#VALUE!</v>
      </c>
      <c r="DE47" s="1644" t="e">
        <f t="shared" si="40"/>
        <v>#VALUE!</v>
      </c>
      <c r="DF47" s="1644" t="e">
        <f t="shared" si="41"/>
        <v>#VALUE!</v>
      </c>
      <c r="DG47" s="1644" t="e">
        <f t="shared" si="42"/>
        <v>#VALUE!</v>
      </c>
      <c r="DH47" s="1644" t="e">
        <f t="shared" si="43"/>
        <v>#VALUE!</v>
      </c>
      <c r="DI47" s="1644" t="e">
        <f t="shared" si="44"/>
        <v>#VALUE!</v>
      </c>
      <c r="DJ47" s="505" t="e">
        <f t="shared" si="45"/>
        <v>#VALUE!</v>
      </c>
      <c r="DK47" s="1648" t="e">
        <f t="shared" si="46"/>
        <v>#VALUE!</v>
      </c>
      <c r="DL47" s="521" t="e">
        <f t="shared" si="84"/>
        <v>#VALUE!</v>
      </c>
      <c r="DM47" s="522" t="e">
        <f t="shared" si="48"/>
        <v>#VALUE!</v>
      </c>
      <c r="DN47" s="1672"/>
      <c r="DO47" s="1647" t="str">
        <f t="shared" si="63"/>
        <v>n/a</v>
      </c>
      <c r="DP47" s="1671">
        <v>37</v>
      </c>
      <c r="DQ47" s="1644" t="e">
        <f t="shared" si="49"/>
        <v>#VALUE!</v>
      </c>
      <c r="DR47" s="1644" t="e">
        <f t="shared" si="85"/>
        <v>#VALUE!</v>
      </c>
      <c r="DS47" s="1644" t="e">
        <f t="shared" si="86"/>
        <v>#VALUE!</v>
      </c>
      <c r="DT47" s="1644" t="e">
        <f t="shared" si="52"/>
        <v>#VALUE!</v>
      </c>
      <c r="DU47" s="1644" t="e">
        <f t="shared" si="53"/>
        <v>#VALUE!</v>
      </c>
      <c r="DV47" s="1644" t="e">
        <f t="shared" si="54"/>
        <v>#VALUE!</v>
      </c>
      <c r="DW47" s="1644" t="e">
        <f t="shared" si="55"/>
        <v>#VALUE!</v>
      </c>
      <c r="DX47" s="1644" t="e">
        <f t="shared" si="56"/>
        <v>#VALUE!</v>
      </c>
      <c r="DY47" s="505" t="e">
        <f t="shared" si="57"/>
        <v>#VALUE!</v>
      </c>
      <c r="DZ47" s="1648" t="e">
        <f t="shared" si="58"/>
        <v>#VALUE!</v>
      </c>
      <c r="EA47" s="521" t="e">
        <f t="shared" si="87"/>
        <v>#VALUE!</v>
      </c>
      <c r="EB47" s="522" t="e">
        <f t="shared" si="60"/>
        <v>#VALUE!</v>
      </c>
    </row>
    <row r="48" spans="2:132">
      <c r="B48" s="293"/>
      <c r="BH48" s="1649">
        <f t="shared" si="61"/>
        <v>-21</v>
      </c>
      <c r="BI48" s="503">
        <v>100</v>
      </c>
      <c r="BJ48" s="1644">
        <f t="shared" si="64"/>
        <v>252.14999999999998</v>
      </c>
      <c r="BK48" s="1644">
        <f t="shared" si="65"/>
        <v>-18.552347418002253</v>
      </c>
      <c r="BL48" s="1644">
        <f t="shared" si="66"/>
        <v>23.093250853868494</v>
      </c>
      <c r="BM48" s="1644">
        <f t="shared" si="67"/>
        <v>9.3775481995200846E-2</v>
      </c>
      <c r="BN48" s="1644">
        <f t="shared" si="68"/>
        <v>9.3775481995200846E-2</v>
      </c>
      <c r="BO48" s="1644">
        <f t="shared" si="69"/>
        <v>5.7617078691961463E-4</v>
      </c>
      <c r="BP48" s="1644">
        <f t="shared" si="70"/>
        <v>1</v>
      </c>
      <c r="BQ48" s="1644">
        <f t="shared" si="71"/>
        <v>0.71511795542730594</v>
      </c>
      <c r="BR48" s="1648">
        <f t="shared" si="72"/>
        <v>-19.706836615592234</v>
      </c>
      <c r="BS48" s="521">
        <f t="shared" si="73"/>
        <v>-21</v>
      </c>
      <c r="BT48" s="522">
        <f t="shared" si="74"/>
        <v>5.7617078691961463E-4</v>
      </c>
      <c r="BV48" s="1647" t="str">
        <f t="shared" si="11"/>
        <v>n/a</v>
      </c>
      <c r="BW48" s="1671">
        <v>38</v>
      </c>
      <c r="BX48" s="1644" t="e">
        <f t="shared" si="12"/>
        <v>#VALUE!</v>
      </c>
      <c r="BY48" s="1644" t="e">
        <f t="shared" si="75"/>
        <v>#VALUE!</v>
      </c>
      <c r="BZ48" s="1644" t="e">
        <f t="shared" si="76"/>
        <v>#VALUE!</v>
      </c>
      <c r="CA48" s="1644" t="e">
        <f t="shared" si="15"/>
        <v>#VALUE!</v>
      </c>
      <c r="CB48" s="1644" t="e">
        <f t="shared" si="16"/>
        <v>#VALUE!</v>
      </c>
      <c r="CC48" s="1644" t="e">
        <f t="shared" si="17"/>
        <v>#VALUE!</v>
      </c>
      <c r="CD48" s="1644" t="e">
        <f t="shared" si="18"/>
        <v>#VALUE!</v>
      </c>
      <c r="CE48" s="1644" t="e">
        <f t="shared" si="19"/>
        <v>#VALUE!</v>
      </c>
      <c r="CF48" s="505" t="e">
        <f t="shared" si="20"/>
        <v>#VALUE!</v>
      </c>
      <c r="CG48" s="1648" t="e">
        <f t="shared" si="21"/>
        <v>#VALUE!</v>
      </c>
      <c r="CH48" s="521" t="e">
        <f t="shared" si="77"/>
        <v>#VALUE!</v>
      </c>
      <c r="CI48" s="522" t="e">
        <f t="shared" si="23"/>
        <v>#VALUE!</v>
      </c>
      <c r="CJ48" s="1672"/>
      <c r="CK48" s="1647" t="str">
        <f t="shared" si="78"/>
        <v>n/a</v>
      </c>
      <c r="CL48" s="1671">
        <v>38</v>
      </c>
      <c r="CM48" s="1644" t="e">
        <f t="shared" si="25"/>
        <v>#VALUE!</v>
      </c>
      <c r="CN48" s="1644" t="e">
        <f t="shared" si="79"/>
        <v>#VALUE!</v>
      </c>
      <c r="CO48" s="1644" t="e">
        <f t="shared" si="80"/>
        <v>#VALUE!</v>
      </c>
      <c r="CP48" s="1644" t="e">
        <f t="shared" si="28"/>
        <v>#VALUE!</v>
      </c>
      <c r="CQ48" s="1644" t="e">
        <f t="shared" si="29"/>
        <v>#VALUE!</v>
      </c>
      <c r="CR48" s="1644" t="e">
        <f t="shared" si="30"/>
        <v>#VALUE!</v>
      </c>
      <c r="CS48" s="1644" t="e">
        <f t="shared" si="31"/>
        <v>#VALUE!</v>
      </c>
      <c r="CT48" s="1644" t="e">
        <f t="shared" si="32"/>
        <v>#VALUE!</v>
      </c>
      <c r="CU48" s="505" t="e">
        <f t="shared" si="33"/>
        <v>#VALUE!</v>
      </c>
      <c r="CV48" s="1648" t="e">
        <f t="shared" si="34"/>
        <v>#VALUE!</v>
      </c>
      <c r="CW48" s="521" t="e">
        <f t="shared" si="81"/>
        <v>#VALUE!</v>
      </c>
      <c r="CX48" s="522" t="e">
        <f t="shared" si="36"/>
        <v>#VALUE!</v>
      </c>
      <c r="CZ48" s="1647" t="str">
        <f t="shared" si="62"/>
        <v>n/a</v>
      </c>
      <c r="DA48" s="1671">
        <v>38</v>
      </c>
      <c r="DB48" s="1644" t="e">
        <f t="shared" si="37"/>
        <v>#VALUE!</v>
      </c>
      <c r="DC48" s="1644" t="e">
        <f t="shared" si="82"/>
        <v>#VALUE!</v>
      </c>
      <c r="DD48" s="1644" t="e">
        <f t="shared" si="83"/>
        <v>#VALUE!</v>
      </c>
      <c r="DE48" s="1644" t="e">
        <f t="shared" si="40"/>
        <v>#VALUE!</v>
      </c>
      <c r="DF48" s="1644" t="e">
        <f t="shared" si="41"/>
        <v>#VALUE!</v>
      </c>
      <c r="DG48" s="1644" t="e">
        <f t="shared" si="42"/>
        <v>#VALUE!</v>
      </c>
      <c r="DH48" s="1644" t="e">
        <f t="shared" si="43"/>
        <v>#VALUE!</v>
      </c>
      <c r="DI48" s="1644" t="e">
        <f t="shared" si="44"/>
        <v>#VALUE!</v>
      </c>
      <c r="DJ48" s="505" t="e">
        <f t="shared" si="45"/>
        <v>#VALUE!</v>
      </c>
      <c r="DK48" s="1648" t="e">
        <f t="shared" si="46"/>
        <v>#VALUE!</v>
      </c>
      <c r="DL48" s="521" t="e">
        <f t="shared" si="84"/>
        <v>#VALUE!</v>
      </c>
      <c r="DM48" s="522" t="e">
        <f t="shared" si="48"/>
        <v>#VALUE!</v>
      </c>
      <c r="DN48" s="1672"/>
      <c r="DO48" s="1647" t="str">
        <f t="shared" si="63"/>
        <v>n/a</v>
      </c>
      <c r="DP48" s="1671">
        <v>38</v>
      </c>
      <c r="DQ48" s="1644" t="e">
        <f t="shared" si="49"/>
        <v>#VALUE!</v>
      </c>
      <c r="DR48" s="1644" t="e">
        <f t="shared" si="85"/>
        <v>#VALUE!</v>
      </c>
      <c r="DS48" s="1644" t="e">
        <f t="shared" si="86"/>
        <v>#VALUE!</v>
      </c>
      <c r="DT48" s="1644" t="e">
        <f t="shared" si="52"/>
        <v>#VALUE!</v>
      </c>
      <c r="DU48" s="1644" t="e">
        <f t="shared" si="53"/>
        <v>#VALUE!</v>
      </c>
      <c r="DV48" s="1644" t="e">
        <f t="shared" si="54"/>
        <v>#VALUE!</v>
      </c>
      <c r="DW48" s="1644" t="e">
        <f t="shared" si="55"/>
        <v>#VALUE!</v>
      </c>
      <c r="DX48" s="1644" t="e">
        <f t="shared" si="56"/>
        <v>#VALUE!</v>
      </c>
      <c r="DY48" s="505" t="e">
        <f t="shared" si="57"/>
        <v>#VALUE!</v>
      </c>
      <c r="DZ48" s="1648" t="e">
        <f t="shared" si="58"/>
        <v>#VALUE!</v>
      </c>
      <c r="EA48" s="521" t="e">
        <f t="shared" si="87"/>
        <v>#VALUE!</v>
      </c>
      <c r="EB48" s="522" t="e">
        <f t="shared" si="60"/>
        <v>#VALUE!</v>
      </c>
    </row>
    <row r="49" spans="2:132">
      <c r="B49" s="293"/>
      <c r="AD49" s="297"/>
      <c r="BH49" s="1649">
        <f t="shared" si="61"/>
        <v>-20.5</v>
      </c>
      <c r="BI49" s="503">
        <v>100</v>
      </c>
      <c r="BJ49" s="1644">
        <f t="shared" si="64"/>
        <v>252.64999999999998</v>
      </c>
      <c r="BK49" s="1644">
        <f t="shared" si="65"/>
        <v>-18.512649224905868</v>
      </c>
      <c r="BL49" s="1644">
        <f t="shared" si="66"/>
        <v>23.101823477762295</v>
      </c>
      <c r="BM49" s="1644">
        <f t="shared" si="67"/>
        <v>9.8413132237965995E-2</v>
      </c>
      <c r="BN49" s="1644">
        <f t="shared" si="68"/>
        <v>9.8413132237965995E-2</v>
      </c>
      <c r="BO49" s="1644">
        <f t="shared" si="69"/>
        <v>6.0469291599580892E-4</v>
      </c>
      <c r="BP49" s="1644">
        <f t="shared" si="70"/>
        <v>1</v>
      </c>
      <c r="BQ49" s="1644">
        <f t="shared" si="71"/>
        <v>0.716568824597558</v>
      </c>
      <c r="BR49" s="1648">
        <f t="shared" si="72"/>
        <v>-19.133038166718617</v>
      </c>
      <c r="BS49" s="521">
        <f t="shared" si="73"/>
        <v>-20.5</v>
      </c>
      <c r="BT49" s="522">
        <f t="shared" si="74"/>
        <v>6.0469291599580892E-4</v>
      </c>
      <c r="BV49" s="1647" t="str">
        <f t="shared" si="11"/>
        <v>n/a</v>
      </c>
      <c r="BW49" s="1671">
        <v>39</v>
      </c>
      <c r="BX49" s="1644" t="e">
        <f t="shared" si="12"/>
        <v>#VALUE!</v>
      </c>
      <c r="BY49" s="1644" t="e">
        <f t="shared" si="75"/>
        <v>#VALUE!</v>
      </c>
      <c r="BZ49" s="1644" t="e">
        <f t="shared" si="76"/>
        <v>#VALUE!</v>
      </c>
      <c r="CA49" s="1644" t="e">
        <f t="shared" si="15"/>
        <v>#VALUE!</v>
      </c>
      <c r="CB49" s="1644" t="e">
        <f t="shared" si="16"/>
        <v>#VALUE!</v>
      </c>
      <c r="CC49" s="1644" t="e">
        <f t="shared" si="17"/>
        <v>#VALUE!</v>
      </c>
      <c r="CD49" s="1644" t="e">
        <f t="shared" si="18"/>
        <v>#VALUE!</v>
      </c>
      <c r="CE49" s="1644" t="e">
        <f t="shared" si="19"/>
        <v>#VALUE!</v>
      </c>
      <c r="CF49" s="505" t="e">
        <f t="shared" si="20"/>
        <v>#VALUE!</v>
      </c>
      <c r="CG49" s="1648" t="e">
        <f t="shared" si="21"/>
        <v>#VALUE!</v>
      </c>
      <c r="CH49" s="521" t="e">
        <f t="shared" si="77"/>
        <v>#VALUE!</v>
      </c>
      <c r="CI49" s="522" t="e">
        <f t="shared" si="23"/>
        <v>#VALUE!</v>
      </c>
      <c r="CJ49" s="1672"/>
      <c r="CK49" s="1647" t="str">
        <f t="shared" si="78"/>
        <v>n/a</v>
      </c>
      <c r="CL49" s="1671">
        <v>39</v>
      </c>
      <c r="CM49" s="1644" t="e">
        <f t="shared" si="25"/>
        <v>#VALUE!</v>
      </c>
      <c r="CN49" s="1644" t="e">
        <f t="shared" si="79"/>
        <v>#VALUE!</v>
      </c>
      <c r="CO49" s="1644" t="e">
        <f t="shared" si="80"/>
        <v>#VALUE!</v>
      </c>
      <c r="CP49" s="1644" t="e">
        <f t="shared" si="28"/>
        <v>#VALUE!</v>
      </c>
      <c r="CQ49" s="1644" t="e">
        <f t="shared" si="29"/>
        <v>#VALUE!</v>
      </c>
      <c r="CR49" s="1644" t="e">
        <f t="shared" si="30"/>
        <v>#VALUE!</v>
      </c>
      <c r="CS49" s="1644" t="e">
        <f t="shared" si="31"/>
        <v>#VALUE!</v>
      </c>
      <c r="CT49" s="1644" t="e">
        <f t="shared" si="32"/>
        <v>#VALUE!</v>
      </c>
      <c r="CU49" s="505" t="e">
        <f t="shared" si="33"/>
        <v>#VALUE!</v>
      </c>
      <c r="CV49" s="1648" t="e">
        <f t="shared" si="34"/>
        <v>#VALUE!</v>
      </c>
      <c r="CW49" s="521" t="e">
        <f t="shared" si="81"/>
        <v>#VALUE!</v>
      </c>
      <c r="CX49" s="522" t="e">
        <f t="shared" si="36"/>
        <v>#VALUE!</v>
      </c>
      <c r="CZ49" s="1647" t="str">
        <f t="shared" si="62"/>
        <v>n/a</v>
      </c>
      <c r="DA49" s="1671">
        <v>39</v>
      </c>
      <c r="DB49" s="1644" t="e">
        <f t="shared" si="37"/>
        <v>#VALUE!</v>
      </c>
      <c r="DC49" s="1644" t="e">
        <f t="shared" si="82"/>
        <v>#VALUE!</v>
      </c>
      <c r="DD49" s="1644" t="e">
        <f t="shared" si="83"/>
        <v>#VALUE!</v>
      </c>
      <c r="DE49" s="1644" t="e">
        <f t="shared" si="40"/>
        <v>#VALUE!</v>
      </c>
      <c r="DF49" s="1644" t="e">
        <f t="shared" si="41"/>
        <v>#VALUE!</v>
      </c>
      <c r="DG49" s="1644" t="e">
        <f t="shared" si="42"/>
        <v>#VALUE!</v>
      </c>
      <c r="DH49" s="1644" t="e">
        <f t="shared" si="43"/>
        <v>#VALUE!</v>
      </c>
      <c r="DI49" s="1644" t="e">
        <f t="shared" si="44"/>
        <v>#VALUE!</v>
      </c>
      <c r="DJ49" s="505" t="e">
        <f t="shared" si="45"/>
        <v>#VALUE!</v>
      </c>
      <c r="DK49" s="1648" t="e">
        <f t="shared" si="46"/>
        <v>#VALUE!</v>
      </c>
      <c r="DL49" s="521" t="e">
        <f t="shared" si="84"/>
        <v>#VALUE!</v>
      </c>
      <c r="DM49" s="522" t="e">
        <f t="shared" si="48"/>
        <v>#VALUE!</v>
      </c>
      <c r="DN49" s="1672"/>
      <c r="DO49" s="1647" t="str">
        <f t="shared" si="63"/>
        <v>n/a</v>
      </c>
      <c r="DP49" s="1671">
        <v>39</v>
      </c>
      <c r="DQ49" s="1644" t="e">
        <f t="shared" si="49"/>
        <v>#VALUE!</v>
      </c>
      <c r="DR49" s="1644" t="e">
        <f t="shared" si="85"/>
        <v>#VALUE!</v>
      </c>
      <c r="DS49" s="1644" t="e">
        <f t="shared" si="86"/>
        <v>#VALUE!</v>
      </c>
      <c r="DT49" s="1644" t="e">
        <f t="shared" si="52"/>
        <v>#VALUE!</v>
      </c>
      <c r="DU49" s="1644" t="e">
        <f t="shared" si="53"/>
        <v>#VALUE!</v>
      </c>
      <c r="DV49" s="1644" t="e">
        <f t="shared" si="54"/>
        <v>#VALUE!</v>
      </c>
      <c r="DW49" s="1644" t="e">
        <f t="shared" si="55"/>
        <v>#VALUE!</v>
      </c>
      <c r="DX49" s="1644" t="e">
        <f t="shared" si="56"/>
        <v>#VALUE!</v>
      </c>
      <c r="DY49" s="505" t="e">
        <f t="shared" si="57"/>
        <v>#VALUE!</v>
      </c>
      <c r="DZ49" s="1648" t="e">
        <f t="shared" si="58"/>
        <v>#VALUE!</v>
      </c>
      <c r="EA49" s="521" t="e">
        <f t="shared" si="87"/>
        <v>#VALUE!</v>
      </c>
      <c r="EB49" s="522" t="e">
        <f t="shared" si="60"/>
        <v>#VALUE!</v>
      </c>
    </row>
    <row r="50" spans="2:132">
      <c r="B50" s="293"/>
      <c r="AD50" s="317"/>
      <c r="BH50" s="1649">
        <f t="shared" si="61"/>
        <v>-20</v>
      </c>
      <c r="BI50" s="503">
        <v>100</v>
      </c>
      <c r="BJ50" s="1644">
        <f t="shared" si="64"/>
        <v>253.14999999999998</v>
      </c>
      <c r="BK50" s="1644">
        <f t="shared" si="65"/>
        <v>-18.47312696352822</v>
      </c>
      <c r="BL50" s="1644">
        <f t="shared" si="66"/>
        <v>23.110380710899932</v>
      </c>
      <c r="BM50" s="1644">
        <f t="shared" si="67"/>
        <v>0.10326037875013543</v>
      </c>
      <c r="BN50" s="1644">
        <f t="shared" si="68"/>
        <v>0.10326037875013543</v>
      </c>
      <c r="BO50" s="1644">
        <f t="shared" si="69"/>
        <v>6.3450688177587927E-4</v>
      </c>
      <c r="BP50" s="1644">
        <f t="shared" si="70"/>
        <v>1</v>
      </c>
      <c r="BQ50" s="1644">
        <f t="shared" si="71"/>
        <v>0.71802131352534471</v>
      </c>
      <c r="BR50" s="1648">
        <f t="shared" si="72"/>
        <v>-18.556003987110635</v>
      </c>
      <c r="BS50" s="521">
        <f t="shared" si="73"/>
        <v>-20</v>
      </c>
      <c r="BT50" s="522">
        <f t="shared" si="74"/>
        <v>6.3450688177587927E-4</v>
      </c>
      <c r="BV50" s="1647" t="str">
        <f t="shared" si="11"/>
        <v>n/a</v>
      </c>
      <c r="BW50" s="1671">
        <v>40</v>
      </c>
      <c r="BX50" s="1644" t="e">
        <f t="shared" si="12"/>
        <v>#VALUE!</v>
      </c>
      <c r="BY50" s="1644" t="e">
        <f t="shared" si="75"/>
        <v>#VALUE!</v>
      </c>
      <c r="BZ50" s="1644" t="e">
        <f t="shared" si="76"/>
        <v>#VALUE!</v>
      </c>
      <c r="CA50" s="1644" t="e">
        <f t="shared" si="15"/>
        <v>#VALUE!</v>
      </c>
      <c r="CB50" s="1644" t="e">
        <f t="shared" si="16"/>
        <v>#VALUE!</v>
      </c>
      <c r="CC50" s="1644" t="e">
        <f t="shared" si="17"/>
        <v>#VALUE!</v>
      </c>
      <c r="CD50" s="1644" t="e">
        <f t="shared" si="18"/>
        <v>#VALUE!</v>
      </c>
      <c r="CE50" s="1644" t="e">
        <f t="shared" si="19"/>
        <v>#VALUE!</v>
      </c>
      <c r="CF50" s="505" t="e">
        <f t="shared" si="20"/>
        <v>#VALUE!</v>
      </c>
      <c r="CG50" s="1648" t="e">
        <f t="shared" si="21"/>
        <v>#VALUE!</v>
      </c>
      <c r="CH50" s="521" t="e">
        <f t="shared" si="77"/>
        <v>#VALUE!</v>
      </c>
      <c r="CI50" s="522" t="e">
        <f t="shared" si="23"/>
        <v>#VALUE!</v>
      </c>
      <c r="CJ50" s="1672"/>
      <c r="CK50" s="1647" t="str">
        <f t="shared" si="78"/>
        <v>n/a</v>
      </c>
      <c r="CL50" s="1671">
        <v>40</v>
      </c>
      <c r="CM50" s="1644" t="e">
        <f t="shared" si="25"/>
        <v>#VALUE!</v>
      </c>
      <c r="CN50" s="1644" t="e">
        <f t="shared" si="79"/>
        <v>#VALUE!</v>
      </c>
      <c r="CO50" s="1644" t="e">
        <f t="shared" si="80"/>
        <v>#VALUE!</v>
      </c>
      <c r="CP50" s="1644" t="e">
        <f t="shared" si="28"/>
        <v>#VALUE!</v>
      </c>
      <c r="CQ50" s="1644" t="e">
        <f t="shared" si="29"/>
        <v>#VALUE!</v>
      </c>
      <c r="CR50" s="1644" t="e">
        <f t="shared" si="30"/>
        <v>#VALUE!</v>
      </c>
      <c r="CS50" s="1644" t="e">
        <f t="shared" si="31"/>
        <v>#VALUE!</v>
      </c>
      <c r="CT50" s="1644" t="e">
        <f t="shared" si="32"/>
        <v>#VALUE!</v>
      </c>
      <c r="CU50" s="505" t="e">
        <f t="shared" si="33"/>
        <v>#VALUE!</v>
      </c>
      <c r="CV50" s="1648" t="e">
        <f t="shared" si="34"/>
        <v>#VALUE!</v>
      </c>
      <c r="CW50" s="521" t="e">
        <f t="shared" si="81"/>
        <v>#VALUE!</v>
      </c>
      <c r="CX50" s="522" t="e">
        <f t="shared" si="36"/>
        <v>#VALUE!</v>
      </c>
      <c r="CZ50" s="1647" t="str">
        <f t="shared" si="62"/>
        <v>n/a</v>
      </c>
      <c r="DA50" s="1671">
        <v>40</v>
      </c>
      <c r="DB50" s="1644" t="e">
        <f t="shared" si="37"/>
        <v>#VALUE!</v>
      </c>
      <c r="DC50" s="1644" t="e">
        <f t="shared" si="82"/>
        <v>#VALUE!</v>
      </c>
      <c r="DD50" s="1644" t="e">
        <f t="shared" si="83"/>
        <v>#VALUE!</v>
      </c>
      <c r="DE50" s="1644" t="e">
        <f t="shared" si="40"/>
        <v>#VALUE!</v>
      </c>
      <c r="DF50" s="1644" t="e">
        <f t="shared" si="41"/>
        <v>#VALUE!</v>
      </c>
      <c r="DG50" s="1644" t="e">
        <f t="shared" si="42"/>
        <v>#VALUE!</v>
      </c>
      <c r="DH50" s="1644" t="e">
        <f t="shared" si="43"/>
        <v>#VALUE!</v>
      </c>
      <c r="DI50" s="1644" t="e">
        <f t="shared" si="44"/>
        <v>#VALUE!</v>
      </c>
      <c r="DJ50" s="505" t="e">
        <f t="shared" si="45"/>
        <v>#VALUE!</v>
      </c>
      <c r="DK50" s="1648" t="e">
        <f t="shared" si="46"/>
        <v>#VALUE!</v>
      </c>
      <c r="DL50" s="521" t="e">
        <f t="shared" si="84"/>
        <v>#VALUE!</v>
      </c>
      <c r="DM50" s="522" t="e">
        <f t="shared" si="48"/>
        <v>#VALUE!</v>
      </c>
      <c r="DN50" s="1672"/>
      <c r="DO50" s="1647" t="str">
        <f t="shared" si="63"/>
        <v>n/a</v>
      </c>
      <c r="DP50" s="1671">
        <v>40</v>
      </c>
      <c r="DQ50" s="1644" t="e">
        <f t="shared" si="49"/>
        <v>#VALUE!</v>
      </c>
      <c r="DR50" s="1644" t="e">
        <f t="shared" si="85"/>
        <v>#VALUE!</v>
      </c>
      <c r="DS50" s="1644" t="e">
        <f t="shared" si="86"/>
        <v>#VALUE!</v>
      </c>
      <c r="DT50" s="1644" t="e">
        <f t="shared" si="52"/>
        <v>#VALUE!</v>
      </c>
      <c r="DU50" s="1644" t="e">
        <f t="shared" si="53"/>
        <v>#VALUE!</v>
      </c>
      <c r="DV50" s="1644" t="e">
        <f t="shared" si="54"/>
        <v>#VALUE!</v>
      </c>
      <c r="DW50" s="1644" t="e">
        <f t="shared" si="55"/>
        <v>#VALUE!</v>
      </c>
      <c r="DX50" s="1644" t="e">
        <f t="shared" si="56"/>
        <v>#VALUE!</v>
      </c>
      <c r="DY50" s="505" t="e">
        <f t="shared" si="57"/>
        <v>#VALUE!</v>
      </c>
      <c r="DZ50" s="1648" t="e">
        <f t="shared" si="58"/>
        <v>#VALUE!</v>
      </c>
      <c r="EA50" s="521" t="e">
        <f t="shared" si="87"/>
        <v>#VALUE!</v>
      </c>
      <c r="EB50" s="522" t="e">
        <f t="shared" si="60"/>
        <v>#VALUE!</v>
      </c>
    </row>
    <row r="51" spans="2:132">
      <c r="B51" s="293"/>
      <c r="BH51" s="1649">
        <f t="shared" si="61"/>
        <v>-19.5</v>
      </c>
      <c r="BI51" s="503">
        <v>100</v>
      </c>
      <c r="BJ51" s="1644">
        <f t="shared" si="64"/>
        <v>253.64999999999998</v>
      </c>
      <c r="BK51" s="1644">
        <f t="shared" si="65"/>
        <v>-18.433779593468827</v>
      </c>
      <c r="BL51" s="1644">
        <f t="shared" si="66"/>
        <v>23.118922618468854</v>
      </c>
      <c r="BM51" s="1644">
        <f t="shared" si="67"/>
        <v>0.10832576449274203</v>
      </c>
      <c r="BN51" s="1644">
        <f t="shared" si="68"/>
        <v>0.10832576449274203</v>
      </c>
      <c r="BO51" s="1644">
        <f t="shared" si="69"/>
        <v>6.6566560804424979E-4</v>
      </c>
      <c r="BP51" s="1644">
        <f t="shared" si="70"/>
        <v>1</v>
      </c>
      <c r="BQ51" s="1644">
        <f t="shared" si="71"/>
        <v>0.71947549219370133</v>
      </c>
      <c r="BR51" s="1648">
        <f t="shared" si="72"/>
        <v>-17.975600079520468</v>
      </c>
      <c r="BS51" s="521">
        <f t="shared" si="73"/>
        <v>-19.5</v>
      </c>
      <c r="BT51" s="522">
        <f t="shared" si="74"/>
        <v>6.6566560804424979E-4</v>
      </c>
      <c r="BV51" s="1647" t="str">
        <f t="shared" si="11"/>
        <v>n/a</v>
      </c>
      <c r="BW51" s="1671">
        <v>41</v>
      </c>
      <c r="BX51" s="1644" t="e">
        <f t="shared" si="12"/>
        <v>#VALUE!</v>
      </c>
      <c r="BY51" s="1644" t="e">
        <f t="shared" si="75"/>
        <v>#VALUE!</v>
      </c>
      <c r="BZ51" s="1644" t="e">
        <f t="shared" si="76"/>
        <v>#VALUE!</v>
      </c>
      <c r="CA51" s="1644" t="e">
        <f t="shared" si="15"/>
        <v>#VALUE!</v>
      </c>
      <c r="CB51" s="1644" t="e">
        <f t="shared" si="16"/>
        <v>#VALUE!</v>
      </c>
      <c r="CC51" s="1644" t="e">
        <f t="shared" si="17"/>
        <v>#VALUE!</v>
      </c>
      <c r="CD51" s="1644" t="e">
        <f t="shared" si="18"/>
        <v>#VALUE!</v>
      </c>
      <c r="CE51" s="1644" t="e">
        <f t="shared" si="19"/>
        <v>#VALUE!</v>
      </c>
      <c r="CF51" s="505" t="e">
        <f t="shared" si="20"/>
        <v>#VALUE!</v>
      </c>
      <c r="CG51" s="1648" t="e">
        <f t="shared" si="21"/>
        <v>#VALUE!</v>
      </c>
      <c r="CH51" s="521" t="e">
        <f t="shared" si="77"/>
        <v>#VALUE!</v>
      </c>
      <c r="CI51" s="522" t="e">
        <f t="shared" si="23"/>
        <v>#VALUE!</v>
      </c>
      <c r="CJ51" s="1672"/>
      <c r="CK51" s="1647" t="str">
        <f t="shared" si="78"/>
        <v>n/a</v>
      </c>
      <c r="CL51" s="1671">
        <v>41</v>
      </c>
      <c r="CM51" s="1644" t="e">
        <f t="shared" si="25"/>
        <v>#VALUE!</v>
      </c>
      <c r="CN51" s="1644" t="e">
        <f t="shared" si="79"/>
        <v>#VALUE!</v>
      </c>
      <c r="CO51" s="1644" t="e">
        <f t="shared" si="80"/>
        <v>#VALUE!</v>
      </c>
      <c r="CP51" s="1644" t="e">
        <f t="shared" si="28"/>
        <v>#VALUE!</v>
      </c>
      <c r="CQ51" s="1644" t="e">
        <f t="shared" si="29"/>
        <v>#VALUE!</v>
      </c>
      <c r="CR51" s="1644" t="e">
        <f t="shared" si="30"/>
        <v>#VALUE!</v>
      </c>
      <c r="CS51" s="1644" t="e">
        <f t="shared" si="31"/>
        <v>#VALUE!</v>
      </c>
      <c r="CT51" s="1644" t="e">
        <f t="shared" si="32"/>
        <v>#VALUE!</v>
      </c>
      <c r="CU51" s="505" t="e">
        <f t="shared" si="33"/>
        <v>#VALUE!</v>
      </c>
      <c r="CV51" s="1648" t="e">
        <f t="shared" si="34"/>
        <v>#VALUE!</v>
      </c>
      <c r="CW51" s="521" t="e">
        <f t="shared" si="81"/>
        <v>#VALUE!</v>
      </c>
      <c r="CX51" s="522" t="e">
        <f t="shared" si="36"/>
        <v>#VALUE!</v>
      </c>
      <c r="CZ51" s="1647" t="str">
        <f t="shared" si="62"/>
        <v>n/a</v>
      </c>
      <c r="DA51" s="1671">
        <v>41</v>
      </c>
      <c r="DB51" s="1644" t="e">
        <f t="shared" si="37"/>
        <v>#VALUE!</v>
      </c>
      <c r="DC51" s="1644" t="e">
        <f t="shared" si="82"/>
        <v>#VALUE!</v>
      </c>
      <c r="DD51" s="1644" t="e">
        <f t="shared" si="83"/>
        <v>#VALUE!</v>
      </c>
      <c r="DE51" s="1644" t="e">
        <f t="shared" si="40"/>
        <v>#VALUE!</v>
      </c>
      <c r="DF51" s="1644" t="e">
        <f t="shared" si="41"/>
        <v>#VALUE!</v>
      </c>
      <c r="DG51" s="1644" t="e">
        <f t="shared" si="42"/>
        <v>#VALUE!</v>
      </c>
      <c r="DH51" s="1644" t="e">
        <f t="shared" si="43"/>
        <v>#VALUE!</v>
      </c>
      <c r="DI51" s="1644" t="e">
        <f t="shared" si="44"/>
        <v>#VALUE!</v>
      </c>
      <c r="DJ51" s="505" t="e">
        <f t="shared" si="45"/>
        <v>#VALUE!</v>
      </c>
      <c r="DK51" s="1648" t="e">
        <f t="shared" si="46"/>
        <v>#VALUE!</v>
      </c>
      <c r="DL51" s="521" t="e">
        <f t="shared" si="84"/>
        <v>#VALUE!</v>
      </c>
      <c r="DM51" s="522" t="e">
        <f t="shared" si="48"/>
        <v>#VALUE!</v>
      </c>
      <c r="DN51" s="1672"/>
      <c r="DO51" s="1647" t="str">
        <f t="shared" si="63"/>
        <v>n/a</v>
      </c>
      <c r="DP51" s="1671">
        <v>41</v>
      </c>
      <c r="DQ51" s="1644" t="e">
        <f t="shared" si="49"/>
        <v>#VALUE!</v>
      </c>
      <c r="DR51" s="1644" t="e">
        <f t="shared" si="85"/>
        <v>#VALUE!</v>
      </c>
      <c r="DS51" s="1644" t="e">
        <f t="shared" si="86"/>
        <v>#VALUE!</v>
      </c>
      <c r="DT51" s="1644" t="e">
        <f t="shared" si="52"/>
        <v>#VALUE!</v>
      </c>
      <c r="DU51" s="1644" t="e">
        <f t="shared" si="53"/>
        <v>#VALUE!</v>
      </c>
      <c r="DV51" s="1644" t="e">
        <f t="shared" si="54"/>
        <v>#VALUE!</v>
      </c>
      <c r="DW51" s="1644" t="e">
        <f t="shared" si="55"/>
        <v>#VALUE!</v>
      </c>
      <c r="DX51" s="1644" t="e">
        <f t="shared" si="56"/>
        <v>#VALUE!</v>
      </c>
      <c r="DY51" s="505" t="e">
        <f t="shared" si="57"/>
        <v>#VALUE!</v>
      </c>
      <c r="DZ51" s="1648" t="e">
        <f t="shared" si="58"/>
        <v>#VALUE!</v>
      </c>
      <c r="EA51" s="521" t="e">
        <f t="shared" si="87"/>
        <v>#VALUE!</v>
      </c>
      <c r="EB51" s="522" t="e">
        <f t="shared" si="60"/>
        <v>#VALUE!</v>
      </c>
    </row>
    <row r="52" spans="2:132">
      <c r="B52" s="293"/>
      <c r="BH52" s="1649">
        <f t="shared" si="61"/>
        <v>-19</v>
      </c>
      <c r="BI52" s="503">
        <v>100</v>
      </c>
      <c r="BJ52" s="1644">
        <f t="shared" si="64"/>
        <v>254.14999999999998</v>
      </c>
      <c r="BK52" s="1644">
        <f t="shared" si="65"/>
        <v>-18.394606082514532</v>
      </c>
      <c r="BL52" s="1644">
        <f t="shared" si="66"/>
        <v>23.127449265274947</v>
      </c>
      <c r="BM52" s="1644">
        <f t="shared" si="67"/>
        <v>0.11361814069565683</v>
      </c>
      <c r="BN52" s="1644">
        <f t="shared" si="68"/>
        <v>0.11361814069565683</v>
      </c>
      <c r="BO52" s="1644">
        <f t="shared" si="69"/>
        <v>6.9822395319255406E-4</v>
      </c>
      <c r="BP52" s="1644">
        <f t="shared" si="70"/>
        <v>1</v>
      </c>
      <c r="BQ52" s="1644">
        <f t="shared" si="71"/>
        <v>0.72093143330778053</v>
      </c>
      <c r="BR52" s="1648">
        <f t="shared" si="72"/>
        <v>-17.39168748354016</v>
      </c>
      <c r="BS52" s="521">
        <f t="shared" si="73"/>
        <v>-19</v>
      </c>
      <c r="BT52" s="522">
        <f t="shared" si="74"/>
        <v>6.9822395319255406E-4</v>
      </c>
      <c r="BV52" s="1647" t="str">
        <f t="shared" si="11"/>
        <v>n/a</v>
      </c>
      <c r="BW52" s="1671">
        <v>42</v>
      </c>
      <c r="BX52" s="1644" t="e">
        <f t="shared" si="12"/>
        <v>#VALUE!</v>
      </c>
      <c r="BY52" s="1644" t="e">
        <f t="shared" si="75"/>
        <v>#VALUE!</v>
      </c>
      <c r="BZ52" s="1644" t="e">
        <f t="shared" si="76"/>
        <v>#VALUE!</v>
      </c>
      <c r="CA52" s="1644" t="e">
        <f t="shared" si="15"/>
        <v>#VALUE!</v>
      </c>
      <c r="CB52" s="1644" t="e">
        <f t="shared" si="16"/>
        <v>#VALUE!</v>
      </c>
      <c r="CC52" s="1644" t="e">
        <f t="shared" si="17"/>
        <v>#VALUE!</v>
      </c>
      <c r="CD52" s="1644" t="e">
        <f t="shared" si="18"/>
        <v>#VALUE!</v>
      </c>
      <c r="CE52" s="1644" t="e">
        <f t="shared" si="19"/>
        <v>#VALUE!</v>
      </c>
      <c r="CF52" s="505" t="e">
        <f t="shared" si="20"/>
        <v>#VALUE!</v>
      </c>
      <c r="CG52" s="1648" t="e">
        <f t="shared" si="21"/>
        <v>#VALUE!</v>
      </c>
      <c r="CH52" s="521" t="e">
        <f t="shared" si="77"/>
        <v>#VALUE!</v>
      </c>
      <c r="CI52" s="522" t="e">
        <f t="shared" si="23"/>
        <v>#VALUE!</v>
      </c>
      <c r="CJ52" s="1672"/>
      <c r="CK52" s="1647" t="str">
        <f t="shared" si="78"/>
        <v>n/a</v>
      </c>
      <c r="CL52" s="1671">
        <v>42</v>
      </c>
      <c r="CM52" s="1644" t="e">
        <f t="shared" si="25"/>
        <v>#VALUE!</v>
      </c>
      <c r="CN52" s="1644" t="e">
        <f t="shared" si="79"/>
        <v>#VALUE!</v>
      </c>
      <c r="CO52" s="1644" t="e">
        <f t="shared" si="80"/>
        <v>#VALUE!</v>
      </c>
      <c r="CP52" s="1644" t="e">
        <f t="shared" si="28"/>
        <v>#VALUE!</v>
      </c>
      <c r="CQ52" s="1644" t="e">
        <f t="shared" si="29"/>
        <v>#VALUE!</v>
      </c>
      <c r="CR52" s="1644" t="e">
        <f t="shared" si="30"/>
        <v>#VALUE!</v>
      </c>
      <c r="CS52" s="1644" t="e">
        <f t="shared" si="31"/>
        <v>#VALUE!</v>
      </c>
      <c r="CT52" s="1644" t="e">
        <f t="shared" si="32"/>
        <v>#VALUE!</v>
      </c>
      <c r="CU52" s="505" t="e">
        <f t="shared" si="33"/>
        <v>#VALUE!</v>
      </c>
      <c r="CV52" s="1648" t="e">
        <f t="shared" si="34"/>
        <v>#VALUE!</v>
      </c>
      <c r="CW52" s="521" t="e">
        <f t="shared" si="81"/>
        <v>#VALUE!</v>
      </c>
      <c r="CX52" s="522" t="e">
        <f t="shared" si="36"/>
        <v>#VALUE!</v>
      </c>
      <c r="CZ52" s="1647" t="str">
        <f t="shared" si="62"/>
        <v>n/a</v>
      </c>
      <c r="DA52" s="1671">
        <v>42</v>
      </c>
      <c r="DB52" s="1644" t="e">
        <f t="shared" si="37"/>
        <v>#VALUE!</v>
      </c>
      <c r="DC52" s="1644" t="e">
        <f t="shared" si="82"/>
        <v>#VALUE!</v>
      </c>
      <c r="DD52" s="1644" t="e">
        <f t="shared" si="83"/>
        <v>#VALUE!</v>
      </c>
      <c r="DE52" s="1644" t="e">
        <f t="shared" si="40"/>
        <v>#VALUE!</v>
      </c>
      <c r="DF52" s="1644" t="e">
        <f t="shared" si="41"/>
        <v>#VALUE!</v>
      </c>
      <c r="DG52" s="1644" t="e">
        <f t="shared" si="42"/>
        <v>#VALUE!</v>
      </c>
      <c r="DH52" s="1644" t="e">
        <f t="shared" si="43"/>
        <v>#VALUE!</v>
      </c>
      <c r="DI52" s="1644" t="e">
        <f t="shared" si="44"/>
        <v>#VALUE!</v>
      </c>
      <c r="DJ52" s="505" t="e">
        <f t="shared" si="45"/>
        <v>#VALUE!</v>
      </c>
      <c r="DK52" s="1648" t="e">
        <f t="shared" si="46"/>
        <v>#VALUE!</v>
      </c>
      <c r="DL52" s="521" t="e">
        <f t="shared" si="84"/>
        <v>#VALUE!</v>
      </c>
      <c r="DM52" s="522" t="e">
        <f t="shared" si="48"/>
        <v>#VALUE!</v>
      </c>
      <c r="DN52" s="1672"/>
      <c r="DO52" s="1647" t="str">
        <f t="shared" si="63"/>
        <v>n/a</v>
      </c>
      <c r="DP52" s="1671">
        <v>42</v>
      </c>
      <c r="DQ52" s="1644" t="e">
        <f t="shared" si="49"/>
        <v>#VALUE!</v>
      </c>
      <c r="DR52" s="1644" t="e">
        <f t="shared" si="85"/>
        <v>#VALUE!</v>
      </c>
      <c r="DS52" s="1644" t="e">
        <f t="shared" si="86"/>
        <v>#VALUE!</v>
      </c>
      <c r="DT52" s="1644" t="e">
        <f t="shared" si="52"/>
        <v>#VALUE!</v>
      </c>
      <c r="DU52" s="1644" t="e">
        <f t="shared" si="53"/>
        <v>#VALUE!</v>
      </c>
      <c r="DV52" s="1644" t="e">
        <f t="shared" si="54"/>
        <v>#VALUE!</v>
      </c>
      <c r="DW52" s="1644" t="e">
        <f t="shared" si="55"/>
        <v>#VALUE!</v>
      </c>
      <c r="DX52" s="1644" t="e">
        <f t="shared" si="56"/>
        <v>#VALUE!</v>
      </c>
      <c r="DY52" s="505" t="e">
        <f t="shared" si="57"/>
        <v>#VALUE!</v>
      </c>
      <c r="DZ52" s="1648" t="e">
        <f t="shared" si="58"/>
        <v>#VALUE!</v>
      </c>
      <c r="EA52" s="521" t="e">
        <f t="shared" si="87"/>
        <v>#VALUE!</v>
      </c>
      <c r="EB52" s="522" t="e">
        <f t="shared" si="60"/>
        <v>#VALUE!</v>
      </c>
    </row>
    <row r="53" spans="2:132">
      <c r="B53" s="293"/>
      <c r="BH53" s="1649">
        <f t="shared" si="61"/>
        <v>-18.5</v>
      </c>
      <c r="BI53" s="503">
        <v>100</v>
      </c>
      <c r="BJ53" s="1644">
        <f t="shared" si="64"/>
        <v>254.64999999999998</v>
      </c>
      <c r="BK53" s="1644">
        <f t="shared" si="65"/>
        <v>-18.355605406559071</v>
      </c>
      <c r="BL53" s="1644">
        <f t="shared" si="66"/>
        <v>23.135960715745458</v>
      </c>
      <c r="BM53" s="1644">
        <f t="shared" si="67"/>
        <v>0.11914667643355549</v>
      </c>
      <c r="BN53" s="1644">
        <f t="shared" si="68"/>
        <v>0.11914667643355549</v>
      </c>
      <c r="BO53" s="1644">
        <f t="shared" si="69"/>
        <v>7.3223877250671405E-4</v>
      </c>
      <c r="BP53" s="1644">
        <f t="shared" si="70"/>
        <v>1</v>
      </c>
      <c r="BQ53" s="1644">
        <f t="shared" si="71"/>
        <v>0.72238921238914466</v>
      </c>
      <c r="BR53" s="1648">
        <f t="shared" si="72"/>
        <v>-16.804122113171641</v>
      </c>
      <c r="BS53" s="521">
        <f t="shared" si="73"/>
        <v>-18.5</v>
      </c>
      <c r="BT53" s="522">
        <f t="shared" si="74"/>
        <v>7.3223877250671405E-4</v>
      </c>
      <c r="BV53" s="1647" t="str">
        <f t="shared" si="11"/>
        <v>n/a</v>
      </c>
      <c r="BW53" s="1671">
        <v>43</v>
      </c>
      <c r="BX53" s="1644" t="e">
        <f t="shared" si="12"/>
        <v>#VALUE!</v>
      </c>
      <c r="BY53" s="1644" t="e">
        <f t="shared" si="75"/>
        <v>#VALUE!</v>
      </c>
      <c r="BZ53" s="1644" t="e">
        <f t="shared" si="76"/>
        <v>#VALUE!</v>
      </c>
      <c r="CA53" s="1644" t="e">
        <f t="shared" si="15"/>
        <v>#VALUE!</v>
      </c>
      <c r="CB53" s="1644" t="e">
        <f t="shared" si="16"/>
        <v>#VALUE!</v>
      </c>
      <c r="CC53" s="1644" t="e">
        <f t="shared" si="17"/>
        <v>#VALUE!</v>
      </c>
      <c r="CD53" s="1644" t="e">
        <f t="shared" si="18"/>
        <v>#VALUE!</v>
      </c>
      <c r="CE53" s="1644" t="e">
        <f t="shared" si="19"/>
        <v>#VALUE!</v>
      </c>
      <c r="CF53" s="505" t="e">
        <f t="shared" si="20"/>
        <v>#VALUE!</v>
      </c>
      <c r="CG53" s="1648" t="e">
        <f t="shared" si="21"/>
        <v>#VALUE!</v>
      </c>
      <c r="CH53" s="521" t="e">
        <f t="shared" si="77"/>
        <v>#VALUE!</v>
      </c>
      <c r="CI53" s="522" t="e">
        <f t="shared" si="23"/>
        <v>#VALUE!</v>
      </c>
      <c r="CJ53" s="1672"/>
      <c r="CK53" s="1647" t="str">
        <f t="shared" si="78"/>
        <v>n/a</v>
      </c>
      <c r="CL53" s="1671">
        <v>43</v>
      </c>
      <c r="CM53" s="1644" t="e">
        <f t="shared" si="25"/>
        <v>#VALUE!</v>
      </c>
      <c r="CN53" s="1644" t="e">
        <f t="shared" si="79"/>
        <v>#VALUE!</v>
      </c>
      <c r="CO53" s="1644" t="e">
        <f t="shared" si="80"/>
        <v>#VALUE!</v>
      </c>
      <c r="CP53" s="1644" t="e">
        <f t="shared" si="28"/>
        <v>#VALUE!</v>
      </c>
      <c r="CQ53" s="1644" t="e">
        <f t="shared" si="29"/>
        <v>#VALUE!</v>
      </c>
      <c r="CR53" s="1644" t="e">
        <f t="shared" si="30"/>
        <v>#VALUE!</v>
      </c>
      <c r="CS53" s="1644" t="e">
        <f t="shared" si="31"/>
        <v>#VALUE!</v>
      </c>
      <c r="CT53" s="1644" t="e">
        <f t="shared" si="32"/>
        <v>#VALUE!</v>
      </c>
      <c r="CU53" s="505" t="e">
        <f t="shared" si="33"/>
        <v>#VALUE!</v>
      </c>
      <c r="CV53" s="1648" t="e">
        <f t="shared" si="34"/>
        <v>#VALUE!</v>
      </c>
      <c r="CW53" s="521" t="e">
        <f t="shared" si="81"/>
        <v>#VALUE!</v>
      </c>
      <c r="CX53" s="522" t="e">
        <f t="shared" si="36"/>
        <v>#VALUE!</v>
      </c>
      <c r="CZ53" s="1647" t="str">
        <f t="shared" si="62"/>
        <v>n/a</v>
      </c>
      <c r="DA53" s="1671">
        <v>43</v>
      </c>
      <c r="DB53" s="1644" t="e">
        <f t="shared" si="37"/>
        <v>#VALUE!</v>
      </c>
      <c r="DC53" s="1644" t="e">
        <f t="shared" si="82"/>
        <v>#VALUE!</v>
      </c>
      <c r="DD53" s="1644" t="e">
        <f t="shared" si="83"/>
        <v>#VALUE!</v>
      </c>
      <c r="DE53" s="1644" t="e">
        <f t="shared" si="40"/>
        <v>#VALUE!</v>
      </c>
      <c r="DF53" s="1644" t="e">
        <f t="shared" si="41"/>
        <v>#VALUE!</v>
      </c>
      <c r="DG53" s="1644" t="e">
        <f t="shared" si="42"/>
        <v>#VALUE!</v>
      </c>
      <c r="DH53" s="1644" t="e">
        <f t="shared" si="43"/>
        <v>#VALUE!</v>
      </c>
      <c r="DI53" s="1644" t="e">
        <f t="shared" si="44"/>
        <v>#VALUE!</v>
      </c>
      <c r="DJ53" s="505" t="e">
        <f t="shared" si="45"/>
        <v>#VALUE!</v>
      </c>
      <c r="DK53" s="1648" t="e">
        <f t="shared" si="46"/>
        <v>#VALUE!</v>
      </c>
      <c r="DL53" s="521" t="e">
        <f t="shared" si="84"/>
        <v>#VALUE!</v>
      </c>
      <c r="DM53" s="522" t="e">
        <f t="shared" si="48"/>
        <v>#VALUE!</v>
      </c>
      <c r="DN53" s="1672"/>
      <c r="DO53" s="1647" t="str">
        <f t="shared" si="63"/>
        <v>n/a</v>
      </c>
      <c r="DP53" s="1671">
        <v>43</v>
      </c>
      <c r="DQ53" s="1644" t="e">
        <f t="shared" si="49"/>
        <v>#VALUE!</v>
      </c>
      <c r="DR53" s="1644" t="e">
        <f t="shared" si="85"/>
        <v>#VALUE!</v>
      </c>
      <c r="DS53" s="1644" t="e">
        <f t="shared" si="86"/>
        <v>#VALUE!</v>
      </c>
      <c r="DT53" s="1644" t="e">
        <f t="shared" si="52"/>
        <v>#VALUE!</v>
      </c>
      <c r="DU53" s="1644" t="e">
        <f t="shared" si="53"/>
        <v>#VALUE!</v>
      </c>
      <c r="DV53" s="1644" t="e">
        <f t="shared" si="54"/>
        <v>#VALUE!</v>
      </c>
      <c r="DW53" s="1644" t="e">
        <f t="shared" si="55"/>
        <v>#VALUE!</v>
      </c>
      <c r="DX53" s="1644" t="e">
        <f t="shared" si="56"/>
        <v>#VALUE!</v>
      </c>
      <c r="DY53" s="505" t="e">
        <f t="shared" si="57"/>
        <v>#VALUE!</v>
      </c>
      <c r="DZ53" s="1648" t="e">
        <f t="shared" si="58"/>
        <v>#VALUE!</v>
      </c>
      <c r="EA53" s="521" t="e">
        <f t="shared" si="87"/>
        <v>#VALUE!</v>
      </c>
      <c r="EB53" s="522" t="e">
        <f t="shared" si="60"/>
        <v>#VALUE!</v>
      </c>
    </row>
    <row r="54" spans="2:132">
      <c r="B54" s="293"/>
      <c r="BH54" s="1649">
        <f t="shared" si="61"/>
        <v>-18</v>
      </c>
      <c r="BI54" s="503">
        <v>100</v>
      </c>
      <c r="BJ54" s="1644">
        <f t="shared" si="64"/>
        <v>255.14999999999998</v>
      </c>
      <c r="BK54" s="1644">
        <f t="shared" si="65"/>
        <v>-18.316776549523684</v>
      </c>
      <c r="BL54" s="1644">
        <f t="shared" si="66"/>
        <v>23.144457033931996</v>
      </c>
      <c r="BM54" s="1644">
        <f t="shared" si="67"/>
        <v>0.12492086844603847</v>
      </c>
      <c r="BN54" s="1644">
        <f t="shared" si="68"/>
        <v>0.12492086844603847</v>
      </c>
      <c r="BO54" s="1644">
        <f t="shared" si="69"/>
        <v>7.6776898222642655E-4</v>
      </c>
      <c r="BP54" s="1644">
        <f t="shared" si="70"/>
        <v>1</v>
      </c>
      <c r="BQ54" s="1644">
        <f t="shared" si="71"/>
        <v>0.72384890787296874</v>
      </c>
      <c r="BR54" s="1648">
        <f t="shared" si="72"/>
        <v>-16.212754589684245</v>
      </c>
      <c r="BS54" s="521">
        <f t="shared" si="73"/>
        <v>-18</v>
      </c>
      <c r="BT54" s="522">
        <f t="shared" si="74"/>
        <v>7.6776898222642655E-4</v>
      </c>
      <c r="BV54" s="1647" t="str">
        <f t="shared" si="11"/>
        <v>n/a</v>
      </c>
      <c r="BW54" s="1671">
        <v>44</v>
      </c>
      <c r="BX54" s="1644" t="e">
        <f t="shared" si="12"/>
        <v>#VALUE!</v>
      </c>
      <c r="BY54" s="1644" t="e">
        <f t="shared" si="75"/>
        <v>#VALUE!</v>
      </c>
      <c r="BZ54" s="1644" t="e">
        <f t="shared" si="76"/>
        <v>#VALUE!</v>
      </c>
      <c r="CA54" s="1644" t="e">
        <f t="shared" si="15"/>
        <v>#VALUE!</v>
      </c>
      <c r="CB54" s="1644" t="e">
        <f t="shared" si="16"/>
        <v>#VALUE!</v>
      </c>
      <c r="CC54" s="1644" t="e">
        <f t="shared" si="17"/>
        <v>#VALUE!</v>
      </c>
      <c r="CD54" s="1644" t="e">
        <f t="shared" si="18"/>
        <v>#VALUE!</v>
      </c>
      <c r="CE54" s="1644" t="e">
        <f t="shared" si="19"/>
        <v>#VALUE!</v>
      </c>
      <c r="CF54" s="505" t="e">
        <f t="shared" si="20"/>
        <v>#VALUE!</v>
      </c>
      <c r="CG54" s="1648" t="e">
        <f t="shared" si="21"/>
        <v>#VALUE!</v>
      </c>
      <c r="CH54" s="521" t="e">
        <f t="shared" si="77"/>
        <v>#VALUE!</v>
      </c>
      <c r="CI54" s="522" t="e">
        <f t="shared" si="23"/>
        <v>#VALUE!</v>
      </c>
      <c r="CJ54" s="1672"/>
      <c r="CK54" s="1647" t="str">
        <f t="shared" si="78"/>
        <v>n/a</v>
      </c>
      <c r="CL54" s="1671">
        <v>44</v>
      </c>
      <c r="CM54" s="1644" t="e">
        <f t="shared" si="25"/>
        <v>#VALUE!</v>
      </c>
      <c r="CN54" s="1644" t="e">
        <f t="shared" si="79"/>
        <v>#VALUE!</v>
      </c>
      <c r="CO54" s="1644" t="e">
        <f t="shared" si="80"/>
        <v>#VALUE!</v>
      </c>
      <c r="CP54" s="1644" t="e">
        <f t="shared" si="28"/>
        <v>#VALUE!</v>
      </c>
      <c r="CQ54" s="1644" t="e">
        <f t="shared" si="29"/>
        <v>#VALUE!</v>
      </c>
      <c r="CR54" s="1644" t="e">
        <f t="shared" si="30"/>
        <v>#VALUE!</v>
      </c>
      <c r="CS54" s="1644" t="e">
        <f t="shared" si="31"/>
        <v>#VALUE!</v>
      </c>
      <c r="CT54" s="1644" t="e">
        <f t="shared" si="32"/>
        <v>#VALUE!</v>
      </c>
      <c r="CU54" s="505" t="e">
        <f t="shared" si="33"/>
        <v>#VALUE!</v>
      </c>
      <c r="CV54" s="1648" t="e">
        <f t="shared" si="34"/>
        <v>#VALUE!</v>
      </c>
      <c r="CW54" s="521" t="e">
        <f t="shared" si="81"/>
        <v>#VALUE!</v>
      </c>
      <c r="CX54" s="522" t="e">
        <f t="shared" si="36"/>
        <v>#VALUE!</v>
      </c>
      <c r="CZ54" s="1647" t="str">
        <f t="shared" si="62"/>
        <v>n/a</v>
      </c>
      <c r="DA54" s="1671">
        <v>44</v>
      </c>
      <c r="DB54" s="1644" t="e">
        <f t="shared" si="37"/>
        <v>#VALUE!</v>
      </c>
      <c r="DC54" s="1644" t="e">
        <f t="shared" si="82"/>
        <v>#VALUE!</v>
      </c>
      <c r="DD54" s="1644" t="e">
        <f t="shared" si="83"/>
        <v>#VALUE!</v>
      </c>
      <c r="DE54" s="1644" t="e">
        <f t="shared" si="40"/>
        <v>#VALUE!</v>
      </c>
      <c r="DF54" s="1644" t="e">
        <f t="shared" si="41"/>
        <v>#VALUE!</v>
      </c>
      <c r="DG54" s="1644" t="e">
        <f t="shared" si="42"/>
        <v>#VALUE!</v>
      </c>
      <c r="DH54" s="1644" t="e">
        <f t="shared" si="43"/>
        <v>#VALUE!</v>
      </c>
      <c r="DI54" s="1644" t="e">
        <f t="shared" si="44"/>
        <v>#VALUE!</v>
      </c>
      <c r="DJ54" s="505" t="e">
        <f t="shared" si="45"/>
        <v>#VALUE!</v>
      </c>
      <c r="DK54" s="1648" t="e">
        <f t="shared" si="46"/>
        <v>#VALUE!</v>
      </c>
      <c r="DL54" s="521" t="e">
        <f t="shared" si="84"/>
        <v>#VALUE!</v>
      </c>
      <c r="DM54" s="522" t="e">
        <f t="shared" si="48"/>
        <v>#VALUE!</v>
      </c>
      <c r="DN54" s="1672"/>
      <c r="DO54" s="1647" t="str">
        <f t="shared" si="63"/>
        <v>n/a</v>
      </c>
      <c r="DP54" s="1671">
        <v>44</v>
      </c>
      <c r="DQ54" s="1644" t="e">
        <f t="shared" si="49"/>
        <v>#VALUE!</v>
      </c>
      <c r="DR54" s="1644" t="e">
        <f t="shared" si="85"/>
        <v>#VALUE!</v>
      </c>
      <c r="DS54" s="1644" t="e">
        <f t="shared" si="86"/>
        <v>#VALUE!</v>
      </c>
      <c r="DT54" s="1644" t="e">
        <f t="shared" si="52"/>
        <v>#VALUE!</v>
      </c>
      <c r="DU54" s="1644" t="e">
        <f t="shared" si="53"/>
        <v>#VALUE!</v>
      </c>
      <c r="DV54" s="1644" t="e">
        <f t="shared" si="54"/>
        <v>#VALUE!</v>
      </c>
      <c r="DW54" s="1644" t="e">
        <f t="shared" si="55"/>
        <v>#VALUE!</v>
      </c>
      <c r="DX54" s="1644" t="e">
        <f t="shared" si="56"/>
        <v>#VALUE!</v>
      </c>
      <c r="DY54" s="505" t="e">
        <f t="shared" si="57"/>
        <v>#VALUE!</v>
      </c>
      <c r="DZ54" s="1648" t="e">
        <f t="shared" si="58"/>
        <v>#VALUE!</v>
      </c>
      <c r="EA54" s="521" t="e">
        <f t="shared" si="87"/>
        <v>#VALUE!</v>
      </c>
      <c r="EB54" s="522" t="e">
        <f t="shared" si="60"/>
        <v>#VALUE!</v>
      </c>
    </row>
    <row r="55" spans="2:132">
      <c r="B55" s="293"/>
      <c r="BH55" s="1649">
        <f t="shared" si="61"/>
        <v>-17.5</v>
      </c>
      <c r="BI55" s="503">
        <v>100</v>
      </c>
      <c r="BJ55" s="1644">
        <f t="shared" si="64"/>
        <v>255.64999999999998</v>
      </c>
      <c r="BK55" s="1644">
        <f t="shared" si="65"/>
        <v>-18.278118503278577</v>
      </c>
      <c r="BL55" s="1644">
        <f t="shared" si="66"/>
        <v>23.15293828351345</v>
      </c>
      <c r="BM55" s="1644">
        <f t="shared" si="67"/>
        <v>0.13095055120652691</v>
      </c>
      <c r="BN55" s="1644">
        <f t="shared" si="68"/>
        <v>0.13095055120652691</v>
      </c>
      <c r="BO55" s="1644">
        <f t="shared" si="69"/>
        <v>8.0487562542548986E-4</v>
      </c>
      <c r="BP55" s="1644">
        <f t="shared" si="70"/>
        <v>1</v>
      </c>
      <c r="BQ55" s="1644">
        <f t="shared" si="71"/>
        <v>0.72531060120824109</v>
      </c>
      <c r="BR55" s="1648">
        <f t="shared" si="72"/>
        <v>-15.617430069628979</v>
      </c>
      <c r="BS55" s="521">
        <f t="shared" si="73"/>
        <v>-17.5</v>
      </c>
      <c r="BT55" s="522">
        <f t="shared" si="74"/>
        <v>8.0487562542548986E-4</v>
      </c>
      <c r="BV55" s="1647" t="str">
        <f t="shared" si="11"/>
        <v>n/a</v>
      </c>
      <c r="BW55" s="1671">
        <v>45</v>
      </c>
      <c r="BX55" s="1644" t="e">
        <f t="shared" si="12"/>
        <v>#VALUE!</v>
      </c>
      <c r="BY55" s="1644" t="e">
        <f t="shared" si="75"/>
        <v>#VALUE!</v>
      </c>
      <c r="BZ55" s="1644" t="e">
        <f t="shared" si="76"/>
        <v>#VALUE!</v>
      </c>
      <c r="CA55" s="1644" t="e">
        <f t="shared" si="15"/>
        <v>#VALUE!</v>
      </c>
      <c r="CB55" s="1644" t="e">
        <f t="shared" si="16"/>
        <v>#VALUE!</v>
      </c>
      <c r="CC55" s="1644" t="e">
        <f t="shared" si="17"/>
        <v>#VALUE!</v>
      </c>
      <c r="CD55" s="1644" t="e">
        <f t="shared" si="18"/>
        <v>#VALUE!</v>
      </c>
      <c r="CE55" s="1644" t="e">
        <f t="shared" si="19"/>
        <v>#VALUE!</v>
      </c>
      <c r="CF55" s="505" t="e">
        <f t="shared" si="20"/>
        <v>#VALUE!</v>
      </c>
      <c r="CG55" s="1648" t="e">
        <f t="shared" si="21"/>
        <v>#VALUE!</v>
      </c>
      <c r="CH55" s="521" t="e">
        <f t="shared" si="77"/>
        <v>#VALUE!</v>
      </c>
      <c r="CI55" s="522" t="e">
        <f t="shared" si="23"/>
        <v>#VALUE!</v>
      </c>
      <c r="CJ55" s="1672"/>
      <c r="CK55" s="1647" t="str">
        <f t="shared" si="78"/>
        <v>n/a</v>
      </c>
      <c r="CL55" s="1671">
        <v>45</v>
      </c>
      <c r="CM55" s="1644" t="e">
        <f t="shared" si="25"/>
        <v>#VALUE!</v>
      </c>
      <c r="CN55" s="1644" t="e">
        <f t="shared" si="79"/>
        <v>#VALUE!</v>
      </c>
      <c r="CO55" s="1644" t="e">
        <f t="shared" si="80"/>
        <v>#VALUE!</v>
      </c>
      <c r="CP55" s="1644" t="e">
        <f t="shared" si="28"/>
        <v>#VALUE!</v>
      </c>
      <c r="CQ55" s="1644" t="e">
        <f t="shared" si="29"/>
        <v>#VALUE!</v>
      </c>
      <c r="CR55" s="1644" t="e">
        <f t="shared" si="30"/>
        <v>#VALUE!</v>
      </c>
      <c r="CS55" s="1644" t="e">
        <f t="shared" si="31"/>
        <v>#VALUE!</v>
      </c>
      <c r="CT55" s="1644" t="e">
        <f t="shared" si="32"/>
        <v>#VALUE!</v>
      </c>
      <c r="CU55" s="505" t="e">
        <f t="shared" si="33"/>
        <v>#VALUE!</v>
      </c>
      <c r="CV55" s="1648" t="e">
        <f t="shared" si="34"/>
        <v>#VALUE!</v>
      </c>
      <c r="CW55" s="521" t="e">
        <f t="shared" si="81"/>
        <v>#VALUE!</v>
      </c>
      <c r="CX55" s="522" t="e">
        <f t="shared" si="36"/>
        <v>#VALUE!</v>
      </c>
      <c r="CZ55" s="1647" t="str">
        <f t="shared" si="62"/>
        <v>n/a</v>
      </c>
      <c r="DA55" s="1671">
        <v>45</v>
      </c>
      <c r="DB55" s="1644" t="e">
        <f t="shared" si="37"/>
        <v>#VALUE!</v>
      </c>
      <c r="DC55" s="1644" t="e">
        <f t="shared" si="82"/>
        <v>#VALUE!</v>
      </c>
      <c r="DD55" s="1644" t="e">
        <f t="shared" si="83"/>
        <v>#VALUE!</v>
      </c>
      <c r="DE55" s="1644" t="e">
        <f t="shared" si="40"/>
        <v>#VALUE!</v>
      </c>
      <c r="DF55" s="1644" t="e">
        <f t="shared" si="41"/>
        <v>#VALUE!</v>
      </c>
      <c r="DG55" s="1644" t="e">
        <f t="shared" si="42"/>
        <v>#VALUE!</v>
      </c>
      <c r="DH55" s="1644" t="e">
        <f t="shared" si="43"/>
        <v>#VALUE!</v>
      </c>
      <c r="DI55" s="1644" t="e">
        <f t="shared" si="44"/>
        <v>#VALUE!</v>
      </c>
      <c r="DJ55" s="505" t="e">
        <f t="shared" si="45"/>
        <v>#VALUE!</v>
      </c>
      <c r="DK55" s="1648" t="e">
        <f t="shared" si="46"/>
        <v>#VALUE!</v>
      </c>
      <c r="DL55" s="521" t="e">
        <f t="shared" si="84"/>
        <v>#VALUE!</v>
      </c>
      <c r="DM55" s="522" t="e">
        <f t="shared" si="48"/>
        <v>#VALUE!</v>
      </c>
      <c r="DN55" s="1672"/>
      <c r="DO55" s="1647" t="str">
        <f t="shared" si="63"/>
        <v>n/a</v>
      </c>
      <c r="DP55" s="1671">
        <v>45</v>
      </c>
      <c r="DQ55" s="1644" t="e">
        <f t="shared" si="49"/>
        <v>#VALUE!</v>
      </c>
      <c r="DR55" s="1644" t="e">
        <f t="shared" si="85"/>
        <v>#VALUE!</v>
      </c>
      <c r="DS55" s="1644" t="e">
        <f t="shared" si="86"/>
        <v>#VALUE!</v>
      </c>
      <c r="DT55" s="1644" t="e">
        <f t="shared" si="52"/>
        <v>#VALUE!</v>
      </c>
      <c r="DU55" s="1644" t="e">
        <f t="shared" si="53"/>
        <v>#VALUE!</v>
      </c>
      <c r="DV55" s="1644" t="e">
        <f t="shared" si="54"/>
        <v>#VALUE!</v>
      </c>
      <c r="DW55" s="1644" t="e">
        <f t="shared" si="55"/>
        <v>#VALUE!</v>
      </c>
      <c r="DX55" s="1644" t="e">
        <f t="shared" si="56"/>
        <v>#VALUE!</v>
      </c>
      <c r="DY55" s="505" t="e">
        <f t="shared" si="57"/>
        <v>#VALUE!</v>
      </c>
      <c r="DZ55" s="1648" t="e">
        <f t="shared" si="58"/>
        <v>#VALUE!</v>
      </c>
      <c r="EA55" s="521" t="e">
        <f t="shared" si="87"/>
        <v>#VALUE!</v>
      </c>
      <c r="EB55" s="522" t="e">
        <f t="shared" si="60"/>
        <v>#VALUE!</v>
      </c>
    </row>
    <row r="56" spans="2:132">
      <c r="B56" s="293"/>
      <c r="V56" s="294"/>
      <c r="W56" s="376"/>
      <c r="BH56" s="1649">
        <f t="shared" si="61"/>
        <v>-17</v>
      </c>
      <c r="BI56" s="503">
        <v>100</v>
      </c>
      <c r="BJ56" s="1644">
        <f t="shared" si="64"/>
        <v>256.14999999999998</v>
      </c>
      <c r="BK56" s="1644">
        <f t="shared" si="65"/>
        <v>-18.239630267565364</v>
      </c>
      <c r="BL56" s="1644">
        <f t="shared" si="66"/>
        <v>23.161404527798897</v>
      </c>
      <c r="BM56" s="1644">
        <f t="shared" si="67"/>
        <v>0.13724590724459798</v>
      </c>
      <c r="BN56" s="1644">
        <f t="shared" si="68"/>
        <v>0.13724590724459798</v>
      </c>
      <c r="BO56" s="1644">
        <f t="shared" si="69"/>
        <v>8.4362193976303249E-4</v>
      </c>
      <c r="BP56" s="1644">
        <f t="shared" si="70"/>
        <v>1</v>
      </c>
      <c r="BQ56" s="1644">
        <f t="shared" si="71"/>
        <v>0.72677437696104619</v>
      </c>
      <c r="BR56" s="1648">
        <f t="shared" si="72"/>
        <v>-15.017988067874285</v>
      </c>
      <c r="BS56" s="521">
        <f t="shared" si="73"/>
        <v>-17</v>
      </c>
      <c r="BT56" s="522">
        <f t="shared" si="74"/>
        <v>8.4362193976303249E-4</v>
      </c>
      <c r="BV56" s="1647" t="str">
        <f t="shared" si="11"/>
        <v>n/a</v>
      </c>
      <c r="BW56" s="1671">
        <v>46</v>
      </c>
      <c r="BX56" s="1644" t="e">
        <f t="shared" si="12"/>
        <v>#VALUE!</v>
      </c>
      <c r="BY56" s="1644" t="e">
        <f t="shared" si="75"/>
        <v>#VALUE!</v>
      </c>
      <c r="BZ56" s="1644" t="e">
        <f t="shared" si="76"/>
        <v>#VALUE!</v>
      </c>
      <c r="CA56" s="1644" t="e">
        <f t="shared" si="15"/>
        <v>#VALUE!</v>
      </c>
      <c r="CB56" s="1644" t="e">
        <f t="shared" si="16"/>
        <v>#VALUE!</v>
      </c>
      <c r="CC56" s="1644" t="e">
        <f t="shared" si="17"/>
        <v>#VALUE!</v>
      </c>
      <c r="CD56" s="1644" t="e">
        <f t="shared" si="18"/>
        <v>#VALUE!</v>
      </c>
      <c r="CE56" s="1644" t="e">
        <f t="shared" si="19"/>
        <v>#VALUE!</v>
      </c>
      <c r="CF56" s="505" t="e">
        <f t="shared" si="20"/>
        <v>#VALUE!</v>
      </c>
      <c r="CG56" s="1648" t="e">
        <f t="shared" si="21"/>
        <v>#VALUE!</v>
      </c>
      <c r="CH56" s="521" t="e">
        <f t="shared" si="77"/>
        <v>#VALUE!</v>
      </c>
      <c r="CI56" s="522" t="e">
        <f t="shared" si="23"/>
        <v>#VALUE!</v>
      </c>
      <c r="CJ56" s="1672"/>
      <c r="CK56" s="1647" t="str">
        <f t="shared" si="78"/>
        <v>n/a</v>
      </c>
      <c r="CL56" s="1671">
        <v>46</v>
      </c>
      <c r="CM56" s="1644" t="e">
        <f t="shared" si="25"/>
        <v>#VALUE!</v>
      </c>
      <c r="CN56" s="1644" t="e">
        <f t="shared" si="79"/>
        <v>#VALUE!</v>
      </c>
      <c r="CO56" s="1644" t="e">
        <f t="shared" si="80"/>
        <v>#VALUE!</v>
      </c>
      <c r="CP56" s="1644" t="e">
        <f t="shared" si="28"/>
        <v>#VALUE!</v>
      </c>
      <c r="CQ56" s="1644" t="e">
        <f t="shared" si="29"/>
        <v>#VALUE!</v>
      </c>
      <c r="CR56" s="1644" t="e">
        <f t="shared" si="30"/>
        <v>#VALUE!</v>
      </c>
      <c r="CS56" s="1644" t="e">
        <f t="shared" si="31"/>
        <v>#VALUE!</v>
      </c>
      <c r="CT56" s="1644" t="e">
        <f t="shared" si="32"/>
        <v>#VALUE!</v>
      </c>
      <c r="CU56" s="505" t="e">
        <f t="shared" si="33"/>
        <v>#VALUE!</v>
      </c>
      <c r="CV56" s="1648" t="e">
        <f t="shared" si="34"/>
        <v>#VALUE!</v>
      </c>
      <c r="CW56" s="521" t="e">
        <f t="shared" si="81"/>
        <v>#VALUE!</v>
      </c>
      <c r="CX56" s="522" t="e">
        <f t="shared" si="36"/>
        <v>#VALUE!</v>
      </c>
      <c r="CZ56" s="1647" t="str">
        <f t="shared" si="62"/>
        <v>n/a</v>
      </c>
      <c r="DA56" s="1671">
        <v>46</v>
      </c>
      <c r="DB56" s="1644" t="e">
        <f t="shared" si="37"/>
        <v>#VALUE!</v>
      </c>
      <c r="DC56" s="1644" t="e">
        <f t="shared" si="82"/>
        <v>#VALUE!</v>
      </c>
      <c r="DD56" s="1644" t="e">
        <f t="shared" si="83"/>
        <v>#VALUE!</v>
      </c>
      <c r="DE56" s="1644" t="e">
        <f t="shared" si="40"/>
        <v>#VALUE!</v>
      </c>
      <c r="DF56" s="1644" t="e">
        <f t="shared" si="41"/>
        <v>#VALUE!</v>
      </c>
      <c r="DG56" s="1644" t="e">
        <f t="shared" si="42"/>
        <v>#VALUE!</v>
      </c>
      <c r="DH56" s="1644" t="e">
        <f t="shared" si="43"/>
        <v>#VALUE!</v>
      </c>
      <c r="DI56" s="1644" t="e">
        <f t="shared" si="44"/>
        <v>#VALUE!</v>
      </c>
      <c r="DJ56" s="505" t="e">
        <f t="shared" si="45"/>
        <v>#VALUE!</v>
      </c>
      <c r="DK56" s="1648" t="e">
        <f t="shared" si="46"/>
        <v>#VALUE!</v>
      </c>
      <c r="DL56" s="521" t="e">
        <f t="shared" si="84"/>
        <v>#VALUE!</v>
      </c>
      <c r="DM56" s="522" t="e">
        <f t="shared" si="48"/>
        <v>#VALUE!</v>
      </c>
      <c r="DN56" s="1672"/>
      <c r="DO56" s="1647" t="str">
        <f t="shared" si="63"/>
        <v>n/a</v>
      </c>
      <c r="DP56" s="1671">
        <v>46</v>
      </c>
      <c r="DQ56" s="1644" t="e">
        <f t="shared" si="49"/>
        <v>#VALUE!</v>
      </c>
      <c r="DR56" s="1644" t="e">
        <f t="shared" si="85"/>
        <v>#VALUE!</v>
      </c>
      <c r="DS56" s="1644" t="e">
        <f t="shared" si="86"/>
        <v>#VALUE!</v>
      </c>
      <c r="DT56" s="1644" t="e">
        <f t="shared" si="52"/>
        <v>#VALUE!</v>
      </c>
      <c r="DU56" s="1644" t="e">
        <f t="shared" si="53"/>
        <v>#VALUE!</v>
      </c>
      <c r="DV56" s="1644" t="e">
        <f t="shared" si="54"/>
        <v>#VALUE!</v>
      </c>
      <c r="DW56" s="1644" t="e">
        <f t="shared" si="55"/>
        <v>#VALUE!</v>
      </c>
      <c r="DX56" s="1644" t="e">
        <f t="shared" si="56"/>
        <v>#VALUE!</v>
      </c>
      <c r="DY56" s="505" t="e">
        <f t="shared" si="57"/>
        <v>#VALUE!</v>
      </c>
      <c r="DZ56" s="1648" t="e">
        <f t="shared" si="58"/>
        <v>#VALUE!</v>
      </c>
      <c r="EA56" s="521" t="e">
        <f t="shared" si="87"/>
        <v>#VALUE!</v>
      </c>
      <c r="EB56" s="522" t="e">
        <f t="shared" si="60"/>
        <v>#VALUE!</v>
      </c>
    </row>
    <row r="57" spans="2:132">
      <c r="B57" s="293"/>
      <c r="V57" s="294"/>
      <c r="W57" s="376"/>
      <c r="BH57" s="1649">
        <f t="shared" si="61"/>
        <v>-16.5</v>
      </c>
      <c r="BI57" s="503">
        <v>100</v>
      </c>
      <c r="BJ57" s="1644">
        <f t="shared" si="64"/>
        <v>256.64999999999998</v>
      </c>
      <c r="BK57" s="1644">
        <f t="shared" si="65"/>
        <v>-18.20131084992039</v>
      </c>
      <c r="BL57" s="1644">
        <f t="shared" si="66"/>
        <v>23.169855829730462</v>
      </c>
      <c r="BM57" s="1644">
        <f t="shared" si="67"/>
        <v>0.14381747772647765</v>
      </c>
      <c r="BN57" s="1644">
        <f t="shared" si="68"/>
        <v>0.14381747772647765</v>
      </c>
      <c r="BO57" s="1644">
        <f t="shared" si="69"/>
        <v>8.8407342715749674E-4</v>
      </c>
      <c r="BP57" s="1644">
        <f t="shared" si="70"/>
        <v>1</v>
      </c>
      <c r="BQ57" s="1644">
        <f t="shared" si="71"/>
        <v>0.72824032292102137</v>
      </c>
      <c r="BR57" s="1648">
        <f t="shared" si="72"/>
        <v>-14.414262275523418</v>
      </c>
      <c r="BS57" s="521">
        <f t="shared" si="73"/>
        <v>-16.5</v>
      </c>
      <c r="BT57" s="522">
        <f t="shared" si="74"/>
        <v>8.8407342715749674E-4</v>
      </c>
      <c r="BV57" s="1647" t="str">
        <f t="shared" si="11"/>
        <v>n/a</v>
      </c>
      <c r="BW57" s="1671">
        <v>47</v>
      </c>
      <c r="BX57" s="1644" t="e">
        <f t="shared" si="12"/>
        <v>#VALUE!</v>
      </c>
      <c r="BY57" s="1644" t="e">
        <f t="shared" si="75"/>
        <v>#VALUE!</v>
      </c>
      <c r="BZ57" s="1644" t="e">
        <f t="shared" si="76"/>
        <v>#VALUE!</v>
      </c>
      <c r="CA57" s="1644" t="e">
        <f t="shared" si="15"/>
        <v>#VALUE!</v>
      </c>
      <c r="CB57" s="1644" t="e">
        <f t="shared" si="16"/>
        <v>#VALUE!</v>
      </c>
      <c r="CC57" s="1644" t="e">
        <f t="shared" si="17"/>
        <v>#VALUE!</v>
      </c>
      <c r="CD57" s="1644" t="e">
        <f t="shared" si="18"/>
        <v>#VALUE!</v>
      </c>
      <c r="CE57" s="1644" t="e">
        <f t="shared" si="19"/>
        <v>#VALUE!</v>
      </c>
      <c r="CF57" s="505" t="e">
        <f t="shared" si="20"/>
        <v>#VALUE!</v>
      </c>
      <c r="CG57" s="1648" t="e">
        <f t="shared" si="21"/>
        <v>#VALUE!</v>
      </c>
      <c r="CH57" s="521" t="e">
        <f t="shared" si="77"/>
        <v>#VALUE!</v>
      </c>
      <c r="CI57" s="522" t="e">
        <f t="shared" si="23"/>
        <v>#VALUE!</v>
      </c>
      <c r="CJ57" s="1672"/>
      <c r="CK57" s="1647" t="str">
        <f t="shared" si="78"/>
        <v>n/a</v>
      </c>
      <c r="CL57" s="1671">
        <v>47</v>
      </c>
      <c r="CM57" s="1644" t="e">
        <f t="shared" si="25"/>
        <v>#VALUE!</v>
      </c>
      <c r="CN57" s="1644" t="e">
        <f t="shared" si="79"/>
        <v>#VALUE!</v>
      </c>
      <c r="CO57" s="1644" t="e">
        <f t="shared" si="80"/>
        <v>#VALUE!</v>
      </c>
      <c r="CP57" s="1644" t="e">
        <f t="shared" si="28"/>
        <v>#VALUE!</v>
      </c>
      <c r="CQ57" s="1644" t="e">
        <f t="shared" si="29"/>
        <v>#VALUE!</v>
      </c>
      <c r="CR57" s="1644" t="e">
        <f t="shared" si="30"/>
        <v>#VALUE!</v>
      </c>
      <c r="CS57" s="1644" t="e">
        <f t="shared" si="31"/>
        <v>#VALUE!</v>
      </c>
      <c r="CT57" s="1644" t="e">
        <f t="shared" si="32"/>
        <v>#VALUE!</v>
      </c>
      <c r="CU57" s="505" t="e">
        <f t="shared" si="33"/>
        <v>#VALUE!</v>
      </c>
      <c r="CV57" s="1648" t="e">
        <f t="shared" si="34"/>
        <v>#VALUE!</v>
      </c>
      <c r="CW57" s="521" t="e">
        <f t="shared" si="81"/>
        <v>#VALUE!</v>
      </c>
      <c r="CX57" s="522" t="e">
        <f t="shared" si="36"/>
        <v>#VALUE!</v>
      </c>
      <c r="CZ57" s="1647" t="str">
        <f t="shared" si="62"/>
        <v>n/a</v>
      </c>
      <c r="DA57" s="1671">
        <v>47</v>
      </c>
      <c r="DB57" s="1644" t="e">
        <f t="shared" si="37"/>
        <v>#VALUE!</v>
      </c>
      <c r="DC57" s="1644" t="e">
        <f t="shared" si="82"/>
        <v>#VALUE!</v>
      </c>
      <c r="DD57" s="1644" t="e">
        <f t="shared" si="83"/>
        <v>#VALUE!</v>
      </c>
      <c r="DE57" s="1644" t="e">
        <f t="shared" si="40"/>
        <v>#VALUE!</v>
      </c>
      <c r="DF57" s="1644" t="e">
        <f t="shared" si="41"/>
        <v>#VALUE!</v>
      </c>
      <c r="DG57" s="1644" t="e">
        <f t="shared" si="42"/>
        <v>#VALUE!</v>
      </c>
      <c r="DH57" s="1644" t="e">
        <f t="shared" si="43"/>
        <v>#VALUE!</v>
      </c>
      <c r="DI57" s="1644" t="e">
        <f t="shared" si="44"/>
        <v>#VALUE!</v>
      </c>
      <c r="DJ57" s="505" t="e">
        <f t="shared" si="45"/>
        <v>#VALUE!</v>
      </c>
      <c r="DK57" s="1648" t="e">
        <f t="shared" si="46"/>
        <v>#VALUE!</v>
      </c>
      <c r="DL57" s="521" t="e">
        <f t="shared" si="84"/>
        <v>#VALUE!</v>
      </c>
      <c r="DM57" s="522" t="e">
        <f t="shared" si="48"/>
        <v>#VALUE!</v>
      </c>
      <c r="DN57" s="1672"/>
      <c r="DO57" s="1647" t="str">
        <f t="shared" si="63"/>
        <v>n/a</v>
      </c>
      <c r="DP57" s="1671">
        <v>47</v>
      </c>
      <c r="DQ57" s="1644" t="e">
        <f t="shared" si="49"/>
        <v>#VALUE!</v>
      </c>
      <c r="DR57" s="1644" t="e">
        <f t="shared" si="85"/>
        <v>#VALUE!</v>
      </c>
      <c r="DS57" s="1644" t="e">
        <f t="shared" si="86"/>
        <v>#VALUE!</v>
      </c>
      <c r="DT57" s="1644" t="e">
        <f t="shared" si="52"/>
        <v>#VALUE!</v>
      </c>
      <c r="DU57" s="1644" t="e">
        <f t="shared" si="53"/>
        <v>#VALUE!</v>
      </c>
      <c r="DV57" s="1644" t="e">
        <f t="shared" si="54"/>
        <v>#VALUE!</v>
      </c>
      <c r="DW57" s="1644" t="e">
        <f t="shared" si="55"/>
        <v>#VALUE!</v>
      </c>
      <c r="DX57" s="1644" t="e">
        <f t="shared" si="56"/>
        <v>#VALUE!</v>
      </c>
      <c r="DY57" s="505" t="e">
        <f t="shared" si="57"/>
        <v>#VALUE!</v>
      </c>
      <c r="DZ57" s="1648" t="e">
        <f t="shared" si="58"/>
        <v>#VALUE!</v>
      </c>
      <c r="EA57" s="521" t="e">
        <f t="shared" si="87"/>
        <v>#VALUE!</v>
      </c>
      <c r="EB57" s="522" t="e">
        <f t="shared" si="60"/>
        <v>#VALUE!</v>
      </c>
    </row>
    <row r="58" spans="2:132">
      <c r="B58" s="293"/>
      <c r="V58" s="294"/>
      <c r="W58" s="376"/>
      <c r="BH58" s="1649">
        <f t="shared" si="61"/>
        <v>-16</v>
      </c>
      <c r="BI58" s="503">
        <v>100</v>
      </c>
      <c r="BJ58" s="1644">
        <f t="shared" si="64"/>
        <v>257.14999999999998</v>
      </c>
      <c r="BK58" s="1644">
        <f t="shared" si="65"/>
        <v>-18.163159265598942</v>
      </c>
      <c r="BL58" s="1644">
        <f t="shared" si="66"/>
        <v>23.178292251886177</v>
      </c>
      <c r="BM58" s="1644">
        <f t="shared" si="67"/>
        <v>0.15067617329845692</v>
      </c>
      <c r="BN58" s="1644">
        <f t="shared" si="68"/>
        <v>0.15067617329845692</v>
      </c>
      <c r="BO58" s="1644">
        <f t="shared" si="69"/>
        <v>9.2629792543709238E-4</v>
      </c>
      <c r="BP58" s="1644">
        <f t="shared" si="70"/>
        <v>1</v>
      </c>
      <c r="BQ58" s="1644">
        <f t="shared" si="71"/>
        <v>0.72970853021108328</v>
      </c>
      <c r="BR58" s="1648">
        <f t="shared" si="72"/>
        <v>-13.806080372568456</v>
      </c>
      <c r="BS58" s="521">
        <f t="shared" si="73"/>
        <v>-16</v>
      </c>
      <c r="BT58" s="522">
        <f t="shared" si="74"/>
        <v>9.2629792543709238E-4</v>
      </c>
      <c r="BV58" s="1647" t="str">
        <f t="shared" si="11"/>
        <v>n/a</v>
      </c>
      <c r="BW58" s="1671">
        <v>48</v>
      </c>
      <c r="BX58" s="1644" t="e">
        <f t="shared" si="12"/>
        <v>#VALUE!</v>
      </c>
      <c r="BY58" s="1644" t="e">
        <f t="shared" si="75"/>
        <v>#VALUE!</v>
      </c>
      <c r="BZ58" s="1644" t="e">
        <f t="shared" si="76"/>
        <v>#VALUE!</v>
      </c>
      <c r="CA58" s="1644" t="e">
        <f t="shared" si="15"/>
        <v>#VALUE!</v>
      </c>
      <c r="CB58" s="1644" t="e">
        <f t="shared" si="16"/>
        <v>#VALUE!</v>
      </c>
      <c r="CC58" s="1644" t="e">
        <f t="shared" si="17"/>
        <v>#VALUE!</v>
      </c>
      <c r="CD58" s="1644" t="e">
        <f t="shared" si="18"/>
        <v>#VALUE!</v>
      </c>
      <c r="CE58" s="1644" t="e">
        <f t="shared" si="19"/>
        <v>#VALUE!</v>
      </c>
      <c r="CF58" s="505" t="e">
        <f t="shared" si="20"/>
        <v>#VALUE!</v>
      </c>
      <c r="CG58" s="1648" t="e">
        <f t="shared" si="21"/>
        <v>#VALUE!</v>
      </c>
      <c r="CH58" s="521" t="e">
        <f t="shared" si="77"/>
        <v>#VALUE!</v>
      </c>
      <c r="CI58" s="522" t="e">
        <f t="shared" si="23"/>
        <v>#VALUE!</v>
      </c>
      <c r="CJ58" s="1672"/>
      <c r="CK58" s="1647" t="str">
        <f t="shared" si="78"/>
        <v>n/a</v>
      </c>
      <c r="CL58" s="1671">
        <v>48</v>
      </c>
      <c r="CM58" s="1644" t="e">
        <f t="shared" si="25"/>
        <v>#VALUE!</v>
      </c>
      <c r="CN58" s="1644" t="e">
        <f t="shared" si="79"/>
        <v>#VALUE!</v>
      </c>
      <c r="CO58" s="1644" t="e">
        <f t="shared" si="80"/>
        <v>#VALUE!</v>
      </c>
      <c r="CP58" s="1644" t="e">
        <f t="shared" si="28"/>
        <v>#VALUE!</v>
      </c>
      <c r="CQ58" s="1644" t="e">
        <f t="shared" si="29"/>
        <v>#VALUE!</v>
      </c>
      <c r="CR58" s="1644" t="e">
        <f t="shared" si="30"/>
        <v>#VALUE!</v>
      </c>
      <c r="CS58" s="1644" t="e">
        <f t="shared" si="31"/>
        <v>#VALUE!</v>
      </c>
      <c r="CT58" s="1644" t="e">
        <f t="shared" si="32"/>
        <v>#VALUE!</v>
      </c>
      <c r="CU58" s="505" t="e">
        <f t="shared" si="33"/>
        <v>#VALUE!</v>
      </c>
      <c r="CV58" s="1648" t="e">
        <f t="shared" si="34"/>
        <v>#VALUE!</v>
      </c>
      <c r="CW58" s="521" t="e">
        <f t="shared" si="81"/>
        <v>#VALUE!</v>
      </c>
      <c r="CX58" s="522" t="e">
        <f t="shared" si="36"/>
        <v>#VALUE!</v>
      </c>
      <c r="CZ58" s="1647" t="str">
        <f t="shared" si="62"/>
        <v>n/a</v>
      </c>
      <c r="DA58" s="1671">
        <v>48</v>
      </c>
      <c r="DB58" s="1644" t="e">
        <f t="shared" si="37"/>
        <v>#VALUE!</v>
      </c>
      <c r="DC58" s="1644" t="e">
        <f t="shared" si="82"/>
        <v>#VALUE!</v>
      </c>
      <c r="DD58" s="1644" t="e">
        <f t="shared" si="83"/>
        <v>#VALUE!</v>
      </c>
      <c r="DE58" s="1644" t="e">
        <f t="shared" si="40"/>
        <v>#VALUE!</v>
      </c>
      <c r="DF58" s="1644" t="e">
        <f t="shared" si="41"/>
        <v>#VALUE!</v>
      </c>
      <c r="DG58" s="1644" t="e">
        <f t="shared" si="42"/>
        <v>#VALUE!</v>
      </c>
      <c r="DH58" s="1644" t="e">
        <f t="shared" si="43"/>
        <v>#VALUE!</v>
      </c>
      <c r="DI58" s="1644" t="e">
        <f t="shared" si="44"/>
        <v>#VALUE!</v>
      </c>
      <c r="DJ58" s="505" t="e">
        <f t="shared" si="45"/>
        <v>#VALUE!</v>
      </c>
      <c r="DK58" s="1648" t="e">
        <f t="shared" si="46"/>
        <v>#VALUE!</v>
      </c>
      <c r="DL58" s="521" t="e">
        <f t="shared" si="84"/>
        <v>#VALUE!</v>
      </c>
      <c r="DM58" s="522" t="e">
        <f t="shared" si="48"/>
        <v>#VALUE!</v>
      </c>
      <c r="DN58" s="1672"/>
      <c r="DO58" s="1647" t="str">
        <f t="shared" si="63"/>
        <v>n/a</v>
      </c>
      <c r="DP58" s="1671">
        <v>48</v>
      </c>
      <c r="DQ58" s="1644" t="e">
        <f t="shared" si="49"/>
        <v>#VALUE!</v>
      </c>
      <c r="DR58" s="1644" t="e">
        <f t="shared" si="85"/>
        <v>#VALUE!</v>
      </c>
      <c r="DS58" s="1644" t="e">
        <f t="shared" si="86"/>
        <v>#VALUE!</v>
      </c>
      <c r="DT58" s="1644" t="e">
        <f t="shared" si="52"/>
        <v>#VALUE!</v>
      </c>
      <c r="DU58" s="1644" t="e">
        <f t="shared" si="53"/>
        <v>#VALUE!</v>
      </c>
      <c r="DV58" s="1644" t="e">
        <f t="shared" si="54"/>
        <v>#VALUE!</v>
      </c>
      <c r="DW58" s="1644" t="e">
        <f t="shared" si="55"/>
        <v>#VALUE!</v>
      </c>
      <c r="DX58" s="1644" t="e">
        <f t="shared" si="56"/>
        <v>#VALUE!</v>
      </c>
      <c r="DY58" s="505" t="e">
        <f t="shared" si="57"/>
        <v>#VALUE!</v>
      </c>
      <c r="DZ58" s="1648" t="e">
        <f t="shared" si="58"/>
        <v>#VALUE!</v>
      </c>
      <c r="EA58" s="521" t="e">
        <f t="shared" si="87"/>
        <v>#VALUE!</v>
      </c>
      <c r="EB58" s="522" t="e">
        <f t="shared" si="60"/>
        <v>#VALUE!</v>
      </c>
    </row>
    <row r="59" spans="2:132">
      <c r="B59" s="293"/>
      <c r="V59" s="294"/>
      <c r="W59" s="376"/>
      <c r="BH59" s="1649">
        <f t="shared" si="61"/>
        <v>-15.5</v>
      </c>
      <c r="BI59" s="503">
        <v>100</v>
      </c>
      <c r="BJ59" s="1644">
        <f t="shared" si="64"/>
        <v>257.64999999999998</v>
      </c>
      <c r="BK59" s="1644">
        <f t="shared" si="65"/>
        <v>-18.12517453750036</v>
      </c>
      <c r="BL59" s="1644">
        <f t="shared" si="66"/>
        <v>23.18671385648279</v>
      </c>
      <c r="BM59" s="1644">
        <f t="shared" si="67"/>
        <v>0.15783328519802614</v>
      </c>
      <c r="BN59" s="1644">
        <f t="shared" si="68"/>
        <v>0.15783328519802614</v>
      </c>
      <c r="BO59" s="1644">
        <f t="shared" si="69"/>
        <v>9.7036568202225795E-4</v>
      </c>
      <c r="BP59" s="1644">
        <f t="shared" si="70"/>
        <v>1</v>
      </c>
      <c r="BQ59" s="1644">
        <f t="shared" si="71"/>
        <v>0.73117909340051546</v>
      </c>
      <c r="BR59" s="1648">
        <f t="shared" si="72"/>
        <v>-13.193263835131111</v>
      </c>
      <c r="BS59" s="521">
        <f t="shared" si="73"/>
        <v>-15.5</v>
      </c>
      <c r="BT59" s="522">
        <f t="shared" si="74"/>
        <v>9.7036568202225795E-4</v>
      </c>
      <c r="BV59" s="1647" t="str">
        <f t="shared" si="11"/>
        <v>n/a</v>
      </c>
      <c r="BW59" s="1671">
        <v>49</v>
      </c>
      <c r="BX59" s="1644" t="e">
        <f t="shared" si="12"/>
        <v>#VALUE!</v>
      </c>
      <c r="BY59" s="1644" t="e">
        <f t="shared" si="75"/>
        <v>#VALUE!</v>
      </c>
      <c r="BZ59" s="1644" t="e">
        <f t="shared" si="76"/>
        <v>#VALUE!</v>
      </c>
      <c r="CA59" s="1644" t="e">
        <f t="shared" si="15"/>
        <v>#VALUE!</v>
      </c>
      <c r="CB59" s="1644" t="e">
        <f t="shared" si="16"/>
        <v>#VALUE!</v>
      </c>
      <c r="CC59" s="1644" t="e">
        <f t="shared" si="17"/>
        <v>#VALUE!</v>
      </c>
      <c r="CD59" s="1644" t="e">
        <f t="shared" si="18"/>
        <v>#VALUE!</v>
      </c>
      <c r="CE59" s="1644" t="e">
        <f t="shared" si="19"/>
        <v>#VALUE!</v>
      </c>
      <c r="CF59" s="505" t="e">
        <f t="shared" si="20"/>
        <v>#VALUE!</v>
      </c>
      <c r="CG59" s="1648" t="e">
        <f t="shared" si="21"/>
        <v>#VALUE!</v>
      </c>
      <c r="CH59" s="521" t="e">
        <f t="shared" si="77"/>
        <v>#VALUE!</v>
      </c>
      <c r="CI59" s="522" t="e">
        <f t="shared" si="23"/>
        <v>#VALUE!</v>
      </c>
      <c r="CJ59" s="1672"/>
      <c r="CK59" s="1647" t="str">
        <f t="shared" si="78"/>
        <v>n/a</v>
      </c>
      <c r="CL59" s="1671">
        <v>49</v>
      </c>
      <c r="CM59" s="1644" t="e">
        <f t="shared" si="25"/>
        <v>#VALUE!</v>
      </c>
      <c r="CN59" s="1644" t="e">
        <f t="shared" si="79"/>
        <v>#VALUE!</v>
      </c>
      <c r="CO59" s="1644" t="e">
        <f t="shared" si="80"/>
        <v>#VALUE!</v>
      </c>
      <c r="CP59" s="1644" t="e">
        <f t="shared" si="28"/>
        <v>#VALUE!</v>
      </c>
      <c r="CQ59" s="1644" t="e">
        <f t="shared" si="29"/>
        <v>#VALUE!</v>
      </c>
      <c r="CR59" s="1644" t="e">
        <f t="shared" si="30"/>
        <v>#VALUE!</v>
      </c>
      <c r="CS59" s="1644" t="e">
        <f t="shared" si="31"/>
        <v>#VALUE!</v>
      </c>
      <c r="CT59" s="1644" t="e">
        <f t="shared" si="32"/>
        <v>#VALUE!</v>
      </c>
      <c r="CU59" s="505" t="e">
        <f t="shared" si="33"/>
        <v>#VALUE!</v>
      </c>
      <c r="CV59" s="1648" t="e">
        <f t="shared" si="34"/>
        <v>#VALUE!</v>
      </c>
      <c r="CW59" s="521" t="e">
        <f t="shared" si="81"/>
        <v>#VALUE!</v>
      </c>
      <c r="CX59" s="522" t="e">
        <f t="shared" si="36"/>
        <v>#VALUE!</v>
      </c>
      <c r="CZ59" s="1647" t="str">
        <f t="shared" si="62"/>
        <v>n/a</v>
      </c>
      <c r="DA59" s="1671">
        <v>49</v>
      </c>
      <c r="DB59" s="1644" t="e">
        <f t="shared" si="37"/>
        <v>#VALUE!</v>
      </c>
      <c r="DC59" s="1644" t="e">
        <f t="shared" si="82"/>
        <v>#VALUE!</v>
      </c>
      <c r="DD59" s="1644" t="e">
        <f t="shared" si="83"/>
        <v>#VALUE!</v>
      </c>
      <c r="DE59" s="1644" t="e">
        <f t="shared" si="40"/>
        <v>#VALUE!</v>
      </c>
      <c r="DF59" s="1644" t="e">
        <f t="shared" si="41"/>
        <v>#VALUE!</v>
      </c>
      <c r="DG59" s="1644" t="e">
        <f t="shared" si="42"/>
        <v>#VALUE!</v>
      </c>
      <c r="DH59" s="1644" t="e">
        <f t="shared" si="43"/>
        <v>#VALUE!</v>
      </c>
      <c r="DI59" s="1644" t="e">
        <f t="shared" si="44"/>
        <v>#VALUE!</v>
      </c>
      <c r="DJ59" s="505" t="e">
        <f t="shared" si="45"/>
        <v>#VALUE!</v>
      </c>
      <c r="DK59" s="1648" t="e">
        <f t="shared" si="46"/>
        <v>#VALUE!</v>
      </c>
      <c r="DL59" s="521" t="e">
        <f t="shared" si="84"/>
        <v>#VALUE!</v>
      </c>
      <c r="DM59" s="522" t="e">
        <f t="shared" si="48"/>
        <v>#VALUE!</v>
      </c>
      <c r="DN59" s="1672"/>
      <c r="DO59" s="1647" t="str">
        <f t="shared" si="63"/>
        <v>n/a</v>
      </c>
      <c r="DP59" s="1671">
        <v>49</v>
      </c>
      <c r="DQ59" s="1644" t="e">
        <f t="shared" si="49"/>
        <v>#VALUE!</v>
      </c>
      <c r="DR59" s="1644" t="e">
        <f t="shared" si="85"/>
        <v>#VALUE!</v>
      </c>
      <c r="DS59" s="1644" t="e">
        <f t="shared" si="86"/>
        <v>#VALUE!</v>
      </c>
      <c r="DT59" s="1644" t="e">
        <f t="shared" si="52"/>
        <v>#VALUE!</v>
      </c>
      <c r="DU59" s="1644" t="e">
        <f t="shared" si="53"/>
        <v>#VALUE!</v>
      </c>
      <c r="DV59" s="1644" t="e">
        <f t="shared" si="54"/>
        <v>#VALUE!</v>
      </c>
      <c r="DW59" s="1644" t="e">
        <f t="shared" si="55"/>
        <v>#VALUE!</v>
      </c>
      <c r="DX59" s="1644" t="e">
        <f t="shared" si="56"/>
        <v>#VALUE!</v>
      </c>
      <c r="DY59" s="505" t="e">
        <f t="shared" si="57"/>
        <v>#VALUE!</v>
      </c>
      <c r="DZ59" s="1648" t="e">
        <f t="shared" si="58"/>
        <v>#VALUE!</v>
      </c>
      <c r="EA59" s="521" t="e">
        <f t="shared" si="87"/>
        <v>#VALUE!</v>
      </c>
      <c r="EB59" s="522" t="e">
        <f t="shared" si="60"/>
        <v>#VALUE!</v>
      </c>
    </row>
    <row r="60" spans="2:132">
      <c r="B60" s="293"/>
      <c r="V60" s="164"/>
      <c r="W60" s="1631"/>
      <c r="BH60" s="1649">
        <f t="shared" si="61"/>
        <v>-15</v>
      </c>
      <c r="BI60" s="503">
        <v>100</v>
      </c>
      <c r="BJ60" s="1644">
        <f t="shared" si="64"/>
        <v>258.14999999999998</v>
      </c>
      <c r="BK60" s="1644">
        <f t="shared" si="65"/>
        <v>-18.087355696094008</v>
      </c>
      <c r="BL60" s="1644">
        <f t="shared" si="66"/>
        <v>23.19512070537856</v>
      </c>
      <c r="BM60" s="1644">
        <f t="shared" si="67"/>
        <v>0.16530049663758303</v>
      </c>
      <c r="BN60" s="1644">
        <f t="shared" si="68"/>
        <v>0.16530049663758303</v>
      </c>
      <c r="BO60" s="1644">
        <f t="shared" si="69"/>
        <v>1.0163494296978068E-3</v>
      </c>
      <c r="BP60" s="1644">
        <f t="shared" si="70"/>
        <v>1</v>
      </c>
      <c r="BQ60" s="1644">
        <f t="shared" si="71"/>
        <v>0.73265211062152336</v>
      </c>
      <c r="BR60" s="1648">
        <f t="shared" si="72"/>
        <v>-12.575627737134853</v>
      </c>
      <c r="BS60" s="521">
        <f t="shared" si="73"/>
        <v>-15</v>
      </c>
      <c r="BT60" s="522">
        <f t="shared" si="74"/>
        <v>1.0163494296978068E-3</v>
      </c>
      <c r="BV60" s="1647" t="str">
        <f t="shared" si="11"/>
        <v>n/a</v>
      </c>
      <c r="BW60" s="1671">
        <v>50</v>
      </c>
      <c r="BX60" s="1644" t="e">
        <f t="shared" si="12"/>
        <v>#VALUE!</v>
      </c>
      <c r="BY60" s="1644" t="e">
        <f t="shared" si="75"/>
        <v>#VALUE!</v>
      </c>
      <c r="BZ60" s="1644" t="e">
        <f t="shared" si="76"/>
        <v>#VALUE!</v>
      </c>
      <c r="CA60" s="1644" t="e">
        <f t="shared" si="15"/>
        <v>#VALUE!</v>
      </c>
      <c r="CB60" s="1644" t="e">
        <f t="shared" si="16"/>
        <v>#VALUE!</v>
      </c>
      <c r="CC60" s="1644" t="e">
        <f t="shared" si="17"/>
        <v>#VALUE!</v>
      </c>
      <c r="CD60" s="1644" t="e">
        <f t="shared" si="18"/>
        <v>#VALUE!</v>
      </c>
      <c r="CE60" s="1644" t="e">
        <f t="shared" si="19"/>
        <v>#VALUE!</v>
      </c>
      <c r="CF60" s="505" t="e">
        <f t="shared" si="20"/>
        <v>#VALUE!</v>
      </c>
      <c r="CG60" s="1648" t="e">
        <f t="shared" si="21"/>
        <v>#VALUE!</v>
      </c>
      <c r="CH60" s="521" t="e">
        <f t="shared" si="77"/>
        <v>#VALUE!</v>
      </c>
      <c r="CI60" s="522" t="e">
        <f t="shared" si="23"/>
        <v>#VALUE!</v>
      </c>
      <c r="CJ60" s="1672"/>
      <c r="CK60" s="1647" t="str">
        <f t="shared" si="78"/>
        <v>n/a</v>
      </c>
      <c r="CL60" s="1671">
        <v>50</v>
      </c>
      <c r="CM60" s="1644" t="e">
        <f t="shared" si="25"/>
        <v>#VALUE!</v>
      </c>
      <c r="CN60" s="1644" t="e">
        <f t="shared" si="79"/>
        <v>#VALUE!</v>
      </c>
      <c r="CO60" s="1644" t="e">
        <f t="shared" si="80"/>
        <v>#VALUE!</v>
      </c>
      <c r="CP60" s="1644" t="e">
        <f t="shared" si="28"/>
        <v>#VALUE!</v>
      </c>
      <c r="CQ60" s="1644" t="e">
        <f t="shared" si="29"/>
        <v>#VALUE!</v>
      </c>
      <c r="CR60" s="1644" t="e">
        <f t="shared" si="30"/>
        <v>#VALUE!</v>
      </c>
      <c r="CS60" s="1644" t="e">
        <f t="shared" si="31"/>
        <v>#VALUE!</v>
      </c>
      <c r="CT60" s="1644" t="e">
        <f t="shared" si="32"/>
        <v>#VALUE!</v>
      </c>
      <c r="CU60" s="505" t="e">
        <f t="shared" si="33"/>
        <v>#VALUE!</v>
      </c>
      <c r="CV60" s="1648" t="e">
        <f t="shared" si="34"/>
        <v>#VALUE!</v>
      </c>
      <c r="CW60" s="521" t="e">
        <f t="shared" si="81"/>
        <v>#VALUE!</v>
      </c>
      <c r="CX60" s="522" t="e">
        <f t="shared" si="36"/>
        <v>#VALUE!</v>
      </c>
      <c r="CZ60" s="1647" t="str">
        <f t="shared" si="62"/>
        <v>n/a</v>
      </c>
      <c r="DA60" s="1671">
        <v>50</v>
      </c>
      <c r="DB60" s="1644" t="e">
        <f t="shared" si="37"/>
        <v>#VALUE!</v>
      </c>
      <c r="DC60" s="1644" t="e">
        <f t="shared" si="82"/>
        <v>#VALUE!</v>
      </c>
      <c r="DD60" s="1644" t="e">
        <f t="shared" si="83"/>
        <v>#VALUE!</v>
      </c>
      <c r="DE60" s="1644" t="e">
        <f t="shared" si="40"/>
        <v>#VALUE!</v>
      </c>
      <c r="DF60" s="1644" t="e">
        <f t="shared" si="41"/>
        <v>#VALUE!</v>
      </c>
      <c r="DG60" s="1644" t="e">
        <f t="shared" si="42"/>
        <v>#VALUE!</v>
      </c>
      <c r="DH60" s="1644" t="e">
        <f t="shared" si="43"/>
        <v>#VALUE!</v>
      </c>
      <c r="DI60" s="1644" t="e">
        <f t="shared" si="44"/>
        <v>#VALUE!</v>
      </c>
      <c r="DJ60" s="505" t="e">
        <f t="shared" si="45"/>
        <v>#VALUE!</v>
      </c>
      <c r="DK60" s="1648" t="e">
        <f t="shared" si="46"/>
        <v>#VALUE!</v>
      </c>
      <c r="DL60" s="521" t="e">
        <f t="shared" si="84"/>
        <v>#VALUE!</v>
      </c>
      <c r="DM60" s="522" t="e">
        <f t="shared" si="48"/>
        <v>#VALUE!</v>
      </c>
      <c r="DN60" s="1672"/>
      <c r="DO60" s="1647" t="str">
        <f t="shared" si="63"/>
        <v>n/a</v>
      </c>
      <c r="DP60" s="1671">
        <v>50</v>
      </c>
      <c r="DQ60" s="1644" t="e">
        <f t="shared" si="49"/>
        <v>#VALUE!</v>
      </c>
      <c r="DR60" s="1644" t="e">
        <f t="shared" si="85"/>
        <v>#VALUE!</v>
      </c>
      <c r="DS60" s="1644" t="e">
        <f t="shared" si="86"/>
        <v>#VALUE!</v>
      </c>
      <c r="DT60" s="1644" t="e">
        <f t="shared" si="52"/>
        <v>#VALUE!</v>
      </c>
      <c r="DU60" s="1644" t="e">
        <f t="shared" si="53"/>
        <v>#VALUE!</v>
      </c>
      <c r="DV60" s="1644" t="e">
        <f t="shared" si="54"/>
        <v>#VALUE!</v>
      </c>
      <c r="DW60" s="1644" t="e">
        <f t="shared" si="55"/>
        <v>#VALUE!</v>
      </c>
      <c r="DX60" s="1644" t="e">
        <f t="shared" si="56"/>
        <v>#VALUE!</v>
      </c>
      <c r="DY60" s="505" t="e">
        <f t="shared" si="57"/>
        <v>#VALUE!</v>
      </c>
      <c r="DZ60" s="1648" t="e">
        <f t="shared" si="58"/>
        <v>#VALUE!</v>
      </c>
      <c r="EA60" s="521" t="e">
        <f t="shared" si="87"/>
        <v>#VALUE!</v>
      </c>
      <c r="EB60" s="522" t="e">
        <f t="shared" si="60"/>
        <v>#VALUE!</v>
      </c>
    </row>
    <row r="61" spans="2:132">
      <c r="B61" s="293"/>
      <c r="AB61" s="294"/>
      <c r="AC61" s="294"/>
      <c r="BH61" s="1649">
        <f t="shared" si="61"/>
        <v>-14.5</v>
      </c>
      <c r="BI61" s="503">
        <v>100</v>
      </c>
      <c r="BJ61" s="1644">
        <f t="shared" si="64"/>
        <v>258.64999999999998</v>
      </c>
      <c r="BK61" s="1644">
        <f t="shared" si="65"/>
        <v>-18.049701779346098</v>
      </c>
      <c r="BL61" s="1644">
        <f t="shared" si="66"/>
        <v>23.203512860076028</v>
      </c>
      <c r="BM61" s="1644">
        <f t="shared" si="67"/>
        <v>0.17308989446560921</v>
      </c>
      <c r="BN61" s="1644">
        <f t="shared" si="68"/>
        <v>0.17308989446560921</v>
      </c>
      <c r="BO61" s="1644">
        <f t="shared" si="69"/>
        <v>1.0643244645345477E-3</v>
      </c>
      <c r="BP61" s="1644">
        <f t="shared" si="70"/>
        <v>1</v>
      </c>
      <c r="BQ61" s="1644">
        <f t="shared" si="71"/>
        <v>0.73412768368935588</v>
      </c>
      <c r="BR61" s="1648">
        <f t="shared" si="72"/>
        <v>-11.952980546247126</v>
      </c>
      <c r="BS61" s="521">
        <f t="shared" si="73"/>
        <v>-14.5</v>
      </c>
      <c r="BT61" s="522">
        <f t="shared" si="74"/>
        <v>1.0643244645345477E-3</v>
      </c>
      <c r="BV61" s="1647" t="str">
        <f t="shared" si="11"/>
        <v>n/a</v>
      </c>
      <c r="BW61" s="1671">
        <v>51</v>
      </c>
      <c r="BX61" s="1644" t="e">
        <f t="shared" si="12"/>
        <v>#VALUE!</v>
      </c>
      <c r="BY61" s="1644" t="e">
        <f t="shared" si="75"/>
        <v>#VALUE!</v>
      </c>
      <c r="BZ61" s="1644" t="e">
        <f t="shared" si="76"/>
        <v>#VALUE!</v>
      </c>
      <c r="CA61" s="1644" t="e">
        <f t="shared" si="15"/>
        <v>#VALUE!</v>
      </c>
      <c r="CB61" s="1644" t="e">
        <f t="shared" si="16"/>
        <v>#VALUE!</v>
      </c>
      <c r="CC61" s="1644" t="e">
        <f t="shared" si="17"/>
        <v>#VALUE!</v>
      </c>
      <c r="CD61" s="1644" t="e">
        <f t="shared" si="18"/>
        <v>#VALUE!</v>
      </c>
      <c r="CE61" s="1644" t="e">
        <f t="shared" si="19"/>
        <v>#VALUE!</v>
      </c>
      <c r="CF61" s="505" t="e">
        <f t="shared" si="20"/>
        <v>#VALUE!</v>
      </c>
      <c r="CG61" s="1648" t="e">
        <f t="shared" si="21"/>
        <v>#VALUE!</v>
      </c>
      <c r="CH61" s="521" t="e">
        <f t="shared" si="77"/>
        <v>#VALUE!</v>
      </c>
      <c r="CI61" s="522" t="e">
        <f t="shared" si="23"/>
        <v>#VALUE!</v>
      </c>
      <c r="CJ61" s="1672"/>
      <c r="CK61" s="1647" t="str">
        <f t="shared" si="78"/>
        <v>n/a</v>
      </c>
      <c r="CL61" s="1671">
        <v>51</v>
      </c>
      <c r="CM61" s="1644" t="e">
        <f t="shared" si="25"/>
        <v>#VALUE!</v>
      </c>
      <c r="CN61" s="1644" t="e">
        <f t="shared" si="79"/>
        <v>#VALUE!</v>
      </c>
      <c r="CO61" s="1644" t="e">
        <f t="shared" si="80"/>
        <v>#VALUE!</v>
      </c>
      <c r="CP61" s="1644" t="e">
        <f t="shared" si="28"/>
        <v>#VALUE!</v>
      </c>
      <c r="CQ61" s="1644" t="e">
        <f t="shared" si="29"/>
        <v>#VALUE!</v>
      </c>
      <c r="CR61" s="1644" t="e">
        <f t="shared" si="30"/>
        <v>#VALUE!</v>
      </c>
      <c r="CS61" s="1644" t="e">
        <f t="shared" si="31"/>
        <v>#VALUE!</v>
      </c>
      <c r="CT61" s="1644" t="e">
        <f t="shared" si="32"/>
        <v>#VALUE!</v>
      </c>
      <c r="CU61" s="505" t="e">
        <f t="shared" si="33"/>
        <v>#VALUE!</v>
      </c>
      <c r="CV61" s="1648" t="e">
        <f t="shared" si="34"/>
        <v>#VALUE!</v>
      </c>
      <c r="CW61" s="521" t="e">
        <f t="shared" si="81"/>
        <v>#VALUE!</v>
      </c>
      <c r="CX61" s="522" t="e">
        <f t="shared" si="36"/>
        <v>#VALUE!</v>
      </c>
      <c r="CZ61" s="1647" t="str">
        <f t="shared" si="62"/>
        <v>n/a</v>
      </c>
      <c r="DA61" s="1671">
        <v>51</v>
      </c>
      <c r="DB61" s="1644" t="e">
        <f t="shared" si="37"/>
        <v>#VALUE!</v>
      </c>
      <c r="DC61" s="1644" t="e">
        <f t="shared" si="82"/>
        <v>#VALUE!</v>
      </c>
      <c r="DD61" s="1644" t="e">
        <f t="shared" si="83"/>
        <v>#VALUE!</v>
      </c>
      <c r="DE61" s="1644" t="e">
        <f t="shared" si="40"/>
        <v>#VALUE!</v>
      </c>
      <c r="DF61" s="1644" t="e">
        <f t="shared" si="41"/>
        <v>#VALUE!</v>
      </c>
      <c r="DG61" s="1644" t="e">
        <f t="shared" si="42"/>
        <v>#VALUE!</v>
      </c>
      <c r="DH61" s="1644" t="e">
        <f t="shared" si="43"/>
        <v>#VALUE!</v>
      </c>
      <c r="DI61" s="1644" t="e">
        <f t="shared" si="44"/>
        <v>#VALUE!</v>
      </c>
      <c r="DJ61" s="505" t="e">
        <f t="shared" si="45"/>
        <v>#VALUE!</v>
      </c>
      <c r="DK61" s="1648" t="e">
        <f t="shared" si="46"/>
        <v>#VALUE!</v>
      </c>
      <c r="DL61" s="521" t="e">
        <f t="shared" si="84"/>
        <v>#VALUE!</v>
      </c>
      <c r="DM61" s="522" t="e">
        <f t="shared" si="48"/>
        <v>#VALUE!</v>
      </c>
      <c r="DN61" s="1672"/>
      <c r="DO61" s="1647" t="str">
        <f t="shared" si="63"/>
        <v>n/a</v>
      </c>
      <c r="DP61" s="1671">
        <v>51</v>
      </c>
      <c r="DQ61" s="1644" t="e">
        <f t="shared" si="49"/>
        <v>#VALUE!</v>
      </c>
      <c r="DR61" s="1644" t="e">
        <f t="shared" si="85"/>
        <v>#VALUE!</v>
      </c>
      <c r="DS61" s="1644" t="e">
        <f t="shared" si="86"/>
        <v>#VALUE!</v>
      </c>
      <c r="DT61" s="1644" t="e">
        <f t="shared" si="52"/>
        <v>#VALUE!</v>
      </c>
      <c r="DU61" s="1644" t="e">
        <f t="shared" si="53"/>
        <v>#VALUE!</v>
      </c>
      <c r="DV61" s="1644" t="e">
        <f t="shared" si="54"/>
        <v>#VALUE!</v>
      </c>
      <c r="DW61" s="1644" t="e">
        <f t="shared" si="55"/>
        <v>#VALUE!</v>
      </c>
      <c r="DX61" s="1644" t="e">
        <f t="shared" si="56"/>
        <v>#VALUE!</v>
      </c>
      <c r="DY61" s="505" t="e">
        <f t="shared" si="57"/>
        <v>#VALUE!</v>
      </c>
      <c r="DZ61" s="1648" t="e">
        <f t="shared" si="58"/>
        <v>#VALUE!</v>
      </c>
      <c r="EA61" s="521" t="e">
        <f t="shared" si="87"/>
        <v>#VALUE!</v>
      </c>
      <c r="EB61" s="522" t="e">
        <f t="shared" si="60"/>
        <v>#VALUE!</v>
      </c>
    </row>
    <row r="62" spans="2:132">
      <c r="B62" s="293"/>
      <c r="AB62" s="294"/>
      <c r="AC62" s="294"/>
      <c r="BH62" s="1649">
        <f t="shared" si="61"/>
        <v>-14</v>
      </c>
      <c r="BI62" s="503">
        <v>100</v>
      </c>
      <c r="BJ62" s="1644">
        <f t="shared" si="64"/>
        <v>259.14999999999998</v>
      </c>
      <c r="BK62" s="1644">
        <f t="shared" si="65"/>
        <v>-18.012211832647377</v>
      </c>
      <c r="BL62" s="1644">
        <f t="shared" si="66"/>
        <v>23.211890381724739</v>
      </c>
      <c r="BM62" s="1644">
        <f t="shared" si="67"/>
        <v>0.18121398111024173</v>
      </c>
      <c r="BN62" s="1644">
        <f t="shared" si="68"/>
        <v>0.18121398111024173</v>
      </c>
      <c r="BO62" s="1644">
        <f t="shared" si="69"/>
        <v>1.1143687260223578E-3</v>
      </c>
      <c r="BP62" s="1644">
        <f t="shared" si="70"/>
        <v>1</v>
      </c>
      <c r="BQ62" s="1644">
        <f t="shared" si="71"/>
        <v>0.73560591822610399</v>
      </c>
      <c r="BR62" s="1648">
        <f t="shared" si="72"/>
        <v>-11.325123913924667</v>
      </c>
      <c r="BS62" s="521">
        <f t="shared" si="73"/>
        <v>-14</v>
      </c>
      <c r="BT62" s="522">
        <f t="shared" si="74"/>
        <v>1.1143687260223578E-3</v>
      </c>
      <c r="BV62" s="1647" t="str">
        <f t="shared" si="11"/>
        <v>n/a</v>
      </c>
      <c r="BW62" s="1671">
        <v>52</v>
      </c>
      <c r="BX62" s="1644" t="e">
        <f t="shared" si="12"/>
        <v>#VALUE!</v>
      </c>
      <c r="BY62" s="1644" t="e">
        <f t="shared" si="75"/>
        <v>#VALUE!</v>
      </c>
      <c r="BZ62" s="1644" t="e">
        <f t="shared" si="76"/>
        <v>#VALUE!</v>
      </c>
      <c r="CA62" s="1644" t="e">
        <f t="shared" si="15"/>
        <v>#VALUE!</v>
      </c>
      <c r="CB62" s="1644" t="e">
        <f t="shared" si="16"/>
        <v>#VALUE!</v>
      </c>
      <c r="CC62" s="1644" t="e">
        <f t="shared" si="17"/>
        <v>#VALUE!</v>
      </c>
      <c r="CD62" s="1644" t="e">
        <f t="shared" si="18"/>
        <v>#VALUE!</v>
      </c>
      <c r="CE62" s="1644" t="e">
        <f t="shared" si="19"/>
        <v>#VALUE!</v>
      </c>
      <c r="CF62" s="505" t="e">
        <f t="shared" si="20"/>
        <v>#VALUE!</v>
      </c>
      <c r="CG62" s="1648" t="e">
        <f t="shared" si="21"/>
        <v>#VALUE!</v>
      </c>
      <c r="CH62" s="521" t="e">
        <f t="shared" si="77"/>
        <v>#VALUE!</v>
      </c>
      <c r="CI62" s="522" t="e">
        <f t="shared" si="23"/>
        <v>#VALUE!</v>
      </c>
      <c r="CJ62" s="1672"/>
      <c r="CK62" s="1647" t="str">
        <f t="shared" si="78"/>
        <v>n/a</v>
      </c>
      <c r="CL62" s="1671">
        <v>52</v>
      </c>
      <c r="CM62" s="1644" t="e">
        <f t="shared" si="25"/>
        <v>#VALUE!</v>
      </c>
      <c r="CN62" s="1644" t="e">
        <f t="shared" si="79"/>
        <v>#VALUE!</v>
      </c>
      <c r="CO62" s="1644" t="e">
        <f t="shared" si="80"/>
        <v>#VALUE!</v>
      </c>
      <c r="CP62" s="1644" t="e">
        <f t="shared" si="28"/>
        <v>#VALUE!</v>
      </c>
      <c r="CQ62" s="1644" t="e">
        <f t="shared" si="29"/>
        <v>#VALUE!</v>
      </c>
      <c r="CR62" s="1644" t="e">
        <f t="shared" si="30"/>
        <v>#VALUE!</v>
      </c>
      <c r="CS62" s="1644" t="e">
        <f t="shared" si="31"/>
        <v>#VALUE!</v>
      </c>
      <c r="CT62" s="1644" t="e">
        <f t="shared" si="32"/>
        <v>#VALUE!</v>
      </c>
      <c r="CU62" s="505" t="e">
        <f t="shared" si="33"/>
        <v>#VALUE!</v>
      </c>
      <c r="CV62" s="1648" t="e">
        <f t="shared" si="34"/>
        <v>#VALUE!</v>
      </c>
      <c r="CW62" s="521" t="e">
        <f t="shared" si="81"/>
        <v>#VALUE!</v>
      </c>
      <c r="CX62" s="522" t="e">
        <f t="shared" si="36"/>
        <v>#VALUE!</v>
      </c>
      <c r="CZ62" s="1647" t="str">
        <f t="shared" si="62"/>
        <v>n/a</v>
      </c>
      <c r="DA62" s="1671">
        <v>52</v>
      </c>
      <c r="DB62" s="1644" t="e">
        <f t="shared" si="37"/>
        <v>#VALUE!</v>
      </c>
      <c r="DC62" s="1644" t="e">
        <f t="shared" si="82"/>
        <v>#VALUE!</v>
      </c>
      <c r="DD62" s="1644" t="e">
        <f t="shared" si="83"/>
        <v>#VALUE!</v>
      </c>
      <c r="DE62" s="1644" t="e">
        <f t="shared" si="40"/>
        <v>#VALUE!</v>
      </c>
      <c r="DF62" s="1644" t="e">
        <f t="shared" si="41"/>
        <v>#VALUE!</v>
      </c>
      <c r="DG62" s="1644" t="e">
        <f t="shared" si="42"/>
        <v>#VALUE!</v>
      </c>
      <c r="DH62" s="1644" t="e">
        <f t="shared" si="43"/>
        <v>#VALUE!</v>
      </c>
      <c r="DI62" s="1644" t="e">
        <f t="shared" si="44"/>
        <v>#VALUE!</v>
      </c>
      <c r="DJ62" s="505" t="e">
        <f t="shared" si="45"/>
        <v>#VALUE!</v>
      </c>
      <c r="DK62" s="1648" t="e">
        <f t="shared" si="46"/>
        <v>#VALUE!</v>
      </c>
      <c r="DL62" s="521" t="e">
        <f t="shared" si="84"/>
        <v>#VALUE!</v>
      </c>
      <c r="DM62" s="522" t="e">
        <f t="shared" si="48"/>
        <v>#VALUE!</v>
      </c>
      <c r="DN62" s="1672"/>
      <c r="DO62" s="1647" t="str">
        <f t="shared" si="63"/>
        <v>n/a</v>
      </c>
      <c r="DP62" s="1671">
        <v>52</v>
      </c>
      <c r="DQ62" s="1644" t="e">
        <f t="shared" si="49"/>
        <v>#VALUE!</v>
      </c>
      <c r="DR62" s="1644" t="e">
        <f t="shared" si="85"/>
        <v>#VALUE!</v>
      </c>
      <c r="DS62" s="1644" t="e">
        <f t="shared" si="86"/>
        <v>#VALUE!</v>
      </c>
      <c r="DT62" s="1644" t="e">
        <f t="shared" si="52"/>
        <v>#VALUE!</v>
      </c>
      <c r="DU62" s="1644" t="e">
        <f t="shared" si="53"/>
        <v>#VALUE!</v>
      </c>
      <c r="DV62" s="1644" t="e">
        <f t="shared" si="54"/>
        <v>#VALUE!</v>
      </c>
      <c r="DW62" s="1644" t="e">
        <f t="shared" si="55"/>
        <v>#VALUE!</v>
      </c>
      <c r="DX62" s="1644" t="e">
        <f t="shared" si="56"/>
        <v>#VALUE!</v>
      </c>
      <c r="DY62" s="505" t="e">
        <f t="shared" si="57"/>
        <v>#VALUE!</v>
      </c>
      <c r="DZ62" s="1648" t="e">
        <f t="shared" si="58"/>
        <v>#VALUE!</v>
      </c>
      <c r="EA62" s="521" t="e">
        <f t="shared" si="87"/>
        <v>#VALUE!</v>
      </c>
      <c r="EB62" s="522" t="e">
        <f t="shared" si="60"/>
        <v>#VALUE!</v>
      </c>
    </row>
    <row r="63" spans="2:132">
      <c r="B63" s="293"/>
      <c r="AB63" s="294"/>
      <c r="AC63" s="294"/>
      <c r="BH63" s="1649">
        <f t="shared" si="61"/>
        <v>-13.5</v>
      </c>
      <c r="BI63" s="503">
        <v>100</v>
      </c>
      <c r="BJ63" s="1644">
        <f t="shared" si="64"/>
        <v>259.64999999999998</v>
      </c>
      <c r="BK63" s="1644">
        <f t="shared" si="65"/>
        <v>-17.974884908741643</v>
      </c>
      <c r="BL63" s="1644">
        <f t="shared" si="66"/>
        <v>23.220253331123963</v>
      </c>
      <c r="BM63" s="1644">
        <f t="shared" si="67"/>
        <v>0.18968568681022893</v>
      </c>
      <c r="BN63" s="1644">
        <f t="shared" si="68"/>
        <v>0.18968568681022893</v>
      </c>
      <c r="BO63" s="1644">
        <f t="shared" si="69"/>
        <v>1.1665628794791758E-3</v>
      </c>
      <c r="BP63" s="1644">
        <f t="shared" si="70"/>
        <v>1</v>
      </c>
      <c r="BQ63" s="1644">
        <f t="shared" si="71"/>
        <v>0.73708692378828478</v>
      </c>
      <c r="BR63" s="1648">
        <f t="shared" si="72"/>
        <v>-10.69185245938829</v>
      </c>
      <c r="BS63" s="521">
        <f t="shared" si="73"/>
        <v>-13.5</v>
      </c>
      <c r="BT63" s="522">
        <f t="shared" si="74"/>
        <v>1.1665628794791758E-3</v>
      </c>
      <c r="BV63" s="1647" t="str">
        <f t="shared" si="11"/>
        <v>n/a</v>
      </c>
      <c r="BW63" s="1671">
        <v>53</v>
      </c>
      <c r="BX63" s="1644" t="e">
        <f t="shared" si="12"/>
        <v>#VALUE!</v>
      </c>
      <c r="BY63" s="1644" t="e">
        <f t="shared" si="75"/>
        <v>#VALUE!</v>
      </c>
      <c r="BZ63" s="1644" t="e">
        <f t="shared" si="76"/>
        <v>#VALUE!</v>
      </c>
      <c r="CA63" s="1644" t="e">
        <f t="shared" si="15"/>
        <v>#VALUE!</v>
      </c>
      <c r="CB63" s="1644" t="e">
        <f t="shared" si="16"/>
        <v>#VALUE!</v>
      </c>
      <c r="CC63" s="1644" t="e">
        <f t="shared" si="17"/>
        <v>#VALUE!</v>
      </c>
      <c r="CD63" s="1644" t="e">
        <f t="shared" si="18"/>
        <v>#VALUE!</v>
      </c>
      <c r="CE63" s="1644" t="e">
        <f t="shared" si="19"/>
        <v>#VALUE!</v>
      </c>
      <c r="CF63" s="505" t="e">
        <f t="shared" si="20"/>
        <v>#VALUE!</v>
      </c>
      <c r="CG63" s="1648" t="e">
        <f t="shared" si="21"/>
        <v>#VALUE!</v>
      </c>
      <c r="CH63" s="521" t="e">
        <f t="shared" si="77"/>
        <v>#VALUE!</v>
      </c>
      <c r="CI63" s="522" t="e">
        <f t="shared" si="23"/>
        <v>#VALUE!</v>
      </c>
      <c r="CJ63" s="1672"/>
      <c r="CK63" s="1647" t="str">
        <f t="shared" si="78"/>
        <v>n/a</v>
      </c>
      <c r="CL63" s="1671">
        <v>53</v>
      </c>
      <c r="CM63" s="1644" t="e">
        <f t="shared" si="25"/>
        <v>#VALUE!</v>
      </c>
      <c r="CN63" s="1644" t="e">
        <f t="shared" si="79"/>
        <v>#VALUE!</v>
      </c>
      <c r="CO63" s="1644" t="e">
        <f t="shared" si="80"/>
        <v>#VALUE!</v>
      </c>
      <c r="CP63" s="1644" t="e">
        <f t="shared" si="28"/>
        <v>#VALUE!</v>
      </c>
      <c r="CQ63" s="1644" t="e">
        <f t="shared" si="29"/>
        <v>#VALUE!</v>
      </c>
      <c r="CR63" s="1644" t="e">
        <f t="shared" si="30"/>
        <v>#VALUE!</v>
      </c>
      <c r="CS63" s="1644" t="e">
        <f t="shared" si="31"/>
        <v>#VALUE!</v>
      </c>
      <c r="CT63" s="1644" t="e">
        <f t="shared" si="32"/>
        <v>#VALUE!</v>
      </c>
      <c r="CU63" s="505" t="e">
        <f t="shared" si="33"/>
        <v>#VALUE!</v>
      </c>
      <c r="CV63" s="1648" t="e">
        <f t="shared" si="34"/>
        <v>#VALUE!</v>
      </c>
      <c r="CW63" s="521" t="e">
        <f t="shared" si="81"/>
        <v>#VALUE!</v>
      </c>
      <c r="CX63" s="522" t="e">
        <f t="shared" si="36"/>
        <v>#VALUE!</v>
      </c>
      <c r="CZ63" s="1647" t="str">
        <f t="shared" si="62"/>
        <v>n/a</v>
      </c>
      <c r="DA63" s="1671">
        <v>53</v>
      </c>
      <c r="DB63" s="1644" t="e">
        <f t="shared" si="37"/>
        <v>#VALUE!</v>
      </c>
      <c r="DC63" s="1644" t="e">
        <f t="shared" si="82"/>
        <v>#VALUE!</v>
      </c>
      <c r="DD63" s="1644" t="e">
        <f t="shared" si="83"/>
        <v>#VALUE!</v>
      </c>
      <c r="DE63" s="1644" t="e">
        <f t="shared" si="40"/>
        <v>#VALUE!</v>
      </c>
      <c r="DF63" s="1644" t="e">
        <f t="shared" si="41"/>
        <v>#VALUE!</v>
      </c>
      <c r="DG63" s="1644" t="e">
        <f t="shared" si="42"/>
        <v>#VALUE!</v>
      </c>
      <c r="DH63" s="1644" t="e">
        <f t="shared" si="43"/>
        <v>#VALUE!</v>
      </c>
      <c r="DI63" s="1644" t="e">
        <f t="shared" si="44"/>
        <v>#VALUE!</v>
      </c>
      <c r="DJ63" s="505" t="e">
        <f t="shared" si="45"/>
        <v>#VALUE!</v>
      </c>
      <c r="DK63" s="1648" t="e">
        <f t="shared" si="46"/>
        <v>#VALUE!</v>
      </c>
      <c r="DL63" s="521" t="e">
        <f t="shared" si="84"/>
        <v>#VALUE!</v>
      </c>
      <c r="DM63" s="522" t="e">
        <f t="shared" si="48"/>
        <v>#VALUE!</v>
      </c>
      <c r="DN63" s="1672"/>
      <c r="DO63" s="1647" t="str">
        <f t="shared" si="63"/>
        <v>n/a</v>
      </c>
      <c r="DP63" s="1671">
        <v>53</v>
      </c>
      <c r="DQ63" s="1644" t="e">
        <f t="shared" si="49"/>
        <v>#VALUE!</v>
      </c>
      <c r="DR63" s="1644" t="e">
        <f t="shared" si="85"/>
        <v>#VALUE!</v>
      </c>
      <c r="DS63" s="1644" t="e">
        <f t="shared" si="86"/>
        <v>#VALUE!</v>
      </c>
      <c r="DT63" s="1644" t="e">
        <f t="shared" si="52"/>
        <v>#VALUE!</v>
      </c>
      <c r="DU63" s="1644" t="e">
        <f t="shared" si="53"/>
        <v>#VALUE!</v>
      </c>
      <c r="DV63" s="1644" t="e">
        <f t="shared" si="54"/>
        <v>#VALUE!</v>
      </c>
      <c r="DW63" s="1644" t="e">
        <f t="shared" si="55"/>
        <v>#VALUE!</v>
      </c>
      <c r="DX63" s="1644" t="e">
        <f t="shared" si="56"/>
        <v>#VALUE!</v>
      </c>
      <c r="DY63" s="505" t="e">
        <f t="shared" si="57"/>
        <v>#VALUE!</v>
      </c>
      <c r="DZ63" s="1648" t="e">
        <f t="shared" si="58"/>
        <v>#VALUE!</v>
      </c>
      <c r="EA63" s="521" t="e">
        <f t="shared" si="87"/>
        <v>#VALUE!</v>
      </c>
      <c r="EB63" s="522" t="e">
        <f t="shared" si="60"/>
        <v>#VALUE!</v>
      </c>
    </row>
    <row r="64" spans="2:132">
      <c r="B64" s="293"/>
      <c r="AB64" s="294"/>
      <c r="AC64" s="294"/>
      <c r="BH64" s="1649">
        <f t="shared" si="61"/>
        <v>-13</v>
      </c>
      <c r="BI64" s="503">
        <v>100</v>
      </c>
      <c r="BJ64" s="1644">
        <f t="shared" si="64"/>
        <v>260.14999999999998</v>
      </c>
      <c r="BK64" s="1644">
        <f t="shared" si="65"/>
        <v>-17.937720067655075</v>
      </c>
      <c r="BL64" s="1644">
        <f t="shared" si="66"/>
        <v>23.228601768725376</v>
      </c>
      <c r="BM64" s="1644">
        <f t="shared" si="67"/>
        <v>0.19851838213828515</v>
      </c>
      <c r="BN64" s="1644">
        <f t="shared" si="68"/>
        <v>0.19851838213828515</v>
      </c>
      <c r="BO64" s="1644">
        <f t="shared" si="69"/>
        <v>1.2209904008028062E-3</v>
      </c>
      <c r="BP64" s="1644">
        <f t="shared" si="70"/>
        <v>1</v>
      </c>
      <c r="BQ64" s="1644">
        <f t="shared" si="71"/>
        <v>0.73857081399833102</v>
      </c>
      <c r="BR64" s="1648">
        <f t="shared" si="72"/>
        <v>-10.05295354734702</v>
      </c>
      <c r="BS64" s="521">
        <f t="shared" si="73"/>
        <v>-13</v>
      </c>
      <c r="BT64" s="522">
        <f t="shared" si="74"/>
        <v>1.2209904008028062E-3</v>
      </c>
      <c r="BV64" s="1647" t="str">
        <f t="shared" si="11"/>
        <v>n/a</v>
      </c>
      <c r="BW64" s="1671">
        <v>54</v>
      </c>
      <c r="BX64" s="1644" t="e">
        <f t="shared" si="12"/>
        <v>#VALUE!</v>
      </c>
      <c r="BY64" s="1644" t="e">
        <f t="shared" si="75"/>
        <v>#VALUE!</v>
      </c>
      <c r="BZ64" s="1644" t="e">
        <f t="shared" si="76"/>
        <v>#VALUE!</v>
      </c>
      <c r="CA64" s="1644" t="e">
        <f t="shared" si="15"/>
        <v>#VALUE!</v>
      </c>
      <c r="CB64" s="1644" t="e">
        <f t="shared" si="16"/>
        <v>#VALUE!</v>
      </c>
      <c r="CC64" s="1644" t="e">
        <f t="shared" si="17"/>
        <v>#VALUE!</v>
      </c>
      <c r="CD64" s="1644" t="e">
        <f t="shared" si="18"/>
        <v>#VALUE!</v>
      </c>
      <c r="CE64" s="1644" t="e">
        <f t="shared" si="19"/>
        <v>#VALUE!</v>
      </c>
      <c r="CF64" s="505" t="e">
        <f t="shared" si="20"/>
        <v>#VALUE!</v>
      </c>
      <c r="CG64" s="1648" t="e">
        <f t="shared" si="21"/>
        <v>#VALUE!</v>
      </c>
      <c r="CH64" s="521" t="e">
        <f t="shared" si="77"/>
        <v>#VALUE!</v>
      </c>
      <c r="CI64" s="522" t="e">
        <f t="shared" si="23"/>
        <v>#VALUE!</v>
      </c>
      <c r="CJ64" s="1672"/>
      <c r="CK64" s="1647" t="str">
        <f t="shared" si="78"/>
        <v>n/a</v>
      </c>
      <c r="CL64" s="1671">
        <v>54</v>
      </c>
      <c r="CM64" s="1644" t="e">
        <f t="shared" si="25"/>
        <v>#VALUE!</v>
      </c>
      <c r="CN64" s="1644" t="e">
        <f t="shared" si="79"/>
        <v>#VALUE!</v>
      </c>
      <c r="CO64" s="1644" t="e">
        <f t="shared" si="80"/>
        <v>#VALUE!</v>
      </c>
      <c r="CP64" s="1644" t="e">
        <f t="shared" si="28"/>
        <v>#VALUE!</v>
      </c>
      <c r="CQ64" s="1644" t="e">
        <f t="shared" si="29"/>
        <v>#VALUE!</v>
      </c>
      <c r="CR64" s="1644" t="e">
        <f t="shared" si="30"/>
        <v>#VALUE!</v>
      </c>
      <c r="CS64" s="1644" t="e">
        <f t="shared" si="31"/>
        <v>#VALUE!</v>
      </c>
      <c r="CT64" s="1644" t="e">
        <f t="shared" si="32"/>
        <v>#VALUE!</v>
      </c>
      <c r="CU64" s="505" t="e">
        <f t="shared" si="33"/>
        <v>#VALUE!</v>
      </c>
      <c r="CV64" s="1648" t="e">
        <f t="shared" si="34"/>
        <v>#VALUE!</v>
      </c>
      <c r="CW64" s="521" t="e">
        <f t="shared" si="81"/>
        <v>#VALUE!</v>
      </c>
      <c r="CX64" s="522" t="e">
        <f t="shared" si="36"/>
        <v>#VALUE!</v>
      </c>
      <c r="CZ64" s="1647" t="str">
        <f t="shared" si="62"/>
        <v>n/a</v>
      </c>
      <c r="DA64" s="1671">
        <v>54</v>
      </c>
      <c r="DB64" s="1644" t="e">
        <f t="shared" si="37"/>
        <v>#VALUE!</v>
      </c>
      <c r="DC64" s="1644" t="e">
        <f t="shared" si="82"/>
        <v>#VALUE!</v>
      </c>
      <c r="DD64" s="1644" t="e">
        <f t="shared" si="83"/>
        <v>#VALUE!</v>
      </c>
      <c r="DE64" s="1644" t="e">
        <f t="shared" si="40"/>
        <v>#VALUE!</v>
      </c>
      <c r="DF64" s="1644" t="e">
        <f t="shared" si="41"/>
        <v>#VALUE!</v>
      </c>
      <c r="DG64" s="1644" t="e">
        <f t="shared" si="42"/>
        <v>#VALUE!</v>
      </c>
      <c r="DH64" s="1644" t="e">
        <f t="shared" si="43"/>
        <v>#VALUE!</v>
      </c>
      <c r="DI64" s="1644" t="e">
        <f t="shared" si="44"/>
        <v>#VALUE!</v>
      </c>
      <c r="DJ64" s="505" t="e">
        <f t="shared" si="45"/>
        <v>#VALUE!</v>
      </c>
      <c r="DK64" s="1648" t="e">
        <f t="shared" si="46"/>
        <v>#VALUE!</v>
      </c>
      <c r="DL64" s="521" t="e">
        <f t="shared" si="84"/>
        <v>#VALUE!</v>
      </c>
      <c r="DM64" s="522" t="e">
        <f t="shared" si="48"/>
        <v>#VALUE!</v>
      </c>
      <c r="DN64" s="1672"/>
      <c r="DO64" s="1647" t="str">
        <f t="shared" si="63"/>
        <v>n/a</v>
      </c>
      <c r="DP64" s="1671">
        <v>54</v>
      </c>
      <c r="DQ64" s="1644" t="e">
        <f t="shared" si="49"/>
        <v>#VALUE!</v>
      </c>
      <c r="DR64" s="1644" t="e">
        <f t="shared" si="85"/>
        <v>#VALUE!</v>
      </c>
      <c r="DS64" s="1644" t="e">
        <f t="shared" si="86"/>
        <v>#VALUE!</v>
      </c>
      <c r="DT64" s="1644" t="e">
        <f t="shared" si="52"/>
        <v>#VALUE!</v>
      </c>
      <c r="DU64" s="1644" t="e">
        <f t="shared" si="53"/>
        <v>#VALUE!</v>
      </c>
      <c r="DV64" s="1644" t="e">
        <f t="shared" si="54"/>
        <v>#VALUE!</v>
      </c>
      <c r="DW64" s="1644" t="e">
        <f t="shared" si="55"/>
        <v>#VALUE!</v>
      </c>
      <c r="DX64" s="1644" t="e">
        <f t="shared" si="56"/>
        <v>#VALUE!</v>
      </c>
      <c r="DY64" s="505" t="e">
        <f t="shared" si="57"/>
        <v>#VALUE!</v>
      </c>
      <c r="DZ64" s="1648" t="e">
        <f t="shared" si="58"/>
        <v>#VALUE!</v>
      </c>
      <c r="EA64" s="521" t="e">
        <f t="shared" si="87"/>
        <v>#VALUE!</v>
      </c>
      <c r="EB64" s="522" t="e">
        <f t="shared" si="60"/>
        <v>#VALUE!</v>
      </c>
    </row>
    <row r="65" spans="2:132">
      <c r="B65" s="293"/>
      <c r="AB65" s="294"/>
      <c r="AC65" s="294"/>
      <c r="BH65" s="1649">
        <f t="shared" si="61"/>
        <v>-12.5</v>
      </c>
      <c r="BI65" s="503">
        <v>100</v>
      </c>
      <c r="BJ65" s="1644">
        <f t="shared" si="64"/>
        <v>260.64999999999998</v>
      </c>
      <c r="BK65" s="1644">
        <f t="shared" si="65"/>
        <v>-17.900716376626391</v>
      </c>
      <c r="BL65" s="1644">
        <f t="shared" si="66"/>
        <v>23.236935754635713</v>
      </c>
      <c r="BM65" s="1644">
        <f t="shared" si="67"/>
        <v>0.20772589082190557</v>
      </c>
      <c r="BN65" s="1644">
        <f t="shared" si="68"/>
        <v>0.20772589082190557</v>
      </c>
      <c r="BO65" s="1644">
        <f t="shared" si="69"/>
        <v>1.2777376636350765E-3</v>
      </c>
      <c r="BP65" s="1644">
        <f t="shared" si="70"/>
        <v>1</v>
      </c>
      <c r="BQ65" s="1644">
        <f t="shared" si="71"/>
        <v>0.74005770668010062</v>
      </c>
      <c r="BR65" s="1648">
        <f t="shared" si="72"/>
        <v>-9.4082070592844396</v>
      </c>
      <c r="BS65" s="521">
        <f t="shared" si="73"/>
        <v>-12.5</v>
      </c>
      <c r="BT65" s="522">
        <f t="shared" si="74"/>
        <v>1.2777376636350765E-3</v>
      </c>
      <c r="BV65" s="1647" t="str">
        <f t="shared" si="11"/>
        <v>n/a</v>
      </c>
      <c r="BW65" s="1671">
        <v>55</v>
      </c>
      <c r="BX65" s="1644" t="e">
        <f t="shared" si="12"/>
        <v>#VALUE!</v>
      </c>
      <c r="BY65" s="1644" t="e">
        <f t="shared" si="75"/>
        <v>#VALUE!</v>
      </c>
      <c r="BZ65" s="1644" t="e">
        <f t="shared" si="76"/>
        <v>#VALUE!</v>
      </c>
      <c r="CA65" s="1644" t="e">
        <f t="shared" si="15"/>
        <v>#VALUE!</v>
      </c>
      <c r="CB65" s="1644" t="e">
        <f t="shared" si="16"/>
        <v>#VALUE!</v>
      </c>
      <c r="CC65" s="1644" t="e">
        <f t="shared" si="17"/>
        <v>#VALUE!</v>
      </c>
      <c r="CD65" s="1644" t="e">
        <f t="shared" si="18"/>
        <v>#VALUE!</v>
      </c>
      <c r="CE65" s="1644" t="e">
        <f t="shared" si="19"/>
        <v>#VALUE!</v>
      </c>
      <c r="CF65" s="505" t="e">
        <f t="shared" si="20"/>
        <v>#VALUE!</v>
      </c>
      <c r="CG65" s="1648" t="e">
        <f t="shared" si="21"/>
        <v>#VALUE!</v>
      </c>
      <c r="CH65" s="521" t="e">
        <f t="shared" si="77"/>
        <v>#VALUE!</v>
      </c>
      <c r="CI65" s="522" t="e">
        <f t="shared" si="23"/>
        <v>#VALUE!</v>
      </c>
      <c r="CJ65" s="1672"/>
      <c r="CK65" s="1647" t="str">
        <f t="shared" si="78"/>
        <v>n/a</v>
      </c>
      <c r="CL65" s="1671">
        <v>55</v>
      </c>
      <c r="CM65" s="1644" t="e">
        <f t="shared" si="25"/>
        <v>#VALUE!</v>
      </c>
      <c r="CN65" s="1644" t="e">
        <f t="shared" si="79"/>
        <v>#VALUE!</v>
      </c>
      <c r="CO65" s="1644" t="e">
        <f t="shared" si="80"/>
        <v>#VALUE!</v>
      </c>
      <c r="CP65" s="1644" t="e">
        <f t="shared" si="28"/>
        <v>#VALUE!</v>
      </c>
      <c r="CQ65" s="1644" t="e">
        <f t="shared" si="29"/>
        <v>#VALUE!</v>
      </c>
      <c r="CR65" s="1644" t="e">
        <f t="shared" si="30"/>
        <v>#VALUE!</v>
      </c>
      <c r="CS65" s="1644" t="e">
        <f t="shared" si="31"/>
        <v>#VALUE!</v>
      </c>
      <c r="CT65" s="1644" t="e">
        <f t="shared" si="32"/>
        <v>#VALUE!</v>
      </c>
      <c r="CU65" s="505" t="e">
        <f t="shared" si="33"/>
        <v>#VALUE!</v>
      </c>
      <c r="CV65" s="1648" t="e">
        <f t="shared" si="34"/>
        <v>#VALUE!</v>
      </c>
      <c r="CW65" s="521" t="e">
        <f t="shared" si="81"/>
        <v>#VALUE!</v>
      </c>
      <c r="CX65" s="522" t="e">
        <f t="shared" si="36"/>
        <v>#VALUE!</v>
      </c>
      <c r="CZ65" s="1647" t="str">
        <f t="shared" si="62"/>
        <v>n/a</v>
      </c>
      <c r="DA65" s="1671">
        <v>55</v>
      </c>
      <c r="DB65" s="1644" t="e">
        <f t="shared" si="37"/>
        <v>#VALUE!</v>
      </c>
      <c r="DC65" s="1644" t="e">
        <f t="shared" si="82"/>
        <v>#VALUE!</v>
      </c>
      <c r="DD65" s="1644" t="e">
        <f t="shared" si="83"/>
        <v>#VALUE!</v>
      </c>
      <c r="DE65" s="1644" t="e">
        <f t="shared" si="40"/>
        <v>#VALUE!</v>
      </c>
      <c r="DF65" s="1644" t="e">
        <f t="shared" si="41"/>
        <v>#VALUE!</v>
      </c>
      <c r="DG65" s="1644" t="e">
        <f t="shared" si="42"/>
        <v>#VALUE!</v>
      </c>
      <c r="DH65" s="1644" t="e">
        <f t="shared" si="43"/>
        <v>#VALUE!</v>
      </c>
      <c r="DI65" s="1644" t="e">
        <f t="shared" si="44"/>
        <v>#VALUE!</v>
      </c>
      <c r="DJ65" s="505" t="e">
        <f t="shared" si="45"/>
        <v>#VALUE!</v>
      </c>
      <c r="DK65" s="1648" t="e">
        <f t="shared" si="46"/>
        <v>#VALUE!</v>
      </c>
      <c r="DL65" s="521" t="e">
        <f t="shared" si="84"/>
        <v>#VALUE!</v>
      </c>
      <c r="DM65" s="522" t="e">
        <f t="shared" si="48"/>
        <v>#VALUE!</v>
      </c>
      <c r="DN65" s="1672"/>
      <c r="DO65" s="1647" t="str">
        <f t="shared" si="63"/>
        <v>n/a</v>
      </c>
      <c r="DP65" s="1671">
        <v>55</v>
      </c>
      <c r="DQ65" s="1644" t="e">
        <f t="shared" si="49"/>
        <v>#VALUE!</v>
      </c>
      <c r="DR65" s="1644" t="e">
        <f t="shared" si="85"/>
        <v>#VALUE!</v>
      </c>
      <c r="DS65" s="1644" t="e">
        <f t="shared" si="86"/>
        <v>#VALUE!</v>
      </c>
      <c r="DT65" s="1644" t="e">
        <f t="shared" si="52"/>
        <v>#VALUE!</v>
      </c>
      <c r="DU65" s="1644" t="e">
        <f t="shared" si="53"/>
        <v>#VALUE!</v>
      </c>
      <c r="DV65" s="1644" t="e">
        <f t="shared" si="54"/>
        <v>#VALUE!</v>
      </c>
      <c r="DW65" s="1644" t="e">
        <f t="shared" si="55"/>
        <v>#VALUE!</v>
      </c>
      <c r="DX65" s="1644" t="e">
        <f t="shared" si="56"/>
        <v>#VALUE!</v>
      </c>
      <c r="DY65" s="505" t="e">
        <f t="shared" si="57"/>
        <v>#VALUE!</v>
      </c>
      <c r="DZ65" s="1648" t="e">
        <f t="shared" si="58"/>
        <v>#VALUE!</v>
      </c>
      <c r="EA65" s="521" t="e">
        <f t="shared" si="87"/>
        <v>#VALUE!</v>
      </c>
      <c r="EB65" s="522" t="e">
        <f t="shared" si="60"/>
        <v>#VALUE!</v>
      </c>
    </row>
    <row r="66" spans="2:132">
      <c r="B66" s="293"/>
      <c r="AB66" s="294"/>
      <c r="AC66" s="294"/>
      <c r="BH66" s="1649">
        <f t="shared" si="61"/>
        <v>-12</v>
      </c>
      <c r="BI66" s="503">
        <v>100</v>
      </c>
      <c r="BJ66" s="1644">
        <f t="shared" si="64"/>
        <v>261.14999999999998</v>
      </c>
      <c r="BK66" s="1644">
        <f t="shared" si="65"/>
        <v>-17.863872910037788</v>
      </c>
      <c r="BL66" s="1644">
        <f t="shared" si="66"/>
        <v>23.245255348619413</v>
      </c>
      <c r="BM66" s="1644">
        <f t="shared" si="67"/>
        <v>0.21732250286675167</v>
      </c>
      <c r="BN66" s="1644">
        <f t="shared" si="68"/>
        <v>0.21732250286675167</v>
      </c>
      <c r="BO66" s="1644">
        <f t="shared" si="69"/>
        <v>1.3368940290107518E-3</v>
      </c>
      <c r="BP66" s="1644">
        <f t="shared" si="70"/>
        <v>1</v>
      </c>
      <c r="BQ66" s="1644">
        <f t="shared" si="71"/>
        <v>0.7415477239985353</v>
      </c>
      <c r="BR66" s="1648">
        <f t="shared" si="72"/>
        <v>-8.7573851581124806</v>
      </c>
      <c r="BS66" s="521">
        <f t="shared" si="73"/>
        <v>-12</v>
      </c>
      <c r="BT66" s="522">
        <f t="shared" si="74"/>
        <v>1.3368940290107518E-3</v>
      </c>
      <c r="BV66" s="1647" t="str">
        <f t="shared" si="11"/>
        <v>n/a</v>
      </c>
      <c r="BW66" s="1671">
        <v>56</v>
      </c>
      <c r="BX66" s="1644" t="e">
        <f t="shared" si="12"/>
        <v>#VALUE!</v>
      </c>
      <c r="BY66" s="1644" t="e">
        <f t="shared" si="75"/>
        <v>#VALUE!</v>
      </c>
      <c r="BZ66" s="1644" t="e">
        <f t="shared" si="76"/>
        <v>#VALUE!</v>
      </c>
      <c r="CA66" s="1644" t="e">
        <f t="shared" si="15"/>
        <v>#VALUE!</v>
      </c>
      <c r="CB66" s="1644" t="e">
        <f t="shared" si="16"/>
        <v>#VALUE!</v>
      </c>
      <c r="CC66" s="1644" t="e">
        <f t="shared" si="17"/>
        <v>#VALUE!</v>
      </c>
      <c r="CD66" s="1644" t="e">
        <f t="shared" si="18"/>
        <v>#VALUE!</v>
      </c>
      <c r="CE66" s="1644" t="e">
        <f t="shared" si="19"/>
        <v>#VALUE!</v>
      </c>
      <c r="CF66" s="505" t="e">
        <f t="shared" si="20"/>
        <v>#VALUE!</v>
      </c>
      <c r="CG66" s="1648" t="e">
        <f t="shared" si="21"/>
        <v>#VALUE!</v>
      </c>
      <c r="CH66" s="521" t="e">
        <f t="shared" si="77"/>
        <v>#VALUE!</v>
      </c>
      <c r="CI66" s="522" t="e">
        <f t="shared" si="23"/>
        <v>#VALUE!</v>
      </c>
      <c r="CJ66" s="1672"/>
      <c r="CK66" s="1647" t="str">
        <f t="shared" si="78"/>
        <v>n/a</v>
      </c>
      <c r="CL66" s="1671">
        <v>56</v>
      </c>
      <c r="CM66" s="1644" t="e">
        <f t="shared" si="25"/>
        <v>#VALUE!</v>
      </c>
      <c r="CN66" s="1644" t="e">
        <f t="shared" si="79"/>
        <v>#VALUE!</v>
      </c>
      <c r="CO66" s="1644" t="e">
        <f t="shared" si="80"/>
        <v>#VALUE!</v>
      </c>
      <c r="CP66" s="1644" t="e">
        <f t="shared" si="28"/>
        <v>#VALUE!</v>
      </c>
      <c r="CQ66" s="1644" t="e">
        <f t="shared" si="29"/>
        <v>#VALUE!</v>
      </c>
      <c r="CR66" s="1644" t="e">
        <f t="shared" si="30"/>
        <v>#VALUE!</v>
      </c>
      <c r="CS66" s="1644" t="e">
        <f t="shared" si="31"/>
        <v>#VALUE!</v>
      </c>
      <c r="CT66" s="1644" t="e">
        <f t="shared" si="32"/>
        <v>#VALUE!</v>
      </c>
      <c r="CU66" s="505" t="e">
        <f t="shared" si="33"/>
        <v>#VALUE!</v>
      </c>
      <c r="CV66" s="1648" t="e">
        <f t="shared" si="34"/>
        <v>#VALUE!</v>
      </c>
      <c r="CW66" s="521" t="e">
        <f t="shared" si="81"/>
        <v>#VALUE!</v>
      </c>
      <c r="CX66" s="522" t="e">
        <f t="shared" si="36"/>
        <v>#VALUE!</v>
      </c>
      <c r="CZ66" s="1647" t="str">
        <f t="shared" si="62"/>
        <v>n/a</v>
      </c>
      <c r="DA66" s="1671">
        <v>56</v>
      </c>
      <c r="DB66" s="1644" t="e">
        <f t="shared" si="37"/>
        <v>#VALUE!</v>
      </c>
      <c r="DC66" s="1644" t="e">
        <f t="shared" si="82"/>
        <v>#VALUE!</v>
      </c>
      <c r="DD66" s="1644" t="e">
        <f t="shared" si="83"/>
        <v>#VALUE!</v>
      </c>
      <c r="DE66" s="1644" t="e">
        <f t="shared" si="40"/>
        <v>#VALUE!</v>
      </c>
      <c r="DF66" s="1644" t="e">
        <f t="shared" si="41"/>
        <v>#VALUE!</v>
      </c>
      <c r="DG66" s="1644" t="e">
        <f t="shared" si="42"/>
        <v>#VALUE!</v>
      </c>
      <c r="DH66" s="1644" t="e">
        <f t="shared" si="43"/>
        <v>#VALUE!</v>
      </c>
      <c r="DI66" s="1644" t="e">
        <f t="shared" si="44"/>
        <v>#VALUE!</v>
      </c>
      <c r="DJ66" s="505" t="e">
        <f t="shared" si="45"/>
        <v>#VALUE!</v>
      </c>
      <c r="DK66" s="1648" t="e">
        <f t="shared" si="46"/>
        <v>#VALUE!</v>
      </c>
      <c r="DL66" s="521" t="e">
        <f t="shared" si="84"/>
        <v>#VALUE!</v>
      </c>
      <c r="DM66" s="522" t="e">
        <f t="shared" si="48"/>
        <v>#VALUE!</v>
      </c>
      <c r="DN66" s="1672"/>
      <c r="DO66" s="1647" t="str">
        <f t="shared" si="63"/>
        <v>n/a</v>
      </c>
      <c r="DP66" s="1671">
        <v>56</v>
      </c>
      <c r="DQ66" s="1644" t="e">
        <f t="shared" si="49"/>
        <v>#VALUE!</v>
      </c>
      <c r="DR66" s="1644" t="e">
        <f t="shared" si="85"/>
        <v>#VALUE!</v>
      </c>
      <c r="DS66" s="1644" t="e">
        <f t="shared" si="86"/>
        <v>#VALUE!</v>
      </c>
      <c r="DT66" s="1644" t="e">
        <f t="shared" si="52"/>
        <v>#VALUE!</v>
      </c>
      <c r="DU66" s="1644" t="e">
        <f t="shared" si="53"/>
        <v>#VALUE!</v>
      </c>
      <c r="DV66" s="1644" t="e">
        <f t="shared" si="54"/>
        <v>#VALUE!</v>
      </c>
      <c r="DW66" s="1644" t="e">
        <f t="shared" si="55"/>
        <v>#VALUE!</v>
      </c>
      <c r="DX66" s="1644" t="e">
        <f t="shared" si="56"/>
        <v>#VALUE!</v>
      </c>
      <c r="DY66" s="505" t="e">
        <f t="shared" si="57"/>
        <v>#VALUE!</v>
      </c>
      <c r="DZ66" s="1648" t="e">
        <f t="shared" si="58"/>
        <v>#VALUE!</v>
      </c>
      <c r="EA66" s="521" t="e">
        <f t="shared" si="87"/>
        <v>#VALUE!</v>
      </c>
      <c r="EB66" s="522" t="e">
        <f t="shared" si="60"/>
        <v>#VALUE!</v>
      </c>
    </row>
    <row r="67" spans="2:132">
      <c r="B67" s="293"/>
      <c r="AB67" s="164"/>
      <c r="AC67" s="164"/>
      <c r="BH67" s="1649">
        <f t="shared" si="61"/>
        <v>-11.5</v>
      </c>
      <c r="BI67" s="503">
        <v>100</v>
      </c>
      <c r="BJ67" s="1644">
        <f t="shared" si="64"/>
        <v>261.64999999999998</v>
      </c>
      <c r="BK67" s="1644">
        <f t="shared" si="65"/>
        <v>-17.827188749346714</v>
      </c>
      <c r="BL67" s="1644">
        <f t="shared" si="66"/>
        <v>23.253560610101225</v>
      </c>
      <c r="BM67" s="1644">
        <f t="shared" si="67"/>
        <v>0.22732298798773065</v>
      </c>
      <c r="BN67" s="1644">
        <f t="shared" si="68"/>
        <v>0.22732298798773065</v>
      </c>
      <c r="BO67" s="1644">
        <f t="shared" si="69"/>
        <v>1.398551937566369E-3</v>
      </c>
      <c r="BP67" s="1644">
        <f t="shared" si="70"/>
        <v>1</v>
      </c>
      <c r="BQ67" s="1644">
        <f t="shared" si="71"/>
        <v>0.74304099260359646</v>
      </c>
      <c r="BR67" s="1648">
        <f t="shared" si="72"/>
        <v>-8.1002520459905458</v>
      </c>
      <c r="BS67" s="521">
        <f t="shared" si="73"/>
        <v>-11.5</v>
      </c>
      <c r="BT67" s="522">
        <f t="shared" si="74"/>
        <v>1.398551937566369E-3</v>
      </c>
      <c r="BV67" s="1647" t="str">
        <f t="shared" si="11"/>
        <v>n/a</v>
      </c>
      <c r="BW67" s="1671">
        <v>57</v>
      </c>
      <c r="BX67" s="1644" t="e">
        <f t="shared" si="12"/>
        <v>#VALUE!</v>
      </c>
      <c r="BY67" s="1644" t="e">
        <f t="shared" si="75"/>
        <v>#VALUE!</v>
      </c>
      <c r="BZ67" s="1644" t="e">
        <f t="shared" si="76"/>
        <v>#VALUE!</v>
      </c>
      <c r="CA67" s="1644" t="e">
        <f t="shared" si="15"/>
        <v>#VALUE!</v>
      </c>
      <c r="CB67" s="1644" t="e">
        <f t="shared" si="16"/>
        <v>#VALUE!</v>
      </c>
      <c r="CC67" s="1644" t="e">
        <f t="shared" si="17"/>
        <v>#VALUE!</v>
      </c>
      <c r="CD67" s="1644" t="e">
        <f t="shared" si="18"/>
        <v>#VALUE!</v>
      </c>
      <c r="CE67" s="1644" t="e">
        <f t="shared" si="19"/>
        <v>#VALUE!</v>
      </c>
      <c r="CF67" s="505" t="e">
        <f t="shared" si="20"/>
        <v>#VALUE!</v>
      </c>
      <c r="CG67" s="1648" t="e">
        <f t="shared" si="21"/>
        <v>#VALUE!</v>
      </c>
      <c r="CH67" s="521" t="e">
        <f t="shared" si="77"/>
        <v>#VALUE!</v>
      </c>
      <c r="CI67" s="522" t="e">
        <f t="shared" si="23"/>
        <v>#VALUE!</v>
      </c>
      <c r="CJ67" s="1672"/>
      <c r="CK67" s="1647" t="str">
        <f t="shared" si="78"/>
        <v>n/a</v>
      </c>
      <c r="CL67" s="1671">
        <v>57</v>
      </c>
      <c r="CM67" s="1644" t="e">
        <f t="shared" si="25"/>
        <v>#VALUE!</v>
      </c>
      <c r="CN67" s="1644" t="e">
        <f t="shared" si="79"/>
        <v>#VALUE!</v>
      </c>
      <c r="CO67" s="1644" t="e">
        <f t="shared" si="80"/>
        <v>#VALUE!</v>
      </c>
      <c r="CP67" s="1644" t="e">
        <f t="shared" si="28"/>
        <v>#VALUE!</v>
      </c>
      <c r="CQ67" s="1644" t="e">
        <f t="shared" si="29"/>
        <v>#VALUE!</v>
      </c>
      <c r="CR67" s="1644" t="e">
        <f t="shared" si="30"/>
        <v>#VALUE!</v>
      </c>
      <c r="CS67" s="1644" t="e">
        <f t="shared" si="31"/>
        <v>#VALUE!</v>
      </c>
      <c r="CT67" s="1644" t="e">
        <f t="shared" si="32"/>
        <v>#VALUE!</v>
      </c>
      <c r="CU67" s="505" t="e">
        <f t="shared" si="33"/>
        <v>#VALUE!</v>
      </c>
      <c r="CV67" s="1648" t="e">
        <f t="shared" si="34"/>
        <v>#VALUE!</v>
      </c>
      <c r="CW67" s="521" t="e">
        <f t="shared" si="81"/>
        <v>#VALUE!</v>
      </c>
      <c r="CX67" s="522" t="e">
        <f t="shared" si="36"/>
        <v>#VALUE!</v>
      </c>
      <c r="CZ67" s="1647" t="str">
        <f t="shared" si="62"/>
        <v>n/a</v>
      </c>
      <c r="DA67" s="1671">
        <v>57</v>
      </c>
      <c r="DB67" s="1644" t="e">
        <f t="shared" si="37"/>
        <v>#VALUE!</v>
      </c>
      <c r="DC67" s="1644" t="e">
        <f t="shared" si="82"/>
        <v>#VALUE!</v>
      </c>
      <c r="DD67" s="1644" t="e">
        <f t="shared" si="83"/>
        <v>#VALUE!</v>
      </c>
      <c r="DE67" s="1644" t="e">
        <f t="shared" si="40"/>
        <v>#VALUE!</v>
      </c>
      <c r="DF67" s="1644" t="e">
        <f t="shared" si="41"/>
        <v>#VALUE!</v>
      </c>
      <c r="DG67" s="1644" t="e">
        <f t="shared" si="42"/>
        <v>#VALUE!</v>
      </c>
      <c r="DH67" s="1644" t="e">
        <f t="shared" si="43"/>
        <v>#VALUE!</v>
      </c>
      <c r="DI67" s="1644" t="e">
        <f t="shared" si="44"/>
        <v>#VALUE!</v>
      </c>
      <c r="DJ67" s="505" t="e">
        <f t="shared" si="45"/>
        <v>#VALUE!</v>
      </c>
      <c r="DK67" s="1648" t="e">
        <f t="shared" si="46"/>
        <v>#VALUE!</v>
      </c>
      <c r="DL67" s="521" t="e">
        <f t="shared" si="84"/>
        <v>#VALUE!</v>
      </c>
      <c r="DM67" s="522" t="e">
        <f t="shared" si="48"/>
        <v>#VALUE!</v>
      </c>
      <c r="DN67" s="1672"/>
      <c r="DO67" s="1647" t="str">
        <f t="shared" si="63"/>
        <v>n/a</v>
      </c>
      <c r="DP67" s="1671">
        <v>57</v>
      </c>
      <c r="DQ67" s="1644" t="e">
        <f t="shared" si="49"/>
        <v>#VALUE!</v>
      </c>
      <c r="DR67" s="1644" t="e">
        <f t="shared" si="85"/>
        <v>#VALUE!</v>
      </c>
      <c r="DS67" s="1644" t="e">
        <f t="shared" si="86"/>
        <v>#VALUE!</v>
      </c>
      <c r="DT67" s="1644" t="e">
        <f t="shared" si="52"/>
        <v>#VALUE!</v>
      </c>
      <c r="DU67" s="1644" t="e">
        <f t="shared" si="53"/>
        <v>#VALUE!</v>
      </c>
      <c r="DV67" s="1644" t="e">
        <f t="shared" si="54"/>
        <v>#VALUE!</v>
      </c>
      <c r="DW67" s="1644" t="e">
        <f t="shared" si="55"/>
        <v>#VALUE!</v>
      </c>
      <c r="DX67" s="1644" t="e">
        <f t="shared" si="56"/>
        <v>#VALUE!</v>
      </c>
      <c r="DY67" s="505" t="e">
        <f t="shared" si="57"/>
        <v>#VALUE!</v>
      </c>
      <c r="DZ67" s="1648" t="e">
        <f t="shared" si="58"/>
        <v>#VALUE!</v>
      </c>
      <c r="EA67" s="521" t="e">
        <f t="shared" si="87"/>
        <v>#VALUE!</v>
      </c>
      <c r="EB67" s="522" t="e">
        <f t="shared" si="60"/>
        <v>#VALUE!</v>
      </c>
    </row>
    <row r="68" spans="2:132">
      <c r="B68" s="293"/>
      <c r="S68" s="294"/>
      <c r="T68" s="294"/>
      <c r="U68" s="294"/>
      <c r="BH68" s="1649">
        <f t="shared" si="61"/>
        <v>-11</v>
      </c>
      <c r="BI68" s="503">
        <v>100</v>
      </c>
      <c r="BJ68" s="1644">
        <f t="shared" si="64"/>
        <v>262.14999999999998</v>
      </c>
      <c r="BK68" s="1644">
        <f t="shared" si="65"/>
        <v>-17.790662983018379</v>
      </c>
      <c r="BL68" s="1644">
        <f t="shared" si="66"/>
        <v>23.261851598168786</v>
      </c>
      <c r="BM68" s="1644">
        <f t="shared" si="67"/>
        <v>0.23774260935297109</v>
      </c>
      <c r="BN68" s="1644">
        <f t="shared" si="68"/>
        <v>0.23774260935297109</v>
      </c>
      <c r="BO68" s="1644">
        <f t="shared" si="69"/>
        <v>1.4628070043875038E-3</v>
      </c>
      <c r="BP68" s="1644">
        <f t="shared" si="70"/>
        <v>1</v>
      </c>
      <c r="BQ68" s="1644">
        <f t="shared" si="71"/>
        <v>0.74453764377860943</v>
      </c>
      <c r="BR68" s="1648">
        <f t="shared" si="72"/>
        <v>-7.4365637150989681</v>
      </c>
      <c r="BS68" s="521">
        <f t="shared" si="73"/>
        <v>-11</v>
      </c>
      <c r="BT68" s="522">
        <f t="shared" si="74"/>
        <v>1.4628070043875038E-3</v>
      </c>
      <c r="BV68" s="1647" t="str">
        <f t="shared" si="11"/>
        <v>n/a</v>
      </c>
      <c r="BW68" s="1671">
        <v>58</v>
      </c>
      <c r="BX68" s="1644" t="e">
        <f t="shared" si="12"/>
        <v>#VALUE!</v>
      </c>
      <c r="BY68" s="1644" t="e">
        <f t="shared" si="75"/>
        <v>#VALUE!</v>
      </c>
      <c r="BZ68" s="1644" t="e">
        <f t="shared" si="76"/>
        <v>#VALUE!</v>
      </c>
      <c r="CA68" s="1644" t="e">
        <f t="shared" si="15"/>
        <v>#VALUE!</v>
      </c>
      <c r="CB68" s="1644" t="e">
        <f t="shared" si="16"/>
        <v>#VALUE!</v>
      </c>
      <c r="CC68" s="1644" t="e">
        <f t="shared" si="17"/>
        <v>#VALUE!</v>
      </c>
      <c r="CD68" s="1644" t="e">
        <f t="shared" si="18"/>
        <v>#VALUE!</v>
      </c>
      <c r="CE68" s="1644" t="e">
        <f t="shared" si="19"/>
        <v>#VALUE!</v>
      </c>
      <c r="CF68" s="505" t="e">
        <f t="shared" si="20"/>
        <v>#VALUE!</v>
      </c>
      <c r="CG68" s="1648" t="e">
        <f t="shared" si="21"/>
        <v>#VALUE!</v>
      </c>
      <c r="CH68" s="521" t="e">
        <f t="shared" si="77"/>
        <v>#VALUE!</v>
      </c>
      <c r="CI68" s="522" t="e">
        <f t="shared" si="23"/>
        <v>#VALUE!</v>
      </c>
      <c r="CJ68" s="1672"/>
      <c r="CK68" s="1647" t="str">
        <f t="shared" si="78"/>
        <v>n/a</v>
      </c>
      <c r="CL68" s="1671">
        <v>58</v>
      </c>
      <c r="CM68" s="1644" t="e">
        <f t="shared" si="25"/>
        <v>#VALUE!</v>
      </c>
      <c r="CN68" s="1644" t="e">
        <f t="shared" si="79"/>
        <v>#VALUE!</v>
      </c>
      <c r="CO68" s="1644" t="e">
        <f t="shared" si="80"/>
        <v>#VALUE!</v>
      </c>
      <c r="CP68" s="1644" t="e">
        <f t="shared" si="28"/>
        <v>#VALUE!</v>
      </c>
      <c r="CQ68" s="1644" t="e">
        <f t="shared" si="29"/>
        <v>#VALUE!</v>
      </c>
      <c r="CR68" s="1644" t="e">
        <f t="shared" si="30"/>
        <v>#VALUE!</v>
      </c>
      <c r="CS68" s="1644" t="e">
        <f t="shared" si="31"/>
        <v>#VALUE!</v>
      </c>
      <c r="CT68" s="1644" t="e">
        <f t="shared" si="32"/>
        <v>#VALUE!</v>
      </c>
      <c r="CU68" s="505" t="e">
        <f t="shared" si="33"/>
        <v>#VALUE!</v>
      </c>
      <c r="CV68" s="1648" t="e">
        <f t="shared" si="34"/>
        <v>#VALUE!</v>
      </c>
      <c r="CW68" s="521" t="e">
        <f t="shared" si="81"/>
        <v>#VALUE!</v>
      </c>
      <c r="CX68" s="522" t="e">
        <f t="shared" si="36"/>
        <v>#VALUE!</v>
      </c>
      <c r="CZ68" s="1647" t="str">
        <f t="shared" si="62"/>
        <v>n/a</v>
      </c>
      <c r="DA68" s="1671">
        <v>58</v>
      </c>
      <c r="DB68" s="1644" t="e">
        <f t="shared" si="37"/>
        <v>#VALUE!</v>
      </c>
      <c r="DC68" s="1644" t="e">
        <f t="shared" si="82"/>
        <v>#VALUE!</v>
      </c>
      <c r="DD68" s="1644" t="e">
        <f t="shared" si="83"/>
        <v>#VALUE!</v>
      </c>
      <c r="DE68" s="1644" t="e">
        <f t="shared" si="40"/>
        <v>#VALUE!</v>
      </c>
      <c r="DF68" s="1644" t="e">
        <f t="shared" si="41"/>
        <v>#VALUE!</v>
      </c>
      <c r="DG68" s="1644" t="e">
        <f t="shared" si="42"/>
        <v>#VALUE!</v>
      </c>
      <c r="DH68" s="1644" t="e">
        <f t="shared" si="43"/>
        <v>#VALUE!</v>
      </c>
      <c r="DI68" s="1644" t="e">
        <f t="shared" si="44"/>
        <v>#VALUE!</v>
      </c>
      <c r="DJ68" s="505" t="e">
        <f t="shared" si="45"/>
        <v>#VALUE!</v>
      </c>
      <c r="DK68" s="1648" t="e">
        <f t="shared" si="46"/>
        <v>#VALUE!</v>
      </c>
      <c r="DL68" s="521" t="e">
        <f t="shared" si="84"/>
        <v>#VALUE!</v>
      </c>
      <c r="DM68" s="522" t="e">
        <f t="shared" si="48"/>
        <v>#VALUE!</v>
      </c>
      <c r="DN68" s="1672"/>
      <c r="DO68" s="1647" t="str">
        <f t="shared" si="63"/>
        <v>n/a</v>
      </c>
      <c r="DP68" s="1671">
        <v>58</v>
      </c>
      <c r="DQ68" s="1644" t="e">
        <f t="shared" si="49"/>
        <v>#VALUE!</v>
      </c>
      <c r="DR68" s="1644" t="e">
        <f t="shared" si="85"/>
        <v>#VALUE!</v>
      </c>
      <c r="DS68" s="1644" t="e">
        <f t="shared" si="86"/>
        <v>#VALUE!</v>
      </c>
      <c r="DT68" s="1644" t="e">
        <f t="shared" si="52"/>
        <v>#VALUE!</v>
      </c>
      <c r="DU68" s="1644" t="e">
        <f t="shared" si="53"/>
        <v>#VALUE!</v>
      </c>
      <c r="DV68" s="1644" t="e">
        <f t="shared" si="54"/>
        <v>#VALUE!</v>
      </c>
      <c r="DW68" s="1644" t="e">
        <f t="shared" si="55"/>
        <v>#VALUE!</v>
      </c>
      <c r="DX68" s="1644" t="e">
        <f t="shared" si="56"/>
        <v>#VALUE!</v>
      </c>
      <c r="DY68" s="505" t="e">
        <f t="shared" si="57"/>
        <v>#VALUE!</v>
      </c>
      <c r="DZ68" s="1648" t="e">
        <f t="shared" si="58"/>
        <v>#VALUE!</v>
      </c>
      <c r="EA68" s="521" t="e">
        <f t="shared" si="87"/>
        <v>#VALUE!</v>
      </c>
      <c r="EB68" s="522" t="e">
        <f t="shared" si="60"/>
        <v>#VALUE!</v>
      </c>
    </row>
    <row r="69" spans="2:132">
      <c r="B69" s="293"/>
      <c r="S69" s="294"/>
      <c r="T69" s="294"/>
      <c r="U69" s="294"/>
      <c r="BH69" s="1649">
        <f t="shared" si="61"/>
        <v>-10.5</v>
      </c>
      <c r="BI69" s="503">
        <v>100</v>
      </c>
      <c r="BJ69" s="1644">
        <f t="shared" si="64"/>
        <v>262.64999999999998</v>
      </c>
      <c r="BK69" s="1644">
        <f t="shared" si="65"/>
        <v>-17.754294706459042</v>
      </c>
      <c r="BL69" s="1644">
        <f t="shared" si="66"/>
        <v>23.270128371575179</v>
      </c>
      <c r="BM69" s="1644">
        <f t="shared" si="67"/>
        <v>0.24859713764590477</v>
      </c>
      <c r="BN69" s="1644">
        <f t="shared" si="68"/>
        <v>0.24859713764590477</v>
      </c>
      <c r="BO69" s="1644">
        <f t="shared" si="69"/>
        <v>1.5297581165760793E-3</v>
      </c>
      <c r="BP69" s="1644">
        <f t="shared" si="70"/>
        <v>1</v>
      </c>
      <c r="BQ69" s="1644">
        <f t="shared" si="71"/>
        <v>0.74603781359316168</v>
      </c>
      <c r="BR69" s="1648">
        <f t="shared" si="72"/>
        <v>-6.7660676911476347</v>
      </c>
      <c r="BS69" s="521">
        <f t="shared" si="73"/>
        <v>-10.5</v>
      </c>
      <c r="BT69" s="522">
        <f t="shared" si="74"/>
        <v>1.5297581165760793E-3</v>
      </c>
      <c r="BV69" s="1647" t="str">
        <f t="shared" si="11"/>
        <v>n/a</v>
      </c>
      <c r="BW69" s="1671">
        <v>59</v>
      </c>
      <c r="BX69" s="1644" t="e">
        <f t="shared" si="12"/>
        <v>#VALUE!</v>
      </c>
      <c r="BY69" s="1644" t="e">
        <f t="shared" si="75"/>
        <v>#VALUE!</v>
      </c>
      <c r="BZ69" s="1644" t="e">
        <f t="shared" si="76"/>
        <v>#VALUE!</v>
      </c>
      <c r="CA69" s="1644" t="e">
        <f t="shared" si="15"/>
        <v>#VALUE!</v>
      </c>
      <c r="CB69" s="1644" t="e">
        <f t="shared" si="16"/>
        <v>#VALUE!</v>
      </c>
      <c r="CC69" s="1644" t="e">
        <f t="shared" si="17"/>
        <v>#VALUE!</v>
      </c>
      <c r="CD69" s="1644" t="e">
        <f t="shared" si="18"/>
        <v>#VALUE!</v>
      </c>
      <c r="CE69" s="1644" t="e">
        <f t="shared" si="19"/>
        <v>#VALUE!</v>
      </c>
      <c r="CF69" s="505" t="e">
        <f t="shared" si="20"/>
        <v>#VALUE!</v>
      </c>
      <c r="CG69" s="1648" t="e">
        <f t="shared" si="21"/>
        <v>#VALUE!</v>
      </c>
      <c r="CH69" s="521" t="e">
        <f t="shared" si="77"/>
        <v>#VALUE!</v>
      </c>
      <c r="CI69" s="522" t="e">
        <f t="shared" si="23"/>
        <v>#VALUE!</v>
      </c>
      <c r="CJ69" s="1672"/>
      <c r="CK69" s="1647" t="str">
        <f t="shared" si="78"/>
        <v>n/a</v>
      </c>
      <c r="CL69" s="1671">
        <v>59</v>
      </c>
      <c r="CM69" s="1644" t="e">
        <f t="shared" si="25"/>
        <v>#VALUE!</v>
      </c>
      <c r="CN69" s="1644" t="e">
        <f t="shared" si="79"/>
        <v>#VALUE!</v>
      </c>
      <c r="CO69" s="1644" t="e">
        <f t="shared" si="80"/>
        <v>#VALUE!</v>
      </c>
      <c r="CP69" s="1644" t="e">
        <f t="shared" si="28"/>
        <v>#VALUE!</v>
      </c>
      <c r="CQ69" s="1644" t="e">
        <f t="shared" si="29"/>
        <v>#VALUE!</v>
      </c>
      <c r="CR69" s="1644" t="e">
        <f t="shared" si="30"/>
        <v>#VALUE!</v>
      </c>
      <c r="CS69" s="1644" t="e">
        <f t="shared" si="31"/>
        <v>#VALUE!</v>
      </c>
      <c r="CT69" s="1644" t="e">
        <f t="shared" si="32"/>
        <v>#VALUE!</v>
      </c>
      <c r="CU69" s="505" t="e">
        <f t="shared" si="33"/>
        <v>#VALUE!</v>
      </c>
      <c r="CV69" s="1648" t="e">
        <f t="shared" si="34"/>
        <v>#VALUE!</v>
      </c>
      <c r="CW69" s="521" t="e">
        <f t="shared" si="81"/>
        <v>#VALUE!</v>
      </c>
      <c r="CX69" s="522" t="e">
        <f t="shared" si="36"/>
        <v>#VALUE!</v>
      </c>
      <c r="CZ69" s="1647" t="str">
        <f t="shared" si="62"/>
        <v>n/a</v>
      </c>
      <c r="DA69" s="1671">
        <v>59</v>
      </c>
      <c r="DB69" s="1644" t="e">
        <f t="shared" si="37"/>
        <v>#VALUE!</v>
      </c>
      <c r="DC69" s="1644" t="e">
        <f t="shared" si="82"/>
        <v>#VALUE!</v>
      </c>
      <c r="DD69" s="1644" t="e">
        <f t="shared" si="83"/>
        <v>#VALUE!</v>
      </c>
      <c r="DE69" s="1644" t="e">
        <f t="shared" si="40"/>
        <v>#VALUE!</v>
      </c>
      <c r="DF69" s="1644" t="e">
        <f t="shared" si="41"/>
        <v>#VALUE!</v>
      </c>
      <c r="DG69" s="1644" t="e">
        <f t="shared" si="42"/>
        <v>#VALUE!</v>
      </c>
      <c r="DH69" s="1644" t="e">
        <f t="shared" si="43"/>
        <v>#VALUE!</v>
      </c>
      <c r="DI69" s="1644" t="e">
        <f t="shared" si="44"/>
        <v>#VALUE!</v>
      </c>
      <c r="DJ69" s="505" t="e">
        <f t="shared" si="45"/>
        <v>#VALUE!</v>
      </c>
      <c r="DK69" s="1648" t="e">
        <f t="shared" si="46"/>
        <v>#VALUE!</v>
      </c>
      <c r="DL69" s="521" t="e">
        <f t="shared" si="84"/>
        <v>#VALUE!</v>
      </c>
      <c r="DM69" s="522" t="e">
        <f t="shared" si="48"/>
        <v>#VALUE!</v>
      </c>
      <c r="DN69" s="1672"/>
      <c r="DO69" s="1647" t="str">
        <f t="shared" si="63"/>
        <v>n/a</v>
      </c>
      <c r="DP69" s="1671">
        <v>59</v>
      </c>
      <c r="DQ69" s="1644" t="e">
        <f t="shared" si="49"/>
        <v>#VALUE!</v>
      </c>
      <c r="DR69" s="1644" t="e">
        <f t="shared" si="85"/>
        <v>#VALUE!</v>
      </c>
      <c r="DS69" s="1644" t="e">
        <f t="shared" si="86"/>
        <v>#VALUE!</v>
      </c>
      <c r="DT69" s="1644" t="e">
        <f t="shared" si="52"/>
        <v>#VALUE!</v>
      </c>
      <c r="DU69" s="1644" t="e">
        <f t="shared" si="53"/>
        <v>#VALUE!</v>
      </c>
      <c r="DV69" s="1644" t="e">
        <f t="shared" si="54"/>
        <v>#VALUE!</v>
      </c>
      <c r="DW69" s="1644" t="e">
        <f t="shared" si="55"/>
        <v>#VALUE!</v>
      </c>
      <c r="DX69" s="1644" t="e">
        <f t="shared" si="56"/>
        <v>#VALUE!</v>
      </c>
      <c r="DY69" s="505" t="e">
        <f t="shared" si="57"/>
        <v>#VALUE!</v>
      </c>
      <c r="DZ69" s="1648" t="e">
        <f t="shared" si="58"/>
        <v>#VALUE!</v>
      </c>
      <c r="EA69" s="521" t="e">
        <f t="shared" si="87"/>
        <v>#VALUE!</v>
      </c>
      <c r="EB69" s="522" t="e">
        <f t="shared" si="60"/>
        <v>#VALUE!</v>
      </c>
    </row>
    <row r="70" spans="2:132">
      <c r="B70" s="293"/>
      <c r="S70" s="294"/>
      <c r="T70" s="294"/>
      <c r="U70" s="294"/>
      <c r="BH70" s="1649">
        <f t="shared" si="61"/>
        <v>-10</v>
      </c>
      <c r="BI70" s="503">
        <v>100</v>
      </c>
      <c r="BJ70" s="1644">
        <f t="shared" si="64"/>
        <v>263.14999999999998</v>
      </c>
      <c r="BK70" s="1644">
        <f t="shared" si="65"/>
        <v>-17.718083021950097</v>
      </c>
      <c r="BL70" s="1644">
        <f t="shared" si="66"/>
        <v>23.278390988741467</v>
      </c>
      <c r="BM70" s="1644">
        <f t="shared" si="67"/>
        <v>0.25990286545070229</v>
      </c>
      <c r="BN70" s="1644">
        <f t="shared" si="68"/>
        <v>0.25990286545070229</v>
      </c>
      <c r="BO70" s="1644">
        <f t="shared" si="69"/>
        <v>1.5995075336227619E-3</v>
      </c>
      <c r="BP70" s="1644">
        <f t="shared" si="70"/>
        <v>1</v>
      </c>
      <c r="BQ70" s="1644">
        <f t="shared" si="71"/>
        <v>0.7475416430606957</v>
      </c>
      <c r="BR70" s="1648">
        <f t="shared" si="72"/>
        <v>-6.088502769391364</v>
      </c>
      <c r="BS70" s="521">
        <f t="shared" si="73"/>
        <v>-10</v>
      </c>
      <c r="BT70" s="522">
        <f t="shared" si="74"/>
        <v>1.5995075336227619E-3</v>
      </c>
      <c r="BV70" s="1647" t="str">
        <f t="shared" si="11"/>
        <v>n/a</v>
      </c>
      <c r="BW70" s="1671">
        <v>60</v>
      </c>
      <c r="BX70" s="1644" t="e">
        <f t="shared" si="12"/>
        <v>#VALUE!</v>
      </c>
      <c r="BY70" s="1644" t="e">
        <f t="shared" si="75"/>
        <v>#VALUE!</v>
      </c>
      <c r="BZ70" s="1644" t="e">
        <f t="shared" si="76"/>
        <v>#VALUE!</v>
      </c>
      <c r="CA70" s="1644" t="e">
        <f t="shared" si="15"/>
        <v>#VALUE!</v>
      </c>
      <c r="CB70" s="1644" t="e">
        <f t="shared" si="16"/>
        <v>#VALUE!</v>
      </c>
      <c r="CC70" s="1644" t="e">
        <f t="shared" si="17"/>
        <v>#VALUE!</v>
      </c>
      <c r="CD70" s="1644" t="e">
        <f t="shared" si="18"/>
        <v>#VALUE!</v>
      </c>
      <c r="CE70" s="1644" t="e">
        <f t="shared" si="19"/>
        <v>#VALUE!</v>
      </c>
      <c r="CF70" s="505" t="e">
        <f t="shared" si="20"/>
        <v>#VALUE!</v>
      </c>
      <c r="CG70" s="1648" t="e">
        <f t="shared" si="21"/>
        <v>#VALUE!</v>
      </c>
      <c r="CH70" s="521" t="e">
        <f t="shared" si="77"/>
        <v>#VALUE!</v>
      </c>
      <c r="CI70" s="522" t="e">
        <f t="shared" si="23"/>
        <v>#VALUE!</v>
      </c>
      <c r="CJ70" s="1672"/>
      <c r="CK70" s="1647" t="str">
        <f t="shared" si="78"/>
        <v>n/a</v>
      </c>
      <c r="CL70" s="1671">
        <v>60</v>
      </c>
      <c r="CM70" s="1644" t="e">
        <f t="shared" si="25"/>
        <v>#VALUE!</v>
      </c>
      <c r="CN70" s="1644" t="e">
        <f t="shared" si="79"/>
        <v>#VALUE!</v>
      </c>
      <c r="CO70" s="1644" t="e">
        <f t="shared" si="80"/>
        <v>#VALUE!</v>
      </c>
      <c r="CP70" s="1644" t="e">
        <f t="shared" si="28"/>
        <v>#VALUE!</v>
      </c>
      <c r="CQ70" s="1644" t="e">
        <f t="shared" si="29"/>
        <v>#VALUE!</v>
      </c>
      <c r="CR70" s="1644" t="e">
        <f t="shared" si="30"/>
        <v>#VALUE!</v>
      </c>
      <c r="CS70" s="1644" t="e">
        <f t="shared" si="31"/>
        <v>#VALUE!</v>
      </c>
      <c r="CT70" s="1644" t="e">
        <f t="shared" si="32"/>
        <v>#VALUE!</v>
      </c>
      <c r="CU70" s="505" t="e">
        <f t="shared" si="33"/>
        <v>#VALUE!</v>
      </c>
      <c r="CV70" s="1648" t="e">
        <f t="shared" si="34"/>
        <v>#VALUE!</v>
      </c>
      <c r="CW70" s="521" t="e">
        <f t="shared" si="81"/>
        <v>#VALUE!</v>
      </c>
      <c r="CX70" s="522" t="e">
        <f t="shared" si="36"/>
        <v>#VALUE!</v>
      </c>
      <c r="CZ70" s="1647" t="str">
        <f t="shared" si="62"/>
        <v>n/a</v>
      </c>
      <c r="DA70" s="1671">
        <v>60</v>
      </c>
      <c r="DB70" s="1644" t="e">
        <f t="shared" si="37"/>
        <v>#VALUE!</v>
      </c>
      <c r="DC70" s="1644" t="e">
        <f t="shared" si="82"/>
        <v>#VALUE!</v>
      </c>
      <c r="DD70" s="1644" t="e">
        <f t="shared" si="83"/>
        <v>#VALUE!</v>
      </c>
      <c r="DE70" s="1644" t="e">
        <f t="shared" si="40"/>
        <v>#VALUE!</v>
      </c>
      <c r="DF70" s="1644" t="e">
        <f t="shared" si="41"/>
        <v>#VALUE!</v>
      </c>
      <c r="DG70" s="1644" t="e">
        <f t="shared" si="42"/>
        <v>#VALUE!</v>
      </c>
      <c r="DH70" s="1644" t="e">
        <f t="shared" si="43"/>
        <v>#VALUE!</v>
      </c>
      <c r="DI70" s="1644" t="e">
        <f t="shared" si="44"/>
        <v>#VALUE!</v>
      </c>
      <c r="DJ70" s="505" t="e">
        <f t="shared" si="45"/>
        <v>#VALUE!</v>
      </c>
      <c r="DK70" s="1648" t="e">
        <f t="shared" si="46"/>
        <v>#VALUE!</v>
      </c>
      <c r="DL70" s="521" t="e">
        <f t="shared" si="84"/>
        <v>#VALUE!</v>
      </c>
      <c r="DM70" s="522" t="e">
        <f t="shared" si="48"/>
        <v>#VALUE!</v>
      </c>
      <c r="DN70" s="1672"/>
      <c r="DO70" s="1647" t="str">
        <f t="shared" si="63"/>
        <v>n/a</v>
      </c>
      <c r="DP70" s="1671">
        <v>60</v>
      </c>
      <c r="DQ70" s="1644" t="e">
        <f t="shared" si="49"/>
        <v>#VALUE!</v>
      </c>
      <c r="DR70" s="1644" t="e">
        <f t="shared" si="85"/>
        <v>#VALUE!</v>
      </c>
      <c r="DS70" s="1644" t="e">
        <f t="shared" si="86"/>
        <v>#VALUE!</v>
      </c>
      <c r="DT70" s="1644" t="e">
        <f t="shared" si="52"/>
        <v>#VALUE!</v>
      </c>
      <c r="DU70" s="1644" t="e">
        <f t="shared" si="53"/>
        <v>#VALUE!</v>
      </c>
      <c r="DV70" s="1644" t="e">
        <f t="shared" si="54"/>
        <v>#VALUE!</v>
      </c>
      <c r="DW70" s="1644" t="e">
        <f t="shared" si="55"/>
        <v>#VALUE!</v>
      </c>
      <c r="DX70" s="1644" t="e">
        <f t="shared" si="56"/>
        <v>#VALUE!</v>
      </c>
      <c r="DY70" s="505" t="e">
        <f t="shared" si="57"/>
        <v>#VALUE!</v>
      </c>
      <c r="DZ70" s="1648" t="e">
        <f t="shared" si="58"/>
        <v>#VALUE!</v>
      </c>
      <c r="EA70" s="521" t="e">
        <f t="shared" si="87"/>
        <v>#VALUE!</v>
      </c>
      <c r="EB70" s="522" t="e">
        <f t="shared" si="60"/>
        <v>#VALUE!</v>
      </c>
    </row>
    <row r="71" spans="2:132">
      <c r="B71" s="293"/>
      <c r="S71" s="294"/>
      <c r="T71" s="294"/>
      <c r="U71" s="294"/>
      <c r="BH71" s="1649">
        <f t="shared" si="61"/>
        <v>-9.5</v>
      </c>
      <c r="BI71" s="503">
        <v>100</v>
      </c>
      <c r="BJ71" s="1644">
        <f t="shared" si="64"/>
        <v>263.64999999999998</v>
      </c>
      <c r="BK71" s="1644">
        <f t="shared" si="65"/>
        <v>-17.682027038582849</v>
      </c>
      <c r="BL71" s="1644">
        <f t="shared" si="66"/>
        <v>23.286639507759212</v>
      </c>
      <c r="BM71" s="1644">
        <f t="shared" si="67"/>
        <v>0.27167662196638359</v>
      </c>
      <c r="BN71" s="1644">
        <f t="shared" si="68"/>
        <v>0.27167662196638359</v>
      </c>
      <c r="BO71" s="1644">
        <f t="shared" si="69"/>
        <v>1.6721609906733912E-3</v>
      </c>
      <c r="BP71" s="1644">
        <f t="shared" si="70"/>
        <v>1</v>
      </c>
      <c r="BQ71" s="1644">
        <f t="shared" si="71"/>
        <v>0.74904927830094969</v>
      </c>
      <c r="BR71" s="1648">
        <f t="shared" si="72"/>
        <v>-5.4035987429134211</v>
      </c>
      <c r="BS71" s="521">
        <f t="shared" si="73"/>
        <v>-9.5</v>
      </c>
      <c r="BT71" s="522">
        <f t="shared" si="74"/>
        <v>1.6721609906733912E-3</v>
      </c>
      <c r="BV71" s="1647" t="str">
        <f t="shared" si="11"/>
        <v>n/a</v>
      </c>
      <c r="BW71" s="1671">
        <v>61</v>
      </c>
      <c r="BX71" s="1644" t="e">
        <f t="shared" si="12"/>
        <v>#VALUE!</v>
      </c>
      <c r="BY71" s="1644" t="e">
        <f t="shared" si="75"/>
        <v>#VALUE!</v>
      </c>
      <c r="BZ71" s="1644" t="e">
        <f t="shared" si="76"/>
        <v>#VALUE!</v>
      </c>
      <c r="CA71" s="1644" t="e">
        <f t="shared" si="15"/>
        <v>#VALUE!</v>
      </c>
      <c r="CB71" s="1644" t="e">
        <f t="shared" si="16"/>
        <v>#VALUE!</v>
      </c>
      <c r="CC71" s="1644" t="e">
        <f t="shared" si="17"/>
        <v>#VALUE!</v>
      </c>
      <c r="CD71" s="1644" t="e">
        <f t="shared" si="18"/>
        <v>#VALUE!</v>
      </c>
      <c r="CE71" s="1644" t="e">
        <f t="shared" si="19"/>
        <v>#VALUE!</v>
      </c>
      <c r="CF71" s="505" t="e">
        <f t="shared" si="20"/>
        <v>#VALUE!</v>
      </c>
      <c r="CG71" s="1648" t="e">
        <f t="shared" si="21"/>
        <v>#VALUE!</v>
      </c>
      <c r="CH71" s="521" t="e">
        <f t="shared" si="77"/>
        <v>#VALUE!</v>
      </c>
      <c r="CI71" s="522" t="e">
        <f t="shared" si="23"/>
        <v>#VALUE!</v>
      </c>
      <c r="CJ71" s="1672"/>
      <c r="CK71" s="1647" t="str">
        <f t="shared" si="78"/>
        <v>n/a</v>
      </c>
      <c r="CL71" s="1671">
        <v>61</v>
      </c>
      <c r="CM71" s="1644" t="e">
        <f t="shared" si="25"/>
        <v>#VALUE!</v>
      </c>
      <c r="CN71" s="1644" t="e">
        <f t="shared" si="79"/>
        <v>#VALUE!</v>
      </c>
      <c r="CO71" s="1644" t="e">
        <f t="shared" si="80"/>
        <v>#VALUE!</v>
      </c>
      <c r="CP71" s="1644" t="e">
        <f t="shared" si="28"/>
        <v>#VALUE!</v>
      </c>
      <c r="CQ71" s="1644" t="e">
        <f t="shared" si="29"/>
        <v>#VALUE!</v>
      </c>
      <c r="CR71" s="1644" t="e">
        <f t="shared" si="30"/>
        <v>#VALUE!</v>
      </c>
      <c r="CS71" s="1644" t="e">
        <f t="shared" si="31"/>
        <v>#VALUE!</v>
      </c>
      <c r="CT71" s="1644" t="e">
        <f t="shared" si="32"/>
        <v>#VALUE!</v>
      </c>
      <c r="CU71" s="505" t="e">
        <f t="shared" si="33"/>
        <v>#VALUE!</v>
      </c>
      <c r="CV71" s="1648" t="e">
        <f t="shared" si="34"/>
        <v>#VALUE!</v>
      </c>
      <c r="CW71" s="521" t="e">
        <f t="shared" si="81"/>
        <v>#VALUE!</v>
      </c>
      <c r="CX71" s="522" t="e">
        <f t="shared" si="36"/>
        <v>#VALUE!</v>
      </c>
      <c r="CZ71" s="1647" t="str">
        <f t="shared" si="62"/>
        <v>n/a</v>
      </c>
      <c r="DA71" s="1671">
        <v>61</v>
      </c>
      <c r="DB71" s="1644" t="e">
        <f t="shared" si="37"/>
        <v>#VALUE!</v>
      </c>
      <c r="DC71" s="1644" t="e">
        <f t="shared" si="82"/>
        <v>#VALUE!</v>
      </c>
      <c r="DD71" s="1644" t="e">
        <f t="shared" si="83"/>
        <v>#VALUE!</v>
      </c>
      <c r="DE71" s="1644" t="e">
        <f t="shared" si="40"/>
        <v>#VALUE!</v>
      </c>
      <c r="DF71" s="1644" t="e">
        <f t="shared" si="41"/>
        <v>#VALUE!</v>
      </c>
      <c r="DG71" s="1644" t="e">
        <f t="shared" si="42"/>
        <v>#VALUE!</v>
      </c>
      <c r="DH71" s="1644" t="e">
        <f t="shared" si="43"/>
        <v>#VALUE!</v>
      </c>
      <c r="DI71" s="1644" t="e">
        <f t="shared" si="44"/>
        <v>#VALUE!</v>
      </c>
      <c r="DJ71" s="505" t="e">
        <f t="shared" si="45"/>
        <v>#VALUE!</v>
      </c>
      <c r="DK71" s="1648" t="e">
        <f t="shared" si="46"/>
        <v>#VALUE!</v>
      </c>
      <c r="DL71" s="521" t="e">
        <f t="shared" si="84"/>
        <v>#VALUE!</v>
      </c>
      <c r="DM71" s="522" t="e">
        <f t="shared" si="48"/>
        <v>#VALUE!</v>
      </c>
      <c r="DN71" s="1672"/>
      <c r="DO71" s="1647" t="str">
        <f t="shared" si="63"/>
        <v>n/a</v>
      </c>
      <c r="DP71" s="1671">
        <v>61</v>
      </c>
      <c r="DQ71" s="1644" t="e">
        <f t="shared" si="49"/>
        <v>#VALUE!</v>
      </c>
      <c r="DR71" s="1644" t="e">
        <f t="shared" si="85"/>
        <v>#VALUE!</v>
      </c>
      <c r="DS71" s="1644" t="e">
        <f t="shared" si="86"/>
        <v>#VALUE!</v>
      </c>
      <c r="DT71" s="1644" t="e">
        <f t="shared" si="52"/>
        <v>#VALUE!</v>
      </c>
      <c r="DU71" s="1644" t="e">
        <f t="shared" si="53"/>
        <v>#VALUE!</v>
      </c>
      <c r="DV71" s="1644" t="e">
        <f t="shared" si="54"/>
        <v>#VALUE!</v>
      </c>
      <c r="DW71" s="1644" t="e">
        <f t="shared" si="55"/>
        <v>#VALUE!</v>
      </c>
      <c r="DX71" s="1644" t="e">
        <f t="shared" si="56"/>
        <v>#VALUE!</v>
      </c>
      <c r="DY71" s="505" t="e">
        <f t="shared" si="57"/>
        <v>#VALUE!</v>
      </c>
      <c r="DZ71" s="1648" t="e">
        <f t="shared" si="58"/>
        <v>#VALUE!</v>
      </c>
      <c r="EA71" s="521" t="e">
        <f t="shared" si="87"/>
        <v>#VALUE!</v>
      </c>
      <c r="EB71" s="522" t="e">
        <f t="shared" si="60"/>
        <v>#VALUE!</v>
      </c>
    </row>
    <row r="72" spans="2:132">
      <c r="B72" s="293"/>
      <c r="S72" s="294"/>
      <c r="T72" s="294"/>
      <c r="U72" s="294"/>
      <c r="BH72" s="1649">
        <f t="shared" si="61"/>
        <v>-9</v>
      </c>
      <c r="BI72" s="503">
        <v>100</v>
      </c>
      <c r="BJ72" s="1644">
        <f t="shared" si="64"/>
        <v>264.14999999999998</v>
      </c>
      <c r="BK72" s="1644">
        <f t="shared" si="65"/>
        <v>-17.646125872194087</v>
      </c>
      <c r="BL72" s="1644">
        <f t="shared" si="66"/>
        <v>23.294873986392954</v>
      </c>
      <c r="BM72" s="1644">
        <f t="shared" si="67"/>
        <v>0.283935788054899</v>
      </c>
      <c r="BN72" s="1644">
        <f t="shared" si="68"/>
        <v>0.283935788054899</v>
      </c>
      <c r="BO72" s="1644">
        <f t="shared" si="69"/>
        <v>1.7478278047818512E-3</v>
      </c>
      <c r="BP72" s="1644">
        <f t="shared" si="70"/>
        <v>1</v>
      </c>
      <c r="BQ72" s="1644">
        <f t="shared" si="71"/>
        <v>0.7505608707074034</v>
      </c>
      <c r="BR72" s="1648">
        <f t="shared" si="72"/>
        <v>-4.7110761229292715</v>
      </c>
      <c r="BS72" s="521">
        <f t="shared" si="73"/>
        <v>-9</v>
      </c>
      <c r="BT72" s="522">
        <f t="shared" si="74"/>
        <v>1.7478278047818512E-3</v>
      </c>
      <c r="BV72" s="1647" t="str">
        <f t="shared" si="11"/>
        <v>n/a</v>
      </c>
      <c r="BW72" s="1671">
        <v>62</v>
      </c>
      <c r="BX72" s="1644" t="e">
        <f t="shared" si="12"/>
        <v>#VALUE!</v>
      </c>
      <c r="BY72" s="1644" t="e">
        <f t="shared" si="75"/>
        <v>#VALUE!</v>
      </c>
      <c r="BZ72" s="1644" t="e">
        <f t="shared" si="76"/>
        <v>#VALUE!</v>
      </c>
      <c r="CA72" s="1644" t="e">
        <f t="shared" si="15"/>
        <v>#VALUE!</v>
      </c>
      <c r="CB72" s="1644" t="e">
        <f t="shared" si="16"/>
        <v>#VALUE!</v>
      </c>
      <c r="CC72" s="1644" t="e">
        <f t="shared" si="17"/>
        <v>#VALUE!</v>
      </c>
      <c r="CD72" s="1644" t="e">
        <f t="shared" si="18"/>
        <v>#VALUE!</v>
      </c>
      <c r="CE72" s="1644" t="e">
        <f t="shared" si="19"/>
        <v>#VALUE!</v>
      </c>
      <c r="CF72" s="505" t="e">
        <f t="shared" si="20"/>
        <v>#VALUE!</v>
      </c>
      <c r="CG72" s="1648" t="e">
        <f t="shared" si="21"/>
        <v>#VALUE!</v>
      </c>
      <c r="CH72" s="521" t="e">
        <f t="shared" si="77"/>
        <v>#VALUE!</v>
      </c>
      <c r="CI72" s="522" t="e">
        <f t="shared" si="23"/>
        <v>#VALUE!</v>
      </c>
      <c r="CJ72" s="1672"/>
      <c r="CK72" s="1647" t="str">
        <f t="shared" si="78"/>
        <v>n/a</v>
      </c>
      <c r="CL72" s="1671">
        <v>62</v>
      </c>
      <c r="CM72" s="1644" t="e">
        <f t="shared" si="25"/>
        <v>#VALUE!</v>
      </c>
      <c r="CN72" s="1644" t="e">
        <f t="shared" si="79"/>
        <v>#VALUE!</v>
      </c>
      <c r="CO72" s="1644" t="e">
        <f t="shared" si="80"/>
        <v>#VALUE!</v>
      </c>
      <c r="CP72" s="1644" t="e">
        <f t="shared" si="28"/>
        <v>#VALUE!</v>
      </c>
      <c r="CQ72" s="1644" t="e">
        <f t="shared" si="29"/>
        <v>#VALUE!</v>
      </c>
      <c r="CR72" s="1644" t="e">
        <f t="shared" si="30"/>
        <v>#VALUE!</v>
      </c>
      <c r="CS72" s="1644" t="e">
        <f t="shared" si="31"/>
        <v>#VALUE!</v>
      </c>
      <c r="CT72" s="1644" t="e">
        <f t="shared" si="32"/>
        <v>#VALUE!</v>
      </c>
      <c r="CU72" s="505" t="e">
        <f t="shared" si="33"/>
        <v>#VALUE!</v>
      </c>
      <c r="CV72" s="1648" t="e">
        <f t="shared" si="34"/>
        <v>#VALUE!</v>
      </c>
      <c r="CW72" s="521" t="e">
        <f t="shared" si="81"/>
        <v>#VALUE!</v>
      </c>
      <c r="CX72" s="522" t="e">
        <f t="shared" si="36"/>
        <v>#VALUE!</v>
      </c>
      <c r="CZ72" s="1647" t="str">
        <f t="shared" si="62"/>
        <v>n/a</v>
      </c>
      <c r="DA72" s="1671">
        <v>62</v>
      </c>
      <c r="DB72" s="1644" t="e">
        <f t="shared" si="37"/>
        <v>#VALUE!</v>
      </c>
      <c r="DC72" s="1644" t="e">
        <f t="shared" si="82"/>
        <v>#VALUE!</v>
      </c>
      <c r="DD72" s="1644" t="e">
        <f t="shared" si="83"/>
        <v>#VALUE!</v>
      </c>
      <c r="DE72" s="1644" t="e">
        <f t="shared" si="40"/>
        <v>#VALUE!</v>
      </c>
      <c r="DF72" s="1644" t="e">
        <f t="shared" si="41"/>
        <v>#VALUE!</v>
      </c>
      <c r="DG72" s="1644" t="e">
        <f t="shared" si="42"/>
        <v>#VALUE!</v>
      </c>
      <c r="DH72" s="1644" t="e">
        <f t="shared" si="43"/>
        <v>#VALUE!</v>
      </c>
      <c r="DI72" s="1644" t="e">
        <f t="shared" si="44"/>
        <v>#VALUE!</v>
      </c>
      <c r="DJ72" s="505" t="e">
        <f t="shared" si="45"/>
        <v>#VALUE!</v>
      </c>
      <c r="DK72" s="1648" t="e">
        <f t="shared" si="46"/>
        <v>#VALUE!</v>
      </c>
      <c r="DL72" s="521" t="e">
        <f t="shared" si="84"/>
        <v>#VALUE!</v>
      </c>
      <c r="DM72" s="522" t="e">
        <f t="shared" si="48"/>
        <v>#VALUE!</v>
      </c>
      <c r="DN72" s="1672"/>
      <c r="DO72" s="1647" t="str">
        <f t="shared" si="63"/>
        <v>n/a</v>
      </c>
      <c r="DP72" s="1671">
        <v>62</v>
      </c>
      <c r="DQ72" s="1644" t="e">
        <f t="shared" si="49"/>
        <v>#VALUE!</v>
      </c>
      <c r="DR72" s="1644" t="e">
        <f t="shared" si="85"/>
        <v>#VALUE!</v>
      </c>
      <c r="DS72" s="1644" t="e">
        <f t="shared" si="86"/>
        <v>#VALUE!</v>
      </c>
      <c r="DT72" s="1644" t="e">
        <f t="shared" si="52"/>
        <v>#VALUE!</v>
      </c>
      <c r="DU72" s="1644" t="e">
        <f t="shared" si="53"/>
        <v>#VALUE!</v>
      </c>
      <c r="DV72" s="1644" t="e">
        <f t="shared" si="54"/>
        <v>#VALUE!</v>
      </c>
      <c r="DW72" s="1644" t="e">
        <f t="shared" si="55"/>
        <v>#VALUE!</v>
      </c>
      <c r="DX72" s="1644" t="e">
        <f t="shared" si="56"/>
        <v>#VALUE!</v>
      </c>
      <c r="DY72" s="505" t="e">
        <f t="shared" si="57"/>
        <v>#VALUE!</v>
      </c>
      <c r="DZ72" s="1648" t="e">
        <f t="shared" si="58"/>
        <v>#VALUE!</v>
      </c>
      <c r="EA72" s="521" t="e">
        <f t="shared" si="87"/>
        <v>#VALUE!</v>
      </c>
      <c r="EB72" s="522" t="e">
        <f t="shared" si="60"/>
        <v>#VALUE!</v>
      </c>
    </row>
    <row r="73" spans="2:132">
      <c r="B73" s="293"/>
      <c r="S73" s="294"/>
      <c r="T73" s="294"/>
      <c r="U73" s="294"/>
      <c r="BH73" s="1649">
        <f t="shared" si="61"/>
        <v>-8.5</v>
      </c>
      <c r="BI73" s="503">
        <v>100</v>
      </c>
      <c r="BJ73" s="1644">
        <f t="shared" si="64"/>
        <v>264.64999999999998</v>
      </c>
      <c r="BK73" s="1644">
        <f t="shared" si="65"/>
        <v>-17.610378645302355</v>
      </c>
      <c r="BL73" s="1644">
        <f t="shared" si="66"/>
        <v>23.303094482082678</v>
      </c>
      <c r="BM73" s="1644">
        <f t="shared" si="67"/>
        <v>0.29669831162857224</v>
      </c>
      <c r="BN73" s="1644">
        <f t="shared" si="68"/>
        <v>0.29669831162857224</v>
      </c>
      <c r="BO73" s="1644">
        <f t="shared" si="69"/>
        <v>1.8266209842462426E-3</v>
      </c>
      <c r="BP73" s="1644">
        <f t="shared" si="70"/>
        <v>1</v>
      </c>
      <c r="BQ73" s="1644">
        <f t="shared" si="71"/>
        <v>0.75207657711989406</v>
      </c>
      <c r="BR73" s="1648">
        <f t="shared" si="72"/>
        <v>-4.0106458508509455</v>
      </c>
      <c r="BS73" s="521">
        <f t="shared" si="73"/>
        <v>-8.5</v>
      </c>
      <c r="BT73" s="522">
        <f t="shared" si="74"/>
        <v>1.8266209842462426E-3</v>
      </c>
      <c r="BV73" s="1647" t="str">
        <f t="shared" si="11"/>
        <v>n/a</v>
      </c>
      <c r="BW73" s="1671">
        <v>63</v>
      </c>
      <c r="BX73" s="1644" t="e">
        <f t="shared" si="12"/>
        <v>#VALUE!</v>
      </c>
      <c r="BY73" s="1644" t="e">
        <f t="shared" si="75"/>
        <v>#VALUE!</v>
      </c>
      <c r="BZ73" s="1644" t="e">
        <f t="shared" si="76"/>
        <v>#VALUE!</v>
      </c>
      <c r="CA73" s="1644" t="e">
        <f t="shared" si="15"/>
        <v>#VALUE!</v>
      </c>
      <c r="CB73" s="1644" t="e">
        <f t="shared" si="16"/>
        <v>#VALUE!</v>
      </c>
      <c r="CC73" s="1644" t="e">
        <f t="shared" si="17"/>
        <v>#VALUE!</v>
      </c>
      <c r="CD73" s="1644" t="e">
        <f t="shared" si="18"/>
        <v>#VALUE!</v>
      </c>
      <c r="CE73" s="1644" t="e">
        <f t="shared" si="19"/>
        <v>#VALUE!</v>
      </c>
      <c r="CF73" s="505" t="e">
        <f t="shared" si="20"/>
        <v>#VALUE!</v>
      </c>
      <c r="CG73" s="1648" t="e">
        <f t="shared" si="21"/>
        <v>#VALUE!</v>
      </c>
      <c r="CH73" s="521" t="e">
        <f t="shared" si="77"/>
        <v>#VALUE!</v>
      </c>
      <c r="CI73" s="522" t="e">
        <f t="shared" si="23"/>
        <v>#VALUE!</v>
      </c>
      <c r="CJ73" s="1672"/>
      <c r="CK73" s="1647" t="str">
        <f t="shared" si="78"/>
        <v>n/a</v>
      </c>
      <c r="CL73" s="1671">
        <v>63</v>
      </c>
      <c r="CM73" s="1644" t="e">
        <f t="shared" si="25"/>
        <v>#VALUE!</v>
      </c>
      <c r="CN73" s="1644" t="e">
        <f t="shared" si="79"/>
        <v>#VALUE!</v>
      </c>
      <c r="CO73" s="1644" t="e">
        <f t="shared" si="80"/>
        <v>#VALUE!</v>
      </c>
      <c r="CP73" s="1644" t="e">
        <f t="shared" si="28"/>
        <v>#VALUE!</v>
      </c>
      <c r="CQ73" s="1644" t="e">
        <f t="shared" si="29"/>
        <v>#VALUE!</v>
      </c>
      <c r="CR73" s="1644" t="e">
        <f t="shared" si="30"/>
        <v>#VALUE!</v>
      </c>
      <c r="CS73" s="1644" t="e">
        <f t="shared" si="31"/>
        <v>#VALUE!</v>
      </c>
      <c r="CT73" s="1644" t="e">
        <f t="shared" si="32"/>
        <v>#VALUE!</v>
      </c>
      <c r="CU73" s="505" t="e">
        <f t="shared" si="33"/>
        <v>#VALUE!</v>
      </c>
      <c r="CV73" s="1648" t="e">
        <f t="shared" si="34"/>
        <v>#VALUE!</v>
      </c>
      <c r="CW73" s="521" t="e">
        <f t="shared" si="81"/>
        <v>#VALUE!</v>
      </c>
      <c r="CX73" s="522" t="e">
        <f t="shared" si="36"/>
        <v>#VALUE!</v>
      </c>
      <c r="CZ73" s="1647" t="str">
        <f t="shared" si="62"/>
        <v>n/a</v>
      </c>
      <c r="DA73" s="1671">
        <v>63</v>
      </c>
      <c r="DB73" s="1644" t="e">
        <f t="shared" si="37"/>
        <v>#VALUE!</v>
      </c>
      <c r="DC73" s="1644" t="e">
        <f t="shared" si="82"/>
        <v>#VALUE!</v>
      </c>
      <c r="DD73" s="1644" t="e">
        <f t="shared" si="83"/>
        <v>#VALUE!</v>
      </c>
      <c r="DE73" s="1644" t="e">
        <f t="shared" si="40"/>
        <v>#VALUE!</v>
      </c>
      <c r="DF73" s="1644" t="e">
        <f t="shared" si="41"/>
        <v>#VALUE!</v>
      </c>
      <c r="DG73" s="1644" t="e">
        <f t="shared" si="42"/>
        <v>#VALUE!</v>
      </c>
      <c r="DH73" s="1644" t="e">
        <f t="shared" si="43"/>
        <v>#VALUE!</v>
      </c>
      <c r="DI73" s="1644" t="e">
        <f t="shared" si="44"/>
        <v>#VALUE!</v>
      </c>
      <c r="DJ73" s="505" t="e">
        <f t="shared" si="45"/>
        <v>#VALUE!</v>
      </c>
      <c r="DK73" s="1648" t="e">
        <f t="shared" si="46"/>
        <v>#VALUE!</v>
      </c>
      <c r="DL73" s="521" t="e">
        <f t="shared" si="84"/>
        <v>#VALUE!</v>
      </c>
      <c r="DM73" s="522" t="e">
        <f t="shared" si="48"/>
        <v>#VALUE!</v>
      </c>
      <c r="DN73" s="1672"/>
      <c r="DO73" s="1647" t="str">
        <f t="shared" si="63"/>
        <v>n/a</v>
      </c>
      <c r="DP73" s="1671">
        <v>63</v>
      </c>
      <c r="DQ73" s="1644" t="e">
        <f t="shared" si="49"/>
        <v>#VALUE!</v>
      </c>
      <c r="DR73" s="1644" t="e">
        <f t="shared" si="85"/>
        <v>#VALUE!</v>
      </c>
      <c r="DS73" s="1644" t="e">
        <f t="shared" si="86"/>
        <v>#VALUE!</v>
      </c>
      <c r="DT73" s="1644" t="e">
        <f t="shared" si="52"/>
        <v>#VALUE!</v>
      </c>
      <c r="DU73" s="1644" t="e">
        <f t="shared" si="53"/>
        <v>#VALUE!</v>
      </c>
      <c r="DV73" s="1644" t="e">
        <f t="shared" si="54"/>
        <v>#VALUE!</v>
      </c>
      <c r="DW73" s="1644" t="e">
        <f t="shared" si="55"/>
        <v>#VALUE!</v>
      </c>
      <c r="DX73" s="1644" t="e">
        <f t="shared" si="56"/>
        <v>#VALUE!</v>
      </c>
      <c r="DY73" s="505" t="e">
        <f t="shared" si="57"/>
        <v>#VALUE!</v>
      </c>
      <c r="DZ73" s="1648" t="e">
        <f t="shared" si="58"/>
        <v>#VALUE!</v>
      </c>
      <c r="EA73" s="521" t="e">
        <f t="shared" si="87"/>
        <v>#VALUE!</v>
      </c>
      <c r="EB73" s="522" t="e">
        <f t="shared" si="60"/>
        <v>#VALUE!</v>
      </c>
    </row>
    <row r="74" spans="2:132" ht="12.75" customHeight="1">
      <c r="B74" s="293"/>
      <c r="S74" s="164"/>
      <c r="T74" s="164"/>
      <c r="U74" s="164"/>
      <c r="BH74" s="1649">
        <f t="shared" si="61"/>
        <v>-8</v>
      </c>
      <c r="BI74" s="503">
        <v>100</v>
      </c>
      <c r="BJ74" s="1644">
        <f t="shared" ref="BJ74:BJ105" si="88">273.15+BH74</f>
        <v>265.14999999999998</v>
      </c>
      <c r="BK74" s="1644">
        <f t="shared" ref="BK74:BK105" si="89">IF(BJ74&lt;273.16,-5674.5359/BJ74+6.3925247-0.009677843*BJ74,-5800.2206/BJ74+1.3914993-0.048640239*BJ74)</f>
        <v>-17.574784487044948</v>
      </c>
      <c r="BL74" s="1644">
        <f t="shared" ref="BL74:BL105" si="90">IF(BJ74&lt;273.16,0.00000062215701*POWER(BJ74,2)+0.0000000020747825*POWER(BJ74,3)-0.000000000000948402*POWER(BJ74,4)+4.1635019*LN(BJ74),0.000041764768*POWER(BJ74,2)-0.000000014452093*POWER(BJ74,3)+6.5459673*LN(BJ74))</f>
        <v>23.311301051946234</v>
      </c>
      <c r="BM74" s="1644">
        <f t="shared" ref="BM74:BM105" si="91">EXP(BK74+BL74)/1000</f>
        <v>0.30998272338228899</v>
      </c>
      <c r="BN74" s="1644">
        <f t="shared" ref="BN74:BN105" si="92">BI74/100*BM74</f>
        <v>0.30998272338228899</v>
      </c>
      <c r="BO74" s="1644">
        <f t="shared" ref="BO74:BO105" si="93">0.62198*(BM74/($G$3-BM74))</f>
        <v>1.9086573411292666E-3</v>
      </c>
      <c r="BP74" s="1644">
        <f t="shared" ref="BP74:BP105" si="94">BT74/BO74</f>
        <v>1</v>
      </c>
      <c r="BQ74" s="1644">
        <f t="shared" ref="BQ74:BQ105" si="95">0.2871*(BH74+273.15)*(1+1.6078*BT74)/$G$3</f>
        <v>0.75359656000257291</v>
      </c>
      <c r="BR74" s="1648">
        <f t="shared" ref="BR74:BR105" si="96">IF(BH74+BI74&gt;0,(1.006*BH74+BT74*(2501+1.805*BH74)),0)</f>
        <v>-3.3020090018416113</v>
      </c>
      <c r="BS74" s="521">
        <f t="shared" ref="BS74:BS105" si="97">IF(BH74+BI74&gt;0,BH74,0)</f>
        <v>-8</v>
      </c>
      <c r="BT74" s="522">
        <f t="shared" ref="BT74:BT105" si="98">IF(BH74+BI74&gt;0,0.62198*(BN74/($G$3-BN74)),0)</f>
        <v>1.9086573411292666E-3</v>
      </c>
      <c r="BV74" s="1647" t="str">
        <f t="shared" si="11"/>
        <v>n/a</v>
      </c>
      <c r="BW74" s="1671">
        <v>64</v>
      </c>
      <c r="BX74" s="1644" t="e">
        <f t="shared" si="12"/>
        <v>#VALUE!</v>
      </c>
      <c r="BY74" s="1644" t="e">
        <f t="shared" si="75"/>
        <v>#VALUE!</v>
      </c>
      <c r="BZ74" s="1644" t="e">
        <f t="shared" si="76"/>
        <v>#VALUE!</v>
      </c>
      <c r="CA74" s="1644" t="e">
        <f t="shared" si="15"/>
        <v>#VALUE!</v>
      </c>
      <c r="CB74" s="1644" t="e">
        <f t="shared" si="16"/>
        <v>#VALUE!</v>
      </c>
      <c r="CC74" s="1644" t="e">
        <f t="shared" si="17"/>
        <v>#VALUE!</v>
      </c>
      <c r="CD74" s="1644" t="e">
        <f t="shared" si="18"/>
        <v>#VALUE!</v>
      </c>
      <c r="CE74" s="1644" t="e">
        <f t="shared" si="19"/>
        <v>#VALUE!</v>
      </c>
      <c r="CF74" s="505" t="e">
        <f t="shared" si="20"/>
        <v>#VALUE!</v>
      </c>
      <c r="CG74" s="1648" t="e">
        <f t="shared" si="21"/>
        <v>#VALUE!</v>
      </c>
      <c r="CH74" s="521" t="e">
        <f t="shared" si="77"/>
        <v>#VALUE!</v>
      </c>
      <c r="CI74" s="522" t="e">
        <f t="shared" si="23"/>
        <v>#VALUE!</v>
      </c>
      <c r="CJ74" s="1672"/>
      <c r="CK74" s="1647" t="str">
        <f t="shared" si="78"/>
        <v>n/a</v>
      </c>
      <c r="CL74" s="1671">
        <v>64</v>
      </c>
      <c r="CM74" s="1644" t="e">
        <f t="shared" si="25"/>
        <v>#VALUE!</v>
      </c>
      <c r="CN74" s="1644" t="e">
        <f t="shared" si="79"/>
        <v>#VALUE!</v>
      </c>
      <c r="CO74" s="1644" t="e">
        <f t="shared" si="80"/>
        <v>#VALUE!</v>
      </c>
      <c r="CP74" s="1644" t="e">
        <f t="shared" si="28"/>
        <v>#VALUE!</v>
      </c>
      <c r="CQ74" s="1644" t="e">
        <f t="shared" si="29"/>
        <v>#VALUE!</v>
      </c>
      <c r="CR74" s="1644" t="e">
        <f t="shared" ref="CR74:CR110" si="99">0.62198*(CP74/($G$3-CP74))</f>
        <v>#VALUE!</v>
      </c>
      <c r="CS74" s="1644" t="e">
        <f t="shared" si="31"/>
        <v>#VALUE!</v>
      </c>
      <c r="CT74" s="1644" t="e">
        <f t="shared" ref="CT74:CT110" si="100">0.2871*(CK74+273.15)*(1+1.6078*CX74)/$G$3</f>
        <v>#VALUE!</v>
      </c>
      <c r="CU74" s="505" t="e">
        <f t="shared" si="33"/>
        <v>#VALUE!</v>
      </c>
      <c r="CV74" s="1648" t="e">
        <f t="shared" si="34"/>
        <v>#VALUE!</v>
      </c>
      <c r="CW74" s="521" t="e">
        <f t="shared" si="81"/>
        <v>#VALUE!</v>
      </c>
      <c r="CX74" s="522" t="e">
        <f t="shared" ref="CX74:CX110" si="101">IF(CK74+CL74&gt;0,0.62198*(CQ74/($G$3-CQ74)),0)</f>
        <v>#VALUE!</v>
      </c>
      <c r="CZ74" s="1647" t="str">
        <f t="shared" si="62"/>
        <v>n/a</v>
      </c>
      <c r="DA74" s="1671">
        <v>64</v>
      </c>
      <c r="DB74" s="1644" t="e">
        <f t="shared" si="37"/>
        <v>#VALUE!</v>
      </c>
      <c r="DC74" s="1644" t="e">
        <f t="shared" si="82"/>
        <v>#VALUE!</v>
      </c>
      <c r="DD74" s="1644" t="e">
        <f t="shared" si="83"/>
        <v>#VALUE!</v>
      </c>
      <c r="DE74" s="1644" t="e">
        <f t="shared" si="40"/>
        <v>#VALUE!</v>
      </c>
      <c r="DF74" s="1644" t="e">
        <f t="shared" si="41"/>
        <v>#VALUE!</v>
      </c>
      <c r="DG74" s="1644" t="e">
        <f t="shared" si="42"/>
        <v>#VALUE!</v>
      </c>
      <c r="DH74" s="1644" t="e">
        <f t="shared" si="43"/>
        <v>#VALUE!</v>
      </c>
      <c r="DI74" s="1644" t="e">
        <f t="shared" si="44"/>
        <v>#VALUE!</v>
      </c>
      <c r="DJ74" s="505" t="e">
        <f t="shared" si="45"/>
        <v>#VALUE!</v>
      </c>
      <c r="DK74" s="1648" t="e">
        <f t="shared" si="46"/>
        <v>#VALUE!</v>
      </c>
      <c r="DL74" s="521" t="e">
        <f t="shared" si="84"/>
        <v>#VALUE!</v>
      </c>
      <c r="DM74" s="522" t="e">
        <f t="shared" si="48"/>
        <v>#VALUE!</v>
      </c>
      <c r="DN74" s="1672"/>
      <c r="DO74" s="1647" t="str">
        <f t="shared" si="63"/>
        <v>n/a</v>
      </c>
      <c r="DP74" s="1671">
        <v>64</v>
      </c>
      <c r="DQ74" s="1644" t="e">
        <f t="shared" si="49"/>
        <v>#VALUE!</v>
      </c>
      <c r="DR74" s="1644" t="e">
        <f t="shared" si="85"/>
        <v>#VALUE!</v>
      </c>
      <c r="DS74" s="1644" t="e">
        <f t="shared" si="86"/>
        <v>#VALUE!</v>
      </c>
      <c r="DT74" s="1644" t="e">
        <f t="shared" si="52"/>
        <v>#VALUE!</v>
      </c>
      <c r="DU74" s="1644" t="e">
        <f t="shared" si="53"/>
        <v>#VALUE!</v>
      </c>
      <c r="DV74" s="1644" t="e">
        <f t="shared" si="54"/>
        <v>#VALUE!</v>
      </c>
      <c r="DW74" s="1644" t="e">
        <f t="shared" si="55"/>
        <v>#VALUE!</v>
      </c>
      <c r="DX74" s="1644" t="e">
        <f t="shared" si="56"/>
        <v>#VALUE!</v>
      </c>
      <c r="DY74" s="505" t="e">
        <f t="shared" si="57"/>
        <v>#VALUE!</v>
      </c>
      <c r="DZ74" s="1648" t="e">
        <f t="shared" si="58"/>
        <v>#VALUE!</v>
      </c>
      <c r="EA74" s="521" t="e">
        <f t="shared" si="87"/>
        <v>#VALUE!</v>
      </c>
      <c r="EB74" s="522" t="e">
        <f t="shared" si="60"/>
        <v>#VALUE!</v>
      </c>
    </row>
    <row r="75" spans="2:132" ht="12.75" customHeight="1">
      <c r="B75" s="293"/>
      <c r="AD75" s="294"/>
      <c r="BH75" s="1649">
        <f t="shared" si="61"/>
        <v>-7.5</v>
      </c>
      <c r="BI75" s="503">
        <v>100</v>
      </c>
      <c r="BJ75" s="1644">
        <f t="shared" si="88"/>
        <v>265.64999999999998</v>
      </c>
      <c r="BK75" s="1644">
        <f t="shared" si="89"/>
        <v>-17.539342533115633</v>
      </c>
      <c r="BL75" s="1644">
        <f t="shared" si="90"/>
        <v>23.319493752781799</v>
      </c>
      <c r="BM75" s="1644">
        <f t="shared" si="91"/>
        <v>0.32380815287588594</v>
      </c>
      <c r="BN75" s="1644">
        <f t="shared" si="92"/>
        <v>0.32380815287588594</v>
      </c>
      <c r="BO75" s="1644">
        <f t="shared" si="93"/>
        <v>1.994057607068507E-3</v>
      </c>
      <c r="BP75" s="1644">
        <f t="shared" si="94"/>
        <v>1</v>
      </c>
      <c r="BQ75" s="1644">
        <f t="shared" si="95"/>
        <v>0.75512098762737911</v>
      </c>
      <c r="BR75" s="1648">
        <f t="shared" si="96"/>
        <v>-2.5848564795773532</v>
      </c>
      <c r="BS75" s="521">
        <f t="shared" si="97"/>
        <v>-7.5</v>
      </c>
      <c r="BT75" s="522">
        <f t="shared" si="98"/>
        <v>1.994057607068507E-3</v>
      </c>
      <c r="BV75" s="1647" t="str">
        <f t="shared" ref="BV75:BV110" si="102">$X$14</f>
        <v>n/a</v>
      </c>
      <c r="BW75" s="1671">
        <v>65</v>
      </c>
      <c r="BX75" s="1644" t="e">
        <f t="shared" ref="BX75:BX110" si="103">273.15+BV75</f>
        <v>#VALUE!</v>
      </c>
      <c r="BY75" s="1644" t="e">
        <f t="shared" ref="BY75:BY106" si="104">IF(BX75&lt;273.16,-5674.5359/BX75+6.3925247-0.009677843*BX75,-5800.2206/BX75+1.3914993-0.048640239*BX75)</f>
        <v>#VALUE!</v>
      </c>
      <c r="BZ75" s="1644" t="e">
        <f t="shared" ref="BZ75:BZ110" si="105">IF(BX75&lt;273.16,0.00000062215701*POWER(BX75,2)+0.0000000020747825*POWER(BX75,3)-0.000000000000948402*POWER(BX75,4)+4.1635019*LN(BX75),0.000041764768*POWER(BX75,2)-0.000000014452093*POWER(BX75,3)+6.5459673*LN(BX75))</f>
        <v>#VALUE!</v>
      </c>
      <c r="CA75" s="1644" t="e">
        <f t="shared" ref="CA75:CA110" si="106">EXP(BY75+BZ75)/1000</f>
        <v>#VALUE!</v>
      </c>
      <c r="CB75" s="1644" t="e">
        <f t="shared" ref="CB75:CB110" si="107">BW75/100*CA75</f>
        <v>#VALUE!</v>
      </c>
      <c r="CC75" s="1644" t="e">
        <f t="shared" ref="CC75:CC110" si="108">0.62198*(CA75/($G$3-CA75))</f>
        <v>#VALUE!</v>
      </c>
      <c r="CD75" s="1644" t="e">
        <f t="shared" ref="CD75:CD110" si="109">CI75/CC75</f>
        <v>#VALUE!</v>
      </c>
      <c r="CE75" s="1644" t="e">
        <f t="shared" ref="CE75:CE110" si="110">0.2871*(BV75+273.15)*(1+1.6078*CI75)/$G$3</f>
        <v>#VALUE!</v>
      </c>
      <c r="CF75" s="505" t="e">
        <f t="shared" ref="CF75:CF110" si="111">IF(BV75+BW75&gt;0,BW75,0)</f>
        <v>#VALUE!</v>
      </c>
      <c r="CG75" s="1648" t="e">
        <f t="shared" ref="CG75:CG110" si="112">IF(BV75+BW75&gt;0,(1.006*BV75+CI75*(2501+1.805*BV75)),0)</f>
        <v>#VALUE!</v>
      </c>
      <c r="CH75" s="521" t="e">
        <f t="shared" ref="CH75:CH110" si="113">IF(BV75+BW75&gt;0,(IF(CB75&lt;0.6112,"n/a (&lt;0C)",6.54+14.526*LN(CB75)+0.7389*POWER(LN(CB75),2)+0.09486*POWER(LN(CB75),3)+0.4569*POWER(CB75,0.1984))),0)</f>
        <v>#VALUE!</v>
      </c>
      <c r="CI75" s="522" t="e">
        <f t="shared" ref="CI75:CI110" si="114">IF(BV75+BW75&gt;0,0.62198*(CB75/($G$3-CB75)),0)</f>
        <v>#VALUE!</v>
      </c>
      <c r="CJ75" s="1672"/>
      <c r="CK75" s="1647" t="str">
        <f t="shared" ref="CK75:CK110" si="115">$X$22</f>
        <v>n/a</v>
      </c>
      <c r="CL75" s="1671">
        <v>65</v>
      </c>
      <c r="CM75" s="1644" t="e">
        <f t="shared" ref="CM75:CM110" si="116">273.15+CK75</f>
        <v>#VALUE!</v>
      </c>
      <c r="CN75" s="1644" t="e">
        <f t="shared" ref="CN75:CN106" si="117">IF(CM75&lt;273.16,-5674.5359/CM75+6.3925247-0.009677843*CM75,-5800.2206/CM75+1.3914993-0.048640239*CM75)</f>
        <v>#VALUE!</v>
      </c>
      <c r="CO75" s="1644" t="e">
        <f t="shared" ref="CO75:CO110" si="118">IF(CM75&lt;273.16,0.00000062215701*POWER(CM75,2)+0.0000000020747825*POWER(CM75,3)-0.000000000000948402*POWER(CM75,4)+4.1635019*LN(CM75),0.000041764768*POWER(CM75,2)-0.000000014452093*POWER(CM75,3)+6.5459673*LN(CM75))</f>
        <v>#VALUE!</v>
      </c>
      <c r="CP75" s="1644" t="e">
        <f t="shared" ref="CP75:CP110" si="119">EXP(CN75+CO75)/1000</f>
        <v>#VALUE!</v>
      </c>
      <c r="CQ75" s="1644" t="e">
        <f t="shared" ref="CQ75:CQ110" si="120">CL75/100*CP75</f>
        <v>#VALUE!</v>
      </c>
      <c r="CR75" s="1644" t="e">
        <f t="shared" si="99"/>
        <v>#VALUE!</v>
      </c>
      <c r="CS75" s="1644" t="e">
        <f t="shared" ref="CS75:CS110" si="121">CX75/CR75</f>
        <v>#VALUE!</v>
      </c>
      <c r="CT75" s="1644" t="e">
        <f t="shared" si="100"/>
        <v>#VALUE!</v>
      </c>
      <c r="CU75" s="505" t="e">
        <f t="shared" ref="CU75:CU110" si="122">IF(CK75+CL75&gt;0,CL75,0)</f>
        <v>#VALUE!</v>
      </c>
      <c r="CV75" s="1648" t="e">
        <f t="shared" ref="CV75:CV110" si="123">IF(CK75+CL75&gt;0,(1.006*CK75+CX75*(2501+1.805*CK75)),0)</f>
        <v>#VALUE!</v>
      </c>
      <c r="CW75" s="521" t="e">
        <f t="shared" ref="CW75:CW110" si="124">IF(CK75+CL75&gt;0,(IF(CQ75&lt;0.6112,"n/a (&lt;0C)",6.54+14.526*LN(CQ75)+0.7389*POWER(LN(CQ75),2)+0.09486*POWER(LN(CQ75),3)+0.4569*POWER(CQ75,0.1984))),0)</f>
        <v>#VALUE!</v>
      </c>
      <c r="CX75" s="522" t="e">
        <f t="shared" si="101"/>
        <v>#VALUE!</v>
      </c>
      <c r="CZ75" s="1647" t="str">
        <f t="shared" si="62"/>
        <v>n/a</v>
      </c>
      <c r="DA75" s="1671">
        <v>65</v>
      </c>
      <c r="DB75" s="1644" t="e">
        <f t="shared" ref="DB75:DB110" si="125">273.15+CZ75</f>
        <v>#VALUE!</v>
      </c>
      <c r="DC75" s="1644" t="e">
        <f t="shared" ref="DC75:DC106" si="126">IF(DB75&lt;273.16,-5674.5359/DB75+6.3925247-0.009677843*DB75,-5800.2206/DB75+1.3914993-0.048640239*DB75)</f>
        <v>#VALUE!</v>
      </c>
      <c r="DD75" s="1644" t="e">
        <f t="shared" ref="DD75:DD110" si="127">IF(DB75&lt;273.16,0.00000062215701*POWER(DB75,2)+0.0000000020747825*POWER(DB75,3)-0.000000000000948402*POWER(DB75,4)+4.1635019*LN(DB75),0.000041764768*POWER(DB75,2)-0.000000014452093*POWER(DB75,3)+6.5459673*LN(DB75))</f>
        <v>#VALUE!</v>
      </c>
      <c r="DE75" s="1644" t="e">
        <f t="shared" ref="DE75:DE110" si="128">EXP(DC75+DD75)/1000</f>
        <v>#VALUE!</v>
      </c>
      <c r="DF75" s="1644" t="e">
        <f t="shared" ref="DF75:DF110" si="129">DA75/100*DE75</f>
        <v>#VALUE!</v>
      </c>
      <c r="DG75" s="1644" t="e">
        <f t="shared" ref="DG75:DG110" si="130">0.62198*(DE75/($G$3-DE75))</f>
        <v>#VALUE!</v>
      </c>
      <c r="DH75" s="1644" t="e">
        <f t="shared" ref="DH75:DH110" si="131">DM75/DG75</f>
        <v>#VALUE!</v>
      </c>
      <c r="DI75" s="1644" t="e">
        <f t="shared" ref="DI75:DI110" si="132">0.2871*(CZ75+273.15)*(1+1.6078*DM75)/$G$3</f>
        <v>#VALUE!</v>
      </c>
      <c r="DJ75" s="505" t="e">
        <f t="shared" ref="DJ75:DJ110" si="133">IF(CZ75+DA75&gt;0,DA75,0)</f>
        <v>#VALUE!</v>
      </c>
      <c r="DK75" s="1648" t="e">
        <f t="shared" ref="DK75:DK110" si="134">IF(CZ75+DA75&gt;0,(1.006*CZ75+DM75*(2501+1.805*CZ75)),0)</f>
        <v>#VALUE!</v>
      </c>
      <c r="DL75" s="521" t="e">
        <f t="shared" ref="DL75:DL110" si="135">IF(CZ75+DA75&gt;0,(IF(DF75&lt;0.6112,"n/a (&lt;0C)",6.54+14.526*LN(DF75)+0.7389*POWER(LN(DF75),2)+0.09486*POWER(LN(DF75),3)+0.4569*POWER(DF75,0.1984))),0)</f>
        <v>#VALUE!</v>
      </c>
      <c r="DM75" s="522" t="e">
        <f t="shared" ref="DM75:DM110" si="136">IF(CZ75+DA75&gt;0,0.62198*(DF75/($G$3-DF75)),0)</f>
        <v>#VALUE!</v>
      </c>
      <c r="DN75" s="1672"/>
      <c r="DO75" s="1647" t="str">
        <f t="shared" si="63"/>
        <v>n/a</v>
      </c>
      <c r="DP75" s="1671">
        <v>65</v>
      </c>
      <c r="DQ75" s="1644" t="e">
        <f t="shared" ref="DQ75:DQ110" si="137">273.15+DO75</f>
        <v>#VALUE!</v>
      </c>
      <c r="DR75" s="1644" t="e">
        <f t="shared" ref="DR75:DR106" si="138">IF(DQ75&lt;273.16,-5674.5359/DQ75+6.3925247-0.009677843*DQ75,-5800.2206/DQ75+1.3914993-0.048640239*DQ75)</f>
        <v>#VALUE!</v>
      </c>
      <c r="DS75" s="1644" t="e">
        <f t="shared" ref="DS75:DS110" si="139">IF(DQ75&lt;273.16,0.00000062215701*POWER(DQ75,2)+0.0000000020747825*POWER(DQ75,3)-0.000000000000948402*POWER(DQ75,4)+4.1635019*LN(DQ75),0.000041764768*POWER(DQ75,2)-0.000000014452093*POWER(DQ75,3)+6.5459673*LN(DQ75))</f>
        <v>#VALUE!</v>
      </c>
      <c r="DT75" s="1644" t="e">
        <f t="shared" ref="DT75:DT110" si="140">EXP(DR75+DS75)/1000</f>
        <v>#VALUE!</v>
      </c>
      <c r="DU75" s="1644" t="e">
        <f t="shared" ref="DU75:DU110" si="141">DP75/100*DT75</f>
        <v>#VALUE!</v>
      </c>
      <c r="DV75" s="1644" t="e">
        <f t="shared" ref="DV75:DV110" si="142">0.62198*(DT75/($G$3-DT75))</f>
        <v>#VALUE!</v>
      </c>
      <c r="DW75" s="1644" t="e">
        <f t="shared" ref="DW75:DW110" si="143">EB75/DV75</f>
        <v>#VALUE!</v>
      </c>
      <c r="DX75" s="1644" t="e">
        <f t="shared" ref="DX75:DX110" si="144">0.2871*(DO75+273.15)*(1+1.6078*EB75)/$G$3</f>
        <v>#VALUE!</v>
      </c>
      <c r="DY75" s="505" t="e">
        <f t="shared" ref="DY75:DY110" si="145">IF(DO75+DP75&gt;0,DP75,0)</f>
        <v>#VALUE!</v>
      </c>
      <c r="DZ75" s="1648" t="e">
        <f t="shared" ref="DZ75:DZ110" si="146">IF(DO75+DP75&gt;0,(1.006*DO75+EB75*(2501+1.805*DO75)),0)</f>
        <v>#VALUE!</v>
      </c>
      <c r="EA75" s="521" t="e">
        <f t="shared" ref="EA75:EA110" si="147">IF(DO75+DP75&gt;0,(IF(DU75&lt;0.6112,"n/a (&lt;0C)",6.54+14.526*LN(DU75)+0.7389*POWER(LN(DU75),2)+0.09486*POWER(LN(DU75),3)+0.4569*POWER(DU75,0.1984))),0)</f>
        <v>#VALUE!</v>
      </c>
      <c r="EB75" s="522" t="e">
        <f t="shared" ref="EB75:EB110" si="148">IF(DO75+DP75&gt;0,0.62198*(DU75/($G$3-DU75)),0)</f>
        <v>#VALUE!</v>
      </c>
    </row>
    <row r="76" spans="2:132">
      <c r="B76" s="293"/>
      <c r="AD76" s="294"/>
      <c r="BH76" s="1649">
        <f t="shared" ref="BH76:BH139" si="149">IF(BH75+0.5&gt;=$D$11,$D$11,BH75+0.5)</f>
        <v>-7</v>
      </c>
      <c r="BI76" s="503">
        <v>100</v>
      </c>
      <c r="BJ76" s="1644">
        <f t="shared" si="88"/>
        <v>266.14999999999998</v>
      </c>
      <c r="BK76" s="1644">
        <f t="shared" si="89"/>
        <v>-17.504051925703056</v>
      </c>
      <c r="BL76" s="1644">
        <f t="shared" si="90"/>
        <v>23.327672641070219</v>
      </c>
      <c r="BM76" s="1644">
        <f t="shared" si="91"/>
        <v>0.33819434497216661</v>
      </c>
      <c r="BN76" s="1644">
        <f t="shared" si="92"/>
        <v>0.33819434497216661</v>
      </c>
      <c r="BO76" s="1644">
        <f t="shared" si="93"/>
        <v>2.0829465524867352E-3</v>
      </c>
      <c r="BP76" s="1644">
        <f t="shared" si="94"/>
        <v>1</v>
      </c>
      <c r="BQ76" s="1644">
        <f t="shared" si="95"/>
        <v>0.75665003426322264</v>
      </c>
      <c r="BR76" s="1648">
        <f t="shared" si="96"/>
        <v>-1.8588687019213452</v>
      </c>
      <c r="BS76" s="521">
        <f t="shared" si="97"/>
        <v>-7</v>
      </c>
      <c r="BT76" s="522">
        <f t="shared" si="98"/>
        <v>2.0829465524867352E-3</v>
      </c>
      <c r="BV76" s="1647" t="str">
        <f t="shared" si="102"/>
        <v>n/a</v>
      </c>
      <c r="BW76" s="1671">
        <v>66</v>
      </c>
      <c r="BX76" s="1644" t="e">
        <f t="shared" si="103"/>
        <v>#VALUE!</v>
      </c>
      <c r="BY76" s="1644" t="e">
        <f t="shared" si="104"/>
        <v>#VALUE!</v>
      </c>
      <c r="BZ76" s="1644" t="e">
        <f t="shared" si="105"/>
        <v>#VALUE!</v>
      </c>
      <c r="CA76" s="1644" t="e">
        <f t="shared" si="106"/>
        <v>#VALUE!</v>
      </c>
      <c r="CB76" s="1644" t="e">
        <f t="shared" si="107"/>
        <v>#VALUE!</v>
      </c>
      <c r="CC76" s="1644" t="e">
        <f t="shared" si="108"/>
        <v>#VALUE!</v>
      </c>
      <c r="CD76" s="1644" t="e">
        <f t="shared" si="109"/>
        <v>#VALUE!</v>
      </c>
      <c r="CE76" s="1644" t="e">
        <f t="shared" si="110"/>
        <v>#VALUE!</v>
      </c>
      <c r="CF76" s="505" t="e">
        <f t="shared" si="111"/>
        <v>#VALUE!</v>
      </c>
      <c r="CG76" s="1648" t="e">
        <f t="shared" si="112"/>
        <v>#VALUE!</v>
      </c>
      <c r="CH76" s="521" t="e">
        <f t="shared" si="113"/>
        <v>#VALUE!</v>
      </c>
      <c r="CI76" s="522" t="e">
        <f t="shared" si="114"/>
        <v>#VALUE!</v>
      </c>
      <c r="CJ76" s="1672"/>
      <c r="CK76" s="1647" t="str">
        <f t="shared" si="115"/>
        <v>n/a</v>
      </c>
      <c r="CL76" s="1671">
        <v>66</v>
      </c>
      <c r="CM76" s="1644" t="e">
        <f t="shared" si="116"/>
        <v>#VALUE!</v>
      </c>
      <c r="CN76" s="1644" t="e">
        <f t="shared" si="117"/>
        <v>#VALUE!</v>
      </c>
      <c r="CO76" s="1644" t="e">
        <f t="shared" si="118"/>
        <v>#VALUE!</v>
      </c>
      <c r="CP76" s="1644" t="e">
        <f t="shared" si="119"/>
        <v>#VALUE!</v>
      </c>
      <c r="CQ76" s="1644" t="e">
        <f t="shared" si="120"/>
        <v>#VALUE!</v>
      </c>
      <c r="CR76" s="1644" t="e">
        <f t="shared" si="99"/>
        <v>#VALUE!</v>
      </c>
      <c r="CS76" s="1644" t="e">
        <f t="shared" si="121"/>
        <v>#VALUE!</v>
      </c>
      <c r="CT76" s="1644" t="e">
        <f t="shared" si="100"/>
        <v>#VALUE!</v>
      </c>
      <c r="CU76" s="505" t="e">
        <f t="shared" si="122"/>
        <v>#VALUE!</v>
      </c>
      <c r="CV76" s="1648" t="e">
        <f t="shared" si="123"/>
        <v>#VALUE!</v>
      </c>
      <c r="CW76" s="521" t="e">
        <f t="shared" si="124"/>
        <v>#VALUE!</v>
      </c>
      <c r="CX76" s="522" t="e">
        <f t="shared" si="101"/>
        <v>#VALUE!</v>
      </c>
      <c r="CZ76" s="1647" t="str">
        <f t="shared" ref="CZ76:CZ110" si="150">$O$22</f>
        <v>n/a</v>
      </c>
      <c r="DA76" s="1671">
        <v>66</v>
      </c>
      <c r="DB76" s="1644" t="e">
        <f t="shared" si="125"/>
        <v>#VALUE!</v>
      </c>
      <c r="DC76" s="1644" t="e">
        <f t="shared" si="126"/>
        <v>#VALUE!</v>
      </c>
      <c r="DD76" s="1644" t="e">
        <f t="shared" si="127"/>
        <v>#VALUE!</v>
      </c>
      <c r="DE76" s="1644" t="e">
        <f t="shared" si="128"/>
        <v>#VALUE!</v>
      </c>
      <c r="DF76" s="1644" t="e">
        <f t="shared" si="129"/>
        <v>#VALUE!</v>
      </c>
      <c r="DG76" s="1644" t="e">
        <f t="shared" si="130"/>
        <v>#VALUE!</v>
      </c>
      <c r="DH76" s="1644" t="e">
        <f t="shared" si="131"/>
        <v>#VALUE!</v>
      </c>
      <c r="DI76" s="1644" t="e">
        <f t="shared" si="132"/>
        <v>#VALUE!</v>
      </c>
      <c r="DJ76" s="505" t="e">
        <f t="shared" si="133"/>
        <v>#VALUE!</v>
      </c>
      <c r="DK76" s="1648" t="e">
        <f t="shared" si="134"/>
        <v>#VALUE!</v>
      </c>
      <c r="DL76" s="521" t="e">
        <f t="shared" si="135"/>
        <v>#VALUE!</v>
      </c>
      <c r="DM76" s="522" t="e">
        <f t="shared" si="136"/>
        <v>#VALUE!</v>
      </c>
      <c r="DN76" s="1672"/>
      <c r="DO76" s="1647" t="str">
        <f t="shared" ref="DO76:DO110" si="151">$O$34</f>
        <v>n/a</v>
      </c>
      <c r="DP76" s="1671">
        <v>66</v>
      </c>
      <c r="DQ76" s="1644" t="e">
        <f t="shared" si="137"/>
        <v>#VALUE!</v>
      </c>
      <c r="DR76" s="1644" t="e">
        <f t="shared" si="138"/>
        <v>#VALUE!</v>
      </c>
      <c r="DS76" s="1644" t="e">
        <f t="shared" si="139"/>
        <v>#VALUE!</v>
      </c>
      <c r="DT76" s="1644" t="e">
        <f t="shared" si="140"/>
        <v>#VALUE!</v>
      </c>
      <c r="DU76" s="1644" t="e">
        <f t="shared" si="141"/>
        <v>#VALUE!</v>
      </c>
      <c r="DV76" s="1644" t="e">
        <f t="shared" si="142"/>
        <v>#VALUE!</v>
      </c>
      <c r="DW76" s="1644" t="e">
        <f t="shared" si="143"/>
        <v>#VALUE!</v>
      </c>
      <c r="DX76" s="1644" t="e">
        <f t="shared" si="144"/>
        <v>#VALUE!</v>
      </c>
      <c r="DY76" s="505" t="e">
        <f t="shared" si="145"/>
        <v>#VALUE!</v>
      </c>
      <c r="DZ76" s="1648" t="e">
        <f t="shared" si="146"/>
        <v>#VALUE!</v>
      </c>
      <c r="EA76" s="521" t="e">
        <f t="shared" si="147"/>
        <v>#VALUE!</v>
      </c>
      <c r="EB76" s="522" t="e">
        <f t="shared" si="148"/>
        <v>#VALUE!</v>
      </c>
    </row>
    <row r="77" spans="2:132">
      <c r="B77" s="293"/>
      <c r="AD77" s="294"/>
      <c r="BH77" s="1649">
        <f t="shared" si="149"/>
        <v>-6.5</v>
      </c>
      <c r="BI77" s="503">
        <v>100</v>
      </c>
      <c r="BJ77" s="1644">
        <f t="shared" si="88"/>
        <v>266.64999999999998</v>
      </c>
      <c r="BK77" s="1644">
        <f t="shared" si="89"/>
        <v>-17.468911813429845</v>
      </c>
      <c r="BL77" s="1644">
        <f t="shared" si="90"/>
        <v>23.335837772977413</v>
      </c>
      <c r="BM77" s="1644">
        <f t="shared" si="91"/>
        <v>0.35316167663609022</v>
      </c>
      <c r="BN77" s="1644">
        <f t="shared" si="92"/>
        <v>0.35316167663609022</v>
      </c>
      <c r="BO77" s="1644">
        <f t="shared" si="93"/>
        <v>2.1754531093179899E-3</v>
      </c>
      <c r="BP77" s="1644">
        <f t="shared" si="94"/>
        <v>1</v>
      </c>
      <c r="BQ77" s="1644">
        <f t="shared" si="95"/>
        <v>0.7581838803710631</v>
      </c>
      <c r="BR77" s="1648">
        <f t="shared" si="96"/>
        <v>-1.1237152772007803</v>
      </c>
      <c r="BS77" s="521">
        <f t="shared" si="97"/>
        <v>-6.5</v>
      </c>
      <c r="BT77" s="522">
        <f t="shared" si="98"/>
        <v>2.1754531093179899E-3</v>
      </c>
      <c r="BV77" s="1647" t="str">
        <f t="shared" si="102"/>
        <v>n/a</v>
      </c>
      <c r="BW77" s="1671">
        <v>67</v>
      </c>
      <c r="BX77" s="1644" t="e">
        <f t="shared" si="103"/>
        <v>#VALUE!</v>
      </c>
      <c r="BY77" s="1644" t="e">
        <f t="shared" si="104"/>
        <v>#VALUE!</v>
      </c>
      <c r="BZ77" s="1644" t="e">
        <f t="shared" si="105"/>
        <v>#VALUE!</v>
      </c>
      <c r="CA77" s="1644" t="e">
        <f t="shared" si="106"/>
        <v>#VALUE!</v>
      </c>
      <c r="CB77" s="1644" t="e">
        <f t="shared" si="107"/>
        <v>#VALUE!</v>
      </c>
      <c r="CC77" s="1644" t="e">
        <f t="shared" si="108"/>
        <v>#VALUE!</v>
      </c>
      <c r="CD77" s="1644" t="e">
        <f t="shared" si="109"/>
        <v>#VALUE!</v>
      </c>
      <c r="CE77" s="1644" t="e">
        <f t="shared" si="110"/>
        <v>#VALUE!</v>
      </c>
      <c r="CF77" s="505" t="e">
        <f t="shared" si="111"/>
        <v>#VALUE!</v>
      </c>
      <c r="CG77" s="1648" t="e">
        <f t="shared" si="112"/>
        <v>#VALUE!</v>
      </c>
      <c r="CH77" s="521" t="e">
        <f t="shared" si="113"/>
        <v>#VALUE!</v>
      </c>
      <c r="CI77" s="522" t="e">
        <f t="shared" si="114"/>
        <v>#VALUE!</v>
      </c>
      <c r="CJ77" s="1672"/>
      <c r="CK77" s="1647" t="str">
        <f t="shared" si="115"/>
        <v>n/a</v>
      </c>
      <c r="CL77" s="1671">
        <v>67</v>
      </c>
      <c r="CM77" s="1644" t="e">
        <f t="shared" si="116"/>
        <v>#VALUE!</v>
      </c>
      <c r="CN77" s="1644" t="e">
        <f t="shared" si="117"/>
        <v>#VALUE!</v>
      </c>
      <c r="CO77" s="1644" t="e">
        <f t="shared" si="118"/>
        <v>#VALUE!</v>
      </c>
      <c r="CP77" s="1644" t="e">
        <f t="shared" si="119"/>
        <v>#VALUE!</v>
      </c>
      <c r="CQ77" s="1644" t="e">
        <f t="shared" si="120"/>
        <v>#VALUE!</v>
      </c>
      <c r="CR77" s="1644" t="e">
        <f t="shared" si="99"/>
        <v>#VALUE!</v>
      </c>
      <c r="CS77" s="1644" t="e">
        <f t="shared" si="121"/>
        <v>#VALUE!</v>
      </c>
      <c r="CT77" s="1644" t="e">
        <f t="shared" si="100"/>
        <v>#VALUE!</v>
      </c>
      <c r="CU77" s="505" t="e">
        <f t="shared" si="122"/>
        <v>#VALUE!</v>
      </c>
      <c r="CV77" s="1648" t="e">
        <f t="shared" si="123"/>
        <v>#VALUE!</v>
      </c>
      <c r="CW77" s="521" t="e">
        <f t="shared" si="124"/>
        <v>#VALUE!</v>
      </c>
      <c r="CX77" s="522" t="e">
        <f t="shared" si="101"/>
        <v>#VALUE!</v>
      </c>
      <c r="CZ77" s="1647" t="str">
        <f t="shared" si="150"/>
        <v>n/a</v>
      </c>
      <c r="DA77" s="1671">
        <v>67</v>
      </c>
      <c r="DB77" s="1644" t="e">
        <f t="shared" si="125"/>
        <v>#VALUE!</v>
      </c>
      <c r="DC77" s="1644" t="e">
        <f t="shared" si="126"/>
        <v>#VALUE!</v>
      </c>
      <c r="DD77" s="1644" t="e">
        <f t="shared" si="127"/>
        <v>#VALUE!</v>
      </c>
      <c r="DE77" s="1644" t="e">
        <f t="shared" si="128"/>
        <v>#VALUE!</v>
      </c>
      <c r="DF77" s="1644" t="e">
        <f t="shared" si="129"/>
        <v>#VALUE!</v>
      </c>
      <c r="DG77" s="1644" t="e">
        <f t="shared" si="130"/>
        <v>#VALUE!</v>
      </c>
      <c r="DH77" s="1644" t="e">
        <f t="shared" si="131"/>
        <v>#VALUE!</v>
      </c>
      <c r="DI77" s="1644" t="e">
        <f t="shared" si="132"/>
        <v>#VALUE!</v>
      </c>
      <c r="DJ77" s="505" t="e">
        <f t="shared" si="133"/>
        <v>#VALUE!</v>
      </c>
      <c r="DK77" s="1648" t="e">
        <f t="shared" si="134"/>
        <v>#VALUE!</v>
      </c>
      <c r="DL77" s="521" t="e">
        <f t="shared" si="135"/>
        <v>#VALUE!</v>
      </c>
      <c r="DM77" s="522" t="e">
        <f t="shared" si="136"/>
        <v>#VALUE!</v>
      </c>
      <c r="DN77" s="1672"/>
      <c r="DO77" s="1647" t="str">
        <f t="shared" si="151"/>
        <v>n/a</v>
      </c>
      <c r="DP77" s="1671">
        <v>67</v>
      </c>
      <c r="DQ77" s="1644" t="e">
        <f t="shared" si="137"/>
        <v>#VALUE!</v>
      </c>
      <c r="DR77" s="1644" t="e">
        <f t="shared" si="138"/>
        <v>#VALUE!</v>
      </c>
      <c r="DS77" s="1644" t="e">
        <f t="shared" si="139"/>
        <v>#VALUE!</v>
      </c>
      <c r="DT77" s="1644" t="e">
        <f t="shared" si="140"/>
        <v>#VALUE!</v>
      </c>
      <c r="DU77" s="1644" t="e">
        <f t="shared" si="141"/>
        <v>#VALUE!</v>
      </c>
      <c r="DV77" s="1644" t="e">
        <f t="shared" si="142"/>
        <v>#VALUE!</v>
      </c>
      <c r="DW77" s="1644" t="e">
        <f t="shared" si="143"/>
        <v>#VALUE!</v>
      </c>
      <c r="DX77" s="1644" t="e">
        <f t="shared" si="144"/>
        <v>#VALUE!</v>
      </c>
      <c r="DY77" s="505" t="e">
        <f t="shared" si="145"/>
        <v>#VALUE!</v>
      </c>
      <c r="DZ77" s="1648" t="e">
        <f t="shared" si="146"/>
        <v>#VALUE!</v>
      </c>
      <c r="EA77" s="521" t="e">
        <f t="shared" si="147"/>
        <v>#VALUE!</v>
      </c>
      <c r="EB77" s="522" t="e">
        <f t="shared" si="148"/>
        <v>#VALUE!</v>
      </c>
    </row>
    <row r="78" spans="2:132">
      <c r="B78" s="293"/>
      <c r="AD78" s="294"/>
      <c r="BH78" s="1649">
        <f t="shared" si="149"/>
        <v>-6</v>
      </c>
      <c r="BI78" s="503">
        <v>100</v>
      </c>
      <c r="BJ78" s="1644">
        <f t="shared" si="88"/>
        <v>267.14999999999998</v>
      </c>
      <c r="BK78" s="1644">
        <f t="shared" si="89"/>
        <v>-17.433921351292412</v>
      </c>
      <c r="BL78" s="1644">
        <f t="shared" si="90"/>
        <v>23.343989204356717</v>
      </c>
      <c r="BM78" s="1644">
        <f t="shared" si="91"/>
        <v>0.36873117410061745</v>
      </c>
      <c r="BN78" s="1644">
        <f t="shared" si="92"/>
        <v>0.36873117410061745</v>
      </c>
      <c r="BO78" s="1644">
        <f t="shared" si="93"/>
        <v>2.2717104973699873E-3</v>
      </c>
      <c r="BP78" s="1644">
        <f t="shared" si="94"/>
        <v>1</v>
      </c>
      <c r="BQ78" s="1644">
        <f t="shared" si="95"/>
        <v>0.75972271280509307</v>
      </c>
      <c r="BR78" s="1648">
        <f t="shared" si="96"/>
        <v>-0.37905467076417843</v>
      </c>
      <c r="BS78" s="521">
        <f t="shared" si="97"/>
        <v>-6</v>
      </c>
      <c r="BT78" s="522">
        <f t="shared" si="98"/>
        <v>2.2717104973699873E-3</v>
      </c>
      <c r="BV78" s="1647" t="str">
        <f t="shared" si="102"/>
        <v>n/a</v>
      </c>
      <c r="BW78" s="1671">
        <v>68</v>
      </c>
      <c r="BX78" s="1644" t="e">
        <f t="shared" si="103"/>
        <v>#VALUE!</v>
      </c>
      <c r="BY78" s="1644" t="e">
        <f t="shared" si="104"/>
        <v>#VALUE!</v>
      </c>
      <c r="BZ78" s="1644" t="e">
        <f t="shared" si="105"/>
        <v>#VALUE!</v>
      </c>
      <c r="CA78" s="1644" t="e">
        <f t="shared" si="106"/>
        <v>#VALUE!</v>
      </c>
      <c r="CB78" s="1644" t="e">
        <f t="shared" si="107"/>
        <v>#VALUE!</v>
      </c>
      <c r="CC78" s="1644" t="e">
        <f t="shared" si="108"/>
        <v>#VALUE!</v>
      </c>
      <c r="CD78" s="1644" t="e">
        <f t="shared" si="109"/>
        <v>#VALUE!</v>
      </c>
      <c r="CE78" s="1644" t="e">
        <f t="shared" si="110"/>
        <v>#VALUE!</v>
      </c>
      <c r="CF78" s="505" t="e">
        <f t="shared" si="111"/>
        <v>#VALUE!</v>
      </c>
      <c r="CG78" s="1648" t="e">
        <f t="shared" si="112"/>
        <v>#VALUE!</v>
      </c>
      <c r="CH78" s="521" t="e">
        <f t="shared" si="113"/>
        <v>#VALUE!</v>
      </c>
      <c r="CI78" s="522" t="e">
        <f t="shared" si="114"/>
        <v>#VALUE!</v>
      </c>
      <c r="CJ78" s="1672"/>
      <c r="CK78" s="1647" t="str">
        <f t="shared" si="115"/>
        <v>n/a</v>
      </c>
      <c r="CL78" s="1671">
        <v>68</v>
      </c>
      <c r="CM78" s="1644" t="e">
        <f t="shared" si="116"/>
        <v>#VALUE!</v>
      </c>
      <c r="CN78" s="1644" t="e">
        <f t="shared" si="117"/>
        <v>#VALUE!</v>
      </c>
      <c r="CO78" s="1644" t="e">
        <f t="shared" si="118"/>
        <v>#VALUE!</v>
      </c>
      <c r="CP78" s="1644" t="e">
        <f t="shared" si="119"/>
        <v>#VALUE!</v>
      </c>
      <c r="CQ78" s="1644" t="e">
        <f t="shared" si="120"/>
        <v>#VALUE!</v>
      </c>
      <c r="CR78" s="1644" t="e">
        <f t="shared" si="99"/>
        <v>#VALUE!</v>
      </c>
      <c r="CS78" s="1644" t="e">
        <f t="shared" si="121"/>
        <v>#VALUE!</v>
      </c>
      <c r="CT78" s="1644" t="e">
        <f t="shared" si="100"/>
        <v>#VALUE!</v>
      </c>
      <c r="CU78" s="505" t="e">
        <f t="shared" si="122"/>
        <v>#VALUE!</v>
      </c>
      <c r="CV78" s="1648" t="e">
        <f t="shared" si="123"/>
        <v>#VALUE!</v>
      </c>
      <c r="CW78" s="521" t="e">
        <f t="shared" si="124"/>
        <v>#VALUE!</v>
      </c>
      <c r="CX78" s="522" t="e">
        <f t="shared" si="101"/>
        <v>#VALUE!</v>
      </c>
      <c r="CZ78" s="1647" t="str">
        <f t="shared" si="150"/>
        <v>n/a</v>
      </c>
      <c r="DA78" s="1671">
        <v>68</v>
      </c>
      <c r="DB78" s="1644" t="e">
        <f t="shared" si="125"/>
        <v>#VALUE!</v>
      </c>
      <c r="DC78" s="1644" t="e">
        <f t="shared" si="126"/>
        <v>#VALUE!</v>
      </c>
      <c r="DD78" s="1644" t="e">
        <f t="shared" si="127"/>
        <v>#VALUE!</v>
      </c>
      <c r="DE78" s="1644" t="e">
        <f t="shared" si="128"/>
        <v>#VALUE!</v>
      </c>
      <c r="DF78" s="1644" t="e">
        <f t="shared" si="129"/>
        <v>#VALUE!</v>
      </c>
      <c r="DG78" s="1644" t="e">
        <f t="shared" si="130"/>
        <v>#VALUE!</v>
      </c>
      <c r="DH78" s="1644" t="e">
        <f t="shared" si="131"/>
        <v>#VALUE!</v>
      </c>
      <c r="DI78" s="1644" t="e">
        <f t="shared" si="132"/>
        <v>#VALUE!</v>
      </c>
      <c r="DJ78" s="505" t="e">
        <f t="shared" si="133"/>
        <v>#VALUE!</v>
      </c>
      <c r="DK78" s="1648" t="e">
        <f t="shared" si="134"/>
        <v>#VALUE!</v>
      </c>
      <c r="DL78" s="521" t="e">
        <f t="shared" si="135"/>
        <v>#VALUE!</v>
      </c>
      <c r="DM78" s="522" t="e">
        <f t="shared" si="136"/>
        <v>#VALUE!</v>
      </c>
      <c r="DN78" s="1672"/>
      <c r="DO78" s="1647" t="str">
        <f t="shared" si="151"/>
        <v>n/a</v>
      </c>
      <c r="DP78" s="1671">
        <v>68</v>
      </c>
      <c r="DQ78" s="1644" t="e">
        <f t="shared" si="137"/>
        <v>#VALUE!</v>
      </c>
      <c r="DR78" s="1644" t="e">
        <f t="shared" si="138"/>
        <v>#VALUE!</v>
      </c>
      <c r="DS78" s="1644" t="e">
        <f t="shared" si="139"/>
        <v>#VALUE!</v>
      </c>
      <c r="DT78" s="1644" t="e">
        <f t="shared" si="140"/>
        <v>#VALUE!</v>
      </c>
      <c r="DU78" s="1644" t="e">
        <f t="shared" si="141"/>
        <v>#VALUE!</v>
      </c>
      <c r="DV78" s="1644" t="e">
        <f t="shared" si="142"/>
        <v>#VALUE!</v>
      </c>
      <c r="DW78" s="1644" t="e">
        <f t="shared" si="143"/>
        <v>#VALUE!</v>
      </c>
      <c r="DX78" s="1644" t="e">
        <f t="shared" si="144"/>
        <v>#VALUE!</v>
      </c>
      <c r="DY78" s="505" t="e">
        <f t="shared" si="145"/>
        <v>#VALUE!</v>
      </c>
      <c r="DZ78" s="1648" t="e">
        <f t="shared" si="146"/>
        <v>#VALUE!</v>
      </c>
      <c r="EA78" s="521" t="e">
        <f t="shared" si="147"/>
        <v>#VALUE!</v>
      </c>
      <c r="EB78" s="522" t="e">
        <f t="shared" si="148"/>
        <v>#VALUE!</v>
      </c>
    </row>
    <row r="79" spans="2:132">
      <c r="B79" s="293"/>
      <c r="AD79" s="294"/>
      <c r="BH79" s="1649">
        <f t="shared" si="149"/>
        <v>-5.5</v>
      </c>
      <c r="BI79" s="503">
        <v>100</v>
      </c>
      <c r="BJ79" s="1644">
        <f t="shared" si="88"/>
        <v>267.64999999999998</v>
      </c>
      <c r="BK79" s="1644">
        <f t="shared" si="89"/>
        <v>-17.399079700601412</v>
      </c>
      <c r="BL79" s="1644">
        <f t="shared" si="90"/>
        <v>23.352126990751202</v>
      </c>
      <c r="BM79" s="1644">
        <f t="shared" si="91"/>
        <v>0.3849245304047999</v>
      </c>
      <c r="BN79" s="1644">
        <f t="shared" si="92"/>
        <v>0.3849245304047999</v>
      </c>
      <c r="BO79" s="1644">
        <f t="shared" si="93"/>
        <v>2.371856354449559E-3</v>
      </c>
      <c r="BP79" s="1644">
        <f t="shared" si="94"/>
        <v>1</v>
      </c>
      <c r="BQ79" s="1644">
        <f t="shared" si="95"/>
        <v>0.76126672502023918</v>
      </c>
      <c r="BR79" s="1648">
        <f t="shared" si="96"/>
        <v>0.37546613851954902</v>
      </c>
      <c r="BS79" s="521">
        <f t="shared" si="97"/>
        <v>-5.5</v>
      </c>
      <c r="BT79" s="522">
        <f t="shared" si="98"/>
        <v>2.371856354449559E-3</v>
      </c>
      <c r="BV79" s="1647" t="str">
        <f t="shared" si="102"/>
        <v>n/a</v>
      </c>
      <c r="BW79" s="1671">
        <v>69</v>
      </c>
      <c r="BX79" s="1644" t="e">
        <f t="shared" si="103"/>
        <v>#VALUE!</v>
      </c>
      <c r="BY79" s="1644" t="e">
        <f t="shared" si="104"/>
        <v>#VALUE!</v>
      </c>
      <c r="BZ79" s="1644" t="e">
        <f t="shared" si="105"/>
        <v>#VALUE!</v>
      </c>
      <c r="CA79" s="1644" t="e">
        <f t="shared" si="106"/>
        <v>#VALUE!</v>
      </c>
      <c r="CB79" s="1644" t="e">
        <f t="shared" si="107"/>
        <v>#VALUE!</v>
      </c>
      <c r="CC79" s="1644" t="e">
        <f t="shared" si="108"/>
        <v>#VALUE!</v>
      </c>
      <c r="CD79" s="1644" t="e">
        <f t="shared" si="109"/>
        <v>#VALUE!</v>
      </c>
      <c r="CE79" s="1644" t="e">
        <f t="shared" si="110"/>
        <v>#VALUE!</v>
      </c>
      <c r="CF79" s="505" t="e">
        <f t="shared" si="111"/>
        <v>#VALUE!</v>
      </c>
      <c r="CG79" s="1648" t="e">
        <f t="shared" si="112"/>
        <v>#VALUE!</v>
      </c>
      <c r="CH79" s="521" t="e">
        <f t="shared" si="113"/>
        <v>#VALUE!</v>
      </c>
      <c r="CI79" s="522" t="e">
        <f t="shared" si="114"/>
        <v>#VALUE!</v>
      </c>
      <c r="CJ79" s="1672"/>
      <c r="CK79" s="1647" t="str">
        <f t="shared" si="115"/>
        <v>n/a</v>
      </c>
      <c r="CL79" s="1671">
        <v>69</v>
      </c>
      <c r="CM79" s="1644" t="e">
        <f t="shared" si="116"/>
        <v>#VALUE!</v>
      </c>
      <c r="CN79" s="1644" t="e">
        <f t="shared" si="117"/>
        <v>#VALUE!</v>
      </c>
      <c r="CO79" s="1644" t="e">
        <f t="shared" si="118"/>
        <v>#VALUE!</v>
      </c>
      <c r="CP79" s="1644" t="e">
        <f t="shared" si="119"/>
        <v>#VALUE!</v>
      </c>
      <c r="CQ79" s="1644" t="e">
        <f t="shared" si="120"/>
        <v>#VALUE!</v>
      </c>
      <c r="CR79" s="1644" t="e">
        <f t="shared" si="99"/>
        <v>#VALUE!</v>
      </c>
      <c r="CS79" s="1644" t="e">
        <f t="shared" si="121"/>
        <v>#VALUE!</v>
      </c>
      <c r="CT79" s="1644" t="e">
        <f t="shared" si="100"/>
        <v>#VALUE!</v>
      </c>
      <c r="CU79" s="505" t="e">
        <f t="shared" si="122"/>
        <v>#VALUE!</v>
      </c>
      <c r="CV79" s="1648" t="e">
        <f t="shared" si="123"/>
        <v>#VALUE!</v>
      </c>
      <c r="CW79" s="521" t="e">
        <f t="shared" si="124"/>
        <v>#VALUE!</v>
      </c>
      <c r="CX79" s="522" t="e">
        <f t="shared" si="101"/>
        <v>#VALUE!</v>
      </c>
      <c r="CZ79" s="1647" t="str">
        <f t="shared" si="150"/>
        <v>n/a</v>
      </c>
      <c r="DA79" s="1671">
        <v>69</v>
      </c>
      <c r="DB79" s="1644" t="e">
        <f t="shared" si="125"/>
        <v>#VALUE!</v>
      </c>
      <c r="DC79" s="1644" t="e">
        <f t="shared" si="126"/>
        <v>#VALUE!</v>
      </c>
      <c r="DD79" s="1644" t="e">
        <f t="shared" si="127"/>
        <v>#VALUE!</v>
      </c>
      <c r="DE79" s="1644" t="e">
        <f t="shared" si="128"/>
        <v>#VALUE!</v>
      </c>
      <c r="DF79" s="1644" t="e">
        <f t="shared" si="129"/>
        <v>#VALUE!</v>
      </c>
      <c r="DG79" s="1644" t="e">
        <f t="shared" si="130"/>
        <v>#VALUE!</v>
      </c>
      <c r="DH79" s="1644" t="e">
        <f t="shared" si="131"/>
        <v>#VALUE!</v>
      </c>
      <c r="DI79" s="1644" t="e">
        <f t="shared" si="132"/>
        <v>#VALUE!</v>
      </c>
      <c r="DJ79" s="505" t="e">
        <f t="shared" si="133"/>
        <v>#VALUE!</v>
      </c>
      <c r="DK79" s="1648" t="e">
        <f t="shared" si="134"/>
        <v>#VALUE!</v>
      </c>
      <c r="DL79" s="521" t="e">
        <f t="shared" si="135"/>
        <v>#VALUE!</v>
      </c>
      <c r="DM79" s="522" t="e">
        <f t="shared" si="136"/>
        <v>#VALUE!</v>
      </c>
      <c r="DN79" s="1672"/>
      <c r="DO79" s="1647" t="str">
        <f t="shared" si="151"/>
        <v>n/a</v>
      </c>
      <c r="DP79" s="1671">
        <v>69</v>
      </c>
      <c r="DQ79" s="1644" t="e">
        <f t="shared" si="137"/>
        <v>#VALUE!</v>
      </c>
      <c r="DR79" s="1644" t="e">
        <f t="shared" si="138"/>
        <v>#VALUE!</v>
      </c>
      <c r="DS79" s="1644" t="e">
        <f t="shared" si="139"/>
        <v>#VALUE!</v>
      </c>
      <c r="DT79" s="1644" t="e">
        <f t="shared" si="140"/>
        <v>#VALUE!</v>
      </c>
      <c r="DU79" s="1644" t="e">
        <f t="shared" si="141"/>
        <v>#VALUE!</v>
      </c>
      <c r="DV79" s="1644" t="e">
        <f t="shared" si="142"/>
        <v>#VALUE!</v>
      </c>
      <c r="DW79" s="1644" t="e">
        <f t="shared" si="143"/>
        <v>#VALUE!</v>
      </c>
      <c r="DX79" s="1644" t="e">
        <f t="shared" si="144"/>
        <v>#VALUE!</v>
      </c>
      <c r="DY79" s="505" t="e">
        <f t="shared" si="145"/>
        <v>#VALUE!</v>
      </c>
      <c r="DZ79" s="1648" t="e">
        <f t="shared" si="146"/>
        <v>#VALUE!</v>
      </c>
      <c r="EA79" s="521" t="e">
        <f t="shared" si="147"/>
        <v>#VALUE!</v>
      </c>
      <c r="EB79" s="522" t="e">
        <f t="shared" si="148"/>
        <v>#VALUE!</v>
      </c>
    </row>
    <row r="80" spans="2:132">
      <c r="B80" s="293"/>
      <c r="AD80" s="294"/>
      <c r="BH80" s="1649">
        <f t="shared" si="149"/>
        <v>-5</v>
      </c>
      <c r="BI80" s="503">
        <v>100</v>
      </c>
      <c r="BJ80" s="1644">
        <f t="shared" si="88"/>
        <v>268.14999999999998</v>
      </c>
      <c r="BK80" s="1644">
        <f t="shared" si="89"/>
        <v>-17.364386028922869</v>
      </c>
      <c r="BL80" s="1644">
        <f t="shared" si="90"/>
        <v>23.360251187395988</v>
      </c>
      <c r="BM80" s="1644">
        <f t="shared" si="91"/>
        <v>0.40176412330968903</v>
      </c>
      <c r="BN80" s="1644">
        <f t="shared" si="92"/>
        <v>0.40176412330968903</v>
      </c>
      <c r="BO80" s="1644">
        <f t="shared" si="93"/>
        <v>2.4760328703835777E-3</v>
      </c>
      <c r="BP80" s="1644">
        <f t="shared" si="94"/>
        <v>1</v>
      </c>
      <c r="BQ80" s="1644">
        <f t="shared" si="95"/>
        <v>0.76281611728619547</v>
      </c>
      <c r="BR80" s="1648">
        <f t="shared" si="96"/>
        <v>1.1402120121741159</v>
      </c>
      <c r="BS80" s="521">
        <f t="shared" si="97"/>
        <v>-5</v>
      </c>
      <c r="BT80" s="522">
        <f t="shared" si="98"/>
        <v>2.4760328703835777E-3</v>
      </c>
      <c r="BV80" s="1647" t="str">
        <f t="shared" si="102"/>
        <v>n/a</v>
      </c>
      <c r="BW80" s="1671">
        <v>70</v>
      </c>
      <c r="BX80" s="1644" t="e">
        <f t="shared" si="103"/>
        <v>#VALUE!</v>
      </c>
      <c r="BY80" s="1644" t="e">
        <f t="shared" si="104"/>
        <v>#VALUE!</v>
      </c>
      <c r="BZ80" s="1644" t="e">
        <f t="shared" si="105"/>
        <v>#VALUE!</v>
      </c>
      <c r="CA80" s="1644" t="e">
        <f t="shared" si="106"/>
        <v>#VALUE!</v>
      </c>
      <c r="CB80" s="1644" t="e">
        <f t="shared" si="107"/>
        <v>#VALUE!</v>
      </c>
      <c r="CC80" s="1644" t="e">
        <f t="shared" si="108"/>
        <v>#VALUE!</v>
      </c>
      <c r="CD80" s="1644" t="e">
        <f t="shared" si="109"/>
        <v>#VALUE!</v>
      </c>
      <c r="CE80" s="1644" t="e">
        <f t="shared" si="110"/>
        <v>#VALUE!</v>
      </c>
      <c r="CF80" s="505" t="e">
        <f t="shared" si="111"/>
        <v>#VALUE!</v>
      </c>
      <c r="CG80" s="1648" t="e">
        <f t="shared" si="112"/>
        <v>#VALUE!</v>
      </c>
      <c r="CH80" s="521" t="e">
        <f t="shared" si="113"/>
        <v>#VALUE!</v>
      </c>
      <c r="CI80" s="522" t="e">
        <f t="shared" si="114"/>
        <v>#VALUE!</v>
      </c>
      <c r="CJ80" s="1672"/>
      <c r="CK80" s="1647" t="str">
        <f t="shared" si="115"/>
        <v>n/a</v>
      </c>
      <c r="CL80" s="1671">
        <v>70</v>
      </c>
      <c r="CM80" s="1644" t="e">
        <f t="shared" si="116"/>
        <v>#VALUE!</v>
      </c>
      <c r="CN80" s="1644" t="e">
        <f t="shared" si="117"/>
        <v>#VALUE!</v>
      </c>
      <c r="CO80" s="1644" t="e">
        <f t="shared" si="118"/>
        <v>#VALUE!</v>
      </c>
      <c r="CP80" s="1644" t="e">
        <f t="shared" si="119"/>
        <v>#VALUE!</v>
      </c>
      <c r="CQ80" s="1644" t="e">
        <f t="shared" si="120"/>
        <v>#VALUE!</v>
      </c>
      <c r="CR80" s="1644" t="e">
        <f t="shared" si="99"/>
        <v>#VALUE!</v>
      </c>
      <c r="CS80" s="1644" t="e">
        <f t="shared" si="121"/>
        <v>#VALUE!</v>
      </c>
      <c r="CT80" s="1644" t="e">
        <f t="shared" si="100"/>
        <v>#VALUE!</v>
      </c>
      <c r="CU80" s="505" t="e">
        <f t="shared" si="122"/>
        <v>#VALUE!</v>
      </c>
      <c r="CV80" s="1648" t="e">
        <f t="shared" si="123"/>
        <v>#VALUE!</v>
      </c>
      <c r="CW80" s="521" t="e">
        <f t="shared" si="124"/>
        <v>#VALUE!</v>
      </c>
      <c r="CX80" s="522" t="e">
        <f t="shared" si="101"/>
        <v>#VALUE!</v>
      </c>
      <c r="CZ80" s="1647" t="str">
        <f t="shared" si="150"/>
        <v>n/a</v>
      </c>
      <c r="DA80" s="1671">
        <v>70</v>
      </c>
      <c r="DB80" s="1644" t="e">
        <f t="shared" si="125"/>
        <v>#VALUE!</v>
      </c>
      <c r="DC80" s="1644" t="e">
        <f t="shared" si="126"/>
        <v>#VALUE!</v>
      </c>
      <c r="DD80" s="1644" t="e">
        <f t="shared" si="127"/>
        <v>#VALUE!</v>
      </c>
      <c r="DE80" s="1644" t="e">
        <f t="shared" si="128"/>
        <v>#VALUE!</v>
      </c>
      <c r="DF80" s="1644" t="e">
        <f t="shared" si="129"/>
        <v>#VALUE!</v>
      </c>
      <c r="DG80" s="1644" t="e">
        <f t="shared" si="130"/>
        <v>#VALUE!</v>
      </c>
      <c r="DH80" s="1644" t="e">
        <f t="shared" si="131"/>
        <v>#VALUE!</v>
      </c>
      <c r="DI80" s="1644" t="e">
        <f t="shared" si="132"/>
        <v>#VALUE!</v>
      </c>
      <c r="DJ80" s="505" t="e">
        <f t="shared" si="133"/>
        <v>#VALUE!</v>
      </c>
      <c r="DK80" s="1648" t="e">
        <f t="shared" si="134"/>
        <v>#VALUE!</v>
      </c>
      <c r="DL80" s="521" t="e">
        <f t="shared" si="135"/>
        <v>#VALUE!</v>
      </c>
      <c r="DM80" s="522" t="e">
        <f t="shared" si="136"/>
        <v>#VALUE!</v>
      </c>
      <c r="DN80" s="1672"/>
      <c r="DO80" s="1647" t="str">
        <f t="shared" si="151"/>
        <v>n/a</v>
      </c>
      <c r="DP80" s="1671">
        <v>70</v>
      </c>
      <c r="DQ80" s="1644" t="e">
        <f t="shared" si="137"/>
        <v>#VALUE!</v>
      </c>
      <c r="DR80" s="1644" t="e">
        <f t="shared" si="138"/>
        <v>#VALUE!</v>
      </c>
      <c r="DS80" s="1644" t="e">
        <f t="shared" si="139"/>
        <v>#VALUE!</v>
      </c>
      <c r="DT80" s="1644" t="e">
        <f t="shared" si="140"/>
        <v>#VALUE!</v>
      </c>
      <c r="DU80" s="1644" t="e">
        <f t="shared" si="141"/>
        <v>#VALUE!</v>
      </c>
      <c r="DV80" s="1644" t="e">
        <f t="shared" si="142"/>
        <v>#VALUE!</v>
      </c>
      <c r="DW80" s="1644" t="e">
        <f t="shared" si="143"/>
        <v>#VALUE!</v>
      </c>
      <c r="DX80" s="1644" t="e">
        <f t="shared" si="144"/>
        <v>#VALUE!</v>
      </c>
      <c r="DY80" s="505" t="e">
        <f t="shared" si="145"/>
        <v>#VALUE!</v>
      </c>
      <c r="DZ80" s="1648" t="e">
        <f t="shared" si="146"/>
        <v>#VALUE!</v>
      </c>
      <c r="EA80" s="521" t="e">
        <f t="shared" si="147"/>
        <v>#VALUE!</v>
      </c>
      <c r="EB80" s="522" t="e">
        <f t="shared" si="148"/>
        <v>#VALUE!</v>
      </c>
    </row>
    <row r="81" spans="2:132">
      <c r="B81" s="293"/>
      <c r="AD81" s="164"/>
      <c r="BH81" s="1649">
        <f t="shared" si="149"/>
        <v>-4.5</v>
      </c>
      <c r="BI81" s="503">
        <v>100</v>
      </c>
      <c r="BJ81" s="1644">
        <f t="shared" si="88"/>
        <v>268.64999999999998</v>
      </c>
      <c r="BK81" s="1644">
        <f t="shared" si="89"/>
        <v>-17.32983951001998</v>
      </c>
      <c r="BL81" s="1644">
        <f t="shared" si="90"/>
        <v>23.368361849220523</v>
      </c>
      <c r="BM81" s="1644">
        <f t="shared" si="91"/>
        <v>0.41927303359767154</v>
      </c>
      <c r="BN81" s="1644">
        <f t="shared" si="92"/>
        <v>0.41927303359767154</v>
      </c>
      <c r="BO81" s="1644">
        <f t="shared" si="93"/>
        <v>2.5843869250742244E-3</v>
      </c>
      <c r="BP81" s="1644">
        <f t="shared" si="94"/>
        <v>1</v>
      </c>
      <c r="BQ81" s="1644">
        <f t="shared" si="95"/>
        <v>0.76437109690822969</v>
      </c>
      <c r="BR81" s="1648">
        <f t="shared" si="96"/>
        <v>1.9155600168117202</v>
      </c>
      <c r="BS81" s="521">
        <f t="shared" si="97"/>
        <v>-4.5</v>
      </c>
      <c r="BT81" s="522">
        <f t="shared" si="98"/>
        <v>2.5843869250742244E-3</v>
      </c>
      <c r="BV81" s="1647" t="str">
        <f t="shared" si="102"/>
        <v>n/a</v>
      </c>
      <c r="BW81" s="1671">
        <v>71</v>
      </c>
      <c r="BX81" s="1644" t="e">
        <f t="shared" si="103"/>
        <v>#VALUE!</v>
      </c>
      <c r="BY81" s="1644" t="e">
        <f t="shared" si="104"/>
        <v>#VALUE!</v>
      </c>
      <c r="BZ81" s="1644" t="e">
        <f t="shared" si="105"/>
        <v>#VALUE!</v>
      </c>
      <c r="CA81" s="1644" t="e">
        <f t="shared" si="106"/>
        <v>#VALUE!</v>
      </c>
      <c r="CB81" s="1644" t="e">
        <f t="shared" si="107"/>
        <v>#VALUE!</v>
      </c>
      <c r="CC81" s="1644" t="e">
        <f t="shared" si="108"/>
        <v>#VALUE!</v>
      </c>
      <c r="CD81" s="1644" t="e">
        <f t="shared" si="109"/>
        <v>#VALUE!</v>
      </c>
      <c r="CE81" s="1644" t="e">
        <f t="shared" si="110"/>
        <v>#VALUE!</v>
      </c>
      <c r="CF81" s="505" t="e">
        <f t="shared" si="111"/>
        <v>#VALUE!</v>
      </c>
      <c r="CG81" s="1648" t="e">
        <f t="shared" si="112"/>
        <v>#VALUE!</v>
      </c>
      <c r="CH81" s="521" t="e">
        <f t="shared" si="113"/>
        <v>#VALUE!</v>
      </c>
      <c r="CI81" s="522" t="e">
        <f t="shared" si="114"/>
        <v>#VALUE!</v>
      </c>
      <c r="CJ81" s="1672"/>
      <c r="CK81" s="1647" t="str">
        <f t="shared" si="115"/>
        <v>n/a</v>
      </c>
      <c r="CL81" s="1671">
        <v>71</v>
      </c>
      <c r="CM81" s="1644" t="e">
        <f t="shared" si="116"/>
        <v>#VALUE!</v>
      </c>
      <c r="CN81" s="1644" t="e">
        <f t="shared" si="117"/>
        <v>#VALUE!</v>
      </c>
      <c r="CO81" s="1644" t="e">
        <f t="shared" si="118"/>
        <v>#VALUE!</v>
      </c>
      <c r="CP81" s="1644" t="e">
        <f t="shared" si="119"/>
        <v>#VALUE!</v>
      </c>
      <c r="CQ81" s="1644" t="e">
        <f t="shared" si="120"/>
        <v>#VALUE!</v>
      </c>
      <c r="CR81" s="1644" t="e">
        <f t="shared" si="99"/>
        <v>#VALUE!</v>
      </c>
      <c r="CS81" s="1644" t="e">
        <f t="shared" si="121"/>
        <v>#VALUE!</v>
      </c>
      <c r="CT81" s="1644" t="e">
        <f t="shared" si="100"/>
        <v>#VALUE!</v>
      </c>
      <c r="CU81" s="505" t="e">
        <f t="shared" si="122"/>
        <v>#VALUE!</v>
      </c>
      <c r="CV81" s="1648" t="e">
        <f t="shared" si="123"/>
        <v>#VALUE!</v>
      </c>
      <c r="CW81" s="521" t="e">
        <f t="shared" si="124"/>
        <v>#VALUE!</v>
      </c>
      <c r="CX81" s="522" t="e">
        <f t="shared" si="101"/>
        <v>#VALUE!</v>
      </c>
      <c r="CZ81" s="1647" t="str">
        <f t="shared" si="150"/>
        <v>n/a</v>
      </c>
      <c r="DA81" s="1671">
        <v>71</v>
      </c>
      <c r="DB81" s="1644" t="e">
        <f t="shared" si="125"/>
        <v>#VALUE!</v>
      </c>
      <c r="DC81" s="1644" t="e">
        <f t="shared" si="126"/>
        <v>#VALUE!</v>
      </c>
      <c r="DD81" s="1644" t="e">
        <f t="shared" si="127"/>
        <v>#VALUE!</v>
      </c>
      <c r="DE81" s="1644" t="e">
        <f t="shared" si="128"/>
        <v>#VALUE!</v>
      </c>
      <c r="DF81" s="1644" t="e">
        <f t="shared" si="129"/>
        <v>#VALUE!</v>
      </c>
      <c r="DG81" s="1644" t="e">
        <f t="shared" si="130"/>
        <v>#VALUE!</v>
      </c>
      <c r="DH81" s="1644" t="e">
        <f t="shared" si="131"/>
        <v>#VALUE!</v>
      </c>
      <c r="DI81" s="1644" t="e">
        <f t="shared" si="132"/>
        <v>#VALUE!</v>
      </c>
      <c r="DJ81" s="505" t="e">
        <f t="shared" si="133"/>
        <v>#VALUE!</v>
      </c>
      <c r="DK81" s="1648" t="e">
        <f t="shared" si="134"/>
        <v>#VALUE!</v>
      </c>
      <c r="DL81" s="521" t="e">
        <f t="shared" si="135"/>
        <v>#VALUE!</v>
      </c>
      <c r="DM81" s="522" t="e">
        <f t="shared" si="136"/>
        <v>#VALUE!</v>
      </c>
      <c r="DN81" s="1672"/>
      <c r="DO81" s="1647" t="str">
        <f t="shared" si="151"/>
        <v>n/a</v>
      </c>
      <c r="DP81" s="1671">
        <v>71</v>
      </c>
      <c r="DQ81" s="1644" t="e">
        <f t="shared" si="137"/>
        <v>#VALUE!</v>
      </c>
      <c r="DR81" s="1644" t="e">
        <f t="shared" si="138"/>
        <v>#VALUE!</v>
      </c>
      <c r="DS81" s="1644" t="e">
        <f t="shared" si="139"/>
        <v>#VALUE!</v>
      </c>
      <c r="DT81" s="1644" t="e">
        <f t="shared" si="140"/>
        <v>#VALUE!</v>
      </c>
      <c r="DU81" s="1644" t="e">
        <f t="shared" si="141"/>
        <v>#VALUE!</v>
      </c>
      <c r="DV81" s="1644" t="e">
        <f t="shared" si="142"/>
        <v>#VALUE!</v>
      </c>
      <c r="DW81" s="1644" t="e">
        <f t="shared" si="143"/>
        <v>#VALUE!</v>
      </c>
      <c r="DX81" s="1644" t="e">
        <f t="shared" si="144"/>
        <v>#VALUE!</v>
      </c>
      <c r="DY81" s="505" t="e">
        <f t="shared" si="145"/>
        <v>#VALUE!</v>
      </c>
      <c r="DZ81" s="1648" t="e">
        <f t="shared" si="146"/>
        <v>#VALUE!</v>
      </c>
      <c r="EA81" s="521" t="e">
        <f t="shared" si="147"/>
        <v>#VALUE!</v>
      </c>
      <c r="EB81" s="522" t="e">
        <f t="shared" si="148"/>
        <v>#VALUE!</v>
      </c>
    </row>
    <row r="82" spans="2:132">
      <c r="B82" s="293"/>
      <c r="BH82" s="1649">
        <f t="shared" si="149"/>
        <v>-4</v>
      </c>
      <c r="BI82" s="503">
        <v>100</v>
      </c>
      <c r="BJ82" s="1644">
        <f t="shared" si="88"/>
        <v>269.14999999999998</v>
      </c>
      <c r="BK82" s="1644">
        <f t="shared" si="89"/>
        <v>-17.295439323795534</v>
      </c>
      <c r="BL82" s="1644">
        <f t="shared" si="90"/>
        <v>23.376459030850857</v>
      </c>
      <c r="BM82" s="1644">
        <f t="shared" si="91"/>
        <v>0.43747506376089712</v>
      </c>
      <c r="BN82" s="1644">
        <f t="shared" si="92"/>
        <v>0.43747506376089712</v>
      </c>
      <c r="BO82" s="1644">
        <f t="shared" si="93"/>
        <v>2.6970702307343784E-3</v>
      </c>
      <c r="BP82" s="1644">
        <f t="shared" si="94"/>
        <v>1</v>
      </c>
      <c r="BQ82" s="1644">
        <f t="shared" si="95"/>
        <v>0.76593187845500088</v>
      </c>
      <c r="BR82" s="1648">
        <f t="shared" si="96"/>
        <v>2.7018998000007786</v>
      </c>
      <c r="BS82" s="521">
        <f t="shared" si="97"/>
        <v>-4</v>
      </c>
      <c r="BT82" s="522">
        <f t="shared" si="98"/>
        <v>2.6970702307343784E-3</v>
      </c>
      <c r="BV82" s="1647" t="str">
        <f t="shared" si="102"/>
        <v>n/a</v>
      </c>
      <c r="BW82" s="1671">
        <v>72</v>
      </c>
      <c r="BX82" s="1644" t="e">
        <f t="shared" si="103"/>
        <v>#VALUE!</v>
      </c>
      <c r="BY82" s="1644" t="e">
        <f t="shared" si="104"/>
        <v>#VALUE!</v>
      </c>
      <c r="BZ82" s="1644" t="e">
        <f t="shared" si="105"/>
        <v>#VALUE!</v>
      </c>
      <c r="CA82" s="1644" t="e">
        <f t="shared" si="106"/>
        <v>#VALUE!</v>
      </c>
      <c r="CB82" s="1644" t="e">
        <f t="shared" si="107"/>
        <v>#VALUE!</v>
      </c>
      <c r="CC82" s="1644" t="e">
        <f t="shared" si="108"/>
        <v>#VALUE!</v>
      </c>
      <c r="CD82" s="1644" t="e">
        <f t="shared" si="109"/>
        <v>#VALUE!</v>
      </c>
      <c r="CE82" s="1644" t="e">
        <f t="shared" si="110"/>
        <v>#VALUE!</v>
      </c>
      <c r="CF82" s="505" t="e">
        <f t="shared" si="111"/>
        <v>#VALUE!</v>
      </c>
      <c r="CG82" s="1648" t="e">
        <f t="shared" si="112"/>
        <v>#VALUE!</v>
      </c>
      <c r="CH82" s="521" t="e">
        <f t="shared" si="113"/>
        <v>#VALUE!</v>
      </c>
      <c r="CI82" s="522" t="e">
        <f t="shared" si="114"/>
        <v>#VALUE!</v>
      </c>
      <c r="CJ82" s="1672"/>
      <c r="CK82" s="1647" t="str">
        <f t="shared" si="115"/>
        <v>n/a</v>
      </c>
      <c r="CL82" s="1671">
        <v>72</v>
      </c>
      <c r="CM82" s="1644" t="e">
        <f t="shared" si="116"/>
        <v>#VALUE!</v>
      </c>
      <c r="CN82" s="1644" t="e">
        <f t="shared" si="117"/>
        <v>#VALUE!</v>
      </c>
      <c r="CO82" s="1644" t="e">
        <f t="shared" si="118"/>
        <v>#VALUE!</v>
      </c>
      <c r="CP82" s="1644" t="e">
        <f t="shared" si="119"/>
        <v>#VALUE!</v>
      </c>
      <c r="CQ82" s="1644" t="e">
        <f t="shared" si="120"/>
        <v>#VALUE!</v>
      </c>
      <c r="CR82" s="1644" t="e">
        <f t="shared" si="99"/>
        <v>#VALUE!</v>
      </c>
      <c r="CS82" s="1644" t="e">
        <f t="shared" si="121"/>
        <v>#VALUE!</v>
      </c>
      <c r="CT82" s="1644" t="e">
        <f t="shared" si="100"/>
        <v>#VALUE!</v>
      </c>
      <c r="CU82" s="505" t="e">
        <f t="shared" si="122"/>
        <v>#VALUE!</v>
      </c>
      <c r="CV82" s="1648" t="e">
        <f t="shared" si="123"/>
        <v>#VALUE!</v>
      </c>
      <c r="CW82" s="521" t="e">
        <f t="shared" si="124"/>
        <v>#VALUE!</v>
      </c>
      <c r="CX82" s="522" t="e">
        <f t="shared" si="101"/>
        <v>#VALUE!</v>
      </c>
      <c r="CZ82" s="1647" t="str">
        <f t="shared" si="150"/>
        <v>n/a</v>
      </c>
      <c r="DA82" s="1671">
        <v>72</v>
      </c>
      <c r="DB82" s="1644" t="e">
        <f t="shared" si="125"/>
        <v>#VALUE!</v>
      </c>
      <c r="DC82" s="1644" t="e">
        <f t="shared" si="126"/>
        <v>#VALUE!</v>
      </c>
      <c r="DD82" s="1644" t="e">
        <f t="shared" si="127"/>
        <v>#VALUE!</v>
      </c>
      <c r="DE82" s="1644" t="e">
        <f t="shared" si="128"/>
        <v>#VALUE!</v>
      </c>
      <c r="DF82" s="1644" t="e">
        <f t="shared" si="129"/>
        <v>#VALUE!</v>
      </c>
      <c r="DG82" s="1644" t="e">
        <f t="shared" si="130"/>
        <v>#VALUE!</v>
      </c>
      <c r="DH82" s="1644" t="e">
        <f t="shared" si="131"/>
        <v>#VALUE!</v>
      </c>
      <c r="DI82" s="1644" t="e">
        <f t="shared" si="132"/>
        <v>#VALUE!</v>
      </c>
      <c r="DJ82" s="505" t="e">
        <f t="shared" si="133"/>
        <v>#VALUE!</v>
      </c>
      <c r="DK82" s="1648" t="e">
        <f t="shared" si="134"/>
        <v>#VALUE!</v>
      </c>
      <c r="DL82" s="521" t="e">
        <f t="shared" si="135"/>
        <v>#VALUE!</v>
      </c>
      <c r="DM82" s="522" t="e">
        <f t="shared" si="136"/>
        <v>#VALUE!</v>
      </c>
      <c r="DN82" s="1672"/>
      <c r="DO82" s="1647" t="str">
        <f t="shared" si="151"/>
        <v>n/a</v>
      </c>
      <c r="DP82" s="1671">
        <v>72</v>
      </c>
      <c r="DQ82" s="1644" t="e">
        <f t="shared" si="137"/>
        <v>#VALUE!</v>
      </c>
      <c r="DR82" s="1644" t="e">
        <f t="shared" si="138"/>
        <v>#VALUE!</v>
      </c>
      <c r="DS82" s="1644" t="e">
        <f t="shared" si="139"/>
        <v>#VALUE!</v>
      </c>
      <c r="DT82" s="1644" t="e">
        <f t="shared" si="140"/>
        <v>#VALUE!</v>
      </c>
      <c r="DU82" s="1644" t="e">
        <f t="shared" si="141"/>
        <v>#VALUE!</v>
      </c>
      <c r="DV82" s="1644" t="e">
        <f t="shared" si="142"/>
        <v>#VALUE!</v>
      </c>
      <c r="DW82" s="1644" t="e">
        <f t="shared" si="143"/>
        <v>#VALUE!</v>
      </c>
      <c r="DX82" s="1644" t="e">
        <f t="shared" si="144"/>
        <v>#VALUE!</v>
      </c>
      <c r="DY82" s="505" t="e">
        <f t="shared" si="145"/>
        <v>#VALUE!</v>
      </c>
      <c r="DZ82" s="1648" t="e">
        <f t="shared" si="146"/>
        <v>#VALUE!</v>
      </c>
      <c r="EA82" s="521" t="e">
        <f t="shared" si="147"/>
        <v>#VALUE!</v>
      </c>
      <c r="EB82" s="522" t="e">
        <f t="shared" si="148"/>
        <v>#VALUE!</v>
      </c>
    </row>
    <row r="83" spans="2:132">
      <c r="B83" s="293"/>
      <c r="V83" s="347"/>
      <c r="W83" s="1630"/>
      <c r="X83" s="347"/>
      <c r="Y83" s="347"/>
      <c r="Z83" s="347"/>
      <c r="AA83" s="347"/>
      <c r="BH83" s="1649">
        <f t="shared" si="149"/>
        <v>-3.5</v>
      </c>
      <c r="BI83" s="503">
        <v>100</v>
      </c>
      <c r="BJ83" s="1644">
        <f t="shared" si="88"/>
        <v>269.64999999999998</v>
      </c>
      <c r="BK83" s="1644">
        <f t="shared" si="89"/>
        <v>-17.261184656235002</v>
      </c>
      <c r="BL83" s="1644">
        <f t="shared" si="90"/>
        <v>23.384542786611853</v>
      </c>
      <c r="BM83" s="1644">
        <f t="shared" si="91"/>
        <v>0.4563947570844219</v>
      </c>
      <c r="BN83" s="1644">
        <f t="shared" si="92"/>
        <v>0.4563947570844219</v>
      </c>
      <c r="BO83" s="1644">
        <f t="shared" si="93"/>
        <v>2.8142394784556215E-3</v>
      </c>
      <c r="BP83" s="1644">
        <f t="shared" si="94"/>
        <v>1</v>
      </c>
      <c r="BQ83" s="1644">
        <f t="shared" si="95"/>
        <v>0.76749868399364174</v>
      </c>
      <c r="BR83" s="1648">
        <f t="shared" si="96"/>
        <v>3.4996339777123655</v>
      </c>
      <c r="BS83" s="521">
        <f t="shared" si="97"/>
        <v>-3.5</v>
      </c>
      <c r="BT83" s="522">
        <f t="shared" si="98"/>
        <v>2.8142394784556215E-3</v>
      </c>
      <c r="BV83" s="1647" t="str">
        <f t="shared" si="102"/>
        <v>n/a</v>
      </c>
      <c r="BW83" s="1671">
        <v>73</v>
      </c>
      <c r="BX83" s="1644" t="e">
        <f t="shared" si="103"/>
        <v>#VALUE!</v>
      </c>
      <c r="BY83" s="1644" t="e">
        <f t="shared" si="104"/>
        <v>#VALUE!</v>
      </c>
      <c r="BZ83" s="1644" t="e">
        <f t="shared" si="105"/>
        <v>#VALUE!</v>
      </c>
      <c r="CA83" s="1644" t="e">
        <f t="shared" si="106"/>
        <v>#VALUE!</v>
      </c>
      <c r="CB83" s="1644" t="e">
        <f t="shared" si="107"/>
        <v>#VALUE!</v>
      </c>
      <c r="CC83" s="1644" t="e">
        <f t="shared" si="108"/>
        <v>#VALUE!</v>
      </c>
      <c r="CD83" s="1644" t="e">
        <f t="shared" si="109"/>
        <v>#VALUE!</v>
      </c>
      <c r="CE83" s="1644" t="e">
        <f t="shared" si="110"/>
        <v>#VALUE!</v>
      </c>
      <c r="CF83" s="505" t="e">
        <f t="shared" si="111"/>
        <v>#VALUE!</v>
      </c>
      <c r="CG83" s="1648" t="e">
        <f t="shared" si="112"/>
        <v>#VALUE!</v>
      </c>
      <c r="CH83" s="521" t="e">
        <f t="shared" si="113"/>
        <v>#VALUE!</v>
      </c>
      <c r="CI83" s="522" t="e">
        <f t="shared" si="114"/>
        <v>#VALUE!</v>
      </c>
      <c r="CJ83" s="1672"/>
      <c r="CK83" s="1647" t="str">
        <f t="shared" si="115"/>
        <v>n/a</v>
      </c>
      <c r="CL83" s="1671">
        <v>73</v>
      </c>
      <c r="CM83" s="1644" t="e">
        <f t="shared" si="116"/>
        <v>#VALUE!</v>
      </c>
      <c r="CN83" s="1644" t="e">
        <f t="shared" si="117"/>
        <v>#VALUE!</v>
      </c>
      <c r="CO83" s="1644" t="e">
        <f t="shared" si="118"/>
        <v>#VALUE!</v>
      </c>
      <c r="CP83" s="1644" t="e">
        <f t="shared" si="119"/>
        <v>#VALUE!</v>
      </c>
      <c r="CQ83" s="1644" t="e">
        <f t="shared" si="120"/>
        <v>#VALUE!</v>
      </c>
      <c r="CR83" s="1644" t="e">
        <f t="shared" si="99"/>
        <v>#VALUE!</v>
      </c>
      <c r="CS83" s="1644" t="e">
        <f t="shared" si="121"/>
        <v>#VALUE!</v>
      </c>
      <c r="CT83" s="1644" t="e">
        <f t="shared" si="100"/>
        <v>#VALUE!</v>
      </c>
      <c r="CU83" s="505" t="e">
        <f t="shared" si="122"/>
        <v>#VALUE!</v>
      </c>
      <c r="CV83" s="1648" t="e">
        <f t="shared" si="123"/>
        <v>#VALUE!</v>
      </c>
      <c r="CW83" s="521" t="e">
        <f t="shared" si="124"/>
        <v>#VALUE!</v>
      </c>
      <c r="CX83" s="522" t="e">
        <f t="shared" si="101"/>
        <v>#VALUE!</v>
      </c>
      <c r="CZ83" s="1647" t="str">
        <f t="shared" si="150"/>
        <v>n/a</v>
      </c>
      <c r="DA83" s="1671">
        <v>73</v>
      </c>
      <c r="DB83" s="1644" t="e">
        <f t="shared" si="125"/>
        <v>#VALUE!</v>
      </c>
      <c r="DC83" s="1644" t="e">
        <f t="shared" si="126"/>
        <v>#VALUE!</v>
      </c>
      <c r="DD83" s="1644" t="e">
        <f t="shared" si="127"/>
        <v>#VALUE!</v>
      </c>
      <c r="DE83" s="1644" t="e">
        <f t="shared" si="128"/>
        <v>#VALUE!</v>
      </c>
      <c r="DF83" s="1644" t="e">
        <f t="shared" si="129"/>
        <v>#VALUE!</v>
      </c>
      <c r="DG83" s="1644" t="e">
        <f t="shared" si="130"/>
        <v>#VALUE!</v>
      </c>
      <c r="DH83" s="1644" t="e">
        <f t="shared" si="131"/>
        <v>#VALUE!</v>
      </c>
      <c r="DI83" s="1644" t="e">
        <f t="shared" si="132"/>
        <v>#VALUE!</v>
      </c>
      <c r="DJ83" s="505" t="e">
        <f t="shared" si="133"/>
        <v>#VALUE!</v>
      </c>
      <c r="DK83" s="1648" t="e">
        <f t="shared" si="134"/>
        <v>#VALUE!</v>
      </c>
      <c r="DL83" s="521" t="e">
        <f t="shared" si="135"/>
        <v>#VALUE!</v>
      </c>
      <c r="DM83" s="522" t="e">
        <f t="shared" si="136"/>
        <v>#VALUE!</v>
      </c>
      <c r="DN83" s="1672"/>
      <c r="DO83" s="1647" t="str">
        <f t="shared" si="151"/>
        <v>n/a</v>
      </c>
      <c r="DP83" s="1671">
        <v>73</v>
      </c>
      <c r="DQ83" s="1644" t="e">
        <f t="shared" si="137"/>
        <v>#VALUE!</v>
      </c>
      <c r="DR83" s="1644" t="e">
        <f t="shared" si="138"/>
        <v>#VALUE!</v>
      </c>
      <c r="DS83" s="1644" t="e">
        <f t="shared" si="139"/>
        <v>#VALUE!</v>
      </c>
      <c r="DT83" s="1644" t="e">
        <f t="shared" si="140"/>
        <v>#VALUE!</v>
      </c>
      <c r="DU83" s="1644" t="e">
        <f t="shared" si="141"/>
        <v>#VALUE!</v>
      </c>
      <c r="DV83" s="1644" t="e">
        <f t="shared" si="142"/>
        <v>#VALUE!</v>
      </c>
      <c r="DW83" s="1644" t="e">
        <f t="shared" si="143"/>
        <v>#VALUE!</v>
      </c>
      <c r="DX83" s="1644" t="e">
        <f t="shared" si="144"/>
        <v>#VALUE!</v>
      </c>
      <c r="DY83" s="505" t="e">
        <f t="shared" si="145"/>
        <v>#VALUE!</v>
      </c>
      <c r="DZ83" s="1648" t="e">
        <f t="shared" si="146"/>
        <v>#VALUE!</v>
      </c>
      <c r="EA83" s="521" t="e">
        <f t="shared" si="147"/>
        <v>#VALUE!</v>
      </c>
      <c r="EB83" s="522" t="e">
        <f t="shared" si="148"/>
        <v>#VALUE!</v>
      </c>
    </row>
    <row r="84" spans="2:132">
      <c r="B84" s="293"/>
      <c r="V84" s="347"/>
      <c r="W84" s="1630"/>
      <c r="X84" s="347"/>
      <c r="Y84" s="347"/>
      <c r="Z84" s="347"/>
      <c r="AA84" s="347"/>
      <c r="BH84" s="1649">
        <f t="shared" si="149"/>
        <v>-3</v>
      </c>
      <c r="BI84" s="503">
        <v>100</v>
      </c>
      <c r="BJ84" s="1644">
        <f t="shared" si="88"/>
        <v>270.14999999999998</v>
      </c>
      <c r="BK84" s="1644">
        <f t="shared" si="89"/>
        <v>-17.227074699350243</v>
      </c>
      <c r="BL84" s="1644">
        <f t="shared" si="90"/>
        <v>23.392613170529465</v>
      </c>
      <c r="BM84" s="1644">
        <f t="shared" si="91"/>
        <v>0.47605741712982341</v>
      </c>
      <c r="BN84" s="1644">
        <f t="shared" si="92"/>
        <v>0.47605741712982341</v>
      </c>
      <c r="BO84" s="1644">
        <f t="shared" si="93"/>
        <v>2.9360564892695435E-3</v>
      </c>
      <c r="BP84" s="1644">
        <f t="shared" si="94"/>
        <v>1</v>
      </c>
      <c r="BQ84" s="1644">
        <f t="shared" si="95"/>
        <v>0.76907174333237649</v>
      </c>
      <c r="BR84" s="1648">
        <f t="shared" si="96"/>
        <v>4.3091785337737338</v>
      </c>
      <c r="BS84" s="521">
        <f t="shared" si="97"/>
        <v>-3</v>
      </c>
      <c r="BT84" s="522">
        <f t="shared" si="98"/>
        <v>2.9360564892695435E-3</v>
      </c>
      <c r="BV84" s="1647" t="str">
        <f t="shared" si="102"/>
        <v>n/a</v>
      </c>
      <c r="BW84" s="1671">
        <v>74</v>
      </c>
      <c r="BX84" s="1644" t="e">
        <f t="shared" si="103"/>
        <v>#VALUE!</v>
      </c>
      <c r="BY84" s="1644" t="e">
        <f t="shared" si="104"/>
        <v>#VALUE!</v>
      </c>
      <c r="BZ84" s="1644" t="e">
        <f t="shared" si="105"/>
        <v>#VALUE!</v>
      </c>
      <c r="CA84" s="1644" t="e">
        <f t="shared" si="106"/>
        <v>#VALUE!</v>
      </c>
      <c r="CB84" s="1644" t="e">
        <f t="shared" si="107"/>
        <v>#VALUE!</v>
      </c>
      <c r="CC84" s="1644" t="e">
        <f t="shared" si="108"/>
        <v>#VALUE!</v>
      </c>
      <c r="CD84" s="1644" t="e">
        <f t="shared" si="109"/>
        <v>#VALUE!</v>
      </c>
      <c r="CE84" s="1644" t="e">
        <f t="shared" si="110"/>
        <v>#VALUE!</v>
      </c>
      <c r="CF84" s="505" t="e">
        <f t="shared" si="111"/>
        <v>#VALUE!</v>
      </c>
      <c r="CG84" s="1648" t="e">
        <f t="shared" si="112"/>
        <v>#VALUE!</v>
      </c>
      <c r="CH84" s="521" t="e">
        <f t="shared" si="113"/>
        <v>#VALUE!</v>
      </c>
      <c r="CI84" s="522" t="e">
        <f t="shared" si="114"/>
        <v>#VALUE!</v>
      </c>
      <c r="CJ84" s="1672"/>
      <c r="CK84" s="1647" t="str">
        <f t="shared" si="115"/>
        <v>n/a</v>
      </c>
      <c r="CL84" s="1671">
        <v>74</v>
      </c>
      <c r="CM84" s="1644" t="e">
        <f t="shared" si="116"/>
        <v>#VALUE!</v>
      </c>
      <c r="CN84" s="1644" t="e">
        <f t="shared" si="117"/>
        <v>#VALUE!</v>
      </c>
      <c r="CO84" s="1644" t="e">
        <f t="shared" si="118"/>
        <v>#VALUE!</v>
      </c>
      <c r="CP84" s="1644" t="e">
        <f t="shared" si="119"/>
        <v>#VALUE!</v>
      </c>
      <c r="CQ84" s="1644" t="e">
        <f t="shared" si="120"/>
        <v>#VALUE!</v>
      </c>
      <c r="CR84" s="1644" t="e">
        <f t="shared" si="99"/>
        <v>#VALUE!</v>
      </c>
      <c r="CS84" s="1644" t="e">
        <f t="shared" si="121"/>
        <v>#VALUE!</v>
      </c>
      <c r="CT84" s="1644" t="e">
        <f t="shared" si="100"/>
        <v>#VALUE!</v>
      </c>
      <c r="CU84" s="505" t="e">
        <f t="shared" si="122"/>
        <v>#VALUE!</v>
      </c>
      <c r="CV84" s="1648" t="e">
        <f t="shared" si="123"/>
        <v>#VALUE!</v>
      </c>
      <c r="CW84" s="521" t="e">
        <f t="shared" si="124"/>
        <v>#VALUE!</v>
      </c>
      <c r="CX84" s="522" t="e">
        <f t="shared" si="101"/>
        <v>#VALUE!</v>
      </c>
      <c r="CZ84" s="1647" t="str">
        <f t="shared" si="150"/>
        <v>n/a</v>
      </c>
      <c r="DA84" s="1671">
        <v>74</v>
      </c>
      <c r="DB84" s="1644" t="e">
        <f t="shared" si="125"/>
        <v>#VALUE!</v>
      </c>
      <c r="DC84" s="1644" t="e">
        <f t="shared" si="126"/>
        <v>#VALUE!</v>
      </c>
      <c r="DD84" s="1644" t="e">
        <f t="shared" si="127"/>
        <v>#VALUE!</v>
      </c>
      <c r="DE84" s="1644" t="e">
        <f t="shared" si="128"/>
        <v>#VALUE!</v>
      </c>
      <c r="DF84" s="1644" t="e">
        <f t="shared" si="129"/>
        <v>#VALUE!</v>
      </c>
      <c r="DG84" s="1644" t="e">
        <f t="shared" si="130"/>
        <v>#VALUE!</v>
      </c>
      <c r="DH84" s="1644" t="e">
        <f t="shared" si="131"/>
        <v>#VALUE!</v>
      </c>
      <c r="DI84" s="1644" t="e">
        <f t="shared" si="132"/>
        <v>#VALUE!</v>
      </c>
      <c r="DJ84" s="505" t="e">
        <f t="shared" si="133"/>
        <v>#VALUE!</v>
      </c>
      <c r="DK84" s="1648" t="e">
        <f t="shared" si="134"/>
        <v>#VALUE!</v>
      </c>
      <c r="DL84" s="521" t="e">
        <f t="shared" si="135"/>
        <v>#VALUE!</v>
      </c>
      <c r="DM84" s="522" t="e">
        <f t="shared" si="136"/>
        <v>#VALUE!</v>
      </c>
      <c r="DN84" s="1672"/>
      <c r="DO84" s="1647" t="str">
        <f t="shared" si="151"/>
        <v>n/a</v>
      </c>
      <c r="DP84" s="1671">
        <v>74</v>
      </c>
      <c r="DQ84" s="1644" t="e">
        <f t="shared" si="137"/>
        <v>#VALUE!</v>
      </c>
      <c r="DR84" s="1644" t="e">
        <f t="shared" si="138"/>
        <v>#VALUE!</v>
      </c>
      <c r="DS84" s="1644" t="e">
        <f t="shared" si="139"/>
        <v>#VALUE!</v>
      </c>
      <c r="DT84" s="1644" t="e">
        <f t="shared" si="140"/>
        <v>#VALUE!</v>
      </c>
      <c r="DU84" s="1644" t="e">
        <f t="shared" si="141"/>
        <v>#VALUE!</v>
      </c>
      <c r="DV84" s="1644" t="e">
        <f t="shared" si="142"/>
        <v>#VALUE!</v>
      </c>
      <c r="DW84" s="1644" t="e">
        <f t="shared" si="143"/>
        <v>#VALUE!</v>
      </c>
      <c r="DX84" s="1644" t="e">
        <f t="shared" si="144"/>
        <v>#VALUE!</v>
      </c>
      <c r="DY84" s="505" t="e">
        <f t="shared" si="145"/>
        <v>#VALUE!</v>
      </c>
      <c r="DZ84" s="1648" t="e">
        <f t="shared" si="146"/>
        <v>#VALUE!</v>
      </c>
      <c r="EA84" s="521" t="e">
        <f t="shared" si="147"/>
        <v>#VALUE!</v>
      </c>
      <c r="EB84" s="522" t="e">
        <f t="shared" si="148"/>
        <v>#VALUE!</v>
      </c>
    </row>
    <row r="85" spans="2:132">
      <c r="B85" s="293"/>
      <c r="V85" s="347"/>
      <c r="W85" s="1630"/>
      <c r="X85" s="347"/>
      <c r="Y85" s="347"/>
      <c r="Z85" s="347"/>
      <c r="AA85" s="347"/>
      <c r="BH85" s="1649">
        <f t="shared" si="149"/>
        <v>-2.5</v>
      </c>
      <c r="BI85" s="503">
        <v>100</v>
      </c>
      <c r="BJ85" s="1644">
        <f t="shared" si="88"/>
        <v>270.64999999999998</v>
      </c>
      <c r="BK85" s="1644">
        <f t="shared" si="89"/>
        <v>-17.19310865112384</v>
      </c>
      <c r="BL85" s="1644">
        <f t="shared" si="90"/>
        <v>23.400670236332871</v>
      </c>
      <c r="BM85" s="1644">
        <f t="shared" si="91"/>
        <v>0.49648912762491237</v>
      </c>
      <c r="BN85" s="1644">
        <f t="shared" si="92"/>
        <v>0.49648912762491237</v>
      </c>
      <c r="BO85" s="1644">
        <f t="shared" si="93"/>
        <v>3.0626883698700886E-3</v>
      </c>
      <c r="BP85" s="1644">
        <f t="shared" si="94"/>
        <v>1</v>
      </c>
      <c r="BQ85" s="1644">
        <f t="shared" si="95"/>
        <v>0.77065129427094836</v>
      </c>
      <c r="BR85" s="1648">
        <f t="shared" si="96"/>
        <v>5.1309632317760538</v>
      </c>
      <c r="BS85" s="521">
        <f t="shared" si="97"/>
        <v>-2.5</v>
      </c>
      <c r="BT85" s="522">
        <f t="shared" si="98"/>
        <v>3.0626883698700886E-3</v>
      </c>
      <c r="BV85" s="1647" t="str">
        <f t="shared" si="102"/>
        <v>n/a</v>
      </c>
      <c r="BW85" s="1671">
        <v>75</v>
      </c>
      <c r="BX85" s="1644" t="e">
        <f t="shared" si="103"/>
        <v>#VALUE!</v>
      </c>
      <c r="BY85" s="1644" t="e">
        <f t="shared" si="104"/>
        <v>#VALUE!</v>
      </c>
      <c r="BZ85" s="1644" t="e">
        <f t="shared" si="105"/>
        <v>#VALUE!</v>
      </c>
      <c r="CA85" s="1644" t="e">
        <f t="shared" si="106"/>
        <v>#VALUE!</v>
      </c>
      <c r="CB85" s="1644" t="e">
        <f t="shared" si="107"/>
        <v>#VALUE!</v>
      </c>
      <c r="CC85" s="1644" t="e">
        <f t="shared" si="108"/>
        <v>#VALUE!</v>
      </c>
      <c r="CD85" s="1644" t="e">
        <f t="shared" si="109"/>
        <v>#VALUE!</v>
      </c>
      <c r="CE85" s="1644" t="e">
        <f t="shared" si="110"/>
        <v>#VALUE!</v>
      </c>
      <c r="CF85" s="505" t="e">
        <f t="shared" si="111"/>
        <v>#VALUE!</v>
      </c>
      <c r="CG85" s="1648" t="e">
        <f t="shared" si="112"/>
        <v>#VALUE!</v>
      </c>
      <c r="CH85" s="521" t="e">
        <f t="shared" si="113"/>
        <v>#VALUE!</v>
      </c>
      <c r="CI85" s="522" t="e">
        <f t="shared" si="114"/>
        <v>#VALUE!</v>
      </c>
      <c r="CJ85" s="1672"/>
      <c r="CK85" s="1647" t="str">
        <f t="shared" si="115"/>
        <v>n/a</v>
      </c>
      <c r="CL85" s="1671">
        <v>75</v>
      </c>
      <c r="CM85" s="1644" t="e">
        <f t="shared" si="116"/>
        <v>#VALUE!</v>
      </c>
      <c r="CN85" s="1644" t="e">
        <f t="shared" si="117"/>
        <v>#VALUE!</v>
      </c>
      <c r="CO85" s="1644" t="e">
        <f t="shared" si="118"/>
        <v>#VALUE!</v>
      </c>
      <c r="CP85" s="1644" t="e">
        <f t="shared" si="119"/>
        <v>#VALUE!</v>
      </c>
      <c r="CQ85" s="1644" t="e">
        <f t="shared" si="120"/>
        <v>#VALUE!</v>
      </c>
      <c r="CR85" s="1644" t="e">
        <f t="shared" si="99"/>
        <v>#VALUE!</v>
      </c>
      <c r="CS85" s="1644" t="e">
        <f t="shared" si="121"/>
        <v>#VALUE!</v>
      </c>
      <c r="CT85" s="1644" t="e">
        <f t="shared" si="100"/>
        <v>#VALUE!</v>
      </c>
      <c r="CU85" s="505" t="e">
        <f t="shared" si="122"/>
        <v>#VALUE!</v>
      </c>
      <c r="CV85" s="1648" t="e">
        <f t="shared" si="123"/>
        <v>#VALUE!</v>
      </c>
      <c r="CW85" s="521" t="e">
        <f t="shared" si="124"/>
        <v>#VALUE!</v>
      </c>
      <c r="CX85" s="522" t="e">
        <f t="shared" si="101"/>
        <v>#VALUE!</v>
      </c>
      <c r="CZ85" s="1647" t="str">
        <f t="shared" si="150"/>
        <v>n/a</v>
      </c>
      <c r="DA85" s="1671">
        <v>75</v>
      </c>
      <c r="DB85" s="1644" t="e">
        <f t="shared" si="125"/>
        <v>#VALUE!</v>
      </c>
      <c r="DC85" s="1644" t="e">
        <f t="shared" si="126"/>
        <v>#VALUE!</v>
      </c>
      <c r="DD85" s="1644" t="e">
        <f t="shared" si="127"/>
        <v>#VALUE!</v>
      </c>
      <c r="DE85" s="1644" t="e">
        <f t="shared" si="128"/>
        <v>#VALUE!</v>
      </c>
      <c r="DF85" s="1644" t="e">
        <f t="shared" si="129"/>
        <v>#VALUE!</v>
      </c>
      <c r="DG85" s="1644" t="e">
        <f t="shared" si="130"/>
        <v>#VALUE!</v>
      </c>
      <c r="DH85" s="1644" t="e">
        <f t="shared" si="131"/>
        <v>#VALUE!</v>
      </c>
      <c r="DI85" s="1644" t="e">
        <f t="shared" si="132"/>
        <v>#VALUE!</v>
      </c>
      <c r="DJ85" s="505" t="e">
        <f t="shared" si="133"/>
        <v>#VALUE!</v>
      </c>
      <c r="DK85" s="1648" t="e">
        <f t="shared" si="134"/>
        <v>#VALUE!</v>
      </c>
      <c r="DL85" s="521" t="e">
        <f t="shared" si="135"/>
        <v>#VALUE!</v>
      </c>
      <c r="DM85" s="522" t="e">
        <f t="shared" si="136"/>
        <v>#VALUE!</v>
      </c>
      <c r="DN85" s="1672"/>
      <c r="DO85" s="1647" t="str">
        <f t="shared" si="151"/>
        <v>n/a</v>
      </c>
      <c r="DP85" s="1671">
        <v>75</v>
      </c>
      <c r="DQ85" s="1644" t="e">
        <f t="shared" si="137"/>
        <v>#VALUE!</v>
      </c>
      <c r="DR85" s="1644" t="e">
        <f t="shared" si="138"/>
        <v>#VALUE!</v>
      </c>
      <c r="DS85" s="1644" t="e">
        <f t="shared" si="139"/>
        <v>#VALUE!</v>
      </c>
      <c r="DT85" s="1644" t="e">
        <f t="shared" si="140"/>
        <v>#VALUE!</v>
      </c>
      <c r="DU85" s="1644" t="e">
        <f t="shared" si="141"/>
        <v>#VALUE!</v>
      </c>
      <c r="DV85" s="1644" t="e">
        <f t="shared" si="142"/>
        <v>#VALUE!</v>
      </c>
      <c r="DW85" s="1644" t="e">
        <f t="shared" si="143"/>
        <v>#VALUE!</v>
      </c>
      <c r="DX85" s="1644" t="e">
        <f t="shared" si="144"/>
        <v>#VALUE!</v>
      </c>
      <c r="DY85" s="505" t="e">
        <f t="shared" si="145"/>
        <v>#VALUE!</v>
      </c>
      <c r="DZ85" s="1648" t="e">
        <f t="shared" si="146"/>
        <v>#VALUE!</v>
      </c>
      <c r="EA85" s="521" t="e">
        <f t="shared" si="147"/>
        <v>#VALUE!</v>
      </c>
      <c r="EB85" s="522" t="e">
        <f t="shared" si="148"/>
        <v>#VALUE!</v>
      </c>
    </row>
    <row r="86" spans="2:132">
      <c r="B86" s="293"/>
      <c r="V86" s="347"/>
      <c r="W86" s="1630"/>
      <c r="X86" s="347"/>
      <c r="Y86" s="347"/>
      <c r="Z86" s="347"/>
      <c r="AA86" s="347"/>
      <c r="BH86" s="1649">
        <f t="shared" si="149"/>
        <v>-2</v>
      </c>
      <c r="BI86" s="503">
        <v>100</v>
      </c>
      <c r="BJ86" s="1644">
        <f t="shared" si="88"/>
        <v>271.14999999999998</v>
      </c>
      <c r="BK86" s="1644">
        <f t="shared" si="89"/>
        <v>-17.159285715454061</v>
      </c>
      <c r="BL86" s="1644">
        <f t="shared" si="90"/>
        <v>23.408714037456711</v>
      </c>
      <c r="BM86" s="1644">
        <f t="shared" si="91"/>
        <v>0.51771677276537653</v>
      </c>
      <c r="BN86" s="1644">
        <f t="shared" si="92"/>
        <v>0.51771677276537653</v>
      </c>
      <c r="BO86" s="1644">
        <f t="shared" si="93"/>
        <v>3.1943076731742845E-3</v>
      </c>
      <c r="BP86" s="1644">
        <f t="shared" si="94"/>
        <v>1</v>
      </c>
      <c r="BQ86" s="1644">
        <f t="shared" si="95"/>
        <v>0.77223758285915278</v>
      </c>
      <c r="BR86" s="1648">
        <f t="shared" si="96"/>
        <v>5.9654320399087268</v>
      </c>
      <c r="BS86" s="521">
        <f t="shared" si="97"/>
        <v>-2</v>
      </c>
      <c r="BT86" s="522">
        <f t="shared" si="98"/>
        <v>3.1943076731742845E-3</v>
      </c>
      <c r="BV86" s="1647" t="str">
        <f t="shared" si="102"/>
        <v>n/a</v>
      </c>
      <c r="BW86" s="1671">
        <v>76</v>
      </c>
      <c r="BX86" s="1644" t="e">
        <f t="shared" si="103"/>
        <v>#VALUE!</v>
      </c>
      <c r="BY86" s="1644" t="e">
        <f t="shared" si="104"/>
        <v>#VALUE!</v>
      </c>
      <c r="BZ86" s="1644" t="e">
        <f t="shared" si="105"/>
        <v>#VALUE!</v>
      </c>
      <c r="CA86" s="1644" t="e">
        <f t="shared" si="106"/>
        <v>#VALUE!</v>
      </c>
      <c r="CB86" s="1644" t="e">
        <f t="shared" si="107"/>
        <v>#VALUE!</v>
      </c>
      <c r="CC86" s="1644" t="e">
        <f t="shared" si="108"/>
        <v>#VALUE!</v>
      </c>
      <c r="CD86" s="1644" t="e">
        <f t="shared" si="109"/>
        <v>#VALUE!</v>
      </c>
      <c r="CE86" s="1644" t="e">
        <f t="shared" si="110"/>
        <v>#VALUE!</v>
      </c>
      <c r="CF86" s="505" t="e">
        <f t="shared" si="111"/>
        <v>#VALUE!</v>
      </c>
      <c r="CG86" s="1648" t="e">
        <f t="shared" si="112"/>
        <v>#VALUE!</v>
      </c>
      <c r="CH86" s="521" t="e">
        <f t="shared" si="113"/>
        <v>#VALUE!</v>
      </c>
      <c r="CI86" s="522" t="e">
        <f t="shared" si="114"/>
        <v>#VALUE!</v>
      </c>
      <c r="CJ86" s="1672"/>
      <c r="CK86" s="1647" t="str">
        <f t="shared" si="115"/>
        <v>n/a</v>
      </c>
      <c r="CL86" s="1671">
        <v>76</v>
      </c>
      <c r="CM86" s="1644" t="e">
        <f t="shared" si="116"/>
        <v>#VALUE!</v>
      </c>
      <c r="CN86" s="1644" t="e">
        <f t="shared" si="117"/>
        <v>#VALUE!</v>
      </c>
      <c r="CO86" s="1644" t="e">
        <f t="shared" si="118"/>
        <v>#VALUE!</v>
      </c>
      <c r="CP86" s="1644" t="e">
        <f t="shared" si="119"/>
        <v>#VALUE!</v>
      </c>
      <c r="CQ86" s="1644" t="e">
        <f t="shared" si="120"/>
        <v>#VALUE!</v>
      </c>
      <c r="CR86" s="1644" t="e">
        <f t="shared" si="99"/>
        <v>#VALUE!</v>
      </c>
      <c r="CS86" s="1644" t="e">
        <f t="shared" si="121"/>
        <v>#VALUE!</v>
      </c>
      <c r="CT86" s="1644" t="e">
        <f t="shared" si="100"/>
        <v>#VALUE!</v>
      </c>
      <c r="CU86" s="505" t="e">
        <f t="shared" si="122"/>
        <v>#VALUE!</v>
      </c>
      <c r="CV86" s="1648" t="e">
        <f t="shared" si="123"/>
        <v>#VALUE!</v>
      </c>
      <c r="CW86" s="521" t="e">
        <f t="shared" si="124"/>
        <v>#VALUE!</v>
      </c>
      <c r="CX86" s="522" t="e">
        <f t="shared" si="101"/>
        <v>#VALUE!</v>
      </c>
      <c r="CZ86" s="1647" t="str">
        <f t="shared" si="150"/>
        <v>n/a</v>
      </c>
      <c r="DA86" s="1671">
        <v>76</v>
      </c>
      <c r="DB86" s="1644" t="e">
        <f t="shared" si="125"/>
        <v>#VALUE!</v>
      </c>
      <c r="DC86" s="1644" t="e">
        <f t="shared" si="126"/>
        <v>#VALUE!</v>
      </c>
      <c r="DD86" s="1644" t="e">
        <f t="shared" si="127"/>
        <v>#VALUE!</v>
      </c>
      <c r="DE86" s="1644" t="e">
        <f t="shared" si="128"/>
        <v>#VALUE!</v>
      </c>
      <c r="DF86" s="1644" t="e">
        <f t="shared" si="129"/>
        <v>#VALUE!</v>
      </c>
      <c r="DG86" s="1644" t="e">
        <f t="shared" si="130"/>
        <v>#VALUE!</v>
      </c>
      <c r="DH86" s="1644" t="e">
        <f t="shared" si="131"/>
        <v>#VALUE!</v>
      </c>
      <c r="DI86" s="1644" t="e">
        <f t="shared" si="132"/>
        <v>#VALUE!</v>
      </c>
      <c r="DJ86" s="505" t="e">
        <f t="shared" si="133"/>
        <v>#VALUE!</v>
      </c>
      <c r="DK86" s="1648" t="e">
        <f t="shared" si="134"/>
        <v>#VALUE!</v>
      </c>
      <c r="DL86" s="521" t="e">
        <f t="shared" si="135"/>
        <v>#VALUE!</v>
      </c>
      <c r="DM86" s="522" t="e">
        <f t="shared" si="136"/>
        <v>#VALUE!</v>
      </c>
      <c r="DN86" s="1672"/>
      <c r="DO86" s="1647" t="str">
        <f t="shared" si="151"/>
        <v>n/a</v>
      </c>
      <c r="DP86" s="1671">
        <v>76</v>
      </c>
      <c r="DQ86" s="1644" t="e">
        <f t="shared" si="137"/>
        <v>#VALUE!</v>
      </c>
      <c r="DR86" s="1644" t="e">
        <f t="shared" si="138"/>
        <v>#VALUE!</v>
      </c>
      <c r="DS86" s="1644" t="e">
        <f t="shared" si="139"/>
        <v>#VALUE!</v>
      </c>
      <c r="DT86" s="1644" t="e">
        <f t="shared" si="140"/>
        <v>#VALUE!</v>
      </c>
      <c r="DU86" s="1644" t="e">
        <f t="shared" si="141"/>
        <v>#VALUE!</v>
      </c>
      <c r="DV86" s="1644" t="e">
        <f t="shared" si="142"/>
        <v>#VALUE!</v>
      </c>
      <c r="DW86" s="1644" t="e">
        <f t="shared" si="143"/>
        <v>#VALUE!</v>
      </c>
      <c r="DX86" s="1644" t="e">
        <f t="shared" si="144"/>
        <v>#VALUE!</v>
      </c>
      <c r="DY86" s="505" t="e">
        <f t="shared" si="145"/>
        <v>#VALUE!</v>
      </c>
      <c r="DZ86" s="1648" t="e">
        <f t="shared" si="146"/>
        <v>#VALUE!</v>
      </c>
      <c r="EA86" s="521" t="e">
        <f t="shared" si="147"/>
        <v>#VALUE!</v>
      </c>
      <c r="EB86" s="522" t="e">
        <f t="shared" si="148"/>
        <v>#VALUE!</v>
      </c>
    </row>
    <row r="87" spans="2:132">
      <c r="B87" s="293"/>
      <c r="V87" s="347"/>
      <c r="W87" s="1630"/>
      <c r="X87" s="347"/>
      <c r="Y87" s="347"/>
      <c r="Z87" s="347"/>
      <c r="AA87" s="347"/>
      <c r="BH87" s="1649">
        <f t="shared" si="149"/>
        <v>-1.5</v>
      </c>
      <c r="BI87" s="503">
        <v>100</v>
      </c>
      <c r="BJ87" s="1644">
        <f t="shared" si="88"/>
        <v>271.64999999999998</v>
      </c>
      <c r="BK87" s="1644">
        <f t="shared" si="89"/>
        <v>-17.12560510210038</v>
      </c>
      <c r="BL87" s="1644">
        <f t="shared" si="90"/>
        <v>23.416744627043204</v>
      </c>
      <c r="BM87" s="1644">
        <f t="shared" si="91"/>
        <v>0.53976805793405058</v>
      </c>
      <c r="BN87" s="1644">
        <f t="shared" si="92"/>
        <v>0.53976805793405058</v>
      </c>
      <c r="BO87" s="1644">
        <f t="shared" si="93"/>
        <v>3.3310925639066296E-3</v>
      </c>
      <c r="BP87" s="1644">
        <f t="shared" si="94"/>
        <v>1</v>
      </c>
      <c r="BQ87" s="1644">
        <f t="shared" si="95"/>
        <v>0.77383086366378062</v>
      </c>
      <c r="BR87" s="1648">
        <f t="shared" si="96"/>
        <v>6.8130435692137024</v>
      </c>
      <c r="BS87" s="521">
        <f t="shared" si="97"/>
        <v>-1.5</v>
      </c>
      <c r="BT87" s="522">
        <f t="shared" si="98"/>
        <v>3.3310925639066296E-3</v>
      </c>
      <c r="BV87" s="1647" t="str">
        <f t="shared" si="102"/>
        <v>n/a</v>
      </c>
      <c r="BW87" s="1671">
        <v>77</v>
      </c>
      <c r="BX87" s="1644" t="e">
        <f t="shared" si="103"/>
        <v>#VALUE!</v>
      </c>
      <c r="BY87" s="1644" t="e">
        <f t="shared" si="104"/>
        <v>#VALUE!</v>
      </c>
      <c r="BZ87" s="1644" t="e">
        <f t="shared" si="105"/>
        <v>#VALUE!</v>
      </c>
      <c r="CA87" s="1644" t="e">
        <f t="shared" si="106"/>
        <v>#VALUE!</v>
      </c>
      <c r="CB87" s="1644" t="e">
        <f t="shared" si="107"/>
        <v>#VALUE!</v>
      </c>
      <c r="CC87" s="1644" t="e">
        <f t="shared" si="108"/>
        <v>#VALUE!</v>
      </c>
      <c r="CD87" s="1644" t="e">
        <f t="shared" si="109"/>
        <v>#VALUE!</v>
      </c>
      <c r="CE87" s="1644" t="e">
        <f t="shared" si="110"/>
        <v>#VALUE!</v>
      </c>
      <c r="CF87" s="505" t="e">
        <f t="shared" si="111"/>
        <v>#VALUE!</v>
      </c>
      <c r="CG87" s="1648" t="e">
        <f t="shared" si="112"/>
        <v>#VALUE!</v>
      </c>
      <c r="CH87" s="521" t="e">
        <f t="shared" si="113"/>
        <v>#VALUE!</v>
      </c>
      <c r="CI87" s="522" t="e">
        <f t="shared" si="114"/>
        <v>#VALUE!</v>
      </c>
      <c r="CJ87" s="1672"/>
      <c r="CK87" s="1647" t="str">
        <f t="shared" si="115"/>
        <v>n/a</v>
      </c>
      <c r="CL87" s="1671">
        <v>77</v>
      </c>
      <c r="CM87" s="1644" t="e">
        <f t="shared" si="116"/>
        <v>#VALUE!</v>
      </c>
      <c r="CN87" s="1644" t="e">
        <f t="shared" si="117"/>
        <v>#VALUE!</v>
      </c>
      <c r="CO87" s="1644" t="e">
        <f t="shared" si="118"/>
        <v>#VALUE!</v>
      </c>
      <c r="CP87" s="1644" t="e">
        <f t="shared" si="119"/>
        <v>#VALUE!</v>
      </c>
      <c r="CQ87" s="1644" t="e">
        <f t="shared" si="120"/>
        <v>#VALUE!</v>
      </c>
      <c r="CR87" s="1644" t="e">
        <f t="shared" si="99"/>
        <v>#VALUE!</v>
      </c>
      <c r="CS87" s="1644" t="e">
        <f t="shared" si="121"/>
        <v>#VALUE!</v>
      </c>
      <c r="CT87" s="1644" t="e">
        <f t="shared" si="100"/>
        <v>#VALUE!</v>
      </c>
      <c r="CU87" s="505" t="e">
        <f t="shared" si="122"/>
        <v>#VALUE!</v>
      </c>
      <c r="CV87" s="1648" t="e">
        <f t="shared" si="123"/>
        <v>#VALUE!</v>
      </c>
      <c r="CW87" s="521" t="e">
        <f t="shared" si="124"/>
        <v>#VALUE!</v>
      </c>
      <c r="CX87" s="522" t="e">
        <f t="shared" si="101"/>
        <v>#VALUE!</v>
      </c>
      <c r="CZ87" s="1647" t="str">
        <f t="shared" si="150"/>
        <v>n/a</v>
      </c>
      <c r="DA87" s="1671">
        <v>77</v>
      </c>
      <c r="DB87" s="1644" t="e">
        <f t="shared" si="125"/>
        <v>#VALUE!</v>
      </c>
      <c r="DC87" s="1644" t="e">
        <f t="shared" si="126"/>
        <v>#VALUE!</v>
      </c>
      <c r="DD87" s="1644" t="e">
        <f t="shared" si="127"/>
        <v>#VALUE!</v>
      </c>
      <c r="DE87" s="1644" t="e">
        <f t="shared" si="128"/>
        <v>#VALUE!</v>
      </c>
      <c r="DF87" s="1644" t="e">
        <f t="shared" si="129"/>
        <v>#VALUE!</v>
      </c>
      <c r="DG87" s="1644" t="e">
        <f t="shared" si="130"/>
        <v>#VALUE!</v>
      </c>
      <c r="DH87" s="1644" t="e">
        <f t="shared" si="131"/>
        <v>#VALUE!</v>
      </c>
      <c r="DI87" s="1644" t="e">
        <f t="shared" si="132"/>
        <v>#VALUE!</v>
      </c>
      <c r="DJ87" s="505" t="e">
        <f t="shared" si="133"/>
        <v>#VALUE!</v>
      </c>
      <c r="DK87" s="1648" t="e">
        <f t="shared" si="134"/>
        <v>#VALUE!</v>
      </c>
      <c r="DL87" s="521" t="e">
        <f t="shared" si="135"/>
        <v>#VALUE!</v>
      </c>
      <c r="DM87" s="522" t="e">
        <f t="shared" si="136"/>
        <v>#VALUE!</v>
      </c>
      <c r="DN87" s="1672"/>
      <c r="DO87" s="1647" t="str">
        <f t="shared" si="151"/>
        <v>n/a</v>
      </c>
      <c r="DP87" s="1671">
        <v>77</v>
      </c>
      <c r="DQ87" s="1644" t="e">
        <f t="shared" si="137"/>
        <v>#VALUE!</v>
      </c>
      <c r="DR87" s="1644" t="e">
        <f t="shared" si="138"/>
        <v>#VALUE!</v>
      </c>
      <c r="DS87" s="1644" t="e">
        <f t="shared" si="139"/>
        <v>#VALUE!</v>
      </c>
      <c r="DT87" s="1644" t="e">
        <f t="shared" si="140"/>
        <v>#VALUE!</v>
      </c>
      <c r="DU87" s="1644" t="e">
        <f t="shared" si="141"/>
        <v>#VALUE!</v>
      </c>
      <c r="DV87" s="1644" t="e">
        <f t="shared" si="142"/>
        <v>#VALUE!</v>
      </c>
      <c r="DW87" s="1644" t="e">
        <f t="shared" si="143"/>
        <v>#VALUE!</v>
      </c>
      <c r="DX87" s="1644" t="e">
        <f t="shared" si="144"/>
        <v>#VALUE!</v>
      </c>
      <c r="DY87" s="505" t="e">
        <f t="shared" si="145"/>
        <v>#VALUE!</v>
      </c>
      <c r="DZ87" s="1648" t="e">
        <f t="shared" si="146"/>
        <v>#VALUE!</v>
      </c>
      <c r="EA87" s="521" t="e">
        <f t="shared" si="147"/>
        <v>#VALUE!</v>
      </c>
      <c r="EB87" s="522" t="e">
        <f t="shared" si="148"/>
        <v>#VALUE!</v>
      </c>
    </row>
    <row r="88" spans="2:132">
      <c r="B88" s="293"/>
      <c r="V88" s="347"/>
      <c r="W88" s="1630"/>
      <c r="X88" s="347"/>
      <c r="Y88" s="347"/>
      <c r="Z88" s="347"/>
      <c r="AA88" s="347"/>
      <c r="BH88" s="1649">
        <f t="shared" si="149"/>
        <v>-1</v>
      </c>
      <c r="BI88" s="503">
        <v>100</v>
      </c>
      <c r="BJ88" s="1644">
        <f t="shared" si="88"/>
        <v>272.14999999999998</v>
      </c>
      <c r="BK88" s="1644">
        <f t="shared" si="89"/>
        <v>-17.092066026629684</v>
      </c>
      <c r="BL88" s="1644">
        <f t="shared" si="90"/>
        <v>23.424762057944321</v>
      </c>
      <c r="BM88" s="1644">
        <f t="shared" si="91"/>
        <v>0.56267153084359578</v>
      </c>
      <c r="BN88" s="1644">
        <f t="shared" si="92"/>
        <v>0.56267153084359578</v>
      </c>
      <c r="BO88" s="1644">
        <f t="shared" si="93"/>
        <v>3.4732269894023594E-3</v>
      </c>
      <c r="BP88" s="1644">
        <f t="shared" si="94"/>
        <v>1</v>
      </c>
      <c r="BQ88" s="1644">
        <f t="shared" si="95"/>
        <v>0.77543140004429845</v>
      </c>
      <c r="BR88" s="1648">
        <f t="shared" si="96"/>
        <v>7.6742715257794298</v>
      </c>
      <c r="BS88" s="521">
        <f t="shared" si="97"/>
        <v>-1</v>
      </c>
      <c r="BT88" s="522">
        <f t="shared" si="98"/>
        <v>3.4732269894023594E-3</v>
      </c>
      <c r="BV88" s="1647" t="str">
        <f t="shared" si="102"/>
        <v>n/a</v>
      </c>
      <c r="BW88" s="1671">
        <v>78</v>
      </c>
      <c r="BX88" s="1644" t="e">
        <f t="shared" si="103"/>
        <v>#VALUE!</v>
      </c>
      <c r="BY88" s="1644" t="e">
        <f t="shared" si="104"/>
        <v>#VALUE!</v>
      </c>
      <c r="BZ88" s="1644" t="e">
        <f t="shared" si="105"/>
        <v>#VALUE!</v>
      </c>
      <c r="CA88" s="1644" t="e">
        <f t="shared" si="106"/>
        <v>#VALUE!</v>
      </c>
      <c r="CB88" s="1644" t="e">
        <f t="shared" si="107"/>
        <v>#VALUE!</v>
      </c>
      <c r="CC88" s="1644" t="e">
        <f t="shared" si="108"/>
        <v>#VALUE!</v>
      </c>
      <c r="CD88" s="1644" t="e">
        <f t="shared" si="109"/>
        <v>#VALUE!</v>
      </c>
      <c r="CE88" s="1644" t="e">
        <f t="shared" si="110"/>
        <v>#VALUE!</v>
      </c>
      <c r="CF88" s="505" t="e">
        <f t="shared" si="111"/>
        <v>#VALUE!</v>
      </c>
      <c r="CG88" s="1648" t="e">
        <f t="shared" si="112"/>
        <v>#VALUE!</v>
      </c>
      <c r="CH88" s="521" t="e">
        <f t="shared" si="113"/>
        <v>#VALUE!</v>
      </c>
      <c r="CI88" s="522" t="e">
        <f t="shared" si="114"/>
        <v>#VALUE!</v>
      </c>
      <c r="CJ88" s="1672"/>
      <c r="CK88" s="1647" t="str">
        <f t="shared" si="115"/>
        <v>n/a</v>
      </c>
      <c r="CL88" s="1671">
        <v>78</v>
      </c>
      <c r="CM88" s="1644" t="e">
        <f t="shared" si="116"/>
        <v>#VALUE!</v>
      </c>
      <c r="CN88" s="1644" t="e">
        <f t="shared" si="117"/>
        <v>#VALUE!</v>
      </c>
      <c r="CO88" s="1644" t="e">
        <f t="shared" si="118"/>
        <v>#VALUE!</v>
      </c>
      <c r="CP88" s="1644" t="e">
        <f t="shared" si="119"/>
        <v>#VALUE!</v>
      </c>
      <c r="CQ88" s="1644" t="e">
        <f t="shared" si="120"/>
        <v>#VALUE!</v>
      </c>
      <c r="CR88" s="1644" t="e">
        <f t="shared" si="99"/>
        <v>#VALUE!</v>
      </c>
      <c r="CS88" s="1644" t="e">
        <f t="shared" si="121"/>
        <v>#VALUE!</v>
      </c>
      <c r="CT88" s="1644" t="e">
        <f t="shared" si="100"/>
        <v>#VALUE!</v>
      </c>
      <c r="CU88" s="505" t="e">
        <f t="shared" si="122"/>
        <v>#VALUE!</v>
      </c>
      <c r="CV88" s="1648" t="e">
        <f t="shared" si="123"/>
        <v>#VALUE!</v>
      </c>
      <c r="CW88" s="521" t="e">
        <f t="shared" si="124"/>
        <v>#VALUE!</v>
      </c>
      <c r="CX88" s="522" t="e">
        <f t="shared" si="101"/>
        <v>#VALUE!</v>
      </c>
      <c r="CZ88" s="1647" t="str">
        <f t="shared" si="150"/>
        <v>n/a</v>
      </c>
      <c r="DA88" s="1671">
        <v>78</v>
      </c>
      <c r="DB88" s="1644" t="e">
        <f t="shared" si="125"/>
        <v>#VALUE!</v>
      </c>
      <c r="DC88" s="1644" t="e">
        <f t="shared" si="126"/>
        <v>#VALUE!</v>
      </c>
      <c r="DD88" s="1644" t="e">
        <f t="shared" si="127"/>
        <v>#VALUE!</v>
      </c>
      <c r="DE88" s="1644" t="e">
        <f t="shared" si="128"/>
        <v>#VALUE!</v>
      </c>
      <c r="DF88" s="1644" t="e">
        <f t="shared" si="129"/>
        <v>#VALUE!</v>
      </c>
      <c r="DG88" s="1644" t="e">
        <f t="shared" si="130"/>
        <v>#VALUE!</v>
      </c>
      <c r="DH88" s="1644" t="e">
        <f t="shared" si="131"/>
        <v>#VALUE!</v>
      </c>
      <c r="DI88" s="1644" t="e">
        <f t="shared" si="132"/>
        <v>#VALUE!</v>
      </c>
      <c r="DJ88" s="505" t="e">
        <f t="shared" si="133"/>
        <v>#VALUE!</v>
      </c>
      <c r="DK88" s="1648" t="e">
        <f t="shared" si="134"/>
        <v>#VALUE!</v>
      </c>
      <c r="DL88" s="521" t="e">
        <f t="shared" si="135"/>
        <v>#VALUE!</v>
      </c>
      <c r="DM88" s="522" t="e">
        <f t="shared" si="136"/>
        <v>#VALUE!</v>
      </c>
      <c r="DN88" s="1672"/>
      <c r="DO88" s="1647" t="str">
        <f t="shared" si="151"/>
        <v>n/a</v>
      </c>
      <c r="DP88" s="1671">
        <v>78</v>
      </c>
      <c r="DQ88" s="1644" t="e">
        <f t="shared" si="137"/>
        <v>#VALUE!</v>
      </c>
      <c r="DR88" s="1644" t="e">
        <f t="shared" si="138"/>
        <v>#VALUE!</v>
      </c>
      <c r="DS88" s="1644" t="e">
        <f t="shared" si="139"/>
        <v>#VALUE!</v>
      </c>
      <c r="DT88" s="1644" t="e">
        <f t="shared" si="140"/>
        <v>#VALUE!</v>
      </c>
      <c r="DU88" s="1644" t="e">
        <f t="shared" si="141"/>
        <v>#VALUE!</v>
      </c>
      <c r="DV88" s="1644" t="e">
        <f t="shared" si="142"/>
        <v>#VALUE!</v>
      </c>
      <c r="DW88" s="1644" t="e">
        <f t="shared" si="143"/>
        <v>#VALUE!</v>
      </c>
      <c r="DX88" s="1644" t="e">
        <f t="shared" si="144"/>
        <v>#VALUE!</v>
      </c>
      <c r="DY88" s="505" t="e">
        <f t="shared" si="145"/>
        <v>#VALUE!</v>
      </c>
      <c r="DZ88" s="1648" t="e">
        <f t="shared" si="146"/>
        <v>#VALUE!</v>
      </c>
      <c r="EA88" s="521" t="e">
        <f t="shared" si="147"/>
        <v>#VALUE!</v>
      </c>
      <c r="EB88" s="522" t="e">
        <f t="shared" si="148"/>
        <v>#VALUE!</v>
      </c>
    </row>
    <row r="89" spans="2:132">
      <c r="B89" s="293"/>
      <c r="V89" s="347"/>
      <c r="W89" s="1630"/>
      <c r="X89" s="347"/>
      <c r="Y89" s="347"/>
      <c r="Z89" s="347"/>
      <c r="AA89" s="347"/>
      <c r="BH89" s="1649">
        <f t="shared" si="149"/>
        <v>-0.5</v>
      </c>
      <c r="BI89" s="503">
        <v>100</v>
      </c>
      <c r="BJ89" s="1644">
        <f t="shared" si="88"/>
        <v>272.64999999999998</v>
      </c>
      <c r="BK89" s="1644">
        <f t="shared" si="89"/>
        <v>-17.058667710362986</v>
      </c>
      <c r="BL89" s="1644">
        <f t="shared" si="90"/>
        <v>23.432766382723887</v>
      </c>
      <c r="BM89" s="1644">
        <f t="shared" si="91"/>
        <v>0.58645660310842529</v>
      </c>
      <c r="BN89" s="1644">
        <f t="shared" si="92"/>
        <v>0.58645660310842529</v>
      </c>
      <c r="BO89" s="1644">
        <f t="shared" si="93"/>
        <v>3.6209008558350238E-3</v>
      </c>
      <c r="BP89" s="1644">
        <f t="shared" si="94"/>
        <v>1</v>
      </c>
      <c r="BQ89" s="1644">
        <f t="shared" si="95"/>
        <v>0.77703946443759564</v>
      </c>
      <c r="BR89" s="1648">
        <f t="shared" si="96"/>
        <v>8.549605177421002</v>
      </c>
      <c r="BS89" s="521">
        <f t="shared" si="97"/>
        <v>-0.5</v>
      </c>
      <c r="BT89" s="522">
        <f t="shared" si="98"/>
        <v>3.6209008558350238E-3</v>
      </c>
      <c r="BV89" s="1647" t="str">
        <f t="shared" si="102"/>
        <v>n/a</v>
      </c>
      <c r="BW89" s="1671">
        <v>79</v>
      </c>
      <c r="BX89" s="1644" t="e">
        <f t="shared" si="103"/>
        <v>#VALUE!</v>
      </c>
      <c r="BY89" s="1644" t="e">
        <f t="shared" si="104"/>
        <v>#VALUE!</v>
      </c>
      <c r="BZ89" s="1644" t="e">
        <f t="shared" si="105"/>
        <v>#VALUE!</v>
      </c>
      <c r="CA89" s="1644" t="e">
        <f t="shared" si="106"/>
        <v>#VALUE!</v>
      </c>
      <c r="CB89" s="1644" t="e">
        <f t="shared" si="107"/>
        <v>#VALUE!</v>
      </c>
      <c r="CC89" s="1644" t="e">
        <f t="shared" si="108"/>
        <v>#VALUE!</v>
      </c>
      <c r="CD89" s="1644" t="e">
        <f t="shared" si="109"/>
        <v>#VALUE!</v>
      </c>
      <c r="CE89" s="1644" t="e">
        <f t="shared" si="110"/>
        <v>#VALUE!</v>
      </c>
      <c r="CF89" s="505" t="e">
        <f t="shared" si="111"/>
        <v>#VALUE!</v>
      </c>
      <c r="CG89" s="1648" t="e">
        <f t="shared" si="112"/>
        <v>#VALUE!</v>
      </c>
      <c r="CH89" s="521" t="e">
        <f t="shared" si="113"/>
        <v>#VALUE!</v>
      </c>
      <c r="CI89" s="522" t="e">
        <f t="shared" si="114"/>
        <v>#VALUE!</v>
      </c>
      <c r="CJ89" s="1672"/>
      <c r="CK89" s="1647" t="str">
        <f t="shared" si="115"/>
        <v>n/a</v>
      </c>
      <c r="CL89" s="1671">
        <v>79</v>
      </c>
      <c r="CM89" s="1644" t="e">
        <f t="shared" si="116"/>
        <v>#VALUE!</v>
      </c>
      <c r="CN89" s="1644" t="e">
        <f t="shared" si="117"/>
        <v>#VALUE!</v>
      </c>
      <c r="CO89" s="1644" t="e">
        <f t="shared" si="118"/>
        <v>#VALUE!</v>
      </c>
      <c r="CP89" s="1644" t="e">
        <f t="shared" si="119"/>
        <v>#VALUE!</v>
      </c>
      <c r="CQ89" s="1644" t="e">
        <f t="shared" si="120"/>
        <v>#VALUE!</v>
      </c>
      <c r="CR89" s="1644" t="e">
        <f t="shared" si="99"/>
        <v>#VALUE!</v>
      </c>
      <c r="CS89" s="1644" t="e">
        <f t="shared" si="121"/>
        <v>#VALUE!</v>
      </c>
      <c r="CT89" s="1644" t="e">
        <f t="shared" si="100"/>
        <v>#VALUE!</v>
      </c>
      <c r="CU89" s="505" t="e">
        <f t="shared" si="122"/>
        <v>#VALUE!</v>
      </c>
      <c r="CV89" s="1648" t="e">
        <f t="shared" si="123"/>
        <v>#VALUE!</v>
      </c>
      <c r="CW89" s="521" t="e">
        <f t="shared" si="124"/>
        <v>#VALUE!</v>
      </c>
      <c r="CX89" s="522" t="e">
        <f t="shared" si="101"/>
        <v>#VALUE!</v>
      </c>
      <c r="CZ89" s="1647" t="str">
        <f t="shared" si="150"/>
        <v>n/a</v>
      </c>
      <c r="DA89" s="1671">
        <v>79</v>
      </c>
      <c r="DB89" s="1644" t="e">
        <f t="shared" si="125"/>
        <v>#VALUE!</v>
      </c>
      <c r="DC89" s="1644" t="e">
        <f t="shared" si="126"/>
        <v>#VALUE!</v>
      </c>
      <c r="DD89" s="1644" t="e">
        <f t="shared" si="127"/>
        <v>#VALUE!</v>
      </c>
      <c r="DE89" s="1644" t="e">
        <f t="shared" si="128"/>
        <v>#VALUE!</v>
      </c>
      <c r="DF89" s="1644" t="e">
        <f t="shared" si="129"/>
        <v>#VALUE!</v>
      </c>
      <c r="DG89" s="1644" t="e">
        <f t="shared" si="130"/>
        <v>#VALUE!</v>
      </c>
      <c r="DH89" s="1644" t="e">
        <f t="shared" si="131"/>
        <v>#VALUE!</v>
      </c>
      <c r="DI89" s="1644" t="e">
        <f t="shared" si="132"/>
        <v>#VALUE!</v>
      </c>
      <c r="DJ89" s="505" t="e">
        <f t="shared" si="133"/>
        <v>#VALUE!</v>
      </c>
      <c r="DK89" s="1648" t="e">
        <f t="shared" si="134"/>
        <v>#VALUE!</v>
      </c>
      <c r="DL89" s="521" t="e">
        <f t="shared" si="135"/>
        <v>#VALUE!</v>
      </c>
      <c r="DM89" s="522" t="e">
        <f t="shared" si="136"/>
        <v>#VALUE!</v>
      </c>
      <c r="DN89" s="1672"/>
      <c r="DO89" s="1647" t="str">
        <f t="shared" si="151"/>
        <v>n/a</v>
      </c>
      <c r="DP89" s="1671">
        <v>79</v>
      </c>
      <c r="DQ89" s="1644" t="e">
        <f t="shared" si="137"/>
        <v>#VALUE!</v>
      </c>
      <c r="DR89" s="1644" t="e">
        <f t="shared" si="138"/>
        <v>#VALUE!</v>
      </c>
      <c r="DS89" s="1644" t="e">
        <f t="shared" si="139"/>
        <v>#VALUE!</v>
      </c>
      <c r="DT89" s="1644" t="e">
        <f t="shared" si="140"/>
        <v>#VALUE!</v>
      </c>
      <c r="DU89" s="1644" t="e">
        <f t="shared" si="141"/>
        <v>#VALUE!</v>
      </c>
      <c r="DV89" s="1644" t="e">
        <f t="shared" si="142"/>
        <v>#VALUE!</v>
      </c>
      <c r="DW89" s="1644" t="e">
        <f t="shared" si="143"/>
        <v>#VALUE!</v>
      </c>
      <c r="DX89" s="1644" t="e">
        <f t="shared" si="144"/>
        <v>#VALUE!</v>
      </c>
      <c r="DY89" s="505" t="e">
        <f t="shared" si="145"/>
        <v>#VALUE!</v>
      </c>
      <c r="DZ89" s="1648" t="e">
        <f t="shared" si="146"/>
        <v>#VALUE!</v>
      </c>
      <c r="EA89" s="521" t="e">
        <f t="shared" si="147"/>
        <v>#VALUE!</v>
      </c>
      <c r="EB89" s="522" t="e">
        <f t="shared" si="148"/>
        <v>#VALUE!</v>
      </c>
    </row>
    <row r="90" spans="2:132">
      <c r="B90" s="293"/>
      <c r="V90" s="347"/>
      <c r="W90" s="1630"/>
      <c r="X90" s="347"/>
      <c r="Y90" s="347"/>
      <c r="Z90" s="347"/>
      <c r="AA90" s="347"/>
      <c r="AB90" s="347"/>
      <c r="AC90" s="347"/>
      <c r="BH90" s="1649">
        <f t="shared" si="149"/>
        <v>0</v>
      </c>
      <c r="BI90" s="503">
        <v>100</v>
      </c>
      <c r="BJ90" s="1644">
        <f t="shared" si="88"/>
        <v>273.14999999999998</v>
      </c>
      <c r="BK90" s="1644">
        <f t="shared" si="89"/>
        <v>-17.025409380322781</v>
      </c>
      <c r="BL90" s="1644">
        <f t="shared" si="90"/>
        <v>23.440757653659677</v>
      </c>
      <c r="BM90" s="1644">
        <f t="shared" si="91"/>
        <v>0.61115357225163158</v>
      </c>
      <c r="BN90" s="1644">
        <f t="shared" si="92"/>
        <v>0.61115357225163158</v>
      </c>
      <c r="BO90" s="1644">
        <f t="shared" si="93"/>
        <v>3.7743102100838721E-3</v>
      </c>
      <c r="BP90" s="1644">
        <f t="shared" si="94"/>
        <v>1</v>
      </c>
      <c r="BQ90" s="1644">
        <f t="shared" si="95"/>
        <v>0.77865533865216163</v>
      </c>
      <c r="BR90" s="1648">
        <f t="shared" si="96"/>
        <v>9.4395498354197649</v>
      </c>
      <c r="BS90" s="521">
        <f t="shared" si="97"/>
        <v>0</v>
      </c>
      <c r="BT90" s="522">
        <f t="shared" si="98"/>
        <v>3.7743102100838721E-3</v>
      </c>
      <c r="BV90" s="1647" t="str">
        <f t="shared" si="102"/>
        <v>n/a</v>
      </c>
      <c r="BW90" s="1671">
        <v>80</v>
      </c>
      <c r="BX90" s="1644" t="e">
        <f t="shared" si="103"/>
        <v>#VALUE!</v>
      </c>
      <c r="BY90" s="1644" t="e">
        <f t="shared" si="104"/>
        <v>#VALUE!</v>
      </c>
      <c r="BZ90" s="1644" t="e">
        <f t="shared" si="105"/>
        <v>#VALUE!</v>
      </c>
      <c r="CA90" s="1644" t="e">
        <f t="shared" si="106"/>
        <v>#VALUE!</v>
      </c>
      <c r="CB90" s="1644" t="e">
        <f t="shared" si="107"/>
        <v>#VALUE!</v>
      </c>
      <c r="CC90" s="1644" t="e">
        <f t="shared" si="108"/>
        <v>#VALUE!</v>
      </c>
      <c r="CD90" s="1644" t="e">
        <f t="shared" si="109"/>
        <v>#VALUE!</v>
      </c>
      <c r="CE90" s="1644" t="e">
        <f t="shared" si="110"/>
        <v>#VALUE!</v>
      </c>
      <c r="CF90" s="505" t="e">
        <f t="shared" si="111"/>
        <v>#VALUE!</v>
      </c>
      <c r="CG90" s="1648" t="e">
        <f t="shared" si="112"/>
        <v>#VALUE!</v>
      </c>
      <c r="CH90" s="521" t="e">
        <f t="shared" si="113"/>
        <v>#VALUE!</v>
      </c>
      <c r="CI90" s="522" t="e">
        <f t="shared" si="114"/>
        <v>#VALUE!</v>
      </c>
      <c r="CJ90" s="1672"/>
      <c r="CK90" s="1647" t="str">
        <f t="shared" si="115"/>
        <v>n/a</v>
      </c>
      <c r="CL90" s="1671">
        <v>80</v>
      </c>
      <c r="CM90" s="1644" t="e">
        <f t="shared" si="116"/>
        <v>#VALUE!</v>
      </c>
      <c r="CN90" s="1644" t="e">
        <f t="shared" si="117"/>
        <v>#VALUE!</v>
      </c>
      <c r="CO90" s="1644" t="e">
        <f t="shared" si="118"/>
        <v>#VALUE!</v>
      </c>
      <c r="CP90" s="1644" t="e">
        <f t="shared" si="119"/>
        <v>#VALUE!</v>
      </c>
      <c r="CQ90" s="1644" t="e">
        <f t="shared" si="120"/>
        <v>#VALUE!</v>
      </c>
      <c r="CR90" s="1644" t="e">
        <f t="shared" si="99"/>
        <v>#VALUE!</v>
      </c>
      <c r="CS90" s="1644" t="e">
        <f t="shared" si="121"/>
        <v>#VALUE!</v>
      </c>
      <c r="CT90" s="1644" t="e">
        <f t="shared" si="100"/>
        <v>#VALUE!</v>
      </c>
      <c r="CU90" s="505" t="e">
        <f t="shared" si="122"/>
        <v>#VALUE!</v>
      </c>
      <c r="CV90" s="1648" t="e">
        <f t="shared" si="123"/>
        <v>#VALUE!</v>
      </c>
      <c r="CW90" s="521" t="e">
        <f t="shared" si="124"/>
        <v>#VALUE!</v>
      </c>
      <c r="CX90" s="522" t="e">
        <f t="shared" si="101"/>
        <v>#VALUE!</v>
      </c>
      <c r="CZ90" s="1647" t="str">
        <f t="shared" si="150"/>
        <v>n/a</v>
      </c>
      <c r="DA90" s="1671">
        <v>80</v>
      </c>
      <c r="DB90" s="1644" t="e">
        <f t="shared" si="125"/>
        <v>#VALUE!</v>
      </c>
      <c r="DC90" s="1644" t="e">
        <f t="shared" si="126"/>
        <v>#VALUE!</v>
      </c>
      <c r="DD90" s="1644" t="e">
        <f t="shared" si="127"/>
        <v>#VALUE!</v>
      </c>
      <c r="DE90" s="1644" t="e">
        <f t="shared" si="128"/>
        <v>#VALUE!</v>
      </c>
      <c r="DF90" s="1644" t="e">
        <f t="shared" si="129"/>
        <v>#VALUE!</v>
      </c>
      <c r="DG90" s="1644" t="e">
        <f t="shared" si="130"/>
        <v>#VALUE!</v>
      </c>
      <c r="DH90" s="1644" t="e">
        <f t="shared" si="131"/>
        <v>#VALUE!</v>
      </c>
      <c r="DI90" s="1644" t="e">
        <f t="shared" si="132"/>
        <v>#VALUE!</v>
      </c>
      <c r="DJ90" s="505" t="e">
        <f t="shared" si="133"/>
        <v>#VALUE!</v>
      </c>
      <c r="DK90" s="1648" t="e">
        <f t="shared" si="134"/>
        <v>#VALUE!</v>
      </c>
      <c r="DL90" s="521" t="e">
        <f t="shared" si="135"/>
        <v>#VALUE!</v>
      </c>
      <c r="DM90" s="522" t="e">
        <f t="shared" si="136"/>
        <v>#VALUE!</v>
      </c>
      <c r="DN90" s="1672"/>
      <c r="DO90" s="1647" t="str">
        <f t="shared" si="151"/>
        <v>n/a</v>
      </c>
      <c r="DP90" s="1671">
        <v>80</v>
      </c>
      <c r="DQ90" s="1644" t="e">
        <f t="shared" si="137"/>
        <v>#VALUE!</v>
      </c>
      <c r="DR90" s="1644" t="e">
        <f t="shared" si="138"/>
        <v>#VALUE!</v>
      </c>
      <c r="DS90" s="1644" t="e">
        <f t="shared" si="139"/>
        <v>#VALUE!</v>
      </c>
      <c r="DT90" s="1644" t="e">
        <f t="shared" si="140"/>
        <v>#VALUE!</v>
      </c>
      <c r="DU90" s="1644" t="e">
        <f t="shared" si="141"/>
        <v>#VALUE!</v>
      </c>
      <c r="DV90" s="1644" t="e">
        <f t="shared" si="142"/>
        <v>#VALUE!</v>
      </c>
      <c r="DW90" s="1644" t="e">
        <f t="shared" si="143"/>
        <v>#VALUE!</v>
      </c>
      <c r="DX90" s="1644" t="e">
        <f t="shared" si="144"/>
        <v>#VALUE!</v>
      </c>
      <c r="DY90" s="505" t="e">
        <f t="shared" si="145"/>
        <v>#VALUE!</v>
      </c>
      <c r="DZ90" s="1648" t="e">
        <f t="shared" si="146"/>
        <v>#VALUE!</v>
      </c>
      <c r="EA90" s="521" t="e">
        <f t="shared" si="147"/>
        <v>#VALUE!</v>
      </c>
      <c r="EB90" s="522" t="e">
        <f t="shared" si="148"/>
        <v>#VALUE!</v>
      </c>
    </row>
    <row r="91" spans="2:132">
      <c r="B91" s="293"/>
      <c r="V91" s="347"/>
      <c r="W91" s="1630"/>
      <c r="X91" s="347"/>
      <c r="Y91" s="347"/>
      <c r="Z91" s="347"/>
      <c r="AA91" s="347"/>
      <c r="AB91" s="347"/>
      <c r="AC91" s="347"/>
      <c r="BH91" s="1649">
        <f t="shared" si="149"/>
        <v>0</v>
      </c>
      <c r="BI91" s="503">
        <v>100</v>
      </c>
      <c r="BJ91" s="1644">
        <f t="shared" si="88"/>
        <v>273.14999999999998</v>
      </c>
      <c r="BK91" s="1644">
        <f t="shared" si="89"/>
        <v>-17.025409380322781</v>
      </c>
      <c r="BL91" s="1644">
        <f t="shared" si="90"/>
        <v>23.440757653659677</v>
      </c>
      <c r="BM91" s="1644">
        <f t="shared" si="91"/>
        <v>0.61115357225163158</v>
      </c>
      <c r="BN91" s="1644">
        <f t="shared" si="92"/>
        <v>0.61115357225163158</v>
      </c>
      <c r="BO91" s="1644">
        <f t="shared" si="93"/>
        <v>3.7743102100838721E-3</v>
      </c>
      <c r="BP91" s="1644">
        <f t="shared" si="94"/>
        <v>1</v>
      </c>
      <c r="BQ91" s="1644">
        <f t="shared" si="95"/>
        <v>0.77865533865216163</v>
      </c>
      <c r="BR91" s="1648">
        <f t="shared" si="96"/>
        <v>9.4395498354197649</v>
      </c>
      <c r="BS91" s="521">
        <f t="shared" si="97"/>
        <v>0</v>
      </c>
      <c r="BT91" s="522">
        <f t="shared" si="98"/>
        <v>3.7743102100838721E-3</v>
      </c>
      <c r="BV91" s="1647" t="str">
        <f t="shared" si="102"/>
        <v>n/a</v>
      </c>
      <c r="BW91" s="1671">
        <v>81</v>
      </c>
      <c r="BX91" s="1644" t="e">
        <f t="shared" si="103"/>
        <v>#VALUE!</v>
      </c>
      <c r="BY91" s="1644" t="e">
        <f t="shared" si="104"/>
        <v>#VALUE!</v>
      </c>
      <c r="BZ91" s="1644" t="e">
        <f t="shared" si="105"/>
        <v>#VALUE!</v>
      </c>
      <c r="CA91" s="1644" t="e">
        <f t="shared" si="106"/>
        <v>#VALUE!</v>
      </c>
      <c r="CB91" s="1644" t="e">
        <f t="shared" si="107"/>
        <v>#VALUE!</v>
      </c>
      <c r="CC91" s="1644" t="e">
        <f t="shared" si="108"/>
        <v>#VALUE!</v>
      </c>
      <c r="CD91" s="1644" t="e">
        <f t="shared" si="109"/>
        <v>#VALUE!</v>
      </c>
      <c r="CE91" s="1644" t="e">
        <f t="shared" si="110"/>
        <v>#VALUE!</v>
      </c>
      <c r="CF91" s="505" t="e">
        <f t="shared" si="111"/>
        <v>#VALUE!</v>
      </c>
      <c r="CG91" s="1648" t="e">
        <f t="shared" si="112"/>
        <v>#VALUE!</v>
      </c>
      <c r="CH91" s="521" t="e">
        <f t="shared" si="113"/>
        <v>#VALUE!</v>
      </c>
      <c r="CI91" s="522" t="e">
        <f t="shared" si="114"/>
        <v>#VALUE!</v>
      </c>
      <c r="CJ91" s="1672"/>
      <c r="CK91" s="1647" t="str">
        <f t="shared" si="115"/>
        <v>n/a</v>
      </c>
      <c r="CL91" s="1671">
        <v>81</v>
      </c>
      <c r="CM91" s="1644" t="e">
        <f t="shared" si="116"/>
        <v>#VALUE!</v>
      </c>
      <c r="CN91" s="1644" t="e">
        <f t="shared" si="117"/>
        <v>#VALUE!</v>
      </c>
      <c r="CO91" s="1644" t="e">
        <f t="shared" si="118"/>
        <v>#VALUE!</v>
      </c>
      <c r="CP91" s="1644" t="e">
        <f t="shared" si="119"/>
        <v>#VALUE!</v>
      </c>
      <c r="CQ91" s="1644" t="e">
        <f t="shared" si="120"/>
        <v>#VALUE!</v>
      </c>
      <c r="CR91" s="1644" t="e">
        <f t="shared" si="99"/>
        <v>#VALUE!</v>
      </c>
      <c r="CS91" s="1644" t="e">
        <f t="shared" si="121"/>
        <v>#VALUE!</v>
      </c>
      <c r="CT91" s="1644" t="e">
        <f t="shared" si="100"/>
        <v>#VALUE!</v>
      </c>
      <c r="CU91" s="505" t="e">
        <f t="shared" si="122"/>
        <v>#VALUE!</v>
      </c>
      <c r="CV91" s="1648" t="e">
        <f t="shared" si="123"/>
        <v>#VALUE!</v>
      </c>
      <c r="CW91" s="521" t="e">
        <f t="shared" si="124"/>
        <v>#VALUE!</v>
      </c>
      <c r="CX91" s="522" t="e">
        <f t="shared" si="101"/>
        <v>#VALUE!</v>
      </c>
      <c r="CZ91" s="1647" t="str">
        <f t="shared" si="150"/>
        <v>n/a</v>
      </c>
      <c r="DA91" s="1671">
        <v>81</v>
      </c>
      <c r="DB91" s="1644" t="e">
        <f t="shared" si="125"/>
        <v>#VALUE!</v>
      </c>
      <c r="DC91" s="1644" t="e">
        <f t="shared" si="126"/>
        <v>#VALUE!</v>
      </c>
      <c r="DD91" s="1644" t="e">
        <f t="shared" si="127"/>
        <v>#VALUE!</v>
      </c>
      <c r="DE91" s="1644" t="e">
        <f t="shared" si="128"/>
        <v>#VALUE!</v>
      </c>
      <c r="DF91" s="1644" t="e">
        <f t="shared" si="129"/>
        <v>#VALUE!</v>
      </c>
      <c r="DG91" s="1644" t="e">
        <f t="shared" si="130"/>
        <v>#VALUE!</v>
      </c>
      <c r="DH91" s="1644" t="e">
        <f t="shared" si="131"/>
        <v>#VALUE!</v>
      </c>
      <c r="DI91" s="1644" t="e">
        <f t="shared" si="132"/>
        <v>#VALUE!</v>
      </c>
      <c r="DJ91" s="505" t="e">
        <f t="shared" si="133"/>
        <v>#VALUE!</v>
      </c>
      <c r="DK91" s="1648" t="e">
        <f t="shared" si="134"/>
        <v>#VALUE!</v>
      </c>
      <c r="DL91" s="521" t="e">
        <f t="shared" si="135"/>
        <v>#VALUE!</v>
      </c>
      <c r="DM91" s="522" t="e">
        <f t="shared" si="136"/>
        <v>#VALUE!</v>
      </c>
      <c r="DN91" s="1672"/>
      <c r="DO91" s="1647" t="str">
        <f t="shared" si="151"/>
        <v>n/a</v>
      </c>
      <c r="DP91" s="1671">
        <v>81</v>
      </c>
      <c r="DQ91" s="1644" t="e">
        <f t="shared" si="137"/>
        <v>#VALUE!</v>
      </c>
      <c r="DR91" s="1644" t="e">
        <f t="shared" si="138"/>
        <v>#VALUE!</v>
      </c>
      <c r="DS91" s="1644" t="e">
        <f t="shared" si="139"/>
        <v>#VALUE!</v>
      </c>
      <c r="DT91" s="1644" t="e">
        <f t="shared" si="140"/>
        <v>#VALUE!</v>
      </c>
      <c r="DU91" s="1644" t="e">
        <f t="shared" si="141"/>
        <v>#VALUE!</v>
      </c>
      <c r="DV91" s="1644" t="e">
        <f t="shared" si="142"/>
        <v>#VALUE!</v>
      </c>
      <c r="DW91" s="1644" t="e">
        <f t="shared" si="143"/>
        <v>#VALUE!</v>
      </c>
      <c r="DX91" s="1644" t="e">
        <f t="shared" si="144"/>
        <v>#VALUE!</v>
      </c>
      <c r="DY91" s="505" t="e">
        <f t="shared" si="145"/>
        <v>#VALUE!</v>
      </c>
      <c r="DZ91" s="1648" t="e">
        <f t="shared" si="146"/>
        <v>#VALUE!</v>
      </c>
      <c r="EA91" s="521" t="e">
        <f t="shared" si="147"/>
        <v>#VALUE!</v>
      </c>
      <c r="EB91" s="522" t="e">
        <f t="shared" si="148"/>
        <v>#VALUE!</v>
      </c>
    </row>
    <row r="92" spans="2:132">
      <c r="B92" s="293"/>
      <c r="V92" s="347"/>
      <c r="W92" s="1630"/>
      <c r="X92" s="347"/>
      <c r="Y92" s="347"/>
      <c r="Z92" s="347"/>
      <c r="AA92" s="347"/>
      <c r="AB92" s="347"/>
      <c r="AC92" s="347"/>
      <c r="BH92" s="1649">
        <f t="shared" si="149"/>
        <v>0</v>
      </c>
      <c r="BI92" s="503">
        <v>100</v>
      </c>
      <c r="BJ92" s="1644">
        <f t="shared" si="88"/>
        <v>273.14999999999998</v>
      </c>
      <c r="BK92" s="1644">
        <f t="shared" si="89"/>
        <v>-17.025409380322781</v>
      </c>
      <c r="BL92" s="1644">
        <f t="shared" si="90"/>
        <v>23.440757653659677</v>
      </c>
      <c r="BM92" s="1644">
        <f t="shared" si="91"/>
        <v>0.61115357225163158</v>
      </c>
      <c r="BN92" s="1644">
        <f t="shared" si="92"/>
        <v>0.61115357225163158</v>
      </c>
      <c r="BO92" s="1644">
        <f t="shared" si="93"/>
        <v>3.7743102100838721E-3</v>
      </c>
      <c r="BP92" s="1644">
        <f t="shared" si="94"/>
        <v>1</v>
      </c>
      <c r="BQ92" s="1644">
        <f t="shared" si="95"/>
        <v>0.77865533865216163</v>
      </c>
      <c r="BR92" s="1648">
        <f t="shared" si="96"/>
        <v>9.4395498354197649</v>
      </c>
      <c r="BS92" s="521">
        <f t="shared" si="97"/>
        <v>0</v>
      </c>
      <c r="BT92" s="522">
        <f t="shared" si="98"/>
        <v>3.7743102100838721E-3</v>
      </c>
      <c r="BV92" s="1647" t="str">
        <f t="shared" si="102"/>
        <v>n/a</v>
      </c>
      <c r="BW92" s="1671">
        <v>82</v>
      </c>
      <c r="BX92" s="1644" t="e">
        <f t="shared" si="103"/>
        <v>#VALUE!</v>
      </c>
      <c r="BY92" s="1644" t="e">
        <f t="shared" si="104"/>
        <v>#VALUE!</v>
      </c>
      <c r="BZ92" s="1644" t="e">
        <f t="shared" si="105"/>
        <v>#VALUE!</v>
      </c>
      <c r="CA92" s="1644" t="e">
        <f t="shared" si="106"/>
        <v>#VALUE!</v>
      </c>
      <c r="CB92" s="1644" t="e">
        <f t="shared" si="107"/>
        <v>#VALUE!</v>
      </c>
      <c r="CC92" s="1644" t="e">
        <f t="shared" si="108"/>
        <v>#VALUE!</v>
      </c>
      <c r="CD92" s="1644" t="e">
        <f t="shared" si="109"/>
        <v>#VALUE!</v>
      </c>
      <c r="CE92" s="1644" t="e">
        <f t="shared" si="110"/>
        <v>#VALUE!</v>
      </c>
      <c r="CF92" s="505" t="e">
        <f t="shared" si="111"/>
        <v>#VALUE!</v>
      </c>
      <c r="CG92" s="1648" t="e">
        <f t="shared" si="112"/>
        <v>#VALUE!</v>
      </c>
      <c r="CH92" s="521" t="e">
        <f t="shared" si="113"/>
        <v>#VALUE!</v>
      </c>
      <c r="CI92" s="522" t="e">
        <f t="shared" si="114"/>
        <v>#VALUE!</v>
      </c>
      <c r="CJ92" s="1672"/>
      <c r="CK92" s="1647" t="str">
        <f t="shared" si="115"/>
        <v>n/a</v>
      </c>
      <c r="CL92" s="1671">
        <v>82</v>
      </c>
      <c r="CM92" s="1644" t="e">
        <f t="shared" si="116"/>
        <v>#VALUE!</v>
      </c>
      <c r="CN92" s="1644" t="e">
        <f t="shared" si="117"/>
        <v>#VALUE!</v>
      </c>
      <c r="CO92" s="1644" t="e">
        <f t="shared" si="118"/>
        <v>#VALUE!</v>
      </c>
      <c r="CP92" s="1644" t="e">
        <f t="shared" si="119"/>
        <v>#VALUE!</v>
      </c>
      <c r="CQ92" s="1644" t="e">
        <f t="shared" si="120"/>
        <v>#VALUE!</v>
      </c>
      <c r="CR92" s="1644" t="e">
        <f t="shared" si="99"/>
        <v>#VALUE!</v>
      </c>
      <c r="CS92" s="1644" t="e">
        <f t="shared" si="121"/>
        <v>#VALUE!</v>
      </c>
      <c r="CT92" s="1644" t="e">
        <f t="shared" si="100"/>
        <v>#VALUE!</v>
      </c>
      <c r="CU92" s="505" t="e">
        <f t="shared" si="122"/>
        <v>#VALUE!</v>
      </c>
      <c r="CV92" s="1648" t="e">
        <f t="shared" si="123"/>
        <v>#VALUE!</v>
      </c>
      <c r="CW92" s="521" t="e">
        <f t="shared" si="124"/>
        <v>#VALUE!</v>
      </c>
      <c r="CX92" s="522" t="e">
        <f t="shared" si="101"/>
        <v>#VALUE!</v>
      </c>
      <c r="CZ92" s="1647" t="str">
        <f t="shared" si="150"/>
        <v>n/a</v>
      </c>
      <c r="DA92" s="1671">
        <v>82</v>
      </c>
      <c r="DB92" s="1644" t="e">
        <f t="shared" si="125"/>
        <v>#VALUE!</v>
      </c>
      <c r="DC92" s="1644" t="e">
        <f t="shared" si="126"/>
        <v>#VALUE!</v>
      </c>
      <c r="DD92" s="1644" t="e">
        <f t="shared" si="127"/>
        <v>#VALUE!</v>
      </c>
      <c r="DE92" s="1644" t="e">
        <f t="shared" si="128"/>
        <v>#VALUE!</v>
      </c>
      <c r="DF92" s="1644" t="e">
        <f t="shared" si="129"/>
        <v>#VALUE!</v>
      </c>
      <c r="DG92" s="1644" t="e">
        <f t="shared" si="130"/>
        <v>#VALUE!</v>
      </c>
      <c r="DH92" s="1644" t="e">
        <f t="shared" si="131"/>
        <v>#VALUE!</v>
      </c>
      <c r="DI92" s="1644" t="e">
        <f t="shared" si="132"/>
        <v>#VALUE!</v>
      </c>
      <c r="DJ92" s="505" t="e">
        <f t="shared" si="133"/>
        <v>#VALUE!</v>
      </c>
      <c r="DK92" s="1648" t="e">
        <f t="shared" si="134"/>
        <v>#VALUE!</v>
      </c>
      <c r="DL92" s="521" t="e">
        <f t="shared" si="135"/>
        <v>#VALUE!</v>
      </c>
      <c r="DM92" s="522" t="e">
        <f t="shared" si="136"/>
        <v>#VALUE!</v>
      </c>
      <c r="DN92" s="1672"/>
      <c r="DO92" s="1647" t="str">
        <f t="shared" si="151"/>
        <v>n/a</v>
      </c>
      <c r="DP92" s="1671">
        <v>82</v>
      </c>
      <c r="DQ92" s="1644" t="e">
        <f t="shared" si="137"/>
        <v>#VALUE!</v>
      </c>
      <c r="DR92" s="1644" t="e">
        <f t="shared" si="138"/>
        <v>#VALUE!</v>
      </c>
      <c r="DS92" s="1644" t="e">
        <f t="shared" si="139"/>
        <v>#VALUE!</v>
      </c>
      <c r="DT92" s="1644" t="e">
        <f t="shared" si="140"/>
        <v>#VALUE!</v>
      </c>
      <c r="DU92" s="1644" t="e">
        <f t="shared" si="141"/>
        <v>#VALUE!</v>
      </c>
      <c r="DV92" s="1644" t="e">
        <f t="shared" si="142"/>
        <v>#VALUE!</v>
      </c>
      <c r="DW92" s="1644" t="e">
        <f t="shared" si="143"/>
        <v>#VALUE!</v>
      </c>
      <c r="DX92" s="1644" t="e">
        <f t="shared" si="144"/>
        <v>#VALUE!</v>
      </c>
      <c r="DY92" s="505" t="e">
        <f t="shared" si="145"/>
        <v>#VALUE!</v>
      </c>
      <c r="DZ92" s="1648" t="e">
        <f t="shared" si="146"/>
        <v>#VALUE!</v>
      </c>
      <c r="EA92" s="521" t="e">
        <f t="shared" si="147"/>
        <v>#VALUE!</v>
      </c>
      <c r="EB92" s="522" t="e">
        <f t="shared" si="148"/>
        <v>#VALUE!</v>
      </c>
    </row>
    <row r="93" spans="2:132">
      <c r="B93" s="293"/>
      <c r="M93" s="347"/>
      <c r="N93" s="1630"/>
      <c r="O93" s="347"/>
      <c r="P93" s="347"/>
      <c r="Q93" s="347"/>
      <c r="R93" s="347"/>
      <c r="V93" s="347"/>
      <c r="W93" s="1630"/>
      <c r="X93" s="347"/>
      <c r="Y93" s="347"/>
      <c r="Z93" s="347"/>
      <c r="AA93" s="347"/>
      <c r="AB93" s="347"/>
      <c r="AC93" s="347"/>
      <c r="BH93" s="1649">
        <f t="shared" si="149"/>
        <v>0</v>
      </c>
      <c r="BI93" s="503">
        <v>100</v>
      </c>
      <c r="BJ93" s="1644">
        <f t="shared" si="88"/>
        <v>273.14999999999998</v>
      </c>
      <c r="BK93" s="1644">
        <f t="shared" si="89"/>
        <v>-17.025409380322781</v>
      </c>
      <c r="BL93" s="1644">
        <f t="shared" si="90"/>
        <v>23.440757653659677</v>
      </c>
      <c r="BM93" s="1644">
        <f t="shared" si="91"/>
        <v>0.61115357225163158</v>
      </c>
      <c r="BN93" s="1644">
        <f t="shared" si="92"/>
        <v>0.61115357225163158</v>
      </c>
      <c r="BO93" s="1644">
        <f t="shared" si="93"/>
        <v>3.7743102100838721E-3</v>
      </c>
      <c r="BP93" s="1644">
        <f t="shared" si="94"/>
        <v>1</v>
      </c>
      <c r="BQ93" s="1644">
        <f t="shared" si="95"/>
        <v>0.77865533865216163</v>
      </c>
      <c r="BR93" s="1648">
        <f t="shared" si="96"/>
        <v>9.4395498354197649</v>
      </c>
      <c r="BS93" s="521">
        <f t="shared" si="97"/>
        <v>0</v>
      </c>
      <c r="BT93" s="522">
        <f t="shared" si="98"/>
        <v>3.7743102100838721E-3</v>
      </c>
      <c r="BV93" s="1647" t="str">
        <f t="shared" si="102"/>
        <v>n/a</v>
      </c>
      <c r="BW93" s="1671">
        <v>83</v>
      </c>
      <c r="BX93" s="1644" t="e">
        <f t="shared" si="103"/>
        <v>#VALUE!</v>
      </c>
      <c r="BY93" s="1644" t="e">
        <f t="shared" si="104"/>
        <v>#VALUE!</v>
      </c>
      <c r="BZ93" s="1644" t="e">
        <f t="shared" si="105"/>
        <v>#VALUE!</v>
      </c>
      <c r="CA93" s="1644" t="e">
        <f t="shared" si="106"/>
        <v>#VALUE!</v>
      </c>
      <c r="CB93" s="1644" t="e">
        <f t="shared" si="107"/>
        <v>#VALUE!</v>
      </c>
      <c r="CC93" s="1644" t="e">
        <f t="shared" si="108"/>
        <v>#VALUE!</v>
      </c>
      <c r="CD93" s="1644" t="e">
        <f t="shared" si="109"/>
        <v>#VALUE!</v>
      </c>
      <c r="CE93" s="1644" t="e">
        <f t="shared" si="110"/>
        <v>#VALUE!</v>
      </c>
      <c r="CF93" s="505" t="e">
        <f t="shared" si="111"/>
        <v>#VALUE!</v>
      </c>
      <c r="CG93" s="1648" t="e">
        <f t="shared" si="112"/>
        <v>#VALUE!</v>
      </c>
      <c r="CH93" s="521" t="e">
        <f t="shared" si="113"/>
        <v>#VALUE!</v>
      </c>
      <c r="CI93" s="522" t="e">
        <f t="shared" si="114"/>
        <v>#VALUE!</v>
      </c>
      <c r="CJ93" s="1672"/>
      <c r="CK93" s="1647" t="str">
        <f t="shared" si="115"/>
        <v>n/a</v>
      </c>
      <c r="CL93" s="1671">
        <v>83</v>
      </c>
      <c r="CM93" s="1644" t="e">
        <f t="shared" si="116"/>
        <v>#VALUE!</v>
      </c>
      <c r="CN93" s="1644" t="e">
        <f t="shared" si="117"/>
        <v>#VALUE!</v>
      </c>
      <c r="CO93" s="1644" t="e">
        <f t="shared" si="118"/>
        <v>#VALUE!</v>
      </c>
      <c r="CP93" s="1644" t="e">
        <f t="shared" si="119"/>
        <v>#VALUE!</v>
      </c>
      <c r="CQ93" s="1644" t="e">
        <f t="shared" si="120"/>
        <v>#VALUE!</v>
      </c>
      <c r="CR93" s="1644" t="e">
        <f t="shared" si="99"/>
        <v>#VALUE!</v>
      </c>
      <c r="CS93" s="1644" t="e">
        <f t="shared" si="121"/>
        <v>#VALUE!</v>
      </c>
      <c r="CT93" s="1644" t="e">
        <f t="shared" si="100"/>
        <v>#VALUE!</v>
      </c>
      <c r="CU93" s="505" t="e">
        <f t="shared" si="122"/>
        <v>#VALUE!</v>
      </c>
      <c r="CV93" s="1648" t="e">
        <f t="shared" si="123"/>
        <v>#VALUE!</v>
      </c>
      <c r="CW93" s="521" t="e">
        <f t="shared" si="124"/>
        <v>#VALUE!</v>
      </c>
      <c r="CX93" s="522" t="e">
        <f t="shared" si="101"/>
        <v>#VALUE!</v>
      </c>
      <c r="CZ93" s="1647" t="str">
        <f t="shared" si="150"/>
        <v>n/a</v>
      </c>
      <c r="DA93" s="1671">
        <v>83</v>
      </c>
      <c r="DB93" s="1644" t="e">
        <f t="shared" si="125"/>
        <v>#VALUE!</v>
      </c>
      <c r="DC93" s="1644" t="e">
        <f t="shared" si="126"/>
        <v>#VALUE!</v>
      </c>
      <c r="DD93" s="1644" t="e">
        <f t="shared" si="127"/>
        <v>#VALUE!</v>
      </c>
      <c r="DE93" s="1644" t="e">
        <f t="shared" si="128"/>
        <v>#VALUE!</v>
      </c>
      <c r="DF93" s="1644" t="e">
        <f t="shared" si="129"/>
        <v>#VALUE!</v>
      </c>
      <c r="DG93" s="1644" t="e">
        <f t="shared" si="130"/>
        <v>#VALUE!</v>
      </c>
      <c r="DH93" s="1644" t="e">
        <f t="shared" si="131"/>
        <v>#VALUE!</v>
      </c>
      <c r="DI93" s="1644" t="e">
        <f t="shared" si="132"/>
        <v>#VALUE!</v>
      </c>
      <c r="DJ93" s="505" t="e">
        <f t="shared" si="133"/>
        <v>#VALUE!</v>
      </c>
      <c r="DK93" s="1648" t="e">
        <f t="shared" si="134"/>
        <v>#VALUE!</v>
      </c>
      <c r="DL93" s="521" t="e">
        <f t="shared" si="135"/>
        <v>#VALUE!</v>
      </c>
      <c r="DM93" s="522" t="e">
        <f t="shared" si="136"/>
        <v>#VALUE!</v>
      </c>
      <c r="DN93" s="1672"/>
      <c r="DO93" s="1647" t="str">
        <f t="shared" si="151"/>
        <v>n/a</v>
      </c>
      <c r="DP93" s="1671">
        <v>83</v>
      </c>
      <c r="DQ93" s="1644" t="e">
        <f t="shared" si="137"/>
        <v>#VALUE!</v>
      </c>
      <c r="DR93" s="1644" t="e">
        <f t="shared" si="138"/>
        <v>#VALUE!</v>
      </c>
      <c r="DS93" s="1644" t="e">
        <f t="shared" si="139"/>
        <v>#VALUE!</v>
      </c>
      <c r="DT93" s="1644" t="e">
        <f t="shared" si="140"/>
        <v>#VALUE!</v>
      </c>
      <c r="DU93" s="1644" t="e">
        <f t="shared" si="141"/>
        <v>#VALUE!</v>
      </c>
      <c r="DV93" s="1644" t="e">
        <f t="shared" si="142"/>
        <v>#VALUE!</v>
      </c>
      <c r="DW93" s="1644" t="e">
        <f t="shared" si="143"/>
        <v>#VALUE!</v>
      </c>
      <c r="DX93" s="1644" t="e">
        <f t="shared" si="144"/>
        <v>#VALUE!</v>
      </c>
      <c r="DY93" s="505" t="e">
        <f t="shared" si="145"/>
        <v>#VALUE!</v>
      </c>
      <c r="DZ93" s="1648" t="e">
        <f t="shared" si="146"/>
        <v>#VALUE!</v>
      </c>
      <c r="EA93" s="521" t="e">
        <f t="shared" si="147"/>
        <v>#VALUE!</v>
      </c>
      <c r="EB93" s="522" t="e">
        <f t="shared" si="148"/>
        <v>#VALUE!</v>
      </c>
    </row>
    <row r="94" spans="2:132">
      <c r="B94" s="293"/>
      <c r="M94" s="347"/>
      <c r="N94" s="1630"/>
      <c r="O94" s="347"/>
      <c r="P94" s="347"/>
      <c r="Q94" s="347"/>
      <c r="R94" s="347"/>
      <c r="V94" s="347"/>
      <c r="W94" s="1630"/>
      <c r="X94" s="347"/>
      <c r="Y94" s="347"/>
      <c r="Z94" s="347"/>
      <c r="AA94" s="347"/>
      <c r="AB94" s="347"/>
      <c r="AC94" s="347"/>
      <c r="BH94" s="1649">
        <f t="shared" si="149"/>
        <v>0</v>
      </c>
      <c r="BI94" s="503">
        <v>100</v>
      </c>
      <c r="BJ94" s="1644">
        <f t="shared" si="88"/>
        <v>273.14999999999998</v>
      </c>
      <c r="BK94" s="1644">
        <f t="shared" si="89"/>
        <v>-17.025409380322781</v>
      </c>
      <c r="BL94" s="1644">
        <f t="shared" si="90"/>
        <v>23.440757653659677</v>
      </c>
      <c r="BM94" s="1644">
        <f t="shared" si="91"/>
        <v>0.61115357225163158</v>
      </c>
      <c r="BN94" s="1644">
        <f t="shared" si="92"/>
        <v>0.61115357225163158</v>
      </c>
      <c r="BO94" s="1644">
        <f t="shared" si="93"/>
        <v>3.7743102100838721E-3</v>
      </c>
      <c r="BP94" s="1644">
        <f t="shared" si="94"/>
        <v>1</v>
      </c>
      <c r="BQ94" s="1644">
        <f t="shared" si="95"/>
        <v>0.77865533865216163</v>
      </c>
      <c r="BR94" s="1648">
        <f t="shared" si="96"/>
        <v>9.4395498354197649</v>
      </c>
      <c r="BS94" s="521">
        <f t="shared" si="97"/>
        <v>0</v>
      </c>
      <c r="BT94" s="522">
        <f t="shared" si="98"/>
        <v>3.7743102100838721E-3</v>
      </c>
      <c r="BV94" s="1647" t="str">
        <f t="shared" si="102"/>
        <v>n/a</v>
      </c>
      <c r="BW94" s="1671">
        <v>84</v>
      </c>
      <c r="BX94" s="1644" t="e">
        <f t="shared" si="103"/>
        <v>#VALUE!</v>
      </c>
      <c r="BY94" s="1644" t="e">
        <f t="shared" si="104"/>
        <v>#VALUE!</v>
      </c>
      <c r="BZ94" s="1644" t="e">
        <f t="shared" si="105"/>
        <v>#VALUE!</v>
      </c>
      <c r="CA94" s="1644" t="e">
        <f t="shared" si="106"/>
        <v>#VALUE!</v>
      </c>
      <c r="CB94" s="1644" t="e">
        <f t="shared" si="107"/>
        <v>#VALUE!</v>
      </c>
      <c r="CC94" s="1644" t="e">
        <f t="shared" si="108"/>
        <v>#VALUE!</v>
      </c>
      <c r="CD94" s="1644" t="e">
        <f t="shared" si="109"/>
        <v>#VALUE!</v>
      </c>
      <c r="CE94" s="1644" t="e">
        <f t="shared" si="110"/>
        <v>#VALUE!</v>
      </c>
      <c r="CF94" s="505" t="e">
        <f t="shared" si="111"/>
        <v>#VALUE!</v>
      </c>
      <c r="CG94" s="1648" t="e">
        <f t="shared" si="112"/>
        <v>#VALUE!</v>
      </c>
      <c r="CH94" s="521" t="e">
        <f t="shared" si="113"/>
        <v>#VALUE!</v>
      </c>
      <c r="CI94" s="522" t="e">
        <f t="shared" si="114"/>
        <v>#VALUE!</v>
      </c>
      <c r="CJ94" s="1672"/>
      <c r="CK94" s="1647" t="str">
        <f t="shared" si="115"/>
        <v>n/a</v>
      </c>
      <c r="CL94" s="1671">
        <v>84</v>
      </c>
      <c r="CM94" s="1644" t="e">
        <f t="shared" si="116"/>
        <v>#VALUE!</v>
      </c>
      <c r="CN94" s="1644" t="e">
        <f t="shared" si="117"/>
        <v>#VALUE!</v>
      </c>
      <c r="CO94" s="1644" t="e">
        <f t="shared" si="118"/>
        <v>#VALUE!</v>
      </c>
      <c r="CP94" s="1644" t="e">
        <f t="shared" si="119"/>
        <v>#VALUE!</v>
      </c>
      <c r="CQ94" s="1644" t="e">
        <f t="shared" si="120"/>
        <v>#VALUE!</v>
      </c>
      <c r="CR94" s="1644" t="e">
        <f t="shared" si="99"/>
        <v>#VALUE!</v>
      </c>
      <c r="CS94" s="1644" t="e">
        <f t="shared" si="121"/>
        <v>#VALUE!</v>
      </c>
      <c r="CT94" s="1644" t="e">
        <f t="shared" si="100"/>
        <v>#VALUE!</v>
      </c>
      <c r="CU94" s="505" t="e">
        <f t="shared" si="122"/>
        <v>#VALUE!</v>
      </c>
      <c r="CV94" s="1648" t="e">
        <f t="shared" si="123"/>
        <v>#VALUE!</v>
      </c>
      <c r="CW94" s="521" t="e">
        <f t="shared" si="124"/>
        <v>#VALUE!</v>
      </c>
      <c r="CX94" s="522" t="e">
        <f t="shared" si="101"/>
        <v>#VALUE!</v>
      </c>
      <c r="CZ94" s="1647" t="str">
        <f t="shared" si="150"/>
        <v>n/a</v>
      </c>
      <c r="DA94" s="1671">
        <v>84</v>
      </c>
      <c r="DB94" s="1644" t="e">
        <f t="shared" si="125"/>
        <v>#VALUE!</v>
      </c>
      <c r="DC94" s="1644" t="e">
        <f t="shared" si="126"/>
        <v>#VALUE!</v>
      </c>
      <c r="DD94" s="1644" t="e">
        <f t="shared" si="127"/>
        <v>#VALUE!</v>
      </c>
      <c r="DE94" s="1644" t="e">
        <f t="shared" si="128"/>
        <v>#VALUE!</v>
      </c>
      <c r="DF94" s="1644" t="e">
        <f t="shared" si="129"/>
        <v>#VALUE!</v>
      </c>
      <c r="DG94" s="1644" t="e">
        <f t="shared" si="130"/>
        <v>#VALUE!</v>
      </c>
      <c r="DH94" s="1644" t="e">
        <f t="shared" si="131"/>
        <v>#VALUE!</v>
      </c>
      <c r="DI94" s="1644" t="e">
        <f t="shared" si="132"/>
        <v>#VALUE!</v>
      </c>
      <c r="DJ94" s="505" t="e">
        <f t="shared" si="133"/>
        <v>#VALUE!</v>
      </c>
      <c r="DK94" s="1648" t="e">
        <f t="shared" si="134"/>
        <v>#VALUE!</v>
      </c>
      <c r="DL94" s="521" t="e">
        <f t="shared" si="135"/>
        <v>#VALUE!</v>
      </c>
      <c r="DM94" s="522" t="e">
        <f t="shared" si="136"/>
        <v>#VALUE!</v>
      </c>
      <c r="DN94" s="1672"/>
      <c r="DO94" s="1647" t="str">
        <f t="shared" si="151"/>
        <v>n/a</v>
      </c>
      <c r="DP94" s="1671">
        <v>84</v>
      </c>
      <c r="DQ94" s="1644" t="e">
        <f t="shared" si="137"/>
        <v>#VALUE!</v>
      </c>
      <c r="DR94" s="1644" t="e">
        <f t="shared" si="138"/>
        <v>#VALUE!</v>
      </c>
      <c r="DS94" s="1644" t="e">
        <f t="shared" si="139"/>
        <v>#VALUE!</v>
      </c>
      <c r="DT94" s="1644" t="e">
        <f t="shared" si="140"/>
        <v>#VALUE!</v>
      </c>
      <c r="DU94" s="1644" t="e">
        <f t="shared" si="141"/>
        <v>#VALUE!</v>
      </c>
      <c r="DV94" s="1644" t="e">
        <f t="shared" si="142"/>
        <v>#VALUE!</v>
      </c>
      <c r="DW94" s="1644" t="e">
        <f t="shared" si="143"/>
        <v>#VALUE!</v>
      </c>
      <c r="DX94" s="1644" t="e">
        <f t="shared" si="144"/>
        <v>#VALUE!</v>
      </c>
      <c r="DY94" s="505" t="e">
        <f t="shared" si="145"/>
        <v>#VALUE!</v>
      </c>
      <c r="DZ94" s="1648" t="e">
        <f t="shared" si="146"/>
        <v>#VALUE!</v>
      </c>
      <c r="EA94" s="521" t="e">
        <f t="shared" si="147"/>
        <v>#VALUE!</v>
      </c>
      <c r="EB94" s="522" t="e">
        <f t="shared" si="148"/>
        <v>#VALUE!</v>
      </c>
    </row>
    <row r="95" spans="2:132">
      <c r="B95" s="293"/>
      <c r="M95" s="347"/>
      <c r="N95" s="1630"/>
      <c r="O95" s="347"/>
      <c r="P95" s="347"/>
      <c r="Q95" s="347"/>
      <c r="R95" s="347"/>
      <c r="V95" s="347"/>
      <c r="W95" s="1630"/>
      <c r="X95" s="347"/>
      <c r="Y95" s="347"/>
      <c r="Z95" s="347"/>
      <c r="AA95" s="347"/>
      <c r="AB95" s="347"/>
      <c r="AC95" s="347"/>
      <c r="BH95" s="1649">
        <f t="shared" si="149"/>
        <v>0</v>
      </c>
      <c r="BI95" s="503">
        <v>100</v>
      </c>
      <c r="BJ95" s="1644">
        <f t="shared" si="88"/>
        <v>273.14999999999998</v>
      </c>
      <c r="BK95" s="1644">
        <f t="shared" si="89"/>
        <v>-17.025409380322781</v>
      </c>
      <c r="BL95" s="1644">
        <f t="shared" si="90"/>
        <v>23.440757653659677</v>
      </c>
      <c r="BM95" s="1644">
        <f t="shared" si="91"/>
        <v>0.61115357225163158</v>
      </c>
      <c r="BN95" s="1644">
        <f t="shared" si="92"/>
        <v>0.61115357225163158</v>
      </c>
      <c r="BO95" s="1644">
        <f t="shared" si="93"/>
        <v>3.7743102100838721E-3</v>
      </c>
      <c r="BP95" s="1644">
        <f t="shared" si="94"/>
        <v>1</v>
      </c>
      <c r="BQ95" s="1644">
        <f t="shared" si="95"/>
        <v>0.77865533865216163</v>
      </c>
      <c r="BR95" s="1648">
        <f t="shared" si="96"/>
        <v>9.4395498354197649</v>
      </c>
      <c r="BS95" s="521">
        <f t="shared" si="97"/>
        <v>0</v>
      </c>
      <c r="BT95" s="522">
        <f t="shared" si="98"/>
        <v>3.7743102100838721E-3</v>
      </c>
      <c r="BV95" s="1647" t="str">
        <f t="shared" si="102"/>
        <v>n/a</v>
      </c>
      <c r="BW95" s="1671">
        <v>85</v>
      </c>
      <c r="BX95" s="1644" t="e">
        <f t="shared" si="103"/>
        <v>#VALUE!</v>
      </c>
      <c r="BY95" s="1644" t="e">
        <f t="shared" si="104"/>
        <v>#VALUE!</v>
      </c>
      <c r="BZ95" s="1644" t="e">
        <f t="shared" si="105"/>
        <v>#VALUE!</v>
      </c>
      <c r="CA95" s="1644" t="e">
        <f t="shared" si="106"/>
        <v>#VALUE!</v>
      </c>
      <c r="CB95" s="1644" t="e">
        <f t="shared" si="107"/>
        <v>#VALUE!</v>
      </c>
      <c r="CC95" s="1644" t="e">
        <f t="shared" si="108"/>
        <v>#VALUE!</v>
      </c>
      <c r="CD95" s="1644" t="e">
        <f t="shared" si="109"/>
        <v>#VALUE!</v>
      </c>
      <c r="CE95" s="1644" t="e">
        <f t="shared" si="110"/>
        <v>#VALUE!</v>
      </c>
      <c r="CF95" s="505" t="e">
        <f t="shared" si="111"/>
        <v>#VALUE!</v>
      </c>
      <c r="CG95" s="1648" t="e">
        <f t="shared" si="112"/>
        <v>#VALUE!</v>
      </c>
      <c r="CH95" s="521" t="e">
        <f t="shared" si="113"/>
        <v>#VALUE!</v>
      </c>
      <c r="CI95" s="522" t="e">
        <f t="shared" si="114"/>
        <v>#VALUE!</v>
      </c>
      <c r="CJ95" s="1672"/>
      <c r="CK95" s="1647" t="str">
        <f t="shared" si="115"/>
        <v>n/a</v>
      </c>
      <c r="CL95" s="1671">
        <v>85</v>
      </c>
      <c r="CM95" s="1644" t="e">
        <f t="shared" si="116"/>
        <v>#VALUE!</v>
      </c>
      <c r="CN95" s="1644" t="e">
        <f t="shared" si="117"/>
        <v>#VALUE!</v>
      </c>
      <c r="CO95" s="1644" t="e">
        <f t="shared" si="118"/>
        <v>#VALUE!</v>
      </c>
      <c r="CP95" s="1644" t="e">
        <f t="shared" si="119"/>
        <v>#VALUE!</v>
      </c>
      <c r="CQ95" s="1644" t="e">
        <f t="shared" si="120"/>
        <v>#VALUE!</v>
      </c>
      <c r="CR95" s="1644" t="e">
        <f t="shared" si="99"/>
        <v>#VALUE!</v>
      </c>
      <c r="CS95" s="1644" t="e">
        <f t="shared" si="121"/>
        <v>#VALUE!</v>
      </c>
      <c r="CT95" s="1644" t="e">
        <f t="shared" si="100"/>
        <v>#VALUE!</v>
      </c>
      <c r="CU95" s="505" t="e">
        <f t="shared" si="122"/>
        <v>#VALUE!</v>
      </c>
      <c r="CV95" s="1648" t="e">
        <f t="shared" si="123"/>
        <v>#VALUE!</v>
      </c>
      <c r="CW95" s="521" t="e">
        <f t="shared" si="124"/>
        <v>#VALUE!</v>
      </c>
      <c r="CX95" s="522" t="e">
        <f t="shared" si="101"/>
        <v>#VALUE!</v>
      </c>
      <c r="CZ95" s="1647" t="str">
        <f t="shared" si="150"/>
        <v>n/a</v>
      </c>
      <c r="DA95" s="1671">
        <v>85</v>
      </c>
      <c r="DB95" s="1644" t="e">
        <f t="shared" si="125"/>
        <v>#VALUE!</v>
      </c>
      <c r="DC95" s="1644" t="e">
        <f t="shared" si="126"/>
        <v>#VALUE!</v>
      </c>
      <c r="DD95" s="1644" t="e">
        <f t="shared" si="127"/>
        <v>#VALUE!</v>
      </c>
      <c r="DE95" s="1644" t="e">
        <f t="shared" si="128"/>
        <v>#VALUE!</v>
      </c>
      <c r="DF95" s="1644" t="e">
        <f t="shared" si="129"/>
        <v>#VALUE!</v>
      </c>
      <c r="DG95" s="1644" t="e">
        <f t="shared" si="130"/>
        <v>#VALUE!</v>
      </c>
      <c r="DH95" s="1644" t="e">
        <f t="shared" si="131"/>
        <v>#VALUE!</v>
      </c>
      <c r="DI95" s="1644" t="e">
        <f t="shared" si="132"/>
        <v>#VALUE!</v>
      </c>
      <c r="DJ95" s="505" t="e">
        <f t="shared" si="133"/>
        <v>#VALUE!</v>
      </c>
      <c r="DK95" s="1648" t="e">
        <f t="shared" si="134"/>
        <v>#VALUE!</v>
      </c>
      <c r="DL95" s="521" t="e">
        <f t="shared" si="135"/>
        <v>#VALUE!</v>
      </c>
      <c r="DM95" s="522" t="e">
        <f t="shared" si="136"/>
        <v>#VALUE!</v>
      </c>
      <c r="DN95" s="1672"/>
      <c r="DO95" s="1647" t="str">
        <f t="shared" si="151"/>
        <v>n/a</v>
      </c>
      <c r="DP95" s="1671">
        <v>85</v>
      </c>
      <c r="DQ95" s="1644" t="e">
        <f t="shared" si="137"/>
        <v>#VALUE!</v>
      </c>
      <c r="DR95" s="1644" t="e">
        <f t="shared" si="138"/>
        <v>#VALUE!</v>
      </c>
      <c r="DS95" s="1644" t="e">
        <f t="shared" si="139"/>
        <v>#VALUE!</v>
      </c>
      <c r="DT95" s="1644" t="e">
        <f t="shared" si="140"/>
        <v>#VALUE!</v>
      </c>
      <c r="DU95" s="1644" t="e">
        <f t="shared" si="141"/>
        <v>#VALUE!</v>
      </c>
      <c r="DV95" s="1644" t="e">
        <f t="shared" si="142"/>
        <v>#VALUE!</v>
      </c>
      <c r="DW95" s="1644" t="e">
        <f t="shared" si="143"/>
        <v>#VALUE!</v>
      </c>
      <c r="DX95" s="1644" t="e">
        <f t="shared" si="144"/>
        <v>#VALUE!</v>
      </c>
      <c r="DY95" s="505" t="e">
        <f t="shared" si="145"/>
        <v>#VALUE!</v>
      </c>
      <c r="DZ95" s="1648" t="e">
        <f t="shared" si="146"/>
        <v>#VALUE!</v>
      </c>
      <c r="EA95" s="521" t="e">
        <f t="shared" si="147"/>
        <v>#VALUE!</v>
      </c>
      <c r="EB95" s="522" t="e">
        <f t="shared" si="148"/>
        <v>#VALUE!</v>
      </c>
    </row>
    <row r="96" spans="2:132">
      <c r="B96" s="293"/>
      <c r="M96" s="347"/>
      <c r="N96" s="1630"/>
      <c r="O96" s="347"/>
      <c r="P96" s="347"/>
      <c r="Q96" s="347"/>
      <c r="R96" s="347"/>
      <c r="V96" s="347"/>
      <c r="W96" s="1630"/>
      <c r="X96" s="347"/>
      <c r="Y96" s="347"/>
      <c r="Z96" s="347"/>
      <c r="AA96" s="347"/>
      <c r="AB96" s="347"/>
      <c r="AC96" s="347"/>
      <c r="BH96" s="1649">
        <f t="shared" si="149"/>
        <v>0</v>
      </c>
      <c r="BI96" s="503">
        <v>100</v>
      </c>
      <c r="BJ96" s="1644">
        <f t="shared" si="88"/>
        <v>273.14999999999998</v>
      </c>
      <c r="BK96" s="1644">
        <f t="shared" si="89"/>
        <v>-17.025409380322781</v>
      </c>
      <c r="BL96" s="1644">
        <f t="shared" si="90"/>
        <v>23.440757653659677</v>
      </c>
      <c r="BM96" s="1644">
        <f t="shared" si="91"/>
        <v>0.61115357225163158</v>
      </c>
      <c r="BN96" s="1644">
        <f t="shared" si="92"/>
        <v>0.61115357225163158</v>
      </c>
      <c r="BO96" s="1644">
        <f t="shared" si="93"/>
        <v>3.7743102100838721E-3</v>
      </c>
      <c r="BP96" s="1644">
        <f t="shared" si="94"/>
        <v>1</v>
      </c>
      <c r="BQ96" s="1644">
        <f t="shared" si="95"/>
        <v>0.77865533865216163</v>
      </c>
      <c r="BR96" s="1648">
        <f t="shared" si="96"/>
        <v>9.4395498354197649</v>
      </c>
      <c r="BS96" s="521">
        <f t="shared" si="97"/>
        <v>0</v>
      </c>
      <c r="BT96" s="522">
        <f t="shared" si="98"/>
        <v>3.7743102100838721E-3</v>
      </c>
      <c r="BV96" s="1647" t="str">
        <f t="shared" si="102"/>
        <v>n/a</v>
      </c>
      <c r="BW96" s="1671">
        <v>86</v>
      </c>
      <c r="BX96" s="1644" t="e">
        <f t="shared" si="103"/>
        <v>#VALUE!</v>
      </c>
      <c r="BY96" s="1644" t="e">
        <f t="shared" si="104"/>
        <v>#VALUE!</v>
      </c>
      <c r="BZ96" s="1644" t="e">
        <f t="shared" si="105"/>
        <v>#VALUE!</v>
      </c>
      <c r="CA96" s="1644" t="e">
        <f t="shared" si="106"/>
        <v>#VALUE!</v>
      </c>
      <c r="CB96" s="1644" t="e">
        <f t="shared" si="107"/>
        <v>#VALUE!</v>
      </c>
      <c r="CC96" s="1644" t="e">
        <f t="shared" si="108"/>
        <v>#VALUE!</v>
      </c>
      <c r="CD96" s="1644" t="e">
        <f t="shared" si="109"/>
        <v>#VALUE!</v>
      </c>
      <c r="CE96" s="1644" t="e">
        <f t="shared" si="110"/>
        <v>#VALUE!</v>
      </c>
      <c r="CF96" s="505" t="e">
        <f t="shared" si="111"/>
        <v>#VALUE!</v>
      </c>
      <c r="CG96" s="1648" t="e">
        <f t="shared" si="112"/>
        <v>#VALUE!</v>
      </c>
      <c r="CH96" s="521" t="e">
        <f t="shared" si="113"/>
        <v>#VALUE!</v>
      </c>
      <c r="CI96" s="522" t="e">
        <f t="shared" si="114"/>
        <v>#VALUE!</v>
      </c>
      <c r="CJ96" s="1672"/>
      <c r="CK96" s="1647" t="str">
        <f t="shared" si="115"/>
        <v>n/a</v>
      </c>
      <c r="CL96" s="1671">
        <v>86</v>
      </c>
      <c r="CM96" s="1644" t="e">
        <f t="shared" si="116"/>
        <v>#VALUE!</v>
      </c>
      <c r="CN96" s="1644" t="e">
        <f t="shared" si="117"/>
        <v>#VALUE!</v>
      </c>
      <c r="CO96" s="1644" t="e">
        <f t="shared" si="118"/>
        <v>#VALUE!</v>
      </c>
      <c r="CP96" s="1644" t="e">
        <f t="shared" si="119"/>
        <v>#VALUE!</v>
      </c>
      <c r="CQ96" s="1644" t="e">
        <f t="shared" si="120"/>
        <v>#VALUE!</v>
      </c>
      <c r="CR96" s="1644" t="e">
        <f t="shared" si="99"/>
        <v>#VALUE!</v>
      </c>
      <c r="CS96" s="1644" t="e">
        <f t="shared" si="121"/>
        <v>#VALUE!</v>
      </c>
      <c r="CT96" s="1644" t="e">
        <f t="shared" si="100"/>
        <v>#VALUE!</v>
      </c>
      <c r="CU96" s="505" t="e">
        <f t="shared" si="122"/>
        <v>#VALUE!</v>
      </c>
      <c r="CV96" s="1648" t="e">
        <f t="shared" si="123"/>
        <v>#VALUE!</v>
      </c>
      <c r="CW96" s="521" t="e">
        <f t="shared" si="124"/>
        <v>#VALUE!</v>
      </c>
      <c r="CX96" s="522" t="e">
        <f t="shared" si="101"/>
        <v>#VALUE!</v>
      </c>
      <c r="CZ96" s="1647" t="str">
        <f t="shared" si="150"/>
        <v>n/a</v>
      </c>
      <c r="DA96" s="1671">
        <v>86</v>
      </c>
      <c r="DB96" s="1644" t="e">
        <f t="shared" si="125"/>
        <v>#VALUE!</v>
      </c>
      <c r="DC96" s="1644" t="e">
        <f t="shared" si="126"/>
        <v>#VALUE!</v>
      </c>
      <c r="DD96" s="1644" t="e">
        <f t="shared" si="127"/>
        <v>#VALUE!</v>
      </c>
      <c r="DE96" s="1644" t="e">
        <f t="shared" si="128"/>
        <v>#VALUE!</v>
      </c>
      <c r="DF96" s="1644" t="e">
        <f t="shared" si="129"/>
        <v>#VALUE!</v>
      </c>
      <c r="DG96" s="1644" t="e">
        <f t="shared" si="130"/>
        <v>#VALUE!</v>
      </c>
      <c r="DH96" s="1644" t="e">
        <f t="shared" si="131"/>
        <v>#VALUE!</v>
      </c>
      <c r="DI96" s="1644" t="e">
        <f t="shared" si="132"/>
        <v>#VALUE!</v>
      </c>
      <c r="DJ96" s="505" t="e">
        <f t="shared" si="133"/>
        <v>#VALUE!</v>
      </c>
      <c r="DK96" s="1648" t="e">
        <f t="shared" si="134"/>
        <v>#VALUE!</v>
      </c>
      <c r="DL96" s="521" t="e">
        <f t="shared" si="135"/>
        <v>#VALUE!</v>
      </c>
      <c r="DM96" s="522" t="e">
        <f t="shared" si="136"/>
        <v>#VALUE!</v>
      </c>
      <c r="DN96" s="1672"/>
      <c r="DO96" s="1647" t="str">
        <f t="shared" si="151"/>
        <v>n/a</v>
      </c>
      <c r="DP96" s="1671">
        <v>86</v>
      </c>
      <c r="DQ96" s="1644" t="e">
        <f t="shared" si="137"/>
        <v>#VALUE!</v>
      </c>
      <c r="DR96" s="1644" t="e">
        <f t="shared" si="138"/>
        <v>#VALUE!</v>
      </c>
      <c r="DS96" s="1644" t="e">
        <f t="shared" si="139"/>
        <v>#VALUE!</v>
      </c>
      <c r="DT96" s="1644" t="e">
        <f t="shared" si="140"/>
        <v>#VALUE!</v>
      </c>
      <c r="DU96" s="1644" t="e">
        <f t="shared" si="141"/>
        <v>#VALUE!</v>
      </c>
      <c r="DV96" s="1644" t="e">
        <f t="shared" si="142"/>
        <v>#VALUE!</v>
      </c>
      <c r="DW96" s="1644" t="e">
        <f t="shared" si="143"/>
        <v>#VALUE!</v>
      </c>
      <c r="DX96" s="1644" t="e">
        <f t="shared" si="144"/>
        <v>#VALUE!</v>
      </c>
      <c r="DY96" s="505" t="e">
        <f t="shared" si="145"/>
        <v>#VALUE!</v>
      </c>
      <c r="DZ96" s="1648" t="e">
        <f t="shared" si="146"/>
        <v>#VALUE!</v>
      </c>
      <c r="EA96" s="521" t="e">
        <f t="shared" si="147"/>
        <v>#VALUE!</v>
      </c>
      <c r="EB96" s="522" t="e">
        <f t="shared" si="148"/>
        <v>#VALUE!</v>
      </c>
    </row>
    <row r="97" spans="4:132">
      <c r="M97" s="347"/>
      <c r="N97" s="1630"/>
      <c r="O97" s="347"/>
      <c r="P97" s="347"/>
      <c r="Q97" s="347"/>
      <c r="R97" s="347"/>
      <c r="S97" s="347"/>
      <c r="T97" s="347"/>
      <c r="U97" s="347"/>
      <c r="V97" s="347"/>
      <c r="W97" s="1630"/>
      <c r="X97" s="347"/>
      <c r="Y97" s="347"/>
      <c r="Z97" s="347"/>
      <c r="AA97" s="347"/>
      <c r="AB97" s="347"/>
      <c r="AC97" s="347"/>
      <c r="BH97" s="1649">
        <f t="shared" si="149"/>
        <v>0</v>
      </c>
      <c r="BI97" s="503">
        <v>100</v>
      </c>
      <c r="BJ97" s="1644">
        <f t="shared" si="88"/>
        <v>273.14999999999998</v>
      </c>
      <c r="BK97" s="1644">
        <f t="shared" si="89"/>
        <v>-17.025409380322781</v>
      </c>
      <c r="BL97" s="1644">
        <f t="shared" si="90"/>
        <v>23.440757653659677</v>
      </c>
      <c r="BM97" s="1644">
        <f t="shared" si="91"/>
        <v>0.61115357225163158</v>
      </c>
      <c r="BN97" s="1644">
        <f t="shared" si="92"/>
        <v>0.61115357225163158</v>
      </c>
      <c r="BO97" s="1644">
        <f t="shared" si="93"/>
        <v>3.7743102100838721E-3</v>
      </c>
      <c r="BP97" s="1644">
        <f t="shared" si="94"/>
        <v>1</v>
      </c>
      <c r="BQ97" s="1644">
        <f t="shared" si="95"/>
        <v>0.77865533865216163</v>
      </c>
      <c r="BR97" s="1648">
        <f t="shared" si="96"/>
        <v>9.4395498354197649</v>
      </c>
      <c r="BS97" s="521">
        <f t="shared" si="97"/>
        <v>0</v>
      </c>
      <c r="BT97" s="522">
        <f t="shared" si="98"/>
        <v>3.7743102100838721E-3</v>
      </c>
      <c r="BV97" s="1647" t="str">
        <f t="shared" si="102"/>
        <v>n/a</v>
      </c>
      <c r="BW97" s="1671">
        <v>87</v>
      </c>
      <c r="BX97" s="1644" t="e">
        <f t="shared" si="103"/>
        <v>#VALUE!</v>
      </c>
      <c r="BY97" s="1644" t="e">
        <f t="shared" si="104"/>
        <v>#VALUE!</v>
      </c>
      <c r="BZ97" s="1644" t="e">
        <f t="shared" si="105"/>
        <v>#VALUE!</v>
      </c>
      <c r="CA97" s="1644" t="e">
        <f t="shared" si="106"/>
        <v>#VALUE!</v>
      </c>
      <c r="CB97" s="1644" t="e">
        <f t="shared" si="107"/>
        <v>#VALUE!</v>
      </c>
      <c r="CC97" s="1644" t="e">
        <f t="shared" si="108"/>
        <v>#VALUE!</v>
      </c>
      <c r="CD97" s="1644" t="e">
        <f t="shared" si="109"/>
        <v>#VALUE!</v>
      </c>
      <c r="CE97" s="1644" t="e">
        <f t="shared" si="110"/>
        <v>#VALUE!</v>
      </c>
      <c r="CF97" s="505" t="e">
        <f t="shared" si="111"/>
        <v>#VALUE!</v>
      </c>
      <c r="CG97" s="1648" t="e">
        <f t="shared" si="112"/>
        <v>#VALUE!</v>
      </c>
      <c r="CH97" s="521" t="e">
        <f t="shared" si="113"/>
        <v>#VALUE!</v>
      </c>
      <c r="CI97" s="522" t="e">
        <f t="shared" si="114"/>
        <v>#VALUE!</v>
      </c>
      <c r="CJ97" s="1672"/>
      <c r="CK97" s="1647" t="str">
        <f t="shared" si="115"/>
        <v>n/a</v>
      </c>
      <c r="CL97" s="1671">
        <v>87</v>
      </c>
      <c r="CM97" s="1644" t="e">
        <f t="shared" si="116"/>
        <v>#VALUE!</v>
      </c>
      <c r="CN97" s="1644" t="e">
        <f t="shared" si="117"/>
        <v>#VALUE!</v>
      </c>
      <c r="CO97" s="1644" t="e">
        <f t="shared" si="118"/>
        <v>#VALUE!</v>
      </c>
      <c r="CP97" s="1644" t="e">
        <f t="shared" si="119"/>
        <v>#VALUE!</v>
      </c>
      <c r="CQ97" s="1644" t="e">
        <f t="shared" si="120"/>
        <v>#VALUE!</v>
      </c>
      <c r="CR97" s="1644" t="e">
        <f t="shared" si="99"/>
        <v>#VALUE!</v>
      </c>
      <c r="CS97" s="1644" t="e">
        <f t="shared" si="121"/>
        <v>#VALUE!</v>
      </c>
      <c r="CT97" s="1644" t="e">
        <f t="shared" si="100"/>
        <v>#VALUE!</v>
      </c>
      <c r="CU97" s="505" t="e">
        <f t="shared" si="122"/>
        <v>#VALUE!</v>
      </c>
      <c r="CV97" s="1648" t="e">
        <f t="shared" si="123"/>
        <v>#VALUE!</v>
      </c>
      <c r="CW97" s="521" t="e">
        <f t="shared" si="124"/>
        <v>#VALUE!</v>
      </c>
      <c r="CX97" s="522" t="e">
        <f t="shared" si="101"/>
        <v>#VALUE!</v>
      </c>
      <c r="CZ97" s="1647" t="str">
        <f t="shared" si="150"/>
        <v>n/a</v>
      </c>
      <c r="DA97" s="1671">
        <v>87</v>
      </c>
      <c r="DB97" s="1644" t="e">
        <f t="shared" si="125"/>
        <v>#VALUE!</v>
      </c>
      <c r="DC97" s="1644" t="e">
        <f t="shared" si="126"/>
        <v>#VALUE!</v>
      </c>
      <c r="DD97" s="1644" t="e">
        <f t="shared" si="127"/>
        <v>#VALUE!</v>
      </c>
      <c r="DE97" s="1644" t="e">
        <f t="shared" si="128"/>
        <v>#VALUE!</v>
      </c>
      <c r="DF97" s="1644" t="e">
        <f t="shared" si="129"/>
        <v>#VALUE!</v>
      </c>
      <c r="DG97" s="1644" t="e">
        <f t="shared" si="130"/>
        <v>#VALUE!</v>
      </c>
      <c r="DH97" s="1644" t="e">
        <f t="shared" si="131"/>
        <v>#VALUE!</v>
      </c>
      <c r="DI97" s="1644" t="e">
        <f t="shared" si="132"/>
        <v>#VALUE!</v>
      </c>
      <c r="DJ97" s="505" t="e">
        <f t="shared" si="133"/>
        <v>#VALUE!</v>
      </c>
      <c r="DK97" s="1648" t="e">
        <f t="shared" si="134"/>
        <v>#VALUE!</v>
      </c>
      <c r="DL97" s="521" t="e">
        <f t="shared" si="135"/>
        <v>#VALUE!</v>
      </c>
      <c r="DM97" s="522" t="e">
        <f t="shared" si="136"/>
        <v>#VALUE!</v>
      </c>
      <c r="DN97" s="1672"/>
      <c r="DO97" s="1647" t="str">
        <f t="shared" si="151"/>
        <v>n/a</v>
      </c>
      <c r="DP97" s="1671">
        <v>87</v>
      </c>
      <c r="DQ97" s="1644" t="e">
        <f t="shared" si="137"/>
        <v>#VALUE!</v>
      </c>
      <c r="DR97" s="1644" t="e">
        <f t="shared" si="138"/>
        <v>#VALUE!</v>
      </c>
      <c r="DS97" s="1644" t="e">
        <f t="shared" si="139"/>
        <v>#VALUE!</v>
      </c>
      <c r="DT97" s="1644" t="e">
        <f t="shared" si="140"/>
        <v>#VALUE!</v>
      </c>
      <c r="DU97" s="1644" t="e">
        <f t="shared" si="141"/>
        <v>#VALUE!</v>
      </c>
      <c r="DV97" s="1644" t="e">
        <f t="shared" si="142"/>
        <v>#VALUE!</v>
      </c>
      <c r="DW97" s="1644" t="e">
        <f t="shared" si="143"/>
        <v>#VALUE!</v>
      </c>
      <c r="DX97" s="1644" t="e">
        <f t="shared" si="144"/>
        <v>#VALUE!</v>
      </c>
      <c r="DY97" s="505" t="e">
        <f t="shared" si="145"/>
        <v>#VALUE!</v>
      </c>
      <c r="DZ97" s="1648" t="e">
        <f t="shared" si="146"/>
        <v>#VALUE!</v>
      </c>
      <c r="EA97" s="521" t="e">
        <f t="shared" si="147"/>
        <v>#VALUE!</v>
      </c>
      <c r="EB97" s="522" t="e">
        <f t="shared" si="148"/>
        <v>#VALUE!</v>
      </c>
    </row>
    <row r="98" spans="4:132">
      <c r="D98" s="347"/>
      <c r="E98" s="347"/>
      <c r="M98" s="347"/>
      <c r="N98" s="1630"/>
      <c r="O98" s="347"/>
      <c r="P98" s="347"/>
      <c r="Q98" s="347"/>
      <c r="R98" s="347"/>
      <c r="S98" s="347"/>
      <c r="T98" s="347"/>
      <c r="U98" s="347"/>
      <c r="V98" s="347"/>
      <c r="W98" s="1630"/>
      <c r="X98" s="347"/>
      <c r="Y98" s="347"/>
      <c r="Z98" s="347"/>
      <c r="AA98" s="347"/>
      <c r="AB98" s="347"/>
      <c r="AC98" s="347"/>
      <c r="BH98" s="1649">
        <f t="shared" si="149"/>
        <v>0</v>
      </c>
      <c r="BI98" s="503">
        <v>100</v>
      </c>
      <c r="BJ98" s="1644">
        <f t="shared" si="88"/>
        <v>273.14999999999998</v>
      </c>
      <c r="BK98" s="1644">
        <f t="shared" si="89"/>
        <v>-17.025409380322781</v>
      </c>
      <c r="BL98" s="1644">
        <f t="shared" si="90"/>
        <v>23.440757653659677</v>
      </c>
      <c r="BM98" s="1644">
        <f t="shared" si="91"/>
        <v>0.61115357225163158</v>
      </c>
      <c r="BN98" s="1644">
        <f t="shared" si="92"/>
        <v>0.61115357225163158</v>
      </c>
      <c r="BO98" s="1644">
        <f t="shared" si="93"/>
        <v>3.7743102100838721E-3</v>
      </c>
      <c r="BP98" s="1644">
        <f t="shared" si="94"/>
        <v>1</v>
      </c>
      <c r="BQ98" s="1644">
        <f t="shared" si="95"/>
        <v>0.77865533865216163</v>
      </c>
      <c r="BR98" s="1648">
        <f t="shared" si="96"/>
        <v>9.4395498354197649</v>
      </c>
      <c r="BS98" s="521">
        <f t="shared" si="97"/>
        <v>0</v>
      </c>
      <c r="BT98" s="522">
        <f t="shared" si="98"/>
        <v>3.7743102100838721E-3</v>
      </c>
      <c r="BV98" s="1647" t="str">
        <f t="shared" si="102"/>
        <v>n/a</v>
      </c>
      <c r="BW98" s="1671">
        <v>88</v>
      </c>
      <c r="BX98" s="1644" t="e">
        <f t="shared" si="103"/>
        <v>#VALUE!</v>
      </c>
      <c r="BY98" s="1644" t="e">
        <f t="shared" si="104"/>
        <v>#VALUE!</v>
      </c>
      <c r="BZ98" s="1644" t="e">
        <f t="shared" si="105"/>
        <v>#VALUE!</v>
      </c>
      <c r="CA98" s="1644" t="e">
        <f t="shared" si="106"/>
        <v>#VALUE!</v>
      </c>
      <c r="CB98" s="1644" t="e">
        <f t="shared" si="107"/>
        <v>#VALUE!</v>
      </c>
      <c r="CC98" s="1644" t="e">
        <f t="shared" si="108"/>
        <v>#VALUE!</v>
      </c>
      <c r="CD98" s="1644" t="e">
        <f t="shared" si="109"/>
        <v>#VALUE!</v>
      </c>
      <c r="CE98" s="1644" t="e">
        <f t="shared" si="110"/>
        <v>#VALUE!</v>
      </c>
      <c r="CF98" s="505" t="e">
        <f t="shared" si="111"/>
        <v>#VALUE!</v>
      </c>
      <c r="CG98" s="1648" t="e">
        <f t="shared" si="112"/>
        <v>#VALUE!</v>
      </c>
      <c r="CH98" s="521" t="e">
        <f t="shared" si="113"/>
        <v>#VALUE!</v>
      </c>
      <c r="CI98" s="522" t="e">
        <f t="shared" si="114"/>
        <v>#VALUE!</v>
      </c>
      <c r="CJ98" s="1672"/>
      <c r="CK98" s="1647" t="str">
        <f t="shared" si="115"/>
        <v>n/a</v>
      </c>
      <c r="CL98" s="1671">
        <v>88</v>
      </c>
      <c r="CM98" s="1644" t="e">
        <f t="shared" si="116"/>
        <v>#VALUE!</v>
      </c>
      <c r="CN98" s="1644" t="e">
        <f t="shared" si="117"/>
        <v>#VALUE!</v>
      </c>
      <c r="CO98" s="1644" t="e">
        <f t="shared" si="118"/>
        <v>#VALUE!</v>
      </c>
      <c r="CP98" s="1644" t="e">
        <f t="shared" si="119"/>
        <v>#VALUE!</v>
      </c>
      <c r="CQ98" s="1644" t="e">
        <f t="shared" si="120"/>
        <v>#VALUE!</v>
      </c>
      <c r="CR98" s="1644" t="e">
        <f t="shared" si="99"/>
        <v>#VALUE!</v>
      </c>
      <c r="CS98" s="1644" t="e">
        <f t="shared" si="121"/>
        <v>#VALUE!</v>
      </c>
      <c r="CT98" s="1644" t="e">
        <f t="shared" si="100"/>
        <v>#VALUE!</v>
      </c>
      <c r="CU98" s="505" t="e">
        <f t="shared" si="122"/>
        <v>#VALUE!</v>
      </c>
      <c r="CV98" s="1648" t="e">
        <f t="shared" si="123"/>
        <v>#VALUE!</v>
      </c>
      <c r="CW98" s="521" t="e">
        <f t="shared" si="124"/>
        <v>#VALUE!</v>
      </c>
      <c r="CX98" s="522" t="e">
        <f t="shared" si="101"/>
        <v>#VALUE!</v>
      </c>
      <c r="CZ98" s="1647" t="str">
        <f t="shared" si="150"/>
        <v>n/a</v>
      </c>
      <c r="DA98" s="1671">
        <v>88</v>
      </c>
      <c r="DB98" s="1644" t="e">
        <f t="shared" si="125"/>
        <v>#VALUE!</v>
      </c>
      <c r="DC98" s="1644" t="e">
        <f t="shared" si="126"/>
        <v>#VALUE!</v>
      </c>
      <c r="DD98" s="1644" t="e">
        <f t="shared" si="127"/>
        <v>#VALUE!</v>
      </c>
      <c r="DE98" s="1644" t="e">
        <f t="shared" si="128"/>
        <v>#VALUE!</v>
      </c>
      <c r="DF98" s="1644" t="e">
        <f t="shared" si="129"/>
        <v>#VALUE!</v>
      </c>
      <c r="DG98" s="1644" t="e">
        <f t="shared" si="130"/>
        <v>#VALUE!</v>
      </c>
      <c r="DH98" s="1644" t="e">
        <f t="shared" si="131"/>
        <v>#VALUE!</v>
      </c>
      <c r="DI98" s="1644" t="e">
        <f t="shared" si="132"/>
        <v>#VALUE!</v>
      </c>
      <c r="DJ98" s="505" t="e">
        <f t="shared" si="133"/>
        <v>#VALUE!</v>
      </c>
      <c r="DK98" s="1648" t="e">
        <f t="shared" si="134"/>
        <v>#VALUE!</v>
      </c>
      <c r="DL98" s="521" t="e">
        <f t="shared" si="135"/>
        <v>#VALUE!</v>
      </c>
      <c r="DM98" s="522" t="e">
        <f t="shared" si="136"/>
        <v>#VALUE!</v>
      </c>
      <c r="DN98" s="1672"/>
      <c r="DO98" s="1647" t="str">
        <f t="shared" si="151"/>
        <v>n/a</v>
      </c>
      <c r="DP98" s="1671">
        <v>88</v>
      </c>
      <c r="DQ98" s="1644" t="e">
        <f t="shared" si="137"/>
        <v>#VALUE!</v>
      </c>
      <c r="DR98" s="1644" t="e">
        <f t="shared" si="138"/>
        <v>#VALUE!</v>
      </c>
      <c r="DS98" s="1644" t="e">
        <f t="shared" si="139"/>
        <v>#VALUE!</v>
      </c>
      <c r="DT98" s="1644" t="e">
        <f t="shared" si="140"/>
        <v>#VALUE!</v>
      </c>
      <c r="DU98" s="1644" t="e">
        <f t="shared" si="141"/>
        <v>#VALUE!</v>
      </c>
      <c r="DV98" s="1644" t="e">
        <f t="shared" si="142"/>
        <v>#VALUE!</v>
      </c>
      <c r="DW98" s="1644" t="e">
        <f t="shared" si="143"/>
        <v>#VALUE!</v>
      </c>
      <c r="DX98" s="1644" t="e">
        <f t="shared" si="144"/>
        <v>#VALUE!</v>
      </c>
      <c r="DY98" s="505" t="e">
        <f t="shared" si="145"/>
        <v>#VALUE!</v>
      </c>
      <c r="DZ98" s="1648" t="e">
        <f t="shared" si="146"/>
        <v>#VALUE!</v>
      </c>
      <c r="EA98" s="521" t="e">
        <f t="shared" si="147"/>
        <v>#VALUE!</v>
      </c>
      <c r="EB98" s="522" t="e">
        <f t="shared" si="148"/>
        <v>#VALUE!</v>
      </c>
    </row>
    <row r="99" spans="4:132">
      <c r="D99" s="347"/>
      <c r="E99" s="347"/>
      <c r="M99" s="347"/>
      <c r="N99" s="1630"/>
      <c r="O99" s="347"/>
      <c r="P99" s="347"/>
      <c r="Q99" s="347"/>
      <c r="R99" s="347"/>
      <c r="S99" s="347"/>
      <c r="T99" s="347"/>
      <c r="U99" s="347"/>
      <c r="V99" s="347"/>
      <c r="W99" s="1630"/>
      <c r="X99" s="347"/>
      <c r="Y99" s="347"/>
      <c r="Z99" s="347"/>
      <c r="AA99" s="347"/>
      <c r="AB99" s="347"/>
      <c r="AC99" s="347"/>
      <c r="BH99" s="1649">
        <f t="shared" si="149"/>
        <v>0</v>
      </c>
      <c r="BI99" s="503">
        <v>100</v>
      </c>
      <c r="BJ99" s="1644">
        <f t="shared" si="88"/>
        <v>273.14999999999998</v>
      </c>
      <c r="BK99" s="1644">
        <f t="shared" si="89"/>
        <v>-17.025409380322781</v>
      </c>
      <c r="BL99" s="1644">
        <f t="shared" si="90"/>
        <v>23.440757653659677</v>
      </c>
      <c r="BM99" s="1644">
        <f t="shared" si="91"/>
        <v>0.61115357225163158</v>
      </c>
      <c r="BN99" s="1644">
        <f t="shared" si="92"/>
        <v>0.61115357225163158</v>
      </c>
      <c r="BO99" s="1644">
        <f t="shared" si="93"/>
        <v>3.7743102100838721E-3</v>
      </c>
      <c r="BP99" s="1644">
        <f t="shared" si="94"/>
        <v>1</v>
      </c>
      <c r="BQ99" s="1644">
        <f t="shared" si="95"/>
        <v>0.77865533865216163</v>
      </c>
      <c r="BR99" s="1648">
        <f t="shared" si="96"/>
        <v>9.4395498354197649</v>
      </c>
      <c r="BS99" s="521">
        <f t="shared" si="97"/>
        <v>0</v>
      </c>
      <c r="BT99" s="522">
        <f t="shared" si="98"/>
        <v>3.7743102100838721E-3</v>
      </c>
      <c r="BV99" s="1647" t="str">
        <f t="shared" si="102"/>
        <v>n/a</v>
      </c>
      <c r="BW99" s="1671">
        <v>89</v>
      </c>
      <c r="BX99" s="1644" t="e">
        <f t="shared" si="103"/>
        <v>#VALUE!</v>
      </c>
      <c r="BY99" s="1644" t="e">
        <f t="shared" si="104"/>
        <v>#VALUE!</v>
      </c>
      <c r="BZ99" s="1644" t="e">
        <f t="shared" si="105"/>
        <v>#VALUE!</v>
      </c>
      <c r="CA99" s="1644" t="e">
        <f t="shared" si="106"/>
        <v>#VALUE!</v>
      </c>
      <c r="CB99" s="1644" t="e">
        <f t="shared" si="107"/>
        <v>#VALUE!</v>
      </c>
      <c r="CC99" s="1644" t="e">
        <f t="shared" si="108"/>
        <v>#VALUE!</v>
      </c>
      <c r="CD99" s="1644" t="e">
        <f t="shared" si="109"/>
        <v>#VALUE!</v>
      </c>
      <c r="CE99" s="1644" t="e">
        <f t="shared" si="110"/>
        <v>#VALUE!</v>
      </c>
      <c r="CF99" s="505" t="e">
        <f t="shared" si="111"/>
        <v>#VALUE!</v>
      </c>
      <c r="CG99" s="1648" t="e">
        <f t="shared" si="112"/>
        <v>#VALUE!</v>
      </c>
      <c r="CH99" s="521" t="e">
        <f t="shared" si="113"/>
        <v>#VALUE!</v>
      </c>
      <c r="CI99" s="522" t="e">
        <f t="shared" si="114"/>
        <v>#VALUE!</v>
      </c>
      <c r="CJ99" s="1672"/>
      <c r="CK99" s="1647" t="str">
        <f t="shared" si="115"/>
        <v>n/a</v>
      </c>
      <c r="CL99" s="1671">
        <v>89</v>
      </c>
      <c r="CM99" s="1644" t="e">
        <f t="shared" si="116"/>
        <v>#VALUE!</v>
      </c>
      <c r="CN99" s="1644" t="e">
        <f t="shared" si="117"/>
        <v>#VALUE!</v>
      </c>
      <c r="CO99" s="1644" t="e">
        <f t="shared" si="118"/>
        <v>#VALUE!</v>
      </c>
      <c r="CP99" s="1644" t="e">
        <f t="shared" si="119"/>
        <v>#VALUE!</v>
      </c>
      <c r="CQ99" s="1644" t="e">
        <f t="shared" si="120"/>
        <v>#VALUE!</v>
      </c>
      <c r="CR99" s="1644" t="e">
        <f t="shared" si="99"/>
        <v>#VALUE!</v>
      </c>
      <c r="CS99" s="1644" t="e">
        <f t="shared" si="121"/>
        <v>#VALUE!</v>
      </c>
      <c r="CT99" s="1644" t="e">
        <f t="shared" si="100"/>
        <v>#VALUE!</v>
      </c>
      <c r="CU99" s="505" t="e">
        <f t="shared" si="122"/>
        <v>#VALUE!</v>
      </c>
      <c r="CV99" s="1648" t="e">
        <f t="shared" si="123"/>
        <v>#VALUE!</v>
      </c>
      <c r="CW99" s="521" t="e">
        <f t="shared" si="124"/>
        <v>#VALUE!</v>
      </c>
      <c r="CX99" s="522" t="e">
        <f t="shared" si="101"/>
        <v>#VALUE!</v>
      </c>
      <c r="CZ99" s="1647" t="str">
        <f t="shared" si="150"/>
        <v>n/a</v>
      </c>
      <c r="DA99" s="1671">
        <v>89</v>
      </c>
      <c r="DB99" s="1644" t="e">
        <f t="shared" si="125"/>
        <v>#VALUE!</v>
      </c>
      <c r="DC99" s="1644" t="e">
        <f t="shared" si="126"/>
        <v>#VALUE!</v>
      </c>
      <c r="DD99" s="1644" t="e">
        <f t="shared" si="127"/>
        <v>#VALUE!</v>
      </c>
      <c r="DE99" s="1644" t="e">
        <f t="shared" si="128"/>
        <v>#VALUE!</v>
      </c>
      <c r="DF99" s="1644" t="e">
        <f t="shared" si="129"/>
        <v>#VALUE!</v>
      </c>
      <c r="DG99" s="1644" t="e">
        <f t="shared" si="130"/>
        <v>#VALUE!</v>
      </c>
      <c r="DH99" s="1644" t="e">
        <f t="shared" si="131"/>
        <v>#VALUE!</v>
      </c>
      <c r="DI99" s="1644" t="e">
        <f t="shared" si="132"/>
        <v>#VALUE!</v>
      </c>
      <c r="DJ99" s="505" t="e">
        <f t="shared" si="133"/>
        <v>#VALUE!</v>
      </c>
      <c r="DK99" s="1648" t="e">
        <f t="shared" si="134"/>
        <v>#VALUE!</v>
      </c>
      <c r="DL99" s="521" t="e">
        <f t="shared" si="135"/>
        <v>#VALUE!</v>
      </c>
      <c r="DM99" s="522" t="e">
        <f t="shared" si="136"/>
        <v>#VALUE!</v>
      </c>
      <c r="DN99" s="1672"/>
      <c r="DO99" s="1647" t="str">
        <f t="shared" si="151"/>
        <v>n/a</v>
      </c>
      <c r="DP99" s="1671">
        <v>89</v>
      </c>
      <c r="DQ99" s="1644" t="e">
        <f t="shared" si="137"/>
        <v>#VALUE!</v>
      </c>
      <c r="DR99" s="1644" t="e">
        <f t="shared" si="138"/>
        <v>#VALUE!</v>
      </c>
      <c r="DS99" s="1644" t="e">
        <f t="shared" si="139"/>
        <v>#VALUE!</v>
      </c>
      <c r="DT99" s="1644" t="e">
        <f t="shared" si="140"/>
        <v>#VALUE!</v>
      </c>
      <c r="DU99" s="1644" t="e">
        <f t="shared" si="141"/>
        <v>#VALUE!</v>
      </c>
      <c r="DV99" s="1644" t="e">
        <f t="shared" si="142"/>
        <v>#VALUE!</v>
      </c>
      <c r="DW99" s="1644" t="e">
        <f t="shared" si="143"/>
        <v>#VALUE!</v>
      </c>
      <c r="DX99" s="1644" t="e">
        <f t="shared" si="144"/>
        <v>#VALUE!</v>
      </c>
      <c r="DY99" s="505" t="e">
        <f t="shared" si="145"/>
        <v>#VALUE!</v>
      </c>
      <c r="DZ99" s="1648" t="e">
        <f t="shared" si="146"/>
        <v>#VALUE!</v>
      </c>
      <c r="EA99" s="521" t="e">
        <f t="shared" si="147"/>
        <v>#VALUE!</v>
      </c>
      <c r="EB99" s="522" t="e">
        <f t="shared" si="148"/>
        <v>#VALUE!</v>
      </c>
    </row>
    <row r="100" spans="4:132">
      <c r="D100" s="347"/>
      <c r="E100" s="347"/>
      <c r="L100" s="347"/>
      <c r="M100" s="347"/>
      <c r="N100" s="1630"/>
      <c r="O100" s="347"/>
      <c r="P100" s="347"/>
      <c r="Q100" s="347"/>
      <c r="R100" s="347"/>
      <c r="S100" s="347"/>
      <c r="T100" s="347"/>
      <c r="U100" s="347"/>
      <c r="V100" s="347"/>
      <c r="W100" s="1630"/>
      <c r="X100" s="347"/>
      <c r="Y100" s="347"/>
      <c r="Z100" s="347"/>
      <c r="AA100" s="347"/>
      <c r="AB100" s="347"/>
      <c r="AC100" s="347"/>
      <c r="BH100" s="1649">
        <f t="shared" si="149"/>
        <v>0</v>
      </c>
      <c r="BI100" s="503">
        <v>100</v>
      </c>
      <c r="BJ100" s="1644">
        <f t="shared" si="88"/>
        <v>273.14999999999998</v>
      </c>
      <c r="BK100" s="1644">
        <f t="shared" si="89"/>
        <v>-17.025409380322781</v>
      </c>
      <c r="BL100" s="1644">
        <f t="shared" si="90"/>
        <v>23.440757653659677</v>
      </c>
      <c r="BM100" s="1644">
        <f t="shared" si="91"/>
        <v>0.61115357225163158</v>
      </c>
      <c r="BN100" s="1644">
        <f t="shared" si="92"/>
        <v>0.61115357225163158</v>
      </c>
      <c r="BO100" s="1644">
        <f t="shared" si="93"/>
        <v>3.7743102100838721E-3</v>
      </c>
      <c r="BP100" s="1644">
        <f t="shared" si="94"/>
        <v>1</v>
      </c>
      <c r="BQ100" s="1644">
        <f t="shared" si="95"/>
        <v>0.77865533865216163</v>
      </c>
      <c r="BR100" s="1648">
        <f t="shared" si="96"/>
        <v>9.4395498354197649</v>
      </c>
      <c r="BS100" s="521">
        <f t="shared" si="97"/>
        <v>0</v>
      </c>
      <c r="BT100" s="522">
        <f t="shared" si="98"/>
        <v>3.7743102100838721E-3</v>
      </c>
      <c r="BV100" s="1647" t="str">
        <f t="shared" si="102"/>
        <v>n/a</v>
      </c>
      <c r="BW100" s="1671">
        <v>90</v>
      </c>
      <c r="BX100" s="1644" t="e">
        <f t="shared" si="103"/>
        <v>#VALUE!</v>
      </c>
      <c r="BY100" s="1644" t="e">
        <f t="shared" si="104"/>
        <v>#VALUE!</v>
      </c>
      <c r="BZ100" s="1644" t="e">
        <f t="shared" si="105"/>
        <v>#VALUE!</v>
      </c>
      <c r="CA100" s="1644" t="e">
        <f t="shared" si="106"/>
        <v>#VALUE!</v>
      </c>
      <c r="CB100" s="1644" t="e">
        <f t="shared" si="107"/>
        <v>#VALUE!</v>
      </c>
      <c r="CC100" s="1644" t="e">
        <f t="shared" si="108"/>
        <v>#VALUE!</v>
      </c>
      <c r="CD100" s="1644" t="e">
        <f t="shared" si="109"/>
        <v>#VALUE!</v>
      </c>
      <c r="CE100" s="1644" t="e">
        <f t="shared" si="110"/>
        <v>#VALUE!</v>
      </c>
      <c r="CF100" s="505" t="e">
        <f t="shared" si="111"/>
        <v>#VALUE!</v>
      </c>
      <c r="CG100" s="1648" t="e">
        <f t="shared" si="112"/>
        <v>#VALUE!</v>
      </c>
      <c r="CH100" s="521" t="e">
        <f t="shared" si="113"/>
        <v>#VALUE!</v>
      </c>
      <c r="CI100" s="522" t="e">
        <f t="shared" si="114"/>
        <v>#VALUE!</v>
      </c>
      <c r="CJ100" s="1672"/>
      <c r="CK100" s="1647" t="str">
        <f t="shared" si="115"/>
        <v>n/a</v>
      </c>
      <c r="CL100" s="1671">
        <v>90</v>
      </c>
      <c r="CM100" s="1644" t="e">
        <f t="shared" si="116"/>
        <v>#VALUE!</v>
      </c>
      <c r="CN100" s="1644" t="e">
        <f t="shared" si="117"/>
        <v>#VALUE!</v>
      </c>
      <c r="CO100" s="1644" t="e">
        <f t="shared" si="118"/>
        <v>#VALUE!</v>
      </c>
      <c r="CP100" s="1644" t="e">
        <f t="shared" si="119"/>
        <v>#VALUE!</v>
      </c>
      <c r="CQ100" s="1644" t="e">
        <f t="shared" si="120"/>
        <v>#VALUE!</v>
      </c>
      <c r="CR100" s="1644" t="e">
        <f t="shared" si="99"/>
        <v>#VALUE!</v>
      </c>
      <c r="CS100" s="1644" t="e">
        <f t="shared" si="121"/>
        <v>#VALUE!</v>
      </c>
      <c r="CT100" s="1644" t="e">
        <f t="shared" si="100"/>
        <v>#VALUE!</v>
      </c>
      <c r="CU100" s="505" t="e">
        <f t="shared" si="122"/>
        <v>#VALUE!</v>
      </c>
      <c r="CV100" s="1648" t="e">
        <f t="shared" si="123"/>
        <v>#VALUE!</v>
      </c>
      <c r="CW100" s="521" t="e">
        <f t="shared" si="124"/>
        <v>#VALUE!</v>
      </c>
      <c r="CX100" s="522" t="e">
        <f t="shared" si="101"/>
        <v>#VALUE!</v>
      </c>
      <c r="CZ100" s="1647" t="str">
        <f t="shared" si="150"/>
        <v>n/a</v>
      </c>
      <c r="DA100" s="1671">
        <v>90</v>
      </c>
      <c r="DB100" s="1644" t="e">
        <f t="shared" si="125"/>
        <v>#VALUE!</v>
      </c>
      <c r="DC100" s="1644" t="e">
        <f t="shared" si="126"/>
        <v>#VALUE!</v>
      </c>
      <c r="DD100" s="1644" t="e">
        <f t="shared" si="127"/>
        <v>#VALUE!</v>
      </c>
      <c r="DE100" s="1644" t="e">
        <f t="shared" si="128"/>
        <v>#VALUE!</v>
      </c>
      <c r="DF100" s="1644" t="e">
        <f t="shared" si="129"/>
        <v>#VALUE!</v>
      </c>
      <c r="DG100" s="1644" t="e">
        <f t="shared" si="130"/>
        <v>#VALUE!</v>
      </c>
      <c r="DH100" s="1644" t="e">
        <f t="shared" si="131"/>
        <v>#VALUE!</v>
      </c>
      <c r="DI100" s="1644" t="e">
        <f t="shared" si="132"/>
        <v>#VALUE!</v>
      </c>
      <c r="DJ100" s="505" t="e">
        <f t="shared" si="133"/>
        <v>#VALUE!</v>
      </c>
      <c r="DK100" s="1648" t="e">
        <f t="shared" si="134"/>
        <v>#VALUE!</v>
      </c>
      <c r="DL100" s="521" t="e">
        <f t="shared" si="135"/>
        <v>#VALUE!</v>
      </c>
      <c r="DM100" s="522" t="e">
        <f t="shared" si="136"/>
        <v>#VALUE!</v>
      </c>
      <c r="DN100" s="1672"/>
      <c r="DO100" s="1647" t="str">
        <f t="shared" si="151"/>
        <v>n/a</v>
      </c>
      <c r="DP100" s="1671">
        <v>90</v>
      </c>
      <c r="DQ100" s="1644" t="e">
        <f t="shared" si="137"/>
        <v>#VALUE!</v>
      </c>
      <c r="DR100" s="1644" t="e">
        <f t="shared" si="138"/>
        <v>#VALUE!</v>
      </c>
      <c r="DS100" s="1644" t="e">
        <f t="shared" si="139"/>
        <v>#VALUE!</v>
      </c>
      <c r="DT100" s="1644" t="e">
        <f t="shared" si="140"/>
        <v>#VALUE!</v>
      </c>
      <c r="DU100" s="1644" t="e">
        <f t="shared" si="141"/>
        <v>#VALUE!</v>
      </c>
      <c r="DV100" s="1644" t="e">
        <f t="shared" si="142"/>
        <v>#VALUE!</v>
      </c>
      <c r="DW100" s="1644" t="e">
        <f t="shared" si="143"/>
        <v>#VALUE!</v>
      </c>
      <c r="DX100" s="1644" t="e">
        <f t="shared" si="144"/>
        <v>#VALUE!</v>
      </c>
      <c r="DY100" s="505" t="e">
        <f t="shared" si="145"/>
        <v>#VALUE!</v>
      </c>
      <c r="DZ100" s="1648" t="e">
        <f t="shared" si="146"/>
        <v>#VALUE!</v>
      </c>
      <c r="EA100" s="521" t="e">
        <f t="shared" si="147"/>
        <v>#VALUE!</v>
      </c>
      <c r="EB100" s="522" t="e">
        <f t="shared" si="148"/>
        <v>#VALUE!</v>
      </c>
    </row>
    <row r="101" spans="4:132">
      <c r="D101" s="347"/>
      <c r="E101" s="347"/>
      <c r="I101" s="347"/>
      <c r="J101" s="347"/>
      <c r="K101" s="347"/>
      <c r="L101" s="347"/>
      <c r="M101" s="347"/>
      <c r="N101" s="1630"/>
      <c r="O101" s="347"/>
      <c r="P101" s="347"/>
      <c r="Q101" s="347"/>
      <c r="R101" s="347"/>
      <c r="S101" s="347"/>
      <c r="T101" s="347"/>
      <c r="U101" s="347"/>
      <c r="V101" s="347"/>
      <c r="W101" s="1630"/>
      <c r="X101" s="347"/>
      <c r="Y101" s="347"/>
      <c r="Z101" s="347"/>
      <c r="AA101" s="347"/>
      <c r="AB101" s="347"/>
      <c r="AC101" s="347"/>
      <c r="BH101" s="1649">
        <f t="shared" si="149"/>
        <v>0</v>
      </c>
      <c r="BI101" s="503">
        <v>100</v>
      </c>
      <c r="BJ101" s="1644">
        <f t="shared" si="88"/>
        <v>273.14999999999998</v>
      </c>
      <c r="BK101" s="1644">
        <f t="shared" si="89"/>
        <v>-17.025409380322781</v>
      </c>
      <c r="BL101" s="1644">
        <f t="shared" si="90"/>
        <v>23.440757653659677</v>
      </c>
      <c r="BM101" s="1644">
        <f t="shared" si="91"/>
        <v>0.61115357225163158</v>
      </c>
      <c r="BN101" s="1644">
        <f t="shared" si="92"/>
        <v>0.61115357225163158</v>
      </c>
      <c r="BO101" s="1644">
        <f t="shared" si="93"/>
        <v>3.7743102100838721E-3</v>
      </c>
      <c r="BP101" s="1644">
        <f t="shared" si="94"/>
        <v>1</v>
      </c>
      <c r="BQ101" s="1644">
        <f t="shared" si="95"/>
        <v>0.77865533865216163</v>
      </c>
      <c r="BR101" s="1648">
        <f t="shared" si="96"/>
        <v>9.4395498354197649</v>
      </c>
      <c r="BS101" s="521">
        <f t="shared" si="97"/>
        <v>0</v>
      </c>
      <c r="BT101" s="522">
        <f t="shared" si="98"/>
        <v>3.7743102100838721E-3</v>
      </c>
      <c r="BV101" s="1647" t="str">
        <f t="shared" si="102"/>
        <v>n/a</v>
      </c>
      <c r="BW101" s="1671">
        <v>91</v>
      </c>
      <c r="BX101" s="1644" t="e">
        <f t="shared" si="103"/>
        <v>#VALUE!</v>
      </c>
      <c r="BY101" s="1644" t="e">
        <f t="shared" si="104"/>
        <v>#VALUE!</v>
      </c>
      <c r="BZ101" s="1644" t="e">
        <f t="shared" si="105"/>
        <v>#VALUE!</v>
      </c>
      <c r="CA101" s="1644" t="e">
        <f t="shared" si="106"/>
        <v>#VALUE!</v>
      </c>
      <c r="CB101" s="1644" t="e">
        <f t="shared" si="107"/>
        <v>#VALUE!</v>
      </c>
      <c r="CC101" s="1644" t="e">
        <f t="shared" si="108"/>
        <v>#VALUE!</v>
      </c>
      <c r="CD101" s="1644" t="e">
        <f t="shared" si="109"/>
        <v>#VALUE!</v>
      </c>
      <c r="CE101" s="1644" t="e">
        <f t="shared" si="110"/>
        <v>#VALUE!</v>
      </c>
      <c r="CF101" s="505" t="e">
        <f t="shared" si="111"/>
        <v>#VALUE!</v>
      </c>
      <c r="CG101" s="1648" t="e">
        <f t="shared" si="112"/>
        <v>#VALUE!</v>
      </c>
      <c r="CH101" s="521" t="e">
        <f t="shared" si="113"/>
        <v>#VALUE!</v>
      </c>
      <c r="CI101" s="522" t="e">
        <f t="shared" si="114"/>
        <v>#VALUE!</v>
      </c>
      <c r="CJ101" s="1672"/>
      <c r="CK101" s="1647" t="str">
        <f t="shared" si="115"/>
        <v>n/a</v>
      </c>
      <c r="CL101" s="1671">
        <v>91</v>
      </c>
      <c r="CM101" s="1644" t="e">
        <f t="shared" si="116"/>
        <v>#VALUE!</v>
      </c>
      <c r="CN101" s="1644" t="e">
        <f t="shared" si="117"/>
        <v>#VALUE!</v>
      </c>
      <c r="CO101" s="1644" t="e">
        <f t="shared" si="118"/>
        <v>#VALUE!</v>
      </c>
      <c r="CP101" s="1644" t="e">
        <f t="shared" si="119"/>
        <v>#VALUE!</v>
      </c>
      <c r="CQ101" s="1644" t="e">
        <f t="shared" si="120"/>
        <v>#VALUE!</v>
      </c>
      <c r="CR101" s="1644" t="e">
        <f t="shared" si="99"/>
        <v>#VALUE!</v>
      </c>
      <c r="CS101" s="1644" t="e">
        <f t="shared" si="121"/>
        <v>#VALUE!</v>
      </c>
      <c r="CT101" s="1644" t="e">
        <f t="shared" si="100"/>
        <v>#VALUE!</v>
      </c>
      <c r="CU101" s="505" t="e">
        <f t="shared" si="122"/>
        <v>#VALUE!</v>
      </c>
      <c r="CV101" s="1648" t="e">
        <f t="shared" si="123"/>
        <v>#VALUE!</v>
      </c>
      <c r="CW101" s="521" t="e">
        <f t="shared" si="124"/>
        <v>#VALUE!</v>
      </c>
      <c r="CX101" s="522" t="e">
        <f t="shared" si="101"/>
        <v>#VALUE!</v>
      </c>
      <c r="CZ101" s="1647" t="str">
        <f t="shared" si="150"/>
        <v>n/a</v>
      </c>
      <c r="DA101" s="1671">
        <v>91</v>
      </c>
      <c r="DB101" s="1644" t="e">
        <f t="shared" si="125"/>
        <v>#VALUE!</v>
      </c>
      <c r="DC101" s="1644" t="e">
        <f t="shared" si="126"/>
        <v>#VALUE!</v>
      </c>
      <c r="DD101" s="1644" t="e">
        <f t="shared" si="127"/>
        <v>#VALUE!</v>
      </c>
      <c r="DE101" s="1644" t="e">
        <f t="shared" si="128"/>
        <v>#VALUE!</v>
      </c>
      <c r="DF101" s="1644" t="e">
        <f t="shared" si="129"/>
        <v>#VALUE!</v>
      </c>
      <c r="DG101" s="1644" t="e">
        <f t="shared" si="130"/>
        <v>#VALUE!</v>
      </c>
      <c r="DH101" s="1644" t="e">
        <f t="shared" si="131"/>
        <v>#VALUE!</v>
      </c>
      <c r="DI101" s="1644" t="e">
        <f t="shared" si="132"/>
        <v>#VALUE!</v>
      </c>
      <c r="DJ101" s="505" t="e">
        <f t="shared" si="133"/>
        <v>#VALUE!</v>
      </c>
      <c r="DK101" s="1648" t="e">
        <f t="shared" si="134"/>
        <v>#VALUE!</v>
      </c>
      <c r="DL101" s="521" t="e">
        <f t="shared" si="135"/>
        <v>#VALUE!</v>
      </c>
      <c r="DM101" s="522" t="e">
        <f t="shared" si="136"/>
        <v>#VALUE!</v>
      </c>
      <c r="DN101" s="1672"/>
      <c r="DO101" s="1647" t="str">
        <f t="shared" si="151"/>
        <v>n/a</v>
      </c>
      <c r="DP101" s="1671">
        <v>91</v>
      </c>
      <c r="DQ101" s="1644" t="e">
        <f t="shared" si="137"/>
        <v>#VALUE!</v>
      </c>
      <c r="DR101" s="1644" t="e">
        <f t="shared" si="138"/>
        <v>#VALUE!</v>
      </c>
      <c r="DS101" s="1644" t="e">
        <f t="shared" si="139"/>
        <v>#VALUE!</v>
      </c>
      <c r="DT101" s="1644" t="e">
        <f t="shared" si="140"/>
        <v>#VALUE!</v>
      </c>
      <c r="DU101" s="1644" t="e">
        <f t="shared" si="141"/>
        <v>#VALUE!</v>
      </c>
      <c r="DV101" s="1644" t="e">
        <f t="shared" si="142"/>
        <v>#VALUE!</v>
      </c>
      <c r="DW101" s="1644" t="e">
        <f t="shared" si="143"/>
        <v>#VALUE!</v>
      </c>
      <c r="DX101" s="1644" t="e">
        <f t="shared" si="144"/>
        <v>#VALUE!</v>
      </c>
      <c r="DY101" s="505" t="e">
        <f t="shared" si="145"/>
        <v>#VALUE!</v>
      </c>
      <c r="DZ101" s="1648" t="e">
        <f t="shared" si="146"/>
        <v>#VALUE!</v>
      </c>
      <c r="EA101" s="521" t="e">
        <f t="shared" si="147"/>
        <v>#VALUE!</v>
      </c>
      <c r="EB101" s="522" t="e">
        <f t="shared" si="148"/>
        <v>#VALUE!</v>
      </c>
    </row>
    <row r="102" spans="4:132">
      <c r="D102" s="347"/>
      <c r="E102" s="347"/>
      <c r="F102" s="347"/>
      <c r="G102" s="347"/>
      <c r="H102" s="347"/>
      <c r="I102" s="347"/>
      <c r="J102" s="347"/>
      <c r="K102" s="347"/>
      <c r="L102" s="347"/>
      <c r="M102" s="347"/>
      <c r="N102" s="1630"/>
      <c r="O102" s="347"/>
      <c r="P102" s="347"/>
      <c r="Q102" s="347"/>
      <c r="R102" s="347"/>
      <c r="S102" s="347"/>
      <c r="T102" s="347"/>
      <c r="U102" s="347"/>
      <c r="V102" s="347"/>
      <c r="W102" s="1630"/>
      <c r="X102" s="347"/>
      <c r="Y102" s="347"/>
      <c r="Z102" s="347"/>
      <c r="AA102" s="347"/>
      <c r="AB102" s="347"/>
      <c r="AC102" s="347"/>
      <c r="BH102" s="1649">
        <f t="shared" si="149"/>
        <v>0</v>
      </c>
      <c r="BI102" s="503">
        <v>100</v>
      </c>
      <c r="BJ102" s="1644">
        <f t="shared" si="88"/>
        <v>273.14999999999998</v>
      </c>
      <c r="BK102" s="1644">
        <f t="shared" si="89"/>
        <v>-17.025409380322781</v>
      </c>
      <c r="BL102" s="1644">
        <f t="shared" si="90"/>
        <v>23.440757653659677</v>
      </c>
      <c r="BM102" s="1644">
        <f t="shared" si="91"/>
        <v>0.61115357225163158</v>
      </c>
      <c r="BN102" s="1644">
        <f t="shared" si="92"/>
        <v>0.61115357225163158</v>
      </c>
      <c r="BO102" s="1644">
        <f t="shared" si="93"/>
        <v>3.7743102100838721E-3</v>
      </c>
      <c r="BP102" s="1644">
        <f t="shared" si="94"/>
        <v>1</v>
      </c>
      <c r="BQ102" s="1644">
        <f t="shared" si="95"/>
        <v>0.77865533865216163</v>
      </c>
      <c r="BR102" s="1648">
        <f t="shared" si="96"/>
        <v>9.4395498354197649</v>
      </c>
      <c r="BS102" s="521">
        <f t="shared" si="97"/>
        <v>0</v>
      </c>
      <c r="BT102" s="522">
        <f t="shared" si="98"/>
        <v>3.7743102100838721E-3</v>
      </c>
      <c r="BV102" s="1647" t="str">
        <f t="shared" si="102"/>
        <v>n/a</v>
      </c>
      <c r="BW102" s="1671">
        <v>92</v>
      </c>
      <c r="BX102" s="1644" t="e">
        <f t="shared" si="103"/>
        <v>#VALUE!</v>
      </c>
      <c r="BY102" s="1644" t="e">
        <f t="shared" si="104"/>
        <v>#VALUE!</v>
      </c>
      <c r="BZ102" s="1644" t="e">
        <f t="shared" si="105"/>
        <v>#VALUE!</v>
      </c>
      <c r="CA102" s="1644" t="e">
        <f t="shared" si="106"/>
        <v>#VALUE!</v>
      </c>
      <c r="CB102" s="1644" t="e">
        <f t="shared" si="107"/>
        <v>#VALUE!</v>
      </c>
      <c r="CC102" s="1644" t="e">
        <f t="shared" si="108"/>
        <v>#VALUE!</v>
      </c>
      <c r="CD102" s="1644" t="e">
        <f t="shared" si="109"/>
        <v>#VALUE!</v>
      </c>
      <c r="CE102" s="1644" t="e">
        <f t="shared" si="110"/>
        <v>#VALUE!</v>
      </c>
      <c r="CF102" s="505" t="e">
        <f t="shared" si="111"/>
        <v>#VALUE!</v>
      </c>
      <c r="CG102" s="1648" t="e">
        <f t="shared" si="112"/>
        <v>#VALUE!</v>
      </c>
      <c r="CH102" s="521" t="e">
        <f t="shared" si="113"/>
        <v>#VALUE!</v>
      </c>
      <c r="CI102" s="522" t="e">
        <f t="shared" si="114"/>
        <v>#VALUE!</v>
      </c>
      <c r="CJ102" s="1672"/>
      <c r="CK102" s="1647" t="str">
        <f t="shared" si="115"/>
        <v>n/a</v>
      </c>
      <c r="CL102" s="1671">
        <v>92</v>
      </c>
      <c r="CM102" s="1644" t="e">
        <f t="shared" si="116"/>
        <v>#VALUE!</v>
      </c>
      <c r="CN102" s="1644" t="e">
        <f t="shared" si="117"/>
        <v>#VALUE!</v>
      </c>
      <c r="CO102" s="1644" t="e">
        <f t="shared" si="118"/>
        <v>#VALUE!</v>
      </c>
      <c r="CP102" s="1644" t="e">
        <f t="shared" si="119"/>
        <v>#VALUE!</v>
      </c>
      <c r="CQ102" s="1644" t="e">
        <f t="shared" si="120"/>
        <v>#VALUE!</v>
      </c>
      <c r="CR102" s="1644" t="e">
        <f t="shared" si="99"/>
        <v>#VALUE!</v>
      </c>
      <c r="CS102" s="1644" t="e">
        <f t="shared" si="121"/>
        <v>#VALUE!</v>
      </c>
      <c r="CT102" s="1644" t="e">
        <f t="shared" si="100"/>
        <v>#VALUE!</v>
      </c>
      <c r="CU102" s="505" t="e">
        <f t="shared" si="122"/>
        <v>#VALUE!</v>
      </c>
      <c r="CV102" s="1648" t="e">
        <f t="shared" si="123"/>
        <v>#VALUE!</v>
      </c>
      <c r="CW102" s="521" t="e">
        <f t="shared" si="124"/>
        <v>#VALUE!</v>
      </c>
      <c r="CX102" s="522" t="e">
        <f t="shared" si="101"/>
        <v>#VALUE!</v>
      </c>
      <c r="CZ102" s="1647" t="str">
        <f t="shared" si="150"/>
        <v>n/a</v>
      </c>
      <c r="DA102" s="1671">
        <v>92</v>
      </c>
      <c r="DB102" s="1644" t="e">
        <f t="shared" si="125"/>
        <v>#VALUE!</v>
      </c>
      <c r="DC102" s="1644" t="e">
        <f t="shared" si="126"/>
        <v>#VALUE!</v>
      </c>
      <c r="DD102" s="1644" t="e">
        <f t="shared" si="127"/>
        <v>#VALUE!</v>
      </c>
      <c r="DE102" s="1644" t="e">
        <f t="shared" si="128"/>
        <v>#VALUE!</v>
      </c>
      <c r="DF102" s="1644" t="e">
        <f t="shared" si="129"/>
        <v>#VALUE!</v>
      </c>
      <c r="DG102" s="1644" t="e">
        <f t="shared" si="130"/>
        <v>#VALUE!</v>
      </c>
      <c r="DH102" s="1644" t="e">
        <f t="shared" si="131"/>
        <v>#VALUE!</v>
      </c>
      <c r="DI102" s="1644" t="e">
        <f t="shared" si="132"/>
        <v>#VALUE!</v>
      </c>
      <c r="DJ102" s="505" t="e">
        <f t="shared" si="133"/>
        <v>#VALUE!</v>
      </c>
      <c r="DK102" s="1648" t="e">
        <f t="shared" si="134"/>
        <v>#VALUE!</v>
      </c>
      <c r="DL102" s="521" t="e">
        <f t="shared" si="135"/>
        <v>#VALUE!</v>
      </c>
      <c r="DM102" s="522" t="e">
        <f t="shared" si="136"/>
        <v>#VALUE!</v>
      </c>
      <c r="DN102" s="1672"/>
      <c r="DO102" s="1647" t="str">
        <f t="shared" si="151"/>
        <v>n/a</v>
      </c>
      <c r="DP102" s="1671">
        <v>92</v>
      </c>
      <c r="DQ102" s="1644" t="e">
        <f t="shared" si="137"/>
        <v>#VALUE!</v>
      </c>
      <c r="DR102" s="1644" t="e">
        <f t="shared" si="138"/>
        <v>#VALUE!</v>
      </c>
      <c r="DS102" s="1644" t="e">
        <f t="shared" si="139"/>
        <v>#VALUE!</v>
      </c>
      <c r="DT102" s="1644" t="e">
        <f t="shared" si="140"/>
        <v>#VALUE!</v>
      </c>
      <c r="DU102" s="1644" t="e">
        <f t="shared" si="141"/>
        <v>#VALUE!</v>
      </c>
      <c r="DV102" s="1644" t="e">
        <f t="shared" si="142"/>
        <v>#VALUE!</v>
      </c>
      <c r="DW102" s="1644" t="e">
        <f t="shared" si="143"/>
        <v>#VALUE!</v>
      </c>
      <c r="DX102" s="1644" t="e">
        <f t="shared" si="144"/>
        <v>#VALUE!</v>
      </c>
      <c r="DY102" s="505" t="e">
        <f t="shared" si="145"/>
        <v>#VALUE!</v>
      </c>
      <c r="DZ102" s="1648" t="e">
        <f t="shared" si="146"/>
        <v>#VALUE!</v>
      </c>
      <c r="EA102" s="521" t="e">
        <f t="shared" si="147"/>
        <v>#VALUE!</v>
      </c>
      <c r="EB102" s="522" t="e">
        <f t="shared" si="148"/>
        <v>#VALUE!</v>
      </c>
    </row>
    <row r="103" spans="4:132">
      <c r="D103" s="347"/>
      <c r="E103" s="347"/>
      <c r="F103" s="347"/>
      <c r="G103" s="347"/>
      <c r="H103" s="347"/>
      <c r="I103" s="347"/>
      <c r="J103" s="347"/>
      <c r="K103" s="347"/>
      <c r="L103" s="347"/>
      <c r="M103" s="347"/>
      <c r="N103" s="1630"/>
      <c r="O103" s="347"/>
      <c r="P103" s="347"/>
      <c r="Q103" s="347"/>
      <c r="R103" s="347"/>
      <c r="S103" s="347"/>
      <c r="T103" s="347"/>
      <c r="U103" s="347"/>
      <c r="V103" s="347"/>
      <c r="W103" s="1630"/>
      <c r="X103" s="347"/>
      <c r="Y103" s="347"/>
      <c r="Z103" s="347"/>
      <c r="AA103" s="347"/>
      <c r="AB103" s="347"/>
      <c r="AC103" s="347"/>
      <c r="BH103" s="1649">
        <f t="shared" si="149"/>
        <v>0</v>
      </c>
      <c r="BI103" s="503">
        <v>100</v>
      </c>
      <c r="BJ103" s="1644">
        <f t="shared" si="88"/>
        <v>273.14999999999998</v>
      </c>
      <c r="BK103" s="1644">
        <f t="shared" si="89"/>
        <v>-17.025409380322781</v>
      </c>
      <c r="BL103" s="1644">
        <f t="shared" si="90"/>
        <v>23.440757653659677</v>
      </c>
      <c r="BM103" s="1644">
        <f t="shared" si="91"/>
        <v>0.61115357225163158</v>
      </c>
      <c r="BN103" s="1644">
        <f t="shared" si="92"/>
        <v>0.61115357225163158</v>
      </c>
      <c r="BO103" s="1644">
        <f t="shared" si="93"/>
        <v>3.7743102100838721E-3</v>
      </c>
      <c r="BP103" s="1644">
        <f t="shared" si="94"/>
        <v>1</v>
      </c>
      <c r="BQ103" s="1644">
        <f t="shared" si="95"/>
        <v>0.77865533865216163</v>
      </c>
      <c r="BR103" s="1648">
        <f t="shared" si="96"/>
        <v>9.4395498354197649</v>
      </c>
      <c r="BS103" s="521">
        <f t="shared" si="97"/>
        <v>0</v>
      </c>
      <c r="BT103" s="522">
        <f t="shared" si="98"/>
        <v>3.7743102100838721E-3</v>
      </c>
      <c r="BV103" s="1647" t="str">
        <f t="shared" si="102"/>
        <v>n/a</v>
      </c>
      <c r="BW103" s="1671">
        <v>93</v>
      </c>
      <c r="BX103" s="1644" t="e">
        <f t="shared" si="103"/>
        <v>#VALUE!</v>
      </c>
      <c r="BY103" s="1644" t="e">
        <f t="shared" si="104"/>
        <v>#VALUE!</v>
      </c>
      <c r="BZ103" s="1644" t="e">
        <f t="shared" si="105"/>
        <v>#VALUE!</v>
      </c>
      <c r="CA103" s="1644" t="e">
        <f t="shared" si="106"/>
        <v>#VALUE!</v>
      </c>
      <c r="CB103" s="1644" t="e">
        <f t="shared" si="107"/>
        <v>#VALUE!</v>
      </c>
      <c r="CC103" s="1644" t="e">
        <f t="shared" si="108"/>
        <v>#VALUE!</v>
      </c>
      <c r="CD103" s="1644" t="e">
        <f t="shared" si="109"/>
        <v>#VALUE!</v>
      </c>
      <c r="CE103" s="1644" t="e">
        <f t="shared" si="110"/>
        <v>#VALUE!</v>
      </c>
      <c r="CF103" s="505" t="e">
        <f t="shared" si="111"/>
        <v>#VALUE!</v>
      </c>
      <c r="CG103" s="1648" t="e">
        <f t="shared" si="112"/>
        <v>#VALUE!</v>
      </c>
      <c r="CH103" s="521" t="e">
        <f t="shared" si="113"/>
        <v>#VALUE!</v>
      </c>
      <c r="CI103" s="522" t="e">
        <f t="shared" si="114"/>
        <v>#VALUE!</v>
      </c>
      <c r="CJ103" s="1672"/>
      <c r="CK103" s="1647" t="str">
        <f t="shared" si="115"/>
        <v>n/a</v>
      </c>
      <c r="CL103" s="1671">
        <v>93</v>
      </c>
      <c r="CM103" s="1644" t="e">
        <f t="shared" si="116"/>
        <v>#VALUE!</v>
      </c>
      <c r="CN103" s="1644" t="e">
        <f t="shared" si="117"/>
        <v>#VALUE!</v>
      </c>
      <c r="CO103" s="1644" t="e">
        <f t="shared" si="118"/>
        <v>#VALUE!</v>
      </c>
      <c r="CP103" s="1644" t="e">
        <f t="shared" si="119"/>
        <v>#VALUE!</v>
      </c>
      <c r="CQ103" s="1644" t="e">
        <f t="shared" si="120"/>
        <v>#VALUE!</v>
      </c>
      <c r="CR103" s="1644" t="e">
        <f t="shared" si="99"/>
        <v>#VALUE!</v>
      </c>
      <c r="CS103" s="1644" t="e">
        <f t="shared" si="121"/>
        <v>#VALUE!</v>
      </c>
      <c r="CT103" s="1644" t="e">
        <f t="shared" si="100"/>
        <v>#VALUE!</v>
      </c>
      <c r="CU103" s="505" t="e">
        <f t="shared" si="122"/>
        <v>#VALUE!</v>
      </c>
      <c r="CV103" s="1648" t="e">
        <f t="shared" si="123"/>
        <v>#VALUE!</v>
      </c>
      <c r="CW103" s="521" t="e">
        <f t="shared" si="124"/>
        <v>#VALUE!</v>
      </c>
      <c r="CX103" s="522" t="e">
        <f t="shared" si="101"/>
        <v>#VALUE!</v>
      </c>
      <c r="CZ103" s="1647" t="str">
        <f t="shared" si="150"/>
        <v>n/a</v>
      </c>
      <c r="DA103" s="1671">
        <v>93</v>
      </c>
      <c r="DB103" s="1644" t="e">
        <f t="shared" si="125"/>
        <v>#VALUE!</v>
      </c>
      <c r="DC103" s="1644" t="e">
        <f t="shared" si="126"/>
        <v>#VALUE!</v>
      </c>
      <c r="DD103" s="1644" t="e">
        <f t="shared" si="127"/>
        <v>#VALUE!</v>
      </c>
      <c r="DE103" s="1644" t="e">
        <f t="shared" si="128"/>
        <v>#VALUE!</v>
      </c>
      <c r="DF103" s="1644" t="e">
        <f t="shared" si="129"/>
        <v>#VALUE!</v>
      </c>
      <c r="DG103" s="1644" t="e">
        <f t="shared" si="130"/>
        <v>#VALUE!</v>
      </c>
      <c r="DH103" s="1644" t="e">
        <f t="shared" si="131"/>
        <v>#VALUE!</v>
      </c>
      <c r="DI103" s="1644" t="e">
        <f t="shared" si="132"/>
        <v>#VALUE!</v>
      </c>
      <c r="DJ103" s="505" t="e">
        <f t="shared" si="133"/>
        <v>#VALUE!</v>
      </c>
      <c r="DK103" s="1648" t="e">
        <f t="shared" si="134"/>
        <v>#VALUE!</v>
      </c>
      <c r="DL103" s="521" t="e">
        <f t="shared" si="135"/>
        <v>#VALUE!</v>
      </c>
      <c r="DM103" s="522" t="e">
        <f t="shared" si="136"/>
        <v>#VALUE!</v>
      </c>
      <c r="DN103" s="1672"/>
      <c r="DO103" s="1647" t="str">
        <f t="shared" si="151"/>
        <v>n/a</v>
      </c>
      <c r="DP103" s="1671">
        <v>93</v>
      </c>
      <c r="DQ103" s="1644" t="e">
        <f t="shared" si="137"/>
        <v>#VALUE!</v>
      </c>
      <c r="DR103" s="1644" t="e">
        <f t="shared" si="138"/>
        <v>#VALUE!</v>
      </c>
      <c r="DS103" s="1644" t="e">
        <f t="shared" si="139"/>
        <v>#VALUE!</v>
      </c>
      <c r="DT103" s="1644" t="e">
        <f t="shared" si="140"/>
        <v>#VALUE!</v>
      </c>
      <c r="DU103" s="1644" t="e">
        <f t="shared" si="141"/>
        <v>#VALUE!</v>
      </c>
      <c r="DV103" s="1644" t="e">
        <f t="shared" si="142"/>
        <v>#VALUE!</v>
      </c>
      <c r="DW103" s="1644" t="e">
        <f t="shared" si="143"/>
        <v>#VALUE!</v>
      </c>
      <c r="DX103" s="1644" t="e">
        <f t="shared" si="144"/>
        <v>#VALUE!</v>
      </c>
      <c r="DY103" s="505" t="e">
        <f t="shared" si="145"/>
        <v>#VALUE!</v>
      </c>
      <c r="DZ103" s="1648" t="e">
        <f t="shared" si="146"/>
        <v>#VALUE!</v>
      </c>
      <c r="EA103" s="521" t="e">
        <f t="shared" si="147"/>
        <v>#VALUE!</v>
      </c>
      <c r="EB103" s="522" t="e">
        <f t="shared" si="148"/>
        <v>#VALUE!</v>
      </c>
    </row>
    <row r="104" spans="4:132">
      <c r="D104" s="347"/>
      <c r="E104" s="347"/>
      <c r="F104" s="347"/>
      <c r="G104" s="347"/>
      <c r="H104" s="347"/>
      <c r="I104" s="347"/>
      <c r="J104" s="347"/>
      <c r="K104" s="347"/>
      <c r="L104" s="347"/>
      <c r="M104" s="347"/>
      <c r="N104" s="1630"/>
      <c r="O104" s="347"/>
      <c r="P104" s="347"/>
      <c r="Q104" s="347"/>
      <c r="R104" s="347"/>
      <c r="S104" s="347"/>
      <c r="T104" s="347"/>
      <c r="U104" s="347"/>
      <c r="V104" s="347"/>
      <c r="W104" s="1630"/>
      <c r="X104" s="347"/>
      <c r="Y104" s="347"/>
      <c r="Z104" s="347"/>
      <c r="AA104" s="347"/>
      <c r="AB104" s="347"/>
      <c r="AC104" s="347"/>
      <c r="AD104" s="347"/>
      <c r="BH104" s="1649">
        <f t="shared" si="149"/>
        <v>0</v>
      </c>
      <c r="BI104" s="503">
        <v>100</v>
      </c>
      <c r="BJ104" s="1644">
        <f t="shared" si="88"/>
        <v>273.14999999999998</v>
      </c>
      <c r="BK104" s="1644">
        <f t="shared" si="89"/>
        <v>-17.025409380322781</v>
      </c>
      <c r="BL104" s="1644">
        <f t="shared" si="90"/>
        <v>23.440757653659677</v>
      </c>
      <c r="BM104" s="1644">
        <f t="shared" si="91"/>
        <v>0.61115357225163158</v>
      </c>
      <c r="BN104" s="1644">
        <f t="shared" si="92"/>
        <v>0.61115357225163158</v>
      </c>
      <c r="BO104" s="1644">
        <f t="shared" si="93"/>
        <v>3.7743102100838721E-3</v>
      </c>
      <c r="BP104" s="1644">
        <f t="shared" si="94"/>
        <v>1</v>
      </c>
      <c r="BQ104" s="1644">
        <f t="shared" si="95"/>
        <v>0.77865533865216163</v>
      </c>
      <c r="BR104" s="1648">
        <f t="shared" si="96"/>
        <v>9.4395498354197649</v>
      </c>
      <c r="BS104" s="521">
        <f t="shared" si="97"/>
        <v>0</v>
      </c>
      <c r="BT104" s="522">
        <f t="shared" si="98"/>
        <v>3.7743102100838721E-3</v>
      </c>
      <c r="BV104" s="1647" t="str">
        <f t="shared" si="102"/>
        <v>n/a</v>
      </c>
      <c r="BW104" s="1671">
        <v>94</v>
      </c>
      <c r="BX104" s="1644" t="e">
        <f t="shared" si="103"/>
        <v>#VALUE!</v>
      </c>
      <c r="BY104" s="1644" t="e">
        <f t="shared" si="104"/>
        <v>#VALUE!</v>
      </c>
      <c r="BZ104" s="1644" t="e">
        <f t="shared" si="105"/>
        <v>#VALUE!</v>
      </c>
      <c r="CA104" s="1644" t="e">
        <f t="shared" si="106"/>
        <v>#VALUE!</v>
      </c>
      <c r="CB104" s="1644" t="e">
        <f t="shared" si="107"/>
        <v>#VALUE!</v>
      </c>
      <c r="CC104" s="1644" t="e">
        <f t="shared" si="108"/>
        <v>#VALUE!</v>
      </c>
      <c r="CD104" s="1644" t="e">
        <f t="shared" si="109"/>
        <v>#VALUE!</v>
      </c>
      <c r="CE104" s="1644" t="e">
        <f t="shared" si="110"/>
        <v>#VALUE!</v>
      </c>
      <c r="CF104" s="505" t="e">
        <f t="shared" si="111"/>
        <v>#VALUE!</v>
      </c>
      <c r="CG104" s="1648" t="e">
        <f t="shared" si="112"/>
        <v>#VALUE!</v>
      </c>
      <c r="CH104" s="521" t="e">
        <f t="shared" si="113"/>
        <v>#VALUE!</v>
      </c>
      <c r="CI104" s="522" t="e">
        <f t="shared" si="114"/>
        <v>#VALUE!</v>
      </c>
      <c r="CJ104" s="1672"/>
      <c r="CK104" s="1647" t="str">
        <f t="shared" si="115"/>
        <v>n/a</v>
      </c>
      <c r="CL104" s="1671">
        <v>94</v>
      </c>
      <c r="CM104" s="1644" t="e">
        <f t="shared" si="116"/>
        <v>#VALUE!</v>
      </c>
      <c r="CN104" s="1644" t="e">
        <f t="shared" si="117"/>
        <v>#VALUE!</v>
      </c>
      <c r="CO104" s="1644" t="e">
        <f t="shared" si="118"/>
        <v>#VALUE!</v>
      </c>
      <c r="CP104" s="1644" t="e">
        <f t="shared" si="119"/>
        <v>#VALUE!</v>
      </c>
      <c r="CQ104" s="1644" t="e">
        <f t="shared" si="120"/>
        <v>#VALUE!</v>
      </c>
      <c r="CR104" s="1644" t="e">
        <f t="shared" si="99"/>
        <v>#VALUE!</v>
      </c>
      <c r="CS104" s="1644" t="e">
        <f t="shared" si="121"/>
        <v>#VALUE!</v>
      </c>
      <c r="CT104" s="1644" t="e">
        <f t="shared" si="100"/>
        <v>#VALUE!</v>
      </c>
      <c r="CU104" s="505" t="e">
        <f t="shared" si="122"/>
        <v>#VALUE!</v>
      </c>
      <c r="CV104" s="1648" t="e">
        <f t="shared" si="123"/>
        <v>#VALUE!</v>
      </c>
      <c r="CW104" s="521" t="e">
        <f t="shared" si="124"/>
        <v>#VALUE!</v>
      </c>
      <c r="CX104" s="522" t="e">
        <f t="shared" si="101"/>
        <v>#VALUE!</v>
      </c>
      <c r="CZ104" s="1647" t="str">
        <f t="shared" si="150"/>
        <v>n/a</v>
      </c>
      <c r="DA104" s="1671">
        <v>94</v>
      </c>
      <c r="DB104" s="1644" t="e">
        <f t="shared" si="125"/>
        <v>#VALUE!</v>
      </c>
      <c r="DC104" s="1644" t="e">
        <f t="shared" si="126"/>
        <v>#VALUE!</v>
      </c>
      <c r="DD104" s="1644" t="e">
        <f t="shared" si="127"/>
        <v>#VALUE!</v>
      </c>
      <c r="DE104" s="1644" t="e">
        <f t="shared" si="128"/>
        <v>#VALUE!</v>
      </c>
      <c r="DF104" s="1644" t="e">
        <f t="shared" si="129"/>
        <v>#VALUE!</v>
      </c>
      <c r="DG104" s="1644" t="e">
        <f t="shared" si="130"/>
        <v>#VALUE!</v>
      </c>
      <c r="DH104" s="1644" t="e">
        <f t="shared" si="131"/>
        <v>#VALUE!</v>
      </c>
      <c r="DI104" s="1644" t="e">
        <f t="shared" si="132"/>
        <v>#VALUE!</v>
      </c>
      <c r="DJ104" s="505" t="e">
        <f t="shared" si="133"/>
        <v>#VALUE!</v>
      </c>
      <c r="DK104" s="1648" t="e">
        <f t="shared" si="134"/>
        <v>#VALUE!</v>
      </c>
      <c r="DL104" s="521" t="e">
        <f t="shared" si="135"/>
        <v>#VALUE!</v>
      </c>
      <c r="DM104" s="522" t="e">
        <f t="shared" si="136"/>
        <v>#VALUE!</v>
      </c>
      <c r="DN104" s="1672"/>
      <c r="DO104" s="1647" t="str">
        <f t="shared" si="151"/>
        <v>n/a</v>
      </c>
      <c r="DP104" s="1671">
        <v>94</v>
      </c>
      <c r="DQ104" s="1644" t="e">
        <f t="shared" si="137"/>
        <v>#VALUE!</v>
      </c>
      <c r="DR104" s="1644" t="e">
        <f t="shared" si="138"/>
        <v>#VALUE!</v>
      </c>
      <c r="DS104" s="1644" t="e">
        <f t="shared" si="139"/>
        <v>#VALUE!</v>
      </c>
      <c r="DT104" s="1644" t="e">
        <f t="shared" si="140"/>
        <v>#VALUE!</v>
      </c>
      <c r="DU104" s="1644" t="e">
        <f t="shared" si="141"/>
        <v>#VALUE!</v>
      </c>
      <c r="DV104" s="1644" t="e">
        <f t="shared" si="142"/>
        <v>#VALUE!</v>
      </c>
      <c r="DW104" s="1644" t="e">
        <f t="shared" si="143"/>
        <v>#VALUE!</v>
      </c>
      <c r="DX104" s="1644" t="e">
        <f t="shared" si="144"/>
        <v>#VALUE!</v>
      </c>
      <c r="DY104" s="505" t="e">
        <f t="shared" si="145"/>
        <v>#VALUE!</v>
      </c>
      <c r="DZ104" s="1648" t="e">
        <f t="shared" si="146"/>
        <v>#VALUE!</v>
      </c>
      <c r="EA104" s="521" t="e">
        <f t="shared" si="147"/>
        <v>#VALUE!</v>
      </c>
      <c r="EB104" s="522" t="e">
        <f t="shared" si="148"/>
        <v>#VALUE!</v>
      </c>
    </row>
    <row r="105" spans="4:132">
      <c r="D105" s="347"/>
      <c r="E105" s="347"/>
      <c r="F105" s="347"/>
      <c r="G105" s="347"/>
      <c r="H105" s="347"/>
      <c r="I105" s="347"/>
      <c r="J105" s="347"/>
      <c r="K105" s="347"/>
      <c r="L105" s="347"/>
      <c r="M105" s="347"/>
      <c r="N105" s="1630"/>
      <c r="O105" s="347"/>
      <c r="P105" s="347"/>
      <c r="Q105" s="347"/>
      <c r="R105" s="347"/>
      <c r="S105" s="347"/>
      <c r="T105" s="347"/>
      <c r="U105" s="347"/>
      <c r="V105" s="347"/>
      <c r="W105" s="1630"/>
      <c r="X105" s="347"/>
      <c r="Y105" s="347"/>
      <c r="Z105" s="347"/>
      <c r="AA105" s="347"/>
      <c r="AB105" s="347"/>
      <c r="AC105" s="347"/>
      <c r="AD105" s="347"/>
      <c r="BH105" s="1649">
        <f t="shared" si="149"/>
        <v>0</v>
      </c>
      <c r="BI105" s="503">
        <v>100</v>
      </c>
      <c r="BJ105" s="1644">
        <f t="shared" si="88"/>
        <v>273.14999999999998</v>
      </c>
      <c r="BK105" s="1644">
        <f t="shared" si="89"/>
        <v>-17.025409380322781</v>
      </c>
      <c r="BL105" s="1644">
        <f t="shared" si="90"/>
        <v>23.440757653659677</v>
      </c>
      <c r="BM105" s="1644">
        <f t="shared" si="91"/>
        <v>0.61115357225163158</v>
      </c>
      <c r="BN105" s="1644">
        <f t="shared" si="92"/>
        <v>0.61115357225163158</v>
      </c>
      <c r="BO105" s="1644">
        <f t="shared" si="93"/>
        <v>3.7743102100838721E-3</v>
      </c>
      <c r="BP105" s="1644">
        <f t="shared" si="94"/>
        <v>1</v>
      </c>
      <c r="BQ105" s="1644">
        <f t="shared" si="95"/>
        <v>0.77865533865216163</v>
      </c>
      <c r="BR105" s="1648">
        <f t="shared" si="96"/>
        <v>9.4395498354197649</v>
      </c>
      <c r="BS105" s="521">
        <f t="shared" si="97"/>
        <v>0</v>
      </c>
      <c r="BT105" s="522">
        <f t="shared" si="98"/>
        <v>3.7743102100838721E-3</v>
      </c>
      <c r="BV105" s="1647" t="str">
        <f t="shared" si="102"/>
        <v>n/a</v>
      </c>
      <c r="BW105" s="1671">
        <v>95</v>
      </c>
      <c r="BX105" s="1644" t="e">
        <f t="shared" si="103"/>
        <v>#VALUE!</v>
      </c>
      <c r="BY105" s="1644" t="e">
        <f t="shared" si="104"/>
        <v>#VALUE!</v>
      </c>
      <c r="BZ105" s="1644" t="e">
        <f t="shared" si="105"/>
        <v>#VALUE!</v>
      </c>
      <c r="CA105" s="1644" t="e">
        <f t="shared" si="106"/>
        <v>#VALUE!</v>
      </c>
      <c r="CB105" s="1644" t="e">
        <f t="shared" si="107"/>
        <v>#VALUE!</v>
      </c>
      <c r="CC105" s="1644" t="e">
        <f t="shared" si="108"/>
        <v>#VALUE!</v>
      </c>
      <c r="CD105" s="1644" t="e">
        <f t="shared" si="109"/>
        <v>#VALUE!</v>
      </c>
      <c r="CE105" s="1644" t="e">
        <f t="shared" si="110"/>
        <v>#VALUE!</v>
      </c>
      <c r="CF105" s="505" t="e">
        <f t="shared" si="111"/>
        <v>#VALUE!</v>
      </c>
      <c r="CG105" s="1648" t="e">
        <f t="shared" si="112"/>
        <v>#VALUE!</v>
      </c>
      <c r="CH105" s="521" t="e">
        <f t="shared" si="113"/>
        <v>#VALUE!</v>
      </c>
      <c r="CI105" s="522" t="e">
        <f t="shared" si="114"/>
        <v>#VALUE!</v>
      </c>
      <c r="CJ105" s="1672"/>
      <c r="CK105" s="1647" t="str">
        <f t="shared" si="115"/>
        <v>n/a</v>
      </c>
      <c r="CL105" s="1671">
        <v>95</v>
      </c>
      <c r="CM105" s="1644" t="e">
        <f t="shared" si="116"/>
        <v>#VALUE!</v>
      </c>
      <c r="CN105" s="1644" t="e">
        <f t="shared" si="117"/>
        <v>#VALUE!</v>
      </c>
      <c r="CO105" s="1644" t="e">
        <f t="shared" si="118"/>
        <v>#VALUE!</v>
      </c>
      <c r="CP105" s="1644" t="e">
        <f t="shared" si="119"/>
        <v>#VALUE!</v>
      </c>
      <c r="CQ105" s="1644" t="e">
        <f t="shared" si="120"/>
        <v>#VALUE!</v>
      </c>
      <c r="CR105" s="1644" t="e">
        <f t="shared" si="99"/>
        <v>#VALUE!</v>
      </c>
      <c r="CS105" s="1644" t="e">
        <f t="shared" si="121"/>
        <v>#VALUE!</v>
      </c>
      <c r="CT105" s="1644" t="e">
        <f t="shared" si="100"/>
        <v>#VALUE!</v>
      </c>
      <c r="CU105" s="505" t="e">
        <f t="shared" si="122"/>
        <v>#VALUE!</v>
      </c>
      <c r="CV105" s="1648" t="e">
        <f t="shared" si="123"/>
        <v>#VALUE!</v>
      </c>
      <c r="CW105" s="521" t="e">
        <f t="shared" si="124"/>
        <v>#VALUE!</v>
      </c>
      <c r="CX105" s="522" t="e">
        <f t="shared" si="101"/>
        <v>#VALUE!</v>
      </c>
      <c r="CZ105" s="1647" t="str">
        <f t="shared" si="150"/>
        <v>n/a</v>
      </c>
      <c r="DA105" s="1671">
        <v>95</v>
      </c>
      <c r="DB105" s="1644" t="e">
        <f t="shared" si="125"/>
        <v>#VALUE!</v>
      </c>
      <c r="DC105" s="1644" t="e">
        <f t="shared" si="126"/>
        <v>#VALUE!</v>
      </c>
      <c r="DD105" s="1644" t="e">
        <f t="shared" si="127"/>
        <v>#VALUE!</v>
      </c>
      <c r="DE105" s="1644" t="e">
        <f t="shared" si="128"/>
        <v>#VALUE!</v>
      </c>
      <c r="DF105" s="1644" t="e">
        <f t="shared" si="129"/>
        <v>#VALUE!</v>
      </c>
      <c r="DG105" s="1644" t="e">
        <f t="shared" si="130"/>
        <v>#VALUE!</v>
      </c>
      <c r="DH105" s="1644" t="e">
        <f t="shared" si="131"/>
        <v>#VALUE!</v>
      </c>
      <c r="DI105" s="1644" t="e">
        <f t="shared" si="132"/>
        <v>#VALUE!</v>
      </c>
      <c r="DJ105" s="505" t="e">
        <f t="shared" si="133"/>
        <v>#VALUE!</v>
      </c>
      <c r="DK105" s="1648" t="e">
        <f t="shared" si="134"/>
        <v>#VALUE!</v>
      </c>
      <c r="DL105" s="521" t="e">
        <f t="shared" si="135"/>
        <v>#VALUE!</v>
      </c>
      <c r="DM105" s="522" t="e">
        <f t="shared" si="136"/>
        <v>#VALUE!</v>
      </c>
      <c r="DN105" s="1672"/>
      <c r="DO105" s="1647" t="str">
        <f t="shared" si="151"/>
        <v>n/a</v>
      </c>
      <c r="DP105" s="1671">
        <v>95</v>
      </c>
      <c r="DQ105" s="1644" t="e">
        <f t="shared" si="137"/>
        <v>#VALUE!</v>
      </c>
      <c r="DR105" s="1644" t="e">
        <f t="shared" si="138"/>
        <v>#VALUE!</v>
      </c>
      <c r="DS105" s="1644" t="e">
        <f t="shared" si="139"/>
        <v>#VALUE!</v>
      </c>
      <c r="DT105" s="1644" t="e">
        <f t="shared" si="140"/>
        <v>#VALUE!</v>
      </c>
      <c r="DU105" s="1644" t="e">
        <f t="shared" si="141"/>
        <v>#VALUE!</v>
      </c>
      <c r="DV105" s="1644" t="e">
        <f t="shared" si="142"/>
        <v>#VALUE!</v>
      </c>
      <c r="DW105" s="1644" t="e">
        <f t="shared" si="143"/>
        <v>#VALUE!</v>
      </c>
      <c r="DX105" s="1644" t="e">
        <f t="shared" si="144"/>
        <v>#VALUE!</v>
      </c>
      <c r="DY105" s="505" t="e">
        <f t="shared" si="145"/>
        <v>#VALUE!</v>
      </c>
      <c r="DZ105" s="1648" t="e">
        <f t="shared" si="146"/>
        <v>#VALUE!</v>
      </c>
      <c r="EA105" s="521" t="e">
        <f t="shared" si="147"/>
        <v>#VALUE!</v>
      </c>
      <c r="EB105" s="522" t="e">
        <f t="shared" si="148"/>
        <v>#VALUE!</v>
      </c>
    </row>
    <row r="106" spans="4:132">
      <c r="D106" s="347"/>
      <c r="E106" s="347"/>
      <c r="F106" s="347"/>
      <c r="G106" s="347"/>
      <c r="H106" s="347"/>
      <c r="I106" s="347"/>
      <c r="J106" s="347"/>
      <c r="K106" s="347"/>
      <c r="L106" s="347"/>
      <c r="M106" s="347"/>
      <c r="N106" s="1630"/>
      <c r="O106" s="347"/>
      <c r="P106" s="347"/>
      <c r="Q106" s="347"/>
      <c r="R106" s="347"/>
      <c r="S106" s="347"/>
      <c r="T106" s="347"/>
      <c r="U106" s="347"/>
      <c r="V106" s="347"/>
      <c r="W106" s="1630"/>
      <c r="X106" s="347"/>
      <c r="Y106" s="347"/>
      <c r="Z106" s="347"/>
      <c r="AA106" s="347"/>
      <c r="AB106" s="347"/>
      <c r="AC106" s="347"/>
      <c r="AD106" s="347"/>
      <c r="BH106" s="1649">
        <f t="shared" si="149"/>
        <v>0</v>
      </c>
      <c r="BI106" s="503">
        <v>100</v>
      </c>
      <c r="BJ106" s="1644">
        <f t="shared" ref="BJ106:BJ137" si="152">273.15+BH106</f>
        <v>273.14999999999998</v>
      </c>
      <c r="BK106" s="1644">
        <f t="shared" ref="BK106:BK137" si="153">IF(BJ106&lt;273.16,-5674.5359/BJ106+6.3925247-0.009677843*BJ106,-5800.2206/BJ106+1.3914993-0.048640239*BJ106)</f>
        <v>-17.025409380322781</v>
      </c>
      <c r="BL106" s="1644">
        <f t="shared" ref="BL106:BL137" si="154">IF(BJ106&lt;273.16,0.00000062215701*POWER(BJ106,2)+0.0000000020747825*POWER(BJ106,3)-0.000000000000948402*POWER(BJ106,4)+4.1635019*LN(BJ106),0.000041764768*POWER(BJ106,2)-0.000000014452093*POWER(BJ106,3)+6.5459673*LN(BJ106))</f>
        <v>23.440757653659677</v>
      </c>
      <c r="BM106" s="1644">
        <f t="shared" ref="BM106:BM137" si="155">EXP(BK106+BL106)/1000</f>
        <v>0.61115357225163158</v>
      </c>
      <c r="BN106" s="1644">
        <f t="shared" ref="BN106:BN137" si="156">BI106/100*BM106</f>
        <v>0.61115357225163158</v>
      </c>
      <c r="BO106" s="1644">
        <f t="shared" ref="BO106:BO137" si="157">0.62198*(BM106/($G$3-BM106))</f>
        <v>3.7743102100838721E-3</v>
      </c>
      <c r="BP106" s="1644">
        <f t="shared" ref="BP106:BP137" si="158">BT106/BO106</f>
        <v>1</v>
      </c>
      <c r="BQ106" s="1644">
        <f t="shared" ref="BQ106:BQ137" si="159">0.2871*(BH106+273.15)*(1+1.6078*BT106)/$G$3</f>
        <v>0.77865533865216163</v>
      </c>
      <c r="BR106" s="1648">
        <f t="shared" ref="BR106:BR137" si="160">IF(BH106+BI106&gt;0,(1.006*BH106+BT106*(2501+1.805*BH106)),0)</f>
        <v>9.4395498354197649</v>
      </c>
      <c r="BS106" s="521">
        <f t="shared" ref="BS106:BS137" si="161">IF(BH106+BI106&gt;0,BH106,0)</f>
        <v>0</v>
      </c>
      <c r="BT106" s="522">
        <f t="shared" ref="BT106:BT137" si="162">IF(BH106+BI106&gt;0,0.62198*(BN106/($G$3-BN106)),0)</f>
        <v>3.7743102100838721E-3</v>
      </c>
      <c r="BV106" s="1647" t="str">
        <f t="shared" si="102"/>
        <v>n/a</v>
      </c>
      <c r="BW106" s="1671">
        <v>96</v>
      </c>
      <c r="BX106" s="1644" t="e">
        <f t="shared" si="103"/>
        <v>#VALUE!</v>
      </c>
      <c r="BY106" s="1644" t="e">
        <f t="shared" si="104"/>
        <v>#VALUE!</v>
      </c>
      <c r="BZ106" s="1644" t="e">
        <f t="shared" si="105"/>
        <v>#VALUE!</v>
      </c>
      <c r="CA106" s="1644" t="e">
        <f t="shared" si="106"/>
        <v>#VALUE!</v>
      </c>
      <c r="CB106" s="1644" t="e">
        <f t="shared" si="107"/>
        <v>#VALUE!</v>
      </c>
      <c r="CC106" s="1644" t="e">
        <f t="shared" si="108"/>
        <v>#VALUE!</v>
      </c>
      <c r="CD106" s="1644" t="e">
        <f t="shared" si="109"/>
        <v>#VALUE!</v>
      </c>
      <c r="CE106" s="1644" t="e">
        <f t="shared" si="110"/>
        <v>#VALUE!</v>
      </c>
      <c r="CF106" s="505" t="e">
        <f t="shared" si="111"/>
        <v>#VALUE!</v>
      </c>
      <c r="CG106" s="1648" t="e">
        <f t="shared" si="112"/>
        <v>#VALUE!</v>
      </c>
      <c r="CH106" s="521" t="e">
        <f t="shared" si="113"/>
        <v>#VALUE!</v>
      </c>
      <c r="CI106" s="522" t="e">
        <f t="shared" si="114"/>
        <v>#VALUE!</v>
      </c>
      <c r="CJ106" s="1672"/>
      <c r="CK106" s="1647" t="str">
        <f t="shared" si="115"/>
        <v>n/a</v>
      </c>
      <c r="CL106" s="1671">
        <v>96</v>
      </c>
      <c r="CM106" s="1644" t="e">
        <f t="shared" si="116"/>
        <v>#VALUE!</v>
      </c>
      <c r="CN106" s="1644" t="e">
        <f t="shared" si="117"/>
        <v>#VALUE!</v>
      </c>
      <c r="CO106" s="1644" t="e">
        <f t="shared" si="118"/>
        <v>#VALUE!</v>
      </c>
      <c r="CP106" s="1644" t="e">
        <f t="shared" si="119"/>
        <v>#VALUE!</v>
      </c>
      <c r="CQ106" s="1644" t="e">
        <f t="shared" si="120"/>
        <v>#VALUE!</v>
      </c>
      <c r="CR106" s="1644" t="e">
        <f t="shared" si="99"/>
        <v>#VALUE!</v>
      </c>
      <c r="CS106" s="1644" t="e">
        <f t="shared" si="121"/>
        <v>#VALUE!</v>
      </c>
      <c r="CT106" s="1644" t="e">
        <f t="shared" si="100"/>
        <v>#VALUE!</v>
      </c>
      <c r="CU106" s="505" t="e">
        <f t="shared" si="122"/>
        <v>#VALUE!</v>
      </c>
      <c r="CV106" s="1648" t="e">
        <f t="shared" si="123"/>
        <v>#VALUE!</v>
      </c>
      <c r="CW106" s="521" t="e">
        <f t="shared" si="124"/>
        <v>#VALUE!</v>
      </c>
      <c r="CX106" s="522" t="e">
        <f t="shared" si="101"/>
        <v>#VALUE!</v>
      </c>
      <c r="CZ106" s="1647" t="str">
        <f t="shared" si="150"/>
        <v>n/a</v>
      </c>
      <c r="DA106" s="1671">
        <v>96</v>
      </c>
      <c r="DB106" s="1644" t="e">
        <f t="shared" si="125"/>
        <v>#VALUE!</v>
      </c>
      <c r="DC106" s="1644" t="e">
        <f t="shared" si="126"/>
        <v>#VALUE!</v>
      </c>
      <c r="DD106" s="1644" t="e">
        <f t="shared" si="127"/>
        <v>#VALUE!</v>
      </c>
      <c r="DE106" s="1644" t="e">
        <f t="shared" si="128"/>
        <v>#VALUE!</v>
      </c>
      <c r="DF106" s="1644" t="e">
        <f t="shared" si="129"/>
        <v>#VALUE!</v>
      </c>
      <c r="DG106" s="1644" t="e">
        <f t="shared" si="130"/>
        <v>#VALUE!</v>
      </c>
      <c r="DH106" s="1644" t="e">
        <f t="shared" si="131"/>
        <v>#VALUE!</v>
      </c>
      <c r="DI106" s="1644" t="e">
        <f t="shared" si="132"/>
        <v>#VALUE!</v>
      </c>
      <c r="DJ106" s="505" t="e">
        <f t="shared" si="133"/>
        <v>#VALUE!</v>
      </c>
      <c r="DK106" s="1648" t="e">
        <f t="shared" si="134"/>
        <v>#VALUE!</v>
      </c>
      <c r="DL106" s="521" t="e">
        <f t="shared" si="135"/>
        <v>#VALUE!</v>
      </c>
      <c r="DM106" s="522" t="e">
        <f t="shared" si="136"/>
        <v>#VALUE!</v>
      </c>
      <c r="DN106" s="1672"/>
      <c r="DO106" s="1647" t="str">
        <f t="shared" si="151"/>
        <v>n/a</v>
      </c>
      <c r="DP106" s="1671">
        <v>96</v>
      </c>
      <c r="DQ106" s="1644" t="e">
        <f t="shared" si="137"/>
        <v>#VALUE!</v>
      </c>
      <c r="DR106" s="1644" t="e">
        <f t="shared" si="138"/>
        <v>#VALUE!</v>
      </c>
      <c r="DS106" s="1644" t="e">
        <f t="shared" si="139"/>
        <v>#VALUE!</v>
      </c>
      <c r="DT106" s="1644" t="e">
        <f t="shared" si="140"/>
        <v>#VALUE!</v>
      </c>
      <c r="DU106" s="1644" t="e">
        <f t="shared" si="141"/>
        <v>#VALUE!</v>
      </c>
      <c r="DV106" s="1644" t="e">
        <f t="shared" si="142"/>
        <v>#VALUE!</v>
      </c>
      <c r="DW106" s="1644" t="e">
        <f t="shared" si="143"/>
        <v>#VALUE!</v>
      </c>
      <c r="DX106" s="1644" t="e">
        <f t="shared" si="144"/>
        <v>#VALUE!</v>
      </c>
      <c r="DY106" s="505" t="e">
        <f t="shared" si="145"/>
        <v>#VALUE!</v>
      </c>
      <c r="DZ106" s="1648" t="e">
        <f t="shared" si="146"/>
        <v>#VALUE!</v>
      </c>
      <c r="EA106" s="521" t="e">
        <f t="shared" si="147"/>
        <v>#VALUE!</v>
      </c>
      <c r="EB106" s="522" t="e">
        <f t="shared" si="148"/>
        <v>#VALUE!</v>
      </c>
    </row>
    <row r="107" spans="4:132">
      <c r="D107" s="347"/>
      <c r="E107" s="347"/>
      <c r="F107" s="347"/>
      <c r="G107" s="347"/>
      <c r="H107" s="347"/>
      <c r="I107" s="347"/>
      <c r="J107" s="347"/>
      <c r="K107" s="347"/>
      <c r="L107" s="347"/>
      <c r="M107" s="347"/>
      <c r="N107" s="1630"/>
      <c r="O107" s="347"/>
      <c r="P107" s="347"/>
      <c r="Q107" s="347"/>
      <c r="R107" s="347"/>
      <c r="S107" s="347"/>
      <c r="T107" s="347"/>
      <c r="U107" s="347"/>
      <c r="V107" s="347"/>
      <c r="W107" s="1630"/>
      <c r="X107" s="347"/>
      <c r="Y107" s="347"/>
      <c r="Z107" s="347"/>
      <c r="AA107" s="347"/>
      <c r="AB107" s="347"/>
      <c r="AC107" s="347"/>
      <c r="AD107" s="347"/>
      <c r="BH107" s="1649">
        <f t="shared" si="149"/>
        <v>0</v>
      </c>
      <c r="BI107" s="503">
        <v>100</v>
      </c>
      <c r="BJ107" s="1644">
        <f t="shared" si="152"/>
        <v>273.14999999999998</v>
      </c>
      <c r="BK107" s="1644">
        <f t="shared" si="153"/>
        <v>-17.025409380322781</v>
      </c>
      <c r="BL107" s="1644">
        <f t="shared" si="154"/>
        <v>23.440757653659677</v>
      </c>
      <c r="BM107" s="1644">
        <f t="shared" si="155"/>
        <v>0.61115357225163158</v>
      </c>
      <c r="BN107" s="1644">
        <f t="shared" si="156"/>
        <v>0.61115357225163158</v>
      </c>
      <c r="BO107" s="1644">
        <f t="shared" si="157"/>
        <v>3.7743102100838721E-3</v>
      </c>
      <c r="BP107" s="1644">
        <f t="shared" si="158"/>
        <v>1</v>
      </c>
      <c r="BQ107" s="1644">
        <f t="shared" si="159"/>
        <v>0.77865533865216163</v>
      </c>
      <c r="BR107" s="1648">
        <f t="shared" si="160"/>
        <v>9.4395498354197649</v>
      </c>
      <c r="BS107" s="521">
        <f t="shared" si="161"/>
        <v>0</v>
      </c>
      <c r="BT107" s="522">
        <f t="shared" si="162"/>
        <v>3.7743102100838721E-3</v>
      </c>
      <c r="BV107" s="1647" t="str">
        <f t="shared" si="102"/>
        <v>n/a</v>
      </c>
      <c r="BW107" s="1671">
        <v>97</v>
      </c>
      <c r="BX107" s="1644" t="e">
        <f t="shared" si="103"/>
        <v>#VALUE!</v>
      </c>
      <c r="BY107" s="1644" t="e">
        <f t="shared" ref="BY107:BY138" si="163">IF(BX107&lt;273.16,-5674.5359/BX107+6.3925247-0.009677843*BX107,-5800.2206/BX107+1.3914993-0.048640239*BX107)</f>
        <v>#VALUE!</v>
      </c>
      <c r="BZ107" s="1644" t="e">
        <f t="shared" si="105"/>
        <v>#VALUE!</v>
      </c>
      <c r="CA107" s="1644" t="e">
        <f t="shared" si="106"/>
        <v>#VALUE!</v>
      </c>
      <c r="CB107" s="1644" t="e">
        <f t="shared" si="107"/>
        <v>#VALUE!</v>
      </c>
      <c r="CC107" s="1644" t="e">
        <f t="shared" si="108"/>
        <v>#VALUE!</v>
      </c>
      <c r="CD107" s="1644" t="e">
        <f t="shared" si="109"/>
        <v>#VALUE!</v>
      </c>
      <c r="CE107" s="1644" t="e">
        <f t="shared" si="110"/>
        <v>#VALUE!</v>
      </c>
      <c r="CF107" s="505" t="e">
        <f t="shared" si="111"/>
        <v>#VALUE!</v>
      </c>
      <c r="CG107" s="1648" t="e">
        <f t="shared" si="112"/>
        <v>#VALUE!</v>
      </c>
      <c r="CH107" s="521" t="e">
        <f t="shared" si="113"/>
        <v>#VALUE!</v>
      </c>
      <c r="CI107" s="522" t="e">
        <f t="shared" si="114"/>
        <v>#VALUE!</v>
      </c>
      <c r="CJ107" s="1672"/>
      <c r="CK107" s="1647" t="str">
        <f t="shared" si="115"/>
        <v>n/a</v>
      </c>
      <c r="CL107" s="1671">
        <v>97</v>
      </c>
      <c r="CM107" s="1644" t="e">
        <f t="shared" si="116"/>
        <v>#VALUE!</v>
      </c>
      <c r="CN107" s="1644" t="e">
        <f t="shared" ref="CN107:CN138" si="164">IF(CM107&lt;273.16,-5674.5359/CM107+6.3925247-0.009677843*CM107,-5800.2206/CM107+1.3914993-0.048640239*CM107)</f>
        <v>#VALUE!</v>
      </c>
      <c r="CO107" s="1644" t="e">
        <f t="shared" si="118"/>
        <v>#VALUE!</v>
      </c>
      <c r="CP107" s="1644" t="e">
        <f t="shared" si="119"/>
        <v>#VALUE!</v>
      </c>
      <c r="CQ107" s="1644" t="e">
        <f t="shared" si="120"/>
        <v>#VALUE!</v>
      </c>
      <c r="CR107" s="1644" t="e">
        <f t="shared" si="99"/>
        <v>#VALUE!</v>
      </c>
      <c r="CS107" s="1644" t="e">
        <f t="shared" si="121"/>
        <v>#VALUE!</v>
      </c>
      <c r="CT107" s="1644" t="e">
        <f t="shared" si="100"/>
        <v>#VALUE!</v>
      </c>
      <c r="CU107" s="505" t="e">
        <f t="shared" si="122"/>
        <v>#VALUE!</v>
      </c>
      <c r="CV107" s="1648" t="e">
        <f t="shared" si="123"/>
        <v>#VALUE!</v>
      </c>
      <c r="CW107" s="521" t="e">
        <f t="shared" si="124"/>
        <v>#VALUE!</v>
      </c>
      <c r="CX107" s="522" t="e">
        <f t="shared" si="101"/>
        <v>#VALUE!</v>
      </c>
      <c r="CZ107" s="1647" t="str">
        <f t="shared" si="150"/>
        <v>n/a</v>
      </c>
      <c r="DA107" s="1671">
        <v>97</v>
      </c>
      <c r="DB107" s="1644" t="e">
        <f t="shared" si="125"/>
        <v>#VALUE!</v>
      </c>
      <c r="DC107" s="1644" t="e">
        <f t="shared" ref="DC107:DC138" si="165">IF(DB107&lt;273.16,-5674.5359/DB107+6.3925247-0.009677843*DB107,-5800.2206/DB107+1.3914993-0.048640239*DB107)</f>
        <v>#VALUE!</v>
      </c>
      <c r="DD107" s="1644" t="e">
        <f t="shared" si="127"/>
        <v>#VALUE!</v>
      </c>
      <c r="DE107" s="1644" t="e">
        <f t="shared" si="128"/>
        <v>#VALUE!</v>
      </c>
      <c r="DF107" s="1644" t="e">
        <f t="shared" si="129"/>
        <v>#VALUE!</v>
      </c>
      <c r="DG107" s="1644" t="e">
        <f t="shared" si="130"/>
        <v>#VALUE!</v>
      </c>
      <c r="DH107" s="1644" t="e">
        <f t="shared" si="131"/>
        <v>#VALUE!</v>
      </c>
      <c r="DI107" s="1644" t="e">
        <f t="shared" si="132"/>
        <v>#VALUE!</v>
      </c>
      <c r="DJ107" s="505" t="e">
        <f t="shared" si="133"/>
        <v>#VALUE!</v>
      </c>
      <c r="DK107" s="1648" t="e">
        <f t="shared" si="134"/>
        <v>#VALUE!</v>
      </c>
      <c r="DL107" s="521" t="e">
        <f t="shared" si="135"/>
        <v>#VALUE!</v>
      </c>
      <c r="DM107" s="522" t="e">
        <f t="shared" si="136"/>
        <v>#VALUE!</v>
      </c>
      <c r="DN107" s="1672"/>
      <c r="DO107" s="1647" t="str">
        <f t="shared" si="151"/>
        <v>n/a</v>
      </c>
      <c r="DP107" s="1671">
        <v>97</v>
      </c>
      <c r="DQ107" s="1644" t="e">
        <f t="shared" si="137"/>
        <v>#VALUE!</v>
      </c>
      <c r="DR107" s="1644" t="e">
        <f t="shared" ref="DR107:DR138" si="166">IF(DQ107&lt;273.16,-5674.5359/DQ107+6.3925247-0.009677843*DQ107,-5800.2206/DQ107+1.3914993-0.048640239*DQ107)</f>
        <v>#VALUE!</v>
      </c>
      <c r="DS107" s="1644" t="e">
        <f t="shared" si="139"/>
        <v>#VALUE!</v>
      </c>
      <c r="DT107" s="1644" t="e">
        <f t="shared" si="140"/>
        <v>#VALUE!</v>
      </c>
      <c r="DU107" s="1644" t="e">
        <f t="shared" si="141"/>
        <v>#VALUE!</v>
      </c>
      <c r="DV107" s="1644" t="e">
        <f t="shared" si="142"/>
        <v>#VALUE!</v>
      </c>
      <c r="DW107" s="1644" t="e">
        <f t="shared" si="143"/>
        <v>#VALUE!</v>
      </c>
      <c r="DX107" s="1644" t="e">
        <f t="shared" si="144"/>
        <v>#VALUE!</v>
      </c>
      <c r="DY107" s="505" t="e">
        <f t="shared" si="145"/>
        <v>#VALUE!</v>
      </c>
      <c r="DZ107" s="1648" t="e">
        <f t="shared" si="146"/>
        <v>#VALUE!</v>
      </c>
      <c r="EA107" s="521" t="e">
        <f t="shared" si="147"/>
        <v>#VALUE!</v>
      </c>
      <c r="EB107" s="522" t="e">
        <f t="shared" si="148"/>
        <v>#VALUE!</v>
      </c>
    </row>
    <row r="108" spans="4:132">
      <c r="D108" s="347"/>
      <c r="E108" s="347"/>
      <c r="F108" s="347"/>
      <c r="G108" s="347"/>
      <c r="H108" s="347"/>
      <c r="I108" s="347"/>
      <c r="J108" s="347"/>
      <c r="K108" s="347"/>
      <c r="L108" s="347"/>
      <c r="M108" s="347"/>
      <c r="N108" s="1630"/>
      <c r="O108" s="347"/>
      <c r="P108" s="347"/>
      <c r="Q108" s="347"/>
      <c r="R108" s="347"/>
      <c r="S108" s="347"/>
      <c r="T108" s="347"/>
      <c r="U108" s="347"/>
      <c r="V108" s="347"/>
      <c r="W108" s="1630"/>
      <c r="X108" s="347"/>
      <c r="Y108" s="347"/>
      <c r="Z108" s="347"/>
      <c r="AA108" s="347"/>
      <c r="AB108" s="347"/>
      <c r="AC108" s="347"/>
      <c r="AD108" s="347"/>
      <c r="BH108" s="1649">
        <f t="shared" si="149"/>
        <v>0</v>
      </c>
      <c r="BI108" s="503">
        <v>100</v>
      </c>
      <c r="BJ108" s="1644">
        <f t="shared" si="152"/>
        <v>273.14999999999998</v>
      </c>
      <c r="BK108" s="1644">
        <f t="shared" si="153"/>
        <v>-17.025409380322781</v>
      </c>
      <c r="BL108" s="1644">
        <f t="shared" si="154"/>
        <v>23.440757653659677</v>
      </c>
      <c r="BM108" s="1644">
        <f t="shared" si="155"/>
        <v>0.61115357225163158</v>
      </c>
      <c r="BN108" s="1644">
        <f t="shared" si="156"/>
        <v>0.61115357225163158</v>
      </c>
      <c r="BO108" s="1644">
        <f t="shared" si="157"/>
        <v>3.7743102100838721E-3</v>
      </c>
      <c r="BP108" s="1644">
        <f t="shared" si="158"/>
        <v>1</v>
      </c>
      <c r="BQ108" s="1644">
        <f t="shared" si="159"/>
        <v>0.77865533865216163</v>
      </c>
      <c r="BR108" s="1648">
        <f t="shared" si="160"/>
        <v>9.4395498354197649</v>
      </c>
      <c r="BS108" s="521">
        <f t="shared" si="161"/>
        <v>0</v>
      </c>
      <c r="BT108" s="522">
        <f t="shared" si="162"/>
        <v>3.7743102100838721E-3</v>
      </c>
      <c r="BV108" s="1647" t="str">
        <f t="shared" si="102"/>
        <v>n/a</v>
      </c>
      <c r="BW108" s="1671">
        <v>98</v>
      </c>
      <c r="BX108" s="1644" t="e">
        <f t="shared" si="103"/>
        <v>#VALUE!</v>
      </c>
      <c r="BY108" s="1644" t="e">
        <f t="shared" si="163"/>
        <v>#VALUE!</v>
      </c>
      <c r="BZ108" s="1644" t="e">
        <f t="shared" si="105"/>
        <v>#VALUE!</v>
      </c>
      <c r="CA108" s="1644" t="e">
        <f t="shared" si="106"/>
        <v>#VALUE!</v>
      </c>
      <c r="CB108" s="1644" t="e">
        <f t="shared" si="107"/>
        <v>#VALUE!</v>
      </c>
      <c r="CC108" s="1644" t="e">
        <f t="shared" si="108"/>
        <v>#VALUE!</v>
      </c>
      <c r="CD108" s="1644" t="e">
        <f t="shared" si="109"/>
        <v>#VALUE!</v>
      </c>
      <c r="CE108" s="1644" t="e">
        <f t="shared" si="110"/>
        <v>#VALUE!</v>
      </c>
      <c r="CF108" s="505" t="e">
        <f t="shared" si="111"/>
        <v>#VALUE!</v>
      </c>
      <c r="CG108" s="1648" t="e">
        <f t="shared" si="112"/>
        <v>#VALUE!</v>
      </c>
      <c r="CH108" s="521" t="e">
        <f t="shared" si="113"/>
        <v>#VALUE!</v>
      </c>
      <c r="CI108" s="522" t="e">
        <f t="shared" si="114"/>
        <v>#VALUE!</v>
      </c>
      <c r="CJ108" s="1672"/>
      <c r="CK108" s="1647" t="str">
        <f t="shared" si="115"/>
        <v>n/a</v>
      </c>
      <c r="CL108" s="1671">
        <v>98</v>
      </c>
      <c r="CM108" s="1644" t="e">
        <f t="shared" si="116"/>
        <v>#VALUE!</v>
      </c>
      <c r="CN108" s="1644" t="e">
        <f t="shared" si="164"/>
        <v>#VALUE!</v>
      </c>
      <c r="CO108" s="1644" t="e">
        <f t="shared" si="118"/>
        <v>#VALUE!</v>
      </c>
      <c r="CP108" s="1644" t="e">
        <f t="shared" si="119"/>
        <v>#VALUE!</v>
      </c>
      <c r="CQ108" s="1644" t="e">
        <f t="shared" si="120"/>
        <v>#VALUE!</v>
      </c>
      <c r="CR108" s="1644" t="e">
        <f t="shared" si="99"/>
        <v>#VALUE!</v>
      </c>
      <c r="CS108" s="1644" t="e">
        <f t="shared" si="121"/>
        <v>#VALUE!</v>
      </c>
      <c r="CT108" s="1644" t="e">
        <f t="shared" si="100"/>
        <v>#VALUE!</v>
      </c>
      <c r="CU108" s="505" t="e">
        <f t="shared" si="122"/>
        <v>#VALUE!</v>
      </c>
      <c r="CV108" s="1648" t="e">
        <f t="shared" si="123"/>
        <v>#VALUE!</v>
      </c>
      <c r="CW108" s="521" t="e">
        <f t="shared" si="124"/>
        <v>#VALUE!</v>
      </c>
      <c r="CX108" s="522" t="e">
        <f t="shared" si="101"/>
        <v>#VALUE!</v>
      </c>
      <c r="CZ108" s="1647" t="str">
        <f t="shared" si="150"/>
        <v>n/a</v>
      </c>
      <c r="DA108" s="1671">
        <v>98</v>
      </c>
      <c r="DB108" s="1644" t="e">
        <f t="shared" si="125"/>
        <v>#VALUE!</v>
      </c>
      <c r="DC108" s="1644" t="e">
        <f t="shared" si="165"/>
        <v>#VALUE!</v>
      </c>
      <c r="DD108" s="1644" t="e">
        <f t="shared" si="127"/>
        <v>#VALUE!</v>
      </c>
      <c r="DE108" s="1644" t="e">
        <f t="shared" si="128"/>
        <v>#VALUE!</v>
      </c>
      <c r="DF108" s="1644" t="e">
        <f t="shared" si="129"/>
        <v>#VALUE!</v>
      </c>
      <c r="DG108" s="1644" t="e">
        <f t="shared" si="130"/>
        <v>#VALUE!</v>
      </c>
      <c r="DH108" s="1644" t="e">
        <f t="shared" si="131"/>
        <v>#VALUE!</v>
      </c>
      <c r="DI108" s="1644" t="e">
        <f t="shared" si="132"/>
        <v>#VALUE!</v>
      </c>
      <c r="DJ108" s="505" t="e">
        <f t="shared" si="133"/>
        <v>#VALUE!</v>
      </c>
      <c r="DK108" s="1648" t="e">
        <f t="shared" si="134"/>
        <v>#VALUE!</v>
      </c>
      <c r="DL108" s="521" t="e">
        <f t="shared" si="135"/>
        <v>#VALUE!</v>
      </c>
      <c r="DM108" s="522" t="e">
        <f t="shared" si="136"/>
        <v>#VALUE!</v>
      </c>
      <c r="DN108" s="1672"/>
      <c r="DO108" s="1647" t="str">
        <f t="shared" si="151"/>
        <v>n/a</v>
      </c>
      <c r="DP108" s="1671">
        <v>98</v>
      </c>
      <c r="DQ108" s="1644" t="e">
        <f t="shared" si="137"/>
        <v>#VALUE!</v>
      </c>
      <c r="DR108" s="1644" t="e">
        <f t="shared" si="166"/>
        <v>#VALUE!</v>
      </c>
      <c r="DS108" s="1644" t="e">
        <f t="shared" si="139"/>
        <v>#VALUE!</v>
      </c>
      <c r="DT108" s="1644" t="e">
        <f t="shared" si="140"/>
        <v>#VALUE!</v>
      </c>
      <c r="DU108" s="1644" t="e">
        <f t="shared" si="141"/>
        <v>#VALUE!</v>
      </c>
      <c r="DV108" s="1644" t="e">
        <f t="shared" si="142"/>
        <v>#VALUE!</v>
      </c>
      <c r="DW108" s="1644" t="e">
        <f t="shared" si="143"/>
        <v>#VALUE!</v>
      </c>
      <c r="DX108" s="1644" t="e">
        <f t="shared" si="144"/>
        <v>#VALUE!</v>
      </c>
      <c r="DY108" s="505" t="e">
        <f t="shared" si="145"/>
        <v>#VALUE!</v>
      </c>
      <c r="DZ108" s="1648" t="e">
        <f t="shared" si="146"/>
        <v>#VALUE!</v>
      </c>
      <c r="EA108" s="521" t="e">
        <f t="shared" si="147"/>
        <v>#VALUE!</v>
      </c>
      <c r="EB108" s="522" t="e">
        <f t="shared" si="148"/>
        <v>#VALUE!</v>
      </c>
    </row>
    <row r="109" spans="4:132">
      <c r="D109" s="347"/>
      <c r="E109" s="347"/>
      <c r="F109" s="347"/>
      <c r="G109" s="347"/>
      <c r="H109" s="347"/>
      <c r="I109" s="347"/>
      <c r="J109" s="347"/>
      <c r="K109" s="347"/>
      <c r="L109" s="347"/>
      <c r="S109" s="347"/>
      <c r="T109" s="347"/>
      <c r="U109" s="347"/>
      <c r="V109" s="347"/>
      <c r="W109" s="1630"/>
      <c r="X109" s="347"/>
      <c r="Y109" s="347"/>
      <c r="Z109" s="347"/>
      <c r="AA109" s="347"/>
      <c r="AB109" s="347"/>
      <c r="AC109" s="347"/>
      <c r="AD109" s="347"/>
      <c r="BH109" s="1649">
        <f t="shared" si="149"/>
        <v>0</v>
      </c>
      <c r="BI109" s="503">
        <v>100</v>
      </c>
      <c r="BJ109" s="1644">
        <f t="shared" si="152"/>
        <v>273.14999999999998</v>
      </c>
      <c r="BK109" s="1644">
        <f t="shared" si="153"/>
        <v>-17.025409380322781</v>
      </c>
      <c r="BL109" s="1644">
        <f t="shared" si="154"/>
        <v>23.440757653659677</v>
      </c>
      <c r="BM109" s="1644">
        <f t="shared" si="155"/>
        <v>0.61115357225163158</v>
      </c>
      <c r="BN109" s="1644">
        <f t="shared" si="156"/>
        <v>0.61115357225163158</v>
      </c>
      <c r="BO109" s="1644">
        <f t="shared" si="157"/>
        <v>3.7743102100838721E-3</v>
      </c>
      <c r="BP109" s="1644">
        <f t="shared" si="158"/>
        <v>1</v>
      </c>
      <c r="BQ109" s="1644">
        <f t="shared" si="159"/>
        <v>0.77865533865216163</v>
      </c>
      <c r="BR109" s="1648">
        <f t="shared" si="160"/>
        <v>9.4395498354197649</v>
      </c>
      <c r="BS109" s="521">
        <f t="shared" si="161"/>
        <v>0</v>
      </c>
      <c r="BT109" s="522">
        <f t="shared" si="162"/>
        <v>3.7743102100838721E-3</v>
      </c>
      <c r="BV109" s="1647" t="str">
        <f t="shared" si="102"/>
        <v>n/a</v>
      </c>
      <c r="BW109" s="1671">
        <v>99</v>
      </c>
      <c r="BX109" s="1644" t="e">
        <f t="shared" si="103"/>
        <v>#VALUE!</v>
      </c>
      <c r="BY109" s="1644" t="e">
        <f t="shared" si="163"/>
        <v>#VALUE!</v>
      </c>
      <c r="BZ109" s="1644" t="e">
        <f t="shared" si="105"/>
        <v>#VALUE!</v>
      </c>
      <c r="CA109" s="1644" t="e">
        <f t="shared" si="106"/>
        <v>#VALUE!</v>
      </c>
      <c r="CB109" s="1644" t="e">
        <f t="shared" si="107"/>
        <v>#VALUE!</v>
      </c>
      <c r="CC109" s="1644" t="e">
        <f t="shared" si="108"/>
        <v>#VALUE!</v>
      </c>
      <c r="CD109" s="1644" t="e">
        <f t="shared" si="109"/>
        <v>#VALUE!</v>
      </c>
      <c r="CE109" s="1644" t="e">
        <f t="shared" si="110"/>
        <v>#VALUE!</v>
      </c>
      <c r="CF109" s="505" t="e">
        <f t="shared" si="111"/>
        <v>#VALUE!</v>
      </c>
      <c r="CG109" s="1648" t="e">
        <f t="shared" si="112"/>
        <v>#VALUE!</v>
      </c>
      <c r="CH109" s="521" t="e">
        <f t="shared" si="113"/>
        <v>#VALUE!</v>
      </c>
      <c r="CI109" s="522" t="e">
        <f t="shared" si="114"/>
        <v>#VALUE!</v>
      </c>
      <c r="CJ109" s="1672"/>
      <c r="CK109" s="1647" t="str">
        <f t="shared" si="115"/>
        <v>n/a</v>
      </c>
      <c r="CL109" s="1671">
        <v>99</v>
      </c>
      <c r="CM109" s="1644" t="e">
        <f t="shared" si="116"/>
        <v>#VALUE!</v>
      </c>
      <c r="CN109" s="1644" t="e">
        <f t="shared" si="164"/>
        <v>#VALUE!</v>
      </c>
      <c r="CO109" s="1644" t="e">
        <f t="shared" si="118"/>
        <v>#VALUE!</v>
      </c>
      <c r="CP109" s="1644" t="e">
        <f t="shared" si="119"/>
        <v>#VALUE!</v>
      </c>
      <c r="CQ109" s="1644" t="e">
        <f t="shared" si="120"/>
        <v>#VALUE!</v>
      </c>
      <c r="CR109" s="1644" t="e">
        <f t="shared" si="99"/>
        <v>#VALUE!</v>
      </c>
      <c r="CS109" s="1644" t="e">
        <f t="shared" si="121"/>
        <v>#VALUE!</v>
      </c>
      <c r="CT109" s="1644" t="e">
        <f t="shared" si="100"/>
        <v>#VALUE!</v>
      </c>
      <c r="CU109" s="505" t="e">
        <f t="shared" si="122"/>
        <v>#VALUE!</v>
      </c>
      <c r="CV109" s="1648" t="e">
        <f t="shared" si="123"/>
        <v>#VALUE!</v>
      </c>
      <c r="CW109" s="521" t="e">
        <f t="shared" si="124"/>
        <v>#VALUE!</v>
      </c>
      <c r="CX109" s="522" t="e">
        <f t="shared" si="101"/>
        <v>#VALUE!</v>
      </c>
      <c r="CZ109" s="1647" t="str">
        <f t="shared" si="150"/>
        <v>n/a</v>
      </c>
      <c r="DA109" s="1671">
        <v>99</v>
      </c>
      <c r="DB109" s="1644" t="e">
        <f t="shared" si="125"/>
        <v>#VALUE!</v>
      </c>
      <c r="DC109" s="1644" t="e">
        <f t="shared" si="165"/>
        <v>#VALUE!</v>
      </c>
      <c r="DD109" s="1644" t="e">
        <f t="shared" si="127"/>
        <v>#VALUE!</v>
      </c>
      <c r="DE109" s="1644" t="e">
        <f t="shared" si="128"/>
        <v>#VALUE!</v>
      </c>
      <c r="DF109" s="1644" t="e">
        <f t="shared" si="129"/>
        <v>#VALUE!</v>
      </c>
      <c r="DG109" s="1644" t="e">
        <f t="shared" si="130"/>
        <v>#VALUE!</v>
      </c>
      <c r="DH109" s="1644" t="e">
        <f t="shared" si="131"/>
        <v>#VALUE!</v>
      </c>
      <c r="DI109" s="1644" t="e">
        <f t="shared" si="132"/>
        <v>#VALUE!</v>
      </c>
      <c r="DJ109" s="505" t="e">
        <f t="shared" si="133"/>
        <v>#VALUE!</v>
      </c>
      <c r="DK109" s="1648" t="e">
        <f t="shared" si="134"/>
        <v>#VALUE!</v>
      </c>
      <c r="DL109" s="521" t="e">
        <f t="shared" si="135"/>
        <v>#VALUE!</v>
      </c>
      <c r="DM109" s="522" t="e">
        <f t="shared" si="136"/>
        <v>#VALUE!</v>
      </c>
      <c r="DN109" s="1672"/>
      <c r="DO109" s="1647" t="str">
        <f t="shared" si="151"/>
        <v>n/a</v>
      </c>
      <c r="DP109" s="1671">
        <v>99</v>
      </c>
      <c r="DQ109" s="1644" t="e">
        <f t="shared" si="137"/>
        <v>#VALUE!</v>
      </c>
      <c r="DR109" s="1644" t="e">
        <f t="shared" si="166"/>
        <v>#VALUE!</v>
      </c>
      <c r="DS109" s="1644" t="e">
        <f t="shared" si="139"/>
        <v>#VALUE!</v>
      </c>
      <c r="DT109" s="1644" t="e">
        <f t="shared" si="140"/>
        <v>#VALUE!</v>
      </c>
      <c r="DU109" s="1644" t="e">
        <f t="shared" si="141"/>
        <v>#VALUE!</v>
      </c>
      <c r="DV109" s="1644" t="e">
        <f t="shared" si="142"/>
        <v>#VALUE!</v>
      </c>
      <c r="DW109" s="1644" t="e">
        <f t="shared" si="143"/>
        <v>#VALUE!</v>
      </c>
      <c r="DX109" s="1644" t="e">
        <f t="shared" si="144"/>
        <v>#VALUE!</v>
      </c>
      <c r="DY109" s="505" t="e">
        <f t="shared" si="145"/>
        <v>#VALUE!</v>
      </c>
      <c r="DZ109" s="1648" t="e">
        <f t="shared" si="146"/>
        <v>#VALUE!</v>
      </c>
      <c r="EA109" s="521" t="e">
        <f t="shared" si="147"/>
        <v>#VALUE!</v>
      </c>
      <c r="EB109" s="522" t="e">
        <f t="shared" si="148"/>
        <v>#VALUE!</v>
      </c>
    </row>
    <row r="110" spans="4:132">
      <c r="D110" s="347"/>
      <c r="E110" s="347"/>
      <c r="F110" s="347"/>
      <c r="G110" s="347"/>
      <c r="H110" s="347"/>
      <c r="I110" s="347"/>
      <c r="J110" s="347"/>
      <c r="K110" s="347"/>
      <c r="L110" s="347"/>
      <c r="S110" s="347"/>
      <c r="T110" s="347"/>
      <c r="U110" s="347"/>
      <c r="V110" s="347"/>
      <c r="W110" s="1630"/>
      <c r="X110" s="347"/>
      <c r="Y110" s="347"/>
      <c r="Z110" s="347"/>
      <c r="AA110" s="347"/>
      <c r="AB110" s="347"/>
      <c r="AC110" s="347"/>
      <c r="AD110" s="347"/>
      <c r="BH110" s="1649">
        <f t="shared" si="149"/>
        <v>0</v>
      </c>
      <c r="BI110" s="503">
        <v>100</v>
      </c>
      <c r="BJ110" s="1644">
        <f t="shared" si="152"/>
        <v>273.14999999999998</v>
      </c>
      <c r="BK110" s="1644">
        <f t="shared" si="153"/>
        <v>-17.025409380322781</v>
      </c>
      <c r="BL110" s="1644">
        <f t="shared" si="154"/>
        <v>23.440757653659677</v>
      </c>
      <c r="BM110" s="1644">
        <f t="shared" si="155"/>
        <v>0.61115357225163158</v>
      </c>
      <c r="BN110" s="1644">
        <f t="shared" si="156"/>
        <v>0.61115357225163158</v>
      </c>
      <c r="BO110" s="1644">
        <f t="shared" si="157"/>
        <v>3.7743102100838721E-3</v>
      </c>
      <c r="BP110" s="1644">
        <f t="shared" si="158"/>
        <v>1</v>
      </c>
      <c r="BQ110" s="1644">
        <f t="shared" si="159"/>
        <v>0.77865533865216163</v>
      </c>
      <c r="BR110" s="1648">
        <f t="shared" si="160"/>
        <v>9.4395498354197649</v>
      </c>
      <c r="BS110" s="521">
        <f t="shared" si="161"/>
        <v>0</v>
      </c>
      <c r="BT110" s="522">
        <f t="shared" si="162"/>
        <v>3.7743102100838721E-3</v>
      </c>
      <c r="BV110" s="1647" t="str">
        <f t="shared" si="102"/>
        <v>n/a</v>
      </c>
      <c r="BW110" s="1671">
        <v>100</v>
      </c>
      <c r="BX110" s="1644" t="e">
        <f t="shared" si="103"/>
        <v>#VALUE!</v>
      </c>
      <c r="BY110" s="1644" t="e">
        <f t="shared" si="163"/>
        <v>#VALUE!</v>
      </c>
      <c r="BZ110" s="1644" t="e">
        <f t="shared" si="105"/>
        <v>#VALUE!</v>
      </c>
      <c r="CA110" s="1644" t="e">
        <f t="shared" si="106"/>
        <v>#VALUE!</v>
      </c>
      <c r="CB110" s="1644" t="e">
        <f t="shared" si="107"/>
        <v>#VALUE!</v>
      </c>
      <c r="CC110" s="1644" t="e">
        <f t="shared" si="108"/>
        <v>#VALUE!</v>
      </c>
      <c r="CD110" s="1644" t="e">
        <f t="shared" si="109"/>
        <v>#VALUE!</v>
      </c>
      <c r="CE110" s="1644" t="e">
        <f t="shared" si="110"/>
        <v>#VALUE!</v>
      </c>
      <c r="CF110" s="505" t="e">
        <f t="shared" si="111"/>
        <v>#VALUE!</v>
      </c>
      <c r="CG110" s="1648" t="e">
        <f t="shared" si="112"/>
        <v>#VALUE!</v>
      </c>
      <c r="CH110" s="521" t="e">
        <f t="shared" si="113"/>
        <v>#VALUE!</v>
      </c>
      <c r="CI110" s="522" t="e">
        <f t="shared" si="114"/>
        <v>#VALUE!</v>
      </c>
      <c r="CJ110" s="1672"/>
      <c r="CK110" s="1647" t="str">
        <f t="shared" si="115"/>
        <v>n/a</v>
      </c>
      <c r="CL110" s="1671">
        <v>100</v>
      </c>
      <c r="CM110" s="1644" t="e">
        <f t="shared" si="116"/>
        <v>#VALUE!</v>
      </c>
      <c r="CN110" s="1644" t="e">
        <f t="shared" si="164"/>
        <v>#VALUE!</v>
      </c>
      <c r="CO110" s="1644" t="e">
        <f t="shared" si="118"/>
        <v>#VALUE!</v>
      </c>
      <c r="CP110" s="1644" t="e">
        <f t="shared" si="119"/>
        <v>#VALUE!</v>
      </c>
      <c r="CQ110" s="1644" t="e">
        <f t="shared" si="120"/>
        <v>#VALUE!</v>
      </c>
      <c r="CR110" s="1644" t="e">
        <f t="shared" si="99"/>
        <v>#VALUE!</v>
      </c>
      <c r="CS110" s="1644" t="e">
        <f t="shared" si="121"/>
        <v>#VALUE!</v>
      </c>
      <c r="CT110" s="1644" t="e">
        <f t="shared" si="100"/>
        <v>#VALUE!</v>
      </c>
      <c r="CU110" s="505" t="e">
        <f t="shared" si="122"/>
        <v>#VALUE!</v>
      </c>
      <c r="CV110" s="1648" t="e">
        <f t="shared" si="123"/>
        <v>#VALUE!</v>
      </c>
      <c r="CW110" s="521" t="e">
        <f t="shared" si="124"/>
        <v>#VALUE!</v>
      </c>
      <c r="CX110" s="522" t="e">
        <f t="shared" si="101"/>
        <v>#VALUE!</v>
      </c>
      <c r="CZ110" s="1647" t="str">
        <f t="shared" si="150"/>
        <v>n/a</v>
      </c>
      <c r="DA110" s="1671">
        <v>100</v>
      </c>
      <c r="DB110" s="1644" t="e">
        <f t="shared" si="125"/>
        <v>#VALUE!</v>
      </c>
      <c r="DC110" s="1644" t="e">
        <f t="shared" si="165"/>
        <v>#VALUE!</v>
      </c>
      <c r="DD110" s="1644" t="e">
        <f t="shared" si="127"/>
        <v>#VALUE!</v>
      </c>
      <c r="DE110" s="1644" t="e">
        <f t="shared" si="128"/>
        <v>#VALUE!</v>
      </c>
      <c r="DF110" s="1644" t="e">
        <f t="shared" si="129"/>
        <v>#VALUE!</v>
      </c>
      <c r="DG110" s="1644" t="e">
        <f t="shared" si="130"/>
        <v>#VALUE!</v>
      </c>
      <c r="DH110" s="1644" t="e">
        <f t="shared" si="131"/>
        <v>#VALUE!</v>
      </c>
      <c r="DI110" s="1644" t="e">
        <f t="shared" si="132"/>
        <v>#VALUE!</v>
      </c>
      <c r="DJ110" s="505" t="e">
        <f t="shared" si="133"/>
        <v>#VALUE!</v>
      </c>
      <c r="DK110" s="1648" t="e">
        <f t="shared" si="134"/>
        <v>#VALUE!</v>
      </c>
      <c r="DL110" s="521" t="e">
        <f t="shared" si="135"/>
        <v>#VALUE!</v>
      </c>
      <c r="DM110" s="522" t="e">
        <f t="shared" si="136"/>
        <v>#VALUE!</v>
      </c>
      <c r="DN110" s="1672"/>
      <c r="DO110" s="1647" t="str">
        <f t="shared" si="151"/>
        <v>n/a</v>
      </c>
      <c r="DP110" s="1671">
        <v>100</v>
      </c>
      <c r="DQ110" s="1644" t="e">
        <f t="shared" si="137"/>
        <v>#VALUE!</v>
      </c>
      <c r="DR110" s="1644" t="e">
        <f t="shared" si="166"/>
        <v>#VALUE!</v>
      </c>
      <c r="DS110" s="1644" t="e">
        <f t="shared" si="139"/>
        <v>#VALUE!</v>
      </c>
      <c r="DT110" s="1644" t="e">
        <f t="shared" si="140"/>
        <v>#VALUE!</v>
      </c>
      <c r="DU110" s="1644" t="e">
        <f t="shared" si="141"/>
        <v>#VALUE!</v>
      </c>
      <c r="DV110" s="1644" t="e">
        <f t="shared" si="142"/>
        <v>#VALUE!</v>
      </c>
      <c r="DW110" s="1644" t="e">
        <f t="shared" si="143"/>
        <v>#VALUE!</v>
      </c>
      <c r="DX110" s="1644" t="e">
        <f t="shared" si="144"/>
        <v>#VALUE!</v>
      </c>
      <c r="DY110" s="505" t="e">
        <f t="shared" si="145"/>
        <v>#VALUE!</v>
      </c>
      <c r="DZ110" s="1648" t="e">
        <f t="shared" si="146"/>
        <v>#VALUE!</v>
      </c>
      <c r="EA110" s="521" t="e">
        <f t="shared" si="147"/>
        <v>#VALUE!</v>
      </c>
      <c r="EB110" s="522" t="e">
        <f t="shared" si="148"/>
        <v>#VALUE!</v>
      </c>
    </row>
    <row r="111" spans="4:132">
      <c r="D111" s="347"/>
      <c r="E111" s="347"/>
      <c r="F111" s="347"/>
      <c r="G111" s="347"/>
      <c r="H111" s="347"/>
      <c r="I111" s="347"/>
      <c r="J111" s="347"/>
      <c r="K111" s="347"/>
      <c r="L111" s="347"/>
      <c r="S111" s="347"/>
      <c r="T111" s="347"/>
      <c r="U111" s="347"/>
      <c r="V111" s="347"/>
      <c r="W111" s="1630"/>
      <c r="X111" s="347"/>
      <c r="Y111" s="347"/>
      <c r="Z111" s="347"/>
      <c r="AA111" s="347"/>
      <c r="AB111" s="347"/>
      <c r="AC111" s="347"/>
      <c r="AD111" s="347"/>
      <c r="BH111" s="1649">
        <f t="shared" si="149"/>
        <v>0</v>
      </c>
      <c r="BI111" s="503">
        <v>100</v>
      </c>
      <c r="BJ111" s="1644">
        <f t="shared" si="152"/>
        <v>273.14999999999998</v>
      </c>
      <c r="BK111" s="1644">
        <f t="shared" si="153"/>
        <v>-17.025409380322781</v>
      </c>
      <c r="BL111" s="1644">
        <f t="shared" si="154"/>
        <v>23.440757653659677</v>
      </c>
      <c r="BM111" s="1644">
        <f t="shared" si="155"/>
        <v>0.61115357225163158</v>
      </c>
      <c r="BN111" s="1644">
        <f t="shared" si="156"/>
        <v>0.61115357225163158</v>
      </c>
      <c r="BO111" s="1644">
        <f t="shared" si="157"/>
        <v>3.7743102100838721E-3</v>
      </c>
      <c r="BP111" s="1644">
        <f t="shared" si="158"/>
        <v>1</v>
      </c>
      <c r="BQ111" s="1644">
        <f t="shared" si="159"/>
        <v>0.77865533865216163</v>
      </c>
      <c r="BR111" s="1648">
        <f t="shared" si="160"/>
        <v>9.4395498354197649</v>
      </c>
      <c r="BS111" s="521">
        <f t="shared" si="161"/>
        <v>0</v>
      </c>
      <c r="BT111" s="522">
        <f t="shared" si="162"/>
        <v>3.7743102100838721E-3</v>
      </c>
      <c r="BV111" s="1647"/>
      <c r="BW111" s="1671"/>
      <c r="CK111" s="1647"/>
      <c r="CL111" s="1671"/>
    </row>
    <row r="112" spans="4:132">
      <c r="D112" s="347"/>
      <c r="E112" s="347"/>
      <c r="F112" s="347"/>
      <c r="G112" s="347"/>
      <c r="H112" s="347"/>
      <c r="I112" s="347"/>
      <c r="J112" s="347"/>
      <c r="K112" s="347"/>
      <c r="L112" s="347"/>
      <c r="S112" s="347"/>
      <c r="T112" s="347"/>
      <c r="U112" s="347"/>
      <c r="V112" s="347"/>
      <c r="W112" s="1630"/>
      <c r="X112" s="347"/>
      <c r="Y112" s="347"/>
      <c r="Z112" s="347"/>
      <c r="AA112" s="347"/>
      <c r="AB112" s="347"/>
      <c r="AC112" s="347"/>
      <c r="AD112" s="347"/>
      <c r="BH112" s="1649">
        <f t="shared" si="149"/>
        <v>0</v>
      </c>
      <c r="BI112" s="503">
        <v>100</v>
      </c>
      <c r="BJ112" s="1644">
        <f t="shared" si="152"/>
        <v>273.14999999999998</v>
      </c>
      <c r="BK112" s="1644">
        <f t="shared" si="153"/>
        <v>-17.025409380322781</v>
      </c>
      <c r="BL112" s="1644">
        <f t="shared" si="154"/>
        <v>23.440757653659677</v>
      </c>
      <c r="BM112" s="1644">
        <f t="shared" si="155"/>
        <v>0.61115357225163158</v>
      </c>
      <c r="BN112" s="1644">
        <f t="shared" si="156"/>
        <v>0.61115357225163158</v>
      </c>
      <c r="BO112" s="1644">
        <f t="shared" si="157"/>
        <v>3.7743102100838721E-3</v>
      </c>
      <c r="BP112" s="1644">
        <f t="shared" si="158"/>
        <v>1</v>
      </c>
      <c r="BQ112" s="1644">
        <f t="shared" si="159"/>
        <v>0.77865533865216163</v>
      </c>
      <c r="BR112" s="1648">
        <f t="shared" si="160"/>
        <v>9.4395498354197649</v>
      </c>
      <c r="BS112" s="521">
        <f t="shared" si="161"/>
        <v>0</v>
      </c>
      <c r="BT112" s="522">
        <f t="shared" si="162"/>
        <v>3.7743102100838721E-3</v>
      </c>
      <c r="BV112" s="1647"/>
      <c r="BW112" s="1671"/>
      <c r="CK112" s="1647"/>
      <c r="CL112" s="1671"/>
    </row>
    <row r="113" spans="4:90">
      <c r="D113" s="347"/>
      <c r="E113" s="347"/>
      <c r="F113" s="347"/>
      <c r="G113" s="347"/>
      <c r="H113" s="347"/>
      <c r="I113" s="347"/>
      <c r="J113" s="347"/>
      <c r="K113" s="347"/>
      <c r="L113" s="347"/>
      <c r="S113" s="347"/>
      <c r="T113" s="347"/>
      <c r="U113" s="347"/>
      <c r="V113" s="347"/>
      <c r="W113" s="1630"/>
      <c r="X113" s="347"/>
      <c r="Y113" s="347"/>
      <c r="Z113" s="347"/>
      <c r="AA113" s="347"/>
      <c r="AB113" s="347"/>
      <c r="AC113" s="347"/>
      <c r="AD113" s="347"/>
      <c r="BH113" s="1649">
        <f t="shared" si="149"/>
        <v>0</v>
      </c>
      <c r="BI113" s="503">
        <v>100</v>
      </c>
      <c r="BJ113" s="1644">
        <f t="shared" si="152"/>
        <v>273.14999999999998</v>
      </c>
      <c r="BK113" s="1644">
        <f t="shared" si="153"/>
        <v>-17.025409380322781</v>
      </c>
      <c r="BL113" s="1644">
        <f t="shared" si="154"/>
        <v>23.440757653659677</v>
      </c>
      <c r="BM113" s="1644">
        <f t="shared" si="155"/>
        <v>0.61115357225163158</v>
      </c>
      <c r="BN113" s="1644">
        <f t="shared" si="156"/>
        <v>0.61115357225163158</v>
      </c>
      <c r="BO113" s="1644">
        <f t="shared" si="157"/>
        <v>3.7743102100838721E-3</v>
      </c>
      <c r="BP113" s="1644">
        <f t="shared" si="158"/>
        <v>1</v>
      </c>
      <c r="BQ113" s="1644">
        <f t="shared" si="159"/>
        <v>0.77865533865216163</v>
      </c>
      <c r="BR113" s="1648">
        <f t="shared" si="160"/>
        <v>9.4395498354197649</v>
      </c>
      <c r="BS113" s="521">
        <f t="shared" si="161"/>
        <v>0</v>
      </c>
      <c r="BT113" s="522">
        <f t="shared" si="162"/>
        <v>3.7743102100838721E-3</v>
      </c>
      <c r="BV113" s="1647"/>
      <c r="BW113" s="1671"/>
      <c r="CK113" s="1647"/>
      <c r="CL113" s="1671"/>
    </row>
    <row r="114" spans="4:90">
      <c r="F114" s="347"/>
      <c r="G114" s="347"/>
      <c r="H114" s="347"/>
      <c r="I114" s="347"/>
      <c r="J114" s="347"/>
      <c r="K114" s="347"/>
      <c r="L114" s="347"/>
      <c r="S114" s="347"/>
      <c r="T114" s="347"/>
      <c r="U114" s="347"/>
      <c r="V114" s="347"/>
      <c r="W114" s="1630"/>
      <c r="X114" s="347"/>
      <c r="Y114" s="347"/>
      <c r="Z114" s="347"/>
      <c r="AA114" s="347"/>
      <c r="AB114" s="347"/>
      <c r="AC114" s="347"/>
      <c r="AD114" s="347"/>
      <c r="BH114" s="1649">
        <f t="shared" si="149"/>
        <v>0</v>
      </c>
      <c r="BI114" s="503">
        <v>100</v>
      </c>
      <c r="BJ114" s="1644">
        <f t="shared" si="152"/>
        <v>273.14999999999998</v>
      </c>
      <c r="BK114" s="1644">
        <f t="shared" si="153"/>
        <v>-17.025409380322781</v>
      </c>
      <c r="BL114" s="1644">
        <f t="shared" si="154"/>
        <v>23.440757653659677</v>
      </c>
      <c r="BM114" s="1644">
        <f t="shared" si="155"/>
        <v>0.61115357225163158</v>
      </c>
      <c r="BN114" s="1644">
        <f t="shared" si="156"/>
        <v>0.61115357225163158</v>
      </c>
      <c r="BO114" s="1644">
        <f t="shared" si="157"/>
        <v>3.7743102100838721E-3</v>
      </c>
      <c r="BP114" s="1644">
        <f t="shared" si="158"/>
        <v>1</v>
      </c>
      <c r="BQ114" s="1644">
        <f t="shared" si="159"/>
        <v>0.77865533865216163</v>
      </c>
      <c r="BR114" s="1648">
        <f t="shared" si="160"/>
        <v>9.4395498354197649</v>
      </c>
      <c r="BS114" s="521">
        <f t="shared" si="161"/>
        <v>0</v>
      </c>
      <c r="BT114" s="522">
        <f t="shared" si="162"/>
        <v>3.7743102100838721E-3</v>
      </c>
      <c r="BV114" s="1647"/>
      <c r="BW114" s="1671"/>
      <c r="CK114" s="1647"/>
      <c r="CL114" s="1671"/>
    </row>
    <row r="115" spans="4:90">
      <c r="F115" s="347"/>
      <c r="G115" s="347"/>
      <c r="H115" s="347"/>
      <c r="I115" s="347"/>
      <c r="J115" s="347"/>
      <c r="K115" s="347"/>
      <c r="L115" s="347"/>
      <c r="S115" s="347"/>
      <c r="T115" s="347"/>
      <c r="U115" s="347"/>
      <c r="V115" s="347"/>
      <c r="W115" s="1630"/>
      <c r="X115" s="347"/>
      <c r="Y115" s="347"/>
      <c r="Z115" s="347"/>
      <c r="AA115" s="347"/>
      <c r="AB115" s="347"/>
      <c r="AC115" s="347"/>
      <c r="AD115" s="347"/>
      <c r="BH115" s="1649">
        <f t="shared" si="149"/>
        <v>0</v>
      </c>
      <c r="BI115" s="503">
        <v>100</v>
      </c>
      <c r="BJ115" s="1644">
        <f t="shared" si="152"/>
        <v>273.14999999999998</v>
      </c>
      <c r="BK115" s="1644">
        <f t="shared" si="153"/>
        <v>-17.025409380322781</v>
      </c>
      <c r="BL115" s="1644">
        <f t="shared" si="154"/>
        <v>23.440757653659677</v>
      </c>
      <c r="BM115" s="1644">
        <f t="shared" si="155"/>
        <v>0.61115357225163158</v>
      </c>
      <c r="BN115" s="1644">
        <f t="shared" si="156"/>
        <v>0.61115357225163158</v>
      </c>
      <c r="BO115" s="1644">
        <f t="shared" si="157"/>
        <v>3.7743102100838721E-3</v>
      </c>
      <c r="BP115" s="1644">
        <f t="shared" si="158"/>
        <v>1</v>
      </c>
      <c r="BQ115" s="1644">
        <f t="shared" si="159"/>
        <v>0.77865533865216163</v>
      </c>
      <c r="BR115" s="1648">
        <f t="shared" si="160"/>
        <v>9.4395498354197649</v>
      </c>
      <c r="BS115" s="521">
        <f t="shared" si="161"/>
        <v>0</v>
      </c>
      <c r="BT115" s="522">
        <f t="shared" si="162"/>
        <v>3.7743102100838721E-3</v>
      </c>
      <c r="BV115" s="1647"/>
      <c r="BW115" s="1671"/>
      <c r="CK115" s="1647"/>
      <c r="CL115" s="1671"/>
    </row>
    <row r="116" spans="4:90">
      <c r="F116" s="347"/>
      <c r="G116" s="347"/>
      <c r="H116" s="347"/>
      <c r="I116" s="347"/>
      <c r="J116" s="347"/>
      <c r="K116" s="347"/>
      <c r="S116" s="347"/>
      <c r="T116" s="347"/>
      <c r="U116" s="347"/>
      <c r="V116" s="347"/>
      <c r="W116" s="1630"/>
      <c r="X116" s="347"/>
      <c r="Y116" s="347"/>
      <c r="Z116" s="347"/>
      <c r="AA116" s="347"/>
      <c r="AB116" s="347"/>
      <c r="AC116" s="347"/>
      <c r="AD116" s="347"/>
      <c r="BH116" s="1649">
        <f t="shared" si="149"/>
        <v>0</v>
      </c>
      <c r="BI116" s="503">
        <v>100</v>
      </c>
      <c r="BJ116" s="1644">
        <f t="shared" si="152"/>
        <v>273.14999999999998</v>
      </c>
      <c r="BK116" s="1644">
        <f t="shared" si="153"/>
        <v>-17.025409380322781</v>
      </c>
      <c r="BL116" s="1644">
        <f t="shared" si="154"/>
        <v>23.440757653659677</v>
      </c>
      <c r="BM116" s="1644">
        <f t="shared" si="155"/>
        <v>0.61115357225163158</v>
      </c>
      <c r="BN116" s="1644">
        <f t="shared" si="156"/>
        <v>0.61115357225163158</v>
      </c>
      <c r="BO116" s="1644">
        <f t="shared" si="157"/>
        <v>3.7743102100838721E-3</v>
      </c>
      <c r="BP116" s="1644">
        <f t="shared" si="158"/>
        <v>1</v>
      </c>
      <c r="BQ116" s="1644">
        <f t="shared" si="159"/>
        <v>0.77865533865216163</v>
      </c>
      <c r="BR116" s="1648">
        <f t="shared" si="160"/>
        <v>9.4395498354197649</v>
      </c>
      <c r="BS116" s="521">
        <f t="shared" si="161"/>
        <v>0</v>
      </c>
      <c r="BT116" s="522">
        <f t="shared" si="162"/>
        <v>3.7743102100838721E-3</v>
      </c>
      <c r="BV116" s="1647"/>
      <c r="BW116" s="1671"/>
      <c r="CK116" s="1647"/>
      <c r="CL116" s="1671"/>
    </row>
    <row r="117" spans="4:90">
      <c r="F117" s="347"/>
      <c r="G117" s="347"/>
      <c r="H117" s="347"/>
      <c r="S117" s="347"/>
      <c r="T117" s="347"/>
      <c r="U117" s="347"/>
      <c r="V117" s="347"/>
      <c r="W117" s="1630"/>
      <c r="X117" s="347"/>
      <c r="Y117" s="347"/>
      <c r="Z117" s="347"/>
      <c r="AA117" s="347"/>
      <c r="AB117" s="347"/>
      <c r="AC117" s="347"/>
      <c r="AD117" s="347"/>
      <c r="BH117" s="1649">
        <f t="shared" si="149"/>
        <v>0</v>
      </c>
      <c r="BI117" s="503">
        <v>100</v>
      </c>
      <c r="BJ117" s="1644">
        <f t="shared" si="152"/>
        <v>273.14999999999998</v>
      </c>
      <c r="BK117" s="1644">
        <f t="shared" si="153"/>
        <v>-17.025409380322781</v>
      </c>
      <c r="BL117" s="1644">
        <f t="shared" si="154"/>
        <v>23.440757653659677</v>
      </c>
      <c r="BM117" s="1644">
        <f t="shared" si="155"/>
        <v>0.61115357225163158</v>
      </c>
      <c r="BN117" s="1644">
        <f t="shared" si="156"/>
        <v>0.61115357225163158</v>
      </c>
      <c r="BO117" s="1644">
        <f t="shared" si="157"/>
        <v>3.7743102100838721E-3</v>
      </c>
      <c r="BP117" s="1644">
        <f t="shared" si="158"/>
        <v>1</v>
      </c>
      <c r="BQ117" s="1644">
        <f t="shared" si="159"/>
        <v>0.77865533865216163</v>
      </c>
      <c r="BR117" s="1648">
        <f t="shared" si="160"/>
        <v>9.4395498354197649</v>
      </c>
      <c r="BS117" s="521">
        <f t="shared" si="161"/>
        <v>0</v>
      </c>
      <c r="BT117" s="522">
        <f t="shared" si="162"/>
        <v>3.7743102100838721E-3</v>
      </c>
      <c r="BV117" s="1647"/>
      <c r="BW117" s="1671"/>
      <c r="CK117" s="1647"/>
      <c r="CL117" s="1671"/>
    </row>
    <row r="118" spans="4:90">
      <c r="S118" s="347"/>
      <c r="T118" s="347"/>
      <c r="U118" s="347"/>
      <c r="V118" s="347"/>
      <c r="W118" s="1630"/>
      <c r="X118" s="347"/>
      <c r="Y118" s="347"/>
      <c r="Z118" s="347"/>
      <c r="AA118" s="347"/>
      <c r="AB118" s="347"/>
      <c r="AC118" s="347"/>
      <c r="AD118" s="347"/>
      <c r="BH118" s="1649">
        <f t="shared" si="149"/>
        <v>0</v>
      </c>
      <c r="BI118" s="503">
        <v>100</v>
      </c>
      <c r="BJ118" s="1644">
        <f t="shared" si="152"/>
        <v>273.14999999999998</v>
      </c>
      <c r="BK118" s="1644">
        <f t="shared" si="153"/>
        <v>-17.025409380322781</v>
      </c>
      <c r="BL118" s="1644">
        <f t="shared" si="154"/>
        <v>23.440757653659677</v>
      </c>
      <c r="BM118" s="1644">
        <f t="shared" si="155"/>
        <v>0.61115357225163158</v>
      </c>
      <c r="BN118" s="1644">
        <f t="shared" si="156"/>
        <v>0.61115357225163158</v>
      </c>
      <c r="BO118" s="1644">
        <f t="shared" si="157"/>
        <v>3.7743102100838721E-3</v>
      </c>
      <c r="BP118" s="1644">
        <f t="shared" si="158"/>
        <v>1</v>
      </c>
      <c r="BQ118" s="1644">
        <f t="shared" si="159"/>
        <v>0.77865533865216163</v>
      </c>
      <c r="BR118" s="1648">
        <f t="shared" si="160"/>
        <v>9.4395498354197649</v>
      </c>
      <c r="BS118" s="521">
        <f t="shared" si="161"/>
        <v>0</v>
      </c>
      <c r="BT118" s="522">
        <f t="shared" si="162"/>
        <v>3.7743102100838721E-3</v>
      </c>
      <c r="BV118" s="1647"/>
      <c r="BW118" s="1671"/>
      <c r="CK118" s="1647"/>
      <c r="CL118" s="1671"/>
    </row>
    <row r="119" spans="4:90">
      <c r="S119" s="347"/>
      <c r="T119" s="347"/>
      <c r="U119" s="347"/>
      <c r="V119" s="347"/>
      <c r="W119" s="1630"/>
      <c r="X119" s="347"/>
      <c r="Y119" s="347"/>
      <c r="Z119" s="347"/>
      <c r="AA119" s="347"/>
      <c r="AB119" s="347"/>
      <c r="AC119" s="347"/>
      <c r="AD119" s="347"/>
      <c r="BH119" s="1649">
        <f t="shared" si="149"/>
        <v>0</v>
      </c>
      <c r="BI119" s="503">
        <v>100</v>
      </c>
      <c r="BJ119" s="1644">
        <f t="shared" si="152"/>
        <v>273.14999999999998</v>
      </c>
      <c r="BK119" s="1644">
        <f t="shared" si="153"/>
        <v>-17.025409380322781</v>
      </c>
      <c r="BL119" s="1644">
        <f t="shared" si="154"/>
        <v>23.440757653659677</v>
      </c>
      <c r="BM119" s="1644">
        <f t="shared" si="155"/>
        <v>0.61115357225163158</v>
      </c>
      <c r="BN119" s="1644">
        <f t="shared" si="156"/>
        <v>0.61115357225163158</v>
      </c>
      <c r="BO119" s="1644">
        <f t="shared" si="157"/>
        <v>3.7743102100838721E-3</v>
      </c>
      <c r="BP119" s="1644">
        <f t="shared" si="158"/>
        <v>1</v>
      </c>
      <c r="BQ119" s="1644">
        <f t="shared" si="159"/>
        <v>0.77865533865216163</v>
      </c>
      <c r="BR119" s="1648">
        <f t="shared" si="160"/>
        <v>9.4395498354197649</v>
      </c>
      <c r="BS119" s="521">
        <f t="shared" si="161"/>
        <v>0</v>
      </c>
      <c r="BT119" s="522">
        <f t="shared" si="162"/>
        <v>3.7743102100838721E-3</v>
      </c>
      <c r="BV119" s="1647"/>
      <c r="BW119" s="1671"/>
      <c r="CK119" s="1647"/>
      <c r="CL119" s="1671"/>
    </row>
    <row r="120" spans="4:90">
      <c r="S120" s="347"/>
      <c r="T120" s="347"/>
      <c r="U120" s="347"/>
      <c r="V120" s="347"/>
      <c r="W120" s="1630"/>
      <c r="X120" s="347"/>
      <c r="Y120" s="347"/>
      <c r="Z120" s="347"/>
      <c r="AA120" s="347"/>
      <c r="AB120" s="347"/>
      <c r="AC120" s="347"/>
      <c r="AD120" s="347"/>
      <c r="BH120" s="1649">
        <f t="shared" si="149"/>
        <v>0</v>
      </c>
      <c r="BI120" s="503">
        <v>100</v>
      </c>
      <c r="BJ120" s="1644">
        <f t="shared" si="152"/>
        <v>273.14999999999998</v>
      </c>
      <c r="BK120" s="1644">
        <f t="shared" si="153"/>
        <v>-17.025409380322781</v>
      </c>
      <c r="BL120" s="1644">
        <f t="shared" si="154"/>
        <v>23.440757653659677</v>
      </c>
      <c r="BM120" s="1644">
        <f t="shared" si="155"/>
        <v>0.61115357225163158</v>
      </c>
      <c r="BN120" s="1644">
        <f t="shared" si="156"/>
        <v>0.61115357225163158</v>
      </c>
      <c r="BO120" s="1644">
        <f t="shared" si="157"/>
        <v>3.7743102100838721E-3</v>
      </c>
      <c r="BP120" s="1644">
        <f t="shared" si="158"/>
        <v>1</v>
      </c>
      <c r="BQ120" s="1644">
        <f t="shared" si="159"/>
        <v>0.77865533865216163</v>
      </c>
      <c r="BR120" s="1648">
        <f t="shared" si="160"/>
        <v>9.4395498354197649</v>
      </c>
      <c r="BS120" s="521">
        <f t="shared" si="161"/>
        <v>0</v>
      </c>
      <c r="BT120" s="522">
        <f t="shared" si="162"/>
        <v>3.7743102100838721E-3</v>
      </c>
      <c r="BV120" s="1647"/>
      <c r="BW120" s="1671"/>
      <c r="CK120" s="1647"/>
      <c r="CL120" s="1671"/>
    </row>
    <row r="121" spans="4:90">
      <c r="S121" s="347"/>
      <c r="T121" s="347"/>
      <c r="U121" s="347"/>
      <c r="V121" s="347"/>
      <c r="W121" s="1630"/>
      <c r="X121" s="347"/>
      <c r="Y121" s="347"/>
      <c r="Z121" s="347"/>
      <c r="AA121" s="347"/>
      <c r="AB121" s="347"/>
      <c r="AC121" s="347"/>
      <c r="AD121" s="347"/>
      <c r="BH121" s="1649">
        <f t="shared" si="149"/>
        <v>0</v>
      </c>
      <c r="BI121" s="503">
        <v>100</v>
      </c>
      <c r="BJ121" s="1644">
        <f t="shared" si="152"/>
        <v>273.14999999999998</v>
      </c>
      <c r="BK121" s="1644">
        <f t="shared" si="153"/>
        <v>-17.025409380322781</v>
      </c>
      <c r="BL121" s="1644">
        <f t="shared" si="154"/>
        <v>23.440757653659677</v>
      </c>
      <c r="BM121" s="1644">
        <f t="shared" si="155"/>
        <v>0.61115357225163158</v>
      </c>
      <c r="BN121" s="1644">
        <f t="shared" si="156"/>
        <v>0.61115357225163158</v>
      </c>
      <c r="BO121" s="1644">
        <f t="shared" si="157"/>
        <v>3.7743102100838721E-3</v>
      </c>
      <c r="BP121" s="1644">
        <f t="shared" si="158"/>
        <v>1</v>
      </c>
      <c r="BQ121" s="1644">
        <f t="shared" si="159"/>
        <v>0.77865533865216163</v>
      </c>
      <c r="BR121" s="1648">
        <f t="shared" si="160"/>
        <v>9.4395498354197649</v>
      </c>
      <c r="BS121" s="521">
        <f t="shared" si="161"/>
        <v>0</v>
      </c>
      <c r="BT121" s="522">
        <f t="shared" si="162"/>
        <v>3.7743102100838721E-3</v>
      </c>
      <c r="BV121" s="1647"/>
      <c r="BW121" s="1671"/>
      <c r="CK121" s="1647"/>
      <c r="CL121" s="1671"/>
    </row>
    <row r="122" spans="4:90">
      <c r="S122" s="347"/>
      <c r="T122" s="347"/>
      <c r="U122" s="347"/>
      <c r="V122" s="347"/>
      <c r="W122" s="1630"/>
      <c r="X122" s="347"/>
      <c r="Y122" s="347"/>
      <c r="Z122" s="347"/>
      <c r="AA122" s="347"/>
      <c r="AB122" s="347"/>
      <c r="AC122" s="347"/>
      <c r="AD122" s="347"/>
      <c r="BH122" s="1649">
        <f t="shared" si="149"/>
        <v>0</v>
      </c>
      <c r="BI122" s="503">
        <v>100</v>
      </c>
      <c r="BJ122" s="1644">
        <f t="shared" si="152"/>
        <v>273.14999999999998</v>
      </c>
      <c r="BK122" s="1644">
        <f t="shared" si="153"/>
        <v>-17.025409380322781</v>
      </c>
      <c r="BL122" s="1644">
        <f t="shared" si="154"/>
        <v>23.440757653659677</v>
      </c>
      <c r="BM122" s="1644">
        <f t="shared" si="155"/>
        <v>0.61115357225163158</v>
      </c>
      <c r="BN122" s="1644">
        <f t="shared" si="156"/>
        <v>0.61115357225163158</v>
      </c>
      <c r="BO122" s="1644">
        <f t="shared" si="157"/>
        <v>3.7743102100838721E-3</v>
      </c>
      <c r="BP122" s="1644">
        <f t="shared" si="158"/>
        <v>1</v>
      </c>
      <c r="BQ122" s="1644">
        <f t="shared" si="159"/>
        <v>0.77865533865216163</v>
      </c>
      <c r="BR122" s="1648">
        <f t="shared" si="160"/>
        <v>9.4395498354197649</v>
      </c>
      <c r="BS122" s="521">
        <f t="shared" si="161"/>
        <v>0</v>
      </c>
      <c r="BT122" s="522">
        <f t="shared" si="162"/>
        <v>3.7743102100838721E-3</v>
      </c>
      <c r="BV122" s="1647"/>
      <c r="BW122" s="1671"/>
      <c r="CK122" s="1647"/>
      <c r="CL122" s="1671"/>
    </row>
    <row r="123" spans="4:90">
      <c r="S123" s="347"/>
      <c r="T123" s="347"/>
      <c r="U123" s="347"/>
      <c r="V123" s="347"/>
      <c r="W123" s="1630"/>
      <c r="X123" s="347"/>
      <c r="Y123" s="347"/>
      <c r="Z123" s="347"/>
      <c r="AA123" s="347"/>
      <c r="AB123" s="347"/>
      <c r="AC123" s="347"/>
      <c r="AD123" s="347"/>
      <c r="BH123" s="1649">
        <f t="shared" si="149"/>
        <v>0</v>
      </c>
      <c r="BI123" s="503">
        <v>100</v>
      </c>
      <c r="BJ123" s="1644">
        <f t="shared" si="152"/>
        <v>273.14999999999998</v>
      </c>
      <c r="BK123" s="1644">
        <f t="shared" si="153"/>
        <v>-17.025409380322781</v>
      </c>
      <c r="BL123" s="1644">
        <f t="shared" si="154"/>
        <v>23.440757653659677</v>
      </c>
      <c r="BM123" s="1644">
        <f t="shared" si="155"/>
        <v>0.61115357225163158</v>
      </c>
      <c r="BN123" s="1644">
        <f t="shared" si="156"/>
        <v>0.61115357225163158</v>
      </c>
      <c r="BO123" s="1644">
        <f t="shared" si="157"/>
        <v>3.7743102100838721E-3</v>
      </c>
      <c r="BP123" s="1644">
        <f t="shared" si="158"/>
        <v>1</v>
      </c>
      <c r="BQ123" s="1644">
        <f t="shared" si="159"/>
        <v>0.77865533865216163</v>
      </c>
      <c r="BR123" s="1648">
        <f t="shared" si="160"/>
        <v>9.4395498354197649</v>
      </c>
      <c r="BS123" s="521">
        <f t="shared" si="161"/>
        <v>0</v>
      </c>
      <c r="BT123" s="522">
        <f t="shared" si="162"/>
        <v>3.7743102100838721E-3</v>
      </c>
      <c r="BV123" s="1647"/>
      <c r="BW123" s="1671"/>
      <c r="CK123" s="1647"/>
      <c r="CL123" s="1671"/>
    </row>
    <row r="124" spans="4:90">
      <c r="S124" s="347"/>
      <c r="T124" s="347"/>
      <c r="U124" s="347"/>
      <c r="V124" s="347"/>
      <c r="W124" s="1630"/>
      <c r="X124" s="347"/>
      <c r="Y124" s="347"/>
      <c r="Z124" s="347"/>
      <c r="AA124" s="347"/>
      <c r="AB124" s="347"/>
      <c r="AC124" s="347"/>
      <c r="AD124" s="347"/>
      <c r="BH124" s="1649">
        <f t="shared" si="149"/>
        <v>0</v>
      </c>
      <c r="BI124" s="503">
        <v>100</v>
      </c>
      <c r="BJ124" s="1644">
        <f t="shared" si="152"/>
        <v>273.14999999999998</v>
      </c>
      <c r="BK124" s="1644">
        <f t="shared" si="153"/>
        <v>-17.025409380322781</v>
      </c>
      <c r="BL124" s="1644">
        <f t="shared" si="154"/>
        <v>23.440757653659677</v>
      </c>
      <c r="BM124" s="1644">
        <f t="shared" si="155"/>
        <v>0.61115357225163158</v>
      </c>
      <c r="BN124" s="1644">
        <f t="shared" si="156"/>
        <v>0.61115357225163158</v>
      </c>
      <c r="BO124" s="1644">
        <f t="shared" si="157"/>
        <v>3.7743102100838721E-3</v>
      </c>
      <c r="BP124" s="1644">
        <f t="shared" si="158"/>
        <v>1</v>
      </c>
      <c r="BQ124" s="1644">
        <f t="shared" si="159"/>
        <v>0.77865533865216163</v>
      </c>
      <c r="BR124" s="1648">
        <f t="shared" si="160"/>
        <v>9.4395498354197649</v>
      </c>
      <c r="BS124" s="521">
        <f t="shared" si="161"/>
        <v>0</v>
      </c>
      <c r="BT124" s="522">
        <f t="shared" si="162"/>
        <v>3.7743102100838721E-3</v>
      </c>
      <c r="BV124" s="1647"/>
      <c r="BW124" s="1671"/>
      <c r="CK124" s="1647"/>
      <c r="CL124" s="1671"/>
    </row>
    <row r="125" spans="4:90">
      <c r="S125" s="347"/>
      <c r="T125" s="347"/>
      <c r="U125" s="347"/>
      <c r="V125" s="347"/>
      <c r="W125" s="1630"/>
      <c r="X125" s="347"/>
      <c r="Y125" s="347"/>
      <c r="Z125" s="347"/>
      <c r="AA125" s="347"/>
      <c r="AB125" s="347"/>
      <c r="AC125" s="347"/>
      <c r="AD125" s="347"/>
      <c r="BH125" s="1649">
        <f t="shared" si="149"/>
        <v>0</v>
      </c>
      <c r="BI125" s="503">
        <v>100</v>
      </c>
      <c r="BJ125" s="1644">
        <f t="shared" si="152"/>
        <v>273.14999999999998</v>
      </c>
      <c r="BK125" s="1644">
        <f t="shared" si="153"/>
        <v>-17.025409380322781</v>
      </c>
      <c r="BL125" s="1644">
        <f t="shared" si="154"/>
        <v>23.440757653659677</v>
      </c>
      <c r="BM125" s="1644">
        <f t="shared" si="155"/>
        <v>0.61115357225163158</v>
      </c>
      <c r="BN125" s="1644">
        <f t="shared" si="156"/>
        <v>0.61115357225163158</v>
      </c>
      <c r="BO125" s="1644">
        <f t="shared" si="157"/>
        <v>3.7743102100838721E-3</v>
      </c>
      <c r="BP125" s="1644">
        <f t="shared" si="158"/>
        <v>1</v>
      </c>
      <c r="BQ125" s="1644">
        <f t="shared" si="159"/>
        <v>0.77865533865216163</v>
      </c>
      <c r="BR125" s="1648">
        <f t="shared" si="160"/>
        <v>9.4395498354197649</v>
      </c>
      <c r="BS125" s="521">
        <f t="shared" si="161"/>
        <v>0</v>
      </c>
      <c r="BT125" s="522">
        <f t="shared" si="162"/>
        <v>3.7743102100838721E-3</v>
      </c>
      <c r="BV125" s="1647"/>
      <c r="BW125" s="1671"/>
      <c r="CK125" s="1647"/>
      <c r="CL125" s="1671"/>
    </row>
    <row r="126" spans="4:90">
      <c r="S126" s="347"/>
      <c r="T126" s="347"/>
      <c r="U126" s="347"/>
      <c r="V126" s="347"/>
      <c r="W126" s="1630"/>
      <c r="X126" s="347"/>
      <c r="Y126" s="347"/>
      <c r="Z126" s="347"/>
      <c r="AA126" s="347"/>
      <c r="AB126" s="347"/>
      <c r="AC126" s="347"/>
      <c r="AD126" s="347"/>
      <c r="BH126" s="1649">
        <f t="shared" si="149"/>
        <v>0</v>
      </c>
      <c r="BI126" s="503">
        <v>100</v>
      </c>
      <c r="BJ126" s="1644">
        <f t="shared" si="152"/>
        <v>273.14999999999998</v>
      </c>
      <c r="BK126" s="1644">
        <f t="shared" si="153"/>
        <v>-17.025409380322781</v>
      </c>
      <c r="BL126" s="1644">
        <f t="shared" si="154"/>
        <v>23.440757653659677</v>
      </c>
      <c r="BM126" s="1644">
        <f t="shared" si="155"/>
        <v>0.61115357225163158</v>
      </c>
      <c r="BN126" s="1644">
        <f t="shared" si="156"/>
        <v>0.61115357225163158</v>
      </c>
      <c r="BO126" s="1644">
        <f t="shared" si="157"/>
        <v>3.7743102100838721E-3</v>
      </c>
      <c r="BP126" s="1644">
        <f t="shared" si="158"/>
        <v>1</v>
      </c>
      <c r="BQ126" s="1644">
        <f t="shared" si="159"/>
        <v>0.77865533865216163</v>
      </c>
      <c r="BR126" s="1648">
        <f t="shared" si="160"/>
        <v>9.4395498354197649</v>
      </c>
      <c r="BS126" s="521">
        <f t="shared" si="161"/>
        <v>0</v>
      </c>
      <c r="BT126" s="522">
        <f t="shared" si="162"/>
        <v>3.7743102100838721E-3</v>
      </c>
      <c r="BV126" s="1647"/>
      <c r="BW126" s="1671"/>
      <c r="CK126" s="1647"/>
      <c r="CL126" s="1671"/>
    </row>
    <row r="127" spans="4:90">
      <c r="S127" s="347"/>
      <c r="T127" s="347"/>
      <c r="U127" s="347"/>
      <c r="V127" s="347"/>
      <c r="W127" s="1630"/>
      <c r="X127" s="347"/>
      <c r="Y127" s="347"/>
      <c r="Z127" s="347"/>
      <c r="AA127" s="347"/>
      <c r="AB127" s="347"/>
      <c r="AC127" s="347"/>
      <c r="AD127" s="347"/>
      <c r="BH127" s="1649">
        <f t="shared" si="149"/>
        <v>0</v>
      </c>
      <c r="BI127" s="503">
        <v>100</v>
      </c>
      <c r="BJ127" s="1644">
        <f t="shared" si="152"/>
        <v>273.14999999999998</v>
      </c>
      <c r="BK127" s="1644">
        <f t="shared" si="153"/>
        <v>-17.025409380322781</v>
      </c>
      <c r="BL127" s="1644">
        <f t="shared" si="154"/>
        <v>23.440757653659677</v>
      </c>
      <c r="BM127" s="1644">
        <f t="shared" si="155"/>
        <v>0.61115357225163158</v>
      </c>
      <c r="BN127" s="1644">
        <f t="shared" si="156"/>
        <v>0.61115357225163158</v>
      </c>
      <c r="BO127" s="1644">
        <f t="shared" si="157"/>
        <v>3.7743102100838721E-3</v>
      </c>
      <c r="BP127" s="1644">
        <f t="shared" si="158"/>
        <v>1</v>
      </c>
      <c r="BQ127" s="1644">
        <f t="shared" si="159"/>
        <v>0.77865533865216163</v>
      </c>
      <c r="BR127" s="1648">
        <f t="shared" si="160"/>
        <v>9.4395498354197649</v>
      </c>
      <c r="BS127" s="521">
        <f t="shared" si="161"/>
        <v>0</v>
      </c>
      <c r="BT127" s="522">
        <f t="shared" si="162"/>
        <v>3.7743102100838721E-3</v>
      </c>
      <c r="BV127" s="1647"/>
      <c r="BW127" s="1671"/>
      <c r="CK127" s="1647"/>
      <c r="CL127" s="1671"/>
    </row>
    <row r="128" spans="4:90">
      <c r="S128" s="347"/>
      <c r="T128" s="347"/>
      <c r="U128" s="347"/>
      <c r="V128" s="347"/>
      <c r="W128" s="1630"/>
      <c r="X128" s="347"/>
      <c r="Y128" s="347"/>
      <c r="Z128" s="347"/>
      <c r="AA128" s="347"/>
      <c r="AB128" s="347"/>
      <c r="AC128" s="347"/>
      <c r="AD128" s="347"/>
      <c r="BH128" s="1649">
        <f t="shared" si="149"/>
        <v>0</v>
      </c>
      <c r="BI128" s="503">
        <v>100</v>
      </c>
      <c r="BJ128" s="1644">
        <f t="shared" si="152"/>
        <v>273.14999999999998</v>
      </c>
      <c r="BK128" s="1644">
        <f t="shared" si="153"/>
        <v>-17.025409380322781</v>
      </c>
      <c r="BL128" s="1644">
        <f t="shared" si="154"/>
        <v>23.440757653659677</v>
      </c>
      <c r="BM128" s="1644">
        <f t="shared" si="155"/>
        <v>0.61115357225163158</v>
      </c>
      <c r="BN128" s="1644">
        <f t="shared" si="156"/>
        <v>0.61115357225163158</v>
      </c>
      <c r="BO128" s="1644">
        <f t="shared" si="157"/>
        <v>3.7743102100838721E-3</v>
      </c>
      <c r="BP128" s="1644">
        <f t="shared" si="158"/>
        <v>1</v>
      </c>
      <c r="BQ128" s="1644">
        <f t="shared" si="159"/>
        <v>0.77865533865216163</v>
      </c>
      <c r="BR128" s="1648">
        <f t="shared" si="160"/>
        <v>9.4395498354197649</v>
      </c>
      <c r="BS128" s="521">
        <f t="shared" si="161"/>
        <v>0</v>
      </c>
      <c r="BT128" s="522">
        <f t="shared" si="162"/>
        <v>3.7743102100838721E-3</v>
      </c>
      <c r="BV128" s="1647"/>
      <c r="BW128" s="1671"/>
      <c r="CK128" s="1647"/>
      <c r="CL128" s="1671"/>
    </row>
    <row r="129" spans="19:90">
      <c r="S129" s="347"/>
      <c r="T129" s="347"/>
      <c r="U129" s="347"/>
      <c r="V129" s="347"/>
      <c r="W129" s="1630"/>
      <c r="X129" s="347"/>
      <c r="Y129" s="347"/>
      <c r="Z129" s="347"/>
      <c r="AA129" s="347"/>
      <c r="AB129" s="347"/>
      <c r="AC129" s="347"/>
      <c r="AD129" s="347"/>
      <c r="BH129" s="1649">
        <f t="shared" si="149"/>
        <v>0</v>
      </c>
      <c r="BI129" s="503">
        <v>100</v>
      </c>
      <c r="BJ129" s="1644">
        <f t="shared" si="152"/>
        <v>273.14999999999998</v>
      </c>
      <c r="BK129" s="1644">
        <f t="shared" si="153"/>
        <v>-17.025409380322781</v>
      </c>
      <c r="BL129" s="1644">
        <f t="shared" si="154"/>
        <v>23.440757653659677</v>
      </c>
      <c r="BM129" s="1644">
        <f t="shared" si="155"/>
        <v>0.61115357225163158</v>
      </c>
      <c r="BN129" s="1644">
        <f t="shared" si="156"/>
        <v>0.61115357225163158</v>
      </c>
      <c r="BO129" s="1644">
        <f t="shared" si="157"/>
        <v>3.7743102100838721E-3</v>
      </c>
      <c r="BP129" s="1644">
        <f t="shared" si="158"/>
        <v>1</v>
      </c>
      <c r="BQ129" s="1644">
        <f t="shared" si="159"/>
        <v>0.77865533865216163</v>
      </c>
      <c r="BR129" s="1648">
        <f t="shared" si="160"/>
        <v>9.4395498354197649</v>
      </c>
      <c r="BS129" s="521">
        <f t="shared" si="161"/>
        <v>0</v>
      </c>
      <c r="BT129" s="522">
        <f t="shared" si="162"/>
        <v>3.7743102100838721E-3</v>
      </c>
      <c r="BV129" s="1647"/>
      <c r="BW129" s="1671"/>
      <c r="CK129" s="1647"/>
      <c r="CL129" s="1671"/>
    </row>
    <row r="130" spans="19:90">
      <c r="S130" s="347"/>
      <c r="T130" s="347"/>
      <c r="U130" s="347"/>
      <c r="V130" s="347"/>
      <c r="W130" s="1630"/>
      <c r="X130" s="347"/>
      <c r="Y130" s="347"/>
      <c r="Z130" s="347"/>
      <c r="AA130" s="347"/>
      <c r="AB130" s="347"/>
      <c r="AC130" s="347"/>
      <c r="AD130" s="347"/>
      <c r="BH130" s="1649">
        <f t="shared" si="149"/>
        <v>0</v>
      </c>
      <c r="BI130" s="503">
        <v>100</v>
      </c>
      <c r="BJ130" s="1644">
        <f t="shared" si="152"/>
        <v>273.14999999999998</v>
      </c>
      <c r="BK130" s="1644">
        <f t="shared" si="153"/>
        <v>-17.025409380322781</v>
      </c>
      <c r="BL130" s="1644">
        <f t="shared" si="154"/>
        <v>23.440757653659677</v>
      </c>
      <c r="BM130" s="1644">
        <f t="shared" si="155"/>
        <v>0.61115357225163158</v>
      </c>
      <c r="BN130" s="1644">
        <f t="shared" si="156"/>
        <v>0.61115357225163158</v>
      </c>
      <c r="BO130" s="1644">
        <f t="shared" si="157"/>
        <v>3.7743102100838721E-3</v>
      </c>
      <c r="BP130" s="1644">
        <f t="shared" si="158"/>
        <v>1</v>
      </c>
      <c r="BQ130" s="1644">
        <f t="shared" si="159"/>
        <v>0.77865533865216163</v>
      </c>
      <c r="BR130" s="1648">
        <f t="shared" si="160"/>
        <v>9.4395498354197649</v>
      </c>
      <c r="BS130" s="521">
        <f t="shared" si="161"/>
        <v>0</v>
      </c>
      <c r="BT130" s="522">
        <f t="shared" si="162"/>
        <v>3.7743102100838721E-3</v>
      </c>
      <c r="BV130" s="1647"/>
      <c r="BW130" s="1671"/>
      <c r="CK130" s="1647"/>
      <c r="CL130" s="1671"/>
    </row>
    <row r="131" spans="19:90">
      <c r="S131" s="347"/>
      <c r="T131" s="347"/>
      <c r="U131" s="347"/>
      <c r="V131" s="347"/>
      <c r="W131" s="1630"/>
      <c r="X131" s="347"/>
      <c r="Y131" s="347"/>
      <c r="Z131" s="347"/>
      <c r="AA131" s="347"/>
      <c r="AB131" s="347"/>
      <c r="AC131" s="347"/>
      <c r="AD131" s="347"/>
      <c r="BH131" s="1649">
        <f t="shared" si="149"/>
        <v>0</v>
      </c>
      <c r="BI131" s="503">
        <v>100</v>
      </c>
      <c r="BJ131" s="1644">
        <f t="shared" si="152"/>
        <v>273.14999999999998</v>
      </c>
      <c r="BK131" s="1644">
        <f t="shared" si="153"/>
        <v>-17.025409380322781</v>
      </c>
      <c r="BL131" s="1644">
        <f t="shared" si="154"/>
        <v>23.440757653659677</v>
      </c>
      <c r="BM131" s="1644">
        <f t="shared" si="155"/>
        <v>0.61115357225163158</v>
      </c>
      <c r="BN131" s="1644">
        <f t="shared" si="156"/>
        <v>0.61115357225163158</v>
      </c>
      <c r="BO131" s="1644">
        <f t="shared" si="157"/>
        <v>3.7743102100838721E-3</v>
      </c>
      <c r="BP131" s="1644">
        <f t="shared" si="158"/>
        <v>1</v>
      </c>
      <c r="BQ131" s="1644">
        <f t="shared" si="159"/>
        <v>0.77865533865216163</v>
      </c>
      <c r="BR131" s="1648">
        <f t="shared" si="160"/>
        <v>9.4395498354197649</v>
      </c>
      <c r="BS131" s="521">
        <f t="shared" si="161"/>
        <v>0</v>
      </c>
      <c r="BT131" s="522">
        <f t="shared" si="162"/>
        <v>3.7743102100838721E-3</v>
      </c>
      <c r="BV131" s="1647"/>
      <c r="BW131" s="1671"/>
      <c r="CK131" s="1647"/>
      <c r="CL131" s="1671"/>
    </row>
    <row r="132" spans="19:90">
      <c r="S132" s="347"/>
      <c r="T132" s="347"/>
      <c r="U132" s="347"/>
      <c r="V132" s="347"/>
      <c r="W132" s="1630"/>
      <c r="X132" s="347"/>
      <c r="Y132" s="347"/>
      <c r="Z132" s="347"/>
      <c r="AA132" s="347"/>
      <c r="AB132" s="347"/>
      <c r="AC132" s="347"/>
      <c r="AD132" s="347"/>
      <c r="BH132" s="1649">
        <f t="shared" si="149"/>
        <v>0</v>
      </c>
      <c r="BI132" s="503">
        <v>100</v>
      </c>
      <c r="BJ132" s="1644">
        <f t="shared" si="152"/>
        <v>273.14999999999998</v>
      </c>
      <c r="BK132" s="1644">
        <f t="shared" si="153"/>
        <v>-17.025409380322781</v>
      </c>
      <c r="BL132" s="1644">
        <f t="shared" si="154"/>
        <v>23.440757653659677</v>
      </c>
      <c r="BM132" s="1644">
        <f t="shared" si="155"/>
        <v>0.61115357225163158</v>
      </c>
      <c r="BN132" s="1644">
        <f t="shared" si="156"/>
        <v>0.61115357225163158</v>
      </c>
      <c r="BO132" s="1644">
        <f t="shared" si="157"/>
        <v>3.7743102100838721E-3</v>
      </c>
      <c r="BP132" s="1644">
        <f t="shared" si="158"/>
        <v>1</v>
      </c>
      <c r="BQ132" s="1644">
        <f t="shared" si="159"/>
        <v>0.77865533865216163</v>
      </c>
      <c r="BR132" s="1648">
        <f t="shared" si="160"/>
        <v>9.4395498354197649</v>
      </c>
      <c r="BS132" s="521">
        <f t="shared" si="161"/>
        <v>0</v>
      </c>
      <c r="BT132" s="522">
        <f t="shared" si="162"/>
        <v>3.7743102100838721E-3</v>
      </c>
      <c r="BV132" s="1647"/>
      <c r="BW132" s="1671"/>
      <c r="CK132" s="1647"/>
      <c r="CL132" s="1671"/>
    </row>
    <row r="133" spans="19:90">
      <c r="S133" s="347"/>
      <c r="T133" s="347"/>
      <c r="U133" s="347"/>
      <c r="V133" s="347"/>
      <c r="W133" s="1630"/>
      <c r="X133" s="347"/>
      <c r="Y133" s="347"/>
      <c r="Z133" s="347"/>
      <c r="AA133" s="347"/>
      <c r="AB133" s="347"/>
      <c r="AC133" s="347"/>
      <c r="AD133" s="347"/>
      <c r="BH133" s="1649">
        <f t="shared" si="149"/>
        <v>0</v>
      </c>
      <c r="BI133" s="503">
        <v>100</v>
      </c>
      <c r="BJ133" s="1644">
        <f t="shared" si="152"/>
        <v>273.14999999999998</v>
      </c>
      <c r="BK133" s="1644">
        <f t="shared" si="153"/>
        <v>-17.025409380322781</v>
      </c>
      <c r="BL133" s="1644">
        <f t="shared" si="154"/>
        <v>23.440757653659677</v>
      </c>
      <c r="BM133" s="1644">
        <f t="shared" si="155"/>
        <v>0.61115357225163158</v>
      </c>
      <c r="BN133" s="1644">
        <f t="shared" si="156"/>
        <v>0.61115357225163158</v>
      </c>
      <c r="BO133" s="1644">
        <f t="shared" si="157"/>
        <v>3.7743102100838721E-3</v>
      </c>
      <c r="BP133" s="1644">
        <f t="shared" si="158"/>
        <v>1</v>
      </c>
      <c r="BQ133" s="1644">
        <f t="shared" si="159"/>
        <v>0.77865533865216163</v>
      </c>
      <c r="BR133" s="1648">
        <f t="shared" si="160"/>
        <v>9.4395498354197649</v>
      </c>
      <c r="BS133" s="521">
        <f t="shared" si="161"/>
        <v>0</v>
      </c>
      <c r="BT133" s="522">
        <f t="shared" si="162"/>
        <v>3.7743102100838721E-3</v>
      </c>
      <c r="BV133" s="1647"/>
      <c r="BW133" s="1671"/>
      <c r="CK133" s="1647"/>
      <c r="CL133" s="1671"/>
    </row>
    <row r="134" spans="19:90">
      <c r="S134" s="347"/>
      <c r="T134" s="347"/>
      <c r="U134" s="347"/>
      <c r="V134" s="347"/>
      <c r="W134" s="1630"/>
      <c r="X134" s="347"/>
      <c r="Y134" s="347"/>
      <c r="Z134" s="347"/>
      <c r="AA134" s="347"/>
      <c r="AB134" s="347"/>
      <c r="AC134" s="347"/>
      <c r="AD134" s="347"/>
      <c r="BH134" s="1649">
        <f t="shared" si="149"/>
        <v>0</v>
      </c>
      <c r="BI134" s="503">
        <v>100</v>
      </c>
      <c r="BJ134" s="1644">
        <f t="shared" si="152"/>
        <v>273.14999999999998</v>
      </c>
      <c r="BK134" s="1644">
        <f t="shared" si="153"/>
        <v>-17.025409380322781</v>
      </c>
      <c r="BL134" s="1644">
        <f t="shared" si="154"/>
        <v>23.440757653659677</v>
      </c>
      <c r="BM134" s="1644">
        <f t="shared" si="155"/>
        <v>0.61115357225163158</v>
      </c>
      <c r="BN134" s="1644">
        <f t="shared" si="156"/>
        <v>0.61115357225163158</v>
      </c>
      <c r="BO134" s="1644">
        <f t="shared" si="157"/>
        <v>3.7743102100838721E-3</v>
      </c>
      <c r="BP134" s="1644">
        <f t="shared" si="158"/>
        <v>1</v>
      </c>
      <c r="BQ134" s="1644">
        <f t="shared" si="159"/>
        <v>0.77865533865216163</v>
      </c>
      <c r="BR134" s="1648">
        <f t="shared" si="160"/>
        <v>9.4395498354197649</v>
      </c>
      <c r="BS134" s="521">
        <f t="shared" si="161"/>
        <v>0</v>
      </c>
      <c r="BT134" s="522">
        <f t="shared" si="162"/>
        <v>3.7743102100838721E-3</v>
      </c>
      <c r="BV134" s="1647"/>
      <c r="BW134" s="1671"/>
      <c r="CK134" s="1647"/>
      <c r="CL134" s="1671"/>
    </row>
    <row r="135" spans="19:90">
      <c r="S135" s="347"/>
      <c r="T135" s="347"/>
      <c r="U135" s="347"/>
      <c r="V135" s="347"/>
      <c r="W135" s="1630"/>
      <c r="X135" s="347"/>
      <c r="Y135" s="347"/>
      <c r="Z135" s="347"/>
      <c r="AA135" s="347"/>
      <c r="AB135" s="347"/>
      <c r="AC135" s="347"/>
      <c r="AD135" s="347"/>
      <c r="BH135" s="1649">
        <f t="shared" si="149"/>
        <v>0</v>
      </c>
      <c r="BI135" s="503">
        <v>100</v>
      </c>
      <c r="BJ135" s="1644">
        <f t="shared" si="152"/>
        <v>273.14999999999998</v>
      </c>
      <c r="BK135" s="1644">
        <f t="shared" si="153"/>
        <v>-17.025409380322781</v>
      </c>
      <c r="BL135" s="1644">
        <f t="shared" si="154"/>
        <v>23.440757653659677</v>
      </c>
      <c r="BM135" s="1644">
        <f t="shared" si="155"/>
        <v>0.61115357225163158</v>
      </c>
      <c r="BN135" s="1644">
        <f t="shared" si="156"/>
        <v>0.61115357225163158</v>
      </c>
      <c r="BO135" s="1644">
        <f t="shared" si="157"/>
        <v>3.7743102100838721E-3</v>
      </c>
      <c r="BP135" s="1644">
        <f t="shared" si="158"/>
        <v>1</v>
      </c>
      <c r="BQ135" s="1644">
        <f t="shared" si="159"/>
        <v>0.77865533865216163</v>
      </c>
      <c r="BR135" s="1648">
        <f t="shared" si="160"/>
        <v>9.4395498354197649</v>
      </c>
      <c r="BS135" s="521">
        <f t="shared" si="161"/>
        <v>0</v>
      </c>
      <c r="BT135" s="522">
        <f t="shared" si="162"/>
        <v>3.7743102100838721E-3</v>
      </c>
      <c r="BV135" s="1647"/>
      <c r="BW135" s="1671"/>
      <c r="CK135" s="1647"/>
      <c r="CL135" s="1671"/>
    </row>
    <row r="136" spans="19:90">
      <c r="S136" s="347"/>
      <c r="T136" s="347"/>
      <c r="U136" s="347"/>
      <c r="V136" s="347"/>
      <c r="W136" s="1630"/>
      <c r="X136" s="347"/>
      <c r="Y136" s="347"/>
      <c r="Z136" s="347"/>
      <c r="AA136" s="347"/>
      <c r="AB136" s="347"/>
      <c r="AC136" s="347"/>
      <c r="AD136" s="347"/>
      <c r="BH136" s="1649">
        <f t="shared" si="149"/>
        <v>0</v>
      </c>
      <c r="BI136" s="503">
        <v>100</v>
      </c>
      <c r="BJ136" s="1644">
        <f t="shared" si="152"/>
        <v>273.14999999999998</v>
      </c>
      <c r="BK136" s="1644">
        <f t="shared" si="153"/>
        <v>-17.025409380322781</v>
      </c>
      <c r="BL136" s="1644">
        <f t="shared" si="154"/>
        <v>23.440757653659677</v>
      </c>
      <c r="BM136" s="1644">
        <f t="shared" si="155"/>
        <v>0.61115357225163158</v>
      </c>
      <c r="BN136" s="1644">
        <f t="shared" si="156"/>
        <v>0.61115357225163158</v>
      </c>
      <c r="BO136" s="1644">
        <f t="shared" si="157"/>
        <v>3.7743102100838721E-3</v>
      </c>
      <c r="BP136" s="1644">
        <f t="shared" si="158"/>
        <v>1</v>
      </c>
      <c r="BQ136" s="1644">
        <f t="shared" si="159"/>
        <v>0.77865533865216163</v>
      </c>
      <c r="BR136" s="1648">
        <f t="shared" si="160"/>
        <v>9.4395498354197649</v>
      </c>
      <c r="BS136" s="521">
        <f t="shared" si="161"/>
        <v>0</v>
      </c>
      <c r="BT136" s="522">
        <f t="shared" si="162"/>
        <v>3.7743102100838721E-3</v>
      </c>
      <c r="BV136" s="1647"/>
      <c r="BW136" s="1671"/>
      <c r="CK136" s="1647"/>
      <c r="CL136" s="1671"/>
    </row>
    <row r="137" spans="19:90">
      <c r="S137" s="347"/>
      <c r="T137" s="347"/>
      <c r="U137" s="347"/>
      <c r="V137" s="347"/>
      <c r="W137" s="1630"/>
      <c r="X137" s="347"/>
      <c r="Y137" s="347"/>
      <c r="Z137" s="347"/>
      <c r="AA137" s="347"/>
      <c r="AB137" s="347"/>
      <c r="AC137" s="347"/>
      <c r="AD137" s="347"/>
      <c r="BH137" s="1649">
        <f t="shared" si="149"/>
        <v>0</v>
      </c>
      <c r="BI137" s="503">
        <v>100</v>
      </c>
      <c r="BJ137" s="1644">
        <f t="shared" si="152"/>
        <v>273.14999999999998</v>
      </c>
      <c r="BK137" s="1644">
        <f t="shared" si="153"/>
        <v>-17.025409380322781</v>
      </c>
      <c r="BL137" s="1644">
        <f t="shared" si="154"/>
        <v>23.440757653659677</v>
      </c>
      <c r="BM137" s="1644">
        <f t="shared" si="155"/>
        <v>0.61115357225163158</v>
      </c>
      <c r="BN137" s="1644">
        <f t="shared" si="156"/>
        <v>0.61115357225163158</v>
      </c>
      <c r="BO137" s="1644">
        <f t="shared" si="157"/>
        <v>3.7743102100838721E-3</v>
      </c>
      <c r="BP137" s="1644">
        <f t="shared" si="158"/>
        <v>1</v>
      </c>
      <c r="BQ137" s="1644">
        <f t="shared" si="159"/>
        <v>0.77865533865216163</v>
      </c>
      <c r="BR137" s="1648">
        <f t="shared" si="160"/>
        <v>9.4395498354197649</v>
      </c>
      <c r="BS137" s="521">
        <f t="shared" si="161"/>
        <v>0</v>
      </c>
      <c r="BT137" s="522">
        <f t="shared" si="162"/>
        <v>3.7743102100838721E-3</v>
      </c>
      <c r="BV137" s="1647"/>
      <c r="BW137" s="1671"/>
      <c r="CK137" s="1647"/>
      <c r="CL137" s="1671"/>
    </row>
    <row r="138" spans="19:90">
      <c r="S138" s="347"/>
      <c r="T138" s="347"/>
      <c r="U138" s="347"/>
      <c r="V138" s="347"/>
      <c r="W138" s="1630"/>
      <c r="X138" s="347"/>
      <c r="Y138" s="347"/>
      <c r="Z138" s="347"/>
      <c r="AA138" s="347"/>
      <c r="AB138" s="347"/>
      <c r="AC138" s="347"/>
      <c r="AD138" s="347"/>
      <c r="BH138" s="1649">
        <f t="shared" si="149"/>
        <v>0</v>
      </c>
      <c r="BI138" s="503">
        <v>100</v>
      </c>
      <c r="BJ138" s="1644">
        <f t="shared" ref="BJ138:BJ168" si="167">273.15+BH138</f>
        <v>273.14999999999998</v>
      </c>
      <c r="BK138" s="1644">
        <f t="shared" ref="BK138:BK169" si="168">IF(BJ138&lt;273.16,-5674.5359/BJ138+6.3925247-0.009677843*BJ138,-5800.2206/BJ138+1.3914993-0.048640239*BJ138)</f>
        <v>-17.025409380322781</v>
      </c>
      <c r="BL138" s="1644">
        <f t="shared" ref="BL138:BL168" si="169">IF(BJ138&lt;273.16,0.00000062215701*POWER(BJ138,2)+0.0000000020747825*POWER(BJ138,3)-0.000000000000948402*POWER(BJ138,4)+4.1635019*LN(BJ138),0.000041764768*POWER(BJ138,2)-0.000000014452093*POWER(BJ138,3)+6.5459673*LN(BJ138))</f>
        <v>23.440757653659677</v>
      </c>
      <c r="BM138" s="1644">
        <f t="shared" ref="BM138:BM169" si="170">EXP(BK138+BL138)/1000</f>
        <v>0.61115357225163158</v>
      </c>
      <c r="BN138" s="1644">
        <f t="shared" ref="BN138:BN169" si="171">BI138/100*BM138</f>
        <v>0.61115357225163158</v>
      </c>
      <c r="BO138" s="1644">
        <f t="shared" ref="BO138:BO168" si="172">0.62198*(BM138/($G$3-BM138))</f>
        <v>3.7743102100838721E-3</v>
      </c>
      <c r="BP138" s="1644">
        <f t="shared" ref="BP138:BP169" si="173">BT138/BO138</f>
        <v>1</v>
      </c>
      <c r="BQ138" s="1644">
        <f t="shared" ref="BQ138:BQ168" si="174">0.2871*(BH138+273.15)*(1+1.6078*BT138)/$G$3</f>
        <v>0.77865533865216163</v>
      </c>
      <c r="BR138" s="1648">
        <f t="shared" ref="BR138:BR168" si="175">IF(BH138+BI138&gt;0,(1.006*BH138+BT138*(2501+1.805*BH138)),0)</f>
        <v>9.4395498354197649</v>
      </c>
      <c r="BS138" s="521">
        <f t="shared" ref="BS138:BS168" si="176">IF(BH138+BI138&gt;0,BH138,0)</f>
        <v>0</v>
      </c>
      <c r="BT138" s="522">
        <f t="shared" ref="BT138:BT168" si="177">IF(BH138+BI138&gt;0,0.62198*(BN138/($G$3-BN138)),0)</f>
        <v>3.7743102100838721E-3</v>
      </c>
      <c r="BV138" s="1647"/>
      <c r="BW138" s="1671"/>
      <c r="CK138" s="1647"/>
      <c r="CL138" s="1671"/>
    </row>
    <row r="139" spans="19:90">
      <c r="S139" s="347"/>
      <c r="T139" s="347"/>
      <c r="U139" s="347"/>
      <c r="V139" s="347"/>
      <c r="W139" s="1630"/>
      <c r="X139" s="347"/>
      <c r="Y139" s="347"/>
      <c r="Z139" s="347"/>
      <c r="AA139" s="347"/>
      <c r="AB139" s="347"/>
      <c r="AC139" s="347"/>
      <c r="AD139" s="347"/>
      <c r="BH139" s="1649">
        <f t="shared" si="149"/>
        <v>0</v>
      </c>
      <c r="BI139" s="503">
        <v>100</v>
      </c>
      <c r="BJ139" s="1644">
        <f t="shared" si="167"/>
        <v>273.14999999999998</v>
      </c>
      <c r="BK139" s="1644">
        <f t="shared" si="168"/>
        <v>-17.025409380322781</v>
      </c>
      <c r="BL139" s="1644">
        <f t="shared" si="169"/>
        <v>23.440757653659677</v>
      </c>
      <c r="BM139" s="1644">
        <f t="shared" si="170"/>
        <v>0.61115357225163158</v>
      </c>
      <c r="BN139" s="1644">
        <f t="shared" si="171"/>
        <v>0.61115357225163158</v>
      </c>
      <c r="BO139" s="1644">
        <f t="shared" si="172"/>
        <v>3.7743102100838721E-3</v>
      </c>
      <c r="BP139" s="1644">
        <f t="shared" si="173"/>
        <v>1</v>
      </c>
      <c r="BQ139" s="1644">
        <f t="shared" si="174"/>
        <v>0.77865533865216163</v>
      </c>
      <c r="BR139" s="1648">
        <f t="shared" si="175"/>
        <v>9.4395498354197649</v>
      </c>
      <c r="BS139" s="521">
        <f t="shared" si="176"/>
        <v>0</v>
      </c>
      <c r="BT139" s="522">
        <f t="shared" si="177"/>
        <v>3.7743102100838721E-3</v>
      </c>
      <c r="BV139" s="1647"/>
      <c r="BW139" s="1671"/>
      <c r="CK139" s="1647"/>
      <c r="CL139" s="1671"/>
    </row>
    <row r="140" spans="19:90">
      <c r="S140" s="347"/>
      <c r="T140" s="347"/>
      <c r="U140" s="347"/>
      <c r="V140" s="347"/>
      <c r="W140" s="1630"/>
      <c r="X140" s="347"/>
      <c r="Y140" s="347"/>
      <c r="Z140" s="347"/>
      <c r="AA140" s="347"/>
      <c r="AB140" s="347"/>
      <c r="AC140" s="347"/>
      <c r="AD140" s="347"/>
      <c r="BH140" s="1649">
        <f t="shared" ref="BH140:BH167" si="178">IF(BH139+0.5&gt;=$D$11,$D$11,BH139+0.5)</f>
        <v>0</v>
      </c>
      <c r="BI140" s="503">
        <v>100</v>
      </c>
      <c r="BJ140" s="1644">
        <f t="shared" si="167"/>
        <v>273.14999999999998</v>
      </c>
      <c r="BK140" s="1644">
        <f t="shared" si="168"/>
        <v>-17.025409380322781</v>
      </c>
      <c r="BL140" s="1644">
        <f t="shared" si="169"/>
        <v>23.440757653659677</v>
      </c>
      <c r="BM140" s="1644">
        <f t="shared" si="170"/>
        <v>0.61115357225163158</v>
      </c>
      <c r="BN140" s="1644">
        <f t="shared" si="171"/>
        <v>0.61115357225163158</v>
      </c>
      <c r="BO140" s="1644">
        <f t="shared" si="172"/>
        <v>3.7743102100838721E-3</v>
      </c>
      <c r="BP140" s="1644">
        <f t="shared" si="173"/>
        <v>1</v>
      </c>
      <c r="BQ140" s="1644">
        <f t="shared" si="174"/>
        <v>0.77865533865216163</v>
      </c>
      <c r="BR140" s="1648">
        <f t="shared" si="175"/>
        <v>9.4395498354197649</v>
      </c>
      <c r="BS140" s="521">
        <f t="shared" si="176"/>
        <v>0</v>
      </c>
      <c r="BT140" s="522">
        <f t="shared" si="177"/>
        <v>3.7743102100838721E-3</v>
      </c>
      <c r="BV140" s="1647"/>
      <c r="BW140" s="1671"/>
      <c r="CK140" s="1647"/>
      <c r="CL140" s="1671"/>
    </row>
    <row r="141" spans="19:90">
      <c r="S141" s="347"/>
      <c r="T141" s="347"/>
      <c r="U141" s="347"/>
      <c r="V141" s="347"/>
      <c r="W141" s="1630"/>
      <c r="X141" s="347"/>
      <c r="Y141" s="347"/>
      <c r="Z141" s="347"/>
      <c r="AA141" s="347"/>
      <c r="AB141" s="347"/>
      <c r="AC141" s="347"/>
      <c r="AD141" s="347"/>
      <c r="BH141" s="1649">
        <f t="shared" si="178"/>
        <v>0</v>
      </c>
      <c r="BI141" s="503">
        <v>100</v>
      </c>
      <c r="BJ141" s="1644">
        <f t="shared" si="167"/>
        <v>273.14999999999998</v>
      </c>
      <c r="BK141" s="1644">
        <f t="shared" si="168"/>
        <v>-17.025409380322781</v>
      </c>
      <c r="BL141" s="1644">
        <f t="shared" si="169"/>
        <v>23.440757653659677</v>
      </c>
      <c r="BM141" s="1644">
        <f t="shared" si="170"/>
        <v>0.61115357225163158</v>
      </c>
      <c r="BN141" s="1644">
        <f t="shared" si="171"/>
        <v>0.61115357225163158</v>
      </c>
      <c r="BO141" s="1644">
        <f t="shared" si="172"/>
        <v>3.7743102100838721E-3</v>
      </c>
      <c r="BP141" s="1644">
        <f t="shared" si="173"/>
        <v>1</v>
      </c>
      <c r="BQ141" s="1644">
        <f t="shared" si="174"/>
        <v>0.77865533865216163</v>
      </c>
      <c r="BR141" s="1648">
        <f t="shared" si="175"/>
        <v>9.4395498354197649</v>
      </c>
      <c r="BS141" s="521">
        <f t="shared" si="176"/>
        <v>0</v>
      </c>
      <c r="BT141" s="522">
        <f t="shared" si="177"/>
        <v>3.7743102100838721E-3</v>
      </c>
      <c r="BV141" s="1647"/>
      <c r="BW141" s="1671"/>
      <c r="CK141" s="1647"/>
      <c r="CL141" s="1671"/>
    </row>
    <row r="142" spans="19:90">
      <c r="S142" s="347"/>
      <c r="T142" s="347"/>
      <c r="U142" s="347"/>
      <c r="V142" s="347"/>
      <c r="W142" s="1630"/>
      <c r="X142" s="347"/>
      <c r="Y142" s="347"/>
      <c r="Z142" s="347"/>
      <c r="AA142" s="347"/>
      <c r="AB142" s="347"/>
      <c r="AC142" s="347"/>
      <c r="AD142" s="347"/>
      <c r="BH142" s="1649">
        <f t="shared" si="178"/>
        <v>0</v>
      </c>
      <c r="BI142" s="503">
        <v>100</v>
      </c>
      <c r="BJ142" s="1644">
        <f t="shared" si="167"/>
        <v>273.14999999999998</v>
      </c>
      <c r="BK142" s="1644">
        <f t="shared" si="168"/>
        <v>-17.025409380322781</v>
      </c>
      <c r="BL142" s="1644">
        <f t="shared" si="169"/>
        <v>23.440757653659677</v>
      </c>
      <c r="BM142" s="1644">
        <f t="shared" si="170"/>
        <v>0.61115357225163158</v>
      </c>
      <c r="BN142" s="1644">
        <f t="shared" si="171"/>
        <v>0.61115357225163158</v>
      </c>
      <c r="BO142" s="1644">
        <f t="shared" si="172"/>
        <v>3.7743102100838721E-3</v>
      </c>
      <c r="BP142" s="1644">
        <f t="shared" si="173"/>
        <v>1</v>
      </c>
      <c r="BQ142" s="1644">
        <f t="shared" si="174"/>
        <v>0.77865533865216163</v>
      </c>
      <c r="BR142" s="1648">
        <f t="shared" si="175"/>
        <v>9.4395498354197649</v>
      </c>
      <c r="BS142" s="521">
        <f t="shared" si="176"/>
        <v>0</v>
      </c>
      <c r="BT142" s="522">
        <f t="shared" si="177"/>
        <v>3.7743102100838721E-3</v>
      </c>
      <c r="BV142" s="1647"/>
      <c r="BW142" s="1671"/>
      <c r="CK142" s="1647"/>
      <c r="CL142" s="1671"/>
    </row>
    <row r="143" spans="19:90">
      <c r="S143" s="347"/>
      <c r="T143" s="347"/>
      <c r="U143" s="347"/>
      <c r="V143" s="347"/>
      <c r="W143" s="1630"/>
      <c r="X143" s="347"/>
      <c r="Y143" s="347"/>
      <c r="Z143" s="347"/>
      <c r="AA143" s="347"/>
      <c r="AB143" s="347"/>
      <c r="AC143" s="347"/>
      <c r="AD143" s="347"/>
      <c r="BH143" s="1649">
        <f t="shared" si="178"/>
        <v>0</v>
      </c>
      <c r="BI143" s="503">
        <v>100</v>
      </c>
      <c r="BJ143" s="1644">
        <f t="shared" si="167"/>
        <v>273.14999999999998</v>
      </c>
      <c r="BK143" s="1644">
        <f t="shared" si="168"/>
        <v>-17.025409380322781</v>
      </c>
      <c r="BL143" s="1644">
        <f t="shared" si="169"/>
        <v>23.440757653659677</v>
      </c>
      <c r="BM143" s="1644">
        <f t="shared" si="170"/>
        <v>0.61115357225163158</v>
      </c>
      <c r="BN143" s="1644">
        <f t="shared" si="171"/>
        <v>0.61115357225163158</v>
      </c>
      <c r="BO143" s="1644">
        <f t="shared" si="172"/>
        <v>3.7743102100838721E-3</v>
      </c>
      <c r="BP143" s="1644">
        <f t="shared" si="173"/>
        <v>1</v>
      </c>
      <c r="BQ143" s="1644">
        <f t="shared" si="174"/>
        <v>0.77865533865216163</v>
      </c>
      <c r="BR143" s="1648">
        <f t="shared" si="175"/>
        <v>9.4395498354197649</v>
      </c>
      <c r="BS143" s="521">
        <f t="shared" si="176"/>
        <v>0</v>
      </c>
      <c r="BT143" s="522">
        <f t="shared" si="177"/>
        <v>3.7743102100838721E-3</v>
      </c>
      <c r="BV143" s="1647"/>
      <c r="BW143" s="1671"/>
      <c r="CK143" s="1647"/>
      <c r="CL143" s="1671"/>
    </row>
    <row r="144" spans="19:90">
      <c r="S144" s="347"/>
      <c r="T144" s="347"/>
      <c r="U144" s="347"/>
      <c r="V144" s="347"/>
      <c r="W144" s="1630"/>
      <c r="X144" s="347"/>
      <c r="Y144" s="347"/>
      <c r="Z144" s="347"/>
      <c r="AA144" s="347"/>
      <c r="AB144" s="347"/>
      <c r="AC144" s="347"/>
      <c r="AD144" s="347"/>
      <c r="BH144" s="1649">
        <f t="shared" si="178"/>
        <v>0</v>
      </c>
      <c r="BI144" s="503">
        <v>100</v>
      </c>
      <c r="BJ144" s="1644">
        <f t="shared" si="167"/>
        <v>273.14999999999998</v>
      </c>
      <c r="BK144" s="1644">
        <f t="shared" si="168"/>
        <v>-17.025409380322781</v>
      </c>
      <c r="BL144" s="1644">
        <f t="shared" si="169"/>
        <v>23.440757653659677</v>
      </c>
      <c r="BM144" s="1644">
        <f t="shared" si="170"/>
        <v>0.61115357225163158</v>
      </c>
      <c r="BN144" s="1644">
        <f t="shared" si="171"/>
        <v>0.61115357225163158</v>
      </c>
      <c r="BO144" s="1644">
        <f t="shared" si="172"/>
        <v>3.7743102100838721E-3</v>
      </c>
      <c r="BP144" s="1644">
        <f t="shared" si="173"/>
        <v>1</v>
      </c>
      <c r="BQ144" s="1644">
        <f t="shared" si="174"/>
        <v>0.77865533865216163</v>
      </c>
      <c r="BR144" s="1648">
        <f t="shared" si="175"/>
        <v>9.4395498354197649</v>
      </c>
      <c r="BS144" s="521">
        <f t="shared" si="176"/>
        <v>0</v>
      </c>
      <c r="BT144" s="522">
        <f t="shared" si="177"/>
        <v>3.7743102100838721E-3</v>
      </c>
      <c r="BV144" s="1647"/>
      <c r="BW144" s="1671"/>
      <c r="CK144" s="1647"/>
      <c r="CL144" s="1671"/>
    </row>
    <row r="145" spans="19:90">
      <c r="S145" s="347"/>
      <c r="T145" s="347"/>
      <c r="U145" s="347"/>
      <c r="V145" s="347"/>
      <c r="W145" s="1630"/>
      <c r="X145" s="347"/>
      <c r="Y145" s="347"/>
      <c r="Z145" s="347"/>
      <c r="AA145" s="347"/>
      <c r="AB145" s="347"/>
      <c r="AC145" s="347"/>
      <c r="AD145" s="347"/>
      <c r="BH145" s="1649">
        <f t="shared" si="178"/>
        <v>0</v>
      </c>
      <c r="BI145" s="503">
        <v>100</v>
      </c>
      <c r="BJ145" s="1644">
        <f t="shared" si="167"/>
        <v>273.14999999999998</v>
      </c>
      <c r="BK145" s="1644">
        <f t="shared" si="168"/>
        <v>-17.025409380322781</v>
      </c>
      <c r="BL145" s="1644">
        <f t="shared" si="169"/>
        <v>23.440757653659677</v>
      </c>
      <c r="BM145" s="1644">
        <f t="shared" si="170"/>
        <v>0.61115357225163158</v>
      </c>
      <c r="BN145" s="1644">
        <f t="shared" si="171"/>
        <v>0.61115357225163158</v>
      </c>
      <c r="BO145" s="1644">
        <f t="shared" si="172"/>
        <v>3.7743102100838721E-3</v>
      </c>
      <c r="BP145" s="1644">
        <f t="shared" si="173"/>
        <v>1</v>
      </c>
      <c r="BQ145" s="1644">
        <f t="shared" si="174"/>
        <v>0.77865533865216163</v>
      </c>
      <c r="BR145" s="1648">
        <f t="shared" si="175"/>
        <v>9.4395498354197649</v>
      </c>
      <c r="BS145" s="521">
        <f t="shared" si="176"/>
        <v>0</v>
      </c>
      <c r="BT145" s="522">
        <f t="shared" si="177"/>
        <v>3.7743102100838721E-3</v>
      </c>
      <c r="BV145" s="1647"/>
      <c r="BW145" s="1671"/>
      <c r="CK145" s="1647"/>
      <c r="CL145" s="1671"/>
    </row>
    <row r="146" spans="19:90">
      <c r="S146" s="347"/>
      <c r="T146" s="347"/>
      <c r="U146" s="347"/>
      <c r="V146" s="347"/>
      <c r="W146" s="1630"/>
      <c r="X146" s="347"/>
      <c r="Y146" s="347"/>
      <c r="Z146" s="347"/>
      <c r="AA146" s="347"/>
      <c r="AB146" s="347"/>
      <c r="AC146" s="347"/>
      <c r="AD146" s="347"/>
      <c r="BH146" s="1649">
        <f t="shared" si="178"/>
        <v>0</v>
      </c>
      <c r="BI146" s="503">
        <v>100</v>
      </c>
      <c r="BJ146" s="1644">
        <f t="shared" si="167"/>
        <v>273.14999999999998</v>
      </c>
      <c r="BK146" s="1644">
        <f t="shared" si="168"/>
        <v>-17.025409380322781</v>
      </c>
      <c r="BL146" s="1644">
        <f t="shared" si="169"/>
        <v>23.440757653659677</v>
      </c>
      <c r="BM146" s="1644">
        <f t="shared" si="170"/>
        <v>0.61115357225163158</v>
      </c>
      <c r="BN146" s="1644">
        <f t="shared" si="171"/>
        <v>0.61115357225163158</v>
      </c>
      <c r="BO146" s="1644">
        <f t="shared" si="172"/>
        <v>3.7743102100838721E-3</v>
      </c>
      <c r="BP146" s="1644">
        <f t="shared" si="173"/>
        <v>1</v>
      </c>
      <c r="BQ146" s="1644">
        <f t="shared" si="174"/>
        <v>0.77865533865216163</v>
      </c>
      <c r="BR146" s="1648">
        <f t="shared" si="175"/>
        <v>9.4395498354197649</v>
      </c>
      <c r="BS146" s="521">
        <f t="shared" si="176"/>
        <v>0</v>
      </c>
      <c r="BT146" s="522">
        <f t="shared" si="177"/>
        <v>3.7743102100838721E-3</v>
      </c>
      <c r="BV146" s="1647"/>
      <c r="BW146" s="1671"/>
      <c r="CK146" s="1647"/>
      <c r="CL146" s="1671"/>
    </row>
    <row r="147" spans="19:90">
      <c r="S147" s="347"/>
      <c r="T147" s="347"/>
      <c r="U147" s="347"/>
      <c r="V147" s="347"/>
      <c r="W147" s="1630"/>
      <c r="X147" s="347"/>
      <c r="Y147" s="347"/>
      <c r="Z147" s="347"/>
      <c r="AA147" s="347"/>
      <c r="AB147" s="347"/>
      <c r="AC147" s="347"/>
      <c r="AD147" s="347"/>
      <c r="BH147" s="1649">
        <f t="shared" si="178"/>
        <v>0</v>
      </c>
      <c r="BI147" s="503">
        <v>100</v>
      </c>
      <c r="BJ147" s="1644">
        <f t="shared" si="167"/>
        <v>273.14999999999998</v>
      </c>
      <c r="BK147" s="1644">
        <f t="shared" si="168"/>
        <v>-17.025409380322781</v>
      </c>
      <c r="BL147" s="1644">
        <f t="shared" si="169"/>
        <v>23.440757653659677</v>
      </c>
      <c r="BM147" s="1644">
        <f t="shared" si="170"/>
        <v>0.61115357225163158</v>
      </c>
      <c r="BN147" s="1644">
        <f t="shared" si="171"/>
        <v>0.61115357225163158</v>
      </c>
      <c r="BO147" s="1644">
        <f t="shared" si="172"/>
        <v>3.7743102100838721E-3</v>
      </c>
      <c r="BP147" s="1644">
        <f t="shared" si="173"/>
        <v>1</v>
      </c>
      <c r="BQ147" s="1644">
        <f t="shared" si="174"/>
        <v>0.77865533865216163</v>
      </c>
      <c r="BR147" s="1648">
        <f t="shared" si="175"/>
        <v>9.4395498354197649</v>
      </c>
      <c r="BS147" s="521">
        <f t="shared" si="176"/>
        <v>0</v>
      </c>
      <c r="BT147" s="522">
        <f t="shared" si="177"/>
        <v>3.7743102100838721E-3</v>
      </c>
      <c r="BV147" s="1647"/>
      <c r="BW147" s="1671"/>
      <c r="CK147" s="1647"/>
      <c r="CL147" s="1671"/>
    </row>
    <row r="148" spans="19:90">
      <c r="S148" s="347"/>
      <c r="T148" s="347"/>
      <c r="U148" s="347"/>
      <c r="V148" s="347"/>
      <c r="W148" s="1630"/>
      <c r="X148" s="347"/>
      <c r="Y148" s="347"/>
      <c r="Z148" s="347"/>
      <c r="AA148" s="347"/>
      <c r="AB148" s="347"/>
      <c r="AC148" s="347"/>
      <c r="AD148" s="347"/>
      <c r="BH148" s="1649">
        <f t="shared" si="178"/>
        <v>0</v>
      </c>
      <c r="BI148" s="503">
        <v>100</v>
      </c>
      <c r="BJ148" s="1644">
        <f t="shared" si="167"/>
        <v>273.14999999999998</v>
      </c>
      <c r="BK148" s="1644">
        <f t="shared" si="168"/>
        <v>-17.025409380322781</v>
      </c>
      <c r="BL148" s="1644">
        <f t="shared" si="169"/>
        <v>23.440757653659677</v>
      </c>
      <c r="BM148" s="1644">
        <f t="shared" si="170"/>
        <v>0.61115357225163158</v>
      </c>
      <c r="BN148" s="1644">
        <f t="shared" si="171"/>
        <v>0.61115357225163158</v>
      </c>
      <c r="BO148" s="1644">
        <f t="shared" si="172"/>
        <v>3.7743102100838721E-3</v>
      </c>
      <c r="BP148" s="1644">
        <f t="shared" si="173"/>
        <v>1</v>
      </c>
      <c r="BQ148" s="1644">
        <f t="shared" si="174"/>
        <v>0.77865533865216163</v>
      </c>
      <c r="BR148" s="1648">
        <f t="shared" si="175"/>
        <v>9.4395498354197649</v>
      </c>
      <c r="BS148" s="521">
        <f t="shared" si="176"/>
        <v>0</v>
      </c>
      <c r="BT148" s="522">
        <f t="shared" si="177"/>
        <v>3.7743102100838721E-3</v>
      </c>
      <c r="BV148" s="1647"/>
      <c r="BW148" s="1671"/>
      <c r="CK148" s="1647"/>
      <c r="CL148" s="1671"/>
    </row>
    <row r="149" spans="19:90">
      <c r="S149" s="347"/>
      <c r="T149" s="347"/>
      <c r="U149" s="347"/>
      <c r="V149" s="347"/>
      <c r="W149" s="1630"/>
      <c r="X149" s="347"/>
      <c r="Y149" s="347"/>
      <c r="Z149" s="347"/>
      <c r="AA149" s="347"/>
      <c r="AB149" s="347"/>
      <c r="AC149" s="347"/>
      <c r="AD149" s="347"/>
      <c r="BH149" s="1649">
        <f t="shared" si="178"/>
        <v>0</v>
      </c>
      <c r="BI149" s="503">
        <v>100</v>
      </c>
      <c r="BJ149" s="1644">
        <f t="shared" si="167"/>
        <v>273.14999999999998</v>
      </c>
      <c r="BK149" s="1644">
        <f t="shared" si="168"/>
        <v>-17.025409380322781</v>
      </c>
      <c r="BL149" s="1644">
        <f t="shared" si="169"/>
        <v>23.440757653659677</v>
      </c>
      <c r="BM149" s="1644">
        <f t="shared" si="170"/>
        <v>0.61115357225163158</v>
      </c>
      <c r="BN149" s="1644">
        <f t="shared" si="171"/>
        <v>0.61115357225163158</v>
      </c>
      <c r="BO149" s="1644">
        <f t="shared" si="172"/>
        <v>3.7743102100838721E-3</v>
      </c>
      <c r="BP149" s="1644">
        <f t="shared" si="173"/>
        <v>1</v>
      </c>
      <c r="BQ149" s="1644">
        <f t="shared" si="174"/>
        <v>0.77865533865216163</v>
      </c>
      <c r="BR149" s="1648">
        <f t="shared" si="175"/>
        <v>9.4395498354197649</v>
      </c>
      <c r="BS149" s="521">
        <f t="shared" si="176"/>
        <v>0</v>
      </c>
      <c r="BT149" s="522">
        <f t="shared" si="177"/>
        <v>3.7743102100838721E-3</v>
      </c>
      <c r="BV149" s="1647"/>
      <c r="BW149" s="1671"/>
      <c r="CK149" s="1647"/>
      <c r="CL149" s="1671"/>
    </row>
    <row r="150" spans="19:90">
      <c r="S150" s="347"/>
      <c r="T150" s="347"/>
      <c r="U150" s="347"/>
      <c r="V150" s="347"/>
      <c r="W150" s="1630"/>
      <c r="X150" s="347"/>
      <c r="Y150" s="347"/>
      <c r="Z150" s="347"/>
      <c r="AA150" s="347"/>
      <c r="AB150" s="347"/>
      <c r="AC150" s="347"/>
      <c r="AD150" s="347"/>
      <c r="BH150" s="1649">
        <f t="shared" si="178"/>
        <v>0</v>
      </c>
      <c r="BI150" s="503">
        <v>100</v>
      </c>
      <c r="BJ150" s="1644">
        <f t="shared" si="167"/>
        <v>273.14999999999998</v>
      </c>
      <c r="BK150" s="1644">
        <f t="shared" si="168"/>
        <v>-17.025409380322781</v>
      </c>
      <c r="BL150" s="1644">
        <f t="shared" si="169"/>
        <v>23.440757653659677</v>
      </c>
      <c r="BM150" s="1644">
        <f t="shared" si="170"/>
        <v>0.61115357225163158</v>
      </c>
      <c r="BN150" s="1644">
        <f t="shared" si="171"/>
        <v>0.61115357225163158</v>
      </c>
      <c r="BO150" s="1644">
        <f t="shared" si="172"/>
        <v>3.7743102100838721E-3</v>
      </c>
      <c r="BP150" s="1644">
        <f t="shared" si="173"/>
        <v>1</v>
      </c>
      <c r="BQ150" s="1644">
        <f t="shared" si="174"/>
        <v>0.77865533865216163</v>
      </c>
      <c r="BR150" s="1648">
        <f t="shared" si="175"/>
        <v>9.4395498354197649</v>
      </c>
      <c r="BS150" s="521">
        <f t="shared" si="176"/>
        <v>0</v>
      </c>
      <c r="BT150" s="522">
        <f t="shared" si="177"/>
        <v>3.7743102100838721E-3</v>
      </c>
      <c r="BV150" s="1647"/>
      <c r="BW150" s="1671"/>
      <c r="CK150" s="1647"/>
      <c r="CL150" s="1671"/>
    </row>
    <row r="151" spans="19:90">
      <c r="S151" s="347"/>
      <c r="T151" s="347"/>
      <c r="U151" s="347"/>
      <c r="V151" s="347"/>
      <c r="W151" s="1630"/>
      <c r="X151" s="347"/>
      <c r="Y151" s="347"/>
      <c r="Z151" s="347"/>
      <c r="AA151" s="347"/>
      <c r="AB151" s="347"/>
      <c r="AC151" s="347"/>
      <c r="AD151" s="347"/>
      <c r="BH151" s="1649">
        <f t="shared" si="178"/>
        <v>0</v>
      </c>
      <c r="BI151" s="503">
        <v>100</v>
      </c>
      <c r="BJ151" s="1644">
        <f t="shared" si="167"/>
        <v>273.14999999999998</v>
      </c>
      <c r="BK151" s="1644">
        <f t="shared" si="168"/>
        <v>-17.025409380322781</v>
      </c>
      <c r="BL151" s="1644">
        <f t="shared" si="169"/>
        <v>23.440757653659677</v>
      </c>
      <c r="BM151" s="1644">
        <f t="shared" si="170"/>
        <v>0.61115357225163158</v>
      </c>
      <c r="BN151" s="1644">
        <f t="shared" si="171"/>
        <v>0.61115357225163158</v>
      </c>
      <c r="BO151" s="1644">
        <f t="shared" si="172"/>
        <v>3.7743102100838721E-3</v>
      </c>
      <c r="BP151" s="1644">
        <f t="shared" si="173"/>
        <v>1</v>
      </c>
      <c r="BQ151" s="1644">
        <f t="shared" si="174"/>
        <v>0.77865533865216163</v>
      </c>
      <c r="BR151" s="1648">
        <f t="shared" si="175"/>
        <v>9.4395498354197649</v>
      </c>
      <c r="BS151" s="521">
        <f t="shared" si="176"/>
        <v>0</v>
      </c>
      <c r="BT151" s="522">
        <f t="shared" si="177"/>
        <v>3.7743102100838721E-3</v>
      </c>
      <c r="BV151" s="1647"/>
      <c r="BW151" s="1671"/>
      <c r="CK151" s="1647"/>
      <c r="CL151" s="1671"/>
    </row>
    <row r="152" spans="19:90">
      <c r="S152" s="347"/>
      <c r="T152" s="347"/>
      <c r="U152" s="347"/>
      <c r="AB152" s="347"/>
      <c r="AC152" s="347"/>
      <c r="AD152" s="347"/>
      <c r="BH152" s="1649">
        <f t="shared" si="178"/>
        <v>0</v>
      </c>
      <c r="BI152" s="503">
        <v>100</v>
      </c>
      <c r="BJ152" s="1644">
        <f t="shared" si="167"/>
        <v>273.14999999999998</v>
      </c>
      <c r="BK152" s="1644">
        <f t="shared" si="168"/>
        <v>-17.025409380322781</v>
      </c>
      <c r="BL152" s="1644">
        <f t="shared" si="169"/>
        <v>23.440757653659677</v>
      </c>
      <c r="BM152" s="1644">
        <f t="shared" si="170"/>
        <v>0.61115357225163158</v>
      </c>
      <c r="BN152" s="1644">
        <f t="shared" si="171"/>
        <v>0.61115357225163158</v>
      </c>
      <c r="BO152" s="1644">
        <f t="shared" si="172"/>
        <v>3.7743102100838721E-3</v>
      </c>
      <c r="BP152" s="1644">
        <f t="shared" si="173"/>
        <v>1</v>
      </c>
      <c r="BQ152" s="1644">
        <f t="shared" si="174"/>
        <v>0.77865533865216163</v>
      </c>
      <c r="BR152" s="1648">
        <f t="shared" si="175"/>
        <v>9.4395498354197649</v>
      </c>
      <c r="BS152" s="521">
        <f t="shared" si="176"/>
        <v>0</v>
      </c>
      <c r="BT152" s="522">
        <f t="shared" si="177"/>
        <v>3.7743102100838721E-3</v>
      </c>
      <c r="BV152" s="1647"/>
      <c r="BW152" s="1671"/>
      <c r="CK152" s="1647"/>
      <c r="CL152" s="1671"/>
    </row>
    <row r="153" spans="19:90">
      <c r="S153" s="347"/>
      <c r="T153" s="347"/>
      <c r="U153" s="347"/>
      <c r="AB153" s="347"/>
      <c r="AC153" s="347"/>
      <c r="AD153" s="347"/>
      <c r="BH153" s="1649">
        <f t="shared" si="178"/>
        <v>0</v>
      </c>
      <c r="BI153" s="503">
        <v>100</v>
      </c>
      <c r="BJ153" s="1644">
        <f t="shared" si="167"/>
        <v>273.14999999999998</v>
      </c>
      <c r="BK153" s="1644">
        <f t="shared" si="168"/>
        <v>-17.025409380322781</v>
      </c>
      <c r="BL153" s="1644">
        <f t="shared" si="169"/>
        <v>23.440757653659677</v>
      </c>
      <c r="BM153" s="1644">
        <f t="shared" si="170"/>
        <v>0.61115357225163158</v>
      </c>
      <c r="BN153" s="1644">
        <f t="shared" si="171"/>
        <v>0.61115357225163158</v>
      </c>
      <c r="BO153" s="1644">
        <f t="shared" si="172"/>
        <v>3.7743102100838721E-3</v>
      </c>
      <c r="BP153" s="1644">
        <f t="shared" si="173"/>
        <v>1</v>
      </c>
      <c r="BQ153" s="1644">
        <f t="shared" si="174"/>
        <v>0.77865533865216163</v>
      </c>
      <c r="BR153" s="1648">
        <f t="shared" si="175"/>
        <v>9.4395498354197649</v>
      </c>
      <c r="BS153" s="521">
        <f t="shared" si="176"/>
        <v>0</v>
      </c>
      <c r="BT153" s="522">
        <f t="shared" si="177"/>
        <v>3.7743102100838721E-3</v>
      </c>
      <c r="BV153" s="1647"/>
      <c r="BW153" s="1671"/>
      <c r="CK153" s="1647"/>
      <c r="CL153" s="1671"/>
    </row>
    <row r="154" spans="19:90">
      <c r="S154" s="347"/>
      <c r="T154" s="347"/>
      <c r="U154" s="347"/>
      <c r="AB154" s="347"/>
      <c r="AC154" s="347"/>
      <c r="AD154" s="347"/>
      <c r="BH154" s="1649">
        <f t="shared" si="178"/>
        <v>0</v>
      </c>
      <c r="BI154" s="503">
        <v>100</v>
      </c>
      <c r="BJ154" s="1644">
        <f t="shared" si="167"/>
        <v>273.14999999999998</v>
      </c>
      <c r="BK154" s="1644">
        <f t="shared" si="168"/>
        <v>-17.025409380322781</v>
      </c>
      <c r="BL154" s="1644">
        <f t="shared" si="169"/>
        <v>23.440757653659677</v>
      </c>
      <c r="BM154" s="1644">
        <f t="shared" si="170"/>
        <v>0.61115357225163158</v>
      </c>
      <c r="BN154" s="1644">
        <f t="shared" si="171"/>
        <v>0.61115357225163158</v>
      </c>
      <c r="BO154" s="1644">
        <f t="shared" si="172"/>
        <v>3.7743102100838721E-3</v>
      </c>
      <c r="BP154" s="1644">
        <f t="shared" si="173"/>
        <v>1</v>
      </c>
      <c r="BQ154" s="1644">
        <f t="shared" si="174"/>
        <v>0.77865533865216163</v>
      </c>
      <c r="BR154" s="1648">
        <f t="shared" si="175"/>
        <v>9.4395498354197649</v>
      </c>
      <c r="BS154" s="521">
        <f t="shared" si="176"/>
        <v>0</v>
      </c>
      <c r="BT154" s="522">
        <f t="shared" si="177"/>
        <v>3.7743102100838721E-3</v>
      </c>
      <c r="BV154" s="1647"/>
      <c r="BW154" s="1671"/>
      <c r="CK154" s="1647"/>
      <c r="CL154" s="1671"/>
    </row>
    <row r="155" spans="19:90">
      <c r="S155" s="347"/>
      <c r="T155" s="347"/>
      <c r="U155" s="347"/>
      <c r="AB155" s="347"/>
      <c r="AC155" s="347"/>
      <c r="AD155" s="347"/>
      <c r="BH155" s="1649">
        <f t="shared" si="178"/>
        <v>0</v>
      </c>
      <c r="BI155" s="503">
        <v>100</v>
      </c>
      <c r="BJ155" s="1644">
        <f t="shared" si="167"/>
        <v>273.14999999999998</v>
      </c>
      <c r="BK155" s="1644">
        <f t="shared" si="168"/>
        <v>-17.025409380322781</v>
      </c>
      <c r="BL155" s="1644">
        <f t="shared" si="169"/>
        <v>23.440757653659677</v>
      </c>
      <c r="BM155" s="1644">
        <f t="shared" si="170"/>
        <v>0.61115357225163158</v>
      </c>
      <c r="BN155" s="1644">
        <f t="shared" si="171"/>
        <v>0.61115357225163158</v>
      </c>
      <c r="BO155" s="1644">
        <f t="shared" si="172"/>
        <v>3.7743102100838721E-3</v>
      </c>
      <c r="BP155" s="1644">
        <f t="shared" si="173"/>
        <v>1</v>
      </c>
      <c r="BQ155" s="1644">
        <f t="shared" si="174"/>
        <v>0.77865533865216163</v>
      </c>
      <c r="BR155" s="1648">
        <f t="shared" si="175"/>
        <v>9.4395498354197649</v>
      </c>
      <c r="BS155" s="521">
        <f t="shared" si="176"/>
        <v>0</v>
      </c>
      <c r="BT155" s="522">
        <f t="shared" si="177"/>
        <v>3.7743102100838721E-3</v>
      </c>
      <c r="BV155" s="1647"/>
      <c r="BW155" s="1671"/>
      <c r="CK155" s="1647"/>
      <c r="CL155" s="1671"/>
    </row>
    <row r="156" spans="19:90">
      <c r="S156" s="347"/>
      <c r="T156" s="347"/>
      <c r="U156" s="347"/>
      <c r="AB156" s="347"/>
      <c r="AC156" s="347"/>
      <c r="AD156" s="347"/>
      <c r="BH156" s="1649">
        <f t="shared" si="178"/>
        <v>0</v>
      </c>
      <c r="BI156" s="503">
        <v>100</v>
      </c>
      <c r="BJ156" s="1644">
        <f t="shared" si="167"/>
        <v>273.14999999999998</v>
      </c>
      <c r="BK156" s="1644">
        <f t="shared" si="168"/>
        <v>-17.025409380322781</v>
      </c>
      <c r="BL156" s="1644">
        <f t="shared" si="169"/>
        <v>23.440757653659677</v>
      </c>
      <c r="BM156" s="1644">
        <f t="shared" si="170"/>
        <v>0.61115357225163158</v>
      </c>
      <c r="BN156" s="1644">
        <f t="shared" si="171"/>
        <v>0.61115357225163158</v>
      </c>
      <c r="BO156" s="1644">
        <f t="shared" si="172"/>
        <v>3.7743102100838721E-3</v>
      </c>
      <c r="BP156" s="1644">
        <f t="shared" si="173"/>
        <v>1</v>
      </c>
      <c r="BQ156" s="1644">
        <f t="shared" si="174"/>
        <v>0.77865533865216163</v>
      </c>
      <c r="BR156" s="1648">
        <f t="shared" si="175"/>
        <v>9.4395498354197649</v>
      </c>
      <c r="BS156" s="521">
        <f t="shared" si="176"/>
        <v>0</v>
      </c>
      <c r="BT156" s="522">
        <f t="shared" si="177"/>
        <v>3.7743102100838721E-3</v>
      </c>
      <c r="BV156" s="1647"/>
      <c r="BW156" s="1671"/>
      <c r="CK156" s="1647"/>
      <c r="CL156" s="1671"/>
    </row>
    <row r="157" spans="19:90">
      <c r="S157" s="347"/>
      <c r="T157" s="347"/>
      <c r="U157" s="347"/>
      <c r="AB157" s="347"/>
      <c r="AC157" s="347"/>
      <c r="AD157" s="347"/>
      <c r="BH157" s="1649">
        <f t="shared" si="178"/>
        <v>0</v>
      </c>
      <c r="BI157" s="503">
        <v>100</v>
      </c>
      <c r="BJ157" s="1644">
        <f t="shared" si="167"/>
        <v>273.14999999999998</v>
      </c>
      <c r="BK157" s="1644">
        <f t="shared" si="168"/>
        <v>-17.025409380322781</v>
      </c>
      <c r="BL157" s="1644">
        <f t="shared" si="169"/>
        <v>23.440757653659677</v>
      </c>
      <c r="BM157" s="1644">
        <f t="shared" si="170"/>
        <v>0.61115357225163158</v>
      </c>
      <c r="BN157" s="1644">
        <f t="shared" si="171"/>
        <v>0.61115357225163158</v>
      </c>
      <c r="BO157" s="1644">
        <f t="shared" si="172"/>
        <v>3.7743102100838721E-3</v>
      </c>
      <c r="BP157" s="1644">
        <f t="shared" si="173"/>
        <v>1</v>
      </c>
      <c r="BQ157" s="1644">
        <f t="shared" si="174"/>
        <v>0.77865533865216163</v>
      </c>
      <c r="BR157" s="1648">
        <f t="shared" si="175"/>
        <v>9.4395498354197649</v>
      </c>
      <c r="BS157" s="521">
        <f t="shared" si="176"/>
        <v>0</v>
      </c>
      <c r="BT157" s="522">
        <f t="shared" si="177"/>
        <v>3.7743102100838721E-3</v>
      </c>
      <c r="BV157" s="1647"/>
      <c r="BW157" s="1671"/>
      <c r="CK157" s="1647"/>
      <c r="CL157" s="1671"/>
    </row>
    <row r="158" spans="19:90">
      <c r="S158" s="347"/>
      <c r="T158" s="347"/>
      <c r="U158" s="347"/>
      <c r="AB158" s="347"/>
      <c r="AC158" s="347"/>
      <c r="AD158" s="347"/>
      <c r="BH158" s="1649">
        <f t="shared" si="178"/>
        <v>0</v>
      </c>
      <c r="BI158" s="503">
        <v>100</v>
      </c>
      <c r="BJ158" s="1644">
        <f t="shared" si="167"/>
        <v>273.14999999999998</v>
      </c>
      <c r="BK158" s="1644">
        <f t="shared" si="168"/>
        <v>-17.025409380322781</v>
      </c>
      <c r="BL158" s="1644">
        <f t="shared" si="169"/>
        <v>23.440757653659677</v>
      </c>
      <c r="BM158" s="1644">
        <f t="shared" si="170"/>
        <v>0.61115357225163158</v>
      </c>
      <c r="BN158" s="1644">
        <f t="shared" si="171"/>
        <v>0.61115357225163158</v>
      </c>
      <c r="BO158" s="1644">
        <f t="shared" si="172"/>
        <v>3.7743102100838721E-3</v>
      </c>
      <c r="BP158" s="1644">
        <f t="shared" si="173"/>
        <v>1</v>
      </c>
      <c r="BQ158" s="1644">
        <f t="shared" si="174"/>
        <v>0.77865533865216163</v>
      </c>
      <c r="BR158" s="1648">
        <f t="shared" si="175"/>
        <v>9.4395498354197649</v>
      </c>
      <c r="BS158" s="521">
        <f t="shared" si="176"/>
        <v>0</v>
      </c>
      <c r="BT158" s="522">
        <f t="shared" si="177"/>
        <v>3.7743102100838721E-3</v>
      </c>
      <c r="BV158" s="1647"/>
      <c r="BW158" s="1671"/>
      <c r="CK158" s="1647"/>
      <c r="CL158" s="1671"/>
    </row>
    <row r="159" spans="19:90">
      <c r="S159" s="347"/>
      <c r="T159" s="347"/>
      <c r="U159" s="347"/>
      <c r="AD159" s="347"/>
      <c r="BH159" s="1649">
        <f t="shared" si="178"/>
        <v>0</v>
      </c>
      <c r="BI159" s="503">
        <v>100</v>
      </c>
      <c r="BJ159" s="1644">
        <f t="shared" si="167"/>
        <v>273.14999999999998</v>
      </c>
      <c r="BK159" s="1644">
        <f t="shared" si="168"/>
        <v>-17.025409380322781</v>
      </c>
      <c r="BL159" s="1644">
        <f t="shared" si="169"/>
        <v>23.440757653659677</v>
      </c>
      <c r="BM159" s="1644">
        <f t="shared" si="170"/>
        <v>0.61115357225163158</v>
      </c>
      <c r="BN159" s="1644">
        <f t="shared" si="171"/>
        <v>0.61115357225163158</v>
      </c>
      <c r="BO159" s="1644">
        <f t="shared" si="172"/>
        <v>3.7743102100838721E-3</v>
      </c>
      <c r="BP159" s="1644">
        <f t="shared" si="173"/>
        <v>1</v>
      </c>
      <c r="BQ159" s="1644">
        <f t="shared" si="174"/>
        <v>0.77865533865216163</v>
      </c>
      <c r="BR159" s="1648">
        <f t="shared" si="175"/>
        <v>9.4395498354197649</v>
      </c>
      <c r="BS159" s="521">
        <f t="shared" si="176"/>
        <v>0</v>
      </c>
      <c r="BT159" s="522">
        <f t="shared" si="177"/>
        <v>3.7743102100838721E-3</v>
      </c>
      <c r="BV159" s="1647"/>
      <c r="BW159" s="1671"/>
      <c r="CK159" s="1647"/>
      <c r="CL159" s="1671"/>
    </row>
    <row r="160" spans="19:90">
      <c r="S160" s="347"/>
      <c r="T160" s="347"/>
      <c r="U160" s="347"/>
      <c r="AD160" s="347"/>
      <c r="BH160" s="1649">
        <f t="shared" si="178"/>
        <v>0</v>
      </c>
      <c r="BI160" s="503">
        <v>100</v>
      </c>
      <c r="BJ160" s="1644">
        <f t="shared" si="167"/>
        <v>273.14999999999998</v>
      </c>
      <c r="BK160" s="1644">
        <f t="shared" si="168"/>
        <v>-17.025409380322781</v>
      </c>
      <c r="BL160" s="1644">
        <f t="shared" si="169"/>
        <v>23.440757653659677</v>
      </c>
      <c r="BM160" s="1644">
        <f t="shared" si="170"/>
        <v>0.61115357225163158</v>
      </c>
      <c r="BN160" s="1644">
        <f t="shared" si="171"/>
        <v>0.61115357225163158</v>
      </c>
      <c r="BO160" s="1644">
        <f t="shared" si="172"/>
        <v>3.7743102100838721E-3</v>
      </c>
      <c r="BP160" s="1644">
        <f t="shared" si="173"/>
        <v>1</v>
      </c>
      <c r="BQ160" s="1644">
        <f t="shared" si="174"/>
        <v>0.77865533865216163</v>
      </c>
      <c r="BR160" s="1648">
        <f t="shared" si="175"/>
        <v>9.4395498354197649</v>
      </c>
      <c r="BS160" s="521">
        <f t="shared" si="176"/>
        <v>0</v>
      </c>
      <c r="BT160" s="522">
        <f t="shared" si="177"/>
        <v>3.7743102100838721E-3</v>
      </c>
      <c r="BV160" s="1647"/>
      <c r="BW160" s="1671"/>
      <c r="CK160" s="1647"/>
      <c r="CL160" s="1671"/>
    </row>
    <row r="161" spans="19:90">
      <c r="S161" s="347"/>
      <c r="T161" s="347"/>
      <c r="U161" s="347"/>
      <c r="AD161" s="347"/>
      <c r="BH161" s="1649">
        <f t="shared" si="178"/>
        <v>0</v>
      </c>
      <c r="BI161" s="503">
        <v>100</v>
      </c>
      <c r="BJ161" s="1644">
        <f t="shared" si="167"/>
        <v>273.14999999999998</v>
      </c>
      <c r="BK161" s="1644">
        <f t="shared" si="168"/>
        <v>-17.025409380322781</v>
      </c>
      <c r="BL161" s="1644">
        <f t="shared" si="169"/>
        <v>23.440757653659677</v>
      </c>
      <c r="BM161" s="1644">
        <f t="shared" si="170"/>
        <v>0.61115357225163158</v>
      </c>
      <c r="BN161" s="1644">
        <f t="shared" si="171"/>
        <v>0.61115357225163158</v>
      </c>
      <c r="BO161" s="1644">
        <f t="shared" si="172"/>
        <v>3.7743102100838721E-3</v>
      </c>
      <c r="BP161" s="1644">
        <f t="shared" si="173"/>
        <v>1</v>
      </c>
      <c r="BQ161" s="1644">
        <f t="shared" si="174"/>
        <v>0.77865533865216163</v>
      </c>
      <c r="BR161" s="1648">
        <f t="shared" si="175"/>
        <v>9.4395498354197649</v>
      </c>
      <c r="BS161" s="521">
        <f t="shared" si="176"/>
        <v>0</v>
      </c>
      <c r="BT161" s="522">
        <f t="shared" si="177"/>
        <v>3.7743102100838721E-3</v>
      </c>
      <c r="BV161" s="1647"/>
      <c r="BW161" s="1671"/>
      <c r="CK161" s="1647"/>
      <c r="CL161" s="1671"/>
    </row>
    <row r="162" spans="19:90">
      <c r="S162" s="347"/>
      <c r="T162" s="347"/>
      <c r="U162" s="347"/>
      <c r="AD162" s="347"/>
      <c r="BH162" s="1649">
        <f t="shared" si="178"/>
        <v>0</v>
      </c>
      <c r="BI162" s="503">
        <v>100</v>
      </c>
      <c r="BJ162" s="1644">
        <f t="shared" si="167"/>
        <v>273.14999999999998</v>
      </c>
      <c r="BK162" s="1644">
        <f t="shared" si="168"/>
        <v>-17.025409380322781</v>
      </c>
      <c r="BL162" s="1644">
        <f t="shared" si="169"/>
        <v>23.440757653659677</v>
      </c>
      <c r="BM162" s="1644">
        <f t="shared" si="170"/>
        <v>0.61115357225163158</v>
      </c>
      <c r="BN162" s="1644">
        <f t="shared" si="171"/>
        <v>0.61115357225163158</v>
      </c>
      <c r="BO162" s="1644">
        <f t="shared" si="172"/>
        <v>3.7743102100838721E-3</v>
      </c>
      <c r="BP162" s="1644">
        <f t="shared" si="173"/>
        <v>1</v>
      </c>
      <c r="BQ162" s="1644">
        <f t="shared" si="174"/>
        <v>0.77865533865216163</v>
      </c>
      <c r="BR162" s="1648">
        <f t="shared" si="175"/>
        <v>9.4395498354197649</v>
      </c>
      <c r="BS162" s="521">
        <f t="shared" si="176"/>
        <v>0</v>
      </c>
      <c r="BT162" s="522">
        <f t="shared" si="177"/>
        <v>3.7743102100838721E-3</v>
      </c>
      <c r="BV162" s="1647"/>
      <c r="BW162" s="1671"/>
      <c r="CK162" s="1647"/>
      <c r="CL162" s="1671"/>
    </row>
    <row r="163" spans="19:90">
      <c r="S163" s="347"/>
      <c r="T163" s="347"/>
      <c r="U163" s="347"/>
      <c r="AD163" s="347"/>
      <c r="BH163" s="1649">
        <f t="shared" si="178"/>
        <v>0</v>
      </c>
      <c r="BI163" s="503">
        <v>100</v>
      </c>
      <c r="BJ163" s="1644">
        <f t="shared" si="167"/>
        <v>273.14999999999998</v>
      </c>
      <c r="BK163" s="1644">
        <f t="shared" si="168"/>
        <v>-17.025409380322781</v>
      </c>
      <c r="BL163" s="1644">
        <f t="shared" si="169"/>
        <v>23.440757653659677</v>
      </c>
      <c r="BM163" s="1644">
        <f t="shared" si="170"/>
        <v>0.61115357225163158</v>
      </c>
      <c r="BN163" s="1644">
        <f t="shared" si="171"/>
        <v>0.61115357225163158</v>
      </c>
      <c r="BO163" s="1644">
        <f t="shared" si="172"/>
        <v>3.7743102100838721E-3</v>
      </c>
      <c r="BP163" s="1644">
        <f t="shared" si="173"/>
        <v>1</v>
      </c>
      <c r="BQ163" s="1644">
        <f t="shared" si="174"/>
        <v>0.77865533865216163</v>
      </c>
      <c r="BR163" s="1648">
        <f t="shared" si="175"/>
        <v>9.4395498354197649</v>
      </c>
      <c r="BS163" s="521">
        <f t="shared" si="176"/>
        <v>0</v>
      </c>
      <c r="BT163" s="522">
        <f t="shared" si="177"/>
        <v>3.7743102100838721E-3</v>
      </c>
      <c r="BV163" s="1647"/>
      <c r="BW163" s="1671"/>
      <c r="CK163" s="1647"/>
      <c r="CL163" s="1671"/>
    </row>
    <row r="164" spans="19:90">
      <c r="S164" s="347"/>
      <c r="T164" s="347"/>
      <c r="U164" s="347"/>
      <c r="AD164" s="347"/>
      <c r="BH164" s="1649">
        <f t="shared" si="178"/>
        <v>0</v>
      </c>
      <c r="BI164" s="503">
        <v>100</v>
      </c>
      <c r="BJ164" s="1644">
        <f t="shared" si="167"/>
        <v>273.14999999999998</v>
      </c>
      <c r="BK164" s="1644">
        <f t="shared" si="168"/>
        <v>-17.025409380322781</v>
      </c>
      <c r="BL164" s="1644">
        <f t="shared" si="169"/>
        <v>23.440757653659677</v>
      </c>
      <c r="BM164" s="1644">
        <f t="shared" si="170"/>
        <v>0.61115357225163158</v>
      </c>
      <c r="BN164" s="1644">
        <f t="shared" si="171"/>
        <v>0.61115357225163158</v>
      </c>
      <c r="BO164" s="1644">
        <f t="shared" si="172"/>
        <v>3.7743102100838721E-3</v>
      </c>
      <c r="BP164" s="1644">
        <f t="shared" si="173"/>
        <v>1</v>
      </c>
      <c r="BQ164" s="1644">
        <f t="shared" si="174"/>
        <v>0.77865533865216163</v>
      </c>
      <c r="BR164" s="1648">
        <f t="shared" si="175"/>
        <v>9.4395498354197649</v>
      </c>
      <c r="BS164" s="521">
        <f t="shared" si="176"/>
        <v>0</v>
      </c>
      <c r="BT164" s="522">
        <f t="shared" si="177"/>
        <v>3.7743102100838721E-3</v>
      </c>
      <c r="BV164" s="1647"/>
      <c r="BW164" s="1671"/>
      <c r="CK164" s="1647"/>
      <c r="CL164" s="1671"/>
    </row>
    <row r="165" spans="19:90">
      <c r="S165" s="347"/>
      <c r="T165" s="347"/>
      <c r="U165" s="347"/>
      <c r="AD165" s="347"/>
      <c r="BH165" s="1649">
        <f t="shared" si="178"/>
        <v>0</v>
      </c>
      <c r="BI165" s="503">
        <v>100</v>
      </c>
      <c r="BJ165" s="1644">
        <f t="shared" si="167"/>
        <v>273.14999999999998</v>
      </c>
      <c r="BK165" s="1644">
        <f t="shared" si="168"/>
        <v>-17.025409380322781</v>
      </c>
      <c r="BL165" s="1644">
        <f t="shared" si="169"/>
        <v>23.440757653659677</v>
      </c>
      <c r="BM165" s="1644">
        <f t="shared" si="170"/>
        <v>0.61115357225163158</v>
      </c>
      <c r="BN165" s="1644">
        <f t="shared" si="171"/>
        <v>0.61115357225163158</v>
      </c>
      <c r="BO165" s="1644">
        <f t="shared" si="172"/>
        <v>3.7743102100838721E-3</v>
      </c>
      <c r="BP165" s="1644">
        <f t="shared" si="173"/>
        <v>1</v>
      </c>
      <c r="BQ165" s="1644">
        <f t="shared" si="174"/>
        <v>0.77865533865216163</v>
      </c>
      <c r="BR165" s="1648">
        <f t="shared" si="175"/>
        <v>9.4395498354197649</v>
      </c>
      <c r="BS165" s="521">
        <f t="shared" si="176"/>
        <v>0</v>
      </c>
      <c r="BT165" s="522">
        <f t="shared" si="177"/>
        <v>3.7743102100838721E-3</v>
      </c>
      <c r="BV165" s="1647"/>
      <c r="BW165" s="1671"/>
      <c r="CK165" s="1647"/>
      <c r="CL165" s="1671"/>
    </row>
    <row r="166" spans="19:90">
      <c r="AD166" s="347"/>
      <c r="BH166" s="1649">
        <f t="shared" si="178"/>
        <v>0</v>
      </c>
      <c r="BI166" s="503">
        <v>100</v>
      </c>
      <c r="BJ166" s="1644">
        <f t="shared" si="167"/>
        <v>273.14999999999998</v>
      </c>
      <c r="BK166" s="1644">
        <f t="shared" si="168"/>
        <v>-17.025409380322781</v>
      </c>
      <c r="BL166" s="1644">
        <f t="shared" si="169"/>
        <v>23.440757653659677</v>
      </c>
      <c r="BM166" s="1644">
        <f t="shared" si="170"/>
        <v>0.61115357225163158</v>
      </c>
      <c r="BN166" s="1644">
        <f t="shared" si="171"/>
        <v>0.61115357225163158</v>
      </c>
      <c r="BO166" s="1644">
        <f t="shared" si="172"/>
        <v>3.7743102100838721E-3</v>
      </c>
      <c r="BP166" s="1644">
        <f t="shared" si="173"/>
        <v>1</v>
      </c>
      <c r="BQ166" s="1644">
        <f t="shared" si="174"/>
        <v>0.77865533865216163</v>
      </c>
      <c r="BR166" s="1648">
        <f t="shared" si="175"/>
        <v>9.4395498354197649</v>
      </c>
      <c r="BS166" s="521">
        <f t="shared" si="176"/>
        <v>0</v>
      </c>
      <c r="BT166" s="522">
        <f t="shared" si="177"/>
        <v>3.7743102100838721E-3</v>
      </c>
      <c r="BV166" s="1647"/>
      <c r="BW166" s="1671"/>
      <c r="CK166" s="1647"/>
      <c r="CL166" s="1671"/>
    </row>
    <row r="167" spans="19:90">
      <c r="AD167" s="347"/>
      <c r="BH167" s="1649">
        <f t="shared" si="178"/>
        <v>0</v>
      </c>
      <c r="BI167" s="503">
        <v>100</v>
      </c>
      <c r="BJ167" s="1644">
        <f t="shared" si="167"/>
        <v>273.14999999999998</v>
      </c>
      <c r="BK167" s="1644">
        <f t="shared" si="168"/>
        <v>-17.025409380322781</v>
      </c>
      <c r="BL167" s="1644">
        <f t="shared" si="169"/>
        <v>23.440757653659677</v>
      </c>
      <c r="BM167" s="1644">
        <f t="shared" si="170"/>
        <v>0.61115357225163158</v>
      </c>
      <c r="BN167" s="1644">
        <f t="shared" si="171"/>
        <v>0.61115357225163158</v>
      </c>
      <c r="BO167" s="1644">
        <f t="shared" si="172"/>
        <v>3.7743102100838721E-3</v>
      </c>
      <c r="BP167" s="1644">
        <f t="shared" si="173"/>
        <v>1</v>
      </c>
      <c r="BQ167" s="1644">
        <f t="shared" si="174"/>
        <v>0.77865533865216163</v>
      </c>
      <c r="BR167" s="1648">
        <f t="shared" si="175"/>
        <v>9.4395498354197649</v>
      </c>
      <c r="BS167" s="521">
        <f t="shared" si="176"/>
        <v>0</v>
      </c>
      <c r="BT167" s="522">
        <f t="shared" si="177"/>
        <v>3.7743102100838721E-3</v>
      </c>
      <c r="BV167" s="1647"/>
      <c r="BW167" s="1671"/>
      <c r="CK167" s="1647"/>
      <c r="CL167" s="1671"/>
    </row>
    <row r="168" spans="19:90">
      <c r="AD168" s="347"/>
      <c r="BH168" s="1649">
        <f>IF(BH167+0.5&gt;=$D$11,$D$11,BH167+0.5)</f>
        <v>0</v>
      </c>
      <c r="BI168" s="503">
        <v>100</v>
      </c>
      <c r="BJ168" s="1644">
        <f t="shared" si="167"/>
        <v>273.14999999999998</v>
      </c>
      <c r="BK168" s="1644">
        <f t="shared" si="168"/>
        <v>-17.025409380322781</v>
      </c>
      <c r="BL168" s="1644">
        <f t="shared" si="169"/>
        <v>23.440757653659677</v>
      </c>
      <c r="BM168" s="1644">
        <f t="shared" si="170"/>
        <v>0.61115357225163158</v>
      </c>
      <c r="BN168" s="1644">
        <f t="shared" si="171"/>
        <v>0.61115357225163158</v>
      </c>
      <c r="BO168" s="1644">
        <f t="shared" si="172"/>
        <v>3.7743102100838721E-3</v>
      </c>
      <c r="BP168" s="1644">
        <f t="shared" si="173"/>
        <v>1</v>
      </c>
      <c r="BQ168" s="1644">
        <f t="shared" si="174"/>
        <v>0.77865533865216163</v>
      </c>
      <c r="BR168" s="1648">
        <f t="shared" si="175"/>
        <v>9.4395498354197649</v>
      </c>
      <c r="BS168" s="521">
        <f t="shared" si="176"/>
        <v>0</v>
      </c>
      <c r="BT168" s="522">
        <f t="shared" si="177"/>
        <v>3.7743102100838721E-3</v>
      </c>
      <c r="BV168" s="1647"/>
      <c r="BW168" s="1671"/>
      <c r="CK168" s="1647"/>
      <c r="CL168" s="1671"/>
    </row>
    <row r="169" spans="19:90">
      <c r="AD169" s="347"/>
      <c r="BV169" s="1647"/>
      <c r="BW169" s="1671"/>
      <c r="CK169" s="1647"/>
      <c r="CL169" s="1671"/>
    </row>
    <row r="170" spans="19:90">
      <c r="AD170" s="347"/>
      <c r="BV170" s="1647"/>
      <c r="BW170" s="1671"/>
      <c r="CK170" s="1647"/>
      <c r="CL170" s="1671"/>
    </row>
    <row r="171" spans="19:90">
      <c r="AD171" s="347"/>
      <c r="BV171" s="1647"/>
      <c r="BW171" s="1671"/>
      <c r="CK171" s="1647"/>
      <c r="CL171" s="1671"/>
    </row>
    <row r="172" spans="19:90">
      <c r="AD172" s="347"/>
      <c r="BV172" s="1647"/>
      <c r="BW172" s="1671"/>
      <c r="CK172" s="1647"/>
      <c r="CL172" s="1671"/>
    </row>
    <row r="173" spans="19:90">
      <c r="BV173" s="1647"/>
      <c r="BW173" s="1671"/>
      <c r="CK173" s="1647"/>
      <c r="CL173" s="1671"/>
    </row>
    <row r="174" spans="19:90">
      <c r="BV174" s="1647"/>
      <c r="BW174" s="1671"/>
      <c r="CK174" s="1647"/>
      <c r="CL174" s="1671"/>
    </row>
    <row r="175" spans="19:90">
      <c r="BV175" s="1647"/>
      <c r="BW175" s="1671"/>
      <c r="CK175" s="1647"/>
      <c r="CL175" s="1671"/>
    </row>
    <row r="176" spans="19:90">
      <c r="BV176" s="1647"/>
      <c r="BW176" s="1671"/>
      <c r="CK176" s="1647"/>
      <c r="CL176" s="1671"/>
    </row>
    <row r="177" spans="74:90">
      <c r="BV177" s="1647"/>
      <c r="BW177" s="1671"/>
      <c r="CK177" s="1647"/>
      <c r="CL177" s="1671"/>
    </row>
    <row r="178" spans="74:90">
      <c r="BV178" s="1647"/>
      <c r="BW178" s="1671"/>
      <c r="CK178" s="1647"/>
      <c r="CL178" s="1671"/>
    </row>
    <row r="179" spans="74:90">
      <c r="BV179" s="1647"/>
      <c r="BW179" s="1671"/>
      <c r="CK179" s="1647"/>
      <c r="CL179" s="1671"/>
    </row>
    <row r="180" spans="74:90">
      <c r="BV180" s="1647"/>
      <c r="BW180" s="1671"/>
      <c r="CK180" s="1647"/>
      <c r="CL180" s="1671"/>
    </row>
    <row r="181" spans="74:90">
      <c r="BV181" s="1647"/>
      <c r="BW181" s="1671"/>
      <c r="CK181" s="1647"/>
      <c r="CL181" s="1671"/>
    </row>
    <row r="182" spans="74:90">
      <c r="BV182" s="1647"/>
      <c r="BW182" s="1671"/>
      <c r="CK182" s="1647"/>
      <c r="CL182" s="1671"/>
    </row>
    <row r="183" spans="74:90">
      <c r="BV183" s="1647"/>
      <c r="BW183" s="1671"/>
      <c r="CK183" s="1647"/>
      <c r="CL183" s="1671"/>
    </row>
    <row r="184" spans="74:90">
      <c r="BV184" s="1647"/>
      <c r="BW184" s="1671"/>
      <c r="CK184" s="1647"/>
      <c r="CL184" s="1671"/>
    </row>
    <row r="185" spans="74:90">
      <c r="BV185" s="1647"/>
      <c r="BW185" s="1671"/>
      <c r="CK185" s="1647"/>
      <c r="CL185" s="1671"/>
    </row>
    <row r="186" spans="74:90">
      <c r="BV186" s="1647"/>
      <c r="BW186" s="1671"/>
      <c r="CK186" s="1647"/>
      <c r="CL186" s="1671"/>
    </row>
    <row r="187" spans="74:90">
      <c r="BV187" s="1647"/>
      <c r="BW187" s="1671"/>
      <c r="CK187" s="1647"/>
      <c r="CL187" s="1671"/>
    </row>
    <row r="188" spans="74:90">
      <c r="BV188" s="1647"/>
      <c r="BW188" s="1671"/>
      <c r="CK188" s="1647"/>
      <c r="CL188" s="1671"/>
    </row>
    <row r="189" spans="74:90">
      <c r="BV189" s="1647"/>
      <c r="BW189" s="1671"/>
      <c r="CK189" s="1647"/>
      <c r="CL189" s="1671"/>
    </row>
    <row r="190" spans="74:90">
      <c r="BV190" s="1647"/>
      <c r="BW190" s="1671"/>
      <c r="CK190" s="1647"/>
      <c r="CL190" s="1671"/>
    </row>
    <row r="191" spans="74:90">
      <c r="BV191" s="1647"/>
      <c r="BW191" s="1671"/>
      <c r="CK191" s="1647"/>
      <c r="CL191" s="1671"/>
    </row>
    <row r="192" spans="74:90">
      <c r="BV192" s="1647"/>
      <c r="BW192" s="1671"/>
      <c r="CK192" s="1647"/>
      <c r="CL192" s="1671"/>
    </row>
    <row r="193" spans="74:90">
      <c r="BV193" s="1647"/>
      <c r="BW193" s="1671"/>
      <c r="CK193" s="1647"/>
      <c r="CL193" s="1671"/>
    </row>
    <row r="194" spans="74:90">
      <c r="BV194" s="1647"/>
      <c r="BW194" s="1671"/>
      <c r="CK194" s="1647"/>
      <c r="CL194" s="1671"/>
    </row>
    <row r="195" spans="74:90">
      <c r="BV195" s="1647"/>
      <c r="BW195" s="1671"/>
      <c r="CK195" s="1647"/>
      <c r="CL195" s="1671"/>
    </row>
  </sheetData>
  <sheetProtection password="DFE4" sheet="1" objects="1" scenarios="1"/>
  <protectedRanges>
    <protectedRange sqref="D8:G11 D19 G2:G4 D14:D16" name="範圍1"/>
  </protectedRanges>
  <mergeCells count="39">
    <mergeCell ref="CZ4:DM4"/>
    <mergeCell ref="DO4:EB4"/>
    <mergeCell ref="BV4:CI4"/>
    <mergeCell ref="CK4:CX4"/>
    <mergeCell ref="B21:G21"/>
    <mergeCell ref="B13:E13"/>
    <mergeCell ref="V18:AC18"/>
    <mergeCell ref="V10:AC10"/>
    <mergeCell ref="V4:AC4"/>
    <mergeCell ref="BH4:BT4"/>
    <mergeCell ref="B10:B11"/>
    <mergeCell ref="V5:AB5"/>
    <mergeCell ref="M18:T18"/>
    <mergeCell ref="B6:K6"/>
    <mergeCell ref="B8:B9"/>
    <mergeCell ref="E2:F2"/>
    <mergeCell ref="E3:F3"/>
    <mergeCell ref="E4:F4"/>
    <mergeCell ref="B2:C2"/>
    <mergeCell ref="V2:AC2"/>
    <mergeCell ref="M2:T2"/>
    <mergeCell ref="M4:T4"/>
    <mergeCell ref="V25:AC26"/>
    <mergeCell ref="B30:G30"/>
    <mergeCell ref="F22:G22"/>
    <mergeCell ref="F23:G23"/>
    <mergeCell ref="F24:G24"/>
    <mergeCell ref="F27:G27"/>
    <mergeCell ref="F28:G28"/>
    <mergeCell ref="M30:T30"/>
    <mergeCell ref="H23:I25"/>
    <mergeCell ref="H36:I38"/>
    <mergeCell ref="D32:D37"/>
    <mergeCell ref="D23:D28"/>
    <mergeCell ref="F31:G31"/>
    <mergeCell ref="F32:G32"/>
    <mergeCell ref="F33:G33"/>
    <mergeCell ref="F36:G36"/>
    <mergeCell ref="F37:G37"/>
  </mergeCells>
  <phoneticPr fontId="143" type="noConversion"/>
  <conditionalFormatting sqref="D19">
    <cfRule type="expression" dxfId="47" priority="27">
      <formula>$AF$1=1</formula>
    </cfRule>
  </conditionalFormatting>
  <conditionalFormatting sqref="B19:C19">
    <cfRule type="expression" dxfId="46" priority="20">
      <formula>$AF$1=1</formula>
    </cfRule>
  </conditionalFormatting>
  <conditionalFormatting sqref="X22">
    <cfRule type="expression" dxfId="45" priority="19">
      <formula>$X$22&lt;=$J$11</formula>
    </cfRule>
  </conditionalFormatting>
  <conditionalFormatting sqref="V25:AC26">
    <cfRule type="expression" dxfId="44" priority="17">
      <formula>$X$22&gt;=$J$11</formula>
    </cfRule>
  </conditionalFormatting>
  <conditionalFormatting sqref="O8 O12 O16 O22 O26 O28 O34 O38 X8 X14 X22 O40">
    <cfRule type="cellIs" dxfId="43" priority="16" operator="equal">
      <formula>"n/a"</formula>
    </cfRule>
  </conditionalFormatting>
  <conditionalFormatting sqref="X16">
    <cfRule type="cellIs" dxfId="42" priority="15" operator="equal">
      <formula>"n/a"</formula>
    </cfRule>
  </conditionalFormatting>
  <conditionalFormatting sqref="X24">
    <cfRule type="cellIs" dxfId="41" priority="11" operator="equal">
      <formula>"n/a"</formula>
    </cfRule>
  </conditionalFormatting>
  <conditionalFormatting sqref="V28:AC33">
    <cfRule type="expression" dxfId="40" priority="7">
      <formula>$X$22&gt;=$J$11</formula>
    </cfRule>
  </conditionalFormatting>
  <conditionalFormatting sqref="H23">
    <cfRule type="expression" dxfId="39" priority="241">
      <formula>AND($O$22-$O$28&lt;=0.1,$AG$1=1)</formula>
    </cfRule>
  </conditionalFormatting>
  <conditionalFormatting sqref="F23:G23">
    <cfRule type="expression" dxfId="38" priority="243">
      <formula>AND($O$22-$O$28&lt;=0.1,$AG$1=1)</formula>
    </cfRule>
  </conditionalFormatting>
  <conditionalFormatting sqref="H36:I38">
    <cfRule type="expression" dxfId="37" priority="247">
      <formula>X22&lt;=J11</formula>
    </cfRule>
  </conditionalFormatting>
  <conditionalFormatting sqref="B37">
    <cfRule type="expression" dxfId="36" priority="248">
      <formula>X22&lt;=J11</formula>
    </cfRule>
  </conditionalFormatting>
  <conditionalFormatting sqref="D16">
    <cfRule type="cellIs" dxfId="35" priority="1" operator="notBetween">
      <formula>1.5</formula>
      <formula>0.7</formula>
    </cfRule>
  </conditionalFormatting>
  <pageMargins left="0.25" right="0.25" top="0.75" bottom="0.75" header="0.3" footer="0.3"/>
  <pageSetup paperSize="9" scale="8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85027" r:id="rId4" name="Button 3">
              <controlPr defaultSize="0" autoFill="0" autoPict="0" macro="[0]!Home">
                <anchor>
                  <from>
                    <xdr:col>8</xdr:col>
                    <xdr:colOff>222250</xdr:colOff>
                    <xdr:row>0</xdr:row>
                    <xdr:rowOff>57150</xdr:rowOff>
                  </from>
                  <to>
                    <xdr:col>10</xdr:col>
                    <xdr:colOff>12700</xdr:colOff>
                    <xdr:row>2</xdr:row>
                    <xdr:rowOff>69850</xdr:rowOff>
                  </to>
                </anchor>
              </controlPr>
            </control>
          </mc:Choice>
        </mc:AlternateContent>
        <mc:AlternateContent xmlns:mc="http://schemas.openxmlformats.org/markup-compatibility/2006">
          <mc:Choice Requires="x14">
            <control shapeId="385028" r:id="rId5" name="Button 4">
              <controlPr defaultSize="0" autoFill="0" autoPict="0" macro="[0]!Wheel_clear">
                <anchor>
                  <from>
                    <xdr:col>8</xdr:col>
                    <xdr:colOff>222250</xdr:colOff>
                    <xdr:row>2</xdr:row>
                    <xdr:rowOff>114300</xdr:rowOff>
                  </from>
                  <to>
                    <xdr:col>10</xdr:col>
                    <xdr:colOff>12700</xdr:colOff>
                    <xdr:row>4</xdr:row>
                    <xdr:rowOff>95250</xdr:rowOff>
                  </to>
                </anchor>
              </controlPr>
            </control>
          </mc:Choice>
        </mc:AlternateContent>
        <mc:AlternateContent xmlns:mc="http://schemas.openxmlformats.org/markup-compatibility/2006">
          <mc:Choice Requires="x14">
            <control shapeId="385029" r:id="rId6" name="Button 5">
              <controlPr defaultSize="0" autoFill="0" autoPict="0" macro="[0]!Coil">
                <anchor>
                  <from>
                    <xdr:col>6</xdr:col>
                    <xdr:colOff>508000</xdr:colOff>
                    <xdr:row>12</xdr:row>
                    <xdr:rowOff>0</xdr:rowOff>
                  </from>
                  <to>
                    <xdr:col>8</xdr:col>
                    <xdr:colOff>260350</xdr:colOff>
                    <xdr:row>13</xdr:row>
                    <xdr:rowOff>165100</xdr:rowOff>
                  </to>
                </anchor>
              </controlPr>
            </control>
          </mc:Choice>
        </mc:AlternateContent>
        <mc:AlternateContent xmlns:mc="http://schemas.openxmlformats.org/markup-compatibility/2006">
          <mc:Choice Requires="x14">
            <control shapeId="385033" r:id="rId7" name="Option Button 9">
              <controlPr defaultSize="0" autoFill="0" autoLine="0" autoPict="0">
                <anchor moveWithCells="1">
                  <from>
                    <xdr:col>0</xdr:col>
                    <xdr:colOff>171450</xdr:colOff>
                    <xdr:row>2</xdr:row>
                    <xdr:rowOff>146050</xdr:rowOff>
                  </from>
                  <to>
                    <xdr:col>2</xdr:col>
                    <xdr:colOff>381000</xdr:colOff>
                    <xdr:row>4</xdr:row>
                    <xdr:rowOff>19050</xdr:rowOff>
                  </to>
                </anchor>
              </controlPr>
            </control>
          </mc:Choice>
        </mc:AlternateContent>
        <mc:AlternateContent xmlns:mc="http://schemas.openxmlformats.org/markup-compatibility/2006">
          <mc:Choice Requires="x14">
            <control shapeId="385034" r:id="rId8" name="Option Button 10">
              <controlPr defaultSize="0" autoFill="0" autoLine="0" autoPict="0">
                <anchor moveWithCells="1">
                  <from>
                    <xdr:col>0</xdr:col>
                    <xdr:colOff>171450</xdr:colOff>
                    <xdr:row>1</xdr:row>
                    <xdr:rowOff>146050</xdr:rowOff>
                  </from>
                  <to>
                    <xdr:col>2</xdr:col>
                    <xdr:colOff>381000</xdr:colOff>
                    <xdr:row>3</xdr:row>
                    <xdr:rowOff>31750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3"/>
  <dimension ref="A1:CJ67"/>
  <sheetViews>
    <sheetView zoomScale="70" zoomScaleNormal="70" workbookViewId="0">
      <selection activeCell="AR1" sqref="A1:XFD1048576"/>
    </sheetView>
  </sheetViews>
  <sheetFormatPr defaultColWidth="10.26953125" defaultRowHeight="17"/>
  <cols>
    <col min="1" max="1" width="26.81640625" style="21" customWidth="1"/>
    <col min="2" max="8" width="10.26953125" style="21" customWidth="1"/>
    <col min="9" max="9" width="15.54296875" style="21" customWidth="1"/>
    <col min="10" max="11" width="10.26953125" style="21" customWidth="1"/>
    <col min="12" max="12" width="26.81640625" style="21" customWidth="1"/>
    <col min="13" max="19" width="10.26953125" style="21" customWidth="1"/>
    <col min="20" max="20" width="15.54296875" style="21" customWidth="1"/>
    <col min="21" max="22" width="10.26953125" style="21" customWidth="1"/>
    <col min="23" max="23" width="26.81640625" style="21" customWidth="1"/>
    <col min="24" max="30" width="10.26953125" style="21" customWidth="1"/>
    <col min="31" max="31" width="15.54296875" style="21" customWidth="1"/>
    <col min="32" max="33" width="10.26953125" style="21" customWidth="1"/>
    <col min="34" max="34" width="26.81640625" style="21" customWidth="1"/>
    <col min="35" max="41" width="10.26953125" style="21" customWidth="1"/>
    <col min="42" max="42" width="15.54296875" style="21" customWidth="1"/>
    <col min="43" max="43" width="10.26953125" style="21" customWidth="1"/>
    <col min="44" max="44" width="10.26953125" style="21"/>
    <col min="45" max="45" width="26.81640625" style="21" customWidth="1"/>
    <col min="46" max="52" width="10.26953125" style="21" customWidth="1"/>
    <col min="53" max="53" width="15.54296875" style="21" customWidth="1"/>
    <col min="54" max="54" width="10.26953125" style="21" customWidth="1"/>
    <col min="55" max="55" width="9.54296875" style="21" customWidth="1"/>
    <col min="56" max="56" width="26.81640625" style="21" customWidth="1"/>
    <col min="57" max="63" width="10.26953125" style="21" customWidth="1"/>
    <col min="64" max="64" width="15.54296875" style="21" bestFit="1" customWidth="1"/>
    <col min="65" max="66" width="10.26953125" style="21"/>
    <col min="67" max="67" width="26.81640625" style="21" customWidth="1"/>
    <col min="68" max="74" width="10.26953125" style="21" customWidth="1"/>
    <col min="75" max="75" width="15.54296875" style="21" bestFit="1" customWidth="1"/>
    <col min="76" max="77" width="10.26953125" style="21"/>
    <col min="78" max="78" width="26.81640625" style="21" customWidth="1"/>
    <col min="79" max="85" width="10.26953125" style="21" customWidth="1"/>
    <col min="86" max="86" width="15.54296875" style="21" bestFit="1" customWidth="1"/>
    <col min="87" max="16384" width="10.26953125" style="21"/>
  </cols>
  <sheetData>
    <row r="1" spans="1:87">
      <c r="A1" s="1789" t="s">
        <v>2439</v>
      </c>
      <c r="B1" s="1789"/>
      <c r="C1" s="1789"/>
      <c r="D1" s="1789"/>
      <c r="E1" s="1789"/>
      <c r="F1" s="1789"/>
      <c r="G1" s="1789"/>
      <c r="H1" s="1789"/>
      <c r="I1" s="1789"/>
      <c r="J1" s="1789"/>
      <c r="L1" s="1789" t="s">
        <v>2440</v>
      </c>
      <c r="M1" s="1789"/>
      <c r="N1" s="1789"/>
      <c r="O1" s="1789"/>
      <c r="P1" s="1789"/>
      <c r="Q1" s="1789"/>
      <c r="R1" s="1789"/>
      <c r="S1" s="1789"/>
      <c r="T1" s="1789"/>
      <c r="U1" s="1789"/>
      <c r="W1" s="1789" t="s">
        <v>2441</v>
      </c>
      <c r="X1" s="1789"/>
      <c r="Y1" s="1789"/>
      <c r="Z1" s="1789"/>
      <c r="AA1" s="1789"/>
      <c r="AB1" s="1789"/>
      <c r="AC1" s="1789"/>
      <c r="AD1" s="1789"/>
      <c r="AE1" s="1789"/>
      <c r="AF1" s="1789"/>
      <c r="AH1" s="1789" t="s">
        <v>2442</v>
      </c>
      <c r="AI1" s="1789"/>
      <c r="AJ1" s="1789"/>
      <c r="AK1" s="1789"/>
      <c r="AL1" s="1789"/>
      <c r="AM1" s="1789"/>
      <c r="AN1" s="1789"/>
      <c r="AO1" s="1789"/>
      <c r="AP1" s="1789"/>
      <c r="AQ1" s="1789"/>
      <c r="AS1" s="1789" t="s">
        <v>2443</v>
      </c>
      <c r="AT1" s="1789"/>
      <c r="AU1" s="1789"/>
      <c r="AV1" s="1789"/>
      <c r="AW1" s="1789"/>
      <c r="AX1" s="1789"/>
      <c r="AY1" s="1789"/>
      <c r="AZ1" s="1789"/>
      <c r="BA1" s="1789"/>
      <c r="BB1" s="1789"/>
      <c r="BD1" s="1789" t="s">
        <v>2444</v>
      </c>
      <c r="BE1" s="1789"/>
      <c r="BF1" s="1789"/>
      <c r="BG1" s="1789"/>
      <c r="BH1" s="1789"/>
      <c r="BI1" s="1789"/>
      <c r="BJ1" s="1789"/>
      <c r="BK1" s="1789"/>
      <c r="BL1" s="1789"/>
      <c r="BM1" s="1789"/>
      <c r="BO1" s="1789" t="s">
        <v>2437</v>
      </c>
      <c r="BP1" s="1789"/>
      <c r="BQ1" s="1789"/>
      <c r="BR1" s="1789"/>
      <c r="BS1" s="1789"/>
      <c r="BT1" s="1789"/>
      <c r="BU1" s="1789"/>
      <c r="BV1" s="1789"/>
      <c r="BW1" s="1789"/>
      <c r="BX1" s="1789"/>
      <c r="BZ1" s="1789" t="s">
        <v>2438</v>
      </c>
      <c r="CA1" s="1789"/>
      <c r="CB1" s="1789"/>
      <c r="CC1" s="1789"/>
      <c r="CD1" s="1789"/>
      <c r="CE1" s="1789"/>
      <c r="CF1" s="1789"/>
      <c r="CG1" s="1789"/>
      <c r="CH1" s="1789"/>
      <c r="CI1" s="1789"/>
    </row>
    <row r="2" spans="1:87">
      <c r="B2" s="1650">
        <f>Wheel!AE4</f>
        <v>0</v>
      </c>
      <c r="E2" s="1651" t="s">
        <v>1331</v>
      </c>
      <c r="F2" s="1650">
        <f>Wheel!$G$3</f>
        <v>101.325</v>
      </c>
      <c r="G2" s="848" t="s">
        <v>127</v>
      </c>
      <c r="M2" s="1650">
        <f>Wheel!AE7</f>
        <v>0</v>
      </c>
      <c r="P2" s="1651" t="s">
        <v>1331</v>
      </c>
      <c r="Q2" s="1650">
        <f>Wheel!$G$3</f>
        <v>101.325</v>
      </c>
      <c r="R2" s="848" t="s">
        <v>127</v>
      </c>
      <c r="X2" s="1650">
        <f>Wheel!AE10</f>
        <v>0</v>
      </c>
      <c r="AA2" s="1651" t="s">
        <v>1331</v>
      </c>
      <c r="AB2" s="1650">
        <f>Wheel!$G$3</f>
        <v>101.325</v>
      </c>
      <c r="AC2" s="848" t="s">
        <v>127</v>
      </c>
      <c r="AI2" s="1650">
        <f>Wheel!AE13</f>
        <v>0</v>
      </c>
      <c r="AL2" s="1651" t="s">
        <v>1331</v>
      </c>
      <c r="AM2" s="1650">
        <f>Wheel!$G$3</f>
        <v>101.325</v>
      </c>
      <c r="AN2" s="848" t="s">
        <v>127</v>
      </c>
      <c r="AT2" s="1650" t="str">
        <f>Wheel!BV11</f>
        <v>n/a</v>
      </c>
      <c r="AW2" s="1651" t="s">
        <v>1331</v>
      </c>
      <c r="AX2" s="1650">
        <f>Wheel!$G$3</f>
        <v>101.325</v>
      </c>
      <c r="AY2" s="848" t="s">
        <v>127</v>
      </c>
      <c r="BE2" s="1650" t="str">
        <f>Wheel!CK11</f>
        <v>n/a</v>
      </c>
      <c r="BH2" s="1651" t="s">
        <v>1331</v>
      </c>
      <c r="BI2" s="1650">
        <f>Wheel!$G$3</f>
        <v>101.325</v>
      </c>
      <c r="BJ2" s="848" t="s">
        <v>127</v>
      </c>
      <c r="BP2" s="1650" t="str">
        <f>Wheel!CZ11</f>
        <v>n/a</v>
      </c>
      <c r="BS2" s="1651" t="s">
        <v>1331</v>
      </c>
      <c r="BT2" s="1650">
        <f>Wheel!$G$3</f>
        <v>101.325</v>
      </c>
      <c r="BU2" s="848" t="s">
        <v>127</v>
      </c>
      <c r="CA2" s="1650" t="str">
        <f>Wheel!DO11</f>
        <v>n/a</v>
      </c>
      <c r="CD2" s="1651" t="s">
        <v>1331</v>
      </c>
      <c r="CE2" s="1650">
        <f>Wheel!$G$3</f>
        <v>101.325</v>
      </c>
      <c r="CF2" s="848" t="s">
        <v>127</v>
      </c>
    </row>
    <row r="3" spans="1:87">
      <c r="B3" s="1650">
        <f>Wheel!AG4</f>
        <v>0</v>
      </c>
      <c r="E3" s="1651" t="s">
        <v>1332</v>
      </c>
      <c r="F3" s="1650">
        <f>Wheel!$G$4</f>
        <v>1.2</v>
      </c>
      <c r="G3" s="848" t="s">
        <v>216</v>
      </c>
      <c r="M3" s="1650">
        <f>Wheel!AG7</f>
        <v>0</v>
      </c>
      <c r="P3" s="1651" t="s">
        <v>1332</v>
      </c>
      <c r="Q3" s="1650">
        <f>Wheel!$G$4</f>
        <v>1.2</v>
      </c>
      <c r="R3" s="848" t="s">
        <v>216</v>
      </c>
      <c r="X3" s="1650">
        <f>Wheel!AG10</f>
        <v>0</v>
      </c>
      <c r="AA3" s="1651" t="s">
        <v>1332</v>
      </c>
      <c r="AB3" s="1650">
        <f>Wheel!$G$4</f>
        <v>1.2</v>
      </c>
      <c r="AC3" s="848" t="s">
        <v>216</v>
      </c>
      <c r="AI3" s="1650">
        <f>Wheel!AG13</f>
        <v>0</v>
      </c>
      <c r="AL3" s="1651" t="s">
        <v>1332</v>
      </c>
      <c r="AM3" s="1650">
        <f>Wheel!$G$4</f>
        <v>1.2</v>
      </c>
      <c r="AN3" s="848" t="s">
        <v>216</v>
      </c>
      <c r="AT3" s="1650" t="e">
        <f>Wheel!CH6</f>
        <v>#N/A</v>
      </c>
      <c r="AW3" s="1651" t="s">
        <v>1332</v>
      </c>
      <c r="AX3" s="1650">
        <f>Wheel!$G$4</f>
        <v>1.2</v>
      </c>
      <c r="AY3" s="848" t="s">
        <v>216</v>
      </c>
      <c r="BE3" s="1650" t="e">
        <f>Wheel!CX6</f>
        <v>#N/A</v>
      </c>
      <c r="BH3" s="1651" t="s">
        <v>1332</v>
      </c>
      <c r="BI3" s="1650">
        <f>Wheel!$G$4</f>
        <v>1.2</v>
      </c>
      <c r="BJ3" s="848" t="s">
        <v>216</v>
      </c>
      <c r="BP3" s="1650">
        <f>Wheel!DH6+Wheel!DL6</f>
        <v>0</v>
      </c>
      <c r="BS3" s="1651" t="s">
        <v>1332</v>
      </c>
      <c r="BT3" s="1650">
        <f>Wheel!$G$4</f>
        <v>1.2</v>
      </c>
      <c r="BU3" s="848" t="s">
        <v>216</v>
      </c>
      <c r="CA3" s="1650">
        <f>Wheel!DW6+Wheel!EA6</f>
        <v>0</v>
      </c>
      <c r="CD3" s="1651" t="s">
        <v>1332</v>
      </c>
      <c r="CE3" s="1650">
        <f>Wheel!$G$4</f>
        <v>1.2</v>
      </c>
      <c r="CF3" s="848" t="s">
        <v>216</v>
      </c>
    </row>
    <row r="5" spans="1:87" ht="17.5">
      <c r="A5" s="23" t="s">
        <v>65</v>
      </c>
      <c r="B5" s="21">
        <f>273.15+B2</f>
        <v>273.14999999999998</v>
      </c>
      <c r="L5" s="23" t="s">
        <v>65</v>
      </c>
      <c r="M5" s="21">
        <f>273.15+M2</f>
        <v>273.14999999999998</v>
      </c>
      <c r="W5" s="23" t="s">
        <v>65</v>
      </c>
      <c r="X5" s="21">
        <f>273.15+X2</f>
        <v>273.14999999999998</v>
      </c>
      <c r="AH5" s="23" t="s">
        <v>65</v>
      </c>
      <c r="AI5" s="21">
        <f>273.15+AI2</f>
        <v>273.14999999999998</v>
      </c>
      <c r="AS5" s="23" t="s">
        <v>65</v>
      </c>
      <c r="AT5" s="21" t="e">
        <f>273.15+AT2</f>
        <v>#VALUE!</v>
      </c>
      <c r="BC5" s="23"/>
      <c r="BD5" s="23" t="s">
        <v>65</v>
      </c>
      <c r="BE5" s="21" t="e">
        <f>273.15+BE2</f>
        <v>#VALUE!</v>
      </c>
      <c r="BO5" s="23" t="s">
        <v>65</v>
      </c>
      <c r="BP5" s="21" t="e">
        <f>273.15+BP2</f>
        <v>#VALUE!</v>
      </c>
      <c r="BZ5" s="23" t="s">
        <v>65</v>
      </c>
      <c r="CA5" s="21" t="e">
        <f>273.15+CA2</f>
        <v>#VALUE!</v>
      </c>
    </row>
    <row r="6" spans="1:87">
      <c r="A6" s="20">
        <f>IF(B5&lt;273.16,-5674.5359/B5+6.3925247-0.009677843*B5,-5800.2206/B5+1.3914993-0.048640239*B5)</f>
        <v>-17.025409380322781</v>
      </c>
      <c r="L6" s="20">
        <f>IF(M5&lt;273.16,-5674.5359/M5+6.3925247-0.009677843*M5,-5800.2206/M5+1.3914993-0.048640239*M5)</f>
        <v>-17.025409380322781</v>
      </c>
      <c r="W6" s="20">
        <f>IF(X5&lt;273.16,-5674.5359/X5+6.3925247-0.009677843*X5,-5800.2206/X5+1.3914993-0.048640239*X5)</f>
        <v>-17.025409380322781</v>
      </c>
      <c r="AH6" s="20">
        <f>IF(AI5&lt;273.16,-5674.5359/AI5+6.3925247-0.009677843*AI5,-5800.2206/AI5+1.3914993-0.048640239*AI5)</f>
        <v>-17.025409380322781</v>
      </c>
      <c r="AS6" s="20" t="e">
        <f>IF(AT5&lt;273.16,-5674.5359/AT5+6.3925247-0.009677843*AT5,-5800.2206/AT5+1.3914993-0.048640239*AT5)</f>
        <v>#VALUE!</v>
      </c>
      <c r="BD6" s="20" t="e">
        <f>IF(BE5&lt;273.16,-5674.5359/BE5+6.3925247-0.009677843*BE5,-5800.2206/BE5+1.3914993-0.048640239*BE5)</f>
        <v>#VALUE!</v>
      </c>
      <c r="BO6" s="20" t="e">
        <f>IF(BP5&lt;273.16,-5674.5359/BP5+6.3925247-0.009677843*BP5,-5800.2206/BP5+1.3914993-0.048640239*BP5)</f>
        <v>#VALUE!</v>
      </c>
      <c r="BZ6" s="20" t="e">
        <f>IF(CA5&lt;273.16,-5674.5359/CA5+6.3925247-0.009677843*CA5,-5800.2206/CA5+1.3914993-0.048640239*CA5)</f>
        <v>#VALUE!</v>
      </c>
    </row>
    <row r="7" spans="1:87">
      <c r="A7" s="21">
        <f>IF(B5&lt;273.16,0.00000062215701*POWER(B5,2)+0.0000000020747825*POWER(B5,3)-0.000000000000948402*POWER(B5,4)+4.1635019*LN(B5),0.000041764768*POWER(B5,2)-0.000000014452093*POWER(B5,3)+6.5459673*LN(B5))</f>
        <v>23.440757653659677</v>
      </c>
      <c r="L7" s="21">
        <f>IF(M5&lt;273.16,0.00000062215701*POWER(M5,2)+0.0000000020747825*POWER(M5,3)-0.000000000000948402*POWER(M5,4)+4.1635019*LN(M5),0.000041764768*POWER(M5,2)-0.000000014452093*POWER(M5,3)+6.5459673*LN(M5))</f>
        <v>23.440757653659677</v>
      </c>
      <c r="W7" s="21">
        <f>IF(X5&lt;273.16,0.00000062215701*POWER(X5,2)+0.0000000020747825*POWER(X5,3)-0.000000000000948402*POWER(X5,4)+4.1635019*LN(X5),0.000041764768*POWER(X5,2)-0.000000014452093*POWER(X5,3)+6.5459673*LN(X5))</f>
        <v>23.440757653659677</v>
      </c>
      <c r="AH7" s="21">
        <f>IF(AI5&lt;273.16,0.00000062215701*POWER(AI5,2)+0.0000000020747825*POWER(AI5,3)-0.000000000000948402*POWER(AI5,4)+4.1635019*LN(AI5),0.000041764768*POWER(AI5,2)-0.000000014452093*POWER(AI5,3)+6.5459673*LN(AI5))</f>
        <v>23.440757653659677</v>
      </c>
      <c r="AS7" s="21" t="e">
        <f>IF(AT5&lt;273.16,0.00000062215701*POWER(AT5,2)+0.0000000020747825*POWER(AT5,3)-0.000000000000948402*POWER(AT5,4)+4.1635019*LN(AT5),0.000041764768*POWER(AT5,2)-0.000000014452093*POWER(AT5,3)+6.5459673*LN(AT5))</f>
        <v>#VALUE!</v>
      </c>
      <c r="BD7" s="21" t="e">
        <f>IF(BE5&lt;273.16,0.00000062215701*POWER(BE5,2)+0.0000000020747825*POWER(BE5,3)-0.000000000000948402*POWER(BE5,4)+4.1635019*LN(BE5),0.000041764768*POWER(BE5,2)-0.000000014452093*POWER(BE5,3)+6.5459673*LN(BE5))</f>
        <v>#VALUE!</v>
      </c>
      <c r="BO7" s="21" t="e">
        <f>IF(BP5&lt;273.16,0.00000062215701*POWER(BP5,2)+0.0000000020747825*POWER(BP5,3)-0.000000000000948402*POWER(BP5,4)+4.1635019*LN(BP5),0.000041764768*POWER(BP5,2)-0.000000014452093*POWER(BP5,3)+6.5459673*LN(BP5))</f>
        <v>#VALUE!</v>
      </c>
      <c r="BZ7" s="21" t="e">
        <f>IF(CA5&lt;273.16,0.00000062215701*POWER(CA5,2)+0.0000000020747825*POWER(CA5,3)-0.000000000000948402*POWER(CA5,4)+4.1635019*LN(CA5),0.000041764768*POWER(CA5,2)-0.000000014452093*POWER(CA5,3)+6.5459673*LN(CA5))</f>
        <v>#VALUE!</v>
      </c>
    </row>
    <row r="8" spans="1:87">
      <c r="A8" s="21">
        <f>EXP(A6+A7)/1000</f>
        <v>0.61115357225163158</v>
      </c>
      <c r="L8" s="21">
        <f>EXP(L6+L7)/1000</f>
        <v>0.61115357225163158</v>
      </c>
      <c r="W8" s="21">
        <f>EXP(W6+W7)/1000</f>
        <v>0.61115357225163158</v>
      </c>
      <c r="AH8" s="21">
        <f>EXP(AH6+AH7)/1000</f>
        <v>0.61115357225163158</v>
      </c>
      <c r="AS8" s="21" t="e">
        <f>EXP(AS6+AS7)/1000</f>
        <v>#VALUE!</v>
      </c>
      <c r="BD8" s="21" t="e">
        <f>EXP(BD6+BD7)/1000</f>
        <v>#VALUE!</v>
      </c>
      <c r="BO8" s="21" t="e">
        <f>EXP(BO6+BO7)/1000</f>
        <v>#VALUE!</v>
      </c>
      <c r="BZ8" s="21" t="e">
        <f>EXP(BZ6+BZ7)/1000</f>
        <v>#VALUE!</v>
      </c>
    </row>
    <row r="10" spans="1:87" ht="17.5">
      <c r="A10" s="23" t="s">
        <v>66</v>
      </c>
      <c r="L10" s="23" t="s">
        <v>66</v>
      </c>
      <c r="W10" s="23" t="s">
        <v>66</v>
      </c>
      <c r="AH10" s="23" t="s">
        <v>66</v>
      </c>
      <c r="AS10" s="23" t="s">
        <v>66</v>
      </c>
      <c r="BC10" s="23"/>
      <c r="BD10" s="23" t="s">
        <v>66</v>
      </c>
      <c r="BO10" s="23" t="s">
        <v>66</v>
      </c>
      <c r="BZ10" s="23" t="s">
        <v>66</v>
      </c>
    </row>
    <row r="11" spans="1:87">
      <c r="A11" s="21">
        <f>B3/100*A8</f>
        <v>0</v>
      </c>
      <c r="L11" s="21">
        <f>M3/100*L8</f>
        <v>0</v>
      </c>
      <c r="W11" s="21">
        <f>X3/100*W8</f>
        <v>0</v>
      </c>
      <c r="AH11" s="21">
        <f>AI3/100*AH8</f>
        <v>0</v>
      </c>
      <c r="AS11" s="21" t="e">
        <f>AT3/100*AS8</f>
        <v>#N/A</v>
      </c>
      <c r="BD11" s="21" t="e">
        <f>BE3/100*BD8</f>
        <v>#N/A</v>
      </c>
      <c r="BO11" s="21" t="e">
        <f>BP3/100*BO8</f>
        <v>#VALUE!</v>
      </c>
      <c r="BZ11" s="21" t="e">
        <f>CA3/100*BZ8</f>
        <v>#VALUE!</v>
      </c>
    </row>
    <row r="13" spans="1:87">
      <c r="A13" s="23" t="s">
        <v>19</v>
      </c>
      <c r="L13" s="23" t="s">
        <v>19</v>
      </c>
      <c r="W13" s="23" t="s">
        <v>19</v>
      </c>
      <c r="AH13" s="23" t="s">
        <v>19</v>
      </c>
      <c r="AS13" s="23" t="s">
        <v>19</v>
      </c>
      <c r="BC13" s="23"/>
      <c r="BD13" s="23" t="s">
        <v>19</v>
      </c>
      <c r="BO13" s="23" t="s">
        <v>19</v>
      </c>
      <c r="BZ13" s="23" t="s">
        <v>19</v>
      </c>
    </row>
    <row r="14" spans="1:87">
      <c r="A14" s="21">
        <f>0.62198*(A11/(F2-A11))</f>
        <v>0</v>
      </c>
      <c r="L14" s="21">
        <f>0.62198*(L11/(Q2-L11))</f>
        <v>0</v>
      </c>
      <c r="W14" s="21">
        <f>0.62198*(W11/(AB2-W11))</f>
        <v>0</v>
      </c>
      <c r="AH14" s="21">
        <f>0.62198*(AH11/(AM2-AH11))</f>
        <v>0</v>
      </c>
      <c r="AS14" s="21" t="e">
        <f>0.62198*(AS11/(AX2-AS11))</f>
        <v>#N/A</v>
      </c>
      <c r="BD14" s="21" t="e">
        <f>0.62198*(BD11/(BI2-BD11))</f>
        <v>#N/A</v>
      </c>
      <c r="BO14" s="21" t="e">
        <f>0.62198*(BO11/(BT2-BO11))</f>
        <v>#VALUE!</v>
      </c>
      <c r="BZ14" s="21" t="e">
        <f>0.62198*(BZ11/(CE2-BZ11))</f>
        <v>#VALUE!</v>
      </c>
    </row>
    <row r="16" spans="1:87" ht="17.5">
      <c r="A16" s="23" t="s">
        <v>51</v>
      </c>
      <c r="L16" s="23" t="s">
        <v>51</v>
      </c>
      <c r="W16" s="23" t="s">
        <v>51</v>
      </c>
      <c r="AH16" s="23" t="s">
        <v>51</v>
      </c>
      <c r="AS16" s="23" t="s">
        <v>51</v>
      </c>
      <c r="BC16" s="23"/>
      <c r="BD16" s="23" t="s">
        <v>51</v>
      </c>
      <c r="BO16" s="23" t="s">
        <v>51</v>
      </c>
      <c r="BZ16" s="23" t="s">
        <v>51</v>
      </c>
    </row>
    <row r="17" spans="1:78">
      <c r="A17" s="21">
        <f>0.62198*(A8/(F2-A8))</f>
        <v>3.7743102100838721E-3</v>
      </c>
      <c r="L17" s="21">
        <f>0.62198*(L8/(Q2-L8))</f>
        <v>3.7743102100838721E-3</v>
      </c>
      <c r="W17" s="21">
        <f>0.62198*(W8/(AB2-W8))</f>
        <v>3.7743102100838721E-3</v>
      </c>
      <c r="AH17" s="21">
        <f>0.62198*(AH8/(AM2-AH8))</f>
        <v>3.7743102100838721E-3</v>
      </c>
      <c r="AS17" s="21" t="e">
        <f>0.62198*(AS8/(AX2-AS8))</f>
        <v>#VALUE!</v>
      </c>
      <c r="BD17" s="21" t="e">
        <f>0.62198*(BD8/(BI2-BD8))</f>
        <v>#VALUE!</v>
      </c>
      <c r="BO17" s="21" t="e">
        <f>0.62198*(BO8/(BT2-BO8))</f>
        <v>#VALUE!</v>
      </c>
      <c r="BZ17" s="21" t="e">
        <f>0.62198*(BZ8/(CE2-BZ8))</f>
        <v>#VALUE!</v>
      </c>
    </row>
    <row r="19" spans="1:78">
      <c r="A19" s="23" t="s">
        <v>21</v>
      </c>
      <c r="L19" s="23" t="s">
        <v>21</v>
      </c>
      <c r="W19" s="23" t="s">
        <v>21</v>
      </c>
      <c r="AH19" s="23" t="s">
        <v>21</v>
      </c>
      <c r="AS19" s="23" t="s">
        <v>21</v>
      </c>
      <c r="BC19" s="23"/>
      <c r="BD19" s="23" t="s">
        <v>21</v>
      </c>
      <c r="BO19" s="23" t="s">
        <v>21</v>
      </c>
      <c r="BZ19" s="23" t="s">
        <v>21</v>
      </c>
    </row>
    <row r="20" spans="1:78">
      <c r="A20" s="21">
        <f>A14/A17</f>
        <v>0</v>
      </c>
      <c r="L20" s="21">
        <f>L14/L17</f>
        <v>0</v>
      </c>
      <c r="W20" s="21">
        <f>W14/W17</f>
        <v>0</v>
      </c>
      <c r="AH20" s="21">
        <f>AH14/AH17</f>
        <v>0</v>
      </c>
      <c r="AS20" s="21" t="e">
        <f>AS14/AS17</f>
        <v>#N/A</v>
      </c>
      <c r="BD20" s="21" t="e">
        <f>BD14/BD17</f>
        <v>#N/A</v>
      </c>
      <c r="BO20" s="21" t="e">
        <f>BO14/BO17</f>
        <v>#VALUE!</v>
      </c>
      <c r="BZ20" s="21" t="e">
        <f>BZ14/BZ17</f>
        <v>#VALUE!</v>
      </c>
    </row>
    <row r="22" spans="1:78">
      <c r="A22" s="23" t="s">
        <v>22</v>
      </c>
      <c r="L22" s="23" t="s">
        <v>22</v>
      </c>
      <c r="W22" s="23" t="s">
        <v>22</v>
      </c>
      <c r="AH22" s="23" t="s">
        <v>22</v>
      </c>
      <c r="AS22" s="23" t="s">
        <v>22</v>
      </c>
      <c r="BC22" s="23"/>
      <c r="BD22" s="23" t="s">
        <v>22</v>
      </c>
      <c r="BO22" s="23" t="s">
        <v>22</v>
      </c>
      <c r="BZ22" s="23" t="s">
        <v>22</v>
      </c>
    </row>
    <row r="23" spans="1:78">
      <c r="A23" s="21">
        <f>0.2871*(B2+273.15)*(1+1.6078*A14)/F2</f>
        <v>0.77395869726128785</v>
      </c>
      <c r="L23" s="21">
        <f>0.2871*(M2+273.15)*(1+1.6078*L14)/Q2</f>
        <v>0.77395869726128785</v>
      </c>
      <c r="W23" s="21">
        <f>0.2871*(X2+273.15)*(1+1.6078*W14)/AB2</f>
        <v>0.77395869726128785</v>
      </c>
      <c r="AH23" s="21">
        <f>0.2871*(AI2+273.15)*(1+1.6078*AH14)/AM2</f>
        <v>0.77395869726128785</v>
      </c>
      <c r="AS23" s="21" t="e">
        <f>0.2871*(AT2+273.15)*(1+1.6078*AS14)/AX2</f>
        <v>#VALUE!</v>
      </c>
      <c r="BD23" s="21" t="e">
        <f>0.2871*(BE2+273.15)*(1+1.6078*BD14)/BI2</f>
        <v>#VALUE!</v>
      </c>
      <c r="BO23" s="21" t="e">
        <f>0.2871*(BP2+273.15)*(1+1.6078*BO14)/BT2</f>
        <v>#VALUE!</v>
      </c>
      <c r="BZ23" s="21" t="e">
        <f>0.2871*(CA2+273.15)*(1+1.6078*BZ14)/CE2</f>
        <v>#VALUE!</v>
      </c>
    </row>
    <row r="25" spans="1:78">
      <c r="A25" s="23" t="s">
        <v>23</v>
      </c>
      <c r="L25" s="23" t="s">
        <v>23</v>
      </c>
      <c r="W25" s="23" t="s">
        <v>23</v>
      </c>
      <c r="AH25" s="23" t="s">
        <v>23</v>
      </c>
      <c r="AS25" s="23" t="s">
        <v>23</v>
      </c>
      <c r="BC25" s="23"/>
      <c r="BD25" s="23" t="s">
        <v>23</v>
      </c>
      <c r="BO25" s="23" t="s">
        <v>23</v>
      </c>
      <c r="BZ25" s="23" t="s">
        <v>23</v>
      </c>
    </row>
    <row r="26" spans="1:78">
      <c r="A26" s="21">
        <f>1.006*B2+A14*(2501+1.805*B2)</f>
        <v>0</v>
      </c>
      <c r="L26" s="21">
        <f>1.006*M2+L14*(2501+1.805*M2)</f>
        <v>0</v>
      </c>
      <c r="W26" s="21">
        <f>1.006*X2+W14*(2501+1.805*X2)</f>
        <v>0</v>
      </c>
      <c r="AH26" s="21">
        <f>1.006*AI2+AH14*(2501+1.805*AI2)</f>
        <v>0</v>
      </c>
      <c r="AS26" s="21" t="e">
        <f>1.006*AT2+AS14*(2501+1.805*AT2)</f>
        <v>#VALUE!</v>
      </c>
      <c r="BD26" s="21" t="e">
        <f>1.006*BE2+BD14*(2501+1.805*BE2)</f>
        <v>#VALUE!</v>
      </c>
      <c r="BO26" s="21" t="e">
        <f>1.006*BP2+BO14*(2501+1.805*BP2)</f>
        <v>#VALUE!</v>
      </c>
      <c r="BZ26" s="21" t="e">
        <f>1.006*CA2+BZ14*(2501+1.805*CA2)</f>
        <v>#VALUE!</v>
      </c>
    </row>
    <row r="28" spans="1:78" ht="17.5">
      <c r="A28" s="23" t="s">
        <v>48</v>
      </c>
      <c r="L28" s="23" t="s">
        <v>48</v>
      </c>
      <c r="W28" s="23" t="s">
        <v>48</v>
      </c>
      <c r="AH28" s="23" t="s">
        <v>48</v>
      </c>
      <c r="AS28" s="23" t="s">
        <v>48</v>
      </c>
      <c r="BC28" s="23"/>
      <c r="BD28" s="23" t="s">
        <v>48</v>
      </c>
      <c r="BO28" s="23" t="s">
        <v>48</v>
      </c>
      <c r="BZ28" s="23" t="s">
        <v>48</v>
      </c>
    </row>
    <row r="29" spans="1:78">
      <c r="A29" s="21" t="str">
        <f>IF(A11&lt;0.6112,"n/a (&lt;0C)",6.54+14.526*LN(A11)+0.7389*POWER(LN(A11),2)+0.09486*POWER(LN(A11),3)+0.4569*POWER(A11,0.1984))</f>
        <v>n/a (&lt;0C)</v>
      </c>
      <c r="L29" s="21" t="str">
        <f>IF(L11&lt;0.6112,"n/a (&lt;0C)",6.54+14.526*LN(L11)+0.7389*POWER(LN(L11),2)+0.09486*POWER(LN(L11),3)+0.4569*POWER(L11,0.1984))</f>
        <v>n/a (&lt;0C)</v>
      </c>
      <c r="W29" s="21" t="str">
        <f>IF(W11&lt;0.6112,"n/a (&lt;0C)",6.54+14.526*LN(W11)+0.7389*POWER(LN(W11),2)+0.09486*POWER(LN(W11),3)+0.4569*POWER(W11,0.1984))</f>
        <v>n/a (&lt;0C)</v>
      </c>
      <c r="AH29" s="21" t="str">
        <f>IF(AH11&lt;0.6112,"n/a (&lt;0C)",6.54+14.526*LN(AH11)+0.7389*POWER(LN(AH11),2)+0.09486*POWER(LN(AH11),3)+0.4569*POWER(AH11,0.1984))</f>
        <v>n/a (&lt;0C)</v>
      </c>
      <c r="AS29" s="21" t="e">
        <f>IF(AS11&lt;0.6112,"n/a (&lt;0C)",6.54+14.526*LN(AS11)+0.7389*POWER(LN(AS11),2)+0.09486*POWER(LN(AS11),3)+0.4569*POWER(AS11,0.1984))</f>
        <v>#N/A</v>
      </c>
      <c r="BD29" s="21" t="e">
        <f>IF(BD11&lt;0.6112,"n/a (&lt;0C)",6.54+14.526*LN(BD11)+0.7389*POWER(LN(BD11),2)+0.09486*POWER(LN(BD11),3)+0.4569*POWER(BD11,0.1984))</f>
        <v>#N/A</v>
      </c>
      <c r="BO29" s="21" t="e">
        <f>IF(BO11&lt;0.6112,"n/a (&lt;0C)",6.54+14.526*LN(BO11)+0.7389*POWER(LN(BO11),2)+0.09486*POWER(LN(BO11),3)+0.4569*POWER(BO11,0.1984))</f>
        <v>#VALUE!</v>
      </c>
      <c r="BZ29" s="21" t="e">
        <f>IF(BZ11&lt;0.6112,"n/a (&lt;0C)",6.54+14.526*LN(BZ11)+0.7389*POWER(LN(BZ11),2)+0.09486*POWER(LN(BZ11),3)+0.4569*POWER(BZ11,0.1984))</f>
        <v>#VALUE!</v>
      </c>
    </row>
    <row r="31" spans="1:78" ht="19">
      <c r="A31" s="23" t="s">
        <v>52</v>
      </c>
      <c r="L31" s="23" t="s">
        <v>52</v>
      </c>
      <c r="W31" s="23" t="s">
        <v>52</v>
      </c>
      <c r="AH31" s="23" t="s">
        <v>52</v>
      </c>
      <c r="AS31" s="23" t="s">
        <v>52</v>
      </c>
      <c r="BC31" s="23"/>
      <c r="BD31" s="23" t="s">
        <v>52</v>
      </c>
      <c r="BO31" s="23" t="s">
        <v>52</v>
      </c>
      <c r="BZ31" s="23" t="s">
        <v>52</v>
      </c>
    </row>
    <row r="32" spans="1:78">
      <c r="A32" s="1652">
        <f>IF(ABS(I40-H40)&lt;0.00005,J40,IF(ABS(I41-H41)&lt;0.00005,J41,IF(ABS(I42-H42)&lt;0.00005,J42,IF(ABS(I43-H43)&lt;0.00005,J43,IF(ABS(I44-H44)&lt;0.00005,J44,IF(ABS(I45-H45)&lt;0.00005,J45,IF(ABS(I46-H46)&lt;0.00005,J46,IF(I47-H47&lt;0.00005,J47))))))))</f>
        <v>-1.075358514269577</v>
      </c>
      <c r="L32" s="1652">
        <f>IF(ABS(T40-S40)&lt;0.00005,U40,IF(ABS(T41-S41)&lt;0.00005,U41,IF(ABS(T42-S42)&lt;0.00005,U42,IF(ABS(T43-S43)&lt;0.00005,U43,IF(ABS(T44-S44)&lt;0.00005,U44,IF(ABS(T45-S45)&lt;0.00005,U45,IF(ABS(T46-S46)&lt;0.00005,U46,IF(T47-S47&lt;0.00005,U47))))))))</f>
        <v>-1.075358514269577</v>
      </c>
      <c r="W32" s="1652">
        <f>IF(ABS(AE40-AD40)&lt;0.00005,AF40,IF(ABS(AE41-AD41)&lt;0.00005,AF41,IF(ABS(AE42-AD42)&lt;0.00005,AF42,IF(ABS(AE43-AD43)&lt;0.00005,AF43,IF(ABS(AE44-AD44)&lt;0.00005,AF44,IF(ABS(AE45-AD45)&lt;0.00005,AF45,IF(ABS(AE46-AD46)&lt;0.00005,AF46,IF(AE47-AD47&lt;0.00005,AF47))))))))</f>
        <v>-1.075358514269577</v>
      </c>
      <c r="AH32" s="1652">
        <f>IF(ABS(AP40-AO40)&lt;0.00005,AQ40,IF(ABS(AP41-AO41)&lt;0.00005,AQ41,IF(ABS(AP42-AO42)&lt;0.00005,AQ42,IF(ABS(AP43-AO43)&lt;0.00005,AQ43,IF(ABS(AP44-AO44)&lt;0.00005,AQ44,IF(ABS(AP45-AO45)&lt;0.00005,AQ45,IF(ABS(AP46-AO46)&lt;0.00005,AQ46,IF(AP47-AO47&lt;0.00005,AQ47))))))))</f>
        <v>-1.075358514269577</v>
      </c>
      <c r="AS32" s="1652" t="e">
        <f>IF(ABS(BA40-AZ40)&lt;0.00005,BB40,IF(ABS(BA41-AZ41)&lt;0.00005,BB41,IF(ABS(BA42-AZ42)&lt;0.00005,BB42,IF(ABS(BA43-AZ43)&lt;0.00005,BB43,IF(ABS(BA44-AZ44)&lt;0.00005,BB44,IF(ABS(BA45-AZ45)&lt;0.00005,BB45,IF(ABS(BA46-AZ46)&lt;0.00005,BB46,IF(BA47-AZ47&lt;0.00005,BB47))))))))</f>
        <v>#VALUE!</v>
      </c>
      <c r="BD32" s="1652" t="e">
        <f>IF(ABS(BL40-BK40)&lt;0.00005,BM40,IF(ABS(BL41-BK41)&lt;0.00005,BM41,IF(ABS(BL42-BK42)&lt;0.00005,BM42,IF(ABS(BL43-BK43)&lt;0.00005,BM43,IF(ABS(BL44-BK44)&lt;0.00005,BM44,IF(ABS(BL45-BK45)&lt;0.00005,BM45,IF(ABS(BL46-BK46)&lt;0.00005,BM46,IF(BL47-BK47&lt;0.00005,BM47))))))))</f>
        <v>#VALUE!</v>
      </c>
      <c r="BO32" s="1652" t="e">
        <f>IF(ABS(BW40-BV40)&lt;0.00005,BX40,IF(ABS(BW41-BV41)&lt;0.00005,BX41,IF(ABS(BW42-BV42)&lt;0.00005,BX42,IF(ABS(BW43-BV43)&lt;0.00005,BX43,IF(ABS(BW44-BV44)&lt;0.00005,BX44,IF(ABS(BW45-BV45)&lt;0.00005,BX45,IF(ABS(BW46-BV46)&lt;0.00005,BX46,IF(BW47-BV47&lt;0.00005,BX47))))))))</f>
        <v>#VALUE!</v>
      </c>
      <c r="BZ32" s="1652" t="e">
        <f>IF(ABS(CH40-CG40)&lt;0.00005,CI40,IF(ABS(CH41-CG41)&lt;0.00005,CI41,IF(ABS(CH42-CG42)&lt;0.00005,CI42,IF(ABS(CH43-CG43)&lt;0.00005,CI43,IF(ABS(CH44-CG44)&lt;0.00005,CI44,IF(ABS(CH45-CG45)&lt;0.00005,CI45,IF(ABS(CH46-CG46)&lt;0.00005,CI46,IF(CH47-CG47&lt;0.00005,CI47))))))))</f>
        <v>#VALUE!</v>
      </c>
    </row>
    <row r="34" spans="1:88">
      <c r="A34" s="27" t="s">
        <v>31</v>
      </c>
      <c r="L34" s="27" t="s">
        <v>31</v>
      </c>
      <c r="W34" s="27" t="s">
        <v>31</v>
      </c>
      <c r="AH34" s="27" t="s">
        <v>31</v>
      </c>
      <c r="AS34" s="27" t="s">
        <v>31</v>
      </c>
      <c r="BC34" s="27"/>
      <c r="BD34" s="27" t="s">
        <v>31</v>
      </c>
      <c r="BO34" s="27" t="s">
        <v>31</v>
      </c>
      <c r="BZ34" s="27" t="s">
        <v>31</v>
      </c>
    </row>
    <row r="36" spans="1:88">
      <c r="A36" s="22" t="s">
        <v>29</v>
      </c>
      <c r="L36" s="22" t="s">
        <v>29</v>
      </c>
      <c r="W36" s="22" t="s">
        <v>29</v>
      </c>
      <c r="AH36" s="22" t="s">
        <v>29</v>
      </c>
      <c r="AS36" s="22" t="s">
        <v>29</v>
      </c>
      <c r="BD36" s="22" t="s">
        <v>29</v>
      </c>
      <c r="BO36" s="22" t="s">
        <v>29</v>
      </c>
      <c r="BZ36" s="22" t="s">
        <v>29</v>
      </c>
    </row>
    <row r="37" spans="1:88" ht="18">
      <c r="A37" s="29" t="s">
        <v>30</v>
      </c>
      <c r="B37" s="29" t="s">
        <v>56</v>
      </c>
      <c r="C37" s="29" t="s">
        <v>57</v>
      </c>
      <c r="D37" s="29" t="s">
        <v>58</v>
      </c>
      <c r="E37" s="29" t="s">
        <v>59</v>
      </c>
      <c r="F37" s="29" t="s">
        <v>60</v>
      </c>
      <c r="G37" s="29" t="s">
        <v>61</v>
      </c>
      <c r="H37" s="29" t="s">
        <v>62</v>
      </c>
      <c r="I37" s="29" t="s">
        <v>63</v>
      </c>
      <c r="J37" s="29" t="s">
        <v>64</v>
      </c>
      <c r="L37" s="29" t="s">
        <v>30</v>
      </c>
      <c r="M37" s="29" t="s">
        <v>56</v>
      </c>
      <c r="N37" s="29" t="s">
        <v>57</v>
      </c>
      <c r="O37" s="29" t="s">
        <v>58</v>
      </c>
      <c r="P37" s="29" t="s">
        <v>59</v>
      </c>
      <c r="Q37" s="29" t="s">
        <v>60</v>
      </c>
      <c r="R37" s="29" t="s">
        <v>61</v>
      </c>
      <c r="S37" s="29" t="s">
        <v>62</v>
      </c>
      <c r="T37" s="29" t="s">
        <v>63</v>
      </c>
      <c r="U37" s="29" t="s">
        <v>64</v>
      </c>
      <c r="W37" s="29" t="s">
        <v>30</v>
      </c>
      <c r="X37" s="29" t="s">
        <v>56</v>
      </c>
      <c r="Y37" s="29" t="s">
        <v>57</v>
      </c>
      <c r="Z37" s="29" t="s">
        <v>58</v>
      </c>
      <c r="AA37" s="29" t="s">
        <v>59</v>
      </c>
      <c r="AB37" s="29" t="s">
        <v>60</v>
      </c>
      <c r="AC37" s="29" t="s">
        <v>61</v>
      </c>
      <c r="AD37" s="29" t="s">
        <v>62</v>
      </c>
      <c r="AE37" s="29" t="s">
        <v>63</v>
      </c>
      <c r="AF37" s="29" t="s">
        <v>64</v>
      </c>
      <c r="AH37" s="29" t="s">
        <v>30</v>
      </c>
      <c r="AI37" s="29" t="s">
        <v>56</v>
      </c>
      <c r="AJ37" s="29" t="s">
        <v>57</v>
      </c>
      <c r="AK37" s="29" t="s">
        <v>58</v>
      </c>
      <c r="AL37" s="29" t="s">
        <v>59</v>
      </c>
      <c r="AM37" s="29" t="s">
        <v>60</v>
      </c>
      <c r="AN37" s="29" t="s">
        <v>61</v>
      </c>
      <c r="AO37" s="29" t="s">
        <v>62</v>
      </c>
      <c r="AP37" s="29" t="s">
        <v>63</v>
      </c>
      <c r="AQ37" s="29" t="s">
        <v>64</v>
      </c>
      <c r="AS37" s="29" t="s">
        <v>30</v>
      </c>
      <c r="AT37" s="29" t="s">
        <v>56</v>
      </c>
      <c r="AU37" s="29" t="s">
        <v>57</v>
      </c>
      <c r="AV37" s="29" t="s">
        <v>58</v>
      </c>
      <c r="AW37" s="29" t="s">
        <v>59</v>
      </c>
      <c r="AX37" s="29" t="s">
        <v>60</v>
      </c>
      <c r="AY37" s="29" t="s">
        <v>61</v>
      </c>
      <c r="AZ37" s="29" t="s">
        <v>62</v>
      </c>
      <c r="BA37" s="29" t="s">
        <v>63</v>
      </c>
      <c r="BB37" s="29" t="s">
        <v>64</v>
      </c>
      <c r="BD37" s="29" t="s">
        <v>30</v>
      </c>
      <c r="BE37" s="29" t="s">
        <v>56</v>
      </c>
      <c r="BF37" s="29" t="s">
        <v>57</v>
      </c>
      <c r="BG37" s="29" t="s">
        <v>58</v>
      </c>
      <c r="BH37" s="29" t="s">
        <v>59</v>
      </c>
      <c r="BI37" s="29" t="s">
        <v>60</v>
      </c>
      <c r="BJ37" s="29" t="s">
        <v>61</v>
      </c>
      <c r="BK37" s="29" t="s">
        <v>62</v>
      </c>
      <c r="BL37" s="29" t="s">
        <v>63</v>
      </c>
      <c r="BM37" s="29" t="s">
        <v>64</v>
      </c>
      <c r="BN37" s="29"/>
      <c r="BO37" s="29" t="s">
        <v>30</v>
      </c>
      <c r="BP37" s="29" t="s">
        <v>56</v>
      </c>
      <c r="BQ37" s="29" t="s">
        <v>57</v>
      </c>
      <c r="BR37" s="29" t="s">
        <v>58</v>
      </c>
      <c r="BS37" s="29" t="s">
        <v>59</v>
      </c>
      <c r="BT37" s="29" t="s">
        <v>60</v>
      </c>
      <c r="BU37" s="29" t="s">
        <v>61</v>
      </c>
      <c r="BV37" s="29" t="s">
        <v>62</v>
      </c>
      <c r="BW37" s="29" t="s">
        <v>63</v>
      </c>
      <c r="BX37" s="29" t="s">
        <v>64</v>
      </c>
      <c r="BY37" s="29"/>
      <c r="BZ37" s="29" t="s">
        <v>30</v>
      </c>
      <c r="CA37" s="29" t="s">
        <v>56</v>
      </c>
      <c r="CB37" s="29" t="s">
        <v>57</v>
      </c>
      <c r="CC37" s="29" t="s">
        <v>58</v>
      </c>
      <c r="CD37" s="29" t="s">
        <v>59</v>
      </c>
      <c r="CE37" s="29" t="s">
        <v>60</v>
      </c>
      <c r="CF37" s="29" t="s">
        <v>61</v>
      </c>
      <c r="CG37" s="29" t="s">
        <v>62</v>
      </c>
      <c r="CH37" s="29" t="s">
        <v>63</v>
      </c>
      <c r="CI37" s="29" t="s">
        <v>64</v>
      </c>
      <c r="CJ37" s="29"/>
    </row>
    <row r="38" spans="1:88">
      <c r="A38" s="30">
        <v>1</v>
      </c>
      <c r="B38" s="30">
        <v>0</v>
      </c>
      <c r="C38" s="30">
        <v>50</v>
      </c>
      <c r="D38" s="24">
        <f t="shared" ref="D38:D49" si="0">IF(273.15+C38&lt;273.16,EXP(-5674.5359/273.15+C38+6.3925247-0.009677843*273.15+C38+0.00000062215701*POWER(273.15+C38,2)+0.0000000020747825*POWER(273.15+C38,3)-0.000000000000948402*POWER(273.15+C38,4)+4.1635019*LN(273.15+C38))/1000,EXP(-5800.2206/(273.15+C38)+1.3914993-0.048640239*(273.15+C38)+0.000041764768*POWER((273.15+C38),2)-0.000000014452093*POWER((273.15+C38),3)+6.5459673*LN(273.15+C38))/1000)</f>
        <v>12.349856466723748</v>
      </c>
      <c r="E38" s="24">
        <f t="shared" ref="E38:E49" si="1">IF(273.15+B38&lt;273.16,EXP(-5674.5359/273.15+B38+6.3925247-0.009677843*273.15+B38+0.00000062215701*POWER(273.15+B38,2)+0.0000000020747825*POWER(273.15+B38,3)-0.000000000000948402*POWER(273.15+B38,4)+4.1635019*LN(273.15+B38))/1000,EXP(-5800.2206/(273.15+B38)+1.3914993-0.048640239*(273.15+B38)+0.000041764768*POWER((273.15+B38),2)-0.000000014452093*POWER((273.15+B38),3)+6.5459673*LN(273.15+B38))/1000)</f>
        <v>0.61115357225163369</v>
      </c>
      <c r="F38" s="20">
        <f>0.62198*(D38/(F2-D38))</f>
        <v>8.6331568797076971E-2</v>
      </c>
      <c r="G38" s="20">
        <f>0.62198*(E38/(F2-E38))</f>
        <v>3.7743102100838855E-3</v>
      </c>
      <c r="H38" s="21">
        <f>((2501-2.381*C38)*F38-(B2-C38))/(2501+1.805*B2-4.186*C38)-A14</f>
        <v>0.11154927795793407</v>
      </c>
      <c r="I38" s="21">
        <f>((2501-2.381*B38)*G38-(B2-B38))/(2501+1.805*B2-4.186*B38)-A14</f>
        <v>3.7743102100838851E-3</v>
      </c>
      <c r="J38" s="21">
        <f t="shared" ref="J38:J49" si="2">IF(H38=I38,C38,C38-(C38-B38)*H38/(H38-I38))</f>
        <v>-1.7510143073826967</v>
      </c>
      <c r="L38" s="30">
        <v>1</v>
      </c>
      <c r="M38" s="30">
        <v>0</v>
      </c>
      <c r="N38" s="30">
        <v>50</v>
      </c>
      <c r="O38" s="24">
        <f t="shared" ref="O38:O49" si="3">IF(273.15+N38&lt;273.16,EXP(-5674.5359/273.15+N38+6.3925247-0.009677843*273.15+N38+0.00000062215701*POWER(273.15+N38,2)+0.0000000020747825*POWER(273.15+N38,3)-0.000000000000948402*POWER(273.15+N38,4)+4.1635019*LN(273.15+N38))/1000,EXP(-5800.2206/(273.15+N38)+1.3914993-0.048640239*(273.15+N38)+0.000041764768*POWER((273.15+N38),2)-0.000000014452093*POWER((273.15+N38),3)+6.5459673*LN(273.15+N38))/1000)</f>
        <v>12.349856466723748</v>
      </c>
      <c r="P38" s="24">
        <f t="shared" ref="P38:P49" si="4">IF(273.15+M38&lt;273.16,EXP(-5674.5359/273.15+M38+6.3925247-0.009677843*273.15+M38+0.00000062215701*POWER(273.15+M38,2)+0.0000000020747825*POWER(273.15+M38,3)-0.000000000000948402*POWER(273.15+M38,4)+4.1635019*LN(273.15+M38))/1000,EXP(-5800.2206/(273.15+M38)+1.3914993-0.048640239*(273.15+M38)+0.000041764768*POWER((273.15+M38),2)-0.000000014452093*POWER((273.15+M38),3)+6.5459673*LN(273.15+M38))/1000)</f>
        <v>0.61115357225163369</v>
      </c>
      <c r="Q38" s="20">
        <f>0.62198*(O38/(Q2-O38))</f>
        <v>8.6331568797076971E-2</v>
      </c>
      <c r="R38" s="20">
        <f>0.62198*(P38/(Q2-P38))</f>
        <v>3.7743102100838855E-3</v>
      </c>
      <c r="S38" s="21">
        <f>((2501-2.381*N38)*Q38-(M2-N38))/(2501+1.805*M2-4.186*N38)-L14</f>
        <v>0.11154927795793407</v>
      </c>
      <c r="T38" s="21">
        <f>((2501-2.381*M38)*R38-(M2-M38))/(2501+1.805*M2-4.186*M38)-L14</f>
        <v>3.7743102100838851E-3</v>
      </c>
      <c r="U38" s="21">
        <f t="shared" ref="U38:U49" si="5">IF(S38=T38,N38,N38-(N38-M38)*S38/(S38-T38))</f>
        <v>-1.7510143073826967</v>
      </c>
      <c r="W38" s="30">
        <v>1</v>
      </c>
      <c r="X38" s="30">
        <v>0</v>
      </c>
      <c r="Y38" s="30">
        <v>50</v>
      </c>
      <c r="Z38" s="24">
        <f t="shared" ref="Z38:Z49" si="6">IF(273.15+Y38&lt;273.16,EXP(-5674.5359/273.15+Y38+6.3925247-0.009677843*273.15+Y38+0.00000062215701*POWER(273.15+Y38,2)+0.0000000020747825*POWER(273.15+Y38,3)-0.000000000000948402*POWER(273.15+Y38,4)+4.1635019*LN(273.15+Y38))/1000,EXP(-5800.2206/(273.15+Y38)+1.3914993-0.048640239*(273.15+Y38)+0.000041764768*POWER((273.15+Y38),2)-0.000000014452093*POWER((273.15+Y38),3)+6.5459673*LN(273.15+Y38))/1000)</f>
        <v>12.349856466723748</v>
      </c>
      <c r="AA38" s="24">
        <f t="shared" ref="AA38:AA49" si="7">IF(273.15+X38&lt;273.16,EXP(-5674.5359/273.15+X38+6.3925247-0.009677843*273.15+X38+0.00000062215701*POWER(273.15+X38,2)+0.0000000020747825*POWER(273.15+X38,3)-0.000000000000948402*POWER(273.15+X38,4)+4.1635019*LN(273.15+X38))/1000,EXP(-5800.2206/(273.15+X38)+1.3914993-0.048640239*(273.15+X38)+0.000041764768*POWER((273.15+X38),2)-0.000000014452093*POWER((273.15+X38),3)+6.5459673*LN(273.15+X38))/1000)</f>
        <v>0.61115357225163369</v>
      </c>
      <c r="AB38" s="20">
        <f>0.62198*(Z38/(AB2-Z38))</f>
        <v>8.6331568797076971E-2</v>
      </c>
      <c r="AC38" s="20">
        <f>0.62198*(AA38/(AB2-AA38))</f>
        <v>3.7743102100838855E-3</v>
      </c>
      <c r="AD38" s="21">
        <f>((2501-2.381*Y38)*AB38-(X2-Y38))/(2501+1.805*X2-4.186*Y38)-W14</f>
        <v>0.11154927795793407</v>
      </c>
      <c r="AE38" s="21">
        <f>((2501-2.381*X38)*AC38-(X2-X38))/(2501+1.805*X2-4.186*X38)-W14</f>
        <v>3.7743102100838851E-3</v>
      </c>
      <c r="AF38" s="21">
        <f t="shared" ref="AF38:AF49" si="8">IF(AD38=AE38,Y38,Y38-(Y38-X38)*AD38/(AD38-AE38))</f>
        <v>-1.7510143073826967</v>
      </c>
      <c r="AH38" s="30">
        <v>1</v>
      </c>
      <c r="AI38" s="30">
        <v>0</v>
      </c>
      <c r="AJ38" s="30">
        <v>50</v>
      </c>
      <c r="AK38" s="24">
        <f t="shared" ref="AK38:AK49" si="9">IF(273.15+AJ38&lt;273.16,EXP(-5674.5359/273.15+AJ38+6.3925247-0.009677843*273.15+AJ38+0.00000062215701*POWER(273.15+AJ38,2)+0.0000000020747825*POWER(273.15+AJ38,3)-0.000000000000948402*POWER(273.15+AJ38,4)+4.1635019*LN(273.15+AJ38))/1000,EXP(-5800.2206/(273.15+AJ38)+1.3914993-0.048640239*(273.15+AJ38)+0.000041764768*POWER((273.15+AJ38),2)-0.000000014452093*POWER((273.15+AJ38),3)+6.5459673*LN(273.15+AJ38))/1000)</f>
        <v>12.349856466723748</v>
      </c>
      <c r="AL38" s="24">
        <f t="shared" ref="AL38:AL49" si="10">IF(273.15+AI38&lt;273.16,EXP(-5674.5359/273.15+AI38+6.3925247-0.009677843*273.15+AI38+0.00000062215701*POWER(273.15+AI38,2)+0.0000000020747825*POWER(273.15+AI38,3)-0.000000000000948402*POWER(273.15+AI38,4)+4.1635019*LN(273.15+AI38))/1000,EXP(-5800.2206/(273.15+AI38)+1.3914993-0.048640239*(273.15+AI38)+0.000041764768*POWER((273.15+AI38),2)-0.000000014452093*POWER((273.15+AI38),3)+6.5459673*LN(273.15+AI38))/1000)</f>
        <v>0.61115357225163369</v>
      </c>
      <c r="AM38" s="20">
        <f>0.62198*(AK38/(AM2-AK38))</f>
        <v>8.6331568797076971E-2</v>
      </c>
      <c r="AN38" s="20">
        <f>0.62198*(AL38/(AM2-AL38))</f>
        <v>3.7743102100838855E-3</v>
      </c>
      <c r="AO38" s="21">
        <f>((2501-2.381*AJ38)*AM38-(AI2-AJ38))/(2501+1.805*AI2-4.186*AJ38)-AH14</f>
        <v>0.11154927795793407</v>
      </c>
      <c r="AP38" s="21">
        <f>((2501-2.381*AI38)*AN38-(AI2-AI38))/(2501+1.805*AI2-4.186*AI38)-AH14</f>
        <v>3.7743102100838851E-3</v>
      </c>
      <c r="AQ38" s="21">
        <f t="shared" ref="AQ38:AQ49" si="11">IF(AO38=AP38,AJ38,AJ38-(AJ38-AI38)*AO38/(AO38-AP38))</f>
        <v>-1.7510143073826967</v>
      </c>
      <c r="AS38" s="30">
        <v>1</v>
      </c>
      <c r="AT38" s="30">
        <v>0</v>
      </c>
      <c r="AU38" s="30">
        <v>50</v>
      </c>
      <c r="AV38" s="24">
        <f t="shared" ref="AV38:AV49" si="12">IF(273.15+AU38&lt;273.16,EXP(-5674.5359/273.15+AU38+6.3925247-0.009677843*273.15+AU38+0.00000062215701*POWER(273.15+AU38,2)+0.0000000020747825*POWER(273.15+AU38,3)-0.000000000000948402*POWER(273.15+AU38,4)+4.1635019*LN(273.15+AU38))/1000,EXP(-5800.2206/(273.15+AU38)+1.3914993-0.048640239*(273.15+AU38)+0.000041764768*POWER((273.15+AU38),2)-0.000000014452093*POWER((273.15+AU38),3)+6.5459673*LN(273.15+AU38))/1000)</f>
        <v>12.349856466723748</v>
      </c>
      <c r="AW38" s="24">
        <f t="shared" ref="AW38:AW49" si="13">IF(273.15+AT38&lt;273.16,EXP(-5674.5359/273.15+AT38+6.3925247-0.009677843*273.15+AT38+0.00000062215701*POWER(273.15+AT38,2)+0.0000000020747825*POWER(273.15+AT38,3)-0.000000000000948402*POWER(273.15+AT38,4)+4.1635019*LN(273.15+AT38))/1000,EXP(-5800.2206/(273.15+AT38)+1.3914993-0.048640239*(273.15+AT38)+0.000041764768*POWER((273.15+AT38),2)-0.000000014452093*POWER((273.15+AT38),3)+6.5459673*LN(273.15+AT38))/1000)</f>
        <v>0.61115357225163369</v>
      </c>
      <c r="AX38" s="20">
        <f>0.62198*(AV38/(AX2-AV38))</f>
        <v>8.6331568797076971E-2</v>
      </c>
      <c r="AY38" s="20">
        <f>0.62198*(AW38/(AX2-AW38))</f>
        <v>3.7743102100838855E-3</v>
      </c>
      <c r="AZ38" s="21" t="e">
        <f>((2501-2.381*AU38)*AX38-(AT2-AU38))/(2501+1.805*AT2-4.186*AU38)-AS14</f>
        <v>#VALUE!</v>
      </c>
      <c r="BA38" s="21" t="e">
        <f>((2501-2.381*AT38)*AY38-(AT2-AT38))/(2501+1.805*AT2-4.186*AT38)-AS14</f>
        <v>#VALUE!</v>
      </c>
      <c r="BB38" s="21" t="e">
        <f t="shared" ref="BB38:BB49" si="14">IF(AZ38=BA38,AU38,AU38-(AU38-AT38)*AZ38/(AZ38-BA38))</f>
        <v>#VALUE!</v>
      </c>
      <c r="BD38" s="30">
        <v>1</v>
      </c>
      <c r="BE38" s="30">
        <v>0</v>
      </c>
      <c r="BF38" s="30">
        <v>50</v>
      </c>
      <c r="BG38" s="24">
        <f t="shared" ref="BG38:BG49" si="15">IF(273.15+BF38&lt;273.16,EXP(-5674.5359/273.15+BF38+6.3925247-0.009677843*273.15+BF38+0.00000062215701*POWER(273.15+BF38,2)+0.0000000020747825*POWER(273.15+BF38,3)-0.000000000000948402*POWER(273.15+BF38,4)+4.1635019*LN(273.15+BF38))/1000,EXP(-5800.2206/(273.15+BF38)+1.3914993-0.048640239*(273.15+BF38)+0.000041764768*POWER((273.15+BF38),2)-0.000000014452093*POWER((273.15+BF38),3)+6.5459673*LN(273.15+BF38))/1000)</f>
        <v>12.349856466723748</v>
      </c>
      <c r="BH38" s="24">
        <f t="shared" ref="BH38:BH49" si="16">IF(273.15+BE38&lt;273.16,EXP(-5674.5359/273.15+BE38+6.3925247-0.009677843*273.15+BE38+0.00000062215701*POWER(273.15+BE38,2)+0.0000000020747825*POWER(273.15+BE38,3)-0.000000000000948402*POWER(273.15+BE38,4)+4.1635019*LN(273.15+BE38))/1000,EXP(-5800.2206/(273.15+BE38)+1.3914993-0.048640239*(273.15+BE38)+0.000041764768*POWER((273.15+BE38),2)-0.000000014452093*POWER((273.15+BE38),3)+6.5459673*LN(273.15+BE38))/1000)</f>
        <v>0.61115357225163369</v>
      </c>
      <c r="BI38" s="20">
        <f>0.62198*(BG38/(BI2-BG38))</f>
        <v>8.6331568797076971E-2</v>
      </c>
      <c r="BJ38" s="20">
        <f>0.62198*(BH38/(BI2-BH38))</f>
        <v>3.7743102100838855E-3</v>
      </c>
      <c r="BK38" s="21" t="e">
        <f>((2501-2.381*BF38)*BI38-(BE2-BF38))/(2501+1.805*BE2-4.186*BF38)-BD14</f>
        <v>#VALUE!</v>
      </c>
      <c r="BL38" s="21" t="e">
        <f>((2501-2.381*BE38)*BJ38-(BE2-BE38))/(2501+1.805*BE2-4.186*BE38)-BD14</f>
        <v>#VALUE!</v>
      </c>
      <c r="BM38" s="21" t="e">
        <f t="shared" ref="BM38:BM49" si="17">IF(BK38=BL38,BF38,BF38-(BF38-BE38)*BK38/(BK38-BL38))</f>
        <v>#VALUE!</v>
      </c>
      <c r="BO38" s="30">
        <v>1</v>
      </c>
      <c r="BP38" s="30">
        <v>0</v>
      </c>
      <c r="BQ38" s="30">
        <v>50</v>
      </c>
      <c r="BR38" s="24">
        <f t="shared" ref="BR38:BR49" si="18">IF(273.15+BQ38&lt;273.16,EXP(-5674.5359/273.15+BQ38+6.3925247-0.009677843*273.15+BQ38+0.00000062215701*POWER(273.15+BQ38,2)+0.0000000020747825*POWER(273.15+BQ38,3)-0.000000000000948402*POWER(273.15+BQ38,4)+4.1635019*LN(273.15+BQ38))/1000,EXP(-5800.2206/(273.15+BQ38)+1.3914993-0.048640239*(273.15+BQ38)+0.000041764768*POWER((273.15+BQ38),2)-0.000000014452093*POWER((273.15+BQ38),3)+6.5459673*LN(273.15+BQ38))/1000)</f>
        <v>12.349856466723748</v>
      </c>
      <c r="BS38" s="24">
        <f t="shared" ref="BS38:BS49" si="19">IF(273.15+BP38&lt;273.16,EXP(-5674.5359/273.15+BP38+6.3925247-0.009677843*273.15+BP38+0.00000062215701*POWER(273.15+BP38,2)+0.0000000020747825*POWER(273.15+BP38,3)-0.000000000000948402*POWER(273.15+BP38,4)+4.1635019*LN(273.15+BP38))/1000,EXP(-5800.2206/(273.15+BP38)+1.3914993-0.048640239*(273.15+BP38)+0.000041764768*POWER((273.15+BP38),2)-0.000000014452093*POWER((273.15+BP38),3)+6.5459673*LN(273.15+BP38))/1000)</f>
        <v>0.61115357225163369</v>
      </c>
      <c r="BT38" s="20">
        <f>0.62198*(BR38/(BT2-BR38))</f>
        <v>8.6331568797076971E-2</v>
      </c>
      <c r="BU38" s="20">
        <f>0.62198*(BS38/(BT2-BS38))</f>
        <v>3.7743102100838855E-3</v>
      </c>
      <c r="BV38" s="21" t="e">
        <f>((2501-2.381*BQ38)*BT38-(BP2-BQ38))/(2501+1.805*BP2-4.186*BQ38)-BO14</f>
        <v>#VALUE!</v>
      </c>
      <c r="BW38" s="21" t="e">
        <f>((2501-2.381*BP38)*BU38-(BP2-BP38))/(2501+1.805*BP2-4.186*BP38)-BO14</f>
        <v>#VALUE!</v>
      </c>
      <c r="BX38" s="21" t="e">
        <f t="shared" ref="BX38:BX49" si="20">IF(BV38=BW38,BQ38,BQ38-(BQ38-BP38)*BV38/(BV38-BW38))</f>
        <v>#VALUE!</v>
      </c>
      <c r="BZ38" s="30">
        <v>1</v>
      </c>
      <c r="CA38" s="30">
        <v>0</v>
      </c>
      <c r="CB38" s="30">
        <v>50</v>
      </c>
      <c r="CC38" s="24">
        <f t="shared" ref="CC38:CC49" si="21">IF(273.15+CB38&lt;273.16,EXP(-5674.5359/273.15+CB38+6.3925247-0.009677843*273.15+CB38+0.00000062215701*POWER(273.15+CB38,2)+0.0000000020747825*POWER(273.15+CB38,3)-0.000000000000948402*POWER(273.15+CB38,4)+4.1635019*LN(273.15+CB38))/1000,EXP(-5800.2206/(273.15+CB38)+1.3914993-0.048640239*(273.15+CB38)+0.000041764768*POWER((273.15+CB38),2)-0.000000014452093*POWER((273.15+CB38),3)+6.5459673*LN(273.15+CB38))/1000)</f>
        <v>12.349856466723748</v>
      </c>
      <c r="CD38" s="24">
        <f t="shared" ref="CD38:CD49" si="22">IF(273.15+CA38&lt;273.16,EXP(-5674.5359/273.15+CA38+6.3925247-0.009677843*273.15+CA38+0.00000062215701*POWER(273.15+CA38,2)+0.0000000020747825*POWER(273.15+CA38,3)-0.000000000000948402*POWER(273.15+CA38,4)+4.1635019*LN(273.15+CA38))/1000,EXP(-5800.2206/(273.15+CA38)+1.3914993-0.048640239*(273.15+CA38)+0.000041764768*POWER((273.15+CA38),2)-0.000000014452093*POWER((273.15+CA38),3)+6.5459673*LN(273.15+CA38))/1000)</f>
        <v>0.61115357225163369</v>
      </c>
      <c r="CE38" s="20">
        <f>0.62198*(CC38/(CE2-CC38))</f>
        <v>8.6331568797076971E-2</v>
      </c>
      <c r="CF38" s="20">
        <f>0.62198*(CD38/(CE2-CD38))</f>
        <v>3.7743102100838855E-3</v>
      </c>
      <c r="CG38" s="21" t="e">
        <f>((2501-2.381*CB38)*CE38-(CA2-CB38))/(2501+1.805*CA2-4.186*CB38)-BZ14</f>
        <v>#VALUE!</v>
      </c>
      <c r="CH38" s="21" t="e">
        <f>((2501-2.381*CA38)*CF38-(CA2-CA38))/(2501+1.805*CA2-4.186*CA38)-BZ14</f>
        <v>#VALUE!</v>
      </c>
      <c r="CI38" s="21" t="e">
        <f t="shared" ref="CI38:CI49" si="23">IF(CG38=CH38,CB38,CB38-(CB38-CA38)*CG38/(CG38-CH38))</f>
        <v>#VALUE!</v>
      </c>
    </row>
    <row r="39" spans="1:88">
      <c r="A39" s="30">
        <v>2</v>
      </c>
      <c r="B39" s="30">
        <f t="shared" ref="B39:B49" si="24">C38</f>
        <v>50</v>
      </c>
      <c r="C39" s="30">
        <f t="shared" ref="C39:C49" si="25">J38:J38</f>
        <v>-1.7510143073826967</v>
      </c>
      <c r="D39" s="24">
        <f t="shared" si="0"/>
        <v>1.7908522096008784E-2</v>
      </c>
      <c r="E39" s="24">
        <f t="shared" si="1"/>
        <v>12.349856466723748</v>
      </c>
      <c r="F39" s="20">
        <f>0.62198*(D39/(F2-D39))</f>
        <v>1.0995027505754624E-4</v>
      </c>
      <c r="G39" s="20">
        <f>0.62198*(E39/(F2-E39))</f>
        <v>8.6331568797076971E-2</v>
      </c>
      <c r="H39" s="21">
        <f>((2501-2.381*C39)*F39-(B2-C39))/(2501+1.805*B2-4.186*C39)-A14</f>
        <v>-5.8826805807146666E-4</v>
      </c>
      <c r="I39" s="21">
        <f>((2501-2.381*B39)*G39-(B2-B39))/(2501+1.805*B2-4.186*B39)-A14</f>
        <v>0.11154927795793407</v>
      </c>
      <c r="J39" s="21">
        <f t="shared" si="2"/>
        <v>-1.4795310283970171</v>
      </c>
      <c r="L39" s="30">
        <v>2</v>
      </c>
      <c r="M39" s="30">
        <f t="shared" ref="M39:M49" si="26">N38</f>
        <v>50</v>
      </c>
      <c r="N39" s="30">
        <f t="shared" ref="N39:N49" si="27">U38:U38</f>
        <v>-1.7510143073826967</v>
      </c>
      <c r="O39" s="24">
        <f t="shared" si="3"/>
        <v>1.7908522096008784E-2</v>
      </c>
      <c r="P39" s="24">
        <f t="shared" si="4"/>
        <v>12.349856466723748</v>
      </c>
      <c r="Q39" s="20">
        <f>0.62198*(O39/(Q2-O39))</f>
        <v>1.0995027505754624E-4</v>
      </c>
      <c r="R39" s="20">
        <f>0.62198*(P39/(Q2-P39))</f>
        <v>8.6331568797076971E-2</v>
      </c>
      <c r="S39" s="21">
        <f>((2501-2.381*N39)*Q39-(M2-N39))/(2501+1.805*M2-4.186*N39)-L14</f>
        <v>-5.8826805807146666E-4</v>
      </c>
      <c r="T39" s="21">
        <f>((2501-2.381*M39)*R39-(M2-M39))/(2501+1.805*M2-4.186*M39)-L14</f>
        <v>0.11154927795793407</v>
      </c>
      <c r="U39" s="21">
        <f t="shared" si="5"/>
        <v>-1.4795310283970171</v>
      </c>
      <c r="W39" s="30">
        <v>2</v>
      </c>
      <c r="X39" s="30">
        <f t="shared" ref="X39:X49" si="28">Y38</f>
        <v>50</v>
      </c>
      <c r="Y39" s="30">
        <f t="shared" ref="Y39:Y49" si="29">AF38:AF38</f>
        <v>-1.7510143073826967</v>
      </c>
      <c r="Z39" s="24">
        <f t="shared" si="6"/>
        <v>1.7908522096008784E-2</v>
      </c>
      <c r="AA39" s="24">
        <f t="shared" si="7"/>
        <v>12.349856466723748</v>
      </c>
      <c r="AB39" s="20">
        <f>0.62198*(Z39/(AB2-Z39))</f>
        <v>1.0995027505754624E-4</v>
      </c>
      <c r="AC39" s="20">
        <f>0.62198*(AA39/(AB2-AA39))</f>
        <v>8.6331568797076971E-2</v>
      </c>
      <c r="AD39" s="21">
        <f>((2501-2.381*Y39)*AB39-(X2-Y39))/(2501+1.805*X2-4.186*Y39)-W14</f>
        <v>-5.8826805807146666E-4</v>
      </c>
      <c r="AE39" s="21">
        <f>((2501-2.381*X39)*AC39-(X2-X39))/(2501+1.805*X2-4.186*X39)-W14</f>
        <v>0.11154927795793407</v>
      </c>
      <c r="AF39" s="21">
        <f t="shared" si="8"/>
        <v>-1.4795310283970171</v>
      </c>
      <c r="AH39" s="30">
        <v>2</v>
      </c>
      <c r="AI39" s="30">
        <f t="shared" ref="AI39:AI49" si="30">AJ38</f>
        <v>50</v>
      </c>
      <c r="AJ39" s="30">
        <f t="shared" ref="AJ39:AJ49" si="31">AQ38:AQ38</f>
        <v>-1.7510143073826967</v>
      </c>
      <c r="AK39" s="24">
        <f t="shared" si="9"/>
        <v>1.7908522096008784E-2</v>
      </c>
      <c r="AL39" s="24">
        <f t="shared" si="10"/>
        <v>12.349856466723748</v>
      </c>
      <c r="AM39" s="20">
        <f>0.62198*(AK39/(AM2-AK39))</f>
        <v>1.0995027505754624E-4</v>
      </c>
      <c r="AN39" s="20">
        <f>0.62198*(AL39/(AM2-AL39))</f>
        <v>8.6331568797076971E-2</v>
      </c>
      <c r="AO39" s="21">
        <f>((2501-2.381*AJ39)*AM39-(AI2-AJ39))/(2501+1.805*AI2-4.186*AJ39)-AH14</f>
        <v>-5.8826805807146666E-4</v>
      </c>
      <c r="AP39" s="21">
        <f>((2501-2.381*AI39)*AN39-(AI2-AI39))/(2501+1.805*AI2-4.186*AI39)-AH14</f>
        <v>0.11154927795793407</v>
      </c>
      <c r="AQ39" s="21">
        <f t="shared" si="11"/>
        <v>-1.4795310283970171</v>
      </c>
      <c r="AS39" s="30">
        <v>2</v>
      </c>
      <c r="AT39" s="30">
        <f t="shared" ref="AT39:AT49" si="32">AU38</f>
        <v>50</v>
      </c>
      <c r="AU39" s="30" t="e">
        <f t="shared" ref="AU39:AU49" si="33">BB38:BB38</f>
        <v>#VALUE!</v>
      </c>
      <c r="AV39" s="24" t="e">
        <f t="shared" si="12"/>
        <v>#VALUE!</v>
      </c>
      <c r="AW39" s="24">
        <f t="shared" si="13"/>
        <v>12.349856466723748</v>
      </c>
      <c r="AX39" s="20" t="e">
        <f>0.62198*(AV39/(AX2-AV39))</f>
        <v>#VALUE!</v>
      </c>
      <c r="AY39" s="20">
        <f>0.62198*(AW39/(AX2-AW39))</f>
        <v>8.6331568797076971E-2</v>
      </c>
      <c r="AZ39" s="21" t="e">
        <f>((2501-2.381*AU39)*AX39-(AT2-AU39))/(2501+1.805*AT2-4.186*AU39)-AS14</f>
        <v>#VALUE!</v>
      </c>
      <c r="BA39" s="21" t="e">
        <f>((2501-2.381*AT39)*AY39-(AT2-AT39))/(2501+1.805*AT2-4.186*AT39)-AS14</f>
        <v>#VALUE!</v>
      </c>
      <c r="BB39" s="21" t="e">
        <f t="shared" si="14"/>
        <v>#VALUE!</v>
      </c>
      <c r="BD39" s="30">
        <v>2</v>
      </c>
      <c r="BE39" s="30">
        <f t="shared" ref="BE39:BE49" si="34">BF38</f>
        <v>50</v>
      </c>
      <c r="BF39" s="30" t="e">
        <f t="shared" ref="BF39:BF49" si="35">BM38:BM38</f>
        <v>#VALUE!</v>
      </c>
      <c r="BG39" s="24" t="e">
        <f t="shared" si="15"/>
        <v>#VALUE!</v>
      </c>
      <c r="BH39" s="24">
        <f t="shared" si="16"/>
        <v>12.349856466723748</v>
      </c>
      <c r="BI39" s="20" t="e">
        <f>0.62198*(BG39/(BI2-BG39))</f>
        <v>#VALUE!</v>
      </c>
      <c r="BJ39" s="20">
        <f>0.62198*(BH39/(BI2-BH39))</f>
        <v>8.6331568797076971E-2</v>
      </c>
      <c r="BK39" s="21" t="e">
        <f>((2501-2.381*BF39)*BI39-(BE2-BF39))/(2501+1.805*BE2-4.186*BF39)-BD14</f>
        <v>#VALUE!</v>
      </c>
      <c r="BL39" s="21" t="e">
        <f>((2501-2.381*BE39)*BJ39-(BE2-BE39))/(2501+1.805*BE2-4.186*BE39)-BD14</f>
        <v>#VALUE!</v>
      </c>
      <c r="BM39" s="21" t="e">
        <f t="shared" si="17"/>
        <v>#VALUE!</v>
      </c>
      <c r="BO39" s="30">
        <v>2</v>
      </c>
      <c r="BP39" s="30">
        <f t="shared" ref="BP39:BP49" si="36">BQ38</f>
        <v>50</v>
      </c>
      <c r="BQ39" s="30" t="e">
        <f t="shared" ref="BQ39:BQ49" si="37">BX38:BX38</f>
        <v>#VALUE!</v>
      </c>
      <c r="BR39" s="24" t="e">
        <f t="shared" si="18"/>
        <v>#VALUE!</v>
      </c>
      <c r="BS39" s="24">
        <f t="shared" si="19"/>
        <v>12.349856466723748</v>
      </c>
      <c r="BT39" s="20" t="e">
        <f>0.62198*(BR39/(BT2-BR39))</f>
        <v>#VALUE!</v>
      </c>
      <c r="BU39" s="20">
        <f>0.62198*(BS39/(BT2-BS39))</f>
        <v>8.6331568797076971E-2</v>
      </c>
      <c r="BV39" s="21" t="e">
        <f>((2501-2.381*BQ39)*BT39-(BP2-BQ39))/(2501+1.805*BP2-4.186*BQ39)-BO14</f>
        <v>#VALUE!</v>
      </c>
      <c r="BW39" s="21" t="e">
        <f>((2501-2.381*BP39)*BU39-(BP2-BP39))/(2501+1.805*BP2-4.186*BP39)-BO14</f>
        <v>#VALUE!</v>
      </c>
      <c r="BX39" s="21" t="e">
        <f t="shared" si="20"/>
        <v>#VALUE!</v>
      </c>
      <c r="BZ39" s="30">
        <v>2</v>
      </c>
      <c r="CA39" s="30">
        <f t="shared" ref="CA39:CA49" si="38">CB38</f>
        <v>50</v>
      </c>
      <c r="CB39" s="30" t="e">
        <f t="shared" ref="CB39:CB49" si="39">CI38:CI38</f>
        <v>#VALUE!</v>
      </c>
      <c r="CC39" s="24" t="e">
        <f t="shared" si="21"/>
        <v>#VALUE!</v>
      </c>
      <c r="CD39" s="24">
        <f t="shared" si="22"/>
        <v>12.349856466723748</v>
      </c>
      <c r="CE39" s="20" t="e">
        <f>0.62198*(CC39/(CE2-CC39))</f>
        <v>#VALUE!</v>
      </c>
      <c r="CF39" s="20">
        <f>0.62198*(CD39/(CE2-CD39))</f>
        <v>8.6331568797076971E-2</v>
      </c>
      <c r="CG39" s="21" t="e">
        <f>((2501-2.381*CB39)*CE39-(CA2-CB39))/(2501+1.805*CA2-4.186*CB39)-BZ14</f>
        <v>#VALUE!</v>
      </c>
      <c r="CH39" s="21" t="e">
        <f>((2501-2.381*CA39)*CF39-(CA2-CA39))/(2501+1.805*CA2-4.186*CA39)-BZ14</f>
        <v>#VALUE!</v>
      </c>
      <c r="CI39" s="21" t="e">
        <f t="shared" si="23"/>
        <v>#VALUE!</v>
      </c>
    </row>
    <row r="40" spans="1:88">
      <c r="A40" s="30">
        <v>3</v>
      </c>
      <c r="B40" s="30">
        <f t="shared" si="24"/>
        <v>-1.7510143073826967</v>
      </c>
      <c r="C40" s="30">
        <f t="shared" si="25"/>
        <v>-1.4795310283970171</v>
      </c>
      <c r="D40" s="24">
        <f t="shared" si="0"/>
        <v>3.0957078018391978E-2</v>
      </c>
      <c r="E40" s="24">
        <f t="shared" si="1"/>
        <v>1.7908522096008784E-2</v>
      </c>
      <c r="F40" s="20">
        <f>0.62198*(D40/(F2-D40))</f>
        <v>1.9008702615127846E-4</v>
      </c>
      <c r="G40" s="20">
        <f>0.62198*(E40/(F2-E40))</f>
        <v>1.0995027505754624E-4</v>
      </c>
      <c r="H40" s="21">
        <f>((2501-2.381*C40)*F40-(B2-C40))/(2501+1.805*B2-4.186*C40)-A14</f>
        <v>-4.0022990553634794E-4</v>
      </c>
      <c r="I40" s="21">
        <f>((2501-2.381*B40)*G40-(B2-B40))/(2501+1.805*B2-4.186*B40)-A14</f>
        <v>-5.8826805807146666E-4</v>
      </c>
      <c r="J40" s="21">
        <f t="shared" si="2"/>
        <v>-0.90169229919101956</v>
      </c>
      <c r="L40" s="30">
        <v>3</v>
      </c>
      <c r="M40" s="30">
        <f t="shared" si="26"/>
        <v>-1.7510143073826967</v>
      </c>
      <c r="N40" s="30">
        <f t="shared" si="27"/>
        <v>-1.4795310283970171</v>
      </c>
      <c r="O40" s="24">
        <f t="shared" si="3"/>
        <v>3.0957078018391978E-2</v>
      </c>
      <c r="P40" s="24">
        <f t="shared" si="4"/>
        <v>1.7908522096008784E-2</v>
      </c>
      <c r="Q40" s="20">
        <f>0.62198*(O40/(Q2-O40))</f>
        <v>1.9008702615127846E-4</v>
      </c>
      <c r="R40" s="20">
        <f>0.62198*(P40/(Q2-P40))</f>
        <v>1.0995027505754624E-4</v>
      </c>
      <c r="S40" s="21">
        <f>((2501-2.381*N40)*Q40-(M2-N40))/(2501+1.805*M2-4.186*N40)-L14</f>
        <v>-4.0022990553634794E-4</v>
      </c>
      <c r="T40" s="21">
        <f>((2501-2.381*M40)*R40-(M2-M40))/(2501+1.805*M2-4.186*M40)-L14</f>
        <v>-5.8826805807146666E-4</v>
      </c>
      <c r="U40" s="21">
        <f t="shared" si="5"/>
        <v>-0.90169229919101956</v>
      </c>
      <c r="W40" s="30">
        <v>3</v>
      </c>
      <c r="X40" s="30">
        <f t="shared" si="28"/>
        <v>-1.7510143073826967</v>
      </c>
      <c r="Y40" s="30">
        <f t="shared" si="29"/>
        <v>-1.4795310283970171</v>
      </c>
      <c r="Z40" s="24">
        <f t="shared" si="6"/>
        <v>3.0957078018391978E-2</v>
      </c>
      <c r="AA40" s="24">
        <f t="shared" si="7"/>
        <v>1.7908522096008784E-2</v>
      </c>
      <c r="AB40" s="20">
        <f>0.62198*(Z40/(AB2-Z40))</f>
        <v>1.9008702615127846E-4</v>
      </c>
      <c r="AC40" s="20">
        <f>0.62198*(AA40/(AB2-AA40))</f>
        <v>1.0995027505754624E-4</v>
      </c>
      <c r="AD40" s="21">
        <f>((2501-2.381*Y40)*AB40-(X2-Y40))/(2501+1.805*X2-4.186*Y40)-W14</f>
        <v>-4.0022990553634794E-4</v>
      </c>
      <c r="AE40" s="21">
        <f>((2501-2.381*X40)*AC40-(X2-X40))/(2501+1.805*X2-4.186*X40)-W14</f>
        <v>-5.8826805807146666E-4</v>
      </c>
      <c r="AF40" s="21">
        <f t="shared" si="8"/>
        <v>-0.90169229919101956</v>
      </c>
      <c r="AH40" s="30">
        <v>3</v>
      </c>
      <c r="AI40" s="30">
        <f t="shared" si="30"/>
        <v>-1.7510143073826967</v>
      </c>
      <c r="AJ40" s="30">
        <f t="shared" si="31"/>
        <v>-1.4795310283970171</v>
      </c>
      <c r="AK40" s="24">
        <f t="shared" si="9"/>
        <v>3.0957078018391978E-2</v>
      </c>
      <c r="AL40" s="24">
        <f t="shared" si="10"/>
        <v>1.7908522096008784E-2</v>
      </c>
      <c r="AM40" s="20">
        <f>0.62198*(AK40/(AM2-AK40))</f>
        <v>1.9008702615127846E-4</v>
      </c>
      <c r="AN40" s="20">
        <f>0.62198*(AL40/(AM2-AL40))</f>
        <v>1.0995027505754624E-4</v>
      </c>
      <c r="AO40" s="21">
        <f>((2501-2.381*AJ40)*AM40-(AI2-AJ40))/(2501+1.805*AI2-4.186*AJ40)-AH14</f>
        <v>-4.0022990553634794E-4</v>
      </c>
      <c r="AP40" s="21">
        <f>((2501-2.381*AI40)*AN40-(AI2-AI40))/(2501+1.805*AI2-4.186*AI40)-AH14</f>
        <v>-5.8826805807146666E-4</v>
      </c>
      <c r="AQ40" s="21">
        <f t="shared" si="11"/>
        <v>-0.90169229919101956</v>
      </c>
      <c r="AS40" s="30">
        <v>3</v>
      </c>
      <c r="AT40" s="30" t="e">
        <f t="shared" si="32"/>
        <v>#VALUE!</v>
      </c>
      <c r="AU40" s="30" t="e">
        <f t="shared" si="33"/>
        <v>#VALUE!</v>
      </c>
      <c r="AV40" s="24" t="e">
        <f t="shared" si="12"/>
        <v>#VALUE!</v>
      </c>
      <c r="AW40" s="24" t="e">
        <f t="shared" si="13"/>
        <v>#VALUE!</v>
      </c>
      <c r="AX40" s="20" t="e">
        <f>0.62198*(AV40/(AX2-AV40))</f>
        <v>#VALUE!</v>
      </c>
      <c r="AY40" s="20" t="e">
        <f>0.62198*(AW40/(AX2-AW40))</f>
        <v>#VALUE!</v>
      </c>
      <c r="AZ40" s="21" t="e">
        <f>((2501-2.381*AU40)*AX40-(AT2-AU40))/(2501+1.805*AT2-4.186*AU40)-AS14</f>
        <v>#VALUE!</v>
      </c>
      <c r="BA40" s="21" t="e">
        <f>((2501-2.381*AT40)*AY40-(AT2-AT40))/(2501+1.805*AT2-4.186*AT40)-AS14</f>
        <v>#VALUE!</v>
      </c>
      <c r="BB40" s="21" t="e">
        <f t="shared" si="14"/>
        <v>#VALUE!</v>
      </c>
      <c r="BD40" s="30">
        <v>3</v>
      </c>
      <c r="BE40" s="30" t="e">
        <f t="shared" si="34"/>
        <v>#VALUE!</v>
      </c>
      <c r="BF40" s="30" t="e">
        <f t="shared" si="35"/>
        <v>#VALUE!</v>
      </c>
      <c r="BG40" s="24" t="e">
        <f t="shared" si="15"/>
        <v>#VALUE!</v>
      </c>
      <c r="BH40" s="24" t="e">
        <f t="shared" si="16"/>
        <v>#VALUE!</v>
      </c>
      <c r="BI40" s="20" t="e">
        <f>0.62198*(BG40/(BI2-BG40))</f>
        <v>#VALUE!</v>
      </c>
      <c r="BJ40" s="20" t="e">
        <f>0.62198*(BH40/(BI2-BH40))</f>
        <v>#VALUE!</v>
      </c>
      <c r="BK40" s="21" t="e">
        <f>((2501-2.381*BF40)*BI40-(BE2-BF40))/(2501+1.805*BE2-4.186*BF40)-BD14</f>
        <v>#VALUE!</v>
      </c>
      <c r="BL40" s="21" t="e">
        <f>((2501-2.381*BE40)*BJ40-(BE2-BE40))/(2501+1.805*BE2-4.186*BE40)-BD14</f>
        <v>#VALUE!</v>
      </c>
      <c r="BM40" s="21" t="e">
        <f t="shared" si="17"/>
        <v>#VALUE!</v>
      </c>
      <c r="BO40" s="30">
        <v>3</v>
      </c>
      <c r="BP40" s="30" t="e">
        <f t="shared" si="36"/>
        <v>#VALUE!</v>
      </c>
      <c r="BQ40" s="30" t="e">
        <f t="shared" si="37"/>
        <v>#VALUE!</v>
      </c>
      <c r="BR40" s="24" t="e">
        <f t="shared" si="18"/>
        <v>#VALUE!</v>
      </c>
      <c r="BS40" s="24" t="e">
        <f t="shared" si="19"/>
        <v>#VALUE!</v>
      </c>
      <c r="BT40" s="20" t="e">
        <f>0.62198*(BR40/(BT2-BR40))</f>
        <v>#VALUE!</v>
      </c>
      <c r="BU40" s="20" t="e">
        <f>0.62198*(BS40/(BT2-BS40))</f>
        <v>#VALUE!</v>
      </c>
      <c r="BV40" s="21" t="e">
        <f>((2501-2.381*BQ40)*BT40-(BP2-BQ40))/(2501+1.805*BP2-4.186*BQ40)-BO14</f>
        <v>#VALUE!</v>
      </c>
      <c r="BW40" s="21" t="e">
        <f>((2501-2.381*BP40)*BU40-(BP2-BP40))/(2501+1.805*BP2-4.186*BP40)-BO14</f>
        <v>#VALUE!</v>
      </c>
      <c r="BX40" s="21" t="e">
        <f t="shared" si="20"/>
        <v>#VALUE!</v>
      </c>
      <c r="BZ40" s="30">
        <v>3</v>
      </c>
      <c r="CA40" s="30" t="e">
        <f t="shared" si="38"/>
        <v>#VALUE!</v>
      </c>
      <c r="CB40" s="30" t="e">
        <f t="shared" si="39"/>
        <v>#VALUE!</v>
      </c>
      <c r="CC40" s="24" t="e">
        <f t="shared" si="21"/>
        <v>#VALUE!</v>
      </c>
      <c r="CD40" s="24" t="e">
        <f t="shared" si="22"/>
        <v>#VALUE!</v>
      </c>
      <c r="CE40" s="20" t="e">
        <f>0.62198*(CC40/(CE2-CC40))</f>
        <v>#VALUE!</v>
      </c>
      <c r="CF40" s="20" t="e">
        <f>0.62198*(CD40/(CE2-CD40))</f>
        <v>#VALUE!</v>
      </c>
      <c r="CG40" s="21" t="e">
        <f>((2501-2.381*CB40)*CE40-(CA2-CB40))/(2501+1.805*CA2-4.186*CB40)-BZ14</f>
        <v>#VALUE!</v>
      </c>
      <c r="CH40" s="21" t="e">
        <f>((2501-2.381*CA40)*CF40-(CA2-CA40))/(2501+1.805*CA2-4.186*CA40)-BZ14</f>
        <v>#VALUE!</v>
      </c>
      <c r="CI40" s="21" t="e">
        <f t="shared" si="23"/>
        <v>#VALUE!</v>
      </c>
    </row>
    <row r="41" spans="1:88">
      <c r="A41" s="30">
        <v>4</v>
      </c>
      <c r="B41" s="30">
        <f t="shared" si="24"/>
        <v>-1.4795310283970171</v>
      </c>
      <c r="C41" s="30">
        <f t="shared" si="25"/>
        <v>-0.90169229919101956</v>
      </c>
      <c r="D41" s="24">
        <f t="shared" si="0"/>
        <v>9.924017142763783E-2</v>
      </c>
      <c r="E41" s="24">
        <f t="shared" si="1"/>
        <v>3.0957078018391978E-2</v>
      </c>
      <c r="F41" s="20">
        <f>0.62198*(D41/(F2-D41))</f>
        <v>6.0977958504925282E-4</v>
      </c>
      <c r="G41" s="20">
        <f>0.62198*(E41/(F2-E41))</f>
        <v>1.9008702615127846E-4</v>
      </c>
      <c r="H41" s="21">
        <f>((2501-2.381*C41)*F41-(B2-C41))/(2501+1.805*B2-4.186*C41)-A14</f>
        <v>2.4939394772394787E-4</v>
      </c>
      <c r="I41" s="21">
        <f>((2501-2.381*B41)*G41-(B2-B41))/(2501+1.805*B2-4.186*B41)-A14</f>
        <v>-4.0022990553634794E-4</v>
      </c>
      <c r="J41" s="21">
        <f t="shared" si="2"/>
        <v>-1.1235275675562812</v>
      </c>
      <c r="L41" s="30">
        <v>4</v>
      </c>
      <c r="M41" s="30">
        <f t="shared" si="26"/>
        <v>-1.4795310283970171</v>
      </c>
      <c r="N41" s="30">
        <f t="shared" si="27"/>
        <v>-0.90169229919101956</v>
      </c>
      <c r="O41" s="24">
        <f t="shared" si="3"/>
        <v>9.924017142763783E-2</v>
      </c>
      <c r="P41" s="24">
        <f t="shared" si="4"/>
        <v>3.0957078018391978E-2</v>
      </c>
      <c r="Q41" s="20">
        <f>0.62198*(O41/(Q2-O41))</f>
        <v>6.0977958504925282E-4</v>
      </c>
      <c r="R41" s="20">
        <f>0.62198*(P41/(Q2-P41))</f>
        <v>1.9008702615127846E-4</v>
      </c>
      <c r="S41" s="21">
        <f>((2501-2.381*N41)*Q41-(M2-N41))/(2501+1.805*M2-4.186*N41)-L14</f>
        <v>2.4939394772394787E-4</v>
      </c>
      <c r="T41" s="21">
        <f>((2501-2.381*M41)*R41-(M2-M41))/(2501+1.805*M2-4.186*M41)-L14</f>
        <v>-4.0022990553634794E-4</v>
      </c>
      <c r="U41" s="21">
        <f t="shared" si="5"/>
        <v>-1.1235275675562812</v>
      </c>
      <c r="W41" s="30">
        <v>4</v>
      </c>
      <c r="X41" s="30">
        <f t="shared" si="28"/>
        <v>-1.4795310283970171</v>
      </c>
      <c r="Y41" s="30">
        <f t="shared" si="29"/>
        <v>-0.90169229919101956</v>
      </c>
      <c r="Z41" s="24">
        <f t="shared" si="6"/>
        <v>9.924017142763783E-2</v>
      </c>
      <c r="AA41" s="24">
        <f t="shared" si="7"/>
        <v>3.0957078018391978E-2</v>
      </c>
      <c r="AB41" s="20">
        <f>0.62198*(Z41/(AB2-Z41))</f>
        <v>6.0977958504925282E-4</v>
      </c>
      <c r="AC41" s="20">
        <f>0.62198*(AA41/(AB2-AA41))</f>
        <v>1.9008702615127846E-4</v>
      </c>
      <c r="AD41" s="21">
        <f>((2501-2.381*Y41)*AB41-(X2-Y41))/(2501+1.805*X2-4.186*Y41)-W14</f>
        <v>2.4939394772394787E-4</v>
      </c>
      <c r="AE41" s="21">
        <f>((2501-2.381*X41)*AC41-(X2-X41))/(2501+1.805*X2-4.186*X41)-W14</f>
        <v>-4.0022990553634794E-4</v>
      </c>
      <c r="AF41" s="21">
        <f t="shared" si="8"/>
        <v>-1.1235275675562812</v>
      </c>
      <c r="AH41" s="30">
        <v>4</v>
      </c>
      <c r="AI41" s="30">
        <f t="shared" si="30"/>
        <v>-1.4795310283970171</v>
      </c>
      <c r="AJ41" s="30">
        <f t="shared" si="31"/>
        <v>-0.90169229919101956</v>
      </c>
      <c r="AK41" s="24">
        <f t="shared" si="9"/>
        <v>9.924017142763783E-2</v>
      </c>
      <c r="AL41" s="24">
        <f t="shared" si="10"/>
        <v>3.0957078018391978E-2</v>
      </c>
      <c r="AM41" s="20">
        <f>0.62198*(AK41/(AM2-AK41))</f>
        <v>6.0977958504925282E-4</v>
      </c>
      <c r="AN41" s="20">
        <f>0.62198*(AL41/(AM2-AL41))</f>
        <v>1.9008702615127846E-4</v>
      </c>
      <c r="AO41" s="21">
        <f>((2501-2.381*AJ41)*AM41-(AI2-AJ41))/(2501+1.805*AI2-4.186*AJ41)-AH14</f>
        <v>2.4939394772394787E-4</v>
      </c>
      <c r="AP41" s="21">
        <f>((2501-2.381*AI41)*AN41-(AI2-AI41))/(2501+1.805*AI2-4.186*AI41)-AH14</f>
        <v>-4.0022990553634794E-4</v>
      </c>
      <c r="AQ41" s="21">
        <f t="shared" si="11"/>
        <v>-1.1235275675562812</v>
      </c>
      <c r="AS41" s="30">
        <v>4</v>
      </c>
      <c r="AT41" s="30" t="e">
        <f t="shared" si="32"/>
        <v>#VALUE!</v>
      </c>
      <c r="AU41" s="30" t="e">
        <f t="shared" si="33"/>
        <v>#VALUE!</v>
      </c>
      <c r="AV41" s="24" t="e">
        <f t="shared" si="12"/>
        <v>#VALUE!</v>
      </c>
      <c r="AW41" s="24" t="e">
        <f t="shared" si="13"/>
        <v>#VALUE!</v>
      </c>
      <c r="AX41" s="20" t="e">
        <f>0.62198*(AV41/(AX2-AV41))</f>
        <v>#VALUE!</v>
      </c>
      <c r="AY41" s="20" t="e">
        <f>0.62198*(AW41/(AX2-AW41))</f>
        <v>#VALUE!</v>
      </c>
      <c r="AZ41" s="21" t="e">
        <f>((2501-2.381*AU41)*AX41-(AT2-AU41))/(2501+1.805*AT2-4.186*AU41)-AS14</f>
        <v>#VALUE!</v>
      </c>
      <c r="BA41" s="21" t="e">
        <f>((2501-2.381*AT41)*AY41-(AT2-AT41))/(2501+1.805*AT2-4.186*AT41)-AS14</f>
        <v>#VALUE!</v>
      </c>
      <c r="BB41" s="21" t="e">
        <f t="shared" si="14"/>
        <v>#VALUE!</v>
      </c>
      <c r="BD41" s="30">
        <v>4</v>
      </c>
      <c r="BE41" s="30" t="e">
        <f t="shared" si="34"/>
        <v>#VALUE!</v>
      </c>
      <c r="BF41" s="30" t="e">
        <f t="shared" si="35"/>
        <v>#VALUE!</v>
      </c>
      <c r="BG41" s="24" t="e">
        <f t="shared" si="15"/>
        <v>#VALUE!</v>
      </c>
      <c r="BH41" s="24" t="e">
        <f t="shared" si="16"/>
        <v>#VALUE!</v>
      </c>
      <c r="BI41" s="20" t="e">
        <f>0.62198*(BG41/(BI2-BG41))</f>
        <v>#VALUE!</v>
      </c>
      <c r="BJ41" s="20" t="e">
        <f>0.62198*(BH41/(BI2-BH41))</f>
        <v>#VALUE!</v>
      </c>
      <c r="BK41" s="21" t="e">
        <f>((2501-2.381*BF41)*BI41-(BE2-BF41))/(2501+1.805*BE2-4.186*BF41)-BD14</f>
        <v>#VALUE!</v>
      </c>
      <c r="BL41" s="21" t="e">
        <f>((2501-2.381*BE41)*BJ41-(BE2-BE41))/(2501+1.805*BE2-4.186*BE41)-BD14</f>
        <v>#VALUE!</v>
      </c>
      <c r="BM41" s="21" t="e">
        <f t="shared" si="17"/>
        <v>#VALUE!</v>
      </c>
      <c r="BO41" s="30">
        <v>4</v>
      </c>
      <c r="BP41" s="30" t="e">
        <f t="shared" si="36"/>
        <v>#VALUE!</v>
      </c>
      <c r="BQ41" s="30" t="e">
        <f t="shared" si="37"/>
        <v>#VALUE!</v>
      </c>
      <c r="BR41" s="24" t="e">
        <f t="shared" si="18"/>
        <v>#VALUE!</v>
      </c>
      <c r="BS41" s="24" t="e">
        <f t="shared" si="19"/>
        <v>#VALUE!</v>
      </c>
      <c r="BT41" s="20" t="e">
        <f>0.62198*(BR41/(BT2-BR41))</f>
        <v>#VALUE!</v>
      </c>
      <c r="BU41" s="20" t="e">
        <f>0.62198*(BS41/(BT2-BS41))</f>
        <v>#VALUE!</v>
      </c>
      <c r="BV41" s="21" t="e">
        <f>((2501-2.381*BQ41)*BT41-(BP2-BQ41))/(2501+1.805*BP2-4.186*BQ41)-BO14</f>
        <v>#VALUE!</v>
      </c>
      <c r="BW41" s="21" t="e">
        <f>((2501-2.381*BP41)*BU41-(BP2-BP41))/(2501+1.805*BP2-4.186*BP41)-BO14</f>
        <v>#VALUE!</v>
      </c>
      <c r="BX41" s="21" t="e">
        <f t="shared" si="20"/>
        <v>#VALUE!</v>
      </c>
      <c r="BZ41" s="30">
        <v>4</v>
      </c>
      <c r="CA41" s="30" t="e">
        <f t="shared" si="38"/>
        <v>#VALUE!</v>
      </c>
      <c r="CB41" s="30" t="e">
        <f t="shared" si="39"/>
        <v>#VALUE!</v>
      </c>
      <c r="CC41" s="24" t="e">
        <f t="shared" si="21"/>
        <v>#VALUE!</v>
      </c>
      <c r="CD41" s="24" t="e">
        <f t="shared" si="22"/>
        <v>#VALUE!</v>
      </c>
      <c r="CE41" s="20" t="e">
        <f>0.62198*(CC41/(CE2-CC41))</f>
        <v>#VALUE!</v>
      </c>
      <c r="CF41" s="20" t="e">
        <f>0.62198*(CD41/(CE2-CD41))</f>
        <v>#VALUE!</v>
      </c>
      <c r="CG41" s="21" t="e">
        <f>((2501-2.381*CB41)*CE41-(CA2-CB41))/(2501+1.805*CA2-4.186*CB41)-BZ14</f>
        <v>#VALUE!</v>
      </c>
      <c r="CH41" s="21" t="e">
        <f>((2501-2.381*CA41)*CF41-(CA2-CA41))/(2501+1.805*CA2-4.186*CA41)-BZ14</f>
        <v>#VALUE!</v>
      </c>
      <c r="CI41" s="21" t="e">
        <f t="shared" si="23"/>
        <v>#VALUE!</v>
      </c>
    </row>
    <row r="42" spans="1:88">
      <c r="A42" s="30">
        <v>5</v>
      </c>
      <c r="B42" s="30">
        <f t="shared" si="24"/>
        <v>-0.90169229919101956</v>
      </c>
      <c r="C42" s="30">
        <f t="shared" si="25"/>
        <v>-1.1235275675562812</v>
      </c>
      <c r="D42" s="24">
        <f t="shared" si="0"/>
        <v>6.3454176536663021E-2</v>
      </c>
      <c r="E42" s="24">
        <f t="shared" si="1"/>
        <v>9.924017142763783E-2</v>
      </c>
      <c r="F42" s="20">
        <f>0.62198*(D42/(F2-D42))</f>
        <v>3.8975534494683475E-4</v>
      </c>
      <c r="G42" s="20">
        <f>0.62198*(E42/(F2-E42))</f>
        <v>6.0977958504925282E-4</v>
      </c>
      <c r="H42" s="21">
        <f>((2501-2.381*C42)*F42-(B2-C42))/(2501+1.805*B2-4.186*C42)-A14</f>
        <v>-5.894824836331645E-5</v>
      </c>
      <c r="I42" s="21">
        <f>((2501-2.381*B42)*G42-(B2-B42))/(2501+1.805*B2-4.186*B42)-A14</f>
        <v>2.4939394772394787E-4</v>
      </c>
      <c r="J42" s="21">
        <f t="shared" si="2"/>
        <v>-1.0811175417431502</v>
      </c>
      <c r="L42" s="30">
        <v>5</v>
      </c>
      <c r="M42" s="30">
        <f t="shared" si="26"/>
        <v>-0.90169229919101956</v>
      </c>
      <c r="N42" s="30">
        <f t="shared" si="27"/>
        <v>-1.1235275675562812</v>
      </c>
      <c r="O42" s="24">
        <f t="shared" si="3"/>
        <v>6.3454176536663021E-2</v>
      </c>
      <c r="P42" s="24">
        <f t="shared" si="4"/>
        <v>9.924017142763783E-2</v>
      </c>
      <c r="Q42" s="20">
        <f>0.62198*(O42/(Q2-O42))</f>
        <v>3.8975534494683475E-4</v>
      </c>
      <c r="R42" s="20">
        <f>0.62198*(P42/(Q2-P42))</f>
        <v>6.0977958504925282E-4</v>
      </c>
      <c r="S42" s="21">
        <f>((2501-2.381*N42)*Q42-(M2-N42))/(2501+1.805*M2-4.186*N42)-L14</f>
        <v>-5.894824836331645E-5</v>
      </c>
      <c r="T42" s="21">
        <f>((2501-2.381*M42)*R42-(M2-M42))/(2501+1.805*M2-4.186*M42)-L14</f>
        <v>2.4939394772394787E-4</v>
      </c>
      <c r="U42" s="21">
        <f t="shared" si="5"/>
        <v>-1.0811175417431502</v>
      </c>
      <c r="W42" s="30">
        <v>5</v>
      </c>
      <c r="X42" s="30">
        <f t="shared" si="28"/>
        <v>-0.90169229919101956</v>
      </c>
      <c r="Y42" s="30">
        <f t="shared" si="29"/>
        <v>-1.1235275675562812</v>
      </c>
      <c r="Z42" s="24">
        <f t="shared" si="6"/>
        <v>6.3454176536663021E-2</v>
      </c>
      <c r="AA42" s="24">
        <f t="shared" si="7"/>
        <v>9.924017142763783E-2</v>
      </c>
      <c r="AB42" s="20">
        <f>0.62198*(Z42/(AB2-Z42))</f>
        <v>3.8975534494683475E-4</v>
      </c>
      <c r="AC42" s="20">
        <f>0.62198*(AA42/(AB2-AA42))</f>
        <v>6.0977958504925282E-4</v>
      </c>
      <c r="AD42" s="21">
        <f>((2501-2.381*Y42)*AB42-(X2-Y42))/(2501+1.805*X2-4.186*Y42)-W14</f>
        <v>-5.894824836331645E-5</v>
      </c>
      <c r="AE42" s="21">
        <f>((2501-2.381*X42)*AC42-(X2-X42))/(2501+1.805*X2-4.186*X42)-W14</f>
        <v>2.4939394772394787E-4</v>
      </c>
      <c r="AF42" s="21">
        <f t="shared" si="8"/>
        <v>-1.0811175417431502</v>
      </c>
      <c r="AH42" s="30">
        <v>5</v>
      </c>
      <c r="AI42" s="30">
        <f t="shared" si="30"/>
        <v>-0.90169229919101956</v>
      </c>
      <c r="AJ42" s="30">
        <f t="shared" si="31"/>
        <v>-1.1235275675562812</v>
      </c>
      <c r="AK42" s="24">
        <f t="shared" si="9"/>
        <v>6.3454176536663021E-2</v>
      </c>
      <c r="AL42" s="24">
        <f t="shared" si="10"/>
        <v>9.924017142763783E-2</v>
      </c>
      <c r="AM42" s="20">
        <f>0.62198*(AK42/(AM2-AK42))</f>
        <v>3.8975534494683475E-4</v>
      </c>
      <c r="AN42" s="20">
        <f>0.62198*(AL42/(AM2-AL42))</f>
        <v>6.0977958504925282E-4</v>
      </c>
      <c r="AO42" s="21">
        <f>((2501-2.381*AJ42)*AM42-(AI2-AJ42))/(2501+1.805*AI2-4.186*AJ42)-AH14</f>
        <v>-5.894824836331645E-5</v>
      </c>
      <c r="AP42" s="21">
        <f>((2501-2.381*AI42)*AN42-(AI2-AI42))/(2501+1.805*AI2-4.186*AI42)-AH14</f>
        <v>2.4939394772394787E-4</v>
      </c>
      <c r="AQ42" s="21">
        <f t="shared" si="11"/>
        <v>-1.0811175417431502</v>
      </c>
      <c r="AS42" s="30">
        <v>5</v>
      </c>
      <c r="AT42" s="30" t="e">
        <f t="shared" si="32"/>
        <v>#VALUE!</v>
      </c>
      <c r="AU42" s="30" t="e">
        <f t="shared" si="33"/>
        <v>#VALUE!</v>
      </c>
      <c r="AV42" s="24" t="e">
        <f t="shared" si="12"/>
        <v>#VALUE!</v>
      </c>
      <c r="AW42" s="24" t="e">
        <f t="shared" si="13"/>
        <v>#VALUE!</v>
      </c>
      <c r="AX42" s="20" t="e">
        <f>0.62198*(AV42/(AX2-AV42))</f>
        <v>#VALUE!</v>
      </c>
      <c r="AY42" s="20" t="e">
        <f>0.62198*(AW42/(AX2-AW42))</f>
        <v>#VALUE!</v>
      </c>
      <c r="AZ42" s="21" t="e">
        <f>((2501-2.381*AU42)*AX42-(AT2-AU42))/(2501+1.805*AT2-4.186*AU42)-AS14</f>
        <v>#VALUE!</v>
      </c>
      <c r="BA42" s="21" t="e">
        <f>((2501-2.381*AT42)*AY42-(AT2-AT42))/(2501+1.805*AT2-4.186*AT42)-AS14</f>
        <v>#VALUE!</v>
      </c>
      <c r="BB42" s="21" t="e">
        <f t="shared" si="14"/>
        <v>#VALUE!</v>
      </c>
      <c r="BD42" s="30">
        <v>5</v>
      </c>
      <c r="BE42" s="30" t="e">
        <f t="shared" si="34"/>
        <v>#VALUE!</v>
      </c>
      <c r="BF42" s="30" t="e">
        <f t="shared" si="35"/>
        <v>#VALUE!</v>
      </c>
      <c r="BG42" s="24" t="e">
        <f t="shared" si="15"/>
        <v>#VALUE!</v>
      </c>
      <c r="BH42" s="24" t="e">
        <f t="shared" si="16"/>
        <v>#VALUE!</v>
      </c>
      <c r="BI42" s="20" t="e">
        <f>0.62198*(BG42/(BI2-BG42))</f>
        <v>#VALUE!</v>
      </c>
      <c r="BJ42" s="20" t="e">
        <f>0.62198*(BH42/(BI2-BH42))</f>
        <v>#VALUE!</v>
      </c>
      <c r="BK42" s="21" t="e">
        <f>((2501-2.381*BF42)*BI42-(BE2-BF42))/(2501+1.805*BE2-4.186*BF42)-BD14</f>
        <v>#VALUE!</v>
      </c>
      <c r="BL42" s="21" t="e">
        <f>((2501-2.381*BE42)*BJ42-(BE2-BE42))/(2501+1.805*BE2-4.186*BE42)-BD14</f>
        <v>#VALUE!</v>
      </c>
      <c r="BM42" s="21" t="e">
        <f t="shared" si="17"/>
        <v>#VALUE!</v>
      </c>
      <c r="BO42" s="30">
        <v>5</v>
      </c>
      <c r="BP42" s="30" t="e">
        <f t="shared" si="36"/>
        <v>#VALUE!</v>
      </c>
      <c r="BQ42" s="30" t="e">
        <f t="shared" si="37"/>
        <v>#VALUE!</v>
      </c>
      <c r="BR42" s="24" t="e">
        <f t="shared" si="18"/>
        <v>#VALUE!</v>
      </c>
      <c r="BS42" s="24" t="e">
        <f t="shared" si="19"/>
        <v>#VALUE!</v>
      </c>
      <c r="BT42" s="20" t="e">
        <f>0.62198*(BR42/(BT2-BR42))</f>
        <v>#VALUE!</v>
      </c>
      <c r="BU42" s="20" t="e">
        <f>0.62198*(BS42/(BT2-BS42))</f>
        <v>#VALUE!</v>
      </c>
      <c r="BV42" s="21" t="e">
        <f>((2501-2.381*BQ42)*BT42-(BP2-BQ42))/(2501+1.805*BP2-4.186*BQ42)-BO14</f>
        <v>#VALUE!</v>
      </c>
      <c r="BW42" s="21" t="e">
        <f>((2501-2.381*BP42)*BU42-(BP2-BP42))/(2501+1.805*BP2-4.186*BP42)-BO14</f>
        <v>#VALUE!</v>
      </c>
      <c r="BX42" s="21" t="e">
        <f t="shared" si="20"/>
        <v>#VALUE!</v>
      </c>
      <c r="BZ42" s="30">
        <v>5</v>
      </c>
      <c r="CA42" s="30" t="e">
        <f t="shared" si="38"/>
        <v>#VALUE!</v>
      </c>
      <c r="CB42" s="30" t="e">
        <f t="shared" si="39"/>
        <v>#VALUE!</v>
      </c>
      <c r="CC42" s="24" t="e">
        <f t="shared" si="21"/>
        <v>#VALUE!</v>
      </c>
      <c r="CD42" s="24" t="e">
        <f t="shared" si="22"/>
        <v>#VALUE!</v>
      </c>
      <c r="CE42" s="20" t="e">
        <f>0.62198*(CC42/(CE2-CC42))</f>
        <v>#VALUE!</v>
      </c>
      <c r="CF42" s="20" t="e">
        <f>0.62198*(CD42/(CE2-CD42))</f>
        <v>#VALUE!</v>
      </c>
      <c r="CG42" s="21" t="e">
        <f>((2501-2.381*CB42)*CE42-(CA2-CB42))/(2501+1.805*CA2-4.186*CB42)-BZ14</f>
        <v>#VALUE!</v>
      </c>
      <c r="CH42" s="21" t="e">
        <f>((2501-2.381*CA42)*CF42-(CA2-CA42))/(2501+1.805*CA2-4.186*CA42)-BZ14</f>
        <v>#VALUE!</v>
      </c>
      <c r="CI42" s="21" t="e">
        <f t="shared" si="23"/>
        <v>#VALUE!</v>
      </c>
    </row>
    <row r="43" spans="1:88">
      <c r="A43" s="30">
        <v>6</v>
      </c>
      <c r="B43" s="30">
        <f t="shared" si="24"/>
        <v>-1.1235275675562812</v>
      </c>
      <c r="C43" s="30">
        <f t="shared" si="25"/>
        <v>-1.0811175417431502</v>
      </c>
      <c r="D43" s="24">
        <f t="shared" si="0"/>
        <v>6.9118178926718302E-2</v>
      </c>
      <c r="E43" s="24">
        <f t="shared" si="1"/>
        <v>6.3454176536663021E-2</v>
      </c>
      <c r="F43" s="20">
        <f>0.62198*(D43/(F2-D43))</f>
        <v>4.2456916236043463E-4</v>
      </c>
      <c r="G43" s="20">
        <f>0.62198*(E43/(F2-E43))</f>
        <v>3.8975534494683475E-4</v>
      </c>
      <c r="H43" s="21">
        <f>((2501-2.381*C43)*F43-(B2-C43))/(2501+1.805*B2-4.186*C43)-A14</f>
        <v>-7.2548315421470998E-6</v>
      </c>
      <c r="I43" s="21">
        <f>((2501-2.381*B43)*G43-(B2-B43))/(2501+1.805*B2-4.186*B43)-A14</f>
        <v>-5.894824836331645E-5</v>
      </c>
      <c r="J43" s="21">
        <f t="shared" si="2"/>
        <v>-1.0751655731581218</v>
      </c>
      <c r="L43" s="30">
        <v>6</v>
      </c>
      <c r="M43" s="30">
        <f t="shared" si="26"/>
        <v>-1.1235275675562812</v>
      </c>
      <c r="N43" s="30">
        <f t="shared" si="27"/>
        <v>-1.0811175417431502</v>
      </c>
      <c r="O43" s="24">
        <f t="shared" si="3"/>
        <v>6.9118178926718302E-2</v>
      </c>
      <c r="P43" s="24">
        <f t="shared" si="4"/>
        <v>6.3454176536663021E-2</v>
      </c>
      <c r="Q43" s="20">
        <f>0.62198*(O43/(Q2-O43))</f>
        <v>4.2456916236043463E-4</v>
      </c>
      <c r="R43" s="20">
        <f>0.62198*(P43/(Q2-P43))</f>
        <v>3.8975534494683475E-4</v>
      </c>
      <c r="S43" s="21">
        <f>((2501-2.381*N43)*Q43-(M2-N43))/(2501+1.805*M2-4.186*N43)-L14</f>
        <v>-7.2548315421470998E-6</v>
      </c>
      <c r="T43" s="21">
        <f>((2501-2.381*M43)*R43-(M2-M43))/(2501+1.805*M2-4.186*M43)-L14</f>
        <v>-5.894824836331645E-5</v>
      </c>
      <c r="U43" s="21">
        <f t="shared" si="5"/>
        <v>-1.0751655731581218</v>
      </c>
      <c r="W43" s="30">
        <v>6</v>
      </c>
      <c r="X43" s="30">
        <f t="shared" si="28"/>
        <v>-1.1235275675562812</v>
      </c>
      <c r="Y43" s="30">
        <f t="shared" si="29"/>
        <v>-1.0811175417431502</v>
      </c>
      <c r="Z43" s="24">
        <f t="shared" si="6"/>
        <v>6.9118178926718302E-2</v>
      </c>
      <c r="AA43" s="24">
        <f t="shared" si="7"/>
        <v>6.3454176536663021E-2</v>
      </c>
      <c r="AB43" s="20">
        <f>0.62198*(Z43/(AB2-Z43))</f>
        <v>4.2456916236043463E-4</v>
      </c>
      <c r="AC43" s="20">
        <f>0.62198*(AA43/(AB2-AA43))</f>
        <v>3.8975534494683475E-4</v>
      </c>
      <c r="AD43" s="21">
        <f>((2501-2.381*Y43)*AB43-(X2-Y43))/(2501+1.805*X2-4.186*Y43)-W14</f>
        <v>-7.2548315421470998E-6</v>
      </c>
      <c r="AE43" s="21">
        <f>((2501-2.381*X43)*AC43-(X2-X43))/(2501+1.805*X2-4.186*X43)-W14</f>
        <v>-5.894824836331645E-5</v>
      </c>
      <c r="AF43" s="21">
        <f t="shared" si="8"/>
        <v>-1.0751655731581218</v>
      </c>
      <c r="AH43" s="30">
        <v>6</v>
      </c>
      <c r="AI43" s="30">
        <f t="shared" si="30"/>
        <v>-1.1235275675562812</v>
      </c>
      <c r="AJ43" s="30">
        <f t="shared" si="31"/>
        <v>-1.0811175417431502</v>
      </c>
      <c r="AK43" s="24">
        <f t="shared" si="9"/>
        <v>6.9118178926718302E-2</v>
      </c>
      <c r="AL43" s="24">
        <f t="shared" si="10"/>
        <v>6.3454176536663021E-2</v>
      </c>
      <c r="AM43" s="20">
        <f>0.62198*(AK43/(AM2-AK43))</f>
        <v>4.2456916236043463E-4</v>
      </c>
      <c r="AN43" s="20">
        <f>0.62198*(AL43/(AM2-AL43))</f>
        <v>3.8975534494683475E-4</v>
      </c>
      <c r="AO43" s="21">
        <f>((2501-2.381*AJ43)*AM43-(AI2-AJ43))/(2501+1.805*AI2-4.186*AJ43)-AH14</f>
        <v>-7.2548315421470998E-6</v>
      </c>
      <c r="AP43" s="21">
        <f>((2501-2.381*AI43)*AN43-(AI2-AI43))/(2501+1.805*AI2-4.186*AI43)-AH14</f>
        <v>-5.894824836331645E-5</v>
      </c>
      <c r="AQ43" s="21">
        <f t="shared" si="11"/>
        <v>-1.0751655731581218</v>
      </c>
      <c r="AS43" s="30">
        <v>6</v>
      </c>
      <c r="AT43" s="30" t="e">
        <f t="shared" si="32"/>
        <v>#VALUE!</v>
      </c>
      <c r="AU43" s="30" t="e">
        <f t="shared" si="33"/>
        <v>#VALUE!</v>
      </c>
      <c r="AV43" s="24" t="e">
        <f t="shared" si="12"/>
        <v>#VALUE!</v>
      </c>
      <c r="AW43" s="24" t="e">
        <f t="shared" si="13"/>
        <v>#VALUE!</v>
      </c>
      <c r="AX43" s="20" t="e">
        <f>0.62198*(AV43/(AX2-AV43))</f>
        <v>#VALUE!</v>
      </c>
      <c r="AY43" s="20" t="e">
        <f>0.62198*(AW43/(AX2-AW43))</f>
        <v>#VALUE!</v>
      </c>
      <c r="AZ43" s="21" t="e">
        <f>((2501-2.381*AU43)*AX43-(AT2-AU43))/(2501+1.805*AT2-4.186*AU43)-AS14</f>
        <v>#VALUE!</v>
      </c>
      <c r="BA43" s="21" t="e">
        <f>((2501-2.381*AT43)*AY43-(AT2-AT43))/(2501+1.805*AT2-4.186*AT43)-AS14</f>
        <v>#VALUE!</v>
      </c>
      <c r="BB43" s="21" t="e">
        <f t="shared" si="14"/>
        <v>#VALUE!</v>
      </c>
      <c r="BD43" s="30">
        <v>6</v>
      </c>
      <c r="BE43" s="30" t="e">
        <f t="shared" si="34"/>
        <v>#VALUE!</v>
      </c>
      <c r="BF43" s="30" t="e">
        <f t="shared" si="35"/>
        <v>#VALUE!</v>
      </c>
      <c r="BG43" s="24" t="e">
        <f t="shared" si="15"/>
        <v>#VALUE!</v>
      </c>
      <c r="BH43" s="24" t="e">
        <f t="shared" si="16"/>
        <v>#VALUE!</v>
      </c>
      <c r="BI43" s="20" t="e">
        <f>0.62198*(BG43/(BI2-BG43))</f>
        <v>#VALUE!</v>
      </c>
      <c r="BJ43" s="20" t="e">
        <f>0.62198*(BH43/(BI2-BH43))</f>
        <v>#VALUE!</v>
      </c>
      <c r="BK43" s="21" t="e">
        <f>((2501-2.381*BF43)*BI43-(BE2-BF43))/(2501+1.805*BE2-4.186*BF43)-BD14</f>
        <v>#VALUE!</v>
      </c>
      <c r="BL43" s="21" t="e">
        <f>((2501-2.381*BE43)*BJ43-(BE2-BE43))/(2501+1.805*BE2-4.186*BE43)-BD14</f>
        <v>#VALUE!</v>
      </c>
      <c r="BM43" s="21" t="e">
        <f t="shared" si="17"/>
        <v>#VALUE!</v>
      </c>
      <c r="BO43" s="30">
        <v>6</v>
      </c>
      <c r="BP43" s="30" t="e">
        <f t="shared" si="36"/>
        <v>#VALUE!</v>
      </c>
      <c r="BQ43" s="30" t="e">
        <f t="shared" si="37"/>
        <v>#VALUE!</v>
      </c>
      <c r="BR43" s="24" t="e">
        <f t="shared" si="18"/>
        <v>#VALUE!</v>
      </c>
      <c r="BS43" s="24" t="e">
        <f t="shared" si="19"/>
        <v>#VALUE!</v>
      </c>
      <c r="BT43" s="20" t="e">
        <f>0.62198*(BR43/(BT2-BR43))</f>
        <v>#VALUE!</v>
      </c>
      <c r="BU43" s="20" t="e">
        <f>0.62198*(BS43/(BT2-BS43))</f>
        <v>#VALUE!</v>
      </c>
      <c r="BV43" s="21" t="e">
        <f>((2501-2.381*BQ43)*BT43-(BP2-BQ43))/(2501+1.805*BP2-4.186*BQ43)-BO14</f>
        <v>#VALUE!</v>
      </c>
      <c r="BW43" s="21" t="e">
        <f>((2501-2.381*BP43)*BU43-(BP2-BP43))/(2501+1.805*BP2-4.186*BP43)-BO14</f>
        <v>#VALUE!</v>
      </c>
      <c r="BX43" s="21" t="e">
        <f t="shared" si="20"/>
        <v>#VALUE!</v>
      </c>
      <c r="BZ43" s="30">
        <v>6</v>
      </c>
      <c r="CA43" s="30" t="e">
        <f t="shared" si="38"/>
        <v>#VALUE!</v>
      </c>
      <c r="CB43" s="30" t="e">
        <f t="shared" si="39"/>
        <v>#VALUE!</v>
      </c>
      <c r="CC43" s="24" t="e">
        <f t="shared" si="21"/>
        <v>#VALUE!</v>
      </c>
      <c r="CD43" s="24" t="e">
        <f t="shared" si="22"/>
        <v>#VALUE!</v>
      </c>
      <c r="CE43" s="20" t="e">
        <f>0.62198*(CC43/(CE2-CC43))</f>
        <v>#VALUE!</v>
      </c>
      <c r="CF43" s="20" t="e">
        <f>0.62198*(CD43/(CE2-CD43))</f>
        <v>#VALUE!</v>
      </c>
      <c r="CG43" s="21" t="e">
        <f>((2501-2.381*CB43)*CE43-(CA2-CB43))/(2501+1.805*CA2-4.186*CB43)-BZ14</f>
        <v>#VALUE!</v>
      </c>
      <c r="CH43" s="21" t="e">
        <f>((2501-2.381*CA43)*CF43-(CA2-CA43))/(2501+1.805*CA2-4.186*CA43)-BZ14</f>
        <v>#VALUE!</v>
      </c>
      <c r="CI43" s="21" t="e">
        <f t="shared" si="23"/>
        <v>#VALUE!</v>
      </c>
    </row>
    <row r="44" spans="1:88">
      <c r="A44" s="30">
        <v>7</v>
      </c>
      <c r="B44" s="30">
        <f t="shared" si="24"/>
        <v>-1.0811175417431502</v>
      </c>
      <c r="C44" s="30">
        <f t="shared" si="25"/>
        <v>-1.0751655731581218</v>
      </c>
      <c r="D44" s="24">
        <f t="shared" si="0"/>
        <v>6.9952546151734421E-2</v>
      </c>
      <c r="E44" s="24">
        <f t="shared" si="1"/>
        <v>6.9118178926718302E-2</v>
      </c>
      <c r="F44" s="20">
        <f>0.62198*(D44/(F2-D44))</f>
        <v>4.2969793357992429E-4</v>
      </c>
      <c r="G44" s="20">
        <f>0.62198*(E44/(F2-E44))</f>
        <v>4.2456916236043463E-4</v>
      </c>
      <c r="H44" s="21">
        <f>((2501-2.381*C44)*F44-(B2-C44))/(2501+1.805*B2-4.186*C44)-A14</f>
        <v>2.4305410376740042E-7</v>
      </c>
      <c r="I44" s="21">
        <f>((2501-2.381*B44)*G44-(B2-B44))/(2501+1.805*B2-4.186*B44)-A14</f>
        <v>-7.2548315421470998E-6</v>
      </c>
      <c r="J44" s="21">
        <f t="shared" si="2"/>
        <v>-1.075358514269577</v>
      </c>
      <c r="L44" s="30">
        <v>7</v>
      </c>
      <c r="M44" s="30">
        <f t="shared" si="26"/>
        <v>-1.0811175417431502</v>
      </c>
      <c r="N44" s="30">
        <f t="shared" si="27"/>
        <v>-1.0751655731581218</v>
      </c>
      <c r="O44" s="24">
        <f t="shared" si="3"/>
        <v>6.9952546151734421E-2</v>
      </c>
      <c r="P44" s="24">
        <f t="shared" si="4"/>
        <v>6.9118178926718302E-2</v>
      </c>
      <c r="Q44" s="20">
        <f>0.62198*(O44/(Q2-O44))</f>
        <v>4.2969793357992429E-4</v>
      </c>
      <c r="R44" s="20">
        <f>0.62198*(P44/(Q2-P44))</f>
        <v>4.2456916236043463E-4</v>
      </c>
      <c r="S44" s="21">
        <f>((2501-2.381*N44)*Q44-(M2-N44))/(2501+1.805*M2-4.186*N44)-L14</f>
        <v>2.4305410376740042E-7</v>
      </c>
      <c r="T44" s="21">
        <f>((2501-2.381*M44)*R44-(M2-M44))/(2501+1.805*M2-4.186*M44)-L14</f>
        <v>-7.2548315421470998E-6</v>
      </c>
      <c r="U44" s="21">
        <f t="shared" si="5"/>
        <v>-1.075358514269577</v>
      </c>
      <c r="W44" s="30">
        <v>7</v>
      </c>
      <c r="X44" s="30">
        <f t="shared" si="28"/>
        <v>-1.0811175417431502</v>
      </c>
      <c r="Y44" s="30">
        <f t="shared" si="29"/>
        <v>-1.0751655731581218</v>
      </c>
      <c r="Z44" s="24">
        <f t="shared" si="6"/>
        <v>6.9952546151734421E-2</v>
      </c>
      <c r="AA44" s="24">
        <f t="shared" si="7"/>
        <v>6.9118178926718302E-2</v>
      </c>
      <c r="AB44" s="20">
        <f>0.62198*(Z44/(AB2-Z44))</f>
        <v>4.2969793357992429E-4</v>
      </c>
      <c r="AC44" s="20">
        <f>0.62198*(AA44/(AB2-AA44))</f>
        <v>4.2456916236043463E-4</v>
      </c>
      <c r="AD44" s="21">
        <f>((2501-2.381*Y44)*AB44-(X2-Y44))/(2501+1.805*X2-4.186*Y44)-W14</f>
        <v>2.4305410376740042E-7</v>
      </c>
      <c r="AE44" s="21">
        <f>((2501-2.381*X44)*AC44-(X2-X44))/(2501+1.805*X2-4.186*X44)-W14</f>
        <v>-7.2548315421470998E-6</v>
      </c>
      <c r="AF44" s="21">
        <f t="shared" si="8"/>
        <v>-1.075358514269577</v>
      </c>
      <c r="AH44" s="30">
        <v>7</v>
      </c>
      <c r="AI44" s="30">
        <f t="shared" si="30"/>
        <v>-1.0811175417431502</v>
      </c>
      <c r="AJ44" s="30">
        <f t="shared" si="31"/>
        <v>-1.0751655731581218</v>
      </c>
      <c r="AK44" s="24">
        <f t="shared" si="9"/>
        <v>6.9952546151734421E-2</v>
      </c>
      <c r="AL44" s="24">
        <f t="shared" si="10"/>
        <v>6.9118178926718302E-2</v>
      </c>
      <c r="AM44" s="20">
        <f>0.62198*(AK44/(AM2-AK44))</f>
        <v>4.2969793357992429E-4</v>
      </c>
      <c r="AN44" s="20">
        <f>0.62198*(AL44/(AM2-AL44))</f>
        <v>4.2456916236043463E-4</v>
      </c>
      <c r="AO44" s="21">
        <f>((2501-2.381*AJ44)*AM44-(AI2-AJ44))/(2501+1.805*AI2-4.186*AJ44)-AH14</f>
        <v>2.4305410376740042E-7</v>
      </c>
      <c r="AP44" s="21">
        <f>((2501-2.381*AI44)*AN44-(AI2-AI44))/(2501+1.805*AI2-4.186*AI44)-AH14</f>
        <v>-7.2548315421470998E-6</v>
      </c>
      <c r="AQ44" s="21">
        <f t="shared" si="11"/>
        <v>-1.075358514269577</v>
      </c>
      <c r="AS44" s="30">
        <v>7</v>
      </c>
      <c r="AT44" s="30" t="e">
        <f t="shared" si="32"/>
        <v>#VALUE!</v>
      </c>
      <c r="AU44" s="30" t="e">
        <f t="shared" si="33"/>
        <v>#VALUE!</v>
      </c>
      <c r="AV44" s="24" t="e">
        <f t="shared" si="12"/>
        <v>#VALUE!</v>
      </c>
      <c r="AW44" s="24" t="e">
        <f t="shared" si="13"/>
        <v>#VALUE!</v>
      </c>
      <c r="AX44" s="20" t="e">
        <f>0.62198*(AV44/(AX2-AV44))</f>
        <v>#VALUE!</v>
      </c>
      <c r="AY44" s="20" t="e">
        <f>0.62198*(AW44/(AX2-AW44))</f>
        <v>#VALUE!</v>
      </c>
      <c r="AZ44" s="21" t="e">
        <f>((2501-2.381*AU44)*AX44-(AT2-AU44))/(2501+1.805*AT2-4.186*AU44)-AS14</f>
        <v>#VALUE!</v>
      </c>
      <c r="BA44" s="21" t="e">
        <f>((2501-2.381*AT44)*AY44-(AT2-AT44))/(2501+1.805*AT2-4.186*AT44)-AS14</f>
        <v>#VALUE!</v>
      </c>
      <c r="BB44" s="21" t="e">
        <f t="shared" si="14"/>
        <v>#VALUE!</v>
      </c>
      <c r="BD44" s="30">
        <v>7</v>
      </c>
      <c r="BE44" s="30" t="e">
        <f t="shared" si="34"/>
        <v>#VALUE!</v>
      </c>
      <c r="BF44" s="30" t="e">
        <f t="shared" si="35"/>
        <v>#VALUE!</v>
      </c>
      <c r="BG44" s="24" t="e">
        <f t="shared" si="15"/>
        <v>#VALUE!</v>
      </c>
      <c r="BH44" s="24" t="e">
        <f t="shared" si="16"/>
        <v>#VALUE!</v>
      </c>
      <c r="BI44" s="20" t="e">
        <f>0.62198*(BG44/(BI2-BG44))</f>
        <v>#VALUE!</v>
      </c>
      <c r="BJ44" s="20" t="e">
        <f>0.62198*(BH44/(BI2-BH44))</f>
        <v>#VALUE!</v>
      </c>
      <c r="BK44" s="21" t="e">
        <f>((2501-2.381*BF44)*BI44-(BE2-BF44))/(2501+1.805*BE2-4.186*BF44)-BD14</f>
        <v>#VALUE!</v>
      </c>
      <c r="BL44" s="21" t="e">
        <f>((2501-2.381*BE44)*BJ44-(BE2-BE44))/(2501+1.805*BE2-4.186*BE44)-BD14</f>
        <v>#VALUE!</v>
      </c>
      <c r="BM44" s="21" t="e">
        <f t="shared" si="17"/>
        <v>#VALUE!</v>
      </c>
      <c r="BO44" s="30">
        <v>7</v>
      </c>
      <c r="BP44" s="30" t="e">
        <f t="shared" si="36"/>
        <v>#VALUE!</v>
      </c>
      <c r="BQ44" s="30" t="e">
        <f t="shared" si="37"/>
        <v>#VALUE!</v>
      </c>
      <c r="BR44" s="24" t="e">
        <f t="shared" si="18"/>
        <v>#VALUE!</v>
      </c>
      <c r="BS44" s="24" t="e">
        <f t="shared" si="19"/>
        <v>#VALUE!</v>
      </c>
      <c r="BT44" s="20" t="e">
        <f>0.62198*(BR44/(BT2-BR44))</f>
        <v>#VALUE!</v>
      </c>
      <c r="BU44" s="20" t="e">
        <f>0.62198*(BS44/(BT2-BS44))</f>
        <v>#VALUE!</v>
      </c>
      <c r="BV44" s="21" t="e">
        <f>((2501-2.381*BQ44)*BT44-(BP2-BQ44))/(2501+1.805*BP2-4.186*BQ44)-BO14</f>
        <v>#VALUE!</v>
      </c>
      <c r="BW44" s="21" t="e">
        <f>((2501-2.381*BP44)*BU44-(BP2-BP44))/(2501+1.805*BP2-4.186*BP44)-BO14</f>
        <v>#VALUE!</v>
      </c>
      <c r="BX44" s="21" t="e">
        <f t="shared" si="20"/>
        <v>#VALUE!</v>
      </c>
      <c r="BZ44" s="30">
        <v>7</v>
      </c>
      <c r="CA44" s="30" t="e">
        <f t="shared" si="38"/>
        <v>#VALUE!</v>
      </c>
      <c r="CB44" s="30" t="e">
        <f t="shared" si="39"/>
        <v>#VALUE!</v>
      </c>
      <c r="CC44" s="24" t="e">
        <f t="shared" si="21"/>
        <v>#VALUE!</v>
      </c>
      <c r="CD44" s="24" t="e">
        <f t="shared" si="22"/>
        <v>#VALUE!</v>
      </c>
      <c r="CE44" s="20" t="e">
        <f>0.62198*(CC44/(CE2-CC44))</f>
        <v>#VALUE!</v>
      </c>
      <c r="CF44" s="20" t="e">
        <f>0.62198*(CD44/(CE2-CD44))</f>
        <v>#VALUE!</v>
      </c>
      <c r="CG44" s="21" t="e">
        <f>((2501-2.381*CB44)*CE44-(CA2-CB44))/(2501+1.805*CA2-4.186*CB44)-BZ14</f>
        <v>#VALUE!</v>
      </c>
      <c r="CH44" s="21" t="e">
        <f>((2501-2.381*CA44)*CF44-(CA2-CA44))/(2501+1.805*CA2-4.186*CA44)-BZ14</f>
        <v>#VALUE!</v>
      </c>
      <c r="CI44" s="21" t="e">
        <f t="shared" si="23"/>
        <v>#VALUE!</v>
      </c>
    </row>
    <row r="45" spans="1:88">
      <c r="A45" s="30">
        <v>8</v>
      </c>
      <c r="B45" s="30">
        <f t="shared" si="24"/>
        <v>-1.0751655731581218</v>
      </c>
      <c r="C45" s="30">
        <f t="shared" si="25"/>
        <v>-1.075358514269577</v>
      </c>
      <c r="D45" s="24">
        <f t="shared" si="0"/>
        <v>6.9925341704769259E-2</v>
      </c>
      <c r="E45" s="24">
        <f t="shared" si="1"/>
        <v>6.9952546151734421E-2</v>
      </c>
      <c r="F45" s="20">
        <f>0.62198*(D45/(F2-D45))</f>
        <v>4.2953070925388253E-4</v>
      </c>
      <c r="G45" s="20">
        <f>0.62198*(E45/(F2-E45))</f>
        <v>4.2969793357992429E-4</v>
      </c>
      <c r="H45" s="21">
        <f>((2501-2.381*C45)*F45-(B2-C45))/(2501+1.805*B2-4.186*C45)-A14</f>
        <v>-9.6894911396993032E-10</v>
      </c>
      <c r="I45" s="21">
        <f>((2501-2.381*B45)*G45-(B2-B45))/(2501+1.805*B2-4.186*B45)-A14</f>
        <v>2.4305410376740042E-7</v>
      </c>
      <c r="J45" s="21">
        <f t="shared" si="2"/>
        <v>-1.0753577481529466</v>
      </c>
      <c r="L45" s="30">
        <v>8</v>
      </c>
      <c r="M45" s="30">
        <f t="shared" si="26"/>
        <v>-1.0751655731581218</v>
      </c>
      <c r="N45" s="30">
        <f t="shared" si="27"/>
        <v>-1.075358514269577</v>
      </c>
      <c r="O45" s="24">
        <f t="shared" si="3"/>
        <v>6.9925341704769259E-2</v>
      </c>
      <c r="P45" s="24">
        <f t="shared" si="4"/>
        <v>6.9952546151734421E-2</v>
      </c>
      <c r="Q45" s="20">
        <f>0.62198*(O45/(Q2-O45))</f>
        <v>4.2953070925388253E-4</v>
      </c>
      <c r="R45" s="20">
        <f>0.62198*(P45/(Q2-P45))</f>
        <v>4.2969793357992429E-4</v>
      </c>
      <c r="S45" s="21">
        <f>((2501-2.381*N45)*Q45-(M2-N45))/(2501+1.805*M2-4.186*N45)-L14</f>
        <v>-9.6894911396993032E-10</v>
      </c>
      <c r="T45" s="21">
        <f>((2501-2.381*M45)*R45-(M2-M45))/(2501+1.805*M2-4.186*M45)-L14</f>
        <v>2.4305410376740042E-7</v>
      </c>
      <c r="U45" s="21">
        <f t="shared" si="5"/>
        <v>-1.0753577481529466</v>
      </c>
      <c r="W45" s="30">
        <v>8</v>
      </c>
      <c r="X45" s="30">
        <f t="shared" si="28"/>
        <v>-1.0751655731581218</v>
      </c>
      <c r="Y45" s="30">
        <f t="shared" si="29"/>
        <v>-1.075358514269577</v>
      </c>
      <c r="Z45" s="24">
        <f t="shared" si="6"/>
        <v>6.9925341704769259E-2</v>
      </c>
      <c r="AA45" s="24">
        <f t="shared" si="7"/>
        <v>6.9952546151734421E-2</v>
      </c>
      <c r="AB45" s="20">
        <f>0.62198*(Z45/(AB2-Z45))</f>
        <v>4.2953070925388253E-4</v>
      </c>
      <c r="AC45" s="20">
        <f>0.62198*(AA45/(AB2-AA45))</f>
        <v>4.2969793357992429E-4</v>
      </c>
      <c r="AD45" s="21">
        <f>((2501-2.381*Y45)*AB45-(X2-Y45))/(2501+1.805*X2-4.186*Y45)-W14</f>
        <v>-9.6894911396993032E-10</v>
      </c>
      <c r="AE45" s="21">
        <f>((2501-2.381*X45)*AC45-(X2-X45))/(2501+1.805*X2-4.186*X45)-W14</f>
        <v>2.4305410376740042E-7</v>
      </c>
      <c r="AF45" s="21">
        <f t="shared" si="8"/>
        <v>-1.0753577481529466</v>
      </c>
      <c r="AH45" s="30">
        <v>8</v>
      </c>
      <c r="AI45" s="30">
        <f t="shared" si="30"/>
        <v>-1.0751655731581218</v>
      </c>
      <c r="AJ45" s="30">
        <f t="shared" si="31"/>
        <v>-1.075358514269577</v>
      </c>
      <c r="AK45" s="24">
        <f t="shared" si="9"/>
        <v>6.9925341704769259E-2</v>
      </c>
      <c r="AL45" s="24">
        <f t="shared" si="10"/>
        <v>6.9952546151734421E-2</v>
      </c>
      <c r="AM45" s="20">
        <f>0.62198*(AK45/(AM2-AK45))</f>
        <v>4.2953070925388253E-4</v>
      </c>
      <c r="AN45" s="20">
        <f>0.62198*(AL45/(AM2-AL45))</f>
        <v>4.2969793357992429E-4</v>
      </c>
      <c r="AO45" s="21">
        <f>((2501-2.381*AJ45)*AM45-(AI2-AJ45))/(2501+1.805*AI2-4.186*AJ45)-AH14</f>
        <v>-9.6894911396993032E-10</v>
      </c>
      <c r="AP45" s="21">
        <f>((2501-2.381*AI45)*AN45-(AI2-AI45))/(2501+1.805*AI2-4.186*AI45)-AH14</f>
        <v>2.4305410376740042E-7</v>
      </c>
      <c r="AQ45" s="21">
        <f t="shared" si="11"/>
        <v>-1.0753577481529466</v>
      </c>
      <c r="AS45" s="30">
        <v>8</v>
      </c>
      <c r="AT45" s="30" t="e">
        <f t="shared" si="32"/>
        <v>#VALUE!</v>
      </c>
      <c r="AU45" s="30" t="e">
        <f t="shared" si="33"/>
        <v>#VALUE!</v>
      </c>
      <c r="AV45" s="24" t="e">
        <f t="shared" si="12"/>
        <v>#VALUE!</v>
      </c>
      <c r="AW45" s="24" t="e">
        <f t="shared" si="13"/>
        <v>#VALUE!</v>
      </c>
      <c r="AX45" s="20" t="e">
        <f>0.62198*(AV45/(AX2-AV45))</f>
        <v>#VALUE!</v>
      </c>
      <c r="AY45" s="20" t="e">
        <f>0.62198*(AW45/(AX2-AW45))</f>
        <v>#VALUE!</v>
      </c>
      <c r="AZ45" s="21" t="e">
        <f>((2501-2.381*AU45)*AX45-(AT2-AU45))/(2501+1.805*AT2-4.186*AU45)-AS14</f>
        <v>#VALUE!</v>
      </c>
      <c r="BA45" s="21" t="e">
        <f>((2501-2.381*AT45)*AY45-(AT2-AT45))/(2501+1.805*AT2-4.186*AT45)-AS14</f>
        <v>#VALUE!</v>
      </c>
      <c r="BB45" s="21" t="e">
        <f t="shared" si="14"/>
        <v>#VALUE!</v>
      </c>
      <c r="BD45" s="30">
        <v>8</v>
      </c>
      <c r="BE45" s="30" t="e">
        <f t="shared" si="34"/>
        <v>#VALUE!</v>
      </c>
      <c r="BF45" s="30" t="e">
        <f t="shared" si="35"/>
        <v>#VALUE!</v>
      </c>
      <c r="BG45" s="24" t="e">
        <f t="shared" si="15"/>
        <v>#VALUE!</v>
      </c>
      <c r="BH45" s="24" t="e">
        <f t="shared" si="16"/>
        <v>#VALUE!</v>
      </c>
      <c r="BI45" s="20" t="e">
        <f>0.62198*(BG45/(BI2-BG45))</f>
        <v>#VALUE!</v>
      </c>
      <c r="BJ45" s="20" t="e">
        <f>0.62198*(BH45/(BI2-BH45))</f>
        <v>#VALUE!</v>
      </c>
      <c r="BK45" s="21" t="e">
        <f>((2501-2.381*BF45)*BI45-(BE2-BF45))/(2501+1.805*BE2-4.186*BF45)-BD14</f>
        <v>#VALUE!</v>
      </c>
      <c r="BL45" s="21" t="e">
        <f>((2501-2.381*BE45)*BJ45-(BE2-BE45))/(2501+1.805*BE2-4.186*BE45)-BD14</f>
        <v>#VALUE!</v>
      </c>
      <c r="BM45" s="21" t="e">
        <f t="shared" si="17"/>
        <v>#VALUE!</v>
      </c>
      <c r="BO45" s="30">
        <v>8</v>
      </c>
      <c r="BP45" s="30" t="e">
        <f t="shared" si="36"/>
        <v>#VALUE!</v>
      </c>
      <c r="BQ45" s="30" t="e">
        <f t="shared" si="37"/>
        <v>#VALUE!</v>
      </c>
      <c r="BR45" s="24" t="e">
        <f t="shared" si="18"/>
        <v>#VALUE!</v>
      </c>
      <c r="BS45" s="24" t="e">
        <f t="shared" si="19"/>
        <v>#VALUE!</v>
      </c>
      <c r="BT45" s="20" t="e">
        <f>0.62198*(BR45/(BT2-BR45))</f>
        <v>#VALUE!</v>
      </c>
      <c r="BU45" s="20" t="e">
        <f>0.62198*(BS45/(BT2-BS45))</f>
        <v>#VALUE!</v>
      </c>
      <c r="BV45" s="21" t="e">
        <f>((2501-2.381*BQ45)*BT45-(BP2-BQ45))/(2501+1.805*BP2-4.186*BQ45)-BO14</f>
        <v>#VALUE!</v>
      </c>
      <c r="BW45" s="21" t="e">
        <f>((2501-2.381*BP45)*BU45-(BP2-BP45))/(2501+1.805*BP2-4.186*BP45)-BO14</f>
        <v>#VALUE!</v>
      </c>
      <c r="BX45" s="21" t="e">
        <f t="shared" si="20"/>
        <v>#VALUE!</v>
      </c>
      <c r="BZ45" s="30">
        <v>8</v>
      </c>
      <c r="CA45" s="30" t="e">
        <f t="shared" si="38"/>
        <v>#VALUE!</v>
      </c>
      <c r="CB45" s="30" t="e">
        <f t="shared" si="39"/>
        <v>#VALUE!</v>
      </c>
      <c r="CC45" s="24" t="e">
        <f t="shared" si="21"/>
        <v>#VALUE!</v>
      </c>
      <c r="CD45" s="24" t="e">
        <f t="shared" si="22"/>
        <v>#VALUE!</v>
      </c>
      <c r="CE45" s="20" t="e">
        <f>0.62198*(CC45/(CE2-CC45))</f>
        <v>#VALUE!</v>
      </c>
      <c r="CF45" s="20" t="e">
        <f>0.62198*(CD45/(CE2-CD45))</f>
        <v>#VALUE!</v>
      </c>
      <c r="CG45" s="21" t="e">
        <f>((2501-2.381*CB45)*CE45-(CA2-CB45))/(2501+1.805*CA2-4.186*CB45)-BZ14</f>
        <v>#VALUE!</v>
      </c>
      <c r="CH45" s="21" t="e">
        <f>((2501-2.381*CA45)*CF45-(CA2-CA45))/(2501+1.805*CA2-4.186*CA45)-BZ14</f>
        <v>#VALUE!</v>
      </c>
      <c r="CI45" s="21" t="e">
        <f t="shared" si="23"/>
        <v>#VALUE!</v>
      </c>
    </row>
    <row r="46" spans="1:88">
      <c r="A46" s="30">
        <v>9</v>
      </c>
      <c r="B46" s="30">
        <f t="shared" si="24"/>
        <v>-1.075358514269577</v>
      </c>
      <c r="C46" s="30">
        <f t="shared" si="25"/>
        <v>-1.0753577481529466</v>
      </c>
      <c r="D46" s="24">
        <f t="shared" si="0"/>
        <v>6.9925449705298987E-2</v>
      </c>
      <c r="E46" s="24">
        <f t="shared" si="1"/>
        <v>6.9925341704769259E-2</v>
      </c>
      <c r="F46" s="20">
        <f>0.62198*(D46/(F2-D46))</f>
        <v>4.2953137312736568E-4</v>
      </c>
      <c r="G46" s="20">
        <f>0.62198*(E46/(F2-E46))</f>
        <v>4.2953070925388253E-4</v>
      </c>
      <c r="H46" s="21">
        <f>((2501-2.381*C46)*F46-(B2-C46))/(2501+1.805*B2-4.186*C46)-A14</f>
        <v>-1.2888310430834894E-13</v>
      </c>
      <c r="I46" s="21">
        <f>((2501-2.381*B46)*G46-(B2-B46))/(2501+1.805*B2-4.186*B46)-A14</f>
        <v>-9.6894911396993032E-10</v>
      </c>
      <c r="J46" s="21">
        <f t="shared" si="2"/>
        <v>-1.0753577480510295</v>
      </c>
      <c r="L46" s="30">
        <v>9</v>
      </c>
      <c r="M46" s="30">
        <f t="shared" si="26"/>
        <v>-1.075358514269577</v>
      </c>
      <c r="N46" s="30">
        <f t="shared" si="27"/>
        <v>-1.0753577481529466</v>
      </c>
      <c r="O46" s="24">
        <f t="shared" si="3"/>
        <v>6.9925449705298987E-2</v>
      </c>
      <c r="P46" s="24">
        <f t="shared" si="4"/>
        <v>6.9925341704769259E-2</v>
      </c>
      <c r="Q46" s="20">
        <f>0.62198*(O46/(Q2-O46))</f>
        <v>4.2953137312736568E-4</v>
      </c>
      <c r="R46" s="20">
        <f>0.62198*(P46/(Q2-P46))</f>
        <v>4.2953070925388253E-4</v>
      </c>
      <c r="S46" s="21">
        <f>((2501-2.381*N46)*Q46-(M2-N46))/(2501+1.805*M2-4.186*N46)-L14</f>
        <v>-1.2888310430834894E-13</v>
      </c>
      <c r="T46" s="21">
        <f>((2501-2.381*M46)*R46-(M2-M46))/(2501+1.805*M2-4.186*M46)-L14</f>
        <v>-9.6894911396993032E-10</v>
      </c>
      <c r="U46" s="21">
        <f t="shared" si="5"/>
        <v>-1.0753577480510295</v>
      </c>
      <c r="W46" s="30">
        <v>9</v>
      </c>
      <c r="X46" s="30">
        <f t="shared" si="28"/>
        <v>-1.075358514269577</v>
      </c>
      <c r="Y46" s="30">
        <f t="shared" si="29"/>
        <v>-1.0753577481529466</v>
      </c>
      <c r="Z46" s="24">
        <f t="shared" si="6"/>
        <v>6.9925449705298987E-2</v>
      </c>
      <c r="AA46" s="24">
        <f t="shared" si="7"/>
        <v>6.9925341704769259E-2</v>
      </c>
      <c r="AB46" s="20">
        <f>0.62198*(Z46/(AB2-Z46))</f>
        <v>4.2953137312736568E-4</v>
      </c>
      <c r="AC46" s="20">
        <f>0.62198*(AA46/(AB2-AA46))</f>
        <v>4.2953070925388253E-4</v>
      </c>
      <c r="AD46" s="21">
        <f>((2501-2.381*Y46)*AB46-(X2-Y46))/(2501+1.805*X2-4.186*Y46)-W14</f>
        <v>-1.2888310430834894E-13</v>
      </c>
      <c r="AE46" s="21">
        <f>((2501-2.381*X46)*AC46-(X2-X46))/(2501+1.805*X2-4.186*X46)-W14</f>
        <v>-9.6894911396993032E-10</v>
      </c>
      <c r="AF46" s="21">
        <f t="shared" si="8"/>
        <v>-1.0753577480510295</v>
      </c>
      <c r="AH46" s="30">
        <v>9</v>
      </c>
      <c r="AI46" s="30">
        <f t="shared" si="30"/>
        <v>-1.075358514269577</v>
      </c>
      <c r="AJ46" s="30">
        <f t="shared" si="31"/>
        <v>-1.0753577481529466</v>
      </c>
      <c r="AK46" s="24">
        <f t="shared" si="9"/>
        <v>6.9925449705298987E-2</v>
      </c>
      <c r="AL46" s="24">
        <f t="shared" si="10"/>
        <v>6.9925341704769259E-2</v>
      </c>
      <c r="AM46" s="20">
        <f>0.62198*(AK46/(AM2-AK46))</f>
        <v>4.2953137312736568E-4</v>
      </c>
      <c r="AN46" s="20">
        <f>0.62198*(AL46/(AM2-AL46))</f>
        <v>4.2953070925388253E-4</v>
      </c>
      <c r="AO46" s="21">
        <f>((2501-2.381*AJ46)*AM46-(AI2-AJ46))/(2501+1.805*AI2-4.186*AJ46)-AH14</f>
        <v>-1.2888310430834894E-13</v>
      </c>
      <c r="AP46" s="21">
        <f>((2501-2.381*AI46)*AN46-(AI2-AI46))/(2501+1.805*AI2-4.186*AI46)-AH14</f>
        <v>-9.6894911396993032E-10</v>
      </c>
      <c r="AQ46" s="21">
        <f t="shared" si="11"/>
        <v>-1.0753577480510295</v>
      </c>
      <c r="AS46" s="30">
        <v>9</v>
      </c>
      <c r="AT46" s="30" t="e">
        <f t="shared" si="32"/>
        <v>#VALUE!</v>
      </c>
      <c r="AU46" s="30" t="e">
        <f t="shared" si="33"/>
        <v>#VALUE!</v>
      </c>
      <c r="AV46" s="24" t="e">
        <f t="shared" si="12"/>
        <v>#VALUE!</v>
      </c>
      <c r="AW46" s="24" t="e">
        <f t="shared" si="13"/>
        <v>#VALUE!</v>
      </c>
      <c r="AX46" s="20" t="e">
        <f>0.62198*(AV46/(AX2-AV46))</f>
        <v>#VALUE!</v>
      </c>
      <c r="AY46" s="20" t="e">
        <f>0.62198*(AW46/(AX2-AW46))</f>
        <v>#VALUE!</v>
      </c>
      <c r="AZ46" s="21" t="e">
        <f>((2501-2.381*AU46)*AX46-(AT2-AU46))/(2501+1.805*AT2-4.186*AU46)-AS14</f>
        <v>#VALUE!</v>
      </c>
      <c r="BA46" s="21" t="e">
        <f>((2501-2.381*AT46)*AY46-(AT2-AT46))/(2501+1.805*AT2-4.186*AT46)-AS14</f>
        <v>#VALUE!</v>
      </c>
      <c r="BB46" s="21" t="e">
        <f t="shared" si="14"/>
        <v>#VALUE!</v>
      </c>
      <c r="BD46" s="30">
        <v>9</v>
      </c>
      <c r="BE46" s="30" t="e">
        <f t="shared" si="34"/>
        <v>#VALUE!</v>
      </c>
      <c r="BF46" s="30" t="e">
        <f t="shared" si="35"/>
        <v>#VALUE!</v>
      </c>
      <c r="BG46" s="24" t="e">
        <f t="shared" si="15"/>
        <v>#VALUE!</v>
      </c>
      <c r="BH46" s="24" t="e">
        <f t="shared" si="16"/>
        <v>#VALUE!</v>
      </c>
      <c r="BI46" s="20" t="e">
        <f>0.62198*(BG46/(BI2-BG46))</f>
        <v>#VALUE!</v>
      </c>
      <c r="BJ46" s="20" t="e">
        <f>0.62198*(BH46/(BI2-BH46))</f>
        <v>#VALUE!</v>
      </c>
      <c r="BK46" s="21" t="e">
        <f>((2501-2.381*BF46)*BI46-(BE2-BF46))/(2501+1.805*BE2-4.186*BF46)-BD14</f>
        <v>#VALUE!</v>
      </c>
      <c r="BL46" s="21" t="e">
        <f>((2501-2.381*BE46)*BJ46-(BE2-BE46))/(2501+1.805*BE2-4.186*BE46)-BD14</f>
        <v>#VALUE!</v>
      </c>
      <c r="BM46" s="21" t="e">
        <f t="shared" si="17"/>
        <v>#VALUE!</v>
      </c>
      <c r="BO46" s="30">
        <v>9</v>
      </c>
      <c r="BP46" s="30" t="e">
        <f t="shared" si="36"/>
        <v>#VALUE!</v>
      </c>
      <c r="BQ46" s="30" t="e">
        <f t="shared" si="37"/>
        <v>#VALUE!</v>
      </c>
      <c r="BR46" s="24" t="e">
        <f t="shared" si="18"/>
        <v>#VALUE!</v>
      </c>
      <c r="BS46" s="24" t="e">
        <f t="shared" si="19"/>
        <v>#VALUE!</v>
      </c>
      <c r="BT46" s="20" t="e">
        <f>0.62198*(BR46/(BT2-BR46))</f>
        <v>#VALUE!</v>
      </c>
      <c r="BU46" s="20" t="e">
        <f>0.62198*(BS46/(BT2-BS46))</f>
        <v>#VALUE!</v>
      </c>
      <c r="BV46" s="21" t="e">
        <f>((2501-2.381*BQ46)*BT46-(BP2-BQ46))/(2501+1.805*BP2-4.186*BQ46)-BO14</f>
        <v>#VALUE!</v>
      </c>
      <c r="BW46" s="21" t="e">
        <f>((2501-2.381*BP46)*BU46-(BP2-BP46))/(2501+1.805*BP2-4.186*BP46)-BO14</f>
        <v>#VALUE!</v>
      </c>
      <c r="BX46" s="21" t="e">
        <f t="shared" si="20"/>
        <v>#VALUE!</v>
      </c>
      <c r="BZ46" s="30">
        <v>9</v>
      </c>
      <c r="CA46" s="30" t="e">
        <f t="shared" si="38"/>
        <v>#VALUE!</v>
      </c>
      <c r="CB46" s="30" t="e">
        <f t="shared" si="39"/>
        <v>#VALUE!</v>
      </c>
      <c r="CC46" s="24" t="e">
        <f t="shared" si="21"/>
        <v>#VALUE!</v>
      </c>
      <c r="CD46" s="24" t="e">
        <f t="shared" si="22"/>
        <v>#VALUE!</v>
      </c>
      <c r="CE46" s="20" t="e">
        <f>0.62198*(CC46/(CE2-CC46))</f>
        <v>#VALUE!</v>
      </c>
      <c r="CF46" s="20" t="e">
        <f>0.62198*(CD46/(CE2-CD46))</f>
        <v>#VALUE!</v>
      </c>
      <c r="CG46" s="21" t="e">
        <f>((2501-2.381*CB46)*CE46-(CA2-CB46))/(2501+1.805*CA2-4.186*CB46)-BZ14</f>
        <v>#VALUE!</v>
      </c>
      <c r="CH46" s="21" t="e">
        <f>((2501-2.381*CA46)*CF46-(CA2-CA46))/(2501+1.805*CA2-4.186*CA46)-BZ14</f>
        <v>#VALUE!</v>
      </c>
      <c r="CI46" s="21" t="e">
        <f t="shared" si="23"/>
        <v>#VALUE!</v>
      </c>
    </row>
    <row r="47" spans="1:88">
      <c r="A47" s="30">
        <v>10</v>
      </c>
      <c r="B47" s="30">
        <f t="shared" si="24"/>
        <v>-1.0753577481529466</v>
      </c>
      <c r="C47" s="30">
        <f t="shared" si="25"/>
        <v>-1.0753577480510295</v>
      </c>
      <c r="D47" s="24">
        <f t="shared" si="0"/>
        <v>6.9925449719666161E-2</v>
      </c>
      <c r="E47" s="24">
        <f t="shared" si="1"/>
        <v>6.9925449705298987E-2</v>
      </c>
      <c r="F47" s="20">
        <f>0.62198*(D47/(F2-D47))</f>
        <v>4.2953137321567986E-4</v>
      </c>
      <c r="G47" s="20">
        <f>0.62198*(E47/(F2-E47))</f>
        <v>4.2953137312736568E-4</v>
      </c>
      <c r="H47" s="21">
        <f>((2501-2.381*C47)*F47-(B2-C47))/(2501+1.805*B2-4.186*C47)-A14</f>
        <v>-1.5952107681220476E-18</v>
      </c>
      <c r="I47" s="21">
        <f>((2501-2.381*B47)*G47-(B2-B47))/(2501+1.805*B2-4.186*B47)-A14</f>
        <v>-1.2888310430834894E-13</v>
      </c>
      <c r="J47" s="21">
        <f t="shared" si="2"/>
        <v>-1.0753577480510281</v>
      </c>
      <c r="L47" s="30">
        <v>10</v>
      </c>
      <c r="M47" s="30">
        <f t="shared" si="26"/>
        <v>-1.0753577481529466</v>
      </c>
      <c r="N47" s="30">
        <f t="shared" si="27"/>
        <v>-1.0753577480510295</v>
      </c>
      <c r="O47" s="24">
        <f t="shared" si="3"/>
        <v>6.9925449719666161E-2</v>
      </c>
      <c r="P47" s="24">
        <f t="shared" si="4"/>
        <v>6.9925449705298987E-2</v>
      </c>
      <c r="Q47" s="20">
        <f>0.62198*(O47/(Q2-O47))</f>
        <v>4.2953137321567986E-4</v>
      </c>
      <c r="R47" s="20">
        <f>0.62198*(P47/(Q2-P47))</f>
        <v>4.2953137312736568E-4</v>
      </c>
      <c r="S47" s="21">
        <f>((2501-2.381*N47)*Q47-(M2-N47))/(2501+1.805*M2-4.186*N47)-L14</f>
        <v>-1.5952107681220476E-18</v>
      </c>
      <c r="T47" s="21">
        <f>((2501-2.381*M47)*R47-(M2-M47))/(2501+1.805*M2-4.186*M47)-L14</f>
        <v>-1.2888310430834894E-13</v>
      </c>
      <c r="U47" s="21">
        <f t="shared" si="5"/>
        <v>-1.0753577480510281</v>
      </c>
      <c r="W47" s="30">
        <v>10</v>
      </c>
      <c r="X47" s="30">
        <f t="shared" si="28"/>
        <v>-1.0753577481529466</v>
      </c>
      <c r="Y47" s="30">
        <f t="shared" si="29"/>
        <v>-1.0753577480510295</v>
      </c>
      <c r="Z47" s="24">
        <f t="shared" si="6"/>
        <v>6.9925449719666161E-2</v>
      </c>
      <c r="AA47" s="24">
        <f t="shared" si="7"/>
        <v>6.9925449705298987E-2</v>
      </c>
      <c r="AB47" s="20">
        <f>0.62198*(Z47/(AB2-Z47))</f>
        <v>4.2953137321567986E-4</v>
      </c>
      <c r="AC47" s="20">
        <f>0.62198*(AA47/(AB2-AA47))</f>
        <v>4.2953137312736568E-4</v>
      </c>
      <c r="AD47" s="21">
        <f>((2501-2.381*Y47)*AB47-(X2-Y47))/(2501+1.805*X2-4.186*Y47)-W14</f>
        <v>-1.5952107681220476E-18</v>
      </c>
      <c r="AE47" s="21">
        <f>((2501-2.381*X47)*AC47-(X2-X47))/(2501+1.805*X2-4.186*X47)-W14</f>
        <v>-1.2888310430834894E-13</v>
      </c>
      <c r="AF47" s="21">
        <f t="shared" si="8"/>
        <v>-1.0753577480510281</v>
      </c>
      <c r="AH47" s="30">
        <v>10</v>
      </c>
      <c r="AI47" s="30">
        <f t="shared" si="30"/>
        <v>-1.0753577481529466</v>
      </c>
      <c r="AJ47" s="30">
        <f t="shared" si="31"/>
        <v>-1.0753577480510295</v>
      </c>
      <c r="AK47" s="24">
        <f t="shared" si="9"/>
        <v>6.9925449719666161E-2</v>
      </c>
      <c r="AL47" s="24">
        <f t="shared" si="10"/>
        <v>6.9925449705298987E-2</v>
      </c>
      <c r="AM47" s="20">
        <f>0.62198*(AK47/(AM2-AK47))</f>
        <v>4.2953137321567986E-4</v>
      </c>
      <c r="AN47" s="20">
        <f>0.62198*(AL47/(AM2-AL47))</f>
        <v>4.2953137312736568E-4</v>
      </c>
      <c r="AO47" s="21">
        <f>((2501-2.381*AJ47)*AM47-(AI2-AJ47))/(2501+1.805*AI2-4.186*AJ47)-AH14</f>
        <v>-1.5952107681220476E-18</v>
      </c>
      <c r="AP47" s="21">
        <f>((2501-2.381*AI47)*AN47-(AI2-AI47))/(2501+1.805*AI2-4.186*AI47)-AH14</f>
        <v>-1.2888310430834894E-13</v>
      </c>
      <c r="AQ47" s="21">
        <f t="shared" si="11"/>
        <v>-1.0753577480510281</v>
      </c>
      <c r="AS47" s="30">
        <v>10</v>
      </c>
      <c r="AT47" s="30" t="e">
        <f t="shared" si="32"/>
        <v>#VALUE!</v>
      </c>
      <c r="AU47" s="30" t="e">
        <f t="shared" si="33"/>
        <v>#VALUE!</v>
      </c>
      <c r="AV47" s="24" t="e">
        <f t="shared" si="12"/>
        <v>#VALUE!</v>
      </c>
      <c r="AW47" s="24" t="e">
        <f t="shared" si="13"/>
        <v>#VALUE!</v>
      </c>
      <c r="AX47" s="20" t="e">
        <f>0.62198*(AV47/(AX2-AV47))</f>
        <v>#VALUE!</v>
      </c>
      <c r="AY47" s="20" t="e">
        <f>0.62198*(AW47/(AX2-AW47))</f>
        <v>#VALUE!</v>
      </c>
      <c r="AZ47" s="21" t="e">
        <f>((2501-2.381*AU47)*AX47-(AT2-AU47))/(2501+1.805*AT2-4.186*AU47)-AS14</f>
        <v>#VALUE!</v>
      </c>
      <c r="BA47" s="21" t="e">
        <f>((2501-2.381*AT47)*AY47-(AT2-AT47))/(2501+1.805*AT2-4.186*AT47)-AS14</f>
        <v>#VALUE!</v>
      </c>
      <c r="BB47" s="21" t="e">
        <f t="shared" si="14"/>
        <v>#VALUE!</v>
      </c>
      <c r="BD47" s="30">
        <v>10</v>
      </c>
      <c r="BE47" s="30" t="e">
        <f t="shared" si="34"/>
        <v>#VALUE!</v>
      </c>
      <c r="BF47" s="30" t="e">
        <f t="shared" si="35"/>
        <v>#VALUE!</v>
      </c>
      <c r="BG47" s="24" t="e">
        <f t="shared" si="15"/>
        <v>#VALUE!</v>
      </c>
      <c r="BH47" s="24" t="e">
        <f t="shared" si="16"/>
        <v>#VALUE!</v>
      </c>
      <c r="BI47" s="20" t="e">
        <f>0.62198*(BG47/(BI2-BG47))</f>
        <v>#VALUE!</v>
      </c>
      <c r="BJ47" s="20" t="e">
        <f>0.62198*(BH47/(BI2-BH47))</f>
        <v>#VALUE!</v>
      </c>
      <c r="BK47" s="21" t="e">
        <f>((2501-2.381*BF47)*BI47-(BE2-BF47))/(2501+1.805*BE2-4.186*BF47)-BD14</f>
        <v>#VALUE!</v>
      </c>
      <c r="BL47" s="21" t="e">
        <f>((2501-2.381*BE47)*BJ47-(BE2-BE47))/(2501+1.805*BE2-4.186*BE47)-BD14</f>
        <v>#VALUE!</v>
      </c>
      <c r="BM47" s="21" t="e">
        <f t="shared" si="17"/>
        <v>#VALUE!</v>
      </c>
      <c r="BO47" s="30">
        <v>10</v>
      </c>
      <c r="BP47" s="30" t="e">
        <f t="shared" si="36"/>
        <v>#VALUE!</v>
      </c>
      <c r="BQ47" s="30" t="e">
        <f t="shared" si="37"/>
        <v>#VALUE!</v>
      </c>
      <c r="BR47" s="24" t="e">
        <f t="shared" si="18"/>
        <v>#VALUE!</v>
      </c>
      <c r="BS47" s="24" t="e">
        <f t="shared" si="19"/>
        <v>#VALUE!</v>
      </c>
      <c r="BT47" s="20" t="e">
        <f>0.62198*(BR47/(BT2-BR47))</f>
        <v>#VALUE!</v>
      </c>
      <c r="BU47" s="20" t="e">
        <f>0.62198*(BS47/(BT2-BS47))</f>
        <v>#VALUE!</v>
      </c>
      <c r="BV47" s="21" t="e">
        <f>((2501-2.381*BQ47)*BT47-(BP2-BQ47))/(2501+1.805*BP2-4.186*BQ47)-BO14</f>
        <v>#VALUE!</v>
      </c>
      <c r="BW47" s="21" t="e">
        <f>((2501-2.381*BP47)*BU47-(BP2-BP47))/(2501+1.805*BP2-4.186*BP47)-BO14</f>
        <v>#VALUE!</v>
      </c>
      <c r="BX47" s="21" t="e">
        <f t="shared" si="20"/>
        <v>#VALUE!</v>
      </c>
      <c r="BZ47" s="30">
        <v>10</v>
      </c>
      <c r="CA47" s="30" t="e">
        <f t="shared" si="38"/>
        <v>#VALUE!</v>
      </c>
      <c r="CB47" s="30" t="e">
        <f t="shared" si="39"/>
        <v>#VALUE!</v>
      </c>
      <c r="CC47" s="24" t="e">
        <f t="shared" si="21"/>
        <v>#VALUE!</v>
      </c>
      <c r="CD47" s="24" t="e">
        <f t="shared" si="22"/>
        <v>#VALUE!</v>
      </c>
      <c r="CE47" s="20" t="e">
        <f>0.62198*(CC47/(CE2-CC47))</f>
        <v>#VALUE!</v>
      </c>
      <c r="CF47" s="20" t="e">
        <f>0.62198*(CD47/(CE2-CD47))</f>
        <v>#VALUE!</v>
      </c>
      <c r="CG47" s="21" t="e">
        <f>((2501-2.381*CB47)*CE47-(CA2-CB47))/(2501+1.805*CA2-4.186*CB47)-BZ14</f>
        <v>#VALUE!</v>
      </c>
      <c r="CH47" s="21" t="e">
        <f>((2501-2.381*CA47)*CF47-(CA2-CA47))/(2501+1.805*CA2-4.186*CA47)-BZ14</f>
        <v>#VALUE!</v>
      </c>
      <c r="CI47" s="21" t="e">
        <f t="shared" si="23"/>
        <v>#VALUE!</v>
      </c>
    </row>
    <row r="48" spans="1:88">
      <c r="A48" s="30">
        <v>11</v>
      </c>
      <c r="B48" s="30">
        <f t="shared" si="24"/>
        <v>-1.0753577480510295</v>
      </c>
      <c r="C48" s="30">
        <f t="shared" si="25"/>
        <v>-1.0753577480510281</v>
      </c>
      <c r="D48" s="24">
        <f t="shared" si="0"/>
        <v>6.9925449719666161E-2</v>
      </c>
      <c r="E48" s="24">
        <f t="shared" si="1"/>
        <v>6.9925449719666161E-2</v>
      </c>
      <c r="F48" s="20">
        <f>0.62198*(D48/(F2-D48))</f>
        <v>4.2953137321567986E-4</v>
      </c>
      <c r="G48" s="20">
        <f>0.62198*(E48/(F2-E48))</f>
        <v>4.2953137321567986E-4</v>
      </c>
      <c r="H48" s="21">
        <f>((2501-2.381*C48)*F48-(B2-C48))/(2501+1.805*B2-4.186*C48)-A14</f>
        <v>-1.0634738454146983E-18</v>
      </c>
      <c r="I48" s="21">
        <f>((2501-2.381*B48)*G48-(B2-B48))/(2501+1.805*B2-4.186*B48)-A14</f>
        <v>-1.5952107681220476E-18</v>
      </c>
      <c r="J48" s="21">
        <f t="shared" si="2"/>
        <v>-1.0753577480510255</v>
      </c>
      <c r="L48" s="30">
        <v>11</v>
      </c>
      <c r="M48" s="30">
        <f t="shared" si="26"/>
        <v>-1.0753577480510295</v>
      </c>
      <c r="N48" s="30">
        <f t="shared" si="27"/>
        <v>-1.0753577480510281</v>
      </c>
      <c r="O48" s="24">
        <f t="shared" si="3"/>
        <v>6.9925449719666161E-2</v>
      </c>
      <c r="P48" s="24">
        <f t="shared" si="4"/>
        <v>6.9925449719666161E-2</v>
      </c>
      <c r="Q48" s="20">
        <f>0.62198*(O48/(Q2-O48))</f>
        <v>4.2953137321567986E-4</v>
      </c>
      <c r="R48" s="20">
        <f>0.62198*(P48/(Q2-P48))</f>
        <v>4.2953137321567986E-4</v>
      </c>
      <c r="S48" s="21">
        <f>((2501-2.381*N48)*Q48-(M2-N48))/(2501+1.805*M2-4.186*N48)-L14</f>
        <v>-1.0634738454146983E-18</v>
      </c>
      <c r="T48" s="21">
        <f>((2501-2.381*M48)*R48-(M2-M48))/(2501+1.805*M2-4.186*M48)-L14</f>
        <v>-1.5952107681220476E-18</v>
      </c>
      <c r="U48" s="21">
        <f t="shared" si="5"/>
        <v>-1.0753577480510255</v>
      </c>
      <c r="W48" s="30">
        <v>11</v>
      </c>
      <c r="X48" s="30">
        <f t="shared" si="28"/>
        <v>-1.0753577480510295</v>
      </c>
      <c r="Y48" s="30">
        <f t="shared" si="29"/>
        <v>-1.0753577480510281</v>
      </c>
      <c r="Z48" s="24">
        <f t="shared" si="6"/>
        <v>6.9925449719666161E-2</v>
      </c>
      <c r="AA48" s="24">
        <f t="shared" si="7"/>
        <v>6.9925449719666161E-2</v>
      </c>
      <c r="AB48" s="20">
        <f>0.62198*(Z48/(AB2-Z48))</f>
        <v>4.2953137321567986E-4</v>
      </c>
      <c r="AC48" s="20">
        <f>0.62198*(AA48/(AB2-AA48))</f>
        <v>4.2953137321567986E-4</v>
      </c>
      <c r="AD48" s="21">
        <f>((2501-2.381*Y48)*AB48-(X2-Y48))/(2501+1.805*X2-4.186*Y48)-W14</f>
        <v>-1.0634738454146983E-18</v>
      </c>
      <c r="AE48" s="21">
        <f>((2501-2.381*X48)*AC48-(X2-X48))/(2501+1.805*X2-4.186*X48)-W14</f>
        <v>-1.5952107681220476E-18</v>
      </c>
      <c r="AF48" s="21">
        <f t="shared" si="8"/>
        <v>-1.0753577480510255</v>
      </c>
      <c r="AH48" s="30">
        <v>11</v>
      </c>
      <c r="AI48" s="30">
        <f t="shared" si="30"/>
        <v>-1.0753577480510295</v>
      </c>
      <c r="AJ48" s="30">
        <f t="shared" si="31"/>
        <v>-1.0753577480510281</v>
      </c>
      <c r="AK48" s="24">
        <f t="shared" si="9"/>
        <v>6.9925449719666161E-2</v>
      </c>
      <c r="AL48" s="24">
        <f t="shared" si="10"/>
        <v>6.9925449719666161E-2</v>
      </c>
      <c r="AM48" s="20">
        <f>0.62198*(AK48/(AM2-AK48))</f>
        <v>4.2953137321567986E-4</v>
      </c>
      <c r="AN48" s="20">
        <f>0.62198*(AL48/(AM2-AL48))</f>
        <v>4.2953137321567986E-4</v>
      </c>
      <c r="AO48" s="21">
        <f>((2501-2.381*AJ48)*AM48-(AI2-AJ48))/(2501+1.805*AI2-4.186*AJ48)-AH14</f>
        <v>-1.0634738454146983E-18</v>
      </c>
      <c r="AP48" s="21">
        <f>((2501-2.381*AI48)*AN48-(AI2-AI48))/(2501+1.805*AI2-4.186*AI48)-AH14</f>
        <v>-1.5952107681220476E-18</v>
      </c>
      <c r="AQ48" s="21">
        <f t="shared" si="11"/>
        <v>-1.0753577480510255</v>
      </c>
      <c r="AS48" s="30">
        <v>11</v>
      </c>
      <c r="AT48" s="30" t="e">
        <f t="shared" si="32"/>
        <v>#VALUE!</v>
      </c>
      <c r="AU48" s="30" t="e">
        <f t="shared" si="33"/>
        <v>#VALUE!</v>
      </c>
      <c r="AV48" s="24" t="e">
        <f t="shared" si="12"/>
        <v>#VALUE!</v>
      </c>
      <c r="AW48" s="24" t="e">
        <f t="shared" si="13"/>
        <v>#VALUE!</v>
      </c>
      <c r="AX48" s="20" t="e">
        <f>0.62198*(AV48/(AX2-AV48))</f>
        <v>#VALUE!</v>
      </c>
      <c r="AY48" s="20" t="e">
        <f>0.62198*(AW48/(AX2-AW48))</f>
        <v>#VALUE!</v>
      </c>
      <c r="AZ48" s="21" t="e">
        <f>((2501-2.381*AU48)*AX48-(AT2-AU48))/(2501+1.805*AT2-4.186*AU48)-AS14</f>
        <v>#VALUE!</v>
      </c>
      <c r="BA48" s="21" t="e">
        <f>((2501-2.381*AT48)*AY48-(AT2-AT48))/(2501+1.805*AT2-4.186*AT48)-AS14</f>
        <v>#VALUE!</v>
      </c>
      <c r="BB48" s="21" t="e">
        <f t="shared" si="14"/>
        <v>#VALUE!</v>
      </c>
      <c r="BD48" s="30">
        <v>11</v>
      </c>
      <c r="BE48" s="30" t="e">
        <f t="shared" si="34"/>
        <v>#VALUE!</v>
      </c>
      <c r="BF48" s="30" t="e">
        <f t="shared" si="35"/>
        <v>#VALUE!</v>
      </c>
      <c r="BG48" s="24" t="e">
        <f t="shared" si="15"/>
        <v>#VALUE!</v>
      </c>
      <c r="BH48" s="24" t="e">
        <f t="shared" si="16"/>
        <v>#VALUE!</v>
      </c>
      <c r="BI48" s="20" t="e">
        <f>0.62198*(BG48/(BI2-BG48))</f>
        <v>#VALUE!</v>
      </c>
      <c r="BJ48" s="20" t="e">
        <f>0.62198*(BH48/(BI2-BH48))</f>
        <v>#VALUE!</v>
      </c>
      <c r="BK48" s="21" t="e">
        <f>((2501-2.381*BF48)*BI48-(BE2-BF48))/(2501+1.805*BE2-4.186*BF48)-BD14</f>
        <v>#VALUE!</v>
      </c>
      <c r="BL48" s="21" t="e">
        <f>((2501-2.381*BE48)*BJ48-(BE2-BE48))/(2501+1.805*BE2-4.186*BE48)-BD14</f>
        <v>#VALUE!</v>
      </c>
      <c r="BM48" s="21" t="e">
        <f t="shared" si="17"/>
        <v>#VALUE!</v>
      </c>
      <c r="BO48" s="30">
        <v>11</v>
      </c>
      <c r="BP48" s="30" t="e">
        <f t="shared" si="36"/>
        <v>#VALUE!</v>
      </c>
      <c r="BQ48" s="30" t="e">
        <f t="shared" si="37"/>
        <v>#VALUE!</v>
      </c>
      <c r="BR48" s="24" t="e">
        <f t="shared" si="18"/>
        <v>#VALUE!</v>
      </c>
      <c r="BS48" s="24" t="e">
        <f t="shared" si="19"/>
        <v>#VALUE!</v>
      </c>
      <c r="BT48" s="20" t="e">
        <f>0.62198*(BR48/(BT2-BR48))</f>
        <v>#VALUE!</v>
      </c>
      <c r="BU48" s="20" t="e">
        <f>0.62198*(BS48/(BT2-BS48))</f>
        <v>#VALUE!</v>
      </c>
      <c r="BV48" s="21" t="e">
        <f>((2501-2.381*BQ48)*BT48-(BP2-BQ48))/(2501+1.805*BP2-4.186*BQ48)-BO14</f>
        <v>#VALUE!</v>
      </c>
      <c r="BW48" s="21" t="e">
        <f>((2501-2.381*BP48)*BU48-(BP2-BP48))/(2501+1.805*BP2-4.186*BP48)-BO14</f>
        <v>#VALUE!</v>
      </c>
      <c r="BX48" s="21" t="e">
        <f t="shared" si="20"/>
        <v>#VALUE!</v>
      </c>
      <c r="BZ48" s="30">
        <v>11</v>
      </c>
      <c r="CA48" s="30" t="e">
        <f t="shared" si="38"/>
        <v>#VALUE!</v>
      </c>
      <c r="CB48" s="30" t="e">
        <f t="shared" si="39"/>
        <v>#VALUE!</v>
      </c>
      <c r="CC48" s="24" t="e">
        <f t="shared" si="21"/>
        <v>#VALUE!</v>
      </c>
      <c r="CD48" s="24" t="e">
        <f t="shared" si="22"/>
        <v>#VALUE!</v>
      </c>
      <c r="CE48" s="20" t="e">
        <f>0.62198*(CC48/(CE2-CC48))</f>
        <v>#VALUE!</v>
      </c>
      <c r="CF48" s="20" t="e">
        <f>0.62198*(CD48/(CE2-CD48))</f>
        <v>#VALUE!</v>
      </c>
      <c r="CG48" s="21" t="e">
        <f>((2501-2.381*CB48)*CE48-(CA2-CB48))/(2501+1.805*CA2-4.186*CB48)-BZ14</f>
        <v>#VALUE!</v>
      </c>
      <c r="CH48" s="21" t="e">
        <f>((2501-2.381*CA48)*CF48-(CA2-CA48))/(2501+1.805*CA2-4.186*CA48)-BZ14</f>
        <v>#VALUE!</v>
      </c>
      <c r="CI48" s="21" t="e">
        <f t="shared" si="23"/>
        <v>#VALUE!</v>
      </c>
    </row>
    <row r="49" spans="1:88">
      <c r="A49" s="30">
        <v>12</v>
      </c>
      <c r="B49" s="30">
        <f t="shared" si="24"/>
        <v>-1.0753577480510281</v>
      </c>
      <c r="C49" s="30">
        <f t="shared" si="25"/>
        <v>-1.0753577480510255</v>
      </c>
      <c r="D49" s="24">
        <f t="shared" si="0"/>
        <v>6.992544971966666E-2</v>
      </c>
      <c r="E49" s="24">
        <f t="shared" si="1"/>
        <v>6.9925449719666161E-2</v>
      </c>
      <c r="F49" s="20">
        <f>0.62198*(D49/(F2-D49))</f>
        <v>4.29531373215683E-4</v>
      </c>
      <c r="G49" s="20">
        <f>0.62198*(E49/(F2-E49))</f>
        <v>4.2953137321567986E-4</v>
      </c>
      <c r="H49" s="21">
        <f>((2501-2.381*C49)*F49-(B2-C49))/(2501+1.805*B2-4.186*C49)-A14</f>
        <v>3.1017987157928701E-18</v>
      </c>
      <c r="I49" s="21">
        <f>((2501-2.381*B49)*G49-(B2-B49))/(2501+1.805*B2-4.186*B49)-A14</f>
        <v>-1.0634738454146983E-18</v>
      </c>
      <c r="J49" s="21">
        <f t="shared" si="2"/>
        <v>-1.0753577480510275</v>
      </c>
      <c r="L49" s="30">
        <v>12</v>
      </c>
      <c r="M49" s="30">
        <f t="shared" si="26"/>
        <v>-1.0753577480510281</v>
      </c>
      <c r="N49" s="30">
        <f t="shared" si="27"/>
        <v>-1.0753577480510255</v>
      </c>
      <c r="O49" s="24">
        <f t="shared" si="3"/>
        <v>6.992544971966666E-2</v>
      </c>
      <c r="P49" s="24">
        <f t="shared" si="4"/>
        <v>6.9925449719666161E-2</v>
      </c>
      <c r="Q49" s="20">
        <f>0.62198*(O49/(Q2-O49))</f>
        <v>4.29531373215683E-4</v>
      </c>
      <c r="R49" s="20">
        <f>0.62198*(P49/(Q2-P49))</f>
        <v>4.2953137321567986E-4</v>
      </c>
      <c r="S49" s="21">
        <f>((2501-2.381*N49)*Q49-(M2-N49))/(2501+1.805*M2-4.186*N49)-L14</f>
        <v>3.1017987157928701E-18</v>
      </c>
      <c r="T49" s="21">
        <f>((2501-2.381*M49)*R49-(M2-M49))/(2501+1.805*M2-4.186*M49)-L14</f>
        <v>-1.0634738454146983E-18</v>
      </c>
      <c r="U49" s="21">
        <f t="shared" si="5"/>
        <v>-1.0753577480510275</v>
      </c>
      <c r="W49" s="30">
        <v>12</v>
      </c>
      <c r="X49" s="30">
        <f t="shared" si="28"/>
        <v>-1.0753577480510281</v>
      </c>
      <c r="Y49" s="30">
        <f t="shared" si="29"/>
        <v>-1.0753577480510255</v>
      </c>
      <c r="Z49" s="24">
        <f t="shared" si="6"/>
        <v>6.992544971966666E-2</v>
      </c>
      <c r="AA49" s="24">
        <f t="shared" si="7"/>
        <v>6.9925449719666161E-2</v>
      </c>
      <c r="AB49" s="20">
        <f>0.62198*(Z49/(AB2-Z49))</f>
        <v>4.29531373215683E-4</v>
      </c>
      <c r="AC49" s="20">
        <f>0.62198*(AA49/(AB2-AA49))</f>
        <v>4.2953137321567986E-4</v>
      </c>
      <c r="AD49" s="21">
        <f>((2501-2.381*Y49)*AB49-(X2-Y49))/(2501+1.805*X2-4.186*Y49)-W14</f>
        <v>3.1017987157928701E-18</v>
      </c>
      <c r="AE49" s="21">
        <f>((2501-2.381*X49)*AC49-(X2-X49))/(2501+1.805*X2-4.186*X49)-W14</f>
        <v>-1.0634738454146983E-18</v>
      </c>
      <c r="AF49" s="21">
        <f t="shared" si="8"/>
        <v>-1.0753577480510275</v>
      </c>
      <c r="AH49" s="30">
        <v>12</v>
      </c>
      <c r="AI49" s="30">
        <f t="shared" si="30"/>
        <v>-1.0753577480510281</v>
      </c>
      <c r="AJ49" s="30">
        <f t="shared" si="31"/>
        <v>-1.0753577480510255</v>
      </c>
      <c r="AK49" s="24">
        <f t="shared" si="9"/>
        <v>6.992544971966666E-2</v>
      </c>
      <c r="AL49" s="24">
        <f t="shared" si="10"/>
        <v>6.9925449719666161E-2</v>
      </c>
      <c r="AM49" s="20">
        <f>0.62198*(AK49/(AM2-AK49))</f>
        <v>4.29531373215683E-4</v>
      </c>
      <c r="AN49" s="20">
        <f>0.62198*(AL49/(AM2-AL49))</f>
        <v>4.2953137321567986E-4</v>
      </c>
      <c r="AO49" s="21">
        <f>((2501-2.381*AJ49)*AM49-(AI2-AJ49))/(2501+1.805*AI2-4.186*AJ49)-AH14</f>
        <v>3.1017987157928701E-18</v>
      </c>
      <c r="AP49" s="21">
        <f>((2501-2.381*AI49)*AN49-(AI2-AI49))/(2501+1.805*AI2-4.186*AI49)-AH14</f>
        <v>-1.0634738454146983E-18</v>
      </c>
      <c r="AQ49" s="21">
        <f t="shared" si="11"/>
        <v>-1.0753577480510275</v>
      </c>
      <c r="AS49" s="30">
        <v>12</v>
      </c>
      <c r="AT49" s="30" t="e">
        <f t="shared" si="32"/>
        <v>#VALUE!</v>
      </c>
      <c r="AU49" s="30" t="e">
        <f t="shared" si="33"/>
        <v>#VALUE!</v>
      </c>
      <c r="AV49" s="24" t="e">
        <f t="shared" si="12"/>
        <v>#VALUE!</v>
      </c>
      <c r="AW49" s="24" t="e">
        <f t="shared" si="13"/>
        <v>#VALUE!</v>
      </c>
      <c r="AX49" s="20" t="e">
        <f>0.62198*(AV49/(AX2-AV49))</f>
        <v>#VALUE!</v>
      </c>
      <c r="AY49" s="20" t="e">
        <f>0.62198*(AW49/(AX2-AW49))</f>
        <v>#VALUE!</v>
      </c>
      <c r="AZ49" s="21" t="e">
        <f>((2501-2.381*AU49)*AX49-(AT2-AU49))/(2501+1.805*AT2-4.186*AU49)-AS14</f>
        <v>#VALUE!</v>
      </c>
      <c r="BA49" s="21" t="e">
        <f>((2501-2.381*AT49)*AY49-(AT2-AT49))/(2501+1.805*AT2-4.186*AT49)-AS14</f>
        <v>#VALUE!</v>
      </c>
      <c r="BB49" s="21" t="e">
        <f t="shared" si="14"/>
        <v>#VALUE!</v>
      </c>
      <c r="BD49" s="30">
        <v>12</v>
      </c>
      <c r="BE49" s="30" t="e">
        <f t="shared" si="34"/>
        <v>#VALUE!</v>
      </c>
      <c r="BF49" s="30" t="e">
        <f t="shared" si="35"/>
        <v>#VALUE!</v>
      </c>
      <c r="BG49" s="24" t="e">
        <f t="shared" si="15"/>
        <v>#VALUE!</v>
      </c>
      <c r="BH49" s="24" t="e">
        <f t="shared" si="16"/>
        <v>#VALUE!</v>
      </c>
      <c r="BI49" s="20" t="e">
        <f>0.62198*(BG49/(BI2-BG49))</f>
        <v>#VALUE!</v>
      </c>
      <c r="BJ49" s="20" t="e">
        <f>0.62198*(BH49/(BI2-BH49))</f>
        <v>#VALUE!</v>
      </c>
      <c r="BK49" s="21" t="e">
        <f>((2501-2.381*BF49)*BI49-(BE2-BF49))/(2501+1.805*BE2-4.186*BF49)-BD14</f>
        <v>#VALUE!</v>
      </c>
      <c r="BL49" s="21" t="e">
        <f>((2501-2.381*BE49)*BJ49-(BE2-BE49))/(2501+1.805*BE2-4.186*BE49)-BD14</f>
        <v>#VALUE!</v>
      </c>
      <c r="BM49" s="21" t="e">
        <f t="shared" si="17"/>
        <v>#VALUE!</v>
      </c>
      <c r="BO49" s="30">
        <v>12</v>
      </c>
      <c r="BP49" s="30" t="e">
        <f t="shared" si="36"/>
        <v>#VALUE!</v>
      </c>
      <c r="BQ49" s="30" t="e">
        <f t="shared" si="37"/>
        <v>#VALUE!</v>
      </c>
      <c r="BR49" s="24" t="e">
        <f t="shared" si="18"/>
        <v>#VALUE!</v>
      </c>
      <c r="BS49" s="24" t="e">
        <f t="shared" si="19"/>
        <v>#VALUE!</v>
      </c>
      <c r="BT49" s="20" t="e">
        <f>0.62198*(BR49/(BT2-BR49))</f>
        <v>#VALUE!</v>
      </c>
      <c r="BU49" s="20" t="e">
        <f>0.62198*(BS49/(BT2-BS49))</f>
        <v>#VALUE!</v>
      </c>
      <c r="BV49" s="21" t="e">
        <f>((2501-2.381*BQ49)*BT49-(BP2-BQ49))/(2501+1.805*BP2-4.186*BQ49)-BO14</f>
        <v>#VALUE!</v>
      </c>
      <c r="BW49" s="21" t="e">
        <f>((2501-2.381*BP49)*BU49-(BP2-BP49))/(2501+1.805*BP2-4.186*BP49)-BO14</f>
        <v>#VALUE!</v>
      </c>
      <c r="BX49" s="21" t="e">
        <f t="shared" si="20"/>
        <v>#VALUE!</v>
      </c>
      <c r="BZ49" s="30">
        <v>12</v>
      </c>
      <c r="CA49" s="30" t="e">
        <f t="shared" si="38"/>
        <v>#VALUE!</v>
      </c>
      <c r="CB49" s="30" t="e">
        <f t="shared" si="39"/>
        <v>#VALUE!</v>
      </c>
      <c r="CC49" s="24" t="e">
        <f t="shared" si="21"/>
        <v>#VALUE!</v>
      </c>
      <c r="CD49" s="24" t="e">
        <f t="shared" si="22"/>
        <v>#VALUE!</v>
      </c>
      <c r="CE49" s="20" t="e">
        <f>0.62198*(CC49/(CE2-CC49))</f>
        <v>#VALUE!</v>
      </c>
      <c r="CF49" s="20" t="e">
        <f>0.62198*(CD49/(CE2-CD49))</f>
        <v>#VALUE!</v>
      </c>
      <c r="CG49" s="21" t="e">
        <f>((2501-2.381*CB49)*CE49-(CA2-CB49))/(2501+1.805*CA2-4.186*CB49)-BZ14</f>
        <v>#VALUE!</v>
      </c>
      <c r="CH49" s="21" t="e">
        <f>((2501-2.381*CA49)*CF49-(CA2-CA49))/(2501+1.805*CA2-4.186*CA49)-BZ14</f>
        <v>#VALUE!</v>
      </c>
      <c r="CI49" s="21" t="e">
        <f t="shared" si="23"/>
        <v>#VALUE!</v>
      </c>
    </row>
    <row r="51" spans="1:88">
      <c r="A51" s="27"/>
      <c r="L51" s="27"/>
      <c r="W51" s="27"/>
      <c r="AH51" s="27"/>
      <c r="AS51" s="27"/>
      <c r="BC51" s="27"/>
      <c r="BD51" s="27"/>
      <c r="BO51" s="27"/>
      <c r="BZ51" s="27"/>
    </row>
    <row r="53" spans="1:88">
      <c r="A53" s="22"/>
      <c r="L53" s="22"/>
      <c r="W53" s="22"/>
      <c r="AH53" s="22"/>
      <c r="AS53" s="22"/>
      <c r="BC53" s="22"/>
      <c r="BD53" s="22"/>
      <c r="BO53" s="22"/>
      <c r="BZ53" s="22"/>
    </row>
    <row r="54" spans="1:88">
      <c r="A54" s="29"/>
      <c r="B54" s="29"/>
      <c r="C54" s="29"/>
      <c r="D54" s="29"/>
      <c r="E54" s="29"/>
      <c r="F54" s="29"/>
      <c r="G54" s="29"/>
      <c r="H54" s="29"/>
      <c r="I54" s="29"/>
      <c r="J54" s="29"/>
      <c r="L54" s="29"/>
      <c r="M54" s="29"/>
      <c r="N54" s="29"/>
      <c r="O54" s="29"/>
      <c r="P54" s="29"/>
      <c r="Q54" s="29"/>
      <c r="R54" s="29"/>
      <c r="S54" s="29"/>
      <c r="T54" s="29"/>
      <c r="U54" s="29"/>
      <c r="W54" s="29"/>
      <c r="X54" s="29"/>
      <c r="Y54" s="29"/>
      <c r="Z54" s="29"/>
      <c r="AA54" s="29"/>
      <c r="AB54" s="29"/>
      <c r="AC54" s="29"/>
      <c r="AD54" s="29"/>
      <c r="AE54" s="29"/>
      <c r="AF54" s="29"/>
      <c r="AH54" s="29"/>
      <c r="AI54" s="29"/>
      <c r="AJ54" s="29"/>
      <c r="AK54" s="29"/>
      <c r="AL54" s="29"/>
      <c r="AM54" s="29"/>
      <c r="AN54" s="29"/>
      <c r="AO54" s="29"/>
      <c r="AP54" s="29"/>
      <c r="AQ54" s="29"/>
      <c r="AS54" s="29"/>
      <c r="AT54" s="29"/>
      <c r="AU54" s="29"/>
      <c r="AV54" s="29"/>
      <c r="AW54" s="29"/>
      <c r="AX54" s="29"/>
      <c r="AY54" s="29"/>
      <c r="AZ54" s="29"/>
      <c r="BA54" s="29"/>
      <c r="BB54" s="29"/>
      <c r="BC54" s="29"/>
      <c r="BD54" s="29"/>
      <c r="BE54" s="29"/>
      <c r="BF54" s="29"/>
      <c r="BG54" s="29"/>
      <c r="BH54" s="29"/>
      <c r="BI54" s="29"/>
      <c r="BJ54" s="29"/>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row>
    <row r="55" spans="1:88">
      <c r="A55" s="30"/>
      <c r="B55" s="30"/>
      <c r="C55" s="30"/>
      <c r="D55" s="24"/>
      <c r="E55" s="24"/>
      <c r="F55" s="20"/>
      <c r="G55" s="20"/>
      <c r="L55" s="30"/>
      <c r="M55" s="30"/>
      <c r="N55" s="30"/>
      <c r="O55" s="24"/>
      <c r="P55" s="24"/>
      <c r="Q55" s="20"/>
      <c r="R55" s="20"/>
      <c r="W55" s="30"/>
      <c r="X55" s="30"/>
      <c r="Y55" s="30"/>
      <c r="Z55" s="24"/>
      <c r="AA55" s="24"/>
      <c r="AB55" s="20"/>
      <c r="AC55" s="20"/>
      <c r="AH55" s="30"/>
      <c r="AI55" s="30"/>
      <c r="AJ55" s="30"/>
      <c r="AK55" s="24"/>
      <c r="AL55" s="24"/>
      <c r="AM55" s="20"/>
      <c r="AN55" s="20"/>
      <c r="AS55" s="30"/>
      <c r="AT55" s="30"/>
      <c r="AU55" s="30"/>
      <c r="AV55" s="24"/>
      <c r="AW55" s="24"/>
      <c r="AX55" s="20"/>
      <c r="AY55" s="20"/>
      <c r="BC55" s="30"/>
      <c r="BD55" s="30"/>
      <c r="BE55" s="30"/>
      <c r="BF55" s="30"/>
      <c r="BG55" s="24"/>
      <c r="BH55" s="24"/>
      <c r="BI55" s="20"/>
      <c r="BJ55" s="20"/>
      <c r="BO55" s="30"/>
      <c r="BP55" s="30"/>
      <c r="BQ55" s="30"/>
      <c r="BR55" s="24"/>
      <c r="BS55" s="24"/>
      <c r="BT55" s="20"/>
      <c r="BU55" s="20"/>
      <c r="BZ55" s="30"/>
      <c r="CA55" s="30"/>
      <c r="CB55" s="30"/>
      <c r="CC55" s="24"/>
      <c r="CD55" s="24"/>
      <c r="CE55" s="20"/>
      <c r="CF55" s="20"/>
    </row>
    <row r="56" spans="1:88">
      <c r="A56" s="30"/>
      <c r="B56" s="30"/>
      <c r="C56" s="30"/>
      <c r="D56" s="24"/>
      <c r="E56" s="24"/>
      <c r="F56" s="20"/>
      <c r="G56" s="20"/>
      <c r="L56" s="30"/>
      <c r="M56" s="30"/>
      <c r="N56" s="30"/>
      <c r="O56" s="24"/>
      <c r="P56" s="24"/>
      <c r="Q56" s="20"/>
      <c r="R56" s="20"/>
      <c r="W56" s="30"/>
      <c r="X56" s="30"/>
      <c r="Y56" s="30"/>
      <c r="Z56" s="24"/>
      <c r="AA56" s="24"/>
      <c r="AB56" s="20"/>
      <c r="AC56" s="20"/>
      <c r="AH56" s="30"/>
      <c r="AI56" s="30"/>
      <c r="AJ56" s="30"/>
      <c r="AK56" s="24"/>
      <c r="AL56" s="24"/>
      <c r="AM56" s="20"/>
      <c r="AN56" s="20"/>
      <c r="AS56" s="30"/>
      <c r="AT56" s="30"/>
      <c r="AU56" s="30"/>
      <c r="AV56" s="24"/>
      <c r="AW56" s="24"/>
      <c r="AX56" s="20"/>
      <c r="AY56" s="20"/>
      <c r="BC56" s="30"/>
      <c r="BD56" s="30"/>
      <c r="BE56" s="30"/>
      <c r="BF56" s="30"/>
      <c r="BG56" s="24"/>
      <c r="BH56" s="24"/>
      <c r="BI56" s="20"/>
      <c r="BJ56" s="20"/>
      <c r="BO56" s="30"/>
      <c r="BP56" s="30"/>
      <c r="BQ56" s="30"/>
      <c r="BR56" s="24"/>
      <c r="BS56" s="24"/>
      <c r="BT56" s="20"/>
      <c r="BU56" s="20"/>
      <c r="BZ56" s="30"/>
      <c r="CA56" s="30"/>
      <c r="CB56" s="30"/>
      <c r="CC56" s="24"/>
      <c r="CD56" s="24"/>
      <c r="CE56" s="20"/>
      <c r="CF56" s="20"/>
    </row>
    <row r="57" spans="1:88">
      <c r="A57" s="30"/>
      <c r="B57" s="30"/>
      <c r="C57" s="30"/>
      <c r="D57" s="24"/>
      <c r="E57" s="24"/>
      <c r="F57" s="20"/>
      <c r="G57" s="20"/>
      <c r="L57" s="30"/>
      <c r="M57" s="30"/>
      <c r="N57" s="30"/>
      <c r="O57" s="24"/>
      <c r="P57" s="24"/>
      <c r="Q57" s="20"/>
      <c r="R57" s="20"/>
      <c r="W57" s="30"/>
      <c r="X57" s="30"/>
      <c r="Y57" s="30"/>
      <c r="Z57" s="24"/>
      <c r="AA57" s="24"/>
      <c r="AB57" s="20"/>
      <c r="AC57" s="20"/>
      <c r="AH57" s="30"/>
      <c r="AI57" s="30"/>
      <c r="AJ57" s="30"/>
      <c r="AK57" s="24"/>
      <c r="AL57" s="24"/>
      <c r="AM57" s="20"/>
      <c r="AN57" s="20"/>
      <c r="AS57" s="30"/>
      <c r="AT57" s="30"/>
      <c r="AU57" s="30"/>
      <c r="AV57" s="24"/>
      <c r="AW57" s="24"/>
      <c r="AX57" s="20"/>
      <c r="AY57" s="20"/>
      <c r="BC57" s="30"/>
      <c r="BD57" s="30"/>
      <c r="BE57" s="30"/>
      <c r="BF57" s="30"/>
      <c r="BG57" s="24"/>
      <c r="BH57" s="24"/>
      <c r="BI57" s="20"/>
      <c r="BJ57" s="20"/>
      <c r="BO57" s="30"/>
      <c r="BP57" s="30"/>
      <c r="BQ57" s="30"/>
      <c r="BR57" s="24"/>
      <c r="BS57" s="24"/>
      <c r="BT57" s="20"/>
      <c r="BU57" s="20"/>
      <c r="BZ57" s="30"/>
      <c r="CA57" s="30"/>
      <c r="CB57" s="30"/>
      <c r="CC57" s="24"/>
      <c r="CD57" s="24"/>
      <c r="CE57" s="20"/>
      <c r="CF57" s="20"/>
    </row>
    <row r="58" spans="1:88">
      <c r="A58" s="30"/>
      <c r="B58" s="30"/>
      <c r="C58" s="30"/>
      <c r="D58" s="24"/>
      <c r="E58" s="24"/>
      <c r="F58" s="20"/>
      <c r="G58" s="20"/>
      <c r="L58" s="30"/>
      <c r="M58" s="30"/>
      <c r="N58" s="30"/>
      <c r="O58" s="24"/>
      <c r="P58" s="24"/>
      <c r="Q58" s="20"/>
      <c r="R58" s="20"/>
      <c r="W58" s="30"/>
      <c r="X58" s="30"/>
      <c r="Y58" s="30"/>
      <c r="Z58" s="24"/>
      <c r="AA58" s="24"/>
      <c r="AB58" s="20"/>
      <c r="AC58" s="20"/>
      <c r="AH58" s="30"/>
      <c r="AI58" s="30"/>
      <c r="AJ58" s="30"/>
      <c r="AK58" s="24"/>
      <c r="AL58" s="24"/>
      <c r="AM58" s="20"/>
      <c r="AN58" s="20"/>
      <c r="AS58" s="30"/>
      <c r="AT58" s="30"/>
      <c r="AU58" s="30"/>
      <c r="AV58" s="24"/>
      <c r="AW58" s="24"/>
      <c r="AX58" s="20"/>
      <c r="AY58" s="20"/>
      <c r="BC58" s="30"/>
      <c r="BD58" s="30"/>
      <c r="BE58" s="30"/>
      <c r="BF58" s="30"/>
      <c r="BG58" s="24"/>
      <c r="BH58" s="24"/>
      <c r="BI58" s="20"/>
      <c r="BJ58" s="20"/>
      <c r="BO58" s="30"/>
      <c r="BP58" s="30"/>
      <c r="BQ58" s="30"/>
      <c r="BR58" s="24"/>
      <c r="BS58" s="24"/>
      <c r="BT58" s="20"/>
      <c r="BU58" s="20"/>
      <c r="BZ58" s="30"/>
      <c r="CA58" s="30"/>
      <c r="CB58" s="30"/>
      <c r="CC58" s="24"/>
      <c r="CD58" s="24"/>
      <c r="CE58" s="20"/>
      <c r="CF58" s="20"/>
    </row>
    <row r="59" spans="1:88">
      <c r="A59" s="30"/>
      <c r="B59" s="30"/>
      <c r="C59" s="30"/>
      <c r="D59" s="24"/>
      <c r="E59" s="24"/>
      <c r="F59" s="20"/>
      <c r="G59" s="20"/>
      <c r="L59" s="30"/>
      <c r="M59" s="30"/>
      <c r="N59" s="30"/>
      <c r="O59" s="24"/>
      <c r="P59" s="24"/>
      <c r="Q59" s="20"/>
      <c r="R59" s="20"/>
      <c r="W59" s="30"/>
      <c r="X59" s="30"/>
      <c r="Y59" s="30"/>
      <c r="Z59" s="24"/>
      <c r="AA59" s="24"/>
      <c r="AB59" s="20"/>
      <c r="AC59" s="20"/>
      <c r="AH59" s="30"/>
      <c r="AI59" s="30"/>
      <c r="AJ59" s="30"/>
      <c r="AK59" s="24"/>
      <c r="AL59" s="24"/>
      <c r="AM59" s="20"/>
      <c r="AN59" s="20"/>
      <c r="AS59" s="30"/>
      <c r="AT59" s="30"/>
      <c r="AU59" s="30"/>
      <c r="AV59" s="24"/>
      <c r="AW59" s="24"/>
      <c r="AX59" s="20"/>
      <c r="AY59" s="20"/>
      <c r="BC59" s="30"/>
      <c r="BD59" s="30"/>
      <c r="BE59" s="30"/>
      <c r="BF59" s="30"/>
      <c r="BG59" s="24"/>
      <c r="BH59" s="24"/>
      <c r="BI59" s="20"/>
      <c r="BJ59" s="20"/>
      <c r="BO59" s="30"/>
      <c r="BP59" s="30"/>
      <c r="BQ59" s="30"/>
      <c r="BR59" s="24"/>
      <c r="BS59" s="24"/>
      <c r="BT59" s="20"/>
      <c r="BU59" s="20"/>
      <c r="BZ59" s="30"/>
      <c r="CA59" s="30"/>
      <c r="CB59" s="30"/>
      <c r="CC59" s="24"/>
      <c r="CD59" s="24"/>
      <c r="CE59" s="20"/>
      <c r="CF59" s="20"/>
    </row>
    <row r="60" spans="1:88">
      <c r="A60" s="30"/>
      <c r="B60" s="30"/>
      <c r="C60" s="30"/>
      <c r="D60" s="24"/>
      <c r="E60" s="24"/>
      <c r="F60" s="20"/>
      <c r="G60" s="20"/>
      <c r="L60" s="30"/>
      <c r="M60" s="30"/>
      <c r="N60" s="30"/>
      <c r="O60" s="24"/>
      <c r="P60" s="24"/>
      <c r="Q60" s="20"/>
      <c r="R60" s="20"/>
      <c r="W60" s="30"/>
      <c r="X60" s="30"/>
      <c r="Y60" s="30"/>
      <c r="Z60" s="24"/>
      <c r="AA60" s="24"/>
      <c r="AB60" s="20"/>
      <c r="AC60" s="20"/>
      <c r="AH60" s="30"/>
      <c r="AI60" s="30"/>
      <c r="AJ60" s="30"/>
      <c r="AK60" s="24"/>
      <c r="AL60" s="24"/>
      <c r="AM60" s="20"/>
      <c r="AN60" s="20"/>
      <c r="AS60" s="30"/>
      <c r="AT60" s="30"/>
      <c r="AU60" s="30"/>
      <c r="AV60" s="24"/>
      <c r="AW60" s="24"/>
      <c r="AX60" s="20"/>
      <c r="AY60" s="20"/>
      <c r="BC60" s="30"/>
      <c r="BD60" s="30"/>
      <c r="BE60" s="30"/>
      <c r="BF60" s="30"/>
      <c r="BG60" s="24"/>
      <c r="BH60" s="24"/>
      <c r="BI60" s="20"/>
      <c r="BJ60" s="20"/>
      <c r="BO60" s="30"/>
      <c r="BP60" s="30"/>
      <c r="BQ60" s="30"/>
      <c r="BR60" s="24"/>
      <c r="BS60" s="24"/>
      <c r="BT60" s="20"/>
      <c r="BU60" s="20"/>
      <c r="BZ60" s="30"/>
      <c r="CA60" s="30"/>
      <c r="CB60" s="30"/>
      <c r="CC60" s="24"/>
      <c r="CD60" s="24"/>
      <c r="CE60" s="20"/>
      <c r="CF60" s="20"/>
    </row>
    <row r="61" spans="1:88">
      <c r="A61" s="30"/>
      <c r="B61" s="30"/>
      <c r="C61" s="30"/>
      <c r="D61" s="24"/>
      <c r="E61" s="24"/>
      <c r="F61" s="20"/>
      <c r="G61" s="20"/>
      <c r="L61" s="30"/>
      <c r="M61" s="30"/>
      <c r="N61" s="30"/>
      <c r="O61" s="24"/>
      <c r="P61" s="24"/>
      <c r="Q61" s="20"/>
      <c r="R61" s="20"/>
      <c r="W61" s="30"/>
      <c r="X61" s="30"/>
      <c r="Y61" s="30"/>
      <c r="Z61" s="24"/>
      <c r="AA61" s="24"/>
      <c r="AB61" s="20"/>
      <c r="AC61" s="20"/>
      <c r="AH61" s="30"/>
      <c r="AI61" s="30"/>
      <c r="AJ61" s="30"/>
      <c r="AK61" s="24"/>
      <c r="AL61" s="24"/>
      <c r="AM61" s="20"/>
      <c r="AN61" s="20"/>
      <c r="AS61" s="30"/>
      <c r="AT61" s="30"/>
      <c r="AU61" s="30"/>
      <c r="AV61" s="24"/>
      <c r="AW61" s="24"/>
      <c r="AX61" s="20"/>
      <c r="AY61" s="20"/>
      <c r="BC61" s="30"/>
      <c r="BD61" s="30"/>
      <c r="BE61" s="30"/>
      <c r="BF61" s="30"/>
      <c r="BG61" s="24"/>
      <c r="BH61" s="24"/>
      <c r="BI61" s="20"/>
      <c r="BJ61" s="20"/>
      <c r="BO61" s="30"/>
      <c r="BP61" s="30"/>
      <c r="BQ61" s="30"/>
      <c r="BR61" s="24"/>
      <c r="BS61" s="24"/>
      <c r="BT61" s="20"/>
      <c r="BU61" s="20"/>
      <c r="BZ61" s="30"/>
      <c r="CA61" s="30"/>
      <c r="CB61" s="30"/>
      <c r="CC61" s="24"/>
      <c r="CD61" s="24"/>
      <c r="CE61" s="20"/>
      <c r="CF61" s="20"/>
    </row>
    <row r="62" spans="1:88">
      <c r="A62" s="30"/>
      <c r="B62" s="30"/>
      <c r="C62" s="30"/>
      <c r="D62" s="24"/>
      <c r="E62" s="24"/>
      <c r="F62" s="20"/>
      <c r="G62" s="20"/>
      <c r="L62" s="30"/>
      <c r="M62" s="30"/>
      <c r="N62" s="30"/>
      <c r="O62" s="24"/>
      <c r="P62" s="24"/>
      <c r="Q62" s="20"/>
      <c r="R62" s="20"/>
      <c r="W62" s="30"/>
      <c r="X62" s="30"/>
      <c r="Y62" s="30"/>
      <c r="Z62" s="24"/>
      <c r="AA62" s="24"/>
      <c r="AB62" s="20"/>
      <c r="AC62" s="20"/>
      <c r="AH62" s="30"/>
      <c r="AI62" s="30"/>
      <c r="AJ62" s="30"/>
      <c r="AK62" s="24"/>
      <c r="AL62" s="24"/>
      <c r="AM62" s="20"/>
      <c r="AN62" s="20"/>
      <c r="AS62" s="30"/>
      <c r="AT62" s="30"/>
      <c r="AU62" s="30"/>
      <c r="AV62" s="24"/>
      <c r="AW62" s="24"/>
      <c r="AX62" s="20"/>
      <c r="AY62" s="20"/>
      <c r="BC62" s="30"/>
      <c r="BD62" s="30"/>
      <c r="BE62" s="30"/>
      <c r="BF62" s="30"/>
      <c r="BG62" s="24"/>
      <c r="BH62" s="24"/>
      <c r="BI62" s="20"/>
      <c r="BJ62" s="20"/>
      <c r="BO62" s="30"/>
      <c r="BP62" s="30"/>
      <c r="BQ62" s="30"/>
      <c r="BR62" s="24"/>
      <c r="BS62" s="24"/>
      <c r="BT62" s="20"/>
      <c r="BU62" s="20"/>
      <c r="BZ62" s="30"/>
      <c r="CA62" s="30"/>
      <c r="CB62" s="30"/>
      <c r="CC62" s="24"/>
      <c r="CD62" s="24"/>
      <c r="CE62" s="20"/>
      <c r="CF62" s="20"/>
    </row>
    <row r="63" spans="1:88">
      <c r="A63" s="30"/>
      <c r="B63" s="30"/>
      <c r="C63" s="30"/>
      <c r="D63" s="24"/>
      <c r="E63" s="24"/>
      <c r="F63" s="20"/>
      <c r="G63" s="20"/>
      <c r="L63" s="30"/>
      <c r="M63" s="30"/>
      <c r="N63" s="30"/>
      <c r="O63" s="24"/>
      <c r="P63" s="24"/>
      <c r="Q63" s="20"/>
      <c r="R63" s="20"/>
      <c r="W63" s="30"/>
      <c r="X63" s="30"/>
      <c r="Y63" s="30"/>
      <c r="Z63" s="24"/>
      <c r="AA63" s="24"/>
      <c r="AB63" s="20"/>
      <c r="AC63" s="20"/>
      <c r="AH63" s="30"/>
      <c r="AI63" s="30"/>
      <c r="AJ63" s="30"/>
      <c r="AK63" s="24"/>
      <c r="AL63" s="24"/>
      <c r="AM63" s="20"/>
      <c r="AN63" s="20"/>
      <c r="AS63" s="30"/>
      <c r="AT63" s="30"/>
      <c r="AU63" s="30"/>
      <c r="AV63" s="24"/>
      <c r="AW63" s="24"/>
      <c r="AX63" s="20"/>
      <c r="AY63" s="20"/>
      <c r="BC63" s="30"/>
      <c r="BD63" s="30"/>
      <c r="BE63" s="30"/>
      <c r="BF63" s="30"/>
      <c r="BG63" s="24"/>
      <c r="BH63" s="24"/>
      <c r="BI63" s="20"/>
      <c r="BJ63" s="20"/>
      <c r="BO63" s="30"/>
      <c r="BP63" s="30"/>
      <c r="BQ63" s="30"/>
      <c r="BR63" s="24"/>
      <c r="BS63" s="24"/>
      <c r="BT63" s="20"/>
      <c r="BU63" s="20"/>
      <c r="BZ63" s="30"/>
      <c r="CA63" s="30"/>
      <c r="CB63" s="30"/>
      <c r="CC63" s="24"/>
      <c r="CD63" s="24"/>
      <c r="CE63" s="20"/>
      <c r="CF63" s="20"/>
    </row>
    <row r="64" spans="1:88">
      <c r="A64" s="30"/>
      <c r="B64" s="30"/>
      <c r="C64" s="30"/>
      <c r="D64" s="24"/>
      <c r="E64" s="24"/>
      <c r="F64" s="20"/>
      <c r="G64" s="20"/>
      <c r="L64" s="30"/>
      <c r="M64" s="30"/>
      <c r="N64" s="30"/>
      <c r="O64" s="24"/>
      <c r="P64" s="24"/>
      <c r="Q64" s="20"/>
      <c r="R64" s="20"/>
      <c r="W64" s="30"/>
      <c r="X64" s="30"/>
      <c r="Y64" s="30"/>
      <c r="Z64" s="24"/>
      <c r="AA64" s="24"/>
      <c r="AB64" s="20"/>
      <c r="AC64" s="20"/>
      <c r="AH64" s="30"/>
      <c r="AI64" s="30"/>
      <c r="AJ64" s="30"/>
      <c r="AK64" s="24"/>
      <c r="AL64" s="24"/>
      <c r="AM64" s="20"/>
      <c r="AN64" s="20"/>
      <c r="AS64" s="30"/>
      <c r="AT64" s="30"/>
      <c r="AU64" s="30"/>
      <c r="AV64" s="24"/>
      <c r="AW64" s="24"/>
      <c r="AX64" s="20"/>
      <c r="AY64" s="20"/>
      <c r="BD64" s="30"/>
      <c r="BE64" s="30"/>
      <c r="BF64" s="30"/>
      <c r="BG64" s="24"/>
      <c r="BH64" s="24"/>
      <c r="BI64" s="20"/>
      <c r="BJ64" s="20"/>
      <c r="BO64" s="30"/>
      <c r="BP64" s="30"/>
      <c r="BQ64" s="30"/>
      <c r="BR64" s="24"/>
      <c r="BS64" s="24"/>
      <c r="BT64" s="20"/>
      <c r="BU64" s="20"/>
      <c r="BZ64" s="30"/>
      <c r="CA64" s="30"/>
      <c r="CB64" s="30"/>
      <c r="CC64" s="24"/>
      <c r="CD64" s="24"/>
      <c r="CE64" s="20"/>
      <c r="CF64" s="20"/>
    </row>
    <row r="65" spans="1:84">
      <c r="A65" s="30"/>
      <c r="B65" s="30"/>
      <c r="C65" s="30"/>
      <c r="D65" s="24"/>
      <c r="E65" s="24"/>
      <c r="F65" s="20"/>
      <c r="G65" s="20"/>
      <c r="L65" s="30"/>
      <c r="M65" s="30"/>
      <c r="N65" s="30"/>
      <c r="O65" s="24"/>
      <c r="P65" s="24"/>
      <c r="Q65" s="20"/>
      <c r="R65" s="20"/>
      <c r="W65" s="30"/>
      <c r="X65" s="30"/>
      <c r="Y65" s="30"/>
      <c r="Z65" s="24"/>
      <c r="AA65" s="24"/>
      <c r="AB65" s="20"/>
      <c r="AC65" s="20"/>
      <c r="AH65" s="30"/>
      <c r="AI65" s="30"/>
      <c r="AJ65" s="30"/>
      <c r="AK65" s="24"/>
      <c r="AL65" s="24"/>
      <c r="AM65" s="20"/>
      <c r="AN65" s="20"/>
      <c r="AS65" s="30"/>
      <c r="AT65" s="30"/>
      <c r="AU65" s="30"/>
      <c r="AV65" s="24"/>
      <c r="AW65" s="24"/>
      <c r="AX65" s="20"/>
      <c r="AY65" s="20"/>
      <c r="BD65" s="30"/>
      <c r="BE65" s="30"/>
      <c r="BF65" s="30"/>
      <c r="BG65" s="24"/>
      <c r="BH65" s="24"/>
      <c r="BI65" s="20"/>
      <c r="BJ65" s="20"/>
      <c r="BO65" s="30"/>
      <c r="BP65" s="30"/>
      <c r="BQ65" s="30"/>
      <c r="BR65" s="24"/>
      <c r="BS65" s="24"/>
      <c r="BT65" s="20"/>
      <c r="BU65" s="20"/>
      <c r="BZ65" s="30"/>
      <c r="CA65" s="30"/>
      <c r="CB65" s="30"/>
      <c r="CC65" s="24"/>
      <c r="CD65" s="24"/>
      <c r="CE65" s="20"/>
      <c r="CF65" s="20"/>
    </row>
    <row r="66" spans="1:84">
      <c r="A66" s="30"/>
      <c r="B66" s="30"/>
      <c r="C66" s="30"/>
      <c r="D66" s="24"/>
      <c r="E66" s="24"/>
      <c r="F66" s="20"/>
      <c r="G66" s="20"/>
      <c r="L66" s="30"/>
      <c r="M66" s="30"/>
      <c r="N66" s="30"/>
      <c r="O66" s="24"/>
      <c r="P66" s="24"/>
      <c r="Q66" s="20"/>
      <c r="R66" s="20"/>
      <c r="W66" s="30"/>
      <c r="X66" s="30"/>
      <c r="Y66" s="30"/>
      <c r="Z66" s="24"/>
      <c r="AA66" s="24"/>
      <c r="AB66" s="20"/>
      <c r="AC66" s="20"/>
      <c r="AH66" s="30"/>
      <c r="AI66" s="30"/>
      <c r="AJ66" s="30"/>
      <c r="AK66" s="24"/>
      <c r="AL66" s="24"/>
      <c r="AM66" s="20"/>
      <c r="AN66" s="20"/>
      <c r="AS66" s="30"/>
      <c r="AT66" s="30"/>
      <c r="AU66" s="30"/>
      <c r="AV66" s="24"/>
      <c r="AW66" s="24"/>
      <c r="AX66" s="20"/>
      <c r="AY66" s="20"/>
      <c r="BD66" s="30"/>
      <c r="BE66" s="30"/>
      <c r="BF66" s="30"/>
      <c r="BG66" s="24"/>
      <c r="BH66" s="24"/>
      <c r="BI66" s="20"/>
      <c r="BJ66" s="20"/>
      <c r="BO66" s="30"/>
      <c r="BP66" s="30"/>
      <c r="BQ66" s="30"/>
      <c r="BR66" s="24"/>
      <c r="BS66" s="24"/>
      <c r="BT66" s="20"/>
      <c r="BU66" s="20"/>
      <c r="BZ66" s="30"/>
      <c r="CA66" s="30"/>
      <c r="CB66" s="30"/>
      <c r="CC66" s="24"/>
      <c r="CD66" s="24"/>
      <c r="CE66" s="20"/>
      <c r="CF66" s="20"/>
    </row>
    <row r="67" spans="1:84">
      <c r="A67" s="30"/>
      <c r="B67" s="30"/>
      <c r="C67" s="30"/>
      <c r="D67" s="24"/>
      <c r="E67" s="24"/>
      <c r="F67" s="20"/>
      <c r="G67" s="20"/>
      <c r="L67" s="30"/>
      <c r="M67" s="30"/>
      <c r="N67" s="30"/>
      <c r="O67" s="24"/>
      <c r="P67" s="24"/>
      <c r="Q67" s="20"/>
      <c r="R67" s="20"/>
      <c r="W67" s="30"/>
      <c r="X67" s="30"/>
      <c r="Y67" s="30"/>
      <c r="Z67" s="24"/>
      <c r="AA67" s="24"/>
      <c r="AB67" s="20"/>
      <c r="AC67" s="20"/>
      <c r="AH67" s="30"/>
      <c r="AI67" s="30"/>
      <c r="AJ67" s="30"/>
      <c r="AK67" s="24"/>
      <c r="AL67" s="24"/>
      <c r="AM67" s="20"/>
      <c r="AN67" s="20"/>
      <c r="AS67" s="30"/>
      <c r="AT67" s="30"/>
      <c r="AU67" s="30"/>
      <c r="AV67" s="24"/>
      <c r="AW67" s="24"/>
      <c r="AX67" s="20"/>
      <c r="AY67" s="20"/>
      <c r="BD67" s="30"/>
      <c r="BE67" s="30"/>
      <c r="BF67" s="30"/>
      <c r="BG67" s="24"/>
      <c r="BH67" s="24"/>
      <c r="BI67" s="20"/>
      <c r="BJ67" s="20"/>
      <c r="BO67" s="30"/>
      <c r="BP67" s="30"/>
      <c r="BQ67" s="30"/>
      <c r="BR67" s="24"/>
      <c r="BS67" s="24"/>
      <c r="BT67" s="20"/>
      <c r="BU67" s="20"/>
      <c r="BZ67" s="30"/>
      <c r="CA67" s="30"/>
      <c r="CB67" s="30"/>
      <c r="CC67" s="24"/>
      <c r="CD67" s="24"/>
      <c r="CE67" s="20"/>
      <c r="CF67" s="20"/>
    </row>
  </sheetData>
  <sheetProtection password="DFE4" sheet="1" objects="1" scenarios="1" selectLockedCells="1" selectUnlockedCells="1"/>
  <phoneticPr fontId="143"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6" tint="0.39997558519241921"/>
    <pageSetUpPr fitToPage="1"/>
  </sheetPr>
  <dimension ref="A1:X35"/>
  <sheetViews>
    <sheetView showGridLines="0" showRowColHeaders="0" zoomScaleNormal="100" workbookViewId="0">
      <selection activeCell="C11" sqref="C11"/>
    </sheetView>
  </sheetViews>
  <sheetFormatPr defaultColWidth="10.26953125" defaultRowHeight="12.5"/>
  <cols>
    <col min="1" max="1" width="2.7265625" style="870" customWidth="1"/>
    <col min="2" max="2" width="26.7265625" style="870" bestFit="1" customWidth="1"/>
    <col min="3" max="4" width="8.7265625" style="871" customWidth="1"/>
    <col min="5" max="5" width="1.7265625" style="870" customWidth="1"/>
    <col min="6" max="8" width="8.7265625" style="870" customWidth="1"/>
    <col min="9" max="10" width="10.7265625" style="870" customWidth="1"/>
    <col min="11" max="16384" width="10.26953125" style="870"/>
  </cols>
  <sheetData>
    <row r="1" spans="1:24" s="839" customFormat="1">
      <c r="C1" s="840"/>
      <c r="D1" s="840"/>
      <c r="I1" s="841"/>
    </row>
    <row r="2" spans="1:24" s="842" customFormat="1" ht="13">
      <c r="A2" s="839"/>
      <c r="B2" s="2090" t="s">
        <v>16</v>
      </c>
      <c r="C2" s="2090"/>
      <c r="D2" s="2090"/>
      <c r="E2" s="2090"/>
      <c r="F2" s="839"/>
      <c r="G2" s="839"/>
      <c r="H2" s="839"/>
      <c r="I2" s="841"/>
      <c r="J2" s="839"/>
      <c r="K2" s="839"/>
      <c r="L2" s="839"/>
      <c r="M2" s="839"/>
      <c r="N2" s="839"/>
      <c r="O2" s="839"/>
      <c r="P2" s="839"/>
      <c r="Q2" s="839"/>
      <c r="R2" s="839"/>
      <c r="S2" s="839"/>
      <c r="T2" s="839"/>
      <c r="U2" s="839"/>
      <c r="V2" s="839"/>
      <c r="W2" s="839"/>
      <c r="X2" s="839"/>
    </row>
    <row r="3" spans="1:24" s="842" customFormat="1">
      <c r="C3" s="843"/>
      <c r="D3" s="843"/>
      <c r="E3" s="839"/>
      <c r="F3" s="839"/>
      <c r="G3" s="839"/>
      <c r="H3" s="839"/>
      <c r="I3" s="841"/>
      <c r="J3" s="839"/>
      <c r="K3" s="839"/>
      <c r="L3" s="839"/>
      <c r="M3" s="839"/>
      <c r="N3" s="839"/>
      <c r="O3" s="839"/>
      <c r="P3" s="839"/>
      <c r="Q3" s="839"/>
      <c r="R3" s="839"/>
      <c r="S3" s="839"/>
      <c r="T3" s="839"/>
      <c r="U3" s="839"/>
      <c r="V3" s="839"/>
      <c r="W3" s="839"/>
      <c r="X3" s="839"/>
    </row>
    <row r="4" spans="1:24" s="842" customFormat="1">
      <c r="B4" s="844"/>
      <c r="C4" s="845"/>
      <c r="D4" s="845"/>
      <c r="E4" s="846"/>
      <c r="F4" s="839"/>
      <c r="G4" s="839"/>
      <c r="H4" s="839"/>
      <c r="I4" s="841"/>
      <c r="J4" s="839"/>
      <c r="K4" s="839"/>
      <c r="L4" s="839"/>
      <c r="M4" s="839"/>
      <c r="N4" s="839"/>
      <c r="O4" s="839"/>
      <c r="P4" s="839"/>
      <c r="Q4" s="839"/>
      <c r="R4" s="839"/>
      <c r="S4" s="839"/>
      <c r="T4" s="839"/>
      <c r="U4" s="839"/>
      <c r="V4" s="839"/>
      <c r="W4" s="839"/>
      <c r="X4" s="839"/>
    </row>
    <row r="5" spans="1:24" s="842" customFormat="1">
      <c r="B5" s="847" t="s">
        <v>1332</v>
      </c>
      <c r="C5" s="1407">
        <v>0</v>
      </c>
      <c r="D5" s="848" t="s">
        <v>216</v>
      </c>
      <c r="E5" s="849"/>
      <c r="F5" s="841"/>
      <c r="G5" s="15"/>
      <c r="H5" s="841"/>
      <c r="I5" s="841"/>
      <c r="J5" s="839"/>
      <c r="K5" s="839"/>
      <c r="L5" s="839"/>
      <c r="M5" s="839"/>
      <c r="N5" s="839"/>
      <c r="O5" s="839"/>
      <c r="P5" s="839"/>
      <c r="Q5" s="839"/>
      <c r="R5" s="839"/>
      <c r="S5" s="839"/>
      <c r="T5" s="839"/>
      <c r="U5" s="839"/>
      <c r="V5" s="839"/>
      <c r="W5" s="839"/>
      <c r="X5" s="839"/>
    </row>
    <row r="6" spans="1:24" s="842" customFormat="1">
      <c r="B6" s="847" t="s">
        <v>1331</v>
      </c>
      <c r="C6" s="1407">
        <v>101.325</v>
      </c>
      <c r="D6" s="848" t="s">
        <v>127</v>
      </c>
      <c r="E6" s="849"/>
      <c r="F6" s="841"/>
      <c r="G6" s="15"/>
      <c r="H6" s="841"/>
      <c r="I6" s="841"/>
      <c r="J6" s="841"/>
      <c r="K6" s="841"/>
      <c r="L6" s="841"/>
    </row>
    <row r="7" spans="1:24" s="842" customFormat="1">
      <c r="B7" s="850"/>
      <c r="C7" s="843"/>
      <c r="D7" s="843"/>
      <c r="E7" s="849"/>
      <c r="F7" s="841"/>
      <c r="G7" s="15"/>
      <c r="H7" s="841"/>
      <c r="I7" s="841"/>
      <c r="J7" s="841"/>
      <c r="K7" s="841"/>
      <c r="L7" s="841"/>
    </row>
    <row r="8" spans="1:24" s="853" customFormat="1" ht="13">
      <c r="A8" s="842"/>
      <c r="B8" s="851"/>
      <c r="C8" s="852" t="s">
        <v>361</v>
      </c>
      <c r="D8" s="852" t="s">
        <v>362</v>
      </c>
      <c r="E8" s="849"/>
      <c r="F8" s="841"/>
      <c r="G8" s="15"/>
      <c r="H8" s="841"/>
      <c r="I8" s="841"/>
      <c r="J8" s="841"/>
      <c r="K8" s="841"/>
      <c r="L8" s="841"/>
    </row>
    <row r="9" spans="1:24" s="855" customFormat="1">
      <c r="A9" s="853"/>
      <c r="B9" s="854" t="s">
        <v>141</v>
      </c>
      <c r="C9" s="1408">
        <v>24.6</v>
      </c>
      <c r="D9" s="1408">
        <v>10</v>
      </c>
      <c r="E9" s="849"/>
      <c r="F9" s="841"/>
      <c r="G9" s="15"/>
      <c r="H9" s="841"/>
      <c r="I9" s="841"/>
      <c r="J9" s="841"/>
      <c r="K9" s="841"/>
      <c r="L9" s="841"/>
    </row>
    <row r="10" spans="1:24" s="855" customFormat="1" ht="13">
      <c r="B10" s="854" t="s">
        <v>142</v>
      </c>
      <c r="C10" s="1408">
        <v>19.2</v>
      </c>
      <c r="D10" s="1409">
        <v>9.6</v>
      </c>
      <c r="E10" s="856"/>
      <c r="F10" s="841"/>
      <c r="G10" s="15"/>
      <c r="H10" s="841"/>
      <c r="I10" s="841"/>
      <c r="J10" s="841"/>
      <c r="K10" s="841"/>
      <c r="L10" s="841"/>
    </row>
    <row r="11" spans="1:24" s="855" customFormat="1">
      <c r="B11" s="854" t="s">
        <v>143</v>
      </c>
      <c r="C11" s="1408"/>
      <c r="D11" s="1408"/>
      <c r="E11" s="849"/>
      <c r="F11" s="841"/>
      <c r="G11" s="15"/>
      <c r="H11" s="841"/>
      <c r="I11" s="841"/>
      <c r="J11" s="841"/>
      <c r="K11" s="841"/>
      <c r="L11" s="841"/>
    </row>
    <row r="12" spans="1:24" s="855" customFormat="1">
      <c r="B12" s="854" t="s">
        <v>17</v>
      </c>
      <c r="C12" s="1408"/>
      <c r="D12" s="1409">
        <v>40</v>
      </c>
      <c r="E12" s="849"/>
      <c r="F12" s="841"/>
      <c r="G12" s="15"/>
      <c r="H12" s="841"/>
      <c r="I12" s="841"/>
      <c r="J12" s="841"/>
      <c r="K12" s="841"/>
      <c r="L12" s="841"/>
    </row>
    <row r="13" spans="1:24" s="855" customFormat="1">
      <c r="B13" s="857"/>
      <c r="C13" s="858"/>
      <c r="D13" s="858"/>
      <c r="E13" s="849"/>
      <c r="F13" s="841"/>
      <c r="G13" s="15"/>
      <c r="H13" s="841"/>
      <c r="I13" s="841"/>
      <c r="J13" s="841"/>
      <c r="K13" s="841"/>
      <c r="L13" s="841"/>
    </row>
    <row r="14" spans="1:24" s="855" customFormat="1">
      <c r="B14" s="857"/>
      <c r="E14" s="849"/>
      <c r="F14" s="841"/>
      <c r="G14" s="15"/>
      <c r="H14" s="841"/>
      <c r="I14" s="841"/>
      <c r="J14" s="841"/>
      <c r="K14" s="841"/>
      <c r="L14" s="841"/>
    </row>
    <row r="15" spans="1:24" s="855" customFormat="1" ht="13">
      <c r="B15" s="854" t="s">
        <v>141</v>
      </c>
      <c r="C15" s="859">
        <f>IF(C9+C10+C11+C12=0,"-",IF(C9&lt;&gt;0,C9,IF(AND(C10&lt;&gt;0,C12&lt;&gt;0),'Supporting 4'!A10,IF(AND(C10&lt;&gt;0,C11&lt;&gt;0),'Supproting 5'!A18,IF(AND(C11&lt;&gt;0,C12&lt;&gt;0),'Supporting 6'!A10)))))</f>
        <v>24.6</v>
      </c>
      <c r="D15" s="859">
        <f>IF(D9+D10+D11+D12=0,"-",IF(D9&lt;&gt;0,D9,IF(AND(D10&lt;&gt;0,D12&lt;&gt;0),'Supporting 4'!C10,IF(AND(D10&lt;&gt;0,D11&lt;&gt;0),'Supproting 5'!C18,IF(AND(D11&lt;&gt;0,D12&lt;&gt;0),'Supporting 6'!C10)))))</f>
        <v>10</v>
      </c>
      <c r="E15" s="856"/>
      <c r="F15" s="841"/>
      <c r="G15" s="15"/>
      <c r="H15" s="841"/>
      <c r="I15" s="841"/>
      <c r="J15" s="841"/>
      <c r="K15" s="841"/>
      <c r="L15" s="841"/>
    </row>
    <row r="16" spans="1:24" s="855" customFormat="1">
      <c r="B16" s="854" t="s">
        <v>142</v>
      </c>
      <c r="C16" s="859">
        <f>IF(C9+C10+C11+C12=0,"-",IF(AND(C10&lt;&gt;0,C10&gt;C9,C9&lt;&gt;0),"ERROR",IF(C10&lt;&gt;0,C10,IF(AND(C9&lt;&gt;0,C11&lt;&gt;0),'Supporting 2'!A30,IF(AND(C9&lt;&gt;0,C12&lt;&gt;0),'Supporting 3'!A28,IF(AND(C11&lt;&gt;0,C12&lt;&gt;0),'Supporting 6'!A19))))))</f>
        <v>19.2</v>
      </c>
      <c r="D16" s="859">
        <f>IF(D9+D10+D11+D12=0,"-",IF(AND(D10&lt;&gt;0,D10&gt;D9,D9&lt;&gt;0),"ERROR",IF(D10&lt;&gt;0,D10,IF(AND(D9&lt;&gt;0,D11&lt;&gt;0),'Supporting 2'!C30,IF(AND(D9&lt;&gt;0,D12&lt;&gt;0),'Supporting 3'!C28,IF(AND(D11&lt;&gt;0,D12&lt;&gt;0),'Supporting 6'!C19))))))</f>
        <v>9.6</v>
      </c>
      <c r="E16" s="849"/>
      <c r="F16" s="841"/>
      <c r="G16" s="15"/>
      <c r="H16" s="841"/>
      <c r="I16" s="841"/>
      <c r="J16" s="841"/>
      <c r="K16" s="841"/>
      <c r="L16" s="841"/>
    </row>
    <row r="17" spans="1:12" s="853" customFormat="1" ht="13">
      <c r="A17" s="855"/>
      <c r="B17" s="877" t="s">
        <v>143</v>
      </c>
      <c r="C17" s="878">
        <f>IF(C9+C10+C11+C12=0,"-",IF(C11&lt;&gt;0,C11,IF(AND(C9&lt;&gt;0,C10&lt;&gt;0),'Supporting 1'!A36,IF(AND(C9&lt;&gt;0,C11&lt;&gt;0),C11,IF(AND(C9&lt;&gt;0,C12&lt;&gt;0),'Supporting 3'!A25,IF(AND(C10&lt;&gt;0,C12&lt;&gt;0),'Supporting 4'!A25))))))</f>
        <v>16.49737944001108</v>
      </c>
      <c r="D17" s="878">
        <f>IF(D9+D10+D11+D12=0,"-",IF(D11&lt;&gt;0,D11,IF(AND(D9&lt;&gt;0,D10&lt;&gt;0),'Supporting 1'!C36,IF(AND(D9&lt;&gt;0,D11&lt;&gt;0),D11,IF(AND(D9&lt;&gt;0,D12&lt;&gt;0),'Supporting 3'!C25,IF(AND(D10&lt;&gt;0,D12&lt;&gt;0),'Supporting 4'!C25))))))</f>
        <v>9.3035859372805039</v>
      </c>
      <c r="E17" s="849"/>
      <c r="F17" s="841"/>
      <c r="G17" s="15"/>
      <c r="H17" s="841"/>
      <c r="I17" s="841"/>
      <c r="J17" s="841"/>
      <c r="K17" s="841"/>
      <c r="L17" s="841"/>
    </row>
    <row r="18" spans="1:12" s="853" customFormat="1">
      <c r="B18" s="854" t="s">
        <v>17</v>
      </c>
      <c r="C18" s="859">
        <f>IF(C9+C10+C11+C12=0,"-",IF(C12&lt;&gt;0,C12,IF(AND(C9&lt;&gt;0,C10&lt;&gt;0),'Supporting 1'!A24,IF(AND(C9&lt;&gt;0,C11&lt;&gt;0),'Supporting 2'!A21,IF(AND(C10&lt;&gt;0,C11&lt;&gt;0),'Supproting 5'!A38)))))</f>
        <v>60.56609087238499</v>
      </c>
      <c r="D18" s="859">
        <f>IF(D9+D10+D11+D12=0,"-",IF(D12&lt;&gt;0,D12,IF(AND(D9&lt;&gt;0,D10&lt;&gt;0),'Supporting 1'!C24,IF(AND(D9&lt;&gt;0,D11&lt;&gt;0),'Supporting 2'!C21,IF(AND(D10&lt;&gt;0,D11&lt;&gt;0),'Supproting 5'!C38)))))</f>
        <v>40</v>
      </c>
      <c r="E18" s="849"/>
      <c r="K18" s="841"/>
      <c r="L18" s="841"/>
    </row>
    <row r="19" spans="1:12" s="853" customFormat="1" ht="14.5">
      <c r="B19" s="854" t="s">
        <v>1333</v>
      </c>
      <c r="C19" s="860">
        <f>IF(C9+C10+C11+C12=0,"-",IF(AND(C9&lt;&gt;0,C10&lt;&gt;0),'Supporting 1'!A27,IF(AND(C9&lt;&gt;0,C11&lt;&gt;0),'Supporting 2'!A24,IF(AND(C9&lt;&gt;0,C12&lt;&gt;0),'Supporting 3'!A19,IF(AND(C10&lt;&gt;0,C12&lt;&gt;0),'Supporting 4'!A16,IF(AND(C10&lt;&gt;0,C11&lt;&gt;0),'Supproting 5'!A21,IF(AND(C11&lt;&gt;0,C12&lt;&gt;0),'Supporting 6'!A13)))))))</f>
        <v>0.85956103076727641</v>
      </c>
      <c r="D19" s="860">
        <f>IF(D9+D10+D11+D12=0,"-",IF(AND(D9&lt;&gt;0,D10&lt;&gt;0),'Supporting 1'!C27,IF(AND(D9&lt;&gt;0,D11&lt;&gt;0),'Supporting 2'!C24,IF(AND(D9&lt;&gt;0,D12&lt;&gt;0),'Supporting 3'!C19,IF(AND(D10&lt;&gt;0,D12&lt;&gt;0),'Supporting 4'!C16,IF(AND(D10&lt;&gt;0,D11&lt;&gt;0),'Supproting 5'!C21,IF(AND(D11&lt;&gt;0,D12&lt;&gt;0),'Supporting 6'!C13)))))))</f>
        <v>0.81166129226205841</v>
      </c>
      <c r="E19" s="849"/>
      <c r="K19" s="841"/>
      <c r="L19" s="841"/>
    </row>
    <row r="20" spans="1:12" s="853" customFormat="1" ht="15">
      <c r="B20" s="861" t="s">
        <v>1334</v>
      </c>
      <c r="C20" s="862">
        <f>IF(C9+C10+C11+C12=0,"-",1/C19)</f>
        <v>1.1633845232692348</v>
      </c>
      <c r="D20" s="862">
        <f>IF(D9+D10+D11+D12=0,"-",1/D19)</f>
        <v>1.2320410120988414</v>
      </c>
      <c r="E20" s="856"/>
      <c r="K20" s="841"/>
      <c r="L20" s="841"/>
    </row>
    <row r="21" spans="1:12" s="853" customFormat="1" ht="13">
      <c r="B21" s="863" t="s">
        <v>1330</v>
      </c>
      <c r="C21" s="864">
        <f>IF(C9+C10+C11+C12=0,"-",IF(AND(C9&lt;&gt;0,C10&lt;&gt;0),'Supporting 1'!A10,IF(AND(C9&lt;&gt;0,C11&lt;&gt;0),'Supporting 2'!A7,IF(AND(C9&lt;&gt;0,C12&lt;&gt;0),'Supporting 3'!A10,IF(AND(C10&lt;&gt;0,C12&lt;&gt;0),'Supporting 4'!A13,IF(AND(C10&lt;&gt;0,C11&lt;&gt;0),'Supproting 5'!A15,IF(AND(C11&lt;&gt;0,C12&lt;&gt;0),'Supporting 6'!A7)))))))</f>
        <v>1.1721348926261669E-2</v>
      </c>
      <c r="D21" s="864">
        <f>IF(D9+D10+D11+D12=0,"-",IF(AND(D9&lt;&gt;0,D10&lt;&gt;0),'Supporting 1'!C10,IF(AND(D9&lt;&gt;0,D11&lt;&gt;0),'Supporting 2'!C7,IF(AND(D9&lt;&gt;0,D12&lt;&gt;0),'Supporting 3'!C10,IF(AND(D10&lt;&gt;0,D12&lt;&gt;0),'Supporting 4'!C13,IF(AND(D10&lt;&gt;0,D11&lt;&gt;0),'Supproting 5'!C15,IF(AND(D11&lt;&gt;0,D12&lt;&gt;0),'Supporting 6'!C7)))))))</f>
        <v>7.2624475746325724E-3</v>
      </c>
      <c r="E21" s="849"/>
      <c r="K21" s="841"/>
      <c r="L21" s="841"/>
    </row>
    <row r="22" spans="1:12" s="853" customFormat="1" ht="13">
      <c r="B22" s="865" t="s">
        <v>1718</v>
      </c>
      <c r="C22" s="866">
        <f>IF(C9+C10+C11+C12=0,"-",IF(AND(C9&lt;&gt;0,C10&lt;&gt;0),'Supporting 1'!A30,IF(AND(C9&lt;&gt;0,C11&lt;&gt;0),'Supporting 2'!A27,IF(AND(C9&lt;&gt;0,C12&lt;&gt;0),'Supporting 3'!A22,IF(AND(C10&lt;&gt;0,C12&lt;&gt;0),'Supporting 4'!A19,IF(AND(C10&lt;&gt;0,C11&lt;&gt;0),'Supproting 5'!A24,IF(AND(C11&lt;&gt;0,C12&lt;&gt;0),'Supporting 6'!A16)))))))</f>
        <v>54.583156720953227</v>
      </c>
      <c r="D22" s="866">
        <f>IF(D9+D10+D11+D12=0,"-",IF(AND(D9&lt;&gt;0,D10&lt;&gt;0),'Supporting 1'!C30,IF(AND(D9&lt;&gt;0,D11&lt;&gt;0),'Supporting 2'!C27,IF(AND(D9&lt;&gt;0,D12&lt;&gt;0),'Supporting 3'!C22,IF(AND(D10&lt;&gt;0,D12&lt;&gt;0),'Supporting 4'!C19,IF(AND(D10&lt;&gt;0,D11&lt;&gt;0),'Supproting 5'!C24,IF(AND(D11&lt;&gt;0,D12&lt;&gt;0),'Supporting 6'!C16)))))))</f>
        <v>28.354468562878182</v>
      </c>
      <c r="E22" s="849"/>
      <c r="K22" s="841"/>
      <c r="L22" s="841"/>
    </row>
    <row r="23" spans="1:12">
      <c r="A23" s="853"/>
      <c r="B23" s="867"/>
      <c r="C23" s="868"/>
      <c r="D23" s="868"/>
      <c r="E23" s="869"/>
      <c r="F23" s="841"/>
      <c r="G23" s="841"/>
      <c r="H23" s="841"/>
      <c r="I23" s="841"/>
      <c r="J23" s="841"/>
      <c r="K23" s="841"/>
      <c r="L23" s="841"/>
    </row>
    <row r="24" spans="1:12" ht="12.75" customHeight="1">
      <c r="B24" s="2091" t="s">
        <v>1543</v>
      </c>
      <c r="C24" s="2091"/>
      <c r="D24" s="2091"/>
      <c r="E24" s="2091"/>
      <c r="K24" s="841"/>
      <c r="L24" s="841"/>
    </row>
    <row r="25" spans="1:12" ht="16" customHeight="1">
      <c r="B25" s="2092"/>
      <c r="C25" s="2092"/>
      <c r="D25" s="2092"/>
      <c r="E25" s="2092"/>
      <c r="K25" s="841"/>
      <c r="L25" s="841"/>
    </row>
    <row r="26" spans="1:12">
      <c r="E26" s="841"/>
      <c r="K26" s="841"/>
      <c r="L26" s="841"/>
    </row>
    <row r="27" spans="1:12">
      <c r="E27" s="841"/>
      <c r="K27" s="841"/>
      <c r="L27" s="841"/>
    </row>
    <row r="28" spans="1:12">
      <c r="E28" s="841"/>
      <c r="F28" s="841"/>
      <c r="G28" s="841"/>
      <c r="H28" s="841"/>
      <c r="I28" s="841"/>
      <c r="J28" s="841"/>
      <c r="K28" s="841"/>
      <c r="L28" s="841"/>
    </row>
    <row r="29" spans="1:12">
      <c r="E29" s="841"/>
      <c r="F29" s="841"/>
      <c r="G29" s="841"/>
      <c r="H29" s="841"/>
      <c r="I29" s="841"/>
      <c r="J29" s="841"/>
      <c r="K29" s="841"/>
      <c r="L29" s="841"/>
    </row>
    <row r="31" spans="1:12">
      <c r="F31" s="872"/>
      <c r="G31" s="872"/>
      <c r="H31" s="872"/>
      <c r="I31" s="872"/>
      <c r="J31" s="872"/>
    </row>
    <row r="32" spans="1:12">
      <c r="F32" s="873"/>
      <c r="G32" s="873"/>
      <c r="H32" s="873"/>
      <c r="I32" s="873"/>
      <c r="J32" s="873"/>
    </row>
    <row r="33" spans="6:10">
      <c r="F33" s="872"/>
      <c r="G33" s="872"/>
      <c r="H33" s="872"/>
      <c r="I33" s="872"/>
      <c r="J33" s="872"/>
    </row>
    <row r="34" spans="6:10">
      <c r="F34" s="874"/>
      <c r="G34" s="874"/>
      <c r="H34" s="874"/>
      <c r="I34" s="875"/>
      <c r="J34" s="876"/>
    </row>
    <row r="35" spans="6:10">
      <c r="F35" s="874"/>
      <c r="G35" s="874"/>
      <c r="H35" s="874"/>
      <c r="I35" s="875"/>
      <c r="J35" s="876"/>
    </row>
  </sheetData>
  <sheetProtection password="DFE4" sheet="1" objects="1" scenarios="1"/>
  <mergeCells count="2">
    <mergeCell ref="B2:E2"/>
    <mergeCell ref="B24:E25"/>
  </mergeCells>
  <phoneticPr fontId="11" type="noConversion"/>
  <pageMargins left="0.75" right="0.75" top="1" bottom="1" header="0.5" footer="0.5"/>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8916" r:id="rId4" name="Button 4">
              <controlPr defaultSize="0" autoFill="0" autoPict="0" macro="[0]!Home">
                <anchor moveWithCells="1">
                  <from>
                    <xdr:col>5</xdr:col>
                    <xdr:colOff>209550</xdr:colOff>
                    <xdr:row>4</xdr:row>
                    <xdr:rowOff>31750</xdr:rowOff>
                  </from>
                  <to>
                    <xdr:col>6</xdr:col>
                    <xdr:colOff>412750</xdr:colOff>
                    <xdr:row>6</xdr:row>
                    <xdr:rowOff>31750</xdr:rowOff>
                  </to>
                </anchor>
              </controlPr>
            </control>
          </mc:Choice>
        </mc:AlternateContent>
        <mc:AlternateContent xmlns:mc="http://schemas.openxmlformats.org/markup-compatibility/2006">
          <mc:Choice Requires="x14">
            <control shapeId="38922" r:id="rId5" name="Button 10">
              <controlPr defaultSize="0" autoFill="0" autoPict="0" macro="[0]!Clear3">
                <anchor moveWithCells="1">
                  <from>
                    <xdr:col>5</xdr:col>
                    <xdr:colOff>209550</xdr:colOff>
                    <xdr:row>6</xdr:row>
                    <xdr:rowOff>88900</xdr:rowOff>
                  </from>
                  <to>
                    <xdr:col>6</xdr:col>
                    <xdr:colOff>412750</xdr:colOff>
                    <xdr:row>8</xdr:row>
                    <xdr:rowOff>88900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D36"/>
  <sheetViews>
    <sheetView topLeftCell="A7" zoomScaleNormal="100" workbookViewId="0">
      <selection activeCell="G7" sqref="G7"/>
    </sheetView>
  </sheetViews>
  <sheetFormatPr defaultColWidth="10.26953125" defaultRowHeight="17"/>
  <cols>
    <col min="1" max="1" width="58.453125" style="21" customWidth="1"/>
    <col min="2" max="2" width="10.81640625" style="21" bestFit="1" customWidth="1"/>
    <col min="3" max="3" width="53.26953125" style="21" customWidth="1"/>
    <col min="4" max="16384" width="10.26953125" style="21"/>
  </cols>
  <sheetData>
    <row r="1" spans="1:4" ht="17.5">
      <c r="A1" s="23" t="s">
        <v>45</v>
      </c>
      <c r="B1" s="21">
        <f>273.15+'Psychrometric Chart'!C10</f>
        <v>292.34999999999997</v>
      </c>
      <c r="C1" s="23" t="s">
        <v>45</v>
      </c>
      <c r="D1" s="21">
        <f>273.15+'Psychrometric Chart'!D10</f>
        <v>282.75</v>
      </c>
    </row>
    <row r="2" spans="1:4">
      <c r="A2" s="20">
        <f>IF(B1&lt;273.16,-5674.5359/B1+6.3925247-0.009677843*B1,-5800.2206/B1+1.3914993-0.048640239*B1)</f>
        <v>-32.668462941754328</v>
      </c>
      <c r="C2" s="20">
        <f>IF(D1&lt;273.16,-5674.5359/D1+6.3925247-0.009677843*D1,-5800.2206/D1+1.3914993-0.048640239*D1)</f>
        <v>-32.875128984588635</v>
      </c>
    </row>
    <row r="3" spans="1:4">
      <c r="A3" s="21">
        <f>IF(B1&lt;273.16,0.00000062215701*POWER(B1,2)+0.0000000020747825*POWER(B1,3)-0.000000000000948402*POWER(B1,4)+4.1635019*LN(B1),0.000041764768*POWER(B1,2)-0.000000014452093*POWER(B1,3)+6.5459673*LN(B1))</f>
        <v>40.376148830308381</v>
      </c>
      <c r="C3" s="21">
        <f>IF(D1&lt;273.16,0.00000062215701*POWER(D1,2)+0.0000000020747825*POWER(D1,3)-0.000000000000948402*POWER(D1,4)+4.1635019*LN(D1),0.000041764768*POWER(D1,2)-0.000000014452093*POWER(D1,3)+6.5459673*LN(D1))</f>
        <v>39.961424906761906</v>
      </c>
    </row>
    <row r="4" spans="1:4">
      <c r="A4" s="21">
        <f>EXP(A2+A3)/1000</f>
        <v>2.2253865026126225</v>
      </c>
      <c r="C4" s="21">
        <f>EXP(C2+C3)/1000</f>
        <v>1.1954714700615636</v>
      </c>
    </row>
    <row r="6" spans="1:4">
      <c r="A6" s="23" t="s">
        <v>18</v>
      </c>
      <c r="C6" s="23" t="s">
        <v>18</v>
      </c>
    </row>
    <row r="7" spans="1:4">
      <c r="A7" s="21">
        <f>0.62198*(A4/('Psychrometric Chart'!$C$6-A4))</f>
        <v>1.3967217913836665E-2</v>
      </c>
      <c r="C7" s="21">
        <f>0.62198*(C4/('Psychrometric Chart'!$C$6-C4))</f>
        <v>7.4259746936346481E-3</v>
      </c>
    </row>
    <row r="9" spans="1:4">
      <c r="A9" s="23" t="s">
        <v>19</v>
      </c>
      <c r="C9" s="23" t="s">
        <v>19</v>
      </c>
    </row>
    <row r="10" spans="1:4">
      <c r="A10" s="21">
        <f>((2501-2.381*'Psychrometric Chart'!C10)*A7-('Psychrometric Chart'!C9-'Psychrometric Chart'!C10))/(2501+1.805*'Psychrometric Chart'!C9-4.186*'Psychrometric Chart'!C10)</f>
        <v>1.1721348926261669E-2</v>
      </c>
      <c r="C10" s="21">
        <f>((2501-2.381*'Psychrometric Chart'!D10)*C7-('Psychrometric Chart'!D9-'Psychrometric Chart'!D10))/(2501+1.805*'Psychrometric Chart'!D9-4.186*'Psychrometric Chart'!D10)</f>
        <v>7.2624475746325724E-3</v>
      </c>
    </row>
    <row r="12" spans="1:4" ht="19">
      <c r="A12" s="25" t="s">
        <v>46</v>
      </c>
      <c r="B12" s="21">
        <f>273.15+'Psychrometric Chart'!C9</f>
        <v>297.75</v>
      </c>
      <c r="C12" s="25" t="s">
        <v>46</v>
      </c>
      <c r="D12" s="21">
        <f>273.15+'Psychrometric Chart'!D9</f>
        <v>283.14999999999998</v>
      </c>
    </row>
    <row r="13" spans="1:4">
      <c r="A13" s="20">
        <f>IF(B12&lt;273.16,-5674.5359/B12+6.3925247-0.009677843*B12,-5800.2206/B12+1.3914993-0.048640239*B12)</f>
        <v>-32.571301803475862</v>
      </c>
      <c r="C13" s="20">
        <f>IF(D12&lt;273.16,-5674.5359/D12+6.3925247-0.009677843*D12,-5800.2206/D12+1.3914993-0.048640239*D12)</f>
        <v>-32.865605951518553</v>
      </c>
    </row>
    <row r="14" spans="1:4">
      <c r="A14" s="23">
        <f>IF(B12&lt;273.16,0.00000062215701*POWER(B12,2)+0.0000000020747825*POWER(B12,3)-0.000000000000948402*POWER(B12,4)+4.1635019*LN(B12),0.000041764768*POWER(B12,2)-0.000000014452093*POWER(B12,3)+6.5459673*LN(B12))</f>
        <v>40.608659349701526</v>
      </c>
      <c r="C14" s="23">
        <f>IF(D12&lt;273.16,0.00000062215701*POWER(D12,2)+0.0000000020747825*POWER(D12,3)-0.000000000000948402*POWER(D12,4)+4.1635019*LN(D12),0.000041764768*POWER(D12,2)-0.000000014452093*POWER(D12,3)+6.5459673*LN(D12))</f>
        <v>39.978744212857308</v>
      </c>
    </row>
    <row r="15" spans="1:4">
      <c r="A15" s="21">
        <f>EXP(A13+A14)/1000</f>
        <v>3.0944255009523975</v>
      </c>
      <c r="C15" s="21">
        <f>EXP(C13+C14)/1000</f>
        <v>1.2279952754407752</v>
      </c>
    </row>
    <row r="17" spans="1:3">
      <c r="A17" s="23" t="s">
        <v>20</v>
      </c>
      <c r="C17" s="23" t="s">
        <v>20</v>
      </c>
    </row>
    <row r="18" spans="1:3">
      <c r="A18" s="21">
        <f>0.62198*(A15/('Psychrometric Chart'!$C$6-A15))</f>
        <v>1.9593398317150561E-2</v>
      </c>
      <c r="C18" s="21">
        <f>0.62198*(C15/('Psychrometric Chart'!$C$6-C15))</f>
        <v>7.6304830850873065E-3</v>
      </c>
    </row>
    <row r="20" spans="1:3">
      <c r="A20" s="23" t="s">
        <v>21</v>
      </c>
      <c r="C20" s="23" t="s">
        <v>21</v>
      </c>
    </row>
    <row r="21" spans="1:3">
      <c r="A21" s="21">
        <f>A10/A18</f>
        <v>0.59822950243407735</v>
      </c>
      <c r="C21" s="21">
        <f>C10/C18</f>
        <v>0.95176773130209713</v>
      </c>
    </row>
    <row r="23" spans="1:3">
      <c r="A23" s="25" t="s">
        <v>47</v>
      </c>
      <c r="C23" s="25" t="s">
        <v>47</v>
      </c>
    </row>
    <row r="24" spans="1:3">
      <c r="A24" s="21">
        <f>A21/(1-(1-A21)*(A15/'Psychrometric Chart'!$C$6))*100</f>
        <v>60.56609087238499</v>
      </c>
      <c r="C24" s="21">
        <f>C21/(1-(1-C21)*(C15/'Psychrometric Chart'!$C$6))*100</f>
        <v>95.232440754695986</v>
      </c>
    </row>
    <row r="26" spans="1:3">
      <c r="A26" s="23" t="s">
        <v>22</v>
      </c>
      <c r="C26" s="23" t="s">
        <v>22</v>
      </c>
    </row>
    <row r="27" spans="1:3">
      <c r="A27" s="21">
        <f>(0.2871*('Psychrometric Chart'!C9+273.15)*(1+1.6078*A10))/'Psychrometric Chart'!$C$6</f>
        <v>0.85956103076727641</v>
      </c>
      <c r="C27" s="21">
        <f>(0.2871*('Psychrometric Chart'!D9+273.15)*(1+1.6078*C10))/'Psychrometric Chart'!$C$6</f>
        <v>0.81166129226205841</v>
      </c>
    </row>
    <row r="29" spans="1:3">
      <c r="A29" s="23" t="s">
        <v>23</v>
      </c>
      <c r="C29" s="23" t="s">
        <v>23</v>
      </c>
    </row>
    <row r="30" spans="1:3">
      <c r="A30" s="21">
        <f>1.006*'Psychrometric Chart'!C9+A10*(2501+1.805*'Psychrometric Chart'!C9)</f>
        <v>54.583156720953227</v>
      </c>
      <c r="C30" s="21">
        <f>1.006*'Psychrometric Chart'!D9+C10*(2501+1.805*'Psychrometric Chart'!D9)</f>
        <v>28.354468562878182</v>
      </c>
    </row>
    <row r="32" spans="1:3">
      <c r="A32" s="23" t="s">
        <v>24</v>
      </c>
      <c r="C32" s="23" t="s">
        <v>24</v>
      </c>
    </row>
    <row r="33" spans="1:3">
      <c r="A33" s="21">
        <f>'Psychrometric Chart'!$C$6*A10/(0.62198+A10)</f>
        <v>1.8741725608850837</v>
      </c>
      <c r="C33" s="21">
        <f>'Psychrometric Chart'!$C$6*C10/(0.62198+C10)</f>
        <v>1.1694498731546021</v>
      </c>
    </row>
    <row r="35" spans="1:3" ht="17.5">
      <c r="A35" s="23" t="s">
        <v>48</v>
      </c>
      <c r="C35" s="23" t="s">
        <v>48</v>
      </c>
    </row>
    <row r="36" spans="1:3">
      <c r="A36" s="21">
        <f>IF(A33&lt;0.6112,"n/a (&lt;0C)",6.54+14.526*LN(A33)+0.7389*POWER(LN(A33),2)+0.09486*POWER(LN(A33),3)+0.4569*POWER(A33,0.1984))</f>
        <v>16.49737944001108</v>
      </c>
      <c r="C36" s="21">
        <f>IF(C33&lt;0.6112,"n/a (&lt;0C)",6.54+14.526*LN(C33)+0.7389*POWER(LN(C33),2)+0.09486*POWER(LN(C33),3)+0.4569*POWER(C33,0.1984))</f>
        <v>9.3035859372805039</v>
      </c>
    </row>
  </sheetData>
  <phoneticPr fontId="11" type="noConversion"/>
  <pageMargins left="0.75" right="0.75" top="1" bottom="1" header="0.5" footer="0.5"/>
  <pageSetup paperSize="9"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D34"/>
  <sheetViews>
    <sheetView topLeftCell="A13" workbookViewId="0">
      <pane xSplit="21000" topLeftCell="C1"/>
      <selection activeCell="M13" sqref="M13"/>
      <selection pane="topRight" activeCell="M13" sqref="M13"/>
    </sheetView>
  </sheetViews>
  <sheetFormatPr defaultColWidth="10.26953125" defaultRowHeight="17"/>
  <cols>
    <col min="1" max="1" width="60.7265625" style="21" customWidth="1"/>
    <col min="2" max="2" width="10.26953125" style="21" customWidth="1"/>
    <col min="3" max="3" width="58.7265625" style="21" customWidth="1"/>
    <col min="4" max="16384" width="10.26953125" style="21"/>
  </cols>
  <sheetData>
    <row r="1" spans="1:4" ht="17.5">
      <c r="A1" s="23" t="s">
        <v>49</v>
      </c>
      <c r="B1" s="21">
        <f>273.15+'Psychrometric Chart'!C11</f>
        <v>273.14999999999998</v>
      </c>
      <c r="C1" s="23" t="s">
        <v>49</v>
      </c>
      <c r="D1" s="21">
        <f>273.15+'Psychrometric Chart'!D11</f>
        <v>273.14999999999998</v>
      </c>
    </row>
    <row r="2" spans="1:4">
      <c r="A2" s="20">
        <f>IF(B1&lt;273.16,-5674.5359/B1+6.3925247-0.009677843*B1,-5800.2206/B1+1.3914993-0.048640239*B1)</f>
        <v>-17.025409380322781</v>
      </c>
      <c r="C2" s="20">
        <f>IF(D1&lt;273.16,-5674.5359/D1+6.3925247-0.009677843*D1,-5800.2206/D1+1.3914993-0.048640239*D1)</f>
        <v>-17.025409380322781</v>
      </c>
    </row>
    <row r="3" spans="1:4">
      <c r="A3" s="21">
        <f>IF(B1&lt;273.16,0.00000062215701*POWER(B1,2)+0.0000000020747825*POWER(B1,3)-0.000000000000948402*POWER(B1,4)+4.1635019*LN(B1),0.000041764768*POWER(B1,2)-0.000000014452093*POWER(B1,3)+6.5459673*LN(B1))</f>
        <v>23.440757653659677</v>
      </c>
      <c r="C3" s="21">
        <f>IF(D1&lt;273.16,0.00000062215701*POWER(D1,2)+0.0000000020747825*POWER(D1,3)-0.000000000000948402*POWER(D1,4)+4.1635019*LN(D1),0.000041764768*POWER(D1,2)-0.000000014452093*POWER(D1,3)+6.5459673*LN(D1))</f>
        <v>23.440757653659677</v>
      </c>
    </row>
    <row r="4" spans="1:4">
      <c r="A4" s="21">
        <f>EXP(A2+A3)/1000</f>
        <v>0.61115357225163158</v>
      </c>
      <c r="C4" s="21">
        <f>EXP(C2+C3)/1000</f>
        <v>0.61115357225163158</v>
      </c>
    </row>
    <row r="6" spans="1:4">
      <c r="A6" s="23" t="s">
        <v>19</v>
      </c>
      <c r="C6" s="23" t="s">
        <v>19</v>
      </c>
    </row>
    <row r="7" spans="1:4">
      <c r="A7" s="21">
        <f>0.62198*(A4/('Psychrometric Chart'!$C$6-A4))</f>
        <v>3.7743102100838721E-3</v>
      </c>
      <c r="C7" s="21">
        <f>0.62198*(C4/('Psychrometric Chart'!$C$6-C4))</f>
        <v>3.7743102100838721E-3</v>
      </c>
    </row>
    <row r="9" spans="1:4" ht="17.5">
      <c r="A9" s="23" t="s">
        <v>50</v>
      </c>
      <c r="B9" s="21">
        <f>273.15+'Psychrometric Chart'!C9</f>
        <v>297.75</v>
      </c>
      <c r="C9" s="23" t="s">
        <v>50</v>
      </c>
      <c r="D9" s="21">
        <f>273.15+'Psychrometric Chart'!D9</f>
        <v>283.14999999999998</v>
      </c>
    </row>
    <row r="10" spans="1:4">
      <c r="A10" s="20">
        <f>IF(B9&lt;273.16,-5674.5359/B9+6.3925247-0.009677843*B9,-5800.2206/B9+1.3914993-0.048640239*B9)</f>
        <v>-32.571301803475862</v>
      </c>
      <c r="C10" s="20">
        <f>IF(D9&lt;273.16,-5674.5359/D9+6.3925247-0.009677843*D9,-5800.2206/D9+1.3914993-0.048640239*D9)</f>
        <v>-32.865605951518553</v>
      </c>
    </row>
    <row r="11" spans="1:4">
      <c r="A11" s="21">
        <f>IF(B9&lt;273.16,0.00000062215701*POWER(B9,2)+0.0000000020747825*POWER(B9,3)-0.000000000000948402*POWER(B9,4)+4.1635019*LN(B9),0.000041764768*POWER(B9,2)-0.000000014452093*POWER(B9,3)+6.5459673*LN(B9))</f>
        <v>40.608659349701526</v>
      </c>
      <c r="C11" s="21">
        <f>IF(D9&lt;273.16,0.00000062215701*POWER(D9,2)+0.0000000020747825*POWER(D9,3)-0.000000000000948402*POWER(D9,4)+4.1635019*LN(D9),0.000041764768*POWER(D9,2)-0.000000014452093*POWER(D9,3)+6.5459673*LN(D9))</f>
        <v>39.978744212857308</v>
      </c>
    </row>
    <row r="12" spans="1:4">
      <c r="A12" s="21">
        <f>EXP(A10+A11)/1000</f>
        <v>3.0944255009523975</v>
      </c>
      <c r="C12" s="21">
        <f>EXP(C10+C11)/1000</f>
        <v>1.2279952754407752</v>
      </c>
    </row>
    <row r="14" spans="1:4" ht="17.5">
      <c r="A14" s="23" t="s">
        <v>51</v>
      </c>
      <c r="C14" s="23" t="s">
        <v>51</v>
      </c>
    </row>
    <row r="15" spans="1:4">
      <c r="A15" s="21">
        <f>0.62198*(A12/('Psychrometric Chart'!$C$6-A12))</f>
        <v>1.9593398317150561E-2</v>
      </c>
      <c r="C15" s="21">
        <f>0.62198*(C12/('Psychrometric Chart'!$C$6-C12))</f>
        <v>7.6304830850873065E-3</v>
      </c>
    </row>
    <row r="17" spans="1:3">
      <c r="A17" s="23" t="s">
        <v>21</v>
      </c>
      <c r="C17" s="23" t="s">
        <v>21</v>
      </c>
    </row>
    <row r="18" spans="1:3">
      <c r="A18" s="21">
        <f>A7/A15</f>
        <v>0.19263172977911289</v>
      </c>
      <c r="C18" s="21">
        <f>C7/C15</f>
        <v>0.49463581374817861</v>
      </c>
    </row>
    <row r="20" spans="1:3">
      <c r="A20" s="25" t="s">
        <v>47</v>
      </c>
      <c r="C20" s="25" t="s">
        <v>47</v>
      </c>
    </row>
    <row r="21" spans="1:3">
      <c r="A21" s="21">
        <f>A18/(1-(1-A18)*(A12/'Psychrometric Chart'!$C$6))*100</f>
        <v>19.750146580149742</v>
      </c>
      <c r="C21" s="21">
        <f>C18/(1-(1-C18)*(C12/'Psychrometric Chart'!$C$6))*100</f>
        <v>49.768397686405166</v>
      </c>
    </row>
    <row r="23" spans="1:3">
      <c r="A23" s="23" t="s">
        <v>22</v>
      </c>
      <c r="C23" s="23" t="s">
        <v>22</v>
      </c>
    </row>
    <row r="24" spans="1:3">
      <c r="A24" s="21">
        <f>0.2871*('Psychrometric Chart'!C9+273.15)*(1+1.6078*A7)/'Psychrometric Chart'!$C$6</f>
        <v>0.84878135487344375</v>
      </c>
      <c r="C24" s="21">
        <f>0.2871*('Psychrometric Chart'!D9+273.15)*(1+1.6078*C7)/'Psychrometric Chart'!$C$6</f>
        <v>0.80716184931121948</v>
      </c>
    </row>
    <row r="26" spans="1:3">
      <c r="A26" s="23" t="s">
        <v>23</v>
      </c>
      <c r="C26" s="23" t="s">
        <v>23</v>
      </c>
    </row>
    <row r="27" spans="1:3">
      <c r="A27" s="21">
        <f>1.006*'Psychrometric Chart'!C9+A7*(2501+1.805*'Psychrometric Chart'!C9)</f>
        <v>34.354740531678118</v>
      </c>
      <c r="C27" s="21">
        <f>1.006*'Psychrometric Chart'!D9+C7*(2501+1.805*'Psychrometric Chart'!D9)</f>
        <v>19.567676134711782</v>
      </c>
    </row>
    <row r="29" spans="1:3" ht="19">
      <c r="A29" s="23" t="s">
        <v>52</v>
      </c>
      <c r="C29" s="23" t="s">
        <v>52</v>
      </c>
    </row>
    <row r="30" spans="1:3">
      <c r="A30" s="21">
        <f>IF('Supporting 2.1'!$H13=0,'Supporting 2.1'!$J13,IF(ABS('Supporting 2.1'!$I14-'Supporting 2.1'!$H14)&lt;0.00005,'Supporting 2.1'!$J14,IF(ABS('Supporting 2.1'!$I15-'Supporting 2.1'!$H15)&lt;0.00005,'Supporting 2.1'!$J15,IF(ABS('Supporting 2.1'!$I16-'Supporting 2.1'!$H16)&lt;0.00005,'Supporting 2.1'!$J16,IF(ABS('Supporting 2.1'!$I17-'Supporting 2.1'!$H17)&lt;0.00005,'Supporting 2.1'!$J17,IF(ABS('Supporting 2.1'!$I18-'Supporting 2.1'!$H18)&lt;0.00005,'Supporting 2.1'!$J18,IF(ABS('Supporting 2.1'!$I19-'Supporting 2.1'!$H19)&lt;0.00005,'Supporting 2.1'!$J19,IF('Supporting 2.1'!$I20-'Supporting 2.1'!$H20&lt;0.000005,'Supporting 2.1'!$J20))))))))</f>
        <v>12.176521530579878</v>
      </c>
      <c r="C30" s="21">
        <f>IF('Supporting 2.1'!$H30=0,'Supporting 2.1'!$J30,IF(ABS('Supporting 2.1'!$I31-'Supporting 2.1'!$H31)&lt;0.00005,'Supporting 2.1'!$J31,IF(ABS('Supporting 2.1'!$I32-'Supporting 2.1'!$H32)&lt;0.00005,'Supporting 2.1'!$J32,IF(ABS('Supporting 2.1'!$I33-'Supporting 2.1'!$H33)&lt;0.00005,'Supporting 2.1'!$J33,IF(ABS('Supporting 2.1'!$I34-'Supporting 2.1'!$H34)&lt;0.00005,'Supporting 2.1'!$J34,IF(ABS('Supporting 2.1'!$I35-'Supporting 2.1'!$H35)&lt;0.00005,'Supporting 2.1'!$J35,IF(ABS('Supporting 2.1'!$I36-'Supporting 2.1'!$H36)&lt;0.00005,'Supporting 2.1'!$J36,IF('Supporting 2.1'!$I37-'Supporting 2.1'!$H37&lt;0.000005,'Supporting 2.1'!$J37))))))))</f>
        <v>0.81261057127385983</v>
      </c>
    </row>
    <row r="34" spans="1:1">
      <c r="A34" s="23"/>
    </row>
  </sheetData>
  <phoneticPr fontId="11" type="noConversion"/>
  <pageMargins left="0.75" right="0.75" top="1" bottom="1" header="0.5" footer="0.5"/>
  <headerFooter alignWithMargins="0"/>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J41"/>
  <sheetViews>
    <sheetView topLeftCell="B16" zoomScale="75" workbookViewId="0">
      <selection activeCell="M13" sqref="M13"/>
    </sheetView>
  </sheetViews>
  <sheetFormatPr defaultColWidth="10.26953125" defaultRowHeight="17"/>
  <cols>
    <col min="1" max="1" width="66" style="21" customWidth="1"/>
    <col min="2" max="3" width="10.54296875" style="21" bestFit="1" customWidth="1"/>
    <col min="4" max="4" width="14.453125" style="21" bestFit="1" customWidth="1"/>
    <col min="5" max="5" width="13.81640625" style="21" customWidth="1"/>
    <col min="6" max="6" width="11.453125" style="21" bestFit="1" customWidth="1"/>
    <col min="7" max="7" width="10.26953125" style="21" customWidth="1"/>
    <col min="8" max="8" width="11.453125" style="21" bestFit="1" customWidth="1"/>
    <col min="9" max="16384" width="10.26953125" style="21"/>
  </cols>
  <sheetData>
    <row r="1" spans="1:10" ht="78">
      <c r="A1" s="26" t="s">
        <v>25</v>
      </c>
    </row>
    <row r="2" spans="1:10">
      <c r="A2" s="20" t="s">
        <v>26</v>
      </c>
    </row>
    <row r="3" spans="1:10" ht="20.5" customHeight="1">
      <c r="A3" s="20" t="s">
        <v>363</v>
      </c>
    </row>
    <row r="5" spans="1:10">
      <c r="A5" s="20" t="s">
        <v>27</v>
      </c>
    </row>
    <row r="6" spans="1:10">
      <c r="A6" s="20" t="s">
        <v>364</v>
      </c>
    </row>
    <row r="7" spans="1:10">
      <c r="A7" s="20" t="s">
        <v>53</v>
      </c>
    </row>
    <row r="8" spans="1:10">
      <c r="A8" s="27" t="s">
        <v>28</v>
      </c>
    </row>
    <row r="9" spans="1:10">
      <c r="A9" s="20" t="s">
        <v>54</v>
      </c>
    </row>
    <row r="10" spans="1:10">
      <c r="A10" s="20" t="s">
        <v>55</v>
      </c>
    </row>
    <row r="11" spans="1:10" ht="18">
      <c r="A11" s="28" t="s">
        <v>29</v>
      </c>
    </row>
    <row r="12" spans="1:10" ht="18">
      <c r="A12" s="29" t="s">
        <v>30</v>
      </c>
      <c r="B12" s="29" t="s">
        <v>56</v>
      </c>
      <c r="C12" s="29" t="s">
        <v>57</v>
      </c>
      <c r="D12" s="29" t="s">
        <v>58</v>
      </c>
      <c r="E12" s="29" t="s">
        <v>59</v>
      </c>
      <c r="F12" s="29" t="s">
        <v>60</v>
      </c>
      <c r="G12" s="29" t="s">
        <v>61</v>
      </c>
      <c r="H12" s="29" t="s">
        <v>62</v>
      </c>
      <c r="I12" s="29" t="s">
        <v>63</v>
      </c>
      <c r="J12" s="29" t="s">
        <v>64</v>
      </c>
    </row>
    <row r="13" spans="1:10">
      <c r="A13" s="30">
        <v>1</v>
      </c>
      <c r="B13" s="30">
        <v>0</v>
      </c>
      <c r="C13" s="30">
        <v>50</v>
      </c>
      <c r="D13" s="24">
        <f t="shared" ref="D13:D24" si="0">IF(273.15+C13&lt;273.16,EXP(-5674.5359/273.15+C13+6.3925247-0.009677843*273.15+C13+0.00000062215701*POWER(273.15+C13,2)+0.0000000020747825*POWER(273.15+C13,3)-0.000000000000948402*POWER(273.15+C13,4)+4.1635019*LN(273.15+C13))/1000,EXP(-5800.2206/(273.15+C13)+1.3914993-0.048640239*(273.15+C13)+0.000041764768*POWER((273.15+C13),2)-0.000000014452093*POWER((273.15+C13),3)+6.5459673*LN(273.15+C13))/1000)</f>
        <v>12.349856466723748</v>
      </c>
      <c r="E13" s="24">
        <f t="shared" ref="E13:E24" si="1">IF(273.15+B13&lt;273.16,EXP(-5674.5359/273.15+B13+6.3925247-0.009677843*273.15+B13+0.00000062215701*POWER(273.15+B13,2)+0.0000000020747825*POWER(273.15+B13,3)-0.000000000000948402*POWER(273.15+B13,4)+4.1635019*LN(273.15+B13))/1000,EXP(-5800.2206/(273.15+B13)+1.3914993-0.048640239*(273.15+B13)+0.000041764768*POWER((273.15+B13),2)-0.000000014452093*POWER((273.15+B13),3)+6.5459673*LN(273.15+B13))/1000)</f>
        <v>0.61115357225163369</v>
      </c>
      <c r="F13" s="20">
        <f>0.62198*(D13/('Psychrometric Chart'!$C$6-D13))</f>
        <v>8.6331568797076971E-2</v>
      </c>
      <c r="G13" s="20">
        <f>0.62198*(E13/('Psychrometric Chart'!$C$6-E13))</f>
        <v>3.7743102100838855E-3</v>
      </c>
      <c r="H13" s="21">
        <f>((2501-2.381*C13)*F13-('Psychrometric Chart'!C9-C13))/(2501+1.805*'Psychrometric Chart'!C9-4.186*C13)-'Supporting 2'!A7</f>
        <v>9.5124360052399215E-2</v>
      </c>
      <c r="I13" s="21">
        <f>((2501-2.381*B13)*G13-('Psychrometric Chart'!C9-B13))/(2501+1.805*'Psychrometric Chart'!C9-4.186*B13)-'Supporting 2'!A7</f>
        <v>-9.7303219554067955E-3</v>
      </c>
      <c r="J13" s="21">
        <f t="shared" ref="J13:J24" si="2">IF(H13=I13,C13,C13-(C13-B13)*H13/(H13-I13))</f>
        <v>4.6399081896421208</v>
      </c>
    </row>
    <row r="14" spans="1:10">
      <c r="A14" s="30">
        <v>2</v>
      </c>
      <c r="B14" s="30">
        <f t="shared" ref="B14:B24" si="3">C13</f>
        <v>50</v>
      </c>
      <c r="C14" s="30">
        <f t="shared" ref="C14:C24" si="4">J13:J13</f>
        <v>4.6399081896421208</v>
      </c>
      <c r="D14" s="24">
        <f t="shared" si="0"/>
        <v>0.85081684530644341</v>
      </c>
      <c r="E14" s="24">
        <f t="shared" si="1"/>
        <v>12.349856466723748</v>
      </c>
      <c r="F14" s="20">
        <f>0.62198*(D14/('Psychrometric Chart'!C6-D14))</f>
        <v>5.2669356926140984E-3</v>
      </c>
      <c r="G14" s="20">
        <f>0.62198*(E14/('Psychrometric Chart'!C6-E14))</f>
        <v>8.6331568797076971E-2</v>
      </c>
      <c r="H14" s="21">
        <f>((2501-2.381*C14)*F14-('Psychrometric Chart'!C9-C14))/(2501+1.805*'Psychrometric Chart'!C9-4.186*C14)-'Supporting 2'!A7</f>
        <v>-6.4844155242428387E-3</v>
      </c>
      <c r="I14" s="21">
        <f>((2501-2.381*B14)*G14-('Psychrometric Chart'!C9-B14))/(2501+1.805*'Psychrometric Chart'!C9-4.186*B14)-'Supporting 2'!A7</f>
        <v>9.5124360052399215E-2</v>
      </c>
      <c r="J14" s="21">
        <f t="shared" si="2"/>
        <v>7.5346747277380768</v>
      </c>
    </row>
    <row r="15" spans="1:10">
      <c r="A15" s="30">
        <v>3</v>
      </c>
      <c r="B15" s="30">
        <f t="shared" si="3"/>
        <v>4.6399081896421208</v>
      </c>
      <c r="C15" s="30">
        <f t="shared" si="4"/>
        <v>7.5346747277380768</v>
      </c>
      <c r="D15" s="24">
        <f t="shared" si="0"/>
        <v>1.0393256610205679</v>
      </c>
      <c r="E15" s="24">
        <f t="shared" si="1"/>
        <v>0.85081684530644341</v>
      </c>
      <c r="F15" s="20">
        <f>0.62198*(D15/('Psychrometric Chart'!C6-D15))</f>
        <v>6.4459832264428616E-3</v>
      </c>
      <c r="G15" s="20">
        <f>0.62198*(E15/('Psychrometric Chart'!C6-E15))</f>
        <v>5.2669356926140984E-3</v>
      </c>
      <c r="H15" s="21">
        <f>((2501-2.381*C15)*F15-('Psychrometric Chart'!C9-C15))/(2501+1.805*'Psychrometric Chart'!C9-4.186*C15)-'Supporting 2'!A7</f>
        <v>-4.1957980217578687E-3</v>
      </c>
      <c r="I15" s="21">
        <f>((2501-2.381*B15)*G15-('Psychrometric Chart'!C9-B15))/(2501+1.805*'Psychrometric Chart'!C9-4.186*B15)-'Supporting 2'!A7</f>
        <v>-6.4844155242428387E-3</v>
      </c>
      <c r="J15" s="21">
        <f t="shared" si="2"/>
        <v>12.84174578736511</v>
      </c>
    </row>
    <row r="16" spans="1:10">
      <c r="A16" s="30">
        <v>4</v>
      </c>
      <c r="B16" s="30">
        <f t="shared" si="3"/>
        <v>7.5346747277380768</v>
      </c>
      <c r="C16" s="30">
        <f t="shared" si="4"/>
        <v>12.84174578736511</v>
      </c>
      <c r="D16" s="24">
        <f t="shared" si="0"/>
        <v>1.4823734569901166</v>
      </c>
      <c r="E16" s="24">
        <f t="shared" si="1"/>
        <v>1.0393256610205679</v>
      </c>
      <c r="F16" s="20">
        <f>0.62198*(D16/('Psychrometric Chart'!C6-D16))</f>
        <v>9.2345992358437573E-3</v>
      </c>
      <c r="G16" s="20">
        <f>0.62198*(E16/('Psychrometric Chart'!C6-E16))</f>
        <v>6.4459832264428616E-3</v>
      </c>
      <c r="H16" s="21">
        <f>((2501-2.381*C16)*F16-('Psychrometric Chart'!C9-C16))/(2501+1.805*'Psychrometric Chart'!C9-4.186*C16)-'Supporting 2'!A7</f>
        <v>6.6256128386635174E-4</v>
      </c>
      <c r="I16" s="21">
        <f>((2501-2.381*B16)*G16-('Psychrometric Chart'!C9-B16))/(2501+1.805*'Psychrometric Chart'!C9-4.186*B16)-'Supporting 2'!A7</f>
        <v>-4.1957980217578687E-3</v>
      </c>
      <c r="J16" s="21">
        <f t="shared" si="2"/>
        <v>12.117991204050144</v>
      </c>
    </row>
    <row r="17" spans="1:10">
      <c r="A17" s="30">
        <v>5</v>
      </c>
      <c r="B17" s="30">
        <f t="shared" si="3"/>
        <v>12.84174578736511</v>
      </c>
      <c r="C17" s="30">
        <f t="shared" si="4"/>
        <v>12.117991204050144</v>
      </c>
      <c r="D17" s="24">
        <f t="shared" si="0"/>
        <v>1.4135417841273936</v>
      </c>
      <c r="E17" s="24">
        <f t="shared" si="1"/>
        <v>1.4823734569901166</v>
      </c>
      <c r="F17" s="20">
        <f>0.62198*(D17/('Psychrometric Chart'!C6-D17))</f>
        <v>8.7997386345010972E-3</v>
      </c>
      <c r="G17" s="20">
        <f>0.62198*(E17/('Psychrometric Chart'!C6-E17))</f>
        <v>9.2345992358437573E-3</v>
      </c>
      <c r="H17" s="21">
        <f>((2501-2.381*C17)*F17-('Psychrometric Chart'!C9-C17))/(2501+1.805*'Psychrometric Chart'!C9-4.186*C17)-'Supporting 2'!A7</f>
        <v>-5.7500821985527212E-5</v>
      </c>
      <c r="I17" s="21">
        <f>((2501-2.381*B17)*G17-('Psychrometric Chart'!C9-B17))/(2501+1.805*'Psychrometric Chart'!C9-4.186*B17)-'Supporting 2'!A7</f>
        <v>6.6256128386635174E-4</v>
      </c>
      <c r="J17" s="21">
        <f t="shared" si="2"/>
        <v>12.175786890169702</v>
      </c>
    </row>
    <row r="18" spans="1:10">
      <c r="A18" s="30">
        <v>6</v>
      </c>
      <c r="B18" s="30">
        <f t="shared" si="3"/>
        <v>12.117991204050144</v>
      </c>
      <c r="C18" s="30">
        <f t="shared" si="4"/>
        <v>12.175786890169702</v>
      </c>
      <c r="D18" s="24">
        <f t="shared" si="0"/>
        <v>1.4189331250404706</v>
      </c>
      <c r="E18" s="24">
        <f t="shared" si="1"/>
        <v>1.4135417841273936</v>
      </c>
      <c r="F18" s="20">
        <f>0.62198*(D18/('Psychrometric Chart'!C6-D18))</f>
        <v>8.8337780949504473E-3</v>
      </c>
      <c r="G18" s="20">
        <f>0.62198*(E18/('Psychrometric Chart'!C6-E18))</f>
        <v>8.7997386345010972E-3</v>
      </c>
      <c r="H18" s="21">
        <f>((2501-2.381*C18)*F18-('Psychrometric Chart'!C9-C18))/(2501+1.805*'Psychrometric Chart'!C9-4.186*C18)-'Supporting 2'!A7</f>
        <v>-7.2250641047245934E-7</v>
      </c>
      <c r="I18" s="21">
        <f>((2501-2.381*B18)*G18-('Psychrometric Chart'!C9-B18))/(2501+1.805*'Psychrometric Chart'!C9-4.186*B18)-'Supporting 2'!A7</f>
        <v>-5.7500821985527212E-5</v>
      </c>
      <c r="J18" s="21">
        <f t="shared" si="2"/>
        <v>12.176522342662368</v>
      </c>
    </row>
    <row r="19" spans="1:10">
      <c r="A19" s="30">
        <v>7</v>
      </c>
      <c r="B19" s="30">
        <f t="shared" si="3"/>
        <v>12.175786890169702</v>
      </c>
      <c r="C19" s="30">
        <f t="shared" si="4"/>
        <v>12.176522342662368</v>
      </c>
      <c r="D19" s="24">
        <f t="shared" si="0"/>
        <v>1.4190018464908734</v>
      </c>
      <c r="E19" s="24">
        <f t="shared" si="1"/>
        <v>1.4189331250404706</v>
      </c>
      <c r="F19" s="20">
        <f>0.62198*(D19/('Psychrometric Chart'!C6-D19))</f>
        <v>8.8342120072136335E-3</v>
      </c>
      <c r="G19" s="20">
        <f>0.62198*(E19/('Psychrometric Chart'!C6-E19))</f>
        <v>8.8337780949504473E-3</v>
      </c>
      <c r="H19" s="21">
        <f>((2501-2.381*C19)*F19-('Psychrometric Chart'!C9-C19))/(2501+1.805*'Psychrometric Chart'!C9-4.186*C19)-'Supporting 2'!A7</f>
        <v>7.9866938540104626E-10</v>
      </c>
      <c r="I19" s="21">
        <f>((2501-2.381*B19)*G19-('Psychrometric Chart'!C9-B19))/(2501+1.805*'Psychrometric Chart'!C9-4.186*B19)-'Supporting 2'!A7</f>
        <v>-7.2250641047245934E-7</v>
      </c>
      <c r="J19" s="21">
        <f t="shared" si="2"/>
        <v>12.176521530579878</v>
      </c>
    </row>
    <row r="20" spans="1:10">
      <c r="A20" s="30">
        <v>8</v>
      </c>
      <c r="B20" s="30">
        <f t="shared" si="3"/>
        <v>12.176522342662368</v>
      </c>
      <c r="C20" s="30">
        <f t="shared" si="4"/>
        <v>12.176521530579878</v>
      </c>
      <c r="D20" s="24">
        <f t="shared" si="0"/>
        <v>1.4190017706074143</v>
      </c>
      <c r="E20" s="24">
        <f t="shared" si="1"/>
        <v>1.4190018464908734</v>
      </c>
      <c r="F20" s="20">
        <f>0.62198*(D20/('Psychrometric Chart'!C6-D20))</f>
        <v>8.8342115280795937E-3</v>
      </c>
      <c r="G20" s="20">
        <f>0.62198*(E20/('Psychrometric Chart'!C6-E20))</f>
        <v>8.8342120072136335E-3</v>
      </c>
      <c r="H20" s="21">
        <f>((2501-2.381*C20)*F20-('Psychrometric Chart'!C9-C20))/(2501+1.805*'Psychrometric Chart'!C9-4.186*C20)-'Supporting 2'!A7</f>
        <v>-1.112131220448731E-14</v>
      </c>
      <c r="I20" s="21">
        <f>((2501-2.381*B20)*G20-('Psychrometric Chart'!C9-B20))/(2501+1.805*'Psychrometric Chart'!C9-4.186*B20)-'Supporting 2'!A7</f>
        <v>7.9866938540104626E-10</v>
      </c>
      <c r="J20" s="21">
        <f t="shared" si="2"/>
        <v>12.176521530591186</v>
      </c>
    </row>
    <row r="21" spans="1:10">
      <c r="A21" s="30">
        <v>9</v>
      </c>
      <c r="B21" s="30">
        <f t="shared" si="3"/>
        <v>12.176521530579878</v>
      </c>
      <c r="C21" s="30">
        <f t="shared" si="4"/>
        <v>12.176521530591186</v>
      </c>
      <c r="D21" s="24">
        <f t="shared" si="0"/>
        <v>1.4190017706084679</v>
      </c>
      <c r="E21" s="24">
        <f t="shared" si="1"/>
        <v>1.4190017706074143</v>
      </c>
      <c r="F21" s="20">
        <f>0.62198*(D21/('Psychrometric Chart'!C6-D21))</f>
        <v>8.8342115280862464E-3</v>
      </c>
      <c r="G21" s="20">
        <f>0.62198*(E21/('Psychrometric Chart'!C6-E21))</f>
        <v>8.8342115280795937E-3</v>
      </c>
      <c r="H21" s="21">
        <f>((2501-2.381*C21)*F21-('Psychrometric Chart'!C9-C21))/(2501+1.805*'Psychrometric Chart'!C9-4.186*C21)-'Supporting 2'!A7</f>
        <v>-1.951563910473908E-17</v>
      </c>
      <c r="I21" s="21">
        <f>((2501-2.381*B21)*G21-('Psychrometric Chart'!C9-B21))/(2501+1.805*'Psychrometric Chart'!C9-4.186*B21)-'Supporting 2'!A7</f>
        <v>-1.112131220448731E-14</v>
      </c>
      <c r="J21" s="21">
        <f t="shared" si="2"/>
        <v>12.176521530591206</v>
      </c>
    </row>
    <row r="22" spans="1:10">
      <c r="A22" s="30">
        <v>10</v>
      </c>
      <c r="B22" s="30">
        <f t="shared" si="3"/>
        <v>12.176521530591186</v>
      </c>
      <c r="C22" s="30">
        <f t="shared" si="4"/>
        <v>12.176521530591206</v>
      </c>
      <c r="D22" s="24">
        <f t="shared" si="0"/>
        <v>1.4190017706084679</v>
      </c>
      <c r="E22" s="24">
        <f t="shared" si="1"/>
        <v>1.4190017706084679</v>
      </c>
      <c r="F22" s="20">
        <f>0.62198*(D22/('Psychrometric Chart'!C6-D22))</f>
        <v>8.8342115280862464E-3</v>
      </c>
      <c r="G22" s="20">
        <f>0.62198*(E22/('Psychrometric Chart'!C6-E22))</f>
        <v>8.8342115280862464E-3</v>
      </c>
      <c r="H22" s="21">
        <f>((2501-2.381*C22)*F22-('Psychrometric Chart'!C9-C22))/(2501+1.805*'Psychrometric Chart'!C9-4.186*C22)-'Supporting 2'!A7</f>
        <v>-1.1709383462843448E-17</v>
      </c>
      <c r="I22" s="21">
        <f>((2501-2.381*B22)*G22-('Psychrometric Chart'!C9-B22))/(2501+1.805*'Psychrometric Chart'!C9-4.186*B22)-'Supporting 2'!A7</f>
        <v>-1.951563910473908E-17</v>
      </c>
      <c r="J22" s="21">
        <f t="shared" si="2"/>
        <v>12.176521530591234</v>
      </c>
    </row>
    <row r="23" spans="1:10">
      <c r="A23" s="30">
        <v>11</v>
      </c>
      <c r="B23" s="30">
        <f t="shared" si="3"/>
        <v>12.176521530591206</v>
      </c>
      <c r="C23" s="30">
        <f t="shared" si="4"/>
        <v>12.176521530591234</v>
      </c>
      <c r="D23" s="24">
        <f t="shared" si="0"/>
        <v>1.4190017706084679</v>
      </c>
      <c r="E23" s="24">
        <f t="shared" si="1"/>
        <v>1.4190017706084679</v>
      </c>
      <c r="F23" s="20">
        <f>0.62198*(D23/('Psychrometric Chart'!C6-D23))</f>
        <v>8.8342115280862464E-3</v>
      </c>
      <c r="G23" s="20">
        <f>0.62198*(E23/('Psychrometric Chart'!C6-E23))</f>
        <v>8.8342115280862464E-3</v>
      </c>
      <c r="H23" s="21">
        <f>((2501-2.381*C23)*F23-('Psychrometric Chart'!C9-C23))/(2501+1.805*'Psychrometric Chart'!C9-4.186*C23)-'Supporting 2'!A7</f>
        <v>0</v>
      </c>
      <c r="I23" s="21">
        <f>((2501-2.381*B23)*G23-('Psychrometric Chart'!C9-B23))/(2501+1.805*'Psychrometric Chart'!C9-4.186*B23)-'Supporting 2'!A7</f>
        <v>-1.1709383462843448E-17</v>
      </c>
      <c r="J23" s="21">
        <f t="shared" si="2"/>
        <v>12.176521530591234</v>
      </c>
    </row>
    <row r="24" spans="1:10">
      <c r="A24" s="30">
        <v>12</v>
      </c>
      <c r="B24" s="30">
        <f t="shared" si="3"/>
        <v>12.176521530591234</v>
      </c>
      <c r="C24" s="30">
        <f t="shared" si="4"/>
        <v>12.176521530591234</v>
      </c>
      <c r="D24" s="24">
        <f t="shared" si="0"/>
        <v>1.4190017706084679</v>
      </c>
      <c r="E24" s="24">
        <f t="shared" si="1"/>
        <v>1.4190017706084679</v>
      </c>
      <c r="F24" s="20">
        <f>0.62198*(D24/('Psychrometric Chart'!C6-D24))</f>
        <v>8.8342115280862464E-3</v>
      </c>
      <c r="G24" s="20">
        <f>0.62198*(E24/('Psychrometric Chart'!C6-E24))</f>
        <v>8.8342115280862464E-3</v>
      </c>
      <c r="H24" s="21">
        <f>((2501-2.381*C24)*F24-('Psychrometric Chart'!C9-C24))/(2501+1.805*'Psychrometric Chart'!C9-4.186*C24)-'Supporting 2'!A7</f>
        <v>0</v>
      </c>
      <c r="I24" s="21">
        <f>((2501-2.381*B24)*G24-('Psychrometric Chart'!C9-B24))/(2501+1.805*'Psychrometric Chart'!C9-4.186*B24)-'Supporting 2'!A7</f>
        <v>0</v>
      </c>
      <c r="J24" s="21">
        <f t="shared" si="2"/>
        <v>12.176521530591234</v>
      </c>
    </row>
    <row r="28" spans="1:10" ht="18">
      <c r="A28" s="28" t="s">
        <v>29</v>
      </c>
    </row>
    <row r="29" spans="1:10" ht="18">
      <c r="A29" s="29" t="s">
        <v>30</v>
      </c>
      <c r="B29" s="29" t="s">
        <v>56</v>
      </c>
      <c r="C29" s="29" t="s">
        <v>57</v>
      </c>
      <c r="D29" s="29" t="s">
        <v>58</v>
      </c>
      <c r="E29" s="29" t="s">
        <v>59</v>
      </c>
      <c r="F29" s="29" t="s">
        <v>60</v>
      </c>
      <c r="G29" s="29" t="s">
        <v>61</v>
      </c>
      <c r="H29" s="29" t="s">
        <v>62</v>
      </c>
      <c r="I29" s="29" t="s">
        <v>63</v>
      </c>
      <c r="J29" s="29" t="s">
        <v>64</v>
      </c>
    </row>
    <row r="30" spans="1:10">
      <c r="A30" s="30">
        <v>1</v>
      </c>
      <c r="B30" s="30">
        <v>0</v>
      </c>
      <c r="C30" s="30">
        <v>50</v>
      </c>
      <c r="D30" s="24">
        <f t="shared" ref="D30:D41" si="5">IF(273.15+C30&lt;273.16,EXP(-5674.5359/273.15+C30+6.3925247-0.009677843*273.15+C30+0.00000062215701*POWER(273.15+C30,2)+0.0000000020747825*POWER(273.15+C30,3)-0.000000000000948402*POWER(273.15+C30,4)+4.1635019*LN(273.15+C30))/1000,EXP(-5800.2206/(273.15+C30)+1.3914993-0.048640239*(273.15+C30)+0.000041764768*POWER((273.15+C30),2)-0.000000014452093*POWER((273.15+C30),3)+6.5459673*LN(273.15+C30))/1000)</f>
        <v>12.349856466723748</v>
      </c>
      <c r="E30" s="24">
        <f t="shared" ref="E30:E41" si="6">IF(273.15+B30&lt;273.16,EXP(-5674.5359/273.15+B30+6.3925247-0.009677843*273.15+B30+0.00000062215701*POWER(273.15+B30,2)+0.0000000020747825*POWER(273.15+B30,3)-0.000000000000948402*POWER(273.15+B30,4)+4.1635019*LN(273.15+B30))/1000,EXP(-5800.2206/(273.15+B30)+1.3914993-0.048640239*(273.15+B30)+0.000041764768*POWER((273.15+B30),2)-0.000000014452093*POWER((273.15+B30),3)+6.5459673*LN(273.15+B30))/1000)</f>
        <v>0.61115357225163369</v>
      </c>
      <c r="F30" s="20">
        <f>0.62198*(D30/('Psychrometric Chart'!$C$6-D30))</f>
        <v>8.6331568797076971E-2</v>
      </c>
      <c r="G30" s="20">
        <f>0.62198*(E30/('Psychrometric Chart'!$C$6-E30))</f>
        <v>3.7743102100838855E-3</v>
      </c>
      <c r="H30" s="21">
        <f>((2501-2.381*C30)*F30-('Psychrometric Chart'!$D$9-C30))/(2501+1.805*'Psychrometric Chart'!$D$9-4.186*C30)-'Supporting 2'!$C$7</f>
        <v>0.102573770879297</v>
      </c>
      <c r="I30" s="21">
        <f>((2501-2.381*B30)*G30-('Psychrometric Chart'!$D$9-B30))/(2501+1.805*'Psychrometric Chart'!$D$9-4.186*B30)-'Supporting 2'!$C$7</f>
        <v>-3.9967949422567957E-3</v>
      </c>
      <c r="J30" s="21">
        <f t="shared" ref="J30:J41" si="7">IF(H30=I30,C30,C30-(C30-B30)*H30/(H30-I30))</f>
        <v>1.8751870703910853</v>
      </c>
    </row>
    <row r="31" spans="1:10">
      <c r="A31" s="30">
        <v>2</v>
      </c>
      <c r="B31" s="30">
        <f t="shared" ref="B31:B41" si="8">C30</f>
        <v>50</v>
      </c>
      <c r="C31" s="30">
        <f t="shared" ref="C31:C41" si="9">J30:J30</f>
        <v>1.8751870703910853</v>
      </c>
      <c r="D31" s="24">
        <f t="shared" si="5"/>
        <v>0.69968235451592475</v>
      </c>
      <c r="E31" s="24">
        <f t="shared" si="6"/>
        <v>12.349856466723748</v>
      </c>
      <c r="F31" s="20">
        <f>0.62198*(D31/('Psychrometric Chart'!C22-D31))</f>
        <v>8.0764730927017411E-3</v>
      </c>
      <c r="G31" s="20">
        <f>0.62198*(E31/('Psychrometric Chart'!C22-E31))</f>
        <v>0.18187931511233443</v>
      </c>
      <c r="H31" s="21">
        <f>((2501-2.381*C31)*F31-('Psychrometric Chart'!$D$9-C31))/(2501+1.805*'Psychrometric Chart'!$D$9-4.186*C31)-'Supporting 2'!$C$7</f>
        <v>1.0195668347244961E-3</v>
      </c>
      <c r="I31" s="21">
        <f>((2501-2.381*B31)*G31-('Psychrometric Chart'!$D$9-B31))/(2501+1.805*'Psychrometric Chart'!$D$9-4.186*B31)-'Supporting 2'!$C$7</f>
        <v>0.20110822453689089</v>
      </c>
      <c r="J31" s="21">
        <f t="shared" si="7"/>
        <v>1.6299634592487402</v>
      </c>
    </row>
    <row r="32" spans="1:10">
      <c r="A32" s="30">
        <v>3</v>
      </c>
      <c r="B32" s="30">
        <f t="shared" si="8"/>
        <v>1.8751870703910853</v>
      </c>
      <c r="C32" s="30">
        <f t="shared" si="9"/>
        <v>1.6299634592487402</v>
      </c>
      <c r="D32" s="24">
        <f t="shared" si="5"/>
        <v>0.68750299118638392</v>
      </c>
      <c r="E32" s="24">
        <f t="shared" si="6"/>
        <v>0.69968235451592475</v>
      </c>
      <c r="F32" s="20">
        <f>0.62198*(D32/('Psychrometric Chart'!C22-D32))</f>
        <v>7.9340926561937992E-3</v>
      </c>
      <c r="G32" s="20">
        <f>0.62198*(E32/('Psychrometric Chart'!C22-E32))</f>
        <v>8.0764730927017411E-3</v>
      </c>
      <c r="H32" s="21">
        <f>((2501-2.381*C32)*F32-('Psychrometric Chart'!$D$9-C32))/(2501+1.805*'Psychrometric Chart'!$D$9-4.186*C32)-'Supporting 2'!$C$7</f>
        <v>7.8034888490312359E-4</v>
      </c>
      <c r="I32" s="21">
        <f>((2501-2.381*B32)*G32-('Psychrometric Chart'!$D$9-B32))/(2501+1.805*'Psychrometric Chart'!$D$9-4.186*B32)-'Supporting 2'!$C$7</f>
        <v>1.0195668347244961E-3</v>
      </c>
      <c r="J32" s="21">
        <f t="shared" si="7"/>
        <v>0.83002360670114705</v>
      </c>
    </row>
    <row r="33" spans="1:10">
      <c r="A33" s="30">
        <v>4</v>
      </c>
      <c r="B33" s="30">
        <f t="shared" si="8"/>
        <v>1.6299634592487402</v>
      </c>
      <c r="C33" s="30">
        <f t="shared" si="9"/>
        <v>0.83002360670114705</v>
      </c>
      <c r="D33" s="24">
        <f t="shared" si="5"/>
        <v>0.64906805300950232</v>
      </c>
      <c r="E33" s="24">
        <f t="shared" si="6"/>
        <v>0.68750299118638392</v>
      </c>
      <c r="F33" s="20">
        <f>0.62198*(D33/('Psychrometric Chart'!C22-D33))</f>
        <v>7.485198277778592E-3</v>
      </c>
      <c r="G33" s="20">
        <f>0.62198*(E33/('Psychrometric Chart'!C22-E33))</f>
        <v>7.9340926561937992E-3</v>
      </c>
      <c r="H33" s="21">
        <f>((2501-2.381*C33)*F33-('Psychrometric Chart'!$D$9-C33))/(2501+1.805*'Psychrometric Chart'!$D$9-4.186*C33)-'Supporting 2'!$C$7</f>
        <v>1.6357780208194755E-5</v>
      </c>
      <c r="I33" s="21">
        <f>((2501-2.381*B33)*G33-('Psychrometric Chart'!$D$9-B33))/(2501+1.805*'Psychrometric Chart'!$D$9-4.186*B33)-'Supporting 2'!$C$7</f>
        <v>7.8034888490312359E-4</v>
      </c>
      <c r="J33" s="21">
        <f t="shared" si="7"/>
        <v>0.81289612942119316</v>
      </c>
    </row>
    <row r="34" spans="1:10">
      <c r="A34" s="30">
        <v>5</v>
      </c>
      <c r="B34" s="30">
        <f t="shared" si="8"/>
        <v>0.83002360670114705</v>
      </c>
      <c r="C34" s="30">
        <f t="shared" si="9"/>
        <v>0.81289612942119316</v>
      </c>
      <c r="D34" s="24">
        <f t="shared" si="5"/>
        <v>0.6482663853894487</v>
      </c>
      <c r="E34" s="24">
        <f t="shared" si="6"/>
        <v>0.64906805300950232</v>
      </c>
      <c r="F34" s="20">
        <f>0.62198*(D34/('Psychrometric Chart'!C22-D34))</f>
        <v>7.4758421473726461E-3</v>
      </c>
      <c r="G34" s="20">
        <f>0.62198*(E34/('Psychrometric Chart'!C22-E34))</f>
        <v>7.485198277778592E-3</v>
      </c>
      <c r="H34" s="21">
        <f>((2501-2.381*C34)*F34-('Psychrometric Chart'!$D$9-C34))/(2501+1.805*'Psychrometric Chart'!$D$9-4.186*C34)-'Supporting 2'!$C$7</f>
        <v>2.682529091635466E-7</v>
      </c>
      <c r="I34" s="21">
        <f>((2501-2.381*B34)*G34-('Psychrometric Chart'!$D$9-B34))/(2501+1.805*'Psychrometric Chart'!$D$9-4.186*B34)-'Supporting 2'!$C$7</f>
        <v>1.6357780208194755E-5</v>
      </c>
      <c r="J34" s="21">
        <f t="shared" si="7"/>
        <v>0.81261057127385983</v>
      </c>
    </row>
    <row r="35" spans="1:10">
      <c r="A35" s="30">
        <v>6</v>
      </c>
      <c r="B35" s="30">
        <f t="shared" si="8"/>
        <v>0.81289612942119316</v>
      </c>
      <c r="C35" s="30">
        <f t="shared" si="9"/>
        <v>0.81261057127385983</v>
      </c>
      <c r="D35" s="24">
        <f t="shared" si="5"/>
        <v>0.64825302701453646</v>
      </c>
      <c r="E35" s="24">
        <f t="shared" si="6"/>
        <v>0.6482663853894487</v>
      </c>
      <c r="F35" s="20">
        <f>0.62198*(D35/('Psychrometric Chart'!C22-D35))</f>
        <v>7.4756862463409542E-3</v>
      </c>
      <c r="G35" s="20">
        <f>0.62198*(E35/('Psychrometric Chart'!C22-E35))</f>
        <v>7.4758421473726461E-3</v>
      </c>
      <c r="H35" s="21">
        <f>((2501-2.381*C35)*F35-('Psychrometric Chart'!$D$9-C35))/(2501+1.805*'Psychrometric Chart'!$D$9-4.186*C35)-'Supporting 2'!$C$7</f>
        <v>9.3820460515120496E-11</v>
      </c>
      <c r="I35" s="21">
        <f>((2501-2.381*B35)*G35-('Psychrometric Chart'!$D$9-B35))/(2501+1.805*'Psychrometric Chart'!$D$9-4.186*B35)-'Supporting 2'!$C$7</f>
        <v>2.682529091635466E-7</v>
      </c>
      <c r="J35" s="21">
        <f t="shared" si="7"/>
        <v>0.81261047136601405</v>
      </c>
    </row>
    <row r="36" spans="1:10">
      <c r="A36" s="30">
        <v>7</v>
      </c>
      <c r="B36" s="30">
        <f t="shared" si="8"/>
        <v>0.81261057127385983</v>
      </c>
      <c r="C36" s="30">
        <f t="shared" si="9"/>
        <v>0.81261047136601405</v>
      </c>
      <c r="D36" s="24">
        <f t="shared" si="5"/>
        <v>0.64825302234090065</v>
      </c>
      <c r="E36" s="24">
        <f t="shared" si="6"/>
        <v>0.64825302701453646</v>
      </c>
      <c r="F36" s="20">
        <f>0.62198*(D36/('Psychrometric Chart'!C22-D36))</f>
        <v>7.47568619179656E-3</v>
      </c>
      <c r="G36" s="20">
        <f>0.62198*(E36/('Psychrometric Chart'!C22-E36))</f>
        <v>7.4756862463409542E-3</v>
      </c>
      <c r="H36" s="21">
        <f>((2501-2.381*C36)*F36-('Psychrometric Chart'!$D$9-C36))/(2501+1.805*'Psychrometric Chart'!$D$9-4.186*C36)-'Supporting 2'!$C$7</f>
        <v>5.1564655323410591E-16</v>
      </c>
      <c r="I36" s="21">
        <f>((2501-2.381*B36)*G36-('Psychrometric Chart'!$D$9-B36))/(2501+1.805*'Psychrometric Chart'!$D$9-4.186*B36)-'Supporting 2'!$C$7</f>
        <v>9.3820460515120496E-11</v>
      </c>
      <c r="J36" s="21">
        <f t="shared" si="7"/>
        <v>0.81261047136546494</v>
      </c>
    </row>
    <row r="37" spans="1:10">
      <c r="A37" s="30">
        <v>8</v>
      </c>
      <c r="B37" s="30">
        <f t="shared" si="8"/>
        <v>0.81261047136601405</v>
      </c>
      <c r="C37" s="30">
        <f t="shared" si="9"/>
        <v>0.81261047136546494</v>
      </c>
      <c r="D37" s="24">
        <f t="shared" si="5"/>
        <v>0.64825302234087301</v>
      </c>
      <c r="E37" s="24">
        <f t="shared" si="6"/>
        <v>0.64825302234090065</v>
      </c>
      <c r="F37" s="20">
        <f>0.62198*(D37/('Psychrometric Chart'!C22-D37))</f>
        <v>7.4756861917962374E-3</v>
      </c>
      <c r="G37" s="20">
        <f>0.62198*(E37/('Psychrometric Chart'!C22-E37))</f>
        <v>7.47568619179656E-3</v>
      </c>
      <c r="H37" s="21">
        <f>((2501-2.381*C37)*F37-('Psychrometric Chart'!$D$9-C37))/(2501+1.805*'Psychrometric Chart'!$D$9-4.186*C37)-'Supporting 2'!$C$7</f>
        <v>-2.211772431870429E-17</v>
      </c>
      <c r="I37" s="21">
        <f>((2501-2.381*B37)*G37-('Psychrometric Chart'!$D$9-B37))/(2501+1.805*'Psychrometric Chart'!$D$9-4.186*B37)-'Supporting 2'!$C$7</f>
        <v>5.1564655323410591E-16</v>
      </c>
      <c r="J37" s="21">
        <f t="shared" si="7"/>
        <v>0.81261047136548747</v>
      </c>
    </row>
    <row r="38" spans="1:10">
      <c r="A38" s="30">
        <v>9</v>
      </c>
      <c r="B38" s="30">
        <f t="shared" si="8"/>
        <v>0.81261047136546494</v>
      </c>
      <c r="C38" s="30">
        <f t="shared" si="9"/>
        <v>0.81261047136548747</v>
      </c>
      <c r="D38" s="24">
        <f t="shared" si="5"/>
        <v>0.64825302234087301</v>
      </c>
      <c r="E38" s="24">
        <f t="shared" si="6"/>
        <v>0.64825302234087301</v>
      </c>
      <c r="F38" s="20">
        <f>0.62198*(D38/('Psychrometric Chart'!C22-D38))</f>
        <v>7.4756861917962374E-3</v>
      </c>
      <c r="G38" s="20">
        <f>0.62198*(E38/('Psychrometric Chart'!C22-E38))</f>
        <v>7.4756861917962374E-3</v>
      </c>
      <c r="H38" s="21">
        <f>((2501-2.381*C38)*F38-('Psychrometric Chart'!$D$9-C38))/(2501+1.805*'Psychrometric Chart'!$D$9-4.186*C38)-'Supporting 2'!$C$7</f>
        <v>-1.3010426069826053E-17</v>
      </c>
      <c r="I38" s="21">
        <f>((2501-2.381*B38)*G38-('Psychrometric Chart'!$D$9-B38))/(2501+1.805*'Psychrometric Chart'!$D$9-4.186*B38)-'Supporting 2'!$C$7</f>
        <v>-2.211772431870429E-17</v>
      </c>
      <c r="J38" s="21">
        <f t="shared" si="7"/>
        <v>0.81261047136551967</v>
      </c>
    </row>
    <row r="39" spans="1:10">
      <c r="A39" s="30">
        <v>10</v>
      </c>
      <c r="B39" s="30">
        <f t="shared" si="8"/>
        <v>0.81261047136548747</v>
      </c>
      <c r="C39" s="30">
        <f t="shared" si="9"/>
        <v>0.81261047136551967</v>
      </c>
      <c r="D39" s="24">
        <f t="shared" si="5"/>
        <v>0.64825302234087534</v>
      </c>
      <c r="E39" s="24">
        <f t="shared" si="6"/>
        <v>0.64825302234087301</v>
      </c>
      <c r="F39" s="20">
        <f>0.62198*(D39/('Psychrometric Chart'!C22-D39))</f>
        <v>7.4756861917962643E-3</v>
      </c>
      <c r="G39" s="20">
        <f>0.62198*(E39/('Psychrometric Chart'!C22-E39))</f>
        <v>7.4756861917962374E-3</v>
      </c>
      <c r="H39" s="21">
        <f>((2501-2.381*C39)*F39-('Psychrometric Chart'!$D$9-C39))/(2501+1.805*'Psychrometric Chart'!$D$9-4.186*C39)-'Supporting 2'!$C$7</f>
        <v>2.7321894746634712E-17</v>
      </c>
      <c r="I39" s="21">
        <f>((2501-2.381*B39)*G39-('Psychrometric Chart'!$D$9-B39))/(2501+1.805*'Psychrometric Chart'!$D$9-4.186*B39)-'Supporting 2'!$C$7</f>
        <v>-1.3010426069826053E-17</v>
      </c>
      <c r="J39" s="21">
        <f t="shared" si="7"/>
        <v>0.81261047136549791</v>
      </c>
    </row>
    <row r="40" spans="1:10">
      <c r="A40" s="30">
        <v>11</v>
      </c>
      <c r="B40" s="30">
        <f t="shared" si="8"/>
        <v>0.81261047136551967</v>
      </c>
      <c r="C40" s="30">
        <f t="shared" si="9"/>
        <v>0.81261047136549791</v>
      </c>
      <c r="D40" s="24">
        <f t="shared" si="5"/>
        <v>0.64825302234087301</v>
      </c>
      <c r="E40" s="24">
        <f t="shared" si="6"/>
        <v>0.64825302234087534</v>
      </c>
      <c r="F40" s="20">
        <f>0.62198*(D40/('Psychrometric Chart'!C22-D40))</f>
        <v>7.4756861917962374E-3</v>
      </c>
      <c r="G40" s="20">
        <f>0.62198*(E40/('Psychrometric Chart'!C22-E40))</f>
        <v>7.4756861917962643E-3</v>
      </c>
      <c r="H40" s="21">
        <f>((2501-2.381*C40)*F40-('Psychrometric Chart'!$D$9-C40))/(2501+1.805*'Psychrometric Chart'!$D$9-4.186*C40)-'Supporting 2'!$C$7</f>
        <v>-9.540979117872439E-18</v>
      </c>
      <c r="I40" s="21">
        <f>((2501-2.381*B40)*G40-('Psychrometric Chart'!$D$9-B40))/(2501+1.805*'Psychrometric Chart'!$D$9-4.186*B40)-'Supporting 2'!$C$7</f>
        <v>2.7321894746634712E-17</v>
      </c>
      <c r="J40" s="21">
        <f t="shared" si="7"/>
        <v>0.81261047136550357</v>
      </c>
    </row>
    <row r="41" spans="1:10">
      <c r="A41" s="30">
        <v>12</v>
      </c>
      <c r="B41" s="30">
        <f t="shared" si="8"/>
        <v>0.81261047136549791</v>
      </c>
      <c r="C41" s="30">
        <f t="shared" si="9"/>
        <v>0.81261047136550357</v>
      </c>
      <c r="D41" s="24">
        <f t="shared" si="5"/>
        <v>0.64825302234087534</v>
      </c>
      <c r="E41" s="24">
        <f t="shared" si="6"/>
        <v>0.64825302234087301</v>
      </c>
      <c r="F41" s="20">
        <f>0.62198*(D41/('Psychrometric Chart'!C22-D41))</f>
        <v>7.4756861917962643E-3</v>
      </c>
      <c r="G41" s="20">
        <f>0.62198*(E41/('Psychrometric Chart'!C22-E41))</f>
        <v>7.4756861917962374E-3</v>
      </c>
      <c r="H41" s="21">
        <f>((2501-2.381*C41)*F41-('Psychrometric Chart'!$D$9-C41))/(2501+1.805*'Psychrometric Chart'!$D$9-4.186*C41)-'Supporting 2'!$C$7</f>
        <v>2.0383000842727483E-17</v>
      </c>
      <c r="I41" s="21">
        <f>((2501-2.381*B41)*G41-('Psychrometric Chart'!$D$9-B41))/(2501+1.805*'Psychrometric Chart'!$D$9-4.186*B41)-'Supporting 2'!$C$7</f>
        <v>-9.540979117872439E-18</v>
      </c>
      <c r="J41" s="21">
        <f t="shared" si="7"/>
        <v>0.81261047136549969</v>
      </c>
    </row>
  </sheetData>
  <phoneticPr fontId="11"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D28"/>
  <sheetViews>
    <sheetView zoomScale="75" workbookViewId="0">
      <selection activeCell="M13" sqref="M13"/>
    </sheetView>
  </sheetViews>
  <sheetFormatPr defaultColWidth="10.26953125" defaultRowHeight="17"/>
  <cols>
    <col min="1" max="1" width="58.81640625" style="21" customWidth="1"/>
    <col min="2" max="2" width="10.26953125" style="21" customWidth="1"/>
    <col min="3" max="3" width="57.26953125" style="21" customWidth="1"/>
    <col min="4" max="16384" width="10.26953125" style="21"/>
  </cols>
  <sheetData>
    <row r="1" spans="1:4" ht="17.5">
      <c r="A1" s="23" t="s">
        <v>65</v>
      </c>
      <c r="B1" s="21">
        <f>273.15+'Psychrometric Chart'!C9</f>
        <v>297.75</v>
      </c>
      <c r="C1" s="23" t="s">
        <v>65</v>
      </c>
      <c r="D1" s="21">
        <f>273.15+'Psychrometric Chart'!D9</f>
        <v>283.14999999999998</v>
      </c>
    </row>
    <row r="2" spans="1:4">
      <c r="A2" s="20">
        <f>IF(B1&lt;273.16,-5674.5359/B1+6.3925247-0.009677843*B1,-5800.2206/B1+1.3914993-0.048640239*B1)</f>
        <v>-32.571301803475862</v>
      </c>
      <c r="C2" s="20">
        <f>IF(D1&lt;273.16,-5674.5359/D1+6.3925247-0.009677843*D1,-5800.2206/D1+1.3914993-0.048640239*D1)</f>
        <v>-32.865605951518553</v>
      </c>
    </row>
    <row r="3" spans="1:4">
      <c r="A3" s="21">
        <f>IF(B1&lt;273.16,0.00000062215701*POWER(B1,2)+0.0000000020747825*POWER(B1,3)-0.000000000000948402*POWER(B1,4)+4.1635019*LN(B1),0.000041764768*POWER(B1,2)-0.000000014452093*POWER(B1,3)+6.5459673*LN(B1))</f>
        <v>40.608659349701526</v>
      </c>
      <c r="C3" s="21">
        <f>IF(D1&lt;273.16,0.00000062215701*POWER(D1,2)+0.0000000020747825*POWER(D1,3)-0.000000000000948402*POWER(D1,4)+4.1635019*LN(D1),0.000041764768*POWER(D1,2)-0.000000014452093*POWER(D1,3)+6.5459673*LN(D1))</f>
        <v>39.978744212857308</v>
      </c>
    </row>
    <row r="4" spans="1:4">
      <c r="A4" s="21">
        <f>EXP(A2+A3)/1000</f>
        <v>3.0944255009523975</v>
      </c>
      <c r="C4" s="21">
        <f>EXP(C2+C3)/1000</f>
        <v>1.2279952754407752</v>
      </c>
    </row>
    <row r="6" spans="1:4" ht="17.5">
      <c r="A6" s="23" t="s">
        <v>66</v>
      </c>
      <c r="C6" s="23" t="s">
        <v>66</v>
      </c>
    </row>
    <row r="7" spans="1:4">
      <c r="A7" s="21">
        <f>'Psychrometric Chart'!C12/100*A4</f>
        <v>0</v>
      </c>
      <c r="C7" s="21">
        <f>'Psychrometric Chart'!D12/100*C4</f>
        <v>0.4911981101763101</v>
      </c>
    </row>
    <row r="9" spans="1:4">
      <c r="A9" s="23" t="s">
        <v>19</v>
      </c>
      <c r="C9" s="23" t="s">
        <v>19</v>
      </c>
    </row>
    <row r="10" spans="1:4">
      <c r="A10" s="21">
        <f>0.62198*(A7/('Psychrometric Chart'!$C$6-A7))</f>
        <v>0</v>
      </c>
      <c r="C10" s="21">
        <f>0.62198*(C7/('Psychrometric Chart'!$C$6-C7))</f>
        <v>3.0298907195950371E-3</v>
      </c>
    </row>
    <row r="12" spans="1:4" ht="17.5">
      <c r="A12" s="23" t="s">
        <v>51</v>
      </c>
      <c r="C12" s="23" t="s">
        <v>51</v>
      </c>
    </row>
    <row r="13" spans="1:4">
      <c r="A13" s="21">
        <f>0.62198*(A4/('Psychrometric Chart'!$C$6-A4))</f>
        <v>1.9593398317150561E-2</v>
      </c>
      <c r="C13" s="21">
        <f>0.62198*(C4/('Psychrometric Chart'!$C$6-C4))</f>
        <v>7.6304830850873065E-3</v>
      </c>
    </row>
    <row r="15" spans="1:4">
      <c r="A15" s="23" t="s">
        <v>21</v>
      </c>
      <c r="C15" s="23" t="s">
        <v>21</v>
      </c>
    </row>
    <row r="16" spans="1:4">
      <c r="A16" s="21">
        <f>A10/A13</f>
        <v>0</v>
      </c>
      <c r="C16" s="21">
        <f>C10/C13</f>
        <v>0.39707718185189711</v>
      </c>
    </row>
    <row r="18" spans="1:3">
      <c r="A18" s="23" t="s">
        <v>22</v>
      </c>
      <c r="C18" s="23" t="s">
        <v>22</v>
      </c>
    </row>
    <row r="19" spans="1:3">
      <c r="A19" s="21">
        <f>0.2871*('Psychrometric Chart'!C9+273.15)*(1+1.6078*A10)/'Psychrometric Chart'!$C$6</f>
        <v>0.84366173205033312</v>
      </c>
      <c r="C19" s="21">
        <f>0.2871*('Psychrometric Chart'!D9+273.15)*(1+1.6078*C10)/'Psychrometric Chart'!$C$6</f>
        <v>0.8062016024290326</v>
      </c>
    </row>
    <row r="21" spans="1:3">
      <c r="A21" s="23" t="s">
        <v>23</v>
      </c>
      <c r="C21" s="23" t="s">
        <v>23</v>
      </c>
    </row>
    <row r="22" spans="1:3">
      <c r="A22" s="21">
        <f>1.006*'Psychrometric Chart'!C9+A10*(2501+1.805*'Psychrometric Chart'!C9)</f>
        <v>24.747600000000002</v>
      </c>
      <c r="C22" s="21">
        <f>1.006*'Psychrometric Chart'!D9+C10*(2501+1.805*'Psychrometric Chart'!D9)</f>
        <v>17.692446217195879</v>
      </c>
    </row>
    <row r="24" spans="1:3" ht="17.5">
      <c r="A24" s="23" t="s">
        <v>48</v>
      </c>
      <c r="C24" s="23" t="s">
        <v>48</v>
      </c>
    </row>
    <row r="25" spans="1:3">
      <c r="A25" s="21" t="str">
        <f>IF(A7&lt;0.6112,"n/a (&lt;0C)",6.54+14.526*LN(A7)+0.7389*POWER(LN(A7),2)+0.09486*POWER(LN(A7),3)+0.4569*POWER(A7,0.1984))</f>
        <v>n/a (&lt;0C)</v>
      </c>
      <c r="C25" s="21" t="str">
        <f>IF(C7&lt;0.6112,"n/a (&lt;0C)",6.54+14.526*LN(C7)+0.7389*POWER(LN(C7),2)+0.09486*POWER(LN(C7),3)+0.4569*POWER(C7,0.1984))</f>
        <v>n/a (&lt;0C)</v>
      </c>
    </row>
    <row r="27" spans="1:3" ht="19">
      <c r="A27" s="23" t="s">
        <v>52</v>
      </c>
      <c r="C27" s="23" t="s">
        <v>52</v>
      </c>
    </row>
    <row r="28" spans="1:3">
      <c r="A28" s="21">
        <f>IF(ABS('Supporting 3.1'!$I15-'Supporting 3.1'!$H15)&lt;0.00005,'Supporting 3.1'!$J15,IF(ABS('Supporting 3.1'!$I16-'Supporting 3.1'!$H16)&lt;0.00005,'Supporting 3.1'!$J16,IF(ABS('Supporting 3.1'!$I17-'Supporting 3.1'!$H17)&lt;0.00005,'Supporting 3.1'!$J17,IF(ABS('Supporting 3.1'!$I18-'Supporting 3.1'!$H18)&lt;0.00005,'Supporting 3.1'!$J18,IF(ABS('Supporting 3.1'!$I19-'Supporting 3.1'!$H19)&lt;0.00005,'Supporting 3.1'!$J19,IF(ABS('Supporting 3.1'!$I20-'Supporting 3.1'!$H20)&lt;0.00005,'Supporting 3.1'!$J20,IF(ABS('Supporting 3.1'!$I21-'Supporting 3.1'!$H21)&lt;0.00005,'Supporting 3.1'!$J21,IF('Supporting 3.1'!$I22-'Supporting 3.1'!$H22&lt;0.00005,'Supporting 3.1'!$J22))))))))</f>
        <v>8.0376771329430756</v>
      </c>
      <c r="C28" s="21">
        <f>IF(ABS('Supporting 3.1'!$I30-'Supporting 3.1'!$H30)&lt;0.00005,'Supporting 3.1'!$J30,IF(ABS('Supporting 3.1'!$I31-'Supporting 3.1'!$H31)&lt;0.00005,'Supporting 3.1'!$J31,IF(ABS('Supporting 3.1'!$I32-'Supporting 3.1'!$H32)&lt;0.00005,'Supporting 3.1'!$J32,IF(ABS('Supporting 3.1'!$I33-'Supporting 3.1'!$H33)&lt;0.00005,'Supporting 3.1'!$J33,IF(ABS('Supporting 3.1'!$I34-'Supporting 3.1'!$H34)&lt;0.00005,'Supporting 3.1'!$J34,IF(ABS('Supporting 3.1'!$I35-'Supporting 3.1'!$H35)&lt;0.00005,'Supporting 3.1'!$J35,IF(ABS('Supporting 3.1'!$I36-'Supporting 3.1'!$H36)&lt;0.00005,'Supporting 3.1'!$J36,IF('Supporting 3.1'!$I37-'Supporting 3.1'!$H37&lt;0.00005,'Supporting 3.1'!$J37))))))))</f>
        <v>4.5459037935741415</v>
      </c>
    </row>
  </sheetData>
  <phoneticPr fontId="11" type="noConversion"/>
  <pageMargins left="0.75" right="0.75" top="1" bottom="1" header="0.5" footer="0.5"/>
  <headerFooter alignWithMargins="0"/>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9:J42"/>
  <sheetViews>
    <sheetView topLeftCell="B4" workbookViewId="0">
      <selection activeCell="M13" sqref="M13"/>
    </sheetView>
  </sheetViews>
  <sheetFormatPr defaultColWidth="10.26953125" defaultRowHeight="17"/>
  <cols>
    <col min="1" max="1" width="26.81640625" style="21" customWidth="1"/>
    <col min="2" max="8" width="10.26953125" style="21" customWidth="1"/>
    <col min="9" max="9" width="15.54296875" style="21" bestFit="1" customWidth="1"/>
    <col min="10" max="16384" width="10.26953125" style="21"/>
  </cols>
  <sheetData>
    <row r="9" spans="1:10">
      <c r="A9" s="27" t="s">
        <v>31</v>
      </c>
    </row>
    <row r="11" spans="1:10">
      <c r="A11" s="22" t="s">
        <v>29</v>
      </c>
    </row>
    <row r="12" spans="1:10" ht="18">
      <c r="A12" s="29" t="s">
        <v>30</v>
      </c>
      <c r="B12" s="29" t="s">
        <v>56</v>
      </c>
      <c r="C12" s="29" t="s">
        <v>57</v>
      </c>
      <c r="D12" s="29" t="s">
        <v>58</v>
      </c>
      <c r="E12" s="29" t="s">
        <v>59</v>
      </c>
      <c r="F12" s="29" t="s">
        <v>60</v>
      </c>
      <c r="G12" s="29" t="s">
        <v>61</v>
      </c>
      <c r="H12" s="29" t="s">
        <v>62</v>
      </c>
      <c r="I12" s="29" t="s">
        <v>63</v>
      </c>
      <c r="J12" s="29" t="s">
        <v>64</v>
      </c>
    </row>
    <row r="13" spans="1:10">
      <c r="A13" s="30">
        <v>1</v>
      </c>
      <c r="B13" s="30">
        <v>0</v>
      </c>
      <c r="C13" s="30">
        <v>50</v>
      </c>
      <c r="D13" s="24">
        <f t="shared" ref="D13:D24" si="0">IF(273.15+C13&lt;273.16,EXP(-5674.5359/273.15+C13+6.3925247-0.009677843*273.15+C13+0.00000062215701*POWER(273.15+C13,2)+0.0000000020747825*POWER(273.15+C13,3)-0.000000000000948402*POWER(273.15+C13,4)+4.1635019*LN(273.15+C13))/1000,EXP(-5800.2206/(273.15+C13)+1.3914993-0.048640239*(273.15+C13)+0.000041764768*POWER((273.15+C13),2)-0.000000014452093*POWER((273.15+C13),3)+6.5459673*LN(273.15+C13))/1000)</f>
        <v>12.349856466723748</v>
      </c>
      <c r="E13" s="24">
        <f t="shared" ref="E13:E24" si="1">IF(273.15+B13&lt;273.16,EXP(-5674.5359/273.15+B13+6.3925247-0.009677843*273.15+B13+0.00000062215701*POWER(273.15+B13,2)+0.0000000020747825*POWER(273.15+B13,3)-0.000000000000948402*POWER(273.15+B13,4)+4.1635019*LN(273.15+B13))/1000,EXP(-5800.2206/(273.15+B13)+1.3914993-0.048640239*(273.15+B13)+0.000041764768*POWER((273.15+B13),2)-0.000000014452093*POWER((273.15+B13),3)+6.5459673*LN(273.15+B13))/1000)</f>
        <v>0.61115357225163369</v>
      </c>
      <c r="F13" s="20">
        <f>0.62198*(D13/('Psychrometric Chart'!$C$6-D13))</f>
        <v>8.6331568797076971E-2</v>
      </c>
      <c r="G13" s="20">
        <f>0.62198*(E13/('Psychrometric Chart'!$C$6-E13))</f>
        <v>3.7743102100838855E-3</v>
      </c>
      <c r="H13" s="21">
        <f>((2501-2.381*C13)*F13-('Psychrometric Chart'!$C$9-C13))/(2501+1.805*'Psychrometric Chart'!$C$9-4.186*C13)-'Supporting 3'!$A$10</f>
        <v>9.8898670262483085E-2</v>
      </c>
      <c r="I13" s="21">
        <f>((2501-2.381*B13)*G13-('Psychrometric Chart'!$C$9-B13))/(2501+1.805*'Psychrometric Chart'!$C$9-4.186*B13)-'Supporting 3'!$A$10</f>
        <v>-5.9560117453229238E-3</v>
      </c>
      <c r="J13" s="21">
        <f t="shared" ref="J13:J24" si="2">IF(H13=I13,C13,C13-(C13-B13)*H13/(H13-I13))</f>
        <v>2.8401267503150294</v>
      </c>
    </row>
    <row r="14" spans="1:10">
      <c r="A14" s="30">
        <v>2</v>
      </c>
      <c r="B14" s="30">
        <f t="shared" ref="B14:B24" si="3">C13</f>
        <v>50</v>
      </c>
      <c r="C14" s="30">
        <f t="shared" ref="C14:C24" si="4">J13:J13</f>
        <v>2.8401267503150294</v>
      </c>
      <c r="D14" s="24">
        <f t="shared" si="0"/>
        <v>0.74948378689729511</v>
      </c>
      <c r="E14" s="24">
        <f t="shared" si="1"/>
        <v>12.349856466723748</v>
      </c>
      <c r="F14" s="20">
        <f>0.62198*(D14/('Psychrometric Chart'!C6-D14))</f>
        <v>4.6349642868017318E-3</v>
      </c>
      <c r="G14" s="20">
        <f>0.62198*(E14/('Psychrometric Chart'!C6-E14))</f>
        <v>8.6331568797076971E-2</v>
      </c>
      <c r="H14" s="21">
        <f>((2501-2.381*C14)*F14-('Psychrometric Chart'!$C$9-C14))/(2501+1.805*'Psychrometric Chart'!$C$9-4.186*C14)-'Supporting 3'!$A$10</f>
        <v>-4.0257010056025328E-3</v>
      </c>
      <c r="I14" s="21">
        <f>((2501-2.381*B14)*G14-('Psychrometric Chart'!$C$9-B14))/(2501+1.805*'Psychrometric Chart'!$C$9-4.186*B14)-'Supporting 3'!$A$10</f>
        <v>9.8898670262483085E-2</v>
      </c>
      <c r="J14" s="21">
        <f t="shared" si="2"/>
        <v>4.684700069794836</v>
      </c>
    </row>
    <row r="15" spans="1:10">
      <c r="A15" s="30">
        <v>3</v>
      </c>
      <c r="B15" s="30">
        <f t="shared" si="3"/>
        <v>2.8401267503150294</v>
      </c>
      <c r="C15" s="30">
        <f t="shared" si="4"/>
        <v>4.684700069794836</v>
      </c>
      <c r="D15" s="24">
        <f t="shared" si="0"/>
        <v>0.85348617909882707</v>
      </c>
      <c r="E15" s="24">
        <f t="shared" si="1"/>
        <v>0.74948378689729511</v>
      </c>
      <c r="F15" s="20">
        <f>0.62198*(D15/('Psychrometric Chart'!C6-D15))</f>
        <v>5.2836004304879398E-3</v>
      </c>
      <c r="G15" s="20">
        <f>0.62198*(E15/('Psychrometric Chart'!C6-E15))</f>
        <v>4.6349642868017318E-3</v>
      </c>
      <c r="H15" s="21">
        <f>((2501-2.381*C15)*F15-('Psychrometric Chart'!$C$9-C15))/(2501+1.805*'Psychrometric Chart'!$C$9-4.186*C15)-'Supporting 3'!$A$10</f>
        <v>-2.6763675318535476E-3</v>
      </c>
      <c r="I15" s="21">
        <f>((2501-2.381*B15)*G15-('Psychrometric Chart'!$C$9-B15))/(2501+1.805*'Psychrometric Chart'!$C$9-4.186*B15)-'Supporting 3'!$A$10</f>
        <v>-4.0257010056025328E-3</v>
      </c>
      <c r="J15" s="21">
        <f t="shared" si="2"/>
        <v>8.343362838059825</v>
      </c>
    </row>
    <row r="16" spans="1:10">
      <c r="A16" s="30">
        <v>4</v>
      </c>
      <c r="B16" s="30">
        <f t="shared" si="3"/>
        <v>4.684700069794836</v>
      </c>
      <c r="C16" s="30">
        <f t="shared" si="4"/>
        <v>8.343362838059825</v>
      </c>
      <c r="D16" s="24">
        <f t="shared" si="0"/>
        <v>1.0981788338699616</v>
      </c>
      <c r="E16" s="24">
        <f t="shared" si="1"/>
        <v>0.85348617909882707</v>
      </c>
      <c r="F16" s="20">
        <f>0.62198*(D16/('Psychrometric Chart'!C6-D16))</f>
        <v>6.8149948600910266E-3</v>
      </c>
      <c r="G16" s="20">
        <f>0.62198*(E16/('Psychrometric Chart'!C6-E16))</f>
        <v>5.2836004304879398E-3</v>
      </c>
      <c r="H16" s="21">
        <f>((2501-2.381*C16)*F16-('Psychrometric Chart'!$C$9-C16))/(2501+1.805*'Psychrometric Chart'!$C$9-4.186*C16)-'Supporting 3'!$A$10</f>
        <v>2.5982361340545751E-4</v>
      </c>
      <c r="I16" s="21">
        <f>((2501-2.381*B16)*G16-('Psychrometric Chart'!$C$9-B16))/(2501+1.805*'Psychrometric Chart'!$C$9-4.186*B16)-'Supporting 3'!$A$10</f>
        <v>-2.6763675318535476E-3</v>
      </c>
      <c r="J16" s="21">
        <f t="shared" si="2"/>
        <v>8.0196076962266556</v>
      </c>
    </row>
    <row r="17" spans="1:10">
      <c r="A17" s="30">
        <v>5</v>
      </c>
      <c r="B17" s="30">
        <f t="shared" si="3"/>
        <v>8.343362838059825</v>
      </c>
      <c r="C17" s="30">
        <f t="shared" si="4"/>
        <v>8.0196076962266556</v>
      </c>
      <c r="D17" s="24">
        <f t="shared" si="0"/>
        <v>1.0742734222529675</v>
      </c>
      <c r="E17" s="24">
        <f t="shared" si="1"/>
        <v>1.0981788338699616</v>
      </c>
      <c r="F17" s="20">
        <f>0.62198*(D17/('Psychrometric Chart'!C6-D17))</f>
        <v>6.6650547680042246E-3</v>
      </c>
      <c r="G17" s="20">
        <f>0.62198*(E17/('Psychrometric Chart'!C6-E17))</f>
        <v>6.8149948600910266E-3</v>
      </c>
      <c r="H17" s="21">
        <f>((2501-2.381*C17)*F17-('Psychrometric Chart'!$C$9-C17))/(2501+1.805*'Psychrometric Chart'!$C$9-4.186*C17)-'Supporting 3'!$A$10</f>
        <v>-1.5270703764604804E-5</v>
      </c>
      <c r="I17" s="21">
        <f>((2501-2.381*B17)*G17-('Psychrometric Chart'!$C$9-B17))/(2501+1.805*'Psychrometric Chart'!$C$9-4.186*B17)-'Supporting 3'!$A$10</f>
        <v>2.5982361340545751E-4</v>
      </c>
      <c r="J17" s="21">
        <f t="shared" si="2"/>
        <v>8.0375796009684954</v>
      </c>
    </row>
    <row r="18" spans="1:10">
      <c r="A18" s="30">
        <v>6</v>
      </c>
      <c r="B18" s="30">
        <f t="shared" si="3"/>
        <v>8.0196076962266556</v>
      </c>
      <c r="C18" s="30">
        <f t="shared" si="4"/>
        <v>8.0375796009684954</v>
      </c>
      <c r="D18" s="24">
        <f t="shared" si="0"/>
        <v>1.0755882936466552</v>
      </c>
      <c r="E18" s="24">
        <f t="shared" si="1"/>
        <v>1.0742734222529675</v>
      </c>
      <c r="F18" s="20">
        <f>0.62198*(D18/('Psychrometric Chart'!C6-D18))</f>
        <v>6.6733000772307661E-3</v>
      </c>
      <c r="G18" s="20">
        <f>0.62198*(E18/('Psychrometric Chart'!C6-E18))</f>
        <v>6.6650547680042246E-3</v>
      </c>
      <c r="H18" s="21">
        <f>((2501-2.381*C18)*F18-('Psychrometric Chart'!$C$9-C18))/(2501+1.805*'Psychrometric Chart'!$C$9-4.186*C18)-'Supporting 3'!$A$10</f>
        <v>-8.2425474283350319E-8</v>
      </c>
      <c r="I18" s="21">
        <f>((2501-2.381*B18)*G18-('Psychrometric Chart'!$C$9-B18))/(2501+1.805*'Psychrometric Chart'!$C$9-4.186*B18)-'Supporting 3'!$A$10</f>
        <v>-1.5270703764604804E-5</v>
      </c>
      <c r="J18" s="21">
        <f t="shared" si="2"/>
        <v>8.0376771329430756</v>
      </c>
    </row>
    <row r="19" spans="1:10">
      <c r="A19" s="30">
        <v>7</v>
      </c>
      <c r="B19" s="30">
        <f t="shared" si="3"/>
        <v>8.0375796009684954</v>
      </c>
      <c r="C19" s="30">
        <f t="shared" si="4"/>
        <v>8.0376771329430756</v>
      </c>
      <c r="D19" s="24">
        <f t="shared" si="0"/>
        <v>1.0755954332119795</v>
      </c>
      <c r="E19" s="24">
        <f t="shared" si="1"/>
        <v>1.0755882936466552</v>
      </c>
      <c r="F19" s="20">
        <f>0.62198*(D19/('Psychrometric Chart'!C6-D19))</f>
        <v>6.6733448486817441E-3</v>
      </c>
      <c r="G19" s="20">
        <f>0.62198*(E19/('Psychrometric Chart'!C6-E19))</f>
        <v>6.6733000772307661E-3</v>
      </c>
      <c r="H19" s="21">
        <f>((2501-2.381*C19)*F19-('Psychrometric Chart'!$C$9-C19))/(2501+1.805*'Psychrometric Chart'!$C$9-4.186*C19)-'Supporting 3'!$A$10</f>
        <v>2.6289741903269167E-11</v>
      </c>
      <c r="I19" s="21">
        <f>((2501-2.381*B19)*G19-('Psychrometric Chart'!$C$9-B19))/(2501+1.805*'Psychrometric Chart'!$C$9-4.186*B19)-'Supporting 3'!$A$10</f>
        <v>-8.2425474283350319E-8</v>
      </c>
      <c r="J19" s="21">
        <f t="shared" si="2"/>
        <v>8.0376771018450093</v>
      </c>
    </row>
    <row r="20" spans="1:10">
      <c r="A20" s="30">
        <v>8</v>
      </c>
      <c r="B20" s="30">
        <f t="shared" si="3"/>
        <v>8.0376771329430756</v>
      </c>
      <c r="C20" s="30">
        <f t="shared" si="4"/>
        <v>8.0376771018450093</v>
      </c>
      <c r="D20" s="24">
        <f t="shared" si="0"/>
        <v>1.0755954309355191</v>
      </c>
      <c r="E20" s="24">
        <f t="shared" si="1"/>
        <v>1.0755954332119795</v>
      </c>
      <c r="F20" s="20">
        <f>0.62198*(D20/('Psychrometric Chart'!C6-D20))</f>
        <v>6.6733448344063039E-3</v>
      </c>
      <c r="G20" s="20">
        <f>0.62198*(E20/('Psychrometric Chart'!C6-E20))</f>
        <v>6.6733448486817441E-3</v>
      </c>
      <c r="H20" s="21">
        <f>((2501-2.381*C20)*F20-('Psychrometric Chart'!$C$9-C20))/(2501+1.805*'Psychrometric Chart'!$C$9-4.186*C20)-'Supporting 3'!$A$10</f>
        <v>-6.6478375116271596E-17</v>
      </c>
      <c r="I20" s="21">
        <f>((2501-2.381*B20)*G20-('Psychrometric Chart'!$C$9-B20))/(2501+1.805*'Psychrometric Chart'!$C$9-4.186*B20)-'Supporting 3'!$A$10</f>
        <v>2.6289741903269167E-11</v>
      </c>
      <c r="J20" s="21">
        <f t="shared" si="2"/>
        <v>8.0376771018450874</v>
      </c>
    </row>
    <row r="21" spans="1:10">
      <c r="A21" s="30">
        <v>9</v>
      </c>
      <c r="B21" s="30">
        <f t="shared" si="3"/>
        <v>8.0376771018450093</v>
      </c>
      <c r="C21" s="30">
        <f t="shared" si="4"/>
        <v>8.0376771018450874</v>
      </c>
      <c r="D21" s="24">
        <f t="shared" si="0"/>
        <v>1.0755954309355307</v>
      </c>
      <c r="E21" s="24">
        <f t="shared" si="1"/>
        <v>1.0755954309355191</v>
      </c>
      <c r="F21" s="20">
        <f>0.62198*(D21/('Psychrometric Chart'!C6-D21))</f>
        <v>6.6733448344063759E-3</v>
      </c>
      <c r="G21" s="20">
        <f>0.62198*(E21/('Psychrometric Chart'!C6-E21))</f>
        <v>6.6733448344063039E-3</v>
      </c>
      <c r="H21" s="21">
        <f>((2501-2.381*C21)*F21-('Psychrometric Chart'!$C$9-C21))/(2501+1.805*'Psychrometric Chart'!$C$9-4.186*C21)-'Supporting 3'!$A$10</f>
        <v>3.6775271340916205E-17</v>
      </c>
      <c r="I21" s="21">
        <f>((2501-2.381*B21)*G21-('Psychrometric Chart'!$C$9-B21))/(2501+1.805*'Psychrometric Chart'!$C$9-4.186*B21)-'Supporting 3'!$A$10</f>
        <v>-6.6478375116271596E-17</v>
      </c>
      <c r="J21" s="21">
        <f t="shared" si="2"/>
        <v>8.037677101845059</v>
      </c>
    </row>
    <row r="22" spans="1:10">
      <c r="A22" s="30">
        <v>10</v>
      </c>
      <c r="B22" s="30">
        <f t="shared" si="3"/>
        <v>8.0376771018450874</v>
      </c>
      <c r="C22" s="30">
        <f t="shared" si="4"/>
        <v>8.037677101845059</v>
      </c>
      <c r="D22" s="24">
        <f t="shared" si="0"/>
        <v>1.0755954309355307</v>
      </c>
      <c r="E22" s="24">
        <f t="shared" si="1"/>
        <v>1.0755954309355307</v>
      </c>
      <c r="F22" s="20">
        <f>0.62198*(D22/('Psychrometric Chart'!C6-D22))</f>
        <v>6.6733448344063759E-3</v>
      </c>
      <c r="G22" s="20">
        <f>0.62198*(E22/('Psychrometric Chart'!C6-E22))</f>
        <v>6.6733448344063759E-3</v>
      </c>
      <c r="H22" s="21">
        <f>((2501-2.381*C22)*F22-('Psychrometric Chart'!$C$9-C22))/(2501+1.805*'Psychrometric Chart'!$C$9-4.186*C22)-'Supporting 3'!$A$10</f>
        <v>2.545980323601891E-17</v>
      </c>
      <c r="I22" s="21">
        <f>((2501-2.381*B22)*G22-('Psychrometric Chart'!$C$9-B22))/(2501+1.805*'Psychrometric Chart'!$C$9-4.186*B22)-'Supporting 3'!$A$10</f>
        <v>3.6775271340916205E-17</v>
      </c>
      <c r="J22" s="21">
        <f t="shared" si="2"/>
        <v>8.0376771018449951</v>
      </c>
    </row>
    <row r="23" spans="1:10">
      <c r="A23" s="30">
        <v>11</v>
      </c>
      <c r="B23" s="30">
        <f t="shared" si="3"/>
        <v>8.037677101845059</v>
      </c>
      <c r="C23" s="30">
        <f t="shared" si="4"/>
        <v>8.0376771018449951</v>
      </c>
      <c r="D23" s="24">
        <f t="shared" si="0"/>
        <v>1.0755954309355191</v>
      </c>
      <c r="E23" s="24">
        <f t="shared" si="1"/>
        <v>1.0755954309355307</v>
      </c>
      <c r="F23" s="20">
        <f>0.62198*(D23/('Psychrometric Chart'!C6-D23))</f>
        <v>6.6733448344063039E-3</v>
      </c>
      <c r="G23" s="20">
        <f>0.62198*(E23/('Psychrometric Chart'!C6-E23))</f>
        <v>6.6733448344063759E-3</v>
      </c>
      <c r="H23" s="21">
        <f>((2501-2.381*C23)*F23-('Psychrometric Chart'!$C$9-C23))/(2501+1.805*'Psychrometric Chart'!$C$9-4.186*C23)-'Supporting 3'!$A$10</f>
        <v>-7.2136109168720242E-17</v>
      </c>
      <c r="I23" s="21">
        <f>((2501-2.381*B23)*G23-('Psychrometric Chart'!$C$9-B23))/(2501+1.805*'Psychrometric Chart'!$C$9-4.186*B23)-'Supporting 3'!$A$10</f>
        <v>2.545980323601891E-17</v>
      </c>
      <c r="J23" s="21">
        <f t="shared" si="2"/>
        <v>8.037677101845043</v>
      </c>
    </row>
    <row r="24" spans="1:10">
      <c r="A24" s="30">
        <v>12</v>
      </c>
      <c r="B24" s="30">
        <f t="shared" si="3"/>
        <v>8.0376771018449951</v>
      </c>
      <c r="C24" s="30">
        <f t="shared" si="4"/>
        <v>8.037677101845043</v>
      </c>
      <c r="D24" s="24">
        <f t="shared" si="0"/>
        <v>1.0755954309355191</v>
      </c>
      <c r="E24" s="24">
        <f t="shared" si="1"/>
        <v>1.0755954309355191</v>
      </c>
      <c r="F24" s="20">
        <f>0.62198*(D24/('Psychrometric Chart'!C6-D24))</f>
        <v>6.6733448344063039E-3</v>
      </c>
      <c r="G24" s="20">
        <f>0.62198*(E24/('Psychrometric Chart'!C6-E24))</f>
        <v>6.6733448344063039E-3</v>
      </c>
      <c r="H24" s="21">
        <f>((2501-2.381*C24)*F24-('Psychrometric Chart'!$C$9-C24))/(2501+1.805*'Psychrometric Chart'!$C$9-4.186*C24)-'Supporting 3'!$A$10</f>
        <v>-5.3748473498262143E-17</v>
      </c>
      <c r="I24" s="21">
        <f>((2501-2.381*B24)*G24-('Psychrometric Chart'!$C$9-B24))/(2501+1.805*'Psychrometric Chart'!$C$9-4.186*B24)-'Supporting 3'!$A$10</f>
        <v>-7.2136109168720242E-17</v>
      </c>
      <c r="J24" s="21">
        <f t="shared" si="2"/>
        <v>8.0376771018451834</v>
      </c>
    </row>
    <row r="26" spans="1:10">
      <c r="A26" s="27" t="s">
        <v>31</v>
      </c>
    </row>
    <row r="28" spans="1:10">
      <c r="A28" s="22" t="s">
        <v>29</v>
      </c>
    </row>
    <row r="29" spans="1:10" ht="18">
      <c r="A29" s="29" t="s">
        <v>30</v>
      </c>
      <c r="B29" s="29" t="s">
        <v>56</v>
      </c>
      <c r="C29" s="29" t="s">
        <v>57</v>
      </c>
      <c r="D29" s="29" t="s">
        <v>58</v>
      </c>
      <c r="E29" s="29" t="s">
        <v>59</v>
      </c>
      <c r="F29" s="29" t="s">
        <v>60</v>
      </c>
      <c r="G29" s="29" t="s">
        <v>61</v>
      </c>
      <c r="H29" s="29" t="s">
        <v>62</v>
      </c>
      <c r="I29" s="29" t="s">
        <v>63</v>
      </c>
      <c r="J29" s="29" t="s">
        <v>64</v>
      </c>
    </row>
    <row r="30" spans="1:10">
      <c r="A30" s="30">
        <v>1</v>
      </c>
      <c r="B30" s="30">
        <v>0</v>
      </c>
      <c r="C30" s="30">
        <v>50</v>
      </c>
      <c r="D30" s="24">
        <f t="shared" ref="D30:D41" si="5">IF(273.15+C30&lt;273.16,EXP(-5674.5359/273.15+C30+6.3925247-0.009677843*273.15+C30+0.00000062215701*POWER(273.15+C30,2)+0.0000000020747825*POWER(273.15+C30,3)-0.000000000000948402*POWER(273.15+C30,4)+4.1635019*LN(273.15+C30))/1000,EXP(-5800.2206/(273.15+C30)+1.3914993-0.048640239*(273.15+C30)+0.000041764768*POWER((273.15+C30),2)-0.000000014452093*POWER((273.15+C30),3)+6.5459673*LN(273.15+C30))/1000)</f>
        <v>12.349856466723748</v>
      </c>
      <c r="E30" s="24">
        <f t="shared" ref="E30:E41" si="6">IF(273.15+B30&lt;273.16,EXP(-5674.5359/273.15+B30+6.3925247-0.009677843*273.15+B30+0.00000062215701*POWER(273.15+B30,2)+0.0000000020747825*POWER(273.15+B30,3)-0.000000000000948402*POWER(273.15+B30,4)+4.1635019*LN(273.15+B30))/1000,EXP(-5800.2206/(273.15+B30)+1.3914993-0.048640239*(273.15+B30)+0.000041764768*POWER((273.15+B30),2)-0.000000014452093*POWER((273.15+B30),3)+6.5459673*LN(273.15+B30))/1000)</f>
        <v>0.61115357225163369</v>
      </c>
      <c r="F30" s="20">
        <f>0.62198*(D30/('Psychrometric Chart'!$C$6-D30))</f>
        <v>8.6331568797076971E-2</v>
      </c>
      <c r="G30" s="20">
        <f>0.62198*(E30/('Psychrometric Chart'!$C$6-E30))</f>
        <v>3.7743102100838855E-3</v>
      </c>
      <c r="H30" s="21">
        <f>((2501-2.381*C30)*F30-('Psychrometric Chart'!$D$9-C30))/(2501+1.805*'Psychrometric Chart'!$D$9-4.186*C30)-'Supporting 3'!$C$10</f>
        <v>0.10331819036978583</v>
      </c>
      <c r="I30" s="21">
        <f>((2501-2.381*B30)*G30-('Psychrometric Chart'!$D$9-B30))/(2501+1.805*'Psychrometric Chart'!$D$9-4.186*B30)-'Supporting 3'!$C$10</f>
        <v>-3.2523754517679608E-3</v>
      </c>
      <c r="J30" s="21">
        <f t="shared" ref="J30:J41" si="7">IF(H30=I30,C30,C30-(C30-B30)*H30/(H30-I30))</f>
        <v>1.525925768853412</v>
      </c>
    </row>
    <row r="31" spans="1:10">
      <c r="A31" s="30">
        <v>2</v>
      </c>
      <c r="B31" s="30">
        <f t="shared" ref="B31:B41" si="8">C30</f>
        <v>50</v>
      </c>
      <c r="C31" s="30">
        <f t="shared" ref="C31:C41" si="9">J30:J30</f>
        <v>1.525925768853412</v>
      </c>
      <c r="D31" s="24">
        <f t="shared" si="5"/>
        <v>0.6823928229906876</v>
      </c>
      <c r="E31" s="24">
        <f t="shared" si="6"/>
        <v>12.349856466723748</v>
      </c>
      <c r="F31" s="20">
        <f>0.62198*(D31/('Psychrometric Chart'!$C$6-D31))</f>
        <v>4.2172465514258382E-3</v>
      </c>
      <c r="G31" s="20">
        <f>0.62198*(E31/('Psychrometric Chart'!$C$6-E31))</f>
        <v>8.6331568797076971E-2</v>
      </c>
      <c r="H31" s="21">
        <f>((2501-2.381*C31)*F31-('Psychrometric Chart'!$D$9-C31))/(2501+1.805*'Psychrometric Chart'!$D$9-4.186*C31)-'Supporting 3'!$C$10</f>
        <v>-2.2108642124075211E-3</v>
      </c>
      <c r="I31" s="21">
        <f>((2501-2.381*B31)*G31-('Psychrometric Chart'!$D$9-B31))/(2501+1.805*'Psychrometric Chart'!$D$9-4.186*B31)-'Supporting 3'!$C$10</f>
        <v>0.10331819036978583</v>
      </c>
      <c r="J31" s="21">
        <f t="shared" si="7"/>
        <v>2.5414716426559343</v>
      </c>
    </row>
    <row r="32" spans="1:10">
      <c r="A32" s="30">
        <v>3</v>
      </c>
      <c r="B32" s="30">
        <f t="shared" si="8"/>
        <v>1.525925768853412</v>
      </c>
      <c r="C32" s="30">
        <f t="shared" si="9"/>
        <v>2.5414716426559343</v>
      </c>
      <c r="D32" s="24">
        <f t="shared" si="5"/>
        <v>0.7337448581188234</v>
      </c>
      <c r="E32" s="24">
        <f t="shared" si="6"/>
        <v>0.6823928229906876</v>
      </c>
      <c r="F32" s="20">
        <f>0.62198*(D32/('Psychrometric Chart'!$C$6-D32))</f>
        <v>4.5369214869527379E-3</v>
      </c>
      <c r="G32" s="20">
        <f>0.62198*(E32/('Psychrometric Chart'!$C$6-E32))</f>
        <v>4.2172465514258382E-3</v>
      </c>
      <c r="H32" s="21">
        <f>((2501-2.381*C32)*F32-('Psychrometric Chart'!$D$9-C32))/(2501+1.805*'Psychrometric Chart'!$D$9-4.186*C32)-'Supporting 3'!$C$10</f>
        <v>-1.4907260262996586E-3</v>
      </c>
      <c r="I32" s="21">
        <f>((2501-2.381*B32)*G32-('Psychrometric Chart'!$D$9-B32))/(2501+1.805*'Psychrometric Chart'!$D$9-4.186*B32)-'Supporting 3'!$C$10</f>
        <v>-2.2108642124075211E-3</v>
      </c>
      <c r="J32" s="21">
        <f t="shared" si="7"/>
        <v>4.6437079831017058</v>
      </c>
    </row>
    <row r="33" spans="1:10">
      <c r="A33" s="30">
        <v>4</v>
      </c>
      <c r="B33" s="30">
        <f t="shared" si="8"/>
        <v>2.5414716426559343</v>
      </c>
      <c r="C33" s="30">
        <f t="shared" si="9"/>
        <v>4.6437079831017058</v>
      </c>
      <c r="D33" s="24">
        <f t="shared" si="5"/>
        <v>0.85104300385337495</v>
      </c>
      <c r="E33" s="24">
        <f t="shared" si="6"/>
        <v>0.7337448581188234</v>
      </c>
      <c r="F33" s="20">
        <f>0.62198*(D33/('Psychrometric Chart'!$C$6-D33))</f>
        <v>5.2683475734614802E-3</v>
      </c>
      <c r="G33" s="20">
        <f>0.62198*(E33/('Psychrometric Chart'!$C$6-E33))</f>
        <v>4.5369214869527379E-3</v>
      </c>
      <c r="H33" s="21">
        <f>((2501-2.381*C33)*F33-('Psychrometric Chart'!$D$9-C33))/(2501+1.805*'Psychrometric Chart'!$D$9-4.186*C33)-'Supporting 3'!$C$10</f>
        <v>7.5229848901617845E-5</v>
      </c>
      <c r="I33" s="21">
        <f>((2501-2.381*B33)*G33-('Psychrometric Chart'!$D$9-B33))/(2501+1.805*'Psychrometric Chart'!$D$9-4.186*B33)-'Supporting 3'!$C$10</f>
        <v>-1.4907260262996586E-3</v>
      </c>
      <c r="J33" s="21">
        <f t="shared" si="7"/>
        <v>4.5427147656351554</v>
      </c>
    </row>
    <row r="34" spans="1:10">
      <c r="A34" s="30">
        <v>5</v>
      </c>
      <c r="B34" s="30">
        <f t="shared" si="8"/>
        <v>4.6437079831017058</v>
      </c>
      <c r="C34" s="30">
        <f t="shared" si="9"/>
        <v>4.5427147656351554</v>
      </c>
      <c r="D34" s="24">
        <f t="shared" si="5"/>
        <v>0.84505005903804298</v>
      </c>
      <c r="E34" s="24">
        <f t="shared" si="6"/>
        <v>0.85104300385337495</v>
      </c>
      <c r="F34" s="20">
        <f>0.62198*(D34/('Psychrometric Chart'!$C$6-D34))</f>
        <v>5.2309364806541626E-3</v>
      </c>
      <c r="G34" s="20">
        <f>0.62198*(E34/('Psychrometric Chart'!$C$6-E34))</f>
        <v>5.2683475734614802E-3</v>
      </c>
      <c r="H34" s="21">
        <f>((2501-2.381*C34)*F34-('Psychrometric Chart'!$D$9-C34))/(2501+1.805*'Psychrometric Chart'!$D$9-4.186*C34)-'Supporting 3'!$C$10</f>
        <v>-2.448918778704106E-6</v>
      </c>
      <c r="I34" s="21">
        <f>((2501-2.381*B34)*G34-('Psychrometric Chart'!$D$9-B34))/(2501+1.805*'Psychrometric Chart'!$D$9-4.186*B34)-'Supporting 3'!$C$10</f>
        <v>7.5229848901617845E-5</v>
      </c>
      <c r="J34" s="21">
        <f t="shared" si="7"/>
        <v>4.5458987011449645</v>
      </c>
    </row>
    <row r="35" spans="1:10">
      <c r="A35" s="30">
        <v>6</v>
      </c>
      <c r="B35" s="30">
        <f t="shared" si="8"/>
        <v>4.5427147656351554</v>
      </c>
      <c r="C35" s="30">
        <f t="shared" si="9"/>
        <v>4.5458987011449645</v>
      </c>
      <c r="D35" s="24">
        <f t="shared" si="5"/>
        <v>0.84523842279505557</v>
      </c>
      <c r="E35" s="24">
        <f t="shared" si="6"/>
        <v>0.84505005903804298</v>
      </c>
      <c r="F35" s="20">
        <f>0.62198*(D35/('Psychrometric Chart'!$C$6-D35))</f>
        <v>5.2321122777159827E-3</v>
      </c>
      <c r="G35" s="20">
        <f>0.62198*(E35/('Psychrometric Chart'!$C$6-E35))</f>
        <v>5.2309364806541626E-3</v>
      </c>
      <c r="H35" s="21">
        <f>((2501-2.381*C35)*F35-('Psychrometric Chart'!$D$9-C35))/(2501+1.805*'Psychrometric Chart'!$D$9-4.186*C35)-'Supporting 3'!$C$10</f>
        <v>-3.9105789223156662E-9</v>
      </c>
      <c r="I35" s="21">
        <f>((2501-2.381*B35)*G35-('Psychrometric Chart'!$D$9-B35))/(2501+1.805*'Psychrometric Chart'!$D$9-4.186*B35)-'Supporting 3'!$C$10</f>
        <v>-2.448918778704106E-6</v>
      </c>
      <c r="J35" s="21">
        <f t="shared" si="7"/>
        <v>4.5459037935741415</v>
      </c>
    </row>
    <row r="36" spans="1:10">
      <c r="A36" s="30">
        <v>7</v>
      </c>
      <c r="B36" s="30">
        <f t="shared" si="8"/>
        <v>4.5458987011449645</v>
      </c>
      <c r="C36" s="30">
        <f t="shared" si="9"/>
        <v>4.5459037935741415</v>
      </c>
      <c r="D36" s="24">
        <f t="shared" si="5"/>
        <v>0.84523872409631606</v>
      </c>
      <c r="E36" s="24">
        <f t="shared" si="6"/>
        <v>0.84523842279505557</v>
      </c>
      <c r="F36" s="20">
        <f>0.62198*(D36/('Psychrometric Chart'!$C$6-D36))</f>
        <v>5.2321141584907539E-3</v>
      </c>
      <c r="G36" s="20">
        <f>0.62198*(E36/('Psychrometric Chart'!$C$6-E36))</f>
        <v>5.2321122777159827E-3</v>
      </c>
      <c r="H36" s="21">
        <f>((2501-2.381*C36)*F36-('Psychrometric Chart'!$D$9-C36))/(2501+1.805*'Psychrometric Chart'!$D$9-4.186*C36)-'Supporting 3'!$C$10</f>
        <v>2.0359885652410092E-13</v>
      </c>
      <c r="I36" s="21">
        <f>((2501-2.381*B36)*G36-('Psychrometric Chart'!$D$9-B36))/(2501+1.805*'Psychrometric Chart'!$D$9-4.186*B36)-'Supporting 3'!$C$10</f>
        <v>-3.9105789223156662E-9</v>
      </c>
      <c r="J36" s="21">
        <f t="shared" si="7"/>
        <v>4.5459037933090247</v>
      </c>
    </row>
    <row r="37" spans="1:10">
      <c r="A37" s="30">
        <v>8</v>
      </c>
      <c r="B37" s="30">
        <f t="shared" si="8"/>
        <v>4.5459037935741415</v>
      </c>
      <c r="C37" s="30">
        <f t="shared" si="9"/>
        <v>4.5459037933090247</v>
      </c>
      <c r="D37" s="24">
        <f t="shared" si="5"/>
        <v>0.84523872408063194</v>
      </c>
      <c r="E37" s="24">
        <f t="shared" si="6"/>
        <v>0.84523872409631606</v>
      </c>
      <c r="F37" s="20">
        <f>0.62198*(D37/('Psychrometric Chart'!$C$6-D37))</f>
        <v>5.2321141583928504E-3</v>
      </c>
      <c r="G37" s="20">
        <f>0.62198*(E37/('Psychrometric Chart'!$C$6-E37))</f>
        <v>5.2321141584907539E-3</v>
      </c>
      <c r="H37" s="21">
        <f>((2501-2.381*C37)*F37-('Psychrometric Chart'!$D$9-C37))/(2501+1.805*'Psychrometric Chart'!$D$9-4.186*C37)-'Supporting 3'!$C$10</f>
        <v>1.0842021724855044E-17</v>
      </c>
      <c r="I37" s="21">
        <f>((2501-2.381*B37)*G37-('Psychrometric Chart'!$D$9-B37))/(2501+1.805*'Psychrometric Chart'!$D$9-4.186*B37)-'Supporting 3'!$C$10</f>
        <v>2.0359885652410092E-13</v>
      </c>
      <c r="J37" s="21">
        <f t="shared" si="7"/>
        <v>4.5459037933090105</v>
      </c>
    </row>
    <row r="38" spans="1:10">
      <c r="A38" s="30">
        <v>9</v>
      </c>
      <c r="B38" s="30">
        <f t="shared" si="8"/>
        <v>4.5459037933090247</v>
      </c>
      <c r="C38" s="30">
        <f t="shared" si="9"/>
        <v>4.5459037933090105</v>
      </c>
      <c r="D38" s="24">
        <f t="shared" si="5"/>
        <v>0.84523872408063194</v>
      </c>
      <c r="E38" s="24">
        <f t="shared" si="6"/>
        <v>0.84523872408063194</v>
      </c>
      <c r="F38" s="20">
        <f>0.62198*(D38/('Psychrometric Chart'!$C$6-D38))</f>
        <v>5.2321141583928504E-3</v>
      </c>
      <c r="G38" s="20">
        <f>0.62198*(E38/('Psychrometric Chart'!$C$6-E38))</f>
        <v>5.2321141583928504E-3</v>
      </c>
      <c r="H38" s="21">
        <f>((2501-2.381*C38)*F38-('Psychrometric Chart'!$D$9-C38))/(2501+1.805*'Psychrometric Chart'!$D$9-4.186*C38)-'Supporting 3'!$C$10</f>
        <v>5.2041704279304213E-18</v>
      </c>
      <c r="I38" s="21">
        <f>((2501-2.381*B38)*G38-('Psychrometric Chart'!$D$9-B38))/(2501+1.805*'Psychrometric Chart'!$D$9-4.186*B38)-'Supporting 3'!$C$10</f>
        <v>1.0842021724855044E-17</v>
      </c>
      <c r="J38" s="21">
        <f t="shared" si="7"/>
        <v>4.5459037933089972</v>
      </c>
    </row>
    <row r="39" spans="1:10">
      <c r="A39" s="30">
        <v>10</v>
      </c>
      <c r="B39" s="30">
        <f t="shared" si="8"/>
        <v>4.5459037933090105</v>
      </c>
      <c r="C39" s="30">
        <f t="shared" si="9"/>
        <v>4.5459037933089972</v>
      </c>
      <c r="D39" s="24">
        <f t="shared" si="5"/>
        <v>0.84523872408063194</v>
      </c>
      <c r="E39" s="24">
        <f t="shared" si="6"/>
        <v>0.84523872408063194</v>
      </c>
      <c r="F39" s="20">
        <f>0.62198*(D39/('Psychrometric Chart'!$C$6-D39))</f>
        <v>5.2321141583928504E-3</v>
      </c>
      <c r="G39" s="20">
        <f>0.62198*(E39/('Psychrometric Chart'!$C$6-E39))</f>
        <v>5.2321141583928504E-3</v>
      </c>
      <c r="H39" s="21">
        <f>((2501-2.381*C39)*F39-('Psychrometric Chart'!$D$9-C39))/(2501+1.805*'Psychrometric Chart'!$D$9-4.186*C39)-'Supporting 3'!$C$10</f>
        <v>0</v>
      </c>
      <c r="I39" s="21">
        <f>((2501-2.381*B39)*G39-('Psychrometric Chart'!$D$9-B39))/(2501+1.805*'Psychrometric Chart'!$D$9-4.186*B39)-'Supporting 3'!$C$10</f>
        <v>5.2041704279304213E-18</v>
      </c>
      <c r="J39" s="21">
        <f t="shared" si="7"/>
        <v>4.5459037933089972</v>
      </c>
    </row>
    <row r="40" spans="1:10">
      <c r="A40" s="30">
        <v>11</v>
      </c>
      <c r="B40" s="30">
        <f t="shared" si="8"/>
        <v>4.5459037933089972</v>
      </c>
      <c r="C40" s="30">
        <f t="shared" si="9"/>
        <v>4.5459037933089972</v>
      </c>
      <c r="D40" s="24">
        <f t="shared" si="5"/>
        <v>0.84523872408063194</v>
      </c>
      <c r="E40" s="24">
        <f t="shared" si="6"/>
        <v>0.84523872408063194</v>
      </c>
      <c r="F40" s="20">
        <f>0.62198*(D40/('Psychrometric Chart'!$C$6-D40))</f>
        <v>5.2321141583928504E-3</v>
      </c>
      <c r="G40" s="20">
        <f>0.62198*(E40/('Psychrometric Chart'!$C$6-E40))</f>
        <v>5.2321141583928504E-3</v>
      </c>
      <c r="H40" s="21">
        <f>((2501-2.381*C40)*F40-('Psychrometric Chart'!$D$9-C40))/(2501+1.805*'Psychrometric Chart'!$D$9-4.186*C40)-'Supporting 3'!$C$10</f>
        <v>0</v>
      </c>
      <c r="I40" s="21">
        <f>((2501-2.381*B40)*G40-('Psychrometric Chart'!$D$9-B40))/(2501+1.805*'Psychrometric Chart'!$D$9-4.186*B40)-'Supporting 3'!$C$10</f>
        <v>0</v>
      </c>
      <c r="J40" s="21">
        <f t="shared" si="7"/>
        <v>4.5459037933089972</v>
      </c>
    </row>
    <row r="41" spans="1:10">
      <c r="A41" s="30">
        <v>12</v>
      </c>
      <c r="B41" s="30">
        <f t="shared" si="8"/>
        <v>4.5459037933089972</v>
      </c>
      <c r="C41" s="30">
        <f t="shared" si="9"/>
        <v>4.5459037933089972</v>
      </c>
      <c r="D41" s="24">
        <f t="shared" si="5"/>
        <v>0.84523872408063194</v>
      </c>
      <c r="E41" s="24">
        <f t="shared" si="6"/>
        <v>0.84523872408063194</v>
      </c>
      <c r="F41" s="20">
        <f>0.62198*(D41/('Psychrometric Chart'!$C$6-D41))</f>
        <v>5.2321141583928504E-3</v>
      </c>
      <c r="G41" s="20">
        <f>0.62198*(E41/('Psychrometric Chart'!$C$6-E41))</f>
        <v>5.2321141583928504E-3</v>
      </c>
      <c r="H41" s="21">
        <f>((2501-2.381*C41)*F41-('Psychrometric Chart'!$D$9-C41))/(2501+1.805*'Psychrometric Chart'!$D$9-4.186*C41)-'Supporting 3'!$C$10</f>
        <v>0</v>
      </c>
      <c r="I41" s="21">
        <f>((2501-2.381*B41)*G41-('Psychrometric Chart'!$D$9-B41))/(2501+1.805*'Psychrometric Chart'!$D$9-4.186*B41)-'Supporting 3'!$C$10</f>
        <v>0</v>
      </c>
      <c r="J41" s="21">
        <f t="shared" si="7"/>
        <v>4.5459037933089972</v>
      </c>
    </row>
    <row r="42" spans="1:10">
      <c r="A42" s="30"/>
      <c r="B42" s="30"/>
      <c r="C42" s="30"/>
      <c r="D42" s="24"/>
      <c r="E42" s="24"/>
      <c r="F42" s="20"/>
      <c r="G42" s="20"/>
    </row>
  </sheetData>
  <phoneticPr fontId="11"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D27"/>
  <sheetViews>
    <sheetView zoomScale="75" workbookViewId="0">
      <selection activeCell="M13" sqref="M13"/>
    </sheetView>
  </sheetViews>
  <sheetFormatPr defaultColWidth="10.26953125" defaultRowHeight="17"/>
  <cols>
    <col min="1" max="1" width="60.54296875" style="21" customWidth="1"/>
    <col min="2" max="2" width="10.26953125" style="21" customWidth="1"/>
    <col min="3" max="3" width="60.1796875" style="21" customWidth="1"/>
    <col min="4" max="16384" width="10.26953125" style="21"/>
  </cols>
  <sheetData>
    <row r="1" spans="1:4" ht="19.5">
      <c r="A1" s="23" t="s">
        <v>67</v>
      </c>
      <c r="B1" s="21">
        <f>273.15+'Psychrometric Chart'!C10</f>
        <v>292.34999999999997</v>
      </c>
      <c r="C1" s="23" t="s">
        <v>67</v>
      </c>
      <c r="D1" s="21">
        <f>273.15+'Psychrometric Chart'!D10</f>
        <v>282.75</v>
      </c>
    </row>
    <row r="2" spans="1:4">
      <c r="A2" s="20">
        <f>IF(B1&lt;273.16,-5674.5359/B1+6.3925247-0.009677843*B1,-5800.2206/B1+1.3914993-0.048640239*B1)</f>
        <v>-32.668462941754328</v>
      </c>
      <c r="C2" s="20">
        <f>IF(D1&lt;273.16,-5674.5359/D1+6.3925247-0.009677843*D1,-5800.2206/D1+1.3914993-0.048640239*D1)</f>
        <v>-32.875128984588635</v>
      </c>
    </row>
    <row r="3" spans="1:4">
      <c r="A3" s="21">
        <f>IF(B1&lt;273.16,0.00000062215701*POWER(B1,2)+0.0000000020747825*POWER(B1,3)-0.000000000000948402*POWER(B1,4)+4.1635019*LN(B1),0.000041764768*POWER(B1,2)-0.000000014452093*POWER(B1,3)+6.5459673*LN(B1))</f>
        <v>40.376148830308381</v>
      </c>
      <c r="C3" s="21">
        <f>IF(D1&lt;273.16,0.00000062215701*POWER(D1,2)+0.0000000020747825*POWER(D1,3)-0.000000000000948402*POWER(D1,4)+4.1635019*LN(D1),0.000041764768*POWER(D1,2)-0.000000014452093*POWER(D1,3)+6.5459673*LN(D1))</f>
        <v>39.961424906761906</v>
      </c>
    </row>
    <row r="4" spans="1:4">
      <c r="A4" s="21">
        <f>EXP(A2+A3)/1000</f>
        <v>2.2253865026126225</v>
      </c>
      <c r="C4" s="21">
        <f>EXP(C2+C3)/1000</f>
        <v>1.1954714700615636</v>
      </c>
    </row>
    <row r="6" spans="1:4" ht="17.5">
      <c r="A6" s="23" t="s">
        <v>68</v>
      </c>
      <c r="C6" s="23" t="s">
        <v>68</v>
      </c>
    </row>
    <row r="7" spans="1:4">
      <c r="A7" s="21">
        <f>0.62198*A4/('Psychrometric Chart'!$C$6-A4)</f>
        <v>1.3967217913836667E-2</v>
      </c>
      <c r="C7" s="21">
        <f>0.62198*C4/('Psychrometric Chart'!$C$6-C4)</f>
        <v>7.4259746936346472E-3</v>
      </c>
    </row>
    <row r="9" spans="1:4">
      <c r="A9" s="23" t="s">
        <v>32</v>
      </c>
      <c r="C9" s="23" t="s">
        <v>32</v>
      </c>
    </row>
    <row r="10" spans="1:4">
      <c r="A10" s="21">
        <f>IF('Supporting 4.1'!$H23=0,'Supporting 4.1'!$J22,IF(ABS('Supporting 4.1'!$I26-'Supporting 4.1'!$H26)&lt;0.00005,'Supporting 4.1'!$J26,IF(ABS('Supporting 4.1'!$I27-'Supporting 4.1'!$H27)&lt;0.00005,'Supporting 4.1'!$J27,IF(ABS('Supporting 4.1'!$I28-'Supporting 4.1'!$H28)&lt;0.00005,'Supporting 4.1'!$J28,IF(ABS('Supporting 4.1'!$I29-'Supporting 4.1'!$H29)&lt;0.00005,'Supporting 4.1'!$J29,IF(ABS('Supporting 4.1'!$I30-'Supporting 4.1'!$H30)&lt;0.00005,'Supporting 4.1'!$J30,IF(ABS('Supporting 4.1'!$I31-'Supporting 4.1'!$H31)&lt;0.005,'Supporting 4.1'!$J31)))))))</f>
        <v>53.493497842130878</v>
      </c>
      <c r="C10" s="21">
        <f>IF('Supporting 4.1'!$H39=0,'Supporting 4.1'!$J38,IF(ABS('Supporting 4.1'!$I42-'Supporting 4.1'!$H42)&lt;0.00005,'Supporting 4.1'!$J42,IF(ABS('Supporting 4.1'!$I43-'Supporting 4.1'!$H43)&lt;0.00005,'Supporting 4.1'!$J43,IF(ABS('Supporting 4.1'!$I44-'Supporting 4.1'!$H44)&lt;0.00005,'Supporting 4.1'!$J44,IF(ABS('Supporting 4.1'!$I45-'Supporting 4.1'!$H45)&lt;0.00005,'Supporting 4.1'!$J45,IF(ABS('Supporting 4.1'!$I46-'Supporting 4.1'!$H46)&lt;0.00005,'Supporting 4.1'!$J46,IF(ABS('Supporting 4.1'!$I47-'Supporting 4.1'!$H47)&lt;0.005,'Supporting 4.1'!$J47)))))))</f>
        <v>16.463492099841911</v>
      </c>
    </row>
    <row r="12" spans="1:4">
      <c r="A12" s="23" t="s">
        <v>19</v>
      </c>
      <c r="C12" s="23" t="s">
        <v>19</v>
      </c>
    </row>
    <row r="13" spans="1:4">
      <c r="A13" s="21">
        <f>((2501-2.381*'Psychrometric Chart'!C10)*A7-(A10-'Psychrometric Chart'!C10))/(2501+1.805*A10-4.186*'Psychrometric Chart'!C10)</f>
        <v>0</v>
      </c>
      <c r="C13" s="21">
        <f>((2501-2.381*'Psychrometric Chart'!D10)*C7-(C10-'Psychrometric Chart'!D10))/(2501+1.805*C10-4.186*'Psychrometric Chart'!D10)</f>
        <v>4.6332009658858102E-3</v>
      </c>
    </row>
    <row r="15" spans="1:4">
      <c r="A15" s="23" t="s">
        <v>22</v>
      </c>
      <c r="C15" s="23" t="s">
        <v>22</v>
      </c>
    </row>
    <row r="16" spans="1:4">
      <c r="A16" s="21">
        <f>(0.2871*(A10+273.15)*(1+1.6078*A13))/'Psychrometric Chart'!$C$6</f>
        <v>0.92553020706119693</v>
      </c>
      <c r="C16" s="21">
        <f>(0.2871*(C10+273.15)*(1+1.6078*C13))/'Psychrometric Chart'!$C$6</f>
        <v>0.82672020671261326</v>
      </c>
    </row>
    <row r="18" spans="1:3">
      <c r="A18" s="23" t="s">
        <v>23</v>
      </c>
      <c r="C18" s="23" t="s">
        <v>23</v>
      </c>
    </row>
    <row r="19" spans="1:3">
      <c r="A19" s="21">
        <f>1.006*A10+A13*(2501+1.805*A10)</f>
        <v>53.814458829183664</v>
      </c>
      <c r="C19" s="21">
        <f>1.006*C10+C13*(2501+1.805*C10)</f>
        <v>28.287591662956778</v>
      </c>
    </row>
    <row r="21" spans="1:3" ht="17.5">
      <c r="A21" s="20" t="s">
        <v>69</v>
      </c>
      <c r="C21" s="20" t="s">
        <v>69</v>
      </c>
    </row>
    <row r="22" spans="1:3">
      <c r="A22" s="21">
        <f>'Psychrometric Chart'!$C$6*A13/(0.62198+A13)</f>
        <v>0</v>
      </c>
      <c r="C22" s="21">
        <f>'Psychrometric Chart'!$C$6*C13/(0.62198+C13)</f>
        <v>0.74920076235983757</v>
      </c>
    </row>
    <row r="24" spans="1:3" ht="17.5">
      <c r="A24" s="23" t="s">
        <v>48</v>
      </c>
      <c r="C24" s="23" t="s">
        <v>48</v>
      </c>
    </row>
    <row r="25" spans="1:3">
      <c r="A25" s="21" t="str">
        <f>IF(A22&lt;0.6112,"n/a (&lt;0C)",6.54+14.526*LN(A22)+0.7389*POWER(LN(A22),2)+0.09486*POWER(LN(A22),3)+0.4569*POWER(A22,0.1984))</f>
        <v>n/a (&lt;0C)</v>
      </c>
      <c r="C25" s="21">
        <f>IF(C22&lt;0.6112,"n/a (&lt;0C)",6.54+14.526*LN(C22)+0.7389*POWER(LN(C22),2)+0.09486*POWER(LN(C22),3)+0.4569*POWER(C22,0.1984))</f>
        <v>2.8364257255907379</v>
      </c>
    </row>
    <row r="27" spans="1:3">
      <c r="C27" s="21">
        <f>IF('Supporting 4.1'!$I30-'Supporting 4.1'!$H30&lt;0.0000000005,'Supporting 4.1'!$J30)</f>
        <v>53.493497842130878</v>
      </c>
    </row>
  </sheetData>
  <phoneticPr fontId="11" type="noConversion"/>
  <pageMargins left="0.75" right="0.75" top="1" bottom="1" header="0.5" footer="0.5"/>
  <headerFooter alignWithMargins="0"/>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J49"/>
  <sheetViews>
    <sheetView topLeftCell="B19" zoomScale="75" workbookViewId="0">
      <selection activeCell="M13" sqref="M13"/>
    </sheetView>
  </sheetViews>
  <sheetFormatPr defaultColWidth="10.26953125" defaultRowHeight="17"/>
  <cols>
    <col min="1" max="1" width="47" style="21" customWidth="1"/>
    <col min="2" max="5" width="10.26953125" style="21" customWidth="1"/>
    <col min="6" max="7" width="14.7265625" style="21" bestFit="1" customWidth="1"/>
    <col min="8" max="8" width="10.26953125" style="21" customWidth="1"/>
    <col min="9" max="9" width="15.54296875" style="21" bestFit="1" customWidth="1"/>
    <col min="10" max="16384" width="10.26953125" style="21"/>
  </cols>
  <sheetData>
    <row r="1" spans="1:1" ht="17.5">
      <c r="A1" s="20" t="s">
        <v>70</v>
      </c>
    </row>
    <row r="2" spans="1:1" ht="95.5">
      <c r="A2" s="26" t="s">
        <v>71</v>
      </c>
    </row>
    <row r="4" spans="1:1" ht="17.5">
      <c r="A4" s="20" t="s">
        <v>72</v>
      </c>
    </row>
    <row r="5" spans="1:1" ht="19">
      <c r="A5" s="21" t="s">
        <v>73</v>
      </c>
    </row>
    <row r="6" spans="1:1">
      <c r="A6" s="20"/>
    </row>
    <row r="7" spans="1:1" ht="17.5">
      <c r="A7" s="20" t="s">
        <v>74</v>
      </c>
    </row>
    <row r="8" spans="1:1" ht="17.5">
      <c r="A8" s="20" t="s">
        <v>75</v>
      </c>
    </row>
    <row r="10" spans="1:1">
      <c r="A10" s="20" t="s">
        <v>33</v>
      </c>
    </row>
    <row r="11" spans="1:1">
      <c r="A11" s="20"/>
    </row>
    <row r="12" spans="1:1">
      <c r="A12" s="20" t="s">
        <v>34</v>
      </c>
    </row>
    <row r="13" spans="1:1" ht="17.5">
      <c r="A13" s="20" t="s">
        <v>76</v>
      </c>
    </row>
    <row r="15" spans="1:1">
      <c r="A15" s="27" t="s">
        <v>35</v>
      </c>
    </row>
    <row r="16" spans="1:1">
      <c r="A16" s="20" t="s">
        <v>36</v>
      </c>
    </row>
    <row r="17" spans="1:10">
      <c r="A17" s="20" t="s">
        <v>77</v>
      </c>
    </row>
    <row r="18" spans="1:10" ht="19">
      <c r="A18" s="20" t="s">
        <v>78</v>
      </c>
    </row>
    <row r="20" spans="1:10" ht="18">
      <c r="A20" s="28" t="s">
        <v>29</v>
      </c>
    </row>
    <row r="21" spans="1:10" ht="18">
      <c r="A21" s="29" t="s">
        <v>30</v>
      </c>
      <c r="B21" s="29" t="s">
        <v>79</v>
      </c>
      <c r="C21" s="29" t="s">
        <v>80</v>
      </c>
      <c r="D21" s="29" t="s">
        <v>81</v>
      </c>
      <c r="E21" s="29" t="s">
        <v>82</v>
      </c>
      <c r="F21" s="29" t="s">
        <v>83</v>
      </c>
      <c r="G21" s="29" t="s">
        <v>84</v>
      </c>
      <c r="H21" s="29" t="s">
        <v>85</v>
      </c>
      <c r="I21" s="29" t="s">
        <v>86</v>
      </c>
      <c r="J21" s="29" t="s">
        <v>87</v>
      </c>
    </row>
    <row r="22" spans="1:10">
      <c r="A22" s="30">
        <v>1</v>
      </c>
      <c r="B22" s="21">
        <v>0</v>
      </c>
      <c r="C22" s="21">
        <v>50</v>
      </c>
      <c r="D22" s="20">
        <f t="shared" ref="D22:D33" si="0">IF(273.15+C22&lt;273.16,EXP(-5674.5359/273.15+C22+6.3925247-0.009677843*273.15+C22+0.00000062215701*POWER(273.15+C22,2)+0.0000000020747825*POWER(273.15+C22,3)-0.000000000000948402*POWER(273.15+C22,4)+4.1635019*LN(273.15+C22))/1000,EXP(-5800.2206/(273.15+C22)+1.3914993-0.048640239*(273.15+C22)+0.000041764768*POWER((273.15+C22),2)-0.000000014452093*POWER((273.15+C22),3)+6.5459673*LN(273.15+C22))/1000)</f>
        <v>12.349856466723748</v>
      </c>
      <c r="E22" s="20">
        <f t="shared" ref="E22:E33" si="1">IF(273.15+B22&lt;273.16,EXP(-5674.5359/273.15+B22+6.3925247-0.009677843*273.15+B22+0.00000062215701*POWER(273.15+B22,2)+0.0000000020747825*POWER(273.15+B22,3)-0.000000000000948402*POWER(273.15+B22,4)+4.1635019*LN(273.15+B22))/1000,EXP(-5800.2206/(273.15+B22)+1.3914993-0.048640239*(273.15+B22)+0.000041764768*POWER((273.15+B22),2)-0.000000014452093*POWER((273.15+B22),3)+6.5459673*LN(273.15+B22))/1000)</f>
        <v>0.61115357225163369</v>
      </c>
      <c r="F22" s="21">
        <f>'Psychrometric Chart'!$C$12*D22/100</f>
        <v>0</v>
      </c>
      <c r="G22" s="21">
        <f>'Psychrometric Chart'!$C$12*E22/100</f>
        <v>0</v>
      </c>
      <c r="H22" s="21">
        <f>((2501-2.381*'Psychrometric Chart'!$C$10)*'Supporting 4'!$A$7-(C22-'Psychrometric Chart'!$C$10))/(2501+1.805*C22-4.186*'Psychrometric Chart'!$C$10)-0.62198*F22/('Psychrometric Chart'!$C$6-F22)</f>
        <v>1.3913446726822795E-3</v>
      </c>
      <c r="I22" s="21">
        <f>((2501-2.381*'Psychrometric Chart'!$C$10)*'Supporting 4'!$A$7-(B22-'Psychrometric Chart'!$C$10))/(2501+1.805*B22-4.186*'Psychrometric Chart'!$C$10)-0.62198*G22/('Psychrometric Chart'!$C$6-G22)</f>
        <v>2.2099009084800975E-2</v>
      </c>
      <c r="J22" s="21">
        <f t="shared" ref="J22:J33" si="2">IF(H22=I22,C22,C22-(C22-B22)*H22/(H22-I22))</f>
        <v>53.359492033944754</v>
      </c>
    </row>
    <row r="23" spans="1:10">
      <c r="A23" s="30">
        <v>2</v>
      </c>
      <c r="B23" s="20">
        <f t="shared" ref="B23:B33" si="3">C22</f>
        <v>50</v>
      </c>
      <c r="C23" s="21">
        <f t="shared" ref="C23:C33" si="4">J22:J22</f>
        <v>53.359492033944754</v>
      </c>
      <c r="D23" s="20">
        <f t="shared" si="0"/>
        <v>14.561806894189418</v>
      </c>
      <c r="E23" s="20">
        <f t="shared" si="1"/>
        <v>12.349856466723748</v>
      </c>
      <c r="F23" s="21">
        <f>'Psychrometric Chart'!$C$12*D23/100</f>
        <v>0</v>
      </c>
      <c r="G23" s="21">
        <f>'Psychrometric Chart'!$C$12*E23/100</f>
        <v>0</v>
      </c>
      <c r="H23" s="21">
        <f>((2501-2.381*'Psychrometric Chart'!$C$10)*'Supporting 4'!$A$7-(C23-'Psychrometric Chart'!$C$10))/(2501+1.805*C23-4.186*'Psychrometric Chart'!$C$10)-0.62198*F23/('Psychrometric Chart'!$C$6-F23)</f>
        <v>5.3241501717447204E-5</v>
      </c>
      <c r="I23" s="21">
        <f>((2501-2.381*'Psychrometric Chart'!$C$10)*'Supporting 4'!$A$7-(B23-'Psychrometric Chart'!$C$10))/(2501+1.805*B23-4.186*'Psychrometric Chart'!$C$10)-0.62198*G23/('Psychrometric Chart'!$C$6-G23)</f>
        <v>1.3913446726822795E-3</v>
      </c>
      <c r="J23" s="21">
        <f t="shared" si="2"/>
        <v>53.49316214606776</v>
      </c>
    </row>
    <row r="24" spans="1:10">
      <c r="A24" s="30">
        <v>3</v>
      </c>
      <c r="B24" s="20">
        <f t="shared" si="3"/>
        <v>53.359492033944754</v>
      </c>
      <c r="C24" s="21">
        <f t="shared" si="4"/>
        <v>53.49316214606776</v>
      </c>
      <c r="D24" s="20">
        <f t="shared" si="0"/>
        <v>14.656406508096897</v>
      </c>
      <c r="E24" s="20">
        <f t="shared" si="1"/>
        <v>14.561806894189418</v>
      </c>
      <c r="F24" s="21">
        <f>'Psychrometric Chart'!$C$12*D24/100</f>
        <v>0</v>
      </c>
      <c r="G24" s="21">
        <f>'Psychrometric Chart'!$C$12*E24/100</f>
        <v>0</v>
      </c>
      <c r="H24" s="21">
        <f>((2501-2.381*'Psychrometric Chart'!$C$10)*'Supporting 4'!$A$7-(C24-'Psychrometric Chart'!$C$10))/(2501+1.805*C24-4.186*'Psychrometric Chart'!$C$10)-0.62198*F24/('Psychrometric Chart'!$C$6-F24)</f>
        <v>1.3336175216540513E-7</v>
      </c>
      <c r="I24" s="21">
        <f>((2501-2.381*'Psychrometric Chart'!$C$10)*'Supporting 4'!$A$7-(B24-'Psychrometric Chart'!$C$10))/(2501+1.805*B24-4.186*'Psychrometric Chart'!$C$10)-0.62198*G24/('Psychrometric Chart'!$C$6-G24)</f>
        <v>5.3241501717447204E-5</v>
      </c>
      <c r="J24" s="21">
        <f t="shared" si="2"/>
        <v>53.493497809873283</v>
      </c>
    </row>
    <row r="25" spans="1:10">
      <c r="A25" s="30">
        <v>4</v>
      </c>
      <c r="B25" s="20">
        <f t="shared" si="3"/>
        <v>53.49316214606776</v>
      </c>
      <c r="C25" s="21">
        <f t="shared" si="4"/>
        <v>53.493497809873283</v>
      </c>
      <c r="D25" s="20">
        <f t="shared" si="0"/>
        <v>14.656644720672505</v>
      </c>
      <c r="E25" s="20">
        <f t="shared" si="1"/>
        <v>14.656406508096897</v>
      </c>
      <c r="F25" s="21">
        <f>'Psychrometric Chart'!$C$12*D25/100</f>
        <v>0</v>
      </c>
      <c r="G25" s="21">
        <f>'Psychrometric Chart'!$C$12*E25/100</f>
        <v>0</v>
      </c>
      <c r="H25" s="21">
        <f>((2501-2.381*'Psychrometric Chart'!$C$10)*'Supporting 4'!$A$7-(C25-'Psychrometric Chart'!$C$10))/(2501+1.805*C25-4.186*'Psychrometric Chart'!$C$10)-0.62198*F25/('Psychrometric Chart'!$C$6-F25)</f>
        <v>1.2814947726680515E-11</v>
      </c>
      <c r="I25" s="21">
        <f>((2501-2.381*'Psychrometric Chart'!$C$10)*'Supporting 4'!$A$7-(B25-'Psychrometric Chart'!$C$10))/(2501+1.805*B25-4.186*'Psychrometric Chart'!$C$10)-0.62198*G25/('Psychrometric Chart'!$C$6-G25)</f>
        <v>1.3336175216540513E-7</v>
      </c>
      <c r="J25" s="21">
        <f t="shared" si="2"/>
        <v>53.493497842130864</v>
      </c>
    </row>
    <row r="26" spans="1:10">
      <c r="A26" s="30">
        <v>5</v>
      </c>
      <c r="B26" s="20">
        <f t="shared" si="3"/>
        <v>53.493497809873283</v>
      </c>
      <c r="C26" s="21">
        <f t="shared" si="4"/>
        <v>53.493497842130864</v>
      </c>
      <c r="D26" s="20">
        <f t="shared" si="0"/>
        <v>14.656644743564938</v>
      </c>
      <c r="E26" s="20">
        <f t="shared" si="1"/>
        <v>14.656644720672505</v>
      </c>
      <c r="F26" s="21">
        <f>'Psychrometric Chart'!$C$12*D26/100</f>
        <v>0</v>
      </c>
      <c r="G26" s="21">
        <f>'Psychrometric Chart'!$C$12*E26/100</f>
        <v>0</v>
      </c>
      <c r="H26" s="21">
        <f>((2501-2.381*'Psychrometric Chart'!$C$10)*'Supporting 4'!$A$7-(C26-'Psychrometric Chart'!$C$10))/(2501+1.805*C26-4.186*'Psychrometric Chart'!$C$10)-0.62198*F26/('Psychrometric Chart'!$C$6-F26)</f>
        <v>5.6455354607965606E-18</v>
      </c>
      <c r="I26" s="21">
        <f>((2501-2.381*'Psychrometric Chart'!$C$10)*'Supporting 4'!$A$7-(B26-'Psychrometric Chart'!$C$10))/(2501+1.805*B26-4.186*'Psychrometric Chart'!$C$10)-0.62198*G26/('Psychrometric Chart'!$C$6-G26)</f>
        <v>1.2814947726680515E-11</v>
      </c>
      <c r="J26" s="21">
        <f t="shared" si="2"/>
        <v>53.493497842130878</v>
      </c>
    </row>
    <row r="27" spans="1:10">
      <c r="A27" s="30">
        <v>6</v>
      </c>
      <c r="B27" s="20">
        <f t="shared" si="3"/>
        <v>53.493497842130864</v>
      </c>
      <c r="C27" s="21">
        <f t="shared" si="4"/>
        <v>53.493497842130878</v>
      </c>
      <c r="D27" s="20">
        <f t="shared" si="0"/>
        <v>14.656644743564938</v>
      </c>
      <c r="E27" s="20">
        <f t="shared" si="1"/>
        <v>14.656644743564938</v>
      </c>
      <c r="F27" s="21">
        <f>'Psychrometric Chart'!$C$12*D27/100</f>
        <v>0</v>
      </c>
      <c r="G27" s="21">
        <f>'Psychrometric Chart'!$C$12*E27/100</f>
        <v>0</v>
      </c>
      <c r="H27" s="21">
        <f>((2501-2.381*'Psychrometric Chart'!$C$10)*'Supporting 4'!$A$7-(C27-'Psychrometric Chart'!$C$10))/(2501+1.805*C27-4.186*'Psychrometric Chart'!$C$10)-0.62198*F27/('Psychrometric Chart'!$C$6-F27)</f>
        <v>0</v>
      </c>
      <c r="I27" s="21">
        <f>((2501-2.381*'Psychrometric Chart'!$C$10)*'Supporting 4'!$A$7-(B27-'Psychrometric Chart'!$C$10))/(2501+1.805*B27-4.186*'Psychrometric Chart'!$C$10)-0.62198*G27/('Psychrometric Chart'!$C$6-G27)</f>
        <v>5.6455354607965606E-18</v>
      </c>
      <c r="J27" s="21">
        <f t="shared" si="2"/>
        <v>53.493497842130878</v>
      </c>
    </row>
    <row r="28" spans="1:10">
      <c r="A28" s="30">
        <v>7</v>
      </c>
      <c r="B28" s="20">
        <f t="shared" si="3"/>
        <v>53.493497842130878</v>
      </c>
      <c r="C28" s="21">
        <f t="shared" si="4"/>
        <v>53.493497842130878</v>
      </c>
      <c r="D28" s="20">
        <f t="shared" si="0"/>
        <v>14.656644743564938</v>
      </c>
      <c r="E28" s="20">
        <f t="shared" si="1"/>
        <v>14.656644743564938</v>
      </c>
      <c r="F28" s="21">
        <f>'Psychrometric Chart'!$C$12*D28/100</f>
        <v>0</v>
      </c>
      <c r="G28" s="21">
        <f>'Psychrometric Chart'!$C$12*E28/100</f>
        <v>0</v>
      </c>
      <c r="H28" s="21">
        <f>((2501-2.381*'Psychrometric Chart'!$C$10)*'Supporting 4'!$A$7-(C28-'Psychrometric Chart'!$C$10))/(2501+1.805*C28-4.186*'Psychrometric Chart'!$C$10)-0.62198*F28/('Psychrometric Chart'!$C$6-F28)</f>
        <v>0</v>
      </c>
      <c r="I28" s="21">
        <f>((2501-2.381*'Psychrometric Chart'!$C$10)*'Supporting 4'!$A$7-(B28-'Psychrometric Chart'!$C$10))/(2501+1.805*B28-4.186*'Psychrometric Chart'!$C$10)-0.62198*G28/('Psychrometric Chart'!$C$6-G28)</f>
        <v>0</v>
      </c>
      <c r="J28" s="21">
        <f t="shared" si="2"/>
        <v>53.493497842130878</v>
      </c>
    </row>
    <row r="29" spans="1:10">
      <c r="A29" s="30">
        <v>8</v>
      </c>
      <c r="B29" s="20">
        <f t="shared" si="3"/>
        <v>53.493497842130878</v>
      </c>
      <c r="C29" s="21">
        <f t="shared" si="4"/>
        <v>53.493497842130878</v>
      </c>
      <c r="D29" s="20">
        <f t="shared" si="0"/>
        <v>14.656644743564938</v>
      </c>
      <c r="E29" s="20">
        <f t="shared" si="1"/>
        <v>14.656644743564938</v>
      </c>
      <c r="F29" s="21">
        <f>'Psychrometric Chart'!$C$12*D29/100</f>
        <v>0</v>
      </c>
      <c r="G29" s="21">
        <f>'Psychrometric Chart'!$C$12*E29/100</f>
        <v>0</v>
      </c>
      <c r="H29" s="21">
        <f>((2501-2.381*'Psychrometric Chart'!$C$10)*'Supporting 4'!$A$7-(C29-'Psychrometric Chart'!$C$10))/(2501+1.805*C29-4.186*'Psychrometric Chart'!$C$10)-0.62198*F29/('Psychrometric Chart'!$C$6-F29)</f>
        <v>0</v>
      </c>
      <c r="I29" s="21">
        <f>((2501-2.381*'Psychrometric Chart'!$C$10)*'Supporting 4'!$A$7-(B29-'Psychrometric Chart'!$C$10))/(2501+1.805*B29-4.186*'Psychrometric Chart'!$C$10)-0.62198*G29/('Psychrometric Chart'!$C$6-G29)</f>
        <v>0</v>
      </c>
      <c r="J29" s="21">
        <f t="shared" si="2"/>
        <v>53.493497842130878</v>
      </c>
    </row>
    <row r="30" spans="1:10">
      <c r="A30" s="30">
        <v>9</v>
      </c>
      <c r="B30" s="20">
        <f t="shared" si="3"/>
        <v>53.493497842130878</v>
      </c>
      <c r="C30" s="21">
        <f t="shared" si="4"/>
        <v>53.493497842130878</v>
      </c>
      <c r="D30" s="20">
        <f t="shared" si="0"/>
        <v>14.656644743564938</v>
      </c>
      <c r="E30" s="20">
        <f t="shared" si="1"/>
        <v>14.656644743564938</v>
      </c>
      <c r="F30" s="21">
        <f>'Psychrometric Chart'!$C$12*D30/100</f>
        <v>0</v>
      </c>
      <c r="G30" s="21">
        <f>'Psychrometric Chart'!$C$12*E30/100</f>
        <v>0</v>
      </c>
      <c r="H30" s="21">
        <f>((2501-2.381*'Psychrometric Chart'!$C$10)*'Supporting 4'!$A$7-(C30-'Psychrometric Chart'!$C$10))/(2501+1.805*C30-4.186*'Psychrometric Chart'!$C$10)-0.62198*F30/('Psychrometric Chart'!$C$6-F30)</f>
        <v>0</v>
      </c>
      <c r="I30" s="21">
        <f>((2501-2.381*'Psychrometric Chart'!$C$10)*'Supporting 4'!$A$7-(B30-'Psychrometric Chart'!$C$10))/(2501+1.805*B30-4.186*'Psychrometric Chart'!$C$10)-0.62198*G30/('Psychrometric Chart'!$C$6-G30)</f>
        <v>0</v>
      </c>
      <c r="J30" s="21">
        <f t="shared" si="2"/>
        <v>53.493497842130878</v>
      </c>
    </row>
    <row r="31" spans="1:10">
      <c r="A31" s="30">
        <v>10</v>
      </c>
      <c r="B31" s="20">
        <f t="shared" si="3"/>
        <v>53.493497842130878</v>
      </c>
      <c r="C31" s="21">
        <f t="shared" si="4"/>
        <v>53.493497842130878</v>
      </c>
      <c r="D31" s="20">
        <f t="shared" si="0"/>
        <v>14.656644743564938</v>
      </c>
      <c r="E31" s="20">
        <f t="shared" si="1"/>
        <v>14.656644743564938</v>
      </c>
      <c r="F31" s="21">
        <f>'Psychrometric Chart'!$C$12*D31/100</f>
        <v>0</v>
      </c>
      <c r="G31" s="21">
        <f>'Psychrometric Chart'!$C$12*E31/100</f>
        <v>0</v>
      </c>
      <c r="H31" s="21">
        <f>((2501-2.381*'Psychrometric Chart'!$C$10)*'Supporting 4'!$A$7-(C31-'Psychrometric Chart'!$C$10))/(2501+1.805*C31-4.186*'Psychrometric Chart'!$C$10)-0.62198*F31/('Psychrometric Chart'!$C$6-F31)</f>
        <v>0</v>
      </c>
      <c r="I31" s="21">
        <f>((2501-2.381*'Psychrometric Chart'!$C$10)*'Supporting 4'!$A$7-(B31-'Psychrometric Chart'!$C$10))/(2501+1.805*B31-4.186*'Psychrometric Chart'!$C$10)-0.62198*G31/('Psychrometric Chart'!$C$6-G31)</f>
        <v>0</v>
      </c>
      <c r="J31" s="21">
        <f t="shared" si="2"/>
        <v>53.493497842130878</v>
      </c>
    </row>
    <row r="32" spans="1:10">
      <c r="A32" s="30">
        <v>11</v>
      </c>
      <c r="B32" s="20">
        <f t="shared" si="3"/>
        <v>53.493497842130878</v>
      </c>
      <c r="C32" s="21">
        <f t="shared" si="4"/>
        <v>53.493497842130878</v>
      </c>
      <c r="D32" s="20">
        <f t="shared" si="0"/>
        <v>14.656644743564938</v>
      </c>
      <c r="E32" s="20">
        <f t="shared" si="1"/>
        <v>14.656644743564938</v>
      </c>
      <c r="F32" s="21">
        <f>'Psychrometric Chart'!$C$12*D32/100</f>
        <v>0</v>
      </c>
      <c r="G32" s="21">
        <f>'Psychrometric Chart'!$C$12*E32/100</f>
        <v>0</v>
      </c>
      <c r="H32" s="21">
        <f>((2501-2.381*'Psychrometric Chart'!$C$10)*'Supporting 4'!$A$7-(C32-'Psychrometric Chart'!$C$10))/(2501+1.805*C32-4.186*'Psychrometric Chart'!$C$10)-0.62198*F32/('Psychrometric Chart'!$C$6-F32)</f>
        <v>0</v>
      </c>
      <c r="I32" s="21">
        <f>((2501-2.381*'Psychrometric Chart'!$C$10)*'Supporting 4'!$A$7-(B32-'Psychrometric Chart'!$C$10))/(2501+1.805*B32-4.186*'Psychrometric Chart'!$C$10)-0.62198*G32/('Psychrometric Chart'!$C$6-G32)</f>
        <v>0</v>
      </c>
      <c r="J32" s="21">
        <f t="shared" si="2"/>
        <v>53.493497842130878</v>
      </c>
    </row>
    <row r="33" spans="1:10">
      <c r="A33" s="30">
        <v>12</v>
      </c>
      <c r="B33" s="20">
        <f t="shared" si="3"/>
        <v>53.493497842130878</v>
      </c>
      <c r="C33" s="21">
        <f t="shared" si="4"/>
        <v>53.493497842130878</v>
      </c>
      <c r="D33" s="20">
        <f t="shared" si="0"/>
        <v>14.656644743564938</v>
      </c>
      <c r="E33" s="20">
        <f t="shared" si="1"/>
        <v>14.656644743564938</v>
      </c>
      <c r="F33" s="21">
        <f>'Psychrometric Chart'!$C$12*D33/100</f>
        <v>0</v>
      </c>
      <c r="G33" s="21">
        <f>'Psychrometric Chart'!$C$12*E33/100</f>
        <v>0</v>
      </c>
      <c r="H33" s="21">
        <f>((2501-2.381*'Psychrometric Chart'!$C$10)*'Supporting 4'!$A$7-(C33-'Psychrometric Chart'!$C$10))/(2501+1.805*C33-4.186*'Psychrometric Chart'!$C$10)-0.62198*F33/('Psychrometric Chart'!$C$6-F33)</f>
        <v>0</v>
      </c>
      <c r="I33" s="21">
        <f>((2501-2.381*'Psychrometric Chart'!$C$10)*'Supporting 4'!$A$7-(B33-'Psychrometric Chart'!$C$10))/(2501+1.805*B33-4.186*'Psychrometric Chart'!$C$10)-0.62198*G33/('Psychrometric Chart'!$C$6-G33)</f>
        <v>0</v>
      </c>
      <c r="J33" s="21">
        <f t="shared" si="2"/>
        <v>53.493497842130878</v>
      </c>
    </row>
    <row r="36" spans="1:10" ht="18">
      <c r="A36" s="28" t="s">
        <v>29</v>
      </c>
    </row>
    <row r="37" spans="1:10" ht="18">
      <c r="A37" s="29" t="s">
        <v>30</v>
      </c>
      <c r="B37" s="29" t="s">
        <v>79</v>
      </c>
      <c r="C37" s="29" t="s">
        <v>80</v>
      </c>
      <c r="D37" s="29" t="s">
        <v>81</v>
      </c>
      <c r="E37" s="29" t="s">
        <v>82</v>
      </c>
      <c r="F37" s="29" t="s">
        <v>83</v>
      </c>
      <c r="G37" s="29" t="s">
        <v>84</v>
      </c>
      <c r="H37" s="29" t="s">
        <v>85</v>
      </c>
      <c r="I37" s="29" t="s">
        <v>86</v>
      </c>
      <c r="J37" s="29" t="s">
        <v>87</v>
      </c>
    </row>
    <row r="38" spans="1:10">
      <c r="A38" s="30">
        <v>1</v>
      </c>
      <c r="B38" s="21">
        <v>0</v>
      </c>
      <c r="C38" s="21">
        <v>50</v>
      </c>
      <c r="D38" s="20">
        <f t="shared" ref="D38:D49" si="5">IF(273.15+C38&lt;273.16,EXP(-5674.5359/273.15+C38+6.3925247-0.009677843*273.15+C38+0.00000062215701*POWER(273.15+C38,2)+0.0000000020747825*POWER(273.15+C38,3)-0.000000000000948402*POWER(273.15+C38,4)+4.1635019*LN(273.15+C38))/1000,EXP(-5800.2206/(273.15+C38)+1.3914993-0.048640239*(273.15+C38)+0.000041764768*POWER((273.15+C38),2)-0.000000014452093*POWER((273.15+C38),3)+6.5459673*LN(273.15+C38))/1000)</f>
        <v>12.349856466723748</v>
      </c>
      <c r="E38" s="20">
        <f t="shared" ref="E38:E49" si="6">IF(273.15+B38&lt;273.16,EXP(-5674.5359/273.15+B38+6.3925247-0.009677843*273.15+B38+0.00000062215701*POWER(273.15+B38,2)+0.0000000020747825*POWER(273.15+B38,3)-0.000000000000948402*POWER(273.15+B38,4)+4.1635019*LN(273.15+B38))/1000,EXP(-5800.2206/(273.15+B38)+1.3914993-0.048640239*(273.15+B38)+0.000041764768*POWER((273.15+B38),2)-0.000000014452093*POWER((273.15+B38),3)+6.5459673*LN(273.15+B38))/1000)</f>
        <v>0.61115357225163369</v>
      </c>
      <c r="F38" s="21">
        <f>'Psychrometric Chart'!$D$12*D38/100</f>
        <v>4.9399425866894999</v>
      </c>
      <c r="G38" s="21">
        <f>'Psychrometric Chart'!$D$12*E38/100</f>
        <v>0.24446142890065345</v>
      </c>
      <c r="H38" s="21">
        <f>((2501-2.381*'Psychrometric Chart'!$D$10)*'Supporting 4'!$C$7-(C38-'Psychrometric Chart'!$D$10))/(2501+1.805*C38-4.186*'Psychrometric Chart'!$D$10)-0.62198*F38/('Psychrometric Chart'!$C$6-F38)</f>
        <v>-4.0500642967049257E-2</v>
      </c>
      <c r="I38" s="21">
        <f>((2501-2.381*'Psychrometric Chart'!$D$10)*'Supporting 4'!$C$7-(B38-'Psychrometric Chart'!$D$10))/(2501+1.805*B38-4.186*'Psychrometric Chart'!$D$10)-0.62198*G38/('Psychrometric Chart'!$C$6-G38)</f>
        <v>9.8751655222775771E-3</v>
      </c>
      <c r="J38" s="21">
        <f t="shared" ref="J38:J49" si="7">IF(H38=I38,C38,C38-(C38-B38)*H38/(H38-I38))</f>
        <v>9.8014958155657581</v>
      </c>
    </row>
    <row r="39" spans="1:10">
      <c r="A39" s="30">
        <v>2</v>
      </c>
      <c r="B39" s="20">
        <f t="shared" ref="B39:B49" si="8">C38</f>
        <v>50</v>
      </c>
      <c r="C39" s="21">
        <f t="shared" ref="C39:C49" si="9">J38:J38</f>
        <v>9.8014958155657581</v>
      </c>
      <c r="D39" s="20">
        <f t="shared" si="5"/>
        <v>1.2117588355029372</v>
      </c>
      <c r="E39" s="20">
        <f t="shared" si="6"/>
        <v>12.349856466723748</v>
      </c>
      <c r="F39" s="21">
        <f>'Psychrometric Chart'!$D$12*D39/100</f>
        <v>0.4847035342011749</v>
      </c>
      <c r="G39" s="21">
        <f>'Psychrometric Chart'!$D$12*E39/100</f>
        <v>4.9399425866894999</v>
      </c>
      <c r="H39" s="21">
        <f>((2501-2.381*'Psychrometric Chart'!$D$10)*'Supporting 4'!$C$7-(C39-'Psychrometric Chart'!$D$10))/(2501+1.805*C39-4.186*'Psychrometric Chart'!$D$10)-0.62198*F39/('Psychrometric Chart'!$C$6-F39)</f>
        <v>4.3539504836543922E-3</v>
      </c>
      <c r="I39" s="21">
        <f>((2501-2.381*'Psychrometric Chart'!$D$10)*'Supporting 4'!$C$7-(B39-'Psychrometric Chart'!$D$10))/(2501+1.805*B39-4.186*'Psychrometric Chart'!$D$10)-0.62198*G39/('Psychrometric Chart'!$C$6-G39)</f>
        <v>-4.0500642967049257E-2</v>
      </c>
      <c r="J39" s="21">
        <f t="shared" si="7"/>
        <v>13.7034885273792</v>
      </c>
    </row>
    <row r="40" spans="1:10">
      <c r="A40" s="30">
        <v>3</v>
      </c>
      <c r="B40" s="20">
        <f t="shared" si="8"/>
        <v>9.8014958155657581</v>
      </c>
      <c r="C40" s="21">
        <f t="shared" si="9"/>
        <v>13.7034885273792</v>
      </c>
      <c r="D40" s="20">
        <f t="shared" si="5"/>
        <v>1.5681589601696888</v>
      </c>
      <c r="E40" s="20">
        <f t="shared" si="6"/>
        <v>1.2117588355029372</v>
      </c>
      <c r="F40" s="21">
        <f>'Psychrometric Chart'!$D$12*D40/100</f>
        <v>0.62726358406787552</v>
      </c>
      <c r="G40" s="21">
        <f>'Psychrometric Chart'!$D$12*E40/100</f>
        <v>0.4847035342011749</v>
      </c>
      <c r="H40" s="21">
        <f>((2501-2.381*'Psychrometric Chart'!$D$10)*'Supporting 4'!$C$7-(C40-'Psychrometric Chart'!$D$10))/(2501+1.805*C40-4.186*'Psychrometric Chart'!$D$10)-0.62198*F40/('Psychrometric Chart'!$C$6-F40)</f>
        <v>1.8784865462554124E-3</v>
      </c>
      <c r="I40" s="21">
        <f>((2501-2.381*'Psychrometric Chart'!$D$10)*'Supporting 4'!$C$7-(B40-'Psychrometric Chart'!$D$10))/(2501+1.805*B40-4.186*'Psychrometric Chart'!$D$10)-0.62198*G40/('Psychrometric Chart'!$C$6-G40)</f>
        <v>4.3539504836543922E-3</v>
      </c>
      <c r="J40" s="21">
        <f t="shared" si="7"/>
        <v>16.664485333670726</v>
      </c>
    </row>
    <row r="41" spans="1:10">
      <c r="A41" s="30">
        <v>4</v>
      </c>
      <c r="B41" s="20">
        <f t="shared" si="8"/>
        <v>13.7034885273792</v>
      </c>
      <c r="C41" s="21">
        <f t="shared" si="9"/>
        <v>16.664485333670726</v>
      </c>
      <c r="D41" s="20">
        <f t="shared" si="5"/>
        <v>1.8971058677200188</v>
      </c>
      <c r="E41" s="20">
        <f t="shared" si="6"/>
        <v>1.5681589601696888</v>
      </c>
      <c r="F41" s="21">
        <f>'Psychrometric Chart'!$D$12*D41/100</f>
        <v>0.75884234708800746</v>
      </c>
      <c r="G41" s="21">
        <f>'Psychrometric Chart'!$D$12*E41/100</f>
        <v>0.62726358406787552</v>
      </c>
      <c r="H41" s="21">
        <f>((2501-2.381*'Psychrometric Chart'!$D$10)*'Supporting 4'!$C$7-(C41-'Psychrometric Chart'!$D$10))/(2501+1.805*C41-4.186*'Psychrometric Chart'!$D$10)-0.62198*F41/('Psychrometric Chart'!$C$6-F41)</f>
        <v>-1.4144134619238635E-4</v>
      </c>
      <c r="I41" s="21">
        <f>((2501-2.381*'Psychrometric Chart'!$D$10)*'Supporting 4'!$C$7-(B41-'Psychrometric Chart'!$D$10))/(2501+1.805*B41-4.186*'Psychrometric Chart'!$D$10)-0.62198*G41/('Psychrometric Chart'!$C$6-G41)</f>
        <v>1.8784865462554124E-3</v>
      </c>
      <c r="J41" s="21">
        <f t="shared" si="7"/>
        <v>16.457147549030449</v>
      </c>
    </row>
    <row r="42" spans="1:10">
      <c r="A42" s="30">
        <v>5</v>
      </c>
      <c r="B42" s="20">
        <f t="shared" si="8"/>
        <v>16.664485333670726</v>
      </c>
      <c r="C42" s="21">
        <f t="shared" si="9"/>
        <v>16.457147549030449</v>
      </c>
      <c r="D42" s="20">
        <f t="shared" si="5"/>
        <v>1.8722454357439879</v>
      </c>
      <c r="E42" s="20">
        <f t="shared" si="6"/>
        <v>1.8971058677200188</v>
      </c>
      <c r="F42" s="21">
        <f>'Psychrometric Chart'!$D$12*D42/100</f>
        <v>0.7488981742975952</v>
      </c>
      <c r="G42" s="21">
        <f>'Psychrometric Chart'!$D$12*E42/100</f>
        <v>0.75884234708800746</v>
      </c>
      <c r="H42" s="21">
        <f>((2501-2.381*'Psychrometric Chart'!$D$10)*'Supporting 4'!$C$7-(C42-'Psychrometric Chart'!$D$10))/(2501+1.805*C42-4.186*'Psychrometric Chart'!$D$10)-0.62198*F42/('Psychrometric Chart'!$C$6-F42)</f>
        <v>4.4539813206312742E-6</v>
      </c>
      <c r="I42" s="21">
        <f>((2501-2.381*'Psychrometric Chart'!$D$10)*'Supporting 4'!$C$7-(B42-'Psychrometric Chart'!$D$10))/(2501+1.805*B42-4.186*'Psychrometric Chart'!$D$10)-0.62198*G42/('Psychrometric Chart'!$C$6-G42)</f>
        <v>-1.4144134619238635E-4</v>
      </c>
      <c r="J42" s="21">
        <f t="shared" si="7"/>
        <v>16.463477283063682</v>
      </c>
    </row>
    <row r="43" spans="1:10">
      <c r="A43" s="30">
        <v>6</v>
      </c>
      <c r="B43" s="20">
        <f t="shared" si="8"/>
        <v>16.457147549030449</v>
      </c>
      <c r="C43" s="21">
        <f t="shared" si="9"/>
        <v>16.463477283063682</v>
      </c>
      <c r="D43" s="20">
        <f t="shared" si="5"/>
        <v>1.8730001392675213</v>
      </c>
      <c r="E43" s="20">
        <f t="shared" si="6"/>
        <v>1.8722454357439879</v>
      </c>
      <c r="F43" s="21">
        <f>'Psychrometric Chart'!$D$12*D43/100</f>
        <v>0.74920005570700854</v>
      </c>
      <c r="G43" s="21">
        <f>'Psychrometric Chart'!$D$12*E43/100</f>
        <v>0.7488981742975952</v>
      </c>
      <c r="H43" s="21">
        <f>((2501-2.381*'Psychrometric Chart'!$D$10)*'Supporting 4'!$C$7-(C43-'Psychrometric Chart'!$D$10))/(2501+1.805*C43-4.186*'Psychrometric Chart'!$D$10)-0.62198*F43/('Psychrometric Chart'!$C$6-F43)</f>
        <v>1.0401627384068468E-8</v>
      </c>
      <c r="I43" s="21">
        <f>((2501-2.381*'Psychrometric Chart'!$D$10)*'Supporting 4'!$C$7-(B43-'Psychrometric Chart'!$D$10))/(2501+1.805*B43-4.186*'Psychrometric Chart'!$D$10)-0.62198*G43/('Psychrometric Chart'!$C$6-G43)</f>
        <v>4.4539813206312742E-6</v>
      </c>
      <c r="J43" s="21">
        <f t="shared" si="7"/>
        <v>16.463492099841911</v>
      </c>
    </row>
    <row r="44" spans="1:10">
      <c r="A44" s="30">
        <v>7</v>
      </c>
      <c r="B44" s="20">
        <f t="shared" si="8"/>
        <v>16.463477283063682</v>
      </c>
      <c r="C44" s="21">
        <f t="shared" si="9"/>
        <v>16.463492099841911</v>
      </c>
      <c r="D44" s="20">
        <f t="shared" si="5"/>
        <v>1.8730019062069057</v>
      </c>
      <c r="E44" s="20">
        <f t="shared" si="6"/>
        <v>1.8730001392675213</v>
      </c>
      <c r="F44" s="21">
        <f>'Psychrometric Chart'!$D$12*D44/100</f>
        <v>0.74920076248276235</v>
      </c>
      <c r="G44" s="21">
        <f>'Psychrometric Chart'!$D$12*E44/100</f>
        <v>0.74920005570700854</v>
      </c>
      <c r="H44" s="21">
        <f>((2501-2.381*'Psychrometric Chart'!$D$10)*'Supporting 4'!$C$7-(C44-'Psychrometric Chart'!$D$10))/(2501+1.805*C44-4.186*'Psychrometric Chart'!$D$10)-0.62198*F44/('Psychrometric Chart'!$C$6-F44)</f>
        <v>-7.6585352642988269E-13</v>
      </c>
      <c r="I44" s="21">
        <f>((2501-2.381*'Psychrometric Chart'!$D$10)*'Supporting 4'!$C$7-(B44-'Psychrometric Chart'!$D$10))/(2501+1.805*B44-4.186*'Psychrometric Chart'!$D$10)-0.62198*G44/('Psychrometric Chart'!$C$6-G44)</f>
        <v>1.0401627384068468E-8</v>
      </c>
      <c r="J44" s="21">
        <f t="shared" si="7"/>
        <v>16.463492098751058</v>
      </c>
    </row>
    <row r="45" spans="1:10">
      <c r="A45" s="30">
        <v>8</v>
      </c>
      <c r="B45" s="20">
        <f t="shared" si="8"/>
        <v>16.463492099841911</v>
      </c>
      <c r="C45" s="21">
        <f t="shared" si="9"/>
        <v>16.463492098751058</v>
      </c>
      <c r="D45" s="20">
        <f t="shared" si="5"/>
        <v>1.8730019060768217</v>
      </c>
      <c r="E45" s="20">
        <f t="shared" si="6"/>
        <v>1.8730019062069057</v>
      </c>
      <c r="F45" s="21">
        <f>'Psychrometric Chart'!$D$12*D45/100</f>
        <v>0.74920076243072875</v>
      </c>
      <c r="G45" s="21">
        <f>'Psychrometric Chart'!$D$12*E45/100</f>
        <v>0.74920076248276235</v>
      </c>
      <c r="H45" s="21">
        <f>((2501-2.381*'Psychrometric Chart'!$D$10)*'Supporting 4'!$C$7-(C45-'Psychrometric Chart'!$D$10))/(2501+1.805*C45-4.186*'Psychrometric Chart'!$D$10)-0.62198*F45/('Psychrometric Chart'!$C$6-F45)</f>
        <v>-6.9388939039072284E-18</v>
      </c>
      <c r="I45" s="21">
        <f>((2501-2.381*'Psychrometric Chart'!$D$10)*'Supporting 4'!$C$7-(B45-'Psychrometric Chart'!$D$10))/(2501+1.805*B45-4.186*'Psychrometric Chart'!$D$10)-0.62198*G45/('Psychrometric Chart'!$C$6-G45)</f>
        <v>-7.6585352642988269E-13</v>
      </c>
      <c r="J45" s="21">
        <f t="shared" si="7"/>
        <v>16.463492098751047</v>
      </c>
    </row>
    <row r="46" spans="1:10">
      <c r="A46" s="30">
        <v>9</v>
      </c>
      <c r="B46" s="20">
        <f t="shared" si="8"/>
        <v>16.463492098751058</v>
      </c>
      <c r="C46" s="21">
        <f t="shared" si="9"/>
        <v>16.463492098751047</v>
      </c>
      <c r="D46" s="20">
        <f t="shared" si="5"/>
        <v>1.8730019060768217</v>
      </c>
      <c r="E46" s="20">
        <f t="shared" si="6"/>
        <v>1.8730019060768217</v>
      </c>
      <c r="F46" s="21">
        <f>'Psychrometric Chart'!$D$12*D46/100</f>
        <v>0.74920076243072875</v>
      </c>
      <c r="G46" s="21">
        <f>'Psychrometric Chart'!$D$12*E46/100</f>
        <v>0.74920076243072875</v>
      </c>
      <c r="H46" s="21">
        <f>((2501-2.381*'Psychrometric Chart'!$D$10)*'Supporting 4'!$C$7-(C46-'Psychrometric Chart'!$D$10))/(2501+1.805*C46-4.186*'Psychrometric Chart'!$D$10)-0.62198*F46/('Psychrometric Chart'!$C$6-F46)</f>
        <v>0</v>
      </c>
      <c r="I46" s="21">
        <f>((2501-2.381*'Psychrometric Chart'!$D$10)*'Supporting 4'!$C$7-(B46-'Psychrometric Chart'!$D$10))/(2501+1.805*B46-4.186*'Psychrometric Chart'!$D$10)-0.62198*G46/('Psychrometric Chart'!$C$6-G46)</f>
        <v>-6.9388939039072284E-18</v>
      </c>
      <c r="J46" s="21">
        <f t="shared" si="7"/>
        <v>16.463492098751047</v>
      </c>
    </row>
    <row r="47" spans="1:10">
      <c r="A47" s="30">
        <v>10</v>
      </c>
      <c r="B47" s="20">
        <f t="shared" si="8"/>
        <v>16.463492098751047</v>
      </c>
      <c r="C47" s="21">
        <f t="shared" si="9"/>
        <v>16.463492098751047</v>
      </c>
      <c r="D47" s="20">
        <f t="shared" si="5"/>
        <v>1.8730019060768217</v>
      </c>
      <c r="E47" s="20">
        <f t="shared" si="6"/>
        <v>1.8730019060768217</v>
      </c>
      <c r="F47" s="21">
        <f>'Psychrometric Chart'!$D$12*D47/100</f>
        <v>0.74920076243072875</v>
      </c>
      <c r="G47" s="21">
        <f>'Psychrometric Chart'!$D$12*E47/100</f>
        <v>0.74920076243072875</v>
      </c>
      <c r="H47" s="21">
        <f>((2501-2.381*'Psychrometric Chart'!$D$10)*'Supporting 4'!$C$7-(C47-'Psychrometric Chart'!$D$10))/(2501+1.805*C47-4.186*'Psychrometric Chart'!$D$10)-0.62198*F47/('Psychrometric Chart'!$C$6-F47)</f>
        <v>0</v>
      </c>
      <c r="I47" s="21">
        <f>((2501-2.381*'Psychrometric Chart'!$D$10)*'Supporting 4'!$C$7-(B47-'Psychrometric Chart'!$D$10))/(2501+1.805*B47-4.186*'Psychrometric Chart'!$D$10)-0.62198*G47/('Psychrometric Chart'!$C$6-G47)</f>
        <v>0</v>
      </c>
      <c r="J47" s="21">
        <f t="shared" si="7"/>
        <v>16.463492098751047</v>
      </c>
    </row>
    <row r="48" spans="1:10">
      <c r="A48" s="30">
        <v>11</v>
      </c>
      <c r="B48" s="20">
        <f t="shared" si="8"/>
        <v>16.463492098751047</v>
      </c>
      <c r="C48" s="21">
        <f t="shared" si="9"/>
        <v>16.463492098751047</v>
      </c>
      <c r="D48" s="20">
        <f t="shared" si="5"/>
        <v>1.8730019060768217</v>
      </c>
      <c r="E48" s="20">
        <f t="shared" si="6"/>
        <v>1.8730019060768217</v>
      </c>
      <c r="F48" s="21">
        <f>'Psychrometric Chart'!$D$12*D48/100</f>
        <v>0.74920076243072875</v>
      </c>
      <c r="G48" s="21">
        <f>'Psychrometric Chart'!$D$12*E48/100</f>
        <v>0.74920076243072875</v>
      </c>
      <c r="H48" s="21">
        <f>((2501-2.381*'Psychrometric Chart'!$D$10)*'Supporting 4'!$C$7-(C48-'Psychrometric Chart'!$D$10))/(2501+1.805*C48-4.186*'Psychrometric Chart'!$D$10)-0.62198*F48/('Psychrometric Chart'!$C$6-F48)</f>
        <v>0</v>
      </c>
      <c r="I48" s="21">
        <f>((2501-2.381*'Psychrometric Chart'!$D$10)*'Supporting 4'!$C$7-(B48-'Psychrometric Chart'!$D$10))/(2501+1.805*B48-4.186*'Psychrometric Chart'!$D$10)-0.62198*G48/('Psychrometric Chart'!$C$6-G48)</f>
        <v>0</v>
      </c>
      <c r="J48" s="21">
        <f t="shared" si="7"/>
        <v>16.463492098751047</v>
      </c>
    </row>
    <row r="49" spans="1:10">
      <c r="A49" s="30">
        <v>12</v>
      </c>
      <c r="B49" s="20">
        <f t="shared" si="8"/>
        <v>16.463492098751047</v>
      </c>
      <c r="C49" s="21">
        <f t="shared" si="9"/>
        <v>16.463492098751047</v>
      </c>
      <c r="D49" s="20">
        <f t="shared" si="5"/>
        <v>1.8730019060768217</v>
      </c>
      <c r="E49" s="20">
        <f t="shared" si="6"/>
        <v>1.8730019060768217</v>
      </c>
      <c r="F49" s="21">
        <f>'Psychrometric Chart'!$D$12*D49/100</f>
        <v>0.74920076243072875</v>
      </c>
      <c r="G49" s="21">
        <f>'Psychrometric Chart'!$D$12*E49/100</f>
        <v>0.74920076243072875</v>
      </c>
      <c r="H49" s="21">
        <f>((2501-2.381*'Psychrometric Chart'!$D$10)*'Supporting 4'!$C$7-(C49-'Psychrometric Chart'!$D$10))/(2501+1.805*C49-4.186*'Psychrometric Chart'!$D$10)-0.62198*F49/('Psychrometric Chart'!$C$6-F49)</f>
        <v>0</v>
      </c>
      <c r="I49" s="21">
        <f>((2501-2.381*'Psychrometric Chart'!$D$10)*'Supporting 4'!$C$7-(B49-'Psychrometric Chart'!$D$10))/(2501+1.805*B49-4.186*'Psychrometric Chart'!$D$10)-0.62198*G49/('Psychrometric Chart'!$C$6-G49)</f>
        <v>0</v>
      </c>
      <c r="J49" s="21">
        <f t="shared" si="7"/>
        <v>16.463492098751047</v>
      </c>
    </row>
  </sheetData>
  <phoneticPr fontId="11" type="noConversion"/>
  <pageMargins left="0.75" right="0.75" top="1" bottom="1" header="0.5" footer="0.5"/>
  <headerFooter alignWithMargins="0"/>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D38"/>
  <sheetViews>
    <sheetView topLeftCell="A28" zoomScale="75" workbookViewId="0">
      <selection activeCell="M13" sqref="M13"/>
    </sheetView>
  </sheetViews>
  <sheetFormatPr defaultColWidth="10.26953125" defaultRowHeight="17"/>
  <cols>
    <col min="1" max="1" width="60" style="21" customWidth="1"/>
    <col min="2" max="2" width="10.54296875" style="21" bestFit="1" customWidth="1"/>
    <col min="3" max="3" width="59.7265625" style="21" customWidth="1"/>
    <col min="4" max="16384" width="10.26953125" style="21"/>
  </cols>
  <sheetData>
    <row r="1" spans="1:4" ht="19.5">
      <c r="A1" s="23" t="s">
        <v>67</v>
      </c>
      <c r="B1" s="21">
        <f>273.15+'Psychrometric Chart'!C10</f>
        <v>292.34999999999997</v>
      </c>
      <c r="C1" s="23" t="s">
        <v>67</v>
      </c>
      <c r="D1" s="21">
        <f>273.15+'Psychrometric Chart'!D10</f>
        <v>282.75</v>
      </c>
    </row>
    <row r="2" spans="1:4">
      <c r="A2" s="20">
        <f>IF(B1&lt;273.16,-5674.5359/B1+6.3925247-0.009677843*B1,-5800.2206/B1+1.3914993-0.048640239*B1)</f>
        <v>-32.668462941754328</v>
      </c>
      <c r="C2" s="20">
        <f>IF(D1&lt;273.16,-5674.5359/D1+6.3925247-0.009677843*D1,-5800.2206/D1+1.3914993-0.048640239*D1)</f>
        <v>-32.875128984588635</v>
      </c>
    </row>
    <row r="3" spans="1:4">
      <c r="A3" s="21">
        <f>IF(B1&lt;273.16,0.00000062215701*POWER(B1,2)+0.0000000020747825*POWER(B1,3)-0.000000000000948402*POWER(B1,4)+4.1635019*LN(B1),0.000041764768*POWER(B1,2)-0.000000014452093*POWER(B1,3)+6.5459673*LN(B1))</f>
        <v>40.376148830308381</v>
      </c>
      <c r="C3" s="21">
        <f>IF(D1&lt;273.16,0.00000062215701*POWER(D1,2)+0.0000000020747825*POWER(D1,3)-0.000000000000948402*POWER(D1,4)+4.1635019*LN(D1),0.000041764768*POWER(D1,2)-0.000000014452093*POWER(D1,3)+6.5459673*LN(D1))</f>
        <v>39.961424906761906</v>
      </c>
    </row>
    <row r="4" spans="1:4">
      <c r="A4" s="21">
        <f>EXP(A2+A3)/1000</f>
        <v>2.2253865026126225</v>
      </c>
      <c r="C4" s="21">
        <f>EXP(C2+C3)/1000</f>
        <v>1.1954714700615636</v>
      </c>
    </row>
    <row r="6" spans="1:4" ht="17.5">
      <c r="A6" s="23" t="s">
        <v>68</v>
      </c>
      <c r="C6" s="23" t="s">
        <v>68</v>
      </c>
    </row>
    <row r="7" spans="1:4">
      <c r="A7" s="21">
        <f>0.62198*A4/('Psychrometric Chart'!$C$6-A4)</f>
        <v>1.3967217913836667E-2</v>
      </c>
      <c r="C7" s="21">
        <f>0.62198*C4/('Psychrometric Chart'!$C$6-C4)</f>
        <v>7.4259746936346472E-3</v>
      </c>
    </row>
    <row r="9" spans="1:4" ht="17.5">
      <c r="A9" s="23" t="s">
        <v>88</v>
      </c>
      <c r="B9" s="21">
        <f>273.15+'Psychrometric Chart'!C11</f>
        <v>273.14999999999998</v>
      </c>
      <c r="C9" s="23" t="s">
        <v>88</v>
      </c>
      <c r="D9" s="21">
        <f>273.15+'Psychrometric Chart'!D11</f>
        <v>273.14999999999998</v>
      </c>
    </row>
    <row r="10" spans="1:4">
      <c r="A10" s="20">
        <f>IF(B9&lt;273.16,-5674.5359/B9+6.3925247-0.009677843*B9,-5800.2206/B9+1.3914993-0.048640239*B9)</f>
        <v>-17.025409380322781</v>
      </c>
      <c r="C10" s="20">
        <f>IF(D9&lt;273.16,-5674.5359/D9+6.3925247-0.009677843*D9,-5800.2206/D9+1.3914993-0.048640239*D9)</f>
        <v>-17.025409380322781</v>
      </c>
    </row>
    <row r="11" spans="1:4">
      <c r="A11" s="21">
        <f>IF(B9&lt;273.16,0.00000062215701*POWER(B9,2)+0.0000000020747825*POWER(B9,3)-0.000000000000948402*POWER(B9,4)+4.1635019*LN(B9),0.000041764768*POWER(B9,2)-0.000000014452093*POWER(B9,3)+6.5459673*LN(B9))</f>
        <v>23.440757653659677</v>
      </c>
      <c r="C11" s="21">
        <f>IF(D9&lt;273.16,0.00000062215701*POWER(D9,2)+0.0000000020747825*POWER(D9,3)-0.000000000000948402*POWER(D9,4)+4.1635019*LN(D9),0.000041764768*POWER(D9,2)-0.000000014452093*POWER(D9,3)+6.5459673*LN(D9))</f>
        <v>23.440757653659677</v>
      </c>
    </row>
    <row r="12" spans="1:4">
      <c r="A12" s="21">
        <f>EXP(A10+A11)/1000</f>
        <v>0.61115357225163158</v>
      </c>
      <c r="C12" s="21">
        <f>EXP(C10+C11)/1000</f>
        <v>0.61115357225163158</v>
      </c>
    </row>
    <row r="14" spans="1:4">
      <c r="A14" s="23" t="s">
        <v>37</v>
      </c>
      <c r="C14" s="23" t="s">
        <v>37</v>
      </c>
    </row>
    <row r="15" spans="1:4">
      <c r="A15" s="21">
        <f>0.62198*A12/('Psychrometric Chart'!$C$6-A12)</f>
        <v>3.7743102100838725E-3</v>
      </c>
      <c r="C15" s="21">
        <f>0.62198*C12/('Psychrometric Chart'!$C$6-C12)</f>
        <v>3.7743102100838725E-3</v>
      </c>
    </row>
    <row r="17" spans="1:4">
      <c r="A17" s="23" t="s">
        <v>32</v>
      </c>
      <c r="C17" s="23" t="s">
        <v>32</v>
      </c>
    </row>
    <row r="18" spans="1:4">
      <c r="A18" s="21">
        <f>IF('Supporting 5.1'!$D10=0,'Supporting 5.1'!$F10,IF(ABS('Supporting 5.1'!$E11-'Supporting 5.1'!$D11)&lt;0.00005,'Supporting 5.1'!$F11,IF(ABS('Supporting 5.1'!$E12-'Supporting 5.1'!$D12)&lt;0.00005,'Supporting 5.1'!$F12,IF(ABS('Supporting 5.1'!$E13-'Supporting 5.1'!$D13)&lt;0.00005,'Supporting 5.1'!$F13,IF(ABS('Supporting 5.1'!$E14-'Supporting 5.1'!$D14)&lt;0.00005,'Supporting 5.1'!$F14,IF(ABS('Supporting 5.1'!$E15-'Supporting 5.1'!$D15)&lt;0.00005,'Supporting 5.1'!$F15,IF(ABS('Supporting 5.1'!$E16-'Supporting 5.1'!$D16)&lt;0.00005,'Supporting 5.1'!$F16,IF('Supporting 5.1'!$E17-'Supporting 5.1'!$D17&lt;0.00005,'Supporting 5.1'!$F17))))))))</f>
        <v>44.057148796978296</v>
      </c>
      <c r="C18" s="21">
        <f>IF('Supporting 5.1'!$D26=0,'Supporting 5.1'!$F26,IF(ABS('Supporting 5.1'!$E27-'Supporting 5.1'!$D27)&lt;0.00005,'Supporting 5.1'!$F27,IF(ABS('Supporting 5.1'!$E28-'Supporting 5.1'!$D28)&lt;0.00005,'Supporting 5.1'!$F28,IF(ABS('Supporting 5.1'!$E29-'Supporting 5.1'!$D29)&lt;0.00005,'Supporting 5.1'!$F29,IF(ABS('Supporting 5.1'!$E30-'Supporting 5.1'!$D30)&lt;0.00005,'Supporting 5.1'!$F30,IF(ABS('Supporting 5.1'!$E31-'Supporting 5.1'!$D31)&lt;0.00005,'Supporting 5.1'!$F31,IF(ABS('Supporting 5.1'!$E32-'Supporting 5.1'!$D32)&lt;0.00005,'Supporting 5.1'!$F32,IF('Supporting 5.1'!$E33-'Supporting 5.1'!$D33&lt;0.00005,'Supporting 5.1'!$F33))))))))</f>
        <v>18.588111907096529</v>
      </c>
    </row>
    <row r="20" spans="1:4">
      <c r="A20" s="23" t="s">
        <v>22</v>
      </c>
      <c r="C20" s="23" t="s">
        <v>22</v>
      </c>
    </row>
    <row r="21" spans="1:4">
      <c r="A21" s="21">
        <f>(0.2871*(A18+273.15)*(1+1.6078*A15))/'Psychrometric Chart'!$C$6</f>
        <v>0.90424689683103732</v>
      </c>
      <c r="C21" s="21">
        <f>(0.2871*(C18+273.15)*(1+1.6078*C15))/'Psychrometric Chart'!$C$6</f>
        <v>0.83164355967330228</v>
      </c>
    </row>
    <row r="23" spans="1:4">
      <c r="A23" s="23" t="s">
        <v>23</v>
      </c>
      <c r="C23" s="23" t="s">
        <v>23</v>
      </c>
    </row>
    <row r="24" spans="1:4">
      <c r="A24" s="21">
        <f>1.006*A18+A15*(2501+1.805*A18)</f>
        <v>54.061186575669502</v>
      </c>
      <c r="C24" s="21">
        <f>1.006*C18+C15*(2501+1.805*C18)</f>
        <v>28.265824341464501</v>
      </c>
    </row>
    <row r="26" spans="1:4" ht="17.5">
      <c r="A26" s="23" t="s">
        <v>89</v>
      </c>
      <c r="B26" s="23">
        <f>273.15+A18</f>
        <v>317.20714879697829</v>
      </c>
      <c r="C26" s="23" t="s">
        <v>89</v>
      </c>
      <c r="D26" s="23">
        <f>273.15+C18</f>
        <v>291.73811190709648</v>
      </c>
    </row>
    <row r="27" spans="1:4">
      <c r="A27" s="20">
        <f>IF(B26&lt;273.16,-5674.5359/B26+6.3925247-0.009677843*B26,-5800.2206/B26+1.3914993-0.048640239*B26)</f>
        <v>-32.322809286319668</v>
      </c>
      <c r="C27" s="20">
        <f>IF(D26&lt;273.16,-5674.5359/D26+6.3925247-0.009677843*D26,-5800.2206/D26+1.3914993-0.048640239*D26)</f>
        <v>-32.680312717495909</v>
      </c>
    </row>
    <row r="28" spans="1:4">
      <c r="A28" s="21">
        <f>IF(B26&lt;273.16,0.00000062215701*POWER(B26,2)+0.0000000020747825*POWER(B26,3)-0.000000000000948402*POWER(B26,4)+4.1635019*LN(B26),0.000041764768*POWER(B26,2)-0.000000014452093*POWER(B26,3)+6.5459673*LN(B26))</f>
        <v>41.442970783423014</v>
      </c>
      <c r="C28" s="21">
        <f>IF(D26&lt;273.16,0.00000062215701*POWER(D26,2)+0.0000000020747825*POWER(D26,3)-0.000000000000948402*POWER(D26,4)+4.1635019*LN(D26),0.000041764768*POWER(D26,2)-0.000000014452093*POWER(D26,3)+6.5459673*LN(D26))</f>
        <v>40.349769857097236</v>
      </c>
    </row>
    <row r="29" spans="1:4">
      <c r="A29" s="21">
        <f>EXP(A27+A28)/1000</f>
        <v>9.1376772056698155</v>
      </c>
      <c r="C29" s="21">
        <f>EXP(C27+C28)/1000</f>
        <v>2.1419183669231479</v>
      </c>
    </row>
    <row r="30" spans="1:4">
      <c r="A30" s="20"/>
      <c r="C30" s="20"/>
    </row>
    <row r="31" spans="1:4" ht="17.5">
      <c r="A31" s="23" t="s">
        <v>51</v>
      </c>
      <c r="C31" s="23" t="s">
        <v>51</v>
      </c>
    </row>
    <row r="32" spans="1:4">
      <c r="A32" s="21">
        <f>0.62198*(A29/('Psychrometric Chart'!$C$6-A29))</f>
        <v>6.1651128334231892E-2</v>
      </c>
      <c r="C32" s="21">
        <f>0.62198*(C29/('Psychrometric Chart'!$C$6-C29))</f>
        <v>1.3432032599948681E-2</v>
      </c>
    </row>
    <row r="34" spans="1:4">
      <c r="A34" s="23" t="s">
        <v>21</v>
      </c>
      <c r="B34" s="23"/>
      <c r="C34" s="23" t="s">
        <v>21</v>
      </c>
      <c r="D34" s="23"/>
    </row>
    <row r="35" spans="1:4">
      <c r="A35" s="21">
        <f>A15/A32</f>
        <v>6.1220456333289534E-2</v>
      </c>
      <c r="C35" s="21">
        <f>C15/C32</f>
        <v>0.28099322883554445</v>
      </c>
    </row>
    <row r="37" spans="1:4">
      <c r="A37" s="25" t="s">
        <v>47</v>
      </c>
      <c r="C37" s="25" t="s">
        <v>47</v>
      </c>
    </row>
    <row r="38" spans="1:4">
      <c r="A38" s="21">
        <f>A35/(1-(1-A35)*(A29/'Psychrometric Chart'!$C$6))*100</f>
        <v>6.6882814800288459</v>
      </c>
      <c r="C38" s="21">
        <f>C35/(1-(1-C35)*(C29/'Psychrometric Chart'!$C$6))*100</f>
        <v>28.533000215575438</v>
      </c>
    </row>
  </sheetData>
  <phoneticPr fontId="11" type="noConversion"/>
  <pageMargins left="0.75" right="0.75" top="1" bottom="1" header="0.5" footer="0.5"/>
  <headerFooter alignWithMargins="0"/>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J37"/>
  <sheetViews>
    <sheetView topLeftCell="A7" workbookViewId="0">
      <selection activeCell="M13" sqref="M13"/>
    </sheetView>
  </sheetViews>
  <sheetFormatPr defaultColWidth="10.26953125" defaultRowHeight="17"/>
  <cols>
    <col min="1" max="1" width="33.26953125" style="21" customWidth="1"/>
    <col min="2" max="4" width="10.26953125" style="21" customWidth="1"/>
    <col min="5" max="5" width="14.7265625" style="21" bestFit="1" customWidth="1"/>
    <col min="6" max="16384" width="10.26953125" style="21"/>
  </cols>
  <sheetData>
    <row r="1" spans="1:10" ht="19">
      <c r="A1" s="20" t="s">
        <v>90</v>
      </c>
    </row>
    <row r="2" spans="1:10">
      <c r="A2" s="20"/>
    </row>
    <row r="3" spans="1:10">
      <c r="A3" s="20" t="s">
        <v>38</v>
      </c>
    </row>
    <row r="4" spans="1:10">
      <c r="A4" s="27" t="s">
        <v>39</v>
      </c>
    </row>
    <row r="5" spans="1:10">
      <c r="A5" s="20" t="s">
        <v>40</v>
      </c>
    </row>
    <row r="6" spans="1:10">
      <c r="A6" s="20" t="s">
        <v>41</v>
      </c>
    </row>
    <row r="7" spans="1:10">
      <c r="A7" s="24"/>
      <c r="B7" s="24"/>
      <c r="C7" s="20"/>
      <c r="D7" s="30"/>
      <c r="E7" s="30"/>
      <c r="F7" s="24"/>
    </row>
    <row r="8" spans="1:10" ht="18">
      <c r="A8" s="28" t="s">
        <v>29</v>
      </c>
    </row>
    <row r="9" spans="1:10" ht="18">
      <c r="A9" s="29" t="s">
        <v>30</v>
      </c>
      <c r="B9" s="29" t="s">
        <v>79</v>
      </c>
      <c r="C9" s="29" t="s">
        <v>80</v>
      </c>
      <c r="D9" s="29" t="s">
        <v>85</v>
      </c>
      <c r="E9" s="29" t="s">
        <v>86</v>
      </c>
      <c r="F9" s="29" t="s">
        <v>87</v>
      </c>
      <c r="G9" s="29"/>
      <c r="H9" s="29"/>
      <c r="I9" s="29"/>
      <c r="J9" s="29"/>
    </row>
    <row r="10" spans="1:10">
      <c r="A10" s="30">
        <v>1</v>
      </c>
      <c r="B10" s="21">
        <v>0</v>
      </c>
      <c r="C10" s="21">
        <v>50</v>
      </c>
      <c r="D10" s="21">
        <f>((2501-2.381*'Psychrometric Chart'!$C$10)*'Supproting 5'!$A$7-(C10-'Psychrometric Chart'!$C$10))/(2501+1.805*C10-4.186*'Psychrometric Chart'!$C$10)-'Supproting 5'!$A$15</f>
        <v>-2.3829655374015928E-3</v>
      </c>
      <c r="E10" s="21">
        <f>((2501-2.381*'Psychrometric Chart'!$C$10)*'Supproting 5'!$A$7-(B10-'Psychrometric Chart'!$C$10))/(2501+1.805*B10-4.186*'Psychrometric Chart'!$C$10)-'Supproting 5'!$A$15</f>
        <v>1.8324698874717101E-2</v>
      </c>
      <c r="F10" s="21">
        <f t="shared" ref="F10:F21" si="0">IF(D10=E10,C10,C10-(C10-B10)*D10/(D10-E10))</f>
        <v>44.246175015259048</v>
      </c>
    </row>
    <row r="11" spans="1:10">
      <c r="A11" s="30">
        <v>2</v>
      </c>
      <c r="B11" s="20">
        <f t="shared" ref="B11:B21" si="1">C10</f>
        <v>50</v>
      </c>
      <c r="C11" s="21">
        <f t="shared" ref="C11:C21" si="2">F10:F10</f>
        <v>44.246175015259048</v>
      </c>
      <c r="D11" s="21">
        <f>((2501-2.381*'Psychrometric Chart'!$C$10)*'Supproting 5'!$A$7-(C11-'Psychrometric Chart'!$C$10))/(2501+1.805*C11-4.186*'Psychrometric Chart'!$C$10)-'Supproting 5'!$A$15</f>
        <v>-7.6110580132859613E-5</v>
      </c>
      <c r="E11" s="21">
        <f>((2501-2.381*'Psychrometric Chart'!$C$10)*'Supproting 5'!$A$7-(B11-'Psychrometric Chart'!$C$10))/(2501+1.805*B11-4.186*'Psychrometric Chart'!$C$10)-'Supproting 5'!$A$15</f>
        <v>-2.3829655374015928E-3</v>
      </c>
      <c r="F11" s="21">
        <f t="shared" si="0"/>
        <v>44.056337784187498</v>
      </c>
    </row>
    <row r="12" spans="1:10">
      <c r="A12" s="30">
        <v>3</v>
      </c>
      <c r="B12" s="20">
        <f t="shared" si="1"/>
        <v>44.246175015259048</v>
      </c>
      <c r="C12" s="21">
        <f t="shared" si="2"/>
        <v>44.056337784187498</v>
      </c>
      <c r="D12" s="21">
        <f>((2501-2.381*'Psychrometric Chart'!$C$10)*'Supproting 5'!$A$7-(C12-'Psychrometric Chart'!$C$10))/(2501+1.805*C12-4.186*'Psychrometric Chart'!$C$10)-'Supproting 5'!$A$15</f>
        <v>3.265955085931041E-7</v>
      </c>
      <c r="E12" s="21">
        <f>((2501-2.381*'Psychrometric Chart'!$C$10)*'Supproting 5'!$A$7-(B12-'Psychrometric Chart'!$C$10))/(2501+1.805*B12-4.186*'Psychrometric Chart'!$C$10)-'Supproting 5'!$A$15</f>
        <v>-7.6110580132859613E-5</v>
      </c>
      <c r="F12" s="21">
        <f t="shared" si="0"/>
        <v>44.057148907656035</v>
      </c>
    </row>
    <row r="13" spans="1:10">
      <c r="A13" s="30">
        <v>4</v>
      </c>
      <c r="B13" s="20">
        <f t="shared" si="1"/>
        <v>44.056337784187498</v>
      </c>
      <c r="C13" s="21">
        <f t="shared" si="2"/>
        <v>44.057148907656035</v>
      </c>
      <c r="D13" s="21">
        <f>((2501-2.381*'Psychrometric Chart'!$C$10)*'Supproting 5'!$A$7-(C13-'Psychrometric Chart'!$C$10))/(2501+1.805*C13-4.186*'Psychrometric Chart'!$C$10)-'Supproting 5'!$A$15</f>
        <v>-4.4570016080602848E-11</v>
      </c>
      <c r="E13" s="21">
        <f>((2501-2.381*'Psychrometric Chart'!$C$10)*'Supproting 5'!$A$7-(B13-'Psychrometric Chart'!$C$10))/(2501+1.805*B13-4.186*'Psychrometric Chart'!$C$10)-'Supproting 5'!$A$15</f>
        <v>3.265955085931041E-7</v>
      </c>
      <c r="F13" s="21">
        <f t="shared" si="0"/>
        <v>44.057148796978296</v>
      </c>
    </row>
    <row r="14" spans="1:10">
      <c r="A14" s="30">
        <v>5</v>
      </c>
      <c r="B14" s="20">
        <f t="shared" si="1"/>
        <v>44.057148907656035</v>
      </c>
      <c r="C14" s="21">
        <f t="shared" si="2"/>
        <v>44.057148796978296</v>
      </c>
      <c r="D14" s="21">
        <f>((2501-2.381*'Psychrometric Chart'!$C$10)*'Supproting 5'!$A$7-(C14-'Psychrometric Chart'!$C$10))/(2501+1.805*C14-4.186*'Psychrometric Chart'!$C$10)-'Supproting 5'!$A$15</f>
        <v>-2.7321894746634712E-17</v>
      </c>
      <c r="E14" s="21">
        <f>((2501-2.381*'Psychrometric Chart'!$C$10)*'Supproting 5'!$A$7-(B14-'Psychrometric Chart'!$C$10))/(2501+1.805*B14-4.186*'Psychrometric Chart'!$C$10)-'Supproting 5'!$A$15</f>
        <v>-4.4570016080602848E-11</v>
      </c>
      <c r="F14" s="21">
        <f t="shared" si="0"/>
        <v>44.057148796978225</v>
      </c>
    </row>
    <row r="15" spans="1:10">
      <c r="A15" s="30">
        <v>6</v>
      </c>
      <c r="B15" s="20">
        <f t="shared" si="1"/>
        <v>44.057148796978296</v>
      </c>
      <c r="C15" s="21">
        <f t="shared" si="2"/>
        <v>44.057148796978225</v>
      </c>
      <c r="D15" s="21">
        <f>((2501-2.381*'Psychrometric Chart'!$C$10)*'Supproting 5'!$A$7-(C15-'Psychrometric Chart'!$C$10))/(2501+1.805*C15-4.186*'Psychrometric Chart'!$C$10)-'Supproting 5'!$A$15</f>
        <v>0</v>
      </c>
      <c r="E15" s="21">
        <f>((2501-2.381*'Psychrometric Chart'!$C$10)*'Supproting 5'!$A$7-(B15-'Psychrometric Chart'!$C$10))/(2501+1.805*B15-4.186*'Psychrometric Chart'!$C$10)-'Supproting 5'!$A$15</f>
        <v>-2.7321894746634712E-17</v>
      </c>
      <c r="F15" s="21">
        <f t="shared" si="0"/>
        <v>44.057148796978225</v>
      </c>
    </row>
    <row r="16" spans="1:10">
      <c r="A16" s="30">
        <v>7</v>
      </c>
      <c r="B16" s="20">
        <f t="shared" si="1"/>
        <v>44.057148796978225</v>
      </c>
      <c r="C16" s="21">
        <f t="shared" si="2"/>
        <v>44.057148796978225</v>
      </c>
      <c r="D16" s="21">
        <f>((2501-2.381*'Psychrometric Chart'!$C$10)*'Supproting 5'!$A$7-(C16-'Psychrometric Chart'!$C$10))/(2501+1.805*C16-4.186*'Psychrometric Chart'!$C$10)-'Supproting 5'!$A$15</f>
        <v>0</v>
      </c>
      <c r="E16" s="21">
        <f>((2501-2.381*'Psychrometric Chart'!$C$10)*'Supproting 5'!$A$7-(B16-'Psychrometric Chart'!$C$10))/(2501+1.805*B16-4.186*'Psychrometric Chart'!$C$10)-'Supproting 5'!$A$15</f>
        <v>0</v>
      </c>
      <c r="F16" s="21">
        <f t="shared" si="0"/>
        <v>44.057148796978225</v>
      </c>
    </row>
    <row r="17" spans="1:6">
      <c r="A17" s="30">
        <v>8</v>
      </c>
      <c r="B17" s="20">
        <f t="shared" si="1"/>
        <v>44.057148796978225</v>
      </c>
      <c r="C17" s="21">
        <f t="shared" si="2"/>
        <v>44.057148796978225</v>
      </c>
      <c r="D17" s="21">
        <f>((2501-2.381*'Psychrometric Chart'!$C$10)*'Supproting 5'!$A$7-(C17-'Psychrometric Chart'!$C$10))/(2501+1.805*C17-4.186*'Psychrometric Chart'!$C$10)-'Supproting 5'!$A$15</f>
        <v>0</v>
      </c>
      <c r="E17" s="21">
        <f>((2501-2.381*'Psychrometric Chart'!$C$10)*'Supproting 5'!$A$7-(B17-'Psychrometric Chart'!$C$10))/(2501+1.805*B17-4.186*'Psychrometric Chart'!$C$10)-'Supproting 5'!$A$15</f>
        <v>0</v>
      </c>
      <c r="F17" s="21">
        <f t="shared" si="0"/>
        <v>44.057148796978225</v>
      </c>
    </row>
    <row r="18" spans="1:6">
      <c r="A18" s="30">
        <v>9</v>
      </c>
      <c r="B18" s="20">
        <f t="shared" si="1"/>
        <v>44.057148796978225</v>
      </c>
      <c r="C18" s="21">
        <f t="shared" si="2"/>
        <v>44.057148796978225</v>
      </c>
      <c r="D18" s="21">
        <f>((2501-2.381*'Psychrometric Chart'!$C$10)*'Supproting 5'!$A$7-(C18-'Psychrometric Chart'!$C$10))/(2501+1.805*C18-4.186*'Psychrometric Chart'!$C$10)-'Supproting 5'!$A$15</f>
        <v>0</v>
      </c>
      <c r="E18" s="21">
        <f>((2501-2.381*'Psychrometric Chart'!$C$10)*'Supproting 5'!$A$7-(B18-'Psychrometric Chart'!$C$10))/(2501+1.805*B18-4.186*'Psychrometric Chart'!$C$10)-'Supproting 5'!$A$15</f>
        <v>0</v>
      </c>
      <c r="F18" s="21">
        <f t="shared" si="0"/>
        <v>44.057148796978225</v>
      </c>
    </row>
    <row r="19" spans="1:6">
      <c r="A19" s="30">
        <v>10</v>
      </c>
      <c r="B19" s="20">
        <f t="shared" si="1"/>
        <v>44.057148796978225</v>
      </c>
      <c r="C19" s="21">
        <f t="shared" si="2"/>
        <v>44.057148796978225</v>
      </c>
      <c r="D19" s="21">
        <f>((2501-2.381*'Psychrometric Chart'!$C$10)*'Supproting 5'!$A$7-(C19-'Psychrometric Chart'!$C$10))/(2501+1.805*C19-4.186*'Psychrometric Chart'!$C$10)-'Supproting 5'!$A$15</f>
        <v>0</v>
      </c>
      <c r="E19" s="21">
        <f>((2501-2.381*'Psychrometric Chart'!$C$10)*'Supproting 5'!$A$7-(B19-'Psychrometric Chart'!$C$10))/(2501+1.805*B19-4.186*'Psychrometric Chart'!$C$10)-'Supproting 5'!$A$15</f>
        <v>0</v>
      </c>
      <c r="F19" s="21">
        <f t="shared" si="0"/>
        <v>44.057148796978225</v>
      </c>
    </row>
    <row r="20" spans="1:6">
      <c r="A20" s="30">
        <v>11</v>
      </c>
      <c r="B20" s="20">
        <f t="shared" si="1"/>
        <v>44.057148796978225</v>
      </c>
      <c r="C20" s="21">
        <f t="shared" si="2"/>
        <v>44.057148796978225</v>
      </c>
      <c r="D20" s="21">
        <f>((2501-2.381*'Psychrometric Chart'!$C$10)*'Supproting 5'!$A$7-(C20-'Psychrometric Chart'!$C$10))/(2501+1.805*C20-4.186*'Psychrometric Chart'!$C$10)-'Supproting 5'!$A$15</f>
        <v>0</v>
      </c>
      <c r="E20" s="21">
        <f>((2501-2.381*'Psychrometric Chart'!$C$10)*'Supproting 5'!$A$7-(B20-'Psychrometric Chart'!$C$10))/(2501+1.805*B20-4.186*'Psychrometric Chart'!$C$10)-'Supproting 5'!$A$15</f>
        <v>0</v>
      </c>
      <c r="F20" s="21">
        <f t="shared" si="0"/>
        <v>44.057148796978225</v>
      </c>
    </row>
    <row r="21" spans="1:6">
      <c r="A21" s="30">
        <v>12</v>
      </c>
      <c r="B21" s="20">
        <f t="shared" si="1"/>
        <v>44.057148796978225</v>
      </c>
      <c r="C21" s="21">
        <f t="shared" si="2"/>
        <v>44.057148796978225</v>
      </c>
      <c r="D21" s="21">
        <f>((2501-2.381*'Psychrometric Chart'!$C$10)*'Supproting 5'!$A$7-(C21-'Psychrometric Chart'!$C$10))/(2501+1.805*C21-4.186*'Psychrometric Chart'!$C$10)-'Supproting 5'!$A$15</f>
        <v>0</v>
      </c>
      <c r="E21" s="21">
        <f>((2501-2.381*'Psychrometric Chart'!$C$10)*'Supproting 5'!$A$7-(B21-'Psychrometric Chart'!$C$10))/(2501+1.805*B21-4.186*'Psychrometric Chart'!$C$10)-'Supproting 5'!$A$15</f>
        <v>0</v>
      </c>
      <c r="F21" s="21">
        <f t="shared" si="0"/>
        <v>44.057148796978225</v>
      </c>
    </row>
    <row r="22" spans="1:6">
      <c r="A22" s="30"/>
      <c r="B22" s="24"/>
      <c r="C22" s="24"/>
      <c r="D22" s="30"/>
      <c r="E22" s="30"/>
      <c r="F22" s="30"/>
    </row>
    <row r="24" spans="1:6" ht="18">
      <c r="A24" s="28" t="s">
        <v>29</v>
      </c>
    </row>
    <row r="25" spans="1:6" ht="18">
      <c r="A25" s="29" t="s">
        <v>30</v>
      </c>
      <c r="B25" s="29" t="s">
        <v>79</v>
      </c>
      <c r="C25" s="29" t="s">
        <v>80</v>
      </c>
      <c r="D25" s="29" t="s">
        <v>85</v>
      </c>
      <c r="E25" s="29" t="s">
        <v>86</v>
      </c>
      <c r="F25" s="29" t="s">
        <v>87</v>
      </c>
    </row>
    <row r="26" spans="1:6">
      <c r="A26" s="30">
        <v>1</v>
      </c>
      <c r="B26" s="21">
        <v>0</v>
      </c>
      <c r="C26" s="21">
        <v>50</v>
      </c>
      <c r="D26" s="21">
        <f>((2501-2.381*'Psychrometric Chart'!$D$10)*'Supproting 5'!$C$7-(C26-'Psychrometric Chart'!$D$10))/(2501+1.805*C26-4.186*'Psychrometric Chart'!$D$10)-'Supproting 5'!$C$15</f>
        <v>-1.239713339337041E-2</v>
      </c>
      <c r="E26" s="21">
        <f>((2501-2.381*'Psychrometric Chart'!$D$10)*'Supproting 5'!$C$7-(B26-'Psychrometric Chart'!$D$10))/(2501+1.805*B26-4.186*'Psychrometric Chart'!$D$10)-'Supproting 5'!$C$15</f>
        <v>7.6051025362098039E-3</v>
      </c>
      <c r="F26" s="21">
        <f t="shared" ref="F26:F37" si="3">IF(D26=E26,C26,C26-(C26-B26)*D26/(D26-E26))</f>
        <v>19.010631018912825</v>
      </c>
    </row>
    <row r="27" spans="1:6">
      <c r="A27" s="30">
        <v>2</v>
      </c>
      <c r="B27" s="20">
        <f t="shared" ref="B27:B37" si="4">C26</f>
        <v>50</v>
      </c>
      <c r="C27" s="21">
        <f t="shared" ref="C27:C37" si="5">F26:F26</f>
        <v>19.010631018912825</v>
      </c>
      <c r="D27" s="21">
        <f>((2501-2.381*'Psychrometric Chart'!$D$10)*'Supproting 5'!$C$7-(C27-'Psychrometric Chart'!$D$10))/(2501+1.805*C27-4.186*'Psychrometric Chart'!$D$10)-'Supproting 5'!$C$15</f>
        <v>-1.7049124444364072E-4</v>
      </c>
      <c r="E27" s="21">
        <f>((2501-2.381*'Psychrometric Chart'!$D$10)*'Supproting 5'!$C$7-(B27-'Psychrometric Chart'!$D$10))/(2501+1.805*B27-4.186*'Psychrometric Chart'!$D$10)-'Supproting 5'!$C$15</f>
        <v>-1.239713339337041E-2</v>
      </c>
      <c r="F27" s="21">
        <f t="shared" si="3"/>
        <v>18.578507790167436</v>
      </c>
    </row>
    <row r="28" spans="1:6">
      <c r="A28" s="30">
        <v>3</v>
      </c>
      <c r="B28" s="20">
        <f t="shared" si="4"/>
        <v>19.010631018912825</v>
      </c>
      <c r="C28" s="21">
        <f t="shared" si="5"/>
        <v>18.578507790167436</v>
      </c>
      <c r="D28" s="21">
        <f>((2501-2.381*'Psychrometric Chart'!$D$10)*'Supproting 5'!$C$7-(C28-'Psychrometric Chart'!$D$10))/(2501+1.805*C28-4.186*'Psychrometric Chart'!$D$10)-'Supproting 5'!$C$15</f>
        <v>3.876581716583203E-6</v>
      </c>
      <c r="E28" s="21">
        <f>((2501-2.381*'Psychrometric Chart'!$D$10)*'Supproting 5'!$C$7-(B28-'Psychrometric Chart'!$D$10))/(2501+1.805*B28-4.186*'Psychrometric Chart'!$D$10)-'Supproting 5'!$C$15</f>
        <v>-1.7049124444364072E-4</v>
      </c>
      <c r="F28" s="21">
        <f t="shared" si="3"/>
        <v>18.588114843514113</v>
      </c>
    </row>
    <row r="29" spans="1:6">
      <c r="A29" s="30">
        <v>4</v>
      </c>
      <c r="B29" s="20">
        <f t="shared" si="4"/>
        <v>18.578507790167436</v>
      </c>
      <c r="C29" s="21">
        <f t="shared" si="5"/>
        <v>18.588114843514113</v>
      </c>
      <c r="D29" s="21">
        <f>((2501-2.381*'Psychrometric Chart'!$D$10)*'Supproting 5'!$C$7-(C29-'Psychrometric Chart'!$D$10))/(2501+1.805*C29-4.186*'Psychrometric Chart'!$D$10)-'Supproting 5'!$C$15</f>
        <v>-1.1852482437353651E-9</v>
      </c>
      <c r="E29" s="21">
        <f>((2501-2.381*'Psychrometric Chart'!$D$10)*'Supproting 5'!$C$7-(B29-'Psychrometric Chart'!$D$10))/(2501+1.805*B29-4.186*'Psychrometric Chart'!$D$10)-'Supproting 5'!$C$15</f>
        <v>3.876581716583203E-6</v>
      </c>
      <c r="F29" s="21">
        <f t="shared" si="3"/>
        <v>18.588111907096529</v>
      </c>
    </row>
    <row r="30" spans="1:6">
      <c r="A30" s="30">
        <v>5</v>
      </c>
      <c r="B30" s="20">
        <f t="shared" si="4"/>
        <v>18.588114843514113</v>
      </c>
      <c r="C30" s="21">
        <f t="shared" si="5"/>
        <v>18.588111907096529</v>
      </c>
      <c r="D30" s="21">
        <f>((2501-2.381*'Psychrometric Chart'!$D$10)*'Supproting 5'!$C$7-(C30-'Psychrometric Chart'!$D$10))/(2501+1.805*C30-4.186*'Psychrometric Chart'!$D$10)-'Supproting 5'!$C$15</f>
        <v>-8.2373344256758685E-15</v>
      </c>
      <c r="E30" s="21">
        <f>((2501-2.381*'Psychrometric Chart'!$D$10)*'Supproting 5'!$C$7-(B30-'Psychrometric Chart'!$D$10))/(2501+1.805*B30-4.186*'Psychrometric Chart'!$D$10)-'Supproting 5'!$C$15</f>
        <v>-1.1852482437353651E-9</v>
      </c>
      <c r="F30" s="21">
        <f t="shared" si="3"/>
        <v>18.588111907076122</v>
      </c>
    </row>
    <row r="31" spans="1:6">
      <c r="A31" s="30">
        <v>6</v>
      </c>
      <c r="B31" s="20">
        <f t="shared" si="4"/>
        <v>18.588111907096529</v>
      </c>
      <c r="C31" s="21">
        <f t="shared" si="5"/>
        <v>18.588111907076122</v>
      </c>
      <c r="D31" s="21">
        <f>((2501-2.381*'Psychrometric Chart'!$D$10)*'Supproting 5'!$C$7-(C31-'Psychrometric Chart'!$D$10))/(2501+1.805*C31-4.186*'Psychrometric Chart'!$D$10)-'Supproting 5'!$C$15</f>
        <v>0</v>
      </c>
      <c r="E31" s="21">
        <f>((2501-2.381*'Psychrometric Chart'!$D$10)*'Supproting 5'!$C$7-(B31-'Psychrometric Chart'!$D$10))/(2501+1.805*B31-4.186*'Psychrometric Chart'!$D$10)-'Supproting 5'!$C$15</f>
        <v>-8.2373344256758685E-15</v>
      </c>
      <c r="F31" s="21">
        <f t="shared" si="3"/>
        <v>18.588111907076122</v>
      </c>
    </row>
    <row r="32" spans="1:6">
      <c r="A32" s="30">
        <v>7</v>
      </c>
      <c r="B32" s="20">
        <f t="shared" si="4"/>
        <v>18.588111907076122</v>
      </c>
      <c r="C32" s="21">
        <f t="shared" si="5"/>
        <v>18.588111907076122</v>
      </c>
      <c r="D32" s="21">
        <f>((2501-2.381*'Psychrometric Chart'!$D$10)*'Supproting 5'!$C$7-(C32-'Psychrometric Chart'!$D$10))/(2501+1.805*C32-4.186*'Psychrometric Chart'!$D$10)-'Supproting 5'!$C$15</f>
        <v>0</v>
      </c>
      <c r="E32" s="21">
        <f>((2501-2.381*'Psychrometric Chart'!$D$10)*'Supproting 5'!$C$7-(B32-'Psychrometric Chart'!$D$10))/(2501+1.805*B32-4.186*'Psychrometric Chart'!$D$10)-'Supproting 5'!$C$15</f>
        <v>0</v>
      </c>
      <c r="F32" s="21">
        <f t="shared" si="3"/>
        <v>18.588111907076122</v>
      </c>
    </row>
    <row r="33" spans="1:6">
      <c r="A33" s="30">
        <v>8</v>
      </c>
      <c r="B33" s="20">
        <f t="shared" si="4"/>
        <v>18.588111907076122</v>
      </c>
      <c r="C33" s="21">
        <f t="shared" si="5"/>
        <v>18.588111907076122</v>
      </c>
      <c r="D33" s="21">
        <f>((2501-2.381*'Psychrometric Chart'!$D$10)*'Supproting 5'!$C$7-(C33-'Psychrometric Chart'!$D$10))/(2501+1.805*C33-4.186*'Psychrometric Chart'!$D$10)-'Supproting 5'!$C$15</f>
        <v>0</v>
      </c>
      <c r="E33" s="21">
        <f>((2501-2.381*'Psychrometric Chart'!$D$10)*'Supproting 5'!$C$7-(B33-'Psychrometric Chart'!$D$10))/(2501+1.805*B33-4.186*'Psychrometric Chart'!$D$10)-'Supproting 5'!$C$15</f>
        <v>0</v>
      </c>
      <c r="F33" s="21">
        <f t="shared" si="3"/>
        <v>18.588111907076122</v>
      </c>
    </row>
    <row r="34" spans="1:6">
      <c r="A34" s="30">
        <v>9</v>
      </c>
      <c r="B34" s="20">
        <f t="shared" si="4"/>
        <v>18.588111907076122</v>
      </c>
      <c r="C34" s="21">
        <f t="shared" si="5"/>
        <v>18.588111907076122</v>
      </c>
      <c r="D34" s="21">
        <f>((2501-2.381*'Psychrometric Chart'!$D$10)*'Supproting 5'!$C$7-(C34-'Psychrometric Chart'!$D$10))/(2501+1.805*C34-4.186*'Psychrometric Chart'!$D$10)-'Supproting 5'!$C$15</f>
        <v>0</v>
      </c>
      <c r="E34" s="21">
        <f>((2501-2.381*'Psychrometric Chart'!$D$10)*'Supproting 5'!$C$7-(B34-'Psychrometric Chart'!$D$10))/(2501+1.805*B34-4.186*'Psychrometric Chart'!$D$10)-'Supproting 5'!$C$15</f>
        <v>0</v>
      </c>
      <c r="F34" s="21">
        <f t="shared" si="3"/>
        <v>18.588111907076122</v>
      </c>
    </row>
    <row r="35" spans="1:6">
      <c r="A35" s="30">
        <v>10</v>
      </c>
      <c r="B35" s="20">
        <f t="shared" si="4"/>
        <v>18.588111907076122</v>
      </c>
      <c r="C35" s="21">
        <f t="shared" si="5"/>
        <v>18.588111907076122</v>
      </c>
      <c r="D35" s="21">
        <f>((2501-2.381*'Psychrometric Chart'!$D$10)*'Supproting 5'!$C$7-(C35-'Psychrometric Chart'!$D$10))/(2501+1.805*C35-4.186*'Psychrometric Chart'!$D$10)-'Supproting 5'!$C$15</f>
        <v>0</v>
      </c>
      <c r="E35" s="21">
        <f>((2501-2.381*'Psychrometric Chart'!$D$10)*'Supproting 5'!$C$7-(B35-'Psychrometric Chart'!$D$10))/(2501+1.805*B35-4.186*'Psychrometric Chart'!$D$10)-'Supproting 5'!$C$15</f>
        <v>0</v>
      </c>
      <c r="F35" s="21">
        <f t="shared" si="3"/>
        <v>18.588111907076122</v>
      </c>
    </row>
    <row r="36" spans="1:6">
      <c r="A36" s="30">
        <v>11</v>
      </c>
      <c r="B36" s="20">
        <f t="shared" si="4"/>
        <v>18.588111907076122</v>
      </c>
      <c r="C36" s="21">
        <f t="shared" si="5"/>
        <v>18.588111907076122</v>
      </c>
      <c r="D36" s="21">
        <f>((2501-2.381*'Psychrometric Chart'!$D$10)*'Supproting 5'!$C$7-(C36-'Psychrometric Chart'!$D$10))/(2501+1.805*C36-4.186*'Psychrometric Chart'!$D$10)-'Supproting 5'!$C$15</f>
        <v>0</v>
      </c>
      <c r="E36" s="21">
        <f>((2501-2.381*'Psychrometric Chart'!$D$10)*'Supproting 5'!$C$7-(B36-'Psychrometric Chart'!$D$10))/(2501+1.805*B36-4.186*'Psychrometric Chart'!$D$10)-'Supproting 5'!$C$15</f>
        <v>0</v>
      </c>
      <c r="F36" s="21">
        <f t="shared" si="3"/>
        <v>18.588111907076122</v>
      </c>
    </row>
    <row r="37" spans="1:6">
      <c r="A37" s="30">
        <v>12</v>
      </c>
      <c r="B37" s="20">
        <f t="shared" si="4"/>
        <v>18.588111907076122</v>
      </c>
      <c r="C37" s="21">
        <f t="shared" si="5"/>
        <v>18.588111907076122</v>
      </c>
      <c r="D37" s="21">
        <f>((2501-2.381*'Psychrometric Chart'!$D$10)*'Supproting 5'!$C$7-(C37-'Psychrometric Chart'!$D$10))/(2501+1.805*C37-4.186*'Psychrometric Chart'!$D$10)-'Supproting 5'!$C$15</f>
        <v>0</v>
      </c>
      <c r="E37" s="21">
        <f>((2501-2.381*'Psychrometric Chart'!$D$10)*'Supproting 5'!$C$7-(B37-'Psychrometric Chart'!$D$10))/(2501+1.805*B37-4.186*'Psychrometric Chart'!$D$10)-'Supproting 5'!$C$15</f>
        <v>0</v>
      </c>
      <c r="F37" s="21">
        <f t="shared" si="3"/>
        <v>18.588111907076122</v>
      </c>
    </row>
  </sheetData>
  <phoneticPr fontId="11"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D19"/>
  <sheetViews>
    <sheetView zoomScale="75" workbookViewId="0">
      <selection activeCell="M13" sqref="M13"/>
    </sheetView>
  </sheetViews>
  <sheetFormatPr defaultColWidth="10.26953125" defaultRowHeight="17"/>
  <cols>
    <col min="1" max="1" width="58.453125" style="21" customWidth="1"/>
    <col min="2" max="2" width="10.26953125" style="21" customWidth="1"/>
    <col min="3" max="3" width="59.1796875" style="21" customWidth="1"/>
    <col min="4" max="16384" width="10.26953125" style="21"/>
  </cols>
  <sheetData>
    <row r="1" spans="1:4" ht="17.5">
      <c r="A1" s="23" t="s">
        <v>49</v>
      </c>
      <c r="B1" s="21">
        <f>273.15+'Psychrometric Chart'!C11</f>
        <v>273.14999999999998</v>
      </c>
      <c r="C1" s="23" t="s">
        <v>49</v>
      </c>
      <c r="D1" s="21">
        <f>273.15+'Psychrometric Chart'!D11</f>
        <v>273.14999999999998</v>
      </c>
    </row>
    <row r="2" spans="1:4">
      <c r="A2" s="20">
        <f>IF(B1&lt;273.16,-5674.5359/B1+6.3925247-0.009677843*B1,-5800.2206/B1+1.3914993-0.048640239*B1)</f>
        <v>-17.025409380322781</v>
      </c>
      <c r="C2" s="20">
        <f>IF(D1&lt;273.16,-5674.5359/D1+6.3925247-0.009677843*D1,-5800.2206/D1+1.3914993-0.048640239*D1)</f>
        <v>-17.025409380322781</v>
      </c>
    </row>
    <row r="3" spans="1:4">
      <c r="A3" s="21">
        <f>IF(B1&lt;273.16,0.00000062215701*POWER(B1,2)+0.0000000020747825*POWER(B1,3)-0.000000000000948402*POWER(B1,4)+4.1635019*LN(B1),0.000041764768*POWER(B1,2)-0.000000014452093*POWER(B1,3)+6.5459673*LN(B1))</f>
        <v>23.440757653659677</v>
      </c>
      <c r="C3" s="21">
        <f>IF(D1&lt;273.16,0.00000062215701*POWER(D1,2)+0.0000000020747825*POWER(D1,3)-0.000000000000948402*POWER(D1,4)+4.1635019*LN(D1),0.000041764768*POWER(D1,2)-0.000000014452093*POWER(D1,3)+6.5459673*LN(D1))</f>
        <v>23.440757653659677</v>
      </c>
    </row>
    <row r="4" spans="1:4">
      <c r="A4" s="21">
        <f>EXP(A2+A3)/1000</f>
        <v>0.61115357225163158</v>
      </c>
      <c r="C4" s="21">
        <f>EXP(C2+C3)/1000</f>
        <v>0.61115357225163158</v>
      </c>
    </row>
    <row r="6" spans="1:4">
      <c r="A6" s="23" t="s">
        <v>19</v>
      </c>
      <c r="C6" s="23" t="s">
        <v>19</v>
      </c>
    </row>
    <row r="7" spans="1:4">
      <c r="A7" s="21">
        <f>0.62198*(A4/('Psychrometric Chart'!$C$6-A4))</f>
        <v>3.7743102100838721E-3</v>
      </c>
      <c r="C7" s="21">
        <f>0.62198*(C4/('Psychrometric Chart'!$C$6-C4))</f>
        <v>3.7743102100838721E-3</v>
      </c>
    </row>
    <row r="9" spans="1:4">
      <c r="A9" s="23" t="s">
        <v>32</v>
      </c>
      <c r="C9" s="23" t="s">
        <v>32</v>
      </c>
    </row>
    <row r="10" spans="1:4">
      <c r="A10" s="21" t="str">
        <f>IF('Psychrometric Chart'!$C$12&lt;=0,"n/a (RH&gt;0 required)",IF(ABS('Supporting 6.1'!$I21-'Supporting 6.1'!$H21)&lt;0.00005,'Supporting 6.1'!$J21,IF(ABS('Supporting 6.1'!$I22-'Supporting 6.1'!$H22)&lt;0.00005,'Supporting 6.1'!$J22,IF(ABS('Supporting 6.1'!$I23-'Supporting 6.1'!$H23)&lt;0.00005,'Supporting 6.1'!$J23,IF(ABS('Supporting 6.1'!$I24-'Supporting 6.1'!$H24)&lt;0.00005,'Supporting 6.1'!$J24,IF(ABS('Supporting 6.1'!$I25-'Supporting 6.1'!$H25)&lt;0.00005,'Supporting 6.1'!$J25,IF(ABS('Supporting 6.1'!$I26-'Supporting 6.1'!$H26)&lt;0.005,'Supporting 6.1'!$J26,IF(ABS('Supporting 6.1'!$I27-'Supporting 6.1'!$H27)&lt;0.05,'Supporting 6.1'!$J27,'Supporting 6.1'!$J27))))))))</f>
        <v>n/a (RH&gt;0 required)</v>
      </c>
      <c r="C10" s="21">
        <f>IF('Psychrometric Chart'!$D$12&lt;=0,"n/a (RH&gt;0 required)",IF(ABS('Supporting 6.1'!$I64-'Supporting 6.1'!$H64)&lt;0.00005,'Supporting 6.1'!$J64,IF(ABS('Supporting 6.1'!$I65-'Supporting 6.1'!$H65)&lt;0.00005,'Supporting 6.1'!$J65,IF(ABS('Supporting 6.1'!$I66-'Supporting 6.1'!$H66)&lt;0.00005,'Supporting 6.1'!$J66,IF(ABS('Supporting 6.1'!$I67-'Supporting 6.1'!$H67)&lt;0.00005,'Supporting 6.1'!$J67,IF(ABS('Supporting 6.1'!$I68-'Supporting 6.1'!$H68)&lt;0.00005,'Supporting 6.1'!$J68,IF(ABS('Supporting 6.1'!$I69-'Supporting 6.1'!$H69)&lt;0.005,'Supporting 6.1'!$J69,IF(ABS('Supporting 6.1'!$I70-'Supporting 6.1'!$H70)&lt;0.05,'Supporting 6.1'!$J70,'Supporting 6.1'!$J70))))))))</f>
        <v>31.561893791194095</v>
      </c>
    </row>
    <row r="12" spans="1:4">
      <c r="A12" s="23" t="s">
        <v>22</v>
      </c>
      <c r="C12" s="23" t="s">
        <v>22</v>
      </c>
    </row>
    <row r="13" spans="1:4">
      <c r="A13" s="21" t="str">
        <f>IF(ISNUMBER(A10),(0.2871*(A10+273.15)*(1+1.6078*A7))/'Psychrometric Chart'!$C$6,"-")</f>
        <v>-</v>
      </c>
      <c r="C13" s="21">
        <f>IF(ISNUMBER(C10),(0.2871*(C10+273.15)*(1+1.6078*C7))/'Psychrometric Chart'!$C$6,"-")</f>
        <v>0.86862728483003404</v>
      </c>
    </row>
    <row r="14" spans="1:4">
      <c r="A14" s="23"/>
      <c r="C14" s="23"/>
    </row>
    <row r="15" spans="1:4">
      <c r="A15" s="23" t="s">
        <v>23</v>
      </c>
      <c r="C15" s="23" t="s">
        <v>23</v>
      </c>
    </row>
    <row r="16" spans="1:4">
      <c r="A16" s="21" t="str">
        <f>IF(ISNUMBER(A10),1.006*A10+A7*(2501+1.805*A10),"-")</f>
        <v>-</v>
      </c>
      <c r="C16" s="21">
        <f>IF(ISNUMBER(C10),1.006*C10+C7*(2501+1.805*C10),"-")</f>
        <v>41.405834491625185</v>
      </c>
    </row>
    <row r="18" spans="1:3" ht="19">
      <c r="A18" s="23" t="s">
        <v>52</v>
      </c>
      <c r="C18" s="23" t="s">
        <v>52</v>
      </c>
    </row>
    <row r="19" spans="1:3">
      <c r="A19" s="21" t="str">
        <f>IF('Psychrometric Chart'!$C$12&lt;=0,"n/a",IF('Supporting 6.1'!$H41=0,'Supporting 6.1'!$J44,IF(ABS('Supporting 6.1'!$I45-'Supporting 6.1'!$H45)&lt;0.00005,'Supporting 6.1'!$J45,IF(ABS('Supporting 6.1'!$I46-'Supporting 6.1'!$H46)&lt;0.00005,'Supporting 6.1'!$J46,IF(ABS('Supporting 6.1'!$I47-'Supporting 6.1'!$H47)&lt;0.00005,'Supporting 6.1'!$J47,IF(ABS('Supporting 6.1'!$I48-'Supporting 6.1'!$H48)&lt;0.00005,'Supporting 6.1'!$J48,IF(ABS('Supporting 6.1'!$I49-'Supporting 6.1'!$H49)&lt;0.05,'Supporting 6.1'!$J49,IF(ABS('Supporting 6.1'!$I50-'Supporting 6.1'!$H50)&lt;0.05,'Supporting 6.1'!$J50,'Supporting 6.1'!$J50))))))))</f>
        <v>n/a</v>
      </c>
      <c r="C19" s="21">
        <f>IF('Psychrometric Chart'!$D$12&lt;=0,"n/a",IF('Supporting 6.1'!$H74=0,'Supporting 6.1'!$J74,IF(ABS('Supporting 6.1'!$I77-'Supporting 6.1'!$H77)&lt;0.00005,'Supporting 6.1'!$J77,IF(ABS('Supporting 6.1'!$I78-'Supporting 6.1'!$H78)&lt;0.00005,'Supporting 6.1'!$J78,IF(ABS('Supporting 6.1'!$I79-'Supporting 6.1'!$H79)&lt;0.00005,'Supporting 6.1'!$J79,IF(ABS('Supporting 6.1'!$I80-'Supporting 6.1'!$H80)&lt;0.00005,'Supporting 6.1'!$J80,IF(ABS('Supporting 6.1'!$I81-'Supporting 6.1'!$H81)&lt;0.05,'Supporting 6.1'!$J81,IF(ABS('Supporting 6.1'!$I82-'Supporting 6.1'!$H82)&lt;0.05,'Supporting 6.1'!$J82,'Supporting 6.1'!$J82))))))))</f>
        <v>14.510855545170882</v>
      </c>
    </row>
  </sheetData>
  <phoneticPr fontId="11" type="noConversion"/>
  <pageMargins left="0.75" right="0.75" top="1" bottom="1" header="0.5" footer="0.5"/>
  <headerFooter alignWithMargins="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J85"/>
  <sheetViews>
    <sheetView topLeftCell="A79" zoomScale="75" workbookViewId="0">
      <selection activeCell="M13" sqref="M13"/>
    </sheetView>
  </sheetViews>
  <sheetFormatPr defaultColWidth="10.26953125" defaultRowHeight="17"/>
  <cols>
    <col min="1" max="1" width="45.54296875" style="21" customWidth="1"/>
    <col min="2" max="3" width="10.26953125" style="21" customWidth="1"/>
    <col min="4" max="4" width="10.81640625" style="21" bestFit="1" customWidth="1"/>
    <col min="5" max="5" width="10.26953125" style="21" customWidth="1"/>
    <col min="6" max="6" width="10.81640625" style="21" bestFit="1" customWidth="1"/>
    <col min="7" max="7" width="10.26953125" style="21" customWidth="1"/>
    <col min="8" max="8" width="10.81640625" style="21" bestFit="1" customWidth="1"/>
    <col min="9" max="16384" width="10.26953125" style="21"/>
  </cols>
  <sheetData>
    <row r="1" spans="1:10" ht="17.5">
      <c r="A1" s="20" t="s">
        <v>91</v>
      </c>
    </row>
    <row r="2" spans="1:10" ht="17.5">
      <c r="A2" s="20" t="s">
        <v>92</v>
      </c>
    </row>
    <row r="3" spans="1:10" ht="17.5">
      <c r="A3" s="20" t="s">
        <v>93</v>
      </c>
    </row>
    <row r="4" spans="1:10" ht="17.5">
      <c r="A4" s="20" t="s">
        <v>94</v>
      </c>
    </row>
    <row r="5" spans="1:10" ht="17.5">
      <c r="A5" s="20" t="s">
        <v>95</v>
      </c>
    </row>
    <row r="6" spans="1:10" ht="17.5">
      <c r="A6" s="20" t="s">
        <v>96</v>
      </c>
    </row>
    <row r="7" spans="1:10">
      <c r="A7" s="20"/>
    </row>
    <row r="8" spans="1:10">
      <c r="A8" s="20" t="s">
        <v>42</v>
      </c>
      <c r="B8" s="29"/>
      <c r="C8" s="29"/>
      <c r="D8" s="29"/>
      <c r="E8" s="29"/>
      <c r="F8" s="29"/>
    </row>
    <row r="9" spans="1:10">
      <c r="A9" s="20" t="s">
        <v>97</v>
      </c>
    </row>
    <row r="10" spans="1:10">
      <c r="A10" s="20" t="s">
        <v>43</v>
      </c>
      <c r="B10" s="20"/>
    </row>
    <row r="11" spans="1:10" ht="19">
      <c r="A11" s="20" t="s">
        <v>98</v>
      </c>
    </row>
    <row r="12" spans="1:10">
      <c r="A12" s="27" t="s">
        <v>44</v>
      </c>
      <c r="B12" s="29"/>
      <c r="C12" s="29"/>
      <c r="D12" s="29"/>
      <c r="E12" s="29"/>
      <c r="F12" s="29"/>
    </row>
    <row r="13" spans="1:10">
      <c r="A13" s="20"/>
    </row>
    <row r="14" spans="1:10" ht="18">
      <c r="A14" s="28" t="s">
        <v>29</v>
      </c>
      <c r="B14" s="20"/>
    </row>
    <row r="15" spans="1:10" ht="18">
      <c r="A15" s="29" t="s">
        <v>30</v>
      </c>
      <c r="B15" s="29" t="s">
        <v>79</v>
      </c>
      <c r="C15" s="29" t="s">
        <v>80</v>
      </c>
      <c r="D15" s="29" t="s">
        <v>99</v>
      </c>
      <c r="E15" s="29" t="s">
        <v>100</v>
      </c>
      <c r="F15" s="31" t="s">
        <v>101</v>
      </c>
      <c r="G15" s="31" t="s">
        <v>102</v>
      </c>
      <c r="H15" s="29" t="s">
        <v>103</v>
      </c>
      <c r="I15" s="29" t="s">
        <v>104</v>
      </c>
      <c r="J15" s="29" t="s">
        <v>87</v>
      </c>
    </row>
    <row r="16" spans="1:10">
      <c r="A16" s="24">
        <v>1</v>
      </c>
      <c r="B16" s="20">
        <v>0</v>
      </c>
      <c r="C16" s="21">
        <v>50</v>
      </c>
      <c r="D16" s="21">
        <f t="shared" ref="D16:D27" si="0">IF(273.15+C16&lt;273.16,EXP(-5674.5359/273.15+C16+6.3925247-0.009677843*273.15+C16+0.00000062215701*POWER(273.15+C16,2)+0.0000000020747825*POWER(273.15+C16,3)-0.000000000000948402*POWER(273.15+C16,4)+4.1635019*LN(273.15+C16))/1000,EXP(-5800.2206/(273.15+C16)+1.3914993-0.048640239*(273.15+C16)+0.000041764768*POWER((273.15+C16),2)-0.000000014452093*POWER((273.15+C16),3)+6.5459673*LN(273.15+C16))/1000)</f>
        <v>12.349856466723748</v>
      </c>
      <c r="E16" s="21">
        <f t="shared" ref="E16:E27" si="1">IF(273.15+B16&lt;273.16,EXP(-5674.5359/273.15+B16+6.3925247-0.009677843*273.15+B16+0.00000062215701*POWER(273.15+B16,2)+0.0000000020747825*POWER(273.15+B16,3)-0.000000000000948402*POWER(273.15+B16,4)+4.1635019*LN(273.15+B16))/1000,EXP(-5800.2206/(273.15+B16)+1.3914993-0.048640239*(273.15+B16)+0.000041764768*POWER((273.15+B16),2)-0.000000014452093*POWER((273.15+B16),3)+6.5459673*LN(273.15+B16))/1000)</f>
        <v>0.61115357225163369</v>
      </c>
      <c r="F16" s="21">
        <f>'Supporting 6'!$A$7/(0.62198*D16/('Psychrometric Chart'!$C$6-D16))</f>
        <v>4.3718772433701716E-2</v>
      </c>
      <c r="G16" s="21">
        <f>'Supporting 6'!$A$7/(0.62198*E16/('Psychrometric Chart'!$C$6-E16))</f>
        <v>0.99999999999999645</v>
      </c>
      <c r="H16" s="21">
        <f>F16/(1-(1-F16)*(D16/'Psychrometric Chart'!$C$6))-('Psychrometric Chart'!$C$12/100)</f>
        <v>4.9486694351336243E-2</v>
      </c>
      <c r="I16" s="21">
        <f>G16/(1-(1-G16)*(E16/'Psychrometric Chart'!$C$6))-('Psychrometric Chart'!$C$12/100)</f>
        <v>0.99999999999999645</v>
      </c>
      <c r="J16" s="21">
        <f t="shared" ref="J16:J27" si="2">IF(H16=I16,C16,C16-(C16-B16)*H16/(H16-I16))</f>
        <v>52.60315631865695</v>
      </c>
    </row>
    <row r="17" spans="1:10">
      <c r="A17" s="30">
        <v>2</v>
      </c>
      <c r="B17" s="20">
        <f t="shared" ref="B17:B27" si="3">C16</f>
        <v>50</v>
      </c>
      <c r="C17" s="20">
        <f t="shared" ref="C17:C27" si="4">J16:J16</f>
        <v>52.60315631865695</v>
      </c>
      <c r="D17" s="21">
        <f t="shared" si="0"/>
        <v>14.036320930781409</v>
      </c>
      <c r="E17" s="21">
        <f t="shared" si="1"/>
        <v>12.349856466723748</v>
      </c>
      <c r="F17" s="21">
        <f>'Supporting 6'!$A$7/(0.62198*D17/('Psychrometric Chart'!$C$6-D17))</f>
        <v>3.7736863748767273E-2</v>
      </c>
      <c r="G17" s="21">
        <f>'Supporting 6'!$A$7/(0.62198*E17/('Psychrometric Chart'!$C$6-E17))</f>
        <v>4.3718772433701716E-2</v>
      </c>
      <c r="H17" s="21">
        <f>F17/(1-(1-F17)*(D17/'Psychrometric Chart'!$C$6))-('Psychrometric Chart'!$C$12/100)</f>
        <v>4.3540866247321418E-2</v>
      </c>
      <c r="I17" s="21">
        <f>G17/(1-(1-G17)*(E17/'Psychrometric Chart'!$C$6))-('Psychrometric Chart'!$C$12/100)</f>
        <v>4.9486694351336243E-2</v>
      </c>
      <c r="J17" s="21">
        <f t="shared" si="2"/>
        <v>71.66588048570415</v>
      </c>
    </row>
    <row r="18" spans="1:10">
      <c r="A18" s="24">
        <v>3</v>
      </c>
      <c r="B18" s="20">
        <f t="shared" si="3"/>
        <v>52.60315631865695</v>
      </c>
      <c r="C18" s="20">
        <f t="shared" si="4"/>
        <v>71.66588048570415</v>
      </c>
      <c r="D18" s="21">
        <f t="shared" si="0"/>
        <v>33.515366880864235</v>
      </c>
      <c r="E18" s="21">
        <f t="shared" si="1"/>
        <v>14.036320930781409</v>
      </c>
      <c r="F18" s="21">
        <f>'Supporting 6'!$A$7/(0.62198*D18/('Psychrometric Chart'!$C$6-D18))</f>
        <v>1.2277461720157323E-2</v>
      </c>
      <c r="G18" s="21">
        <f>'Supporting 6'!$A$7/(0.62198*E18/('Psychrometric Chart'!$C$6-E18))</f>
        <v>3.7736863748767273E-2</v>
      </c>
      <c r="H18" s="21">
        <f>F18/(1-(1-F18)*(D18/'Psychrometric Chart'!$C$6))-('Psychrometric Chart'!$C$12/100)</f>
        <v>1.8235025575703088E-2</v>
      </c>
      <c r="I18" s="21">
        <f>G18/(1-(1-G18)*(E18/'Psychrometric Chart'!$C$6))-('Psychrometric Chart'!$C$12/100)</f>
        <v>4.3540866247321418E-2</v>
      </c>
      <c r="J18" s="21">
        <f t="shared" si="2"/>
        <v>85.402205915056072</v>
      </c>
    </row>
    <row r="19" spans="1:10">
      <c r="A19" s="30">
        <v>4</v>
      </c>
      <c r="B19" s="20">
        <f t="shared" si="3"/>
        <v>71.66588048570415</v>
      </c>
      <c r="C19" s="20">
        <f t="shared" si="4"/>
        <v>85.402205915056072</v>
      </c>
      <c r="D19" s="21">
        <f t="shared" si="0"/>
        <v>58.78311278367849</v>
      </c>
      <c r="E19" s="21">
        <f t="shared" si="1"/>
        <v>33.515366880864235</v>
      </c>
      <c r="F19" s="21">
        <f>'Supporting 6'!$A$7/(0.62198*D19/('Psychrometric Chart'!$C$6-D19))</f>
        <v>4.3916259629814035E-3</v>
      </c>
      <c r="G19" s="21">
        <f>'Supporting 6'!$A$7/(0.62198*E19/('Psychrometric Chart'!$C$6-E19))</f>
        <v>1.2277461720157323E-2</v>
      </c>
      <c r="H19" s="21">
        <f>F19/(1-(1-F19)*(D19/'Psychrometric Chart'!$C$6))-('Psychrometric Chart'!$C$12/100)</f>
        <v>1.0396754157961543E-2</v>
      </c>
      <c r="I19" s="21">
        <f>G19/(1-(1-G19)*(E19/'Psychrometric Chart'!$C$6))-('Psychrometric Chart'!$C$12/100)</f>
        <v>1.8235025575703088E-2</v>
      </c>
      <c r="J19" s="21">
        <f t="shared" si="2"/>
        <v>103.62219230127342</v>
      </c>
    </row>
    <row r="20" spans="1:10">
      <c r="A20" s="24">
        <v>5</v>
      </c>
      <c r="B20" s="20">
        <f t="shared" si="3"/>
        <v>85.402205915056072</v>
      </c>
      <c r="C20" s="20">
        <f t="shared" si="4"/>
        <v>103.62219230127342</v>
      </c>
      <c r="D20" s="21">
        <f t="shared" si="0"/>
        <v>115.25105068046514</v>
      </c>
      <c r="E20" s="21">
        <f t="shared" si="1"/>
        <v>58.78311278367849</v>
      </c>
      <c r="F20" s="21">
        <f>'Supporting 6'!$A$7/(0.62198*D20/('Psychrometric Chart'!$C$6-D20))</f>
        <v>-7.3323679416829478E-4</v>
      </c>
      <c r="G20" s="21">
        <f>'Supporting 6'!$A$7/(0.62198*E20/('Psychrometric Chart'!$C$6-E20))</f>
        <v>4.3916259629814035E-3</v>
      </c>
      <c r="H20" s="21">
        <f>F20/(1-(1-F20)*(D20/'Psychrometric Chart'!$C$6))-('Psychrometric Chart'!$C$12/100)</f>
        <v>5.3028026091151356E-3</v>
      </c>
      <c r="I20" s="21">
        <f>G20/(1-(1-G20)*(E20/'Psychrometric Chart'!$C$6))-('Psychrometric Chart'!$C$12/100)</f>
        <v>1.0396754157961543E-2</v>
      </c>
      <c r="J20" s="21">
        <f t="shared" si="2"/>
        <v>122.58919471980953</v>
      </c>
    </row>
    <row r="21" spans="1:10">
      <c r="A21" s="30">
        <v>6</v>
      </c>
      <c r="B21" s="20">
        <f t="shared" si="3"/>
        <v>103.62219230127342</v>
      </c>
      <c r="C21" s="20">
        <f t="shared" si="4"/>
        <v>122.58919471980953</v>
      </c>
      <c r="D21" s="21">
        <f t="shared" si="0"/>
        <v>215.53408673177373</v>
      </c>
      <c r="E21" s="21">
        <f t="shared" si="1"/>
        <v>115.25105068046514</v>
      </c>
      <c r="F21" s="21">
        <f>'Supporting 6'!$A$7/(0.62198*D21/('Psychrometric Chart'!$C$6-D21))</f>
        <v>-3.2154804022883478E-3</v>
      </c>
      <c r="G21" s="21">
        <f>'Supporting 6'!$A$7/(0.62198*E21/('Psychrometric Chart'!$C$6-E21))</f>
        <v>-7.3323679416829478E-4</v>
      </c>
      <c r="H21" s="21">
        <f>F21/(1-(1-F21)*(D21/'Psychrometric Chart'!$C$6))-('Psychrometric Chart'!$C$12/100)</f>
        <v>2.8355309432433091E-3</v>
      </c>
      <c r="I21" s="21">
        <f>G21/(1-(1-G21)*(E21/'Psychrometric Chart'!$C$6))-('Psychrometric Chart'!$C$12/100)</f>
        <v>5.3028026091151356E-3</v>
      </c>
      <c r="J21" s="21">
        <f t="shared" si="2"/>
        <v>144.38716816645297</v>
      </c>
    </row>
    <row r="22" spans="1:10">
      <c r="A22" s="24">
        <v>7</v>
      </c>
      <c r="B22" s="20">
        <f t="shared" si="3"/>
        <v>122.58919471980953</v>
      </c>
      <c r="C22" s="20">
        <f t="shared" si="4"/>
        <v>144.38716816645297</v>
      </c>
      <c r="D22" s="21">
        <f t="shared" si="0"/>
        <v>408.74702573807485</v>
      </c>
      <c r="E22" s="21">
        <f t="shared" si="1"/>
        <v>215.53408673177373</v>
      </c>
      <c r="F22" s="21">
        <f>'Supporting 6'!$A$7/(0.62198*D22/('Psychrometric Chart'!$C$6-D22))</f>
        <v>-4.5639570249038502E-3</v>
      </c>
      <c r="G22" s="21">
        <f>'Supporting 6'!$A$7/(0.62198*E22/('Psychrometric Chart'!$C$6-E22))</f>
        <v>-3.2154804022883478E-3</v>
      </c>
      <c r="H22" s="21">
        <f>F22/(1-(1-F22)*(D22/'Psychrometric Chart'!$C$6))-('Psychrometric Chart'!$C$12/100)</f>
        <v>1.4951878148790714E-3</v>
      </c>
      <c r="I22" s="21">
        <f>G22/(1-(1-G22)*(E22/'Psychrometric Chart'!$C$6))-('Psychrometric Chart'!$C$12/100)</f>
        <v>2.8355309432433091E-3</v>
      </c>
      <c r="J22" s="21">
        <f t="shared" si="2"/>
        <v>168.70337764801636</v>
      </c>
    </row>
    <row r="23" spans="1:10">
      <c r="A23" s="30">
        <v>8</v>
      </c>
      <c r="B23" s="20">
        <f t="shared" si="3"/>
        <v>144.38716816645297</v>
      </c>
      <c r="C23" s="20">
        <f t="shared" si="4"/>
        <v>168.70337764801636</v>
      </c>
      <c r="D23" s="21">
        <f t="shared" si="0"/>
        <v>767.71470970114308</v>
      </c>
      <c r="E23" s="21">
        <f t="shared" si="1"/>
        <v>408.74702573807485</v>
      </c>
      <c r="F23" s="21">
        <f>'Supporting 6'!$A$7/(0.62198*D23/('Psychrometric Chart'!$C$6-D23))</f>
        <v>-5.2673186500518899E-3</v>
      </c>
      <c r="G23" s="21">
        <f>'Supporting 6'!$A$7/(0.62198*E23/('Psychrometric Chart'!$C$6-E23))</f>
        <v>-4.5639570249038502E-3</v>
      </c>
      <c r="H23" s="21">
        <f>F23/(1-(1-F23)*(D23/'Psychrometric Chart'!$C$6))-('Psychrometric Chart'!$C$12/100)</f>
        <v>7.9606859752569042E-4</v>
      </c>
      <c r="I23" s="21">
        <f>G23/(1-(1-G23)*(E23/'Psychrometric Chart'!$C$6))-('Psychrometric Chart'!$C$12/100)</f>
        <v>1.4951878148790714E-3</v>
      </c>
      <c r="J23" s="21">
        <f t="shared" si="2"/>
        <v>196.39160348796574</v>
      </c>
    </row>
    <row r="24" spans="1:10">
      <c r="A24" s="24">
        <v>9</v>
      </c>
      <c r="B24" s="20">
        <f t="shared" si="3"/>
        <v>168.70337764801636</v>
      </c>
      <c r="C24" s="20">
        <f t="shared" si="4"/>
        <v>196.39160348796574</v>
      </c>
      <c r="D24" s="21">
        <f t="shared" si="0"/>
        <v>1441.0987214181412</v>
      </c>
      <c r="E24" s="21">
        <f t="shared" si="1"/>
        <v>767.71470970114308</v>
      </c>
      <c r="F24" s="21">
        <f>'Supporting 6'!$A$7/(0.62198*D24/('Psychrometric Chart'!$C$6-D24))</f>
        <v>-5.6415558802266714E-3</v>
      </c>
      <c r="G24" s="21">
        <f>'Supporting 6'!$A$7/(0.62198*E24/('Psychrometric Chart'!$C$6-E24))</f>
        <v>-5.2673186500518899E-3</v>
      </c>
      <c r="H24" s="21">
        <f>F24/(1-(1-F24)*(D24/'Psychrometric Chart'!$C$6))-('Psychrometric Chart'!$C$12/100)</f>
        <v>4.2408862291558623E-4</v>
      </c>
      <c r="I24" s="21">
        <f>G24/(1-(1-G24)*(E24/'Psychrometric Chart'!$C$6))-('Psychrometric Chart'!$C$12/100)</f>
        <v>7.9606859752569042E-4</v>
      </c>
      <c r="J24" s="21">
        <f t="shared" si="2"/>
        <v>227.95852205595503</v>
      </c>
    </row>
    <row r="25" spans="1:10">
      <c r="A25" s="30">
        <v>10</v>
      </c>
      <c r="B25" s="20">
        <f t="shared" si="3"/>
        <v>196.39160348796574</v>
      </c>
      <c r="C25" s="20">
        <f t="shared" si="4"/>
        <v>227.95852205595503</v>
      </c>
      <c r="D25" s="21">
        <f t="shared" si="0"/>
        <v>2694.6705353464081</v>
      </c>
      <c r="E25" s="21">
        <f t="shared" si="1"/>
        <v>1441.0987214181412</v>
      </c>
      <c r="F25" s="21">
        <f>'Supporting 6'!$A$7/(0.62198*D25/('Psychrometric Chart'!$C$6-D25))</f>
        <v>-5.8400408367204719E-3</v>
      </c>
      <c r="G25" s="21">
        <f>'Supporting 6'!$A$7/(0.62198*E25/('Psychrometric Chart'!$C$6-E25))</f>
        <v>-5.6415558802266714E-3</v>
      </c>
      <c r="H25" s="21">
        <f>F25/(1-(1-F25)*(D25/'Psychrometric Chart'!$C$6))-('Psychrometric Chart'!$C$12/100)</f>
        <v>2.2680085161990536E-4</v>
      </c>
      <c r="I25" s="21">
        <f>G25/(1-(1-G25)*(E25/'Psychrometric Chart'!$C$6))-('Psychrometric Chart'!$C$12/100)</f>
        <v>4.2408862291558623E-4</v>
      </c>
      <c r="J25" s="21">
        <f t="shared" si="2"/>
        <v>264.2476643946668</v>
      </c>
    </row>
    <row r="26" spans="1:10">
      <c r="A26" s="24">
        <v>11</v>
      </c>
      <c r="B26" s="20">
        <f t="shared" si="3"/>
        <v>227.95852205595503</v>
      </c>
      <c r="C26" s="20">
        <f t="shared" si="4"/>
        <v>264.2476643946668</v>
      </c>
      <c r="D26" s="21">
        <f t="shared" si="0"/>
        <v>5028.0124703238453</v>
      </c>
      <c r="E26" s="21">
        <f t="shared" si="1"/>
        <v>2694.6705353464081</v>
      </c>
      <c r="F26" s="21">
        <f>'Supporting 6'!$A$7/(0.62198*D26/('Psychrometric Chart'!$C$6-D26))</f>
        <v>-5.9459306422767347E-3</v>
      </c>
      <c r="G26" s="21">
        <f>'Supporting 6'!$A$7/(0.62198*E26/('Psychrometric Chart'!$C$6-E26))</f>
        <v>-5.8400408367204719E-3</v>
      </c>
      <c r="H26" s="21">
        <f>F26/(1-(1-F26)*(D26/'Psychrometric Chart'!$C$6))-('Psychrometric Chart'!$C$12/100)</f>
        <v>1.2154973279377493E-4</v>
      </c>
      <c r="I26" s="21">
        <f>G26/(1-(1-G26)*(E26/'Psychrometric Chart'!$C$6))-('Psychrometric Chart'!$C$12/100)</f>
        <v>2.2680085161990536E-4</v>
      </c>
      <c r="J26" s="21">
        <f t="shared" si="2"/>
        <v>306.15634530733553</v>
      </c>
    </row>
    <row r="27" spans="1:10">
      <c r="A27" s="30">
        <v>12</v>
      </c>
      <c r="B27" s="20">
        <f t="shared" si="3"/>
        <v>264.2476643946668</v>
      </c>
      <c r="C27" s="20">
        <f t="shared" si="4"/>
        <v>306.15634530733553</v>
      </c>
      <c r="D27" s="21">
        <f t="shared" si="0"/>
        <v>9363.1903621515376</v>
      </c>
      <c r="E27" s="21">
        <f t="shared" si="1"/>
        <v>5028.0124703238453</v>
      </c>
      <c r="F27" s="21">
        <f>'Supporting 6'!$A$7/(0.62198*D27/('Psychrometric Chart'!$C$6-D27))</f>
        <v>-6.0025499439145024E-3</v>
      </c>
      <c r="G27" s="21">
        <f>'Supporting 6'!$A$7/(0.62198*E27/('Psychrometric Chart'!$C$6-E27))</f>
        <v>-5.9459306422767347E-3</v>
      </c>
      <c r="H27" s="21">
        <f>F27/(1-(1-F27)*(D27/'Psychrometric Chart'!$C$6))-('Psychrometric Chart'!$C$12/100)</f>
        <v>6.5271937086964929E-5</v>
      </c>
      <c r="I27" s="21">
        <f>G27/(1-(1-G27)*(E27/'Psychrometric Chart'!$C$6))-('Psychrometric Chart'!$C$12/100)</f>
        <v>1.2154973279377493E-4</v>
      </c>
      <c r="J27" s="21">
        <f t="shared" si="2"/>
        <v>354.7627405929702</v>
      </c>
    </row>
    <row r="29" spans="1:10" ht="109">
      <c r="A29" s="26" t="s">
        <v>25</v>
      </c>
    </row>
    <row r="30" spans="1:10">
      <c r="A30" s="20" t="s">
        <v>26</v>
      </c>
    </row>
    <row r="31" spans="1:10">
      <c r="A31" s="20" t="s">
        <v>363</v>
      </c>
    </row>
    <row r="33" spans="1:10">
      <c r="A33" s="20" t="s">
        <v>27</v>
      </c>
    </row>
    <row r="34" spans="1:10">
      <c r="A34" s="20" t="s">
        <v>364</v>
      </c>
    </row>
    <row r="35" spans="1:10">
      <c r="A35" s="20"/>
    </row>
    <row r="36" spans="1:10">
      <c r="A36" s="27" t="s">
        <v>28</v>
      </c>
    </row>
    <row r="37" spans="1:10">
      <c r="A37" s="20" t="s">
        <v>54</v>
      </c>
    </row>
    <row r="38" spans="1:10">
      <c r="A38" s="20" t="s">
        <v>105</v>
      </c>
    </row>
    <row r="39" spans="1:10" ht="18">
      <c r="A39" s="28" t="s">
        <v>29</v>
      </c>
    </row>
    <row r="40" spans="1:10" ht="18">
      <c r="A40" s="29" t="s">
        <v>30</v>
      </c>
      <c r="B40" s="29" t="s">
        <v>56</v>
      </c>
      <c r="C40" s="29" t="s">
        <v>57</v>
      </c>
      <c r="D40" s="29" t="s">
        <v>58</v>
      </c>
      <c r="E40" s="29" t="s">
        <v>59</v>
      </c>
      <c r="F40" s="29" t="s">
        <v>60</v>
      </c>
      <c r="G40" s="29" t="s">
        <v>61</v>
      </c>
      <c r="H40" s="29" t="s">
        <v>62</v>
      </c>
      <c r="I40" s="29" t="s">
        <v>63</v>
      </c>
      <c r="J40" s="29" t="s">
        <v>64</v>
      </c>
    </row>
    <row r="41" spans="1:10">
      <c r="A41" s="30">
        <v>1</v>
      </c>
      <c r="B41" s="30">
        <v>0</v>
      </c>
      <c r="C41" s="30">
        <v>50</v>
      </c>
      <c r="D41" s="24">
        <f t="shared" ref="D41:D52" si="5">IF(273.15+C41&lt;273.16,EXP(-5674.5359/273.15+C41+6.3925247-0.009677843*273.15+C41+0.00000062215701*POWER(273.15+C41,2)+0.0000000020747825*POWER(273.15+C41,3)-0.000000000000948402*POWER(273.15+C41,4)+4.1635019*LN(273.15+C41))/1000,EXP(-5800.2206/(273.15+C41)+1.3914993-0.048640239*(273.15+C41)+0.000041764768*POWER((273.15+C41),2)-0.000000014452093*POWER((273.15+C41),3)+6.5459673*LN(273.15+C41))/1000)</f>
        <v>12.349856466723748</v>
      </c>
      <c r="E41" s="24">
        <f t="shared" ref="E41:E52" si="6">IF(273.15+B41&lt;273.16,EXP(-5674.5359/273.15+B41+6.3925247-0.009677843*273.15+B41+0.00000062215701*POWER(273.15+B41,2)+0.0000000020747825*POWER(273.15+B41,3)-0.000000000000948402*POWER(273.15+B41,4)+4.1635019*LN(273.15+B41))/1000,EXP(-5800.2206/(273.15+B41)+1.3914993-0.048640239*(273.15+B41)+0.000041764768*POWER((273.15+B41),2)-0.000000014452093*POWER((273.15+B41),3)+6.5459673*LN(273.15+B41))/1000)</f>
        <v>0.61115357225163369</v>
      </c>
      <c r="F41" s="20">
        <f>0.62198*(D41/('Psychrometric Chart'!$C$6-D41))</f>
        <v>8.6331568797076971E-2</v>
      </c>
      <c r="G41" s="20">
        <f>0.62198*(E41/('Psychrometric Chart'!$C$6-E41))</f>
        <v>3.7743102100838855E-3</v>
      </c>
      <c r="H41" s="21" t="e">
        <f>((2501-2.381*C41)*F41-('Supporting 6'!$A$10-C41))/(2501+1.805*'Supporting 6'!$A$10-4.186*C41)-'Supporting 6'!$A$7</f>
        <v>#VALUE!</v>
      </c>
      <c r="I41" s="21" t="e">
        <f>((2501-2.381*E41)*G41-('Supporting 6'!$A$10-E41))/(2501+1.805*'Supporting 6'!$A$10-4.186*E41)-'Supporting 6'!$A$7</f>
        <v>#VALUE!</v>
      </c>
      <c r="J41" s="21" t="e">
        <f t="shared" ref="J41:J52" si="7">IF(H41=I41,C41,C41-(C41-B41)*H41/(H41-I41))</f>
        <v>#VALUE!</v>
      </c>
    </row>
    <row r="42" spans="1:10">
      <c r="A42" s="30">
        <v>2</v>
      </c>
      <c r="B42" s="30">
        <f t="shared" ref="B42:B52" si="8">C41</f>
        <v>50</v>
      </c>
      <c r="C42" s="30" t="e">
        <f t="shared" ref="C42:C52" si="9">J41:J41</f>
        <v>#VALUE!</v>
      </c>
      <c r="D42" s="24" t="e">
        <f t="shared" si="5"/>
        <v>#VALUE!</v>
      </c>
      <c r="E42" s="24">
        <f t="shared" si="6"/>
        <v>12.349856466723748</v>
      </c>
      <c r="F42" s="20" t="e">
        <f>0.62198*(D42/('Psychrometric Chart'!$C$6-D42))</f>
        <v>#VALUE!</v>
      </c>
      <c r="G42" s="20">
        <f>0.62198*(E42/('Psychrometric Chart'!$C$6-E42))</f>
        <v>8.6331568797076971E-2</v>
      </c>
      <c r="H42" s="21" t="e">
        <f>((2501-2.381*C42)*F42-('Supporting 6'!$A$10-C42))/(2501+1.805*'Supporting 6'!$A$10-4.186*C42)-'Supporting 6'!$A$7</f>
        <v>#VALUE!</v>
      </c>
      <c r="I42" s="21" t="e">
        <f>((2501-2.381*E42)*G42-('Supporting 6'!$A$10-E42))/(2501+1.805*'Supporting 6'!$A$10-4.186*E42)-'Supporting 6'!$A$7</f>
        <v>#VALUE!</v>
      </c>
      <c r="J42" s="21" t="e">
        <f t="shared" si="7"/>
        <v>#VALUE!</v>
      </c>
    </row>
    <row r="43" spans="1:10">
      <c r="A43" s="30">
        <v>3</v>
      </c>
      <c r="B43" s="30" t="e">
        <f t="shared" si="8"/>
        <v>#VALUE!</v>
      </c>
      <c r="C43" s="30" t="e">
        <f t="shared" si="9"/>
        <v>#VALUE!</v>
      </c>
      <c r="D43" s="24" t="e">
        <f t="shared" si="5"/>
        <v>#VALUE!</v>
      </c>
      <c r="E43" s="24" t="e">
        <f t="shared" si="6"/>
        <v>#VALUE!</v>
      </c>
      <c r="F43" s="20" t="e">
        <f>0.62198*(D43/('Psychrometric Chart'!$C$6-D43))</f>
        <v>#VALUE!</v>
      </c>
      <c r="G43" s="20" t="e">
        <f>0.62198*(E43/('Psychrometric Chart'!$C$6-E43))</f>
        <v>#VALUE!</v>
      </c>
      <c r="H43" s="21" t="e">
        <f>((2501-2.381*C43)*F43-('Supporting 6'!$A$10-C43))/(2501+1.805*'Supporting 6'!$A$10-4.186*C43)-'Supporting 6'!$A$7</f>
        <v>#VALUE!</v>
      </c>
      <c r="I43" s="21" t="e">
        <f>((2501-2.381*E43)*G43-('Supporting 6'!$A$10-E43))/(2501+1.805*'Supporting 6'!$A$10-4.186*E43)-'Supporting 6'!$A$7</f>
        <v>#VALUE!</v>
      </c>
      <c r="J43" s="21" t="e">
        <f t="shared" si="7"/>
        <v>#VALUE!</v>
      </c>
    </row>
    <row r="44" spans="1:10">
      <c r="A44" s="30">
        <v>4</v>
      </c>
      <c r="B44" s="30" t="e">
        <f t="shared" si="8"/>
        <v>#VALUE!</v>
      </c>
      <c r="C44" s="30" t="e">
        <f t="shared" si="9"/>
        <v>#VALUE!</v>
      </c>
      <c r="D44" s="24" t="e">
        <f t="shared" si="5"/>
        <v>#VALUE!</v>
      </c>
      <c r="E44" s="24" t="e">
        <f t="shared" si="6"/>
        <v>#VALUE!</v>
      </c>
      <c r="F44" s="20" t="e">
        <f>0.62198*(D44/('Psychrometric Chart'!$C$6-D44))</f>
        <v>#VALUE!</v>
      </c>
      <c r="G44" s="20" t="e">
        <f>0.62198*(E44/('Psychrometric Chart'!$C$6-E44))</f>
        <v>#VALUE!</v>
      </c>
      <c r="H44" s="21" t="e">
        <f>((2501-2.381*C44)*F44-('Supporting 6'!$A$10-C44))/(2501+1.805*'Supporting 6'!$A$10-4.186*C44)-'Supporting 6'!$A$7</f>
        <v>#VALUE!</v>
      </c>
      <c r="I44" s="21" t="e">
        <f>((2501-2.381*E44)*G44-('Supporting 6'!$A$10-E44))/(2501+1.805*'Supporting 6'!$A$10-4.186*E44)-'Supporting 6'!$A$7</f>
        <v>#VALUE!</v>
      </c>
      <c r="J44" s="21" t="e">
        <f t="shared" si="7"/>
        <v>#VALUE!</v>
      </c>
    </row>
    <row r="45" spans="1:10">
      <c r="A45" s="30">
        <v>5</v>
      </c>
      <c r="B45" s="30" t="e">
        <f t="shared" si="8"/>
        <v>#VALUE!</v>
      </c>
      <c r="C45" s="30" t="e">
        <f t="shared" si="9"/>
        <v>#VALUE!</v>
      </c>
      <c r="D45" s="24" t="e">
        <f t="shared" si="5"/>
        <v>#VALUE!</v>
      </c>
      <c r="E45" s="24" t="e">
        <f t="shared" si="6"/>
        <v>#VALUE!</v>
      </c>
      <c r="F45" s="20" t="e">
        <f>0.62198*(D45/('Psychrometric Chart'!$C$6-D45))</f>
        <v>#VALUE!</v>
      </c>
      <c r="G45" s="20" t="e">
        <f>0.62198*(E45/('Psychrometric Chart'!$C$6-E45))</f>
        <v>#VALUE!</v>
      </c>
      <c r="H45" s="21" t="e">
        <f>((2501-2.381*C45)*F45-('Supporting 6'!$A$10-C45))/(2501+1.805*'Supporting 6'!$A$10-4.186*C45)-'Supporting 6'!$A$7</f>
        <v>#VALUE!</v>
      </c>
      <c r="I45" s="21" t="e">
        <f>((2501-2.381*E45)*G45-('Supporting 6'!$A$10-E45))/(2501+1.805*'Supporting 6'!$A$10-4.186*E45)-'Supporting 6'!$A$7</f>
        <v>#VALUE!</v>
      </c>
      <c r="J45" s="21" t="e">
        <f t="shared" si="7"/>
        <v>#VALUE!</v>
      </c>
    </row>
    <row r="46" spans="1:10">
      <c r="A46" s="30">
        <v>6</v>
      </c>
      <c r="B46" s="30" t="e">
        <f t="shared" si="8"/>
        <v>#VALUE!</v>
      </c>
      <c r="C46" s="30" t="e">
        <f t="shared" si="9"/>
        <v>#VALUE!</v>
      </c>
      <c r="D46" s="24" t="e">
        <f t="shared" si="5"/>
        <v>#VALUE!</v>
      </c>
      <c r="E46" s="24" t="e">
        <f t="shared" si="6"/>
        <v>#VALUE!</v>
      </c>
      <c r="F46" s="20" t="e">
        <f>0.62198*(D46/('Psychrometric Chart'!$C$6-D46))</f>
        <v>#VALUE!</v>
      </c>
      <c r="G46" s="20" t="e">
        <f>0.62198*(E46/('Psychrometric Chart'!$C$6-E46))</f>
        <v>#VALUE!</v>
      </c>
      <c r="H46" s="21" t="e">
        <f>((2501-2.381*C46)*F46-('Supporting 6'!$A$10-C46))/(2501+1.805*'Supporting 6'!$A$10-4.186*C46)-'Supporting 6'!$A$7</f>
        <v>#VALUE!</v>
      </c>
      <c r="I46" s="21" t="e">
        <f>((2501-2.381*E46)*G46-('Supporting 6'!$A$10-E46))/(2501+1.805*'Supporting 6'!$A$10-4.186*E46)-'Supporting 6'!$A$7</f>
        <v>#VALUE!</v>
      </c>
      <c r="J46" s="21" t="e">
        <f t="shared" si="7"/>
        <v>#VALUE!</v>
      </c>
    </row>
    <row r="47" spans="1:10">
      <c r="A47" s="30">
        <v>7</v>
      </c>
      <c r="B47" s="30" t="e">
        <f t="shared" si="8"/>
        <v>#VALUE!</v>
      </c>
      <c r="C47" s="30" t="e">
        <f t="shared" si="9"/>
        <v>#VALUE!</v>
      </c>
      <c r="D47" s="24" t="e">
        <f t="shared" si="5"/>
        <v>#VALUE!</v>
      </c>
      <c r="E47" s="24" t="e">
        <f t="shared" si="6"/>
        <v>#VALUE!</v>
      </c>
      <c r="F47" s="20" t="e">
        <f>0.62198*(D47/('Psychrometric Chart'!$C$6-D47))</f>
        <v>#VALUE!</v>
      </c>
      <c r="G47" s="20" t="e">
        <f>0.62198*(E47/('Psychrometric Chart'!$C$6-E47))</f>
        <v>#VALUE!</v>
      </c>
      <c r="H47" s="21" t="e">
        <f>((2501-2.381*C47)*F47-('Supporting 6'!$A$10-C47))/(2501+1.805*'Supporting 6'!$A$10-4.186*C47)-'Supporting 6'!$A$7</f>
        <v>#VALUE!</v>
      </c>
      <c r="I47" s="21" t="e">
        <f>((2501-2.381*E47)*G47-('Supporting 6'!$A$10-E47))/(2501+1.805*'Supporting 6'!$A$10-4.186*E47)-'Supporting 6'!$A$7</f>
        <v>#VALUE!</v>
      </c>
      <c r="J47" s="21" t="e">
        <f t="shared" si="7"/>
        <v>#VALUE!</v>
      </c>
    </row>
    <row r="48" spans="1:10">
      <c r="A48" s="30">
        <v>8</v>
      </c>
      <c r="B48" s="30" t="e">
        <f t="shared" si="8"/>
        <v>#VALUE!</v>
      </c>
      <c r="C48" s="30" t="e">
        <f t="shared" si="9"/>
        <v>#VALUE!</v>
      </c>
      <c r="D48" s="24" t="e">
        <f t="shared" si="5"/>
        <v>#VALUE!</v>
      </c>
      <c r="E48" s="24" t="e">
        <f t="shared" si="6"/>
        <v>#VALUE!</v>
      </c>
      <c r="F48" s="20" t="e">
        <f>0.62198*(D48/('Psychrometric Chart'!$C$6-D48))</f>
        <v>#VALUE!</v>
      </c>
      <c r="G48" s="20" t="e">
        <f>0.62198*(E48/('Psychrometric Chart'!$C$6-E48))</f>
        <v>#VALUE!</v>
      </c>
      <c r="H48" s="21" t="e">
        <f>((2501-2.381*C48)*F48-('Supporting 6'!$A$10-C48))/(2501+1.805*'Supporting 6'!$A$10-4.186*C48)-'Supporting 6'!$A$7</f>
        <v>#VALUE!</v>
      </c>
      <c r="I48" s="21" t="e">
        <f>((2501-2.381*E48)*G48-('Supporting 6'!$A$10-E48))/(2501+1.805*'Supporting 6'!$A$10-4.186*E48)-'Supporting 6'!$A$7</f>
        <v>#VALUE!</v>
      </c>
      <c r="J48" s="21" t="e">
        <f t="shared" si="7"/>
        <v>#VALUE!</v>
      </c>
    </row>
    <row r="49" spans="1:10">
      <c r="A49" s="30">
        <v>9</v>
      </c>
      <c r="B49" s="30" t="e">
        <f t="shared" si="8"/>
        <v>#VALUE!</v>
      </c>
      <c r="C49" s="30" t="e">
        <f t="shared" si="9"/>
        <v>#VALUE!</v>
      </c>
      <c r="D49" s="24" t="e">
        <f t="shared" si="5"/>
        <v>#VALUE!</v>
      </c>
      <c r="E49" s="24" t="e">
        <f t="shared" si="6"/>
        <v>#VALUE!</v>
      </c>
      <c r="F49" s="20" t="e">
        <f>0.62198*(D49/('Psychrometric Chart'!$C$6-D49))</f>
        <v>#VALUE!</v>
      </c>
      <c r="G49" s="20" t="e">
        <f>0.62198*(E49/('Psychrometric Chart'!$C$6-E49))</f>
        <v>#VALUE!</v>
      </c>
      <c r="H49" s="21" t="e">
        <f>((2501-2.381*C49)*F49-('Supporting 6'!$A$10-C49))/(2501+1.805*'Supporting 6'!$A$10-4.186*C49)-'Supporting 6'!$A$7</f>
        <v>#VALUE!</v>
      </c>
      <c r="I49" s="21" t="e">
        <f>((2501-2.381*E49)*G49-('Supporting 6'!$A$10-E49))/(2501+1.805*'Supporting 6'!$A$10-4.186*E49)-'Supporting 6'!$A$7</f>
        <v>#VALUE!</v>
      </c>
      <c r="J49" s="21" t="e">
        <f t="shared" si="7"/>
        <v>#VALUE!</v>
      </c>
    </row>
    <row r="50" spans="1:10">
      <c r="A50" s="30">
        <v>10</v>
      </c>
      <c r="B50" s="30" t="e">
        <f t="shared" si="8"/>
        <v>#VALUE!</v>
      </c>
      <c r="C50" s="30" t="e">
        <f t="shared" si="9"/>
        <v>#VALUE!</v>
      </c>
      <c r="D50" s="24" t="e">
        <f t="shared" si="5"/>
        <v>#VALUE!</v>
      </c>
      <c r="E50" s="24" t="e">
        <f t="shared" si="6"/>
        <v>#VALUE!</v>
      </c>
      <c r="F50" s="20" t="e">
        <f>0.62198*(D50/('Psychrometric Chart'!$C$6-D50))</f>
        <v>#VALUE!</v>
      </c>
      <c r="G50" s="20" t="e">
        <f>0.62198*(E50/('Psychrometric Chart'!$C$6-E50))</f>
        <v>#VALUE!</v>
      </c>
      <c r="H50" s="21" t="e">
        <f>((2501-2.381*C50)*F50-('Supporting 6'!$A$10-C50))/(2501+1.805*'Supporting 6'!$A$10-4.186*C50)-'Supporting 6'!$A$7</f>
        <v>#VALUE!</v>
      </c>
      <c r="I50" s="21" t="e">
        <f>((2501-2.381*E50)*G50-('Supporting 6'!$A$10-E50))/(2501+1.805*'Supporting 6'!$A$10-4.186*E50)-'Supporting 6'!$A$7</f>
        <v>#VALUE!</v>
      </c>
      <c r="J50" s="21" t="e">
        <f t="shared" si="7"/>
        <v>#VALUE!</v>
      </c>
    </row>
    <row r="51" spans="1:10">
      <c r="A51" s="30">
        <v>11</v>
      </c>
      <c r="B51" s="30" t="e">
        <f t="shared" si="8"/>
        <v>#VALUE!</v>
      </c>
      <c r="C51" s="30" t="e">
        <f t="shared" si="9"/>
        <v>#VALUE!</v>
      </c>
      <c r="D51" s="24" t="e">
        <f t="shared" si="5"/>
        <v>#VALUE!</v>
      </c>
      <c r="E51" s="24" t="e">
        <f t="shared" si="6"/>
        <v>#VALUE!</v>
      </c>
      <c r="F51" s="20" t="e">
        <f>0.62198*(D51/('Psychrometric Chart'!$C$6-D51))</f>
        <v>#VALUE!</v>
      </c>
      <c r="G51" s="20" t="e">
        <f>0.62198*(E51/('Psychrometric Chart'!$C$6-E51))</f>
        <v>#VALUE!</v>
      </c>
      <c r="H51" s="21" t="e">
        <f>((2501-2.381*C51)*F51-('Supporting 6'!$A$10-C51))/(2501+1.805*'Supporting 6'!$A$10-4.186*C51)-'Supporting 6'!$A$7</f>
        <v>#VALUE!</v>
      </c>
      <c r="I51" s="21" t="e">
        <f>((2501-2.381*E51)*G51-('Supporting 6'!$A$10-E51))/(2501+1.805*'Supporting 6'!$A$10-4.186*E51)-'Supporting 6'!$A$7</f>
        <v>#VALUE!</v>
      </c>
      <c r="J51" s="21" t="e">
        <f t="shared" si="7"/>
        <v>#VALUE!</v>
      </c>
    </row>
    <row r="52" spans="1:10">
      <c r="A52" s="30">
        <v>12</v>
      </c>
      <c r="B52" s="30" t="e">
        <f t="shared" si="8"/>
        <v>#VALUE!</v>
      </c>
      <c r="C52" s="30" t="e">
        <f t="shared" si="9"/>
        <v>#VALUE!</v>
      </c>
      <c r="D52" s="24" t="e">
        <f t="shared" si="5"/>
        <v>#VALUE!</v>
      </c>
      <c r="E52" s="24" t="e">
        <f t="shared" si="6"/>
        <v>#VALUE!</v>
      </c>
      <c r="F52" s="20" t="e">
        <f>0.62198*(D52/('Psychrometric Chart'!$C$6-D52))</f>
        <v>#VALUE!</v>
      </c>
      <c r="G52" s="20" t="e">
        <f>0.62198*(E52/('Psychrometric Chart'!$C$6-E52))</f>
        <v>#VALUE!</v>
      </c>
      <c r="H52" s="21" t="e">
        <f>((2501-2.381*C52)*F52-('Supporting 6'!$A$10-C52))/(2501+1.805*'Supporting 6'!$A$10-4.186*C52)-'Supporting 6'!$A$7</f>
        <v>#VALUE!</v>
      </c>
      <c r="I52" s="21" t="e">
        <f>((2501-2.381*E52)*G52-('Supporting 6'!$A$10-E52))/(2501+1.805*'Supporting 6'!$A$10-4.186*E52)-'Supporting 6'!$A$7</f>
        <v>#VALUE!</v>
      </c>
      <c r="J52" s="21" t="e">
        <f t="shared" si="7"/>
        <v>#VALUE!</v>
      </c>
    </row>
    <row r="54" spans="1:10" ht="5.5" customHeight="1"/>
    <row r="55" spans="1:10" ht="5.5" customHeight="1"/>
    <row r="57" spans="1:10" ht="18">
      <c r="A57" s="28" t="s">
        <v>29</v>
      </c>
      <c r="B57" s="20"/>
    </row>
    <row r="58" spans="1:10" ht="18">
      <c r="A58" s="29" t="s">
        <v>30</v>
      </c>
      <c r="B58" s="29" t="s">
        <v>79</v>
      </c>
      <c r="C58" s="29" t="s">
        <v>80</v>
      </c>
      <c r="D58" s="29" t="s">
        <v>99</v>
      </c>
      <c r="E58" s="29" t="s">
        <v>100</v>
      </c>
      <c r="F58" s="31" t="s">
        <v>101</v>
      </c>
      <c r="G58" s="31" t="s">
        <v>102</v>
      </c>
      <c r="H58" s="29" t="s">
        <v>103</v>
      </c>
      <c r="I58" s="29" t="s">
        <v>104</v>
      </c>
      <c r="J58" s="29" t="s">
        <v>87</v>
      </c>
    </row>
    <row r="59" spans="1:10">
      <c r="A59" s="24">
        <v>1</v>
      </c>
      <c r="B59" s="20">
        <v>0</v>
      </c>
      <c r="C59" s="21">
        <v>50</v>
      </c>
      <c r="D59" s="21">
        <f t="shared" ref="D59:D70" si="10">IF(273.15+C59&lt;273.16,EXP(-5674.5359/273.15+C59+6.3925247-0.009677843*273.15+C59+0.00000062215701*POWER(273.15+C59,2)+0.0000000020747825*POWER(273.15+C59,3)-0.000000000000948402*POWER(273.15+C59,4)+4.1635019*LN(273.15+C59))/1000,EXP(-5800.2206/(273.15+C59)+1.3914993-0.048640239*(273.15+C59)+0.000041764768*POWER((273.15+C59),2)-0.000000014452093*POWER((273.15+C59),3)+6.5459673*LN(273.15+C59))/1000)</f>
        <v>12.349856466723748</v>
      </c>
      <c r="E59" s="21">
        <f t="shared" ref="E59:E70" si="11">IF(273.15+B59&lt;273.16,EXP(-5674.5359/273.15+B59+6.3925247-0.009677843*273.15+B59+0.00000062215701*POWER(273.15+B59,2)+0.0000000020747825*POWER(273.15+B59,3)-0.000000000000948402*POWER(273.15+B59,4)+4.1635019*LN(273.15+B59))/1000,EXP(-5800.2206/(273.15+B59)+1.3914993-0.048640239*(273.15+B59)+0.000041764768*POWER((273.15+B59),2)-0.000000014452093*POWER((273.15+B59),3)+6.5459673*LN(273.15+B59))/1000)</f>
        <v>0.61115357225163369</v>
      </c>
      <c r="F59" s="21">
        <f>'Supporting 6'!$C$7/(0.62198*D59/('Psychrometric Chart'!$C$6-D59))</f>
        <v>4.3718772433701716E-2</v>
      </c>
      <c r="G59" s="21">
        <f>'Supporting 6'!$C$7/(0.62198*E59/('Psychrometric Chart'!$C$6-E59))</f>
        <v>0.99999999999999645</v>
      </c>
      <c r="H59" s="21">
        <f>F59/(1-(1-F59)*(D59/'Psychrometric Chart'!$C$6))-('Psychrometric Chart'!$D$12/100)</f>
        <v>-0.35051330564866379</v>
      </c>
      <c r="I59" s="21">
        <f>G59/(1-(1-G59)*(E59/'Psychrometric Chart'!$C$6))-('Psychrometric Chart'!$D$12/100)</f>
        <v>0.59999999999999643</v>
      </c>
      <c r="J59" s="21">
        <f t="shared" ref="J59:J70" si="12">IF(H59=I59,C59,C59-(C59-B59)*H59/(H59-I59))</f>
        <v>31.561893791194095</v>
      </c>
    </row>
    <row r="60" spans="1:10">
      <c r="A60" s="30">
        <v>2</v>
      </c>
      <c r="B60" s="20">
        <f t="shared" ref="B60:B70" si="13">C59</f>
        <v>50</v>
      </c>
      <c r="C60" s="20">
        <f t="shared" ref="C60:C70" si="14">J59:J59</f>
        <v>31.561893791194095</v>
      </c>
      <c r="D60" s="21">
        <f t="shared" si="10"/>
        <v>4.6418959009067882</v>
      </c>
      <c r="E60" s="21">
        <f t="shared" si="11"/>
        <v>12.349856466723748</v>
      </c>
      <c r="F60" s="21">
        <f>'Supporting 6'!$C$7/(0.62198*D60/('Psychrometric Chart'!$C$6-D60))</f>
        <v>0.12639106127403868</v>
      </c>
      <c r="G60" s="21">
        <f>'Supporting 6'!$C$7/(0.62198*E60/('Psychrometric Chart'!$C$6-E60))</f>
        <v>4.3718772433701716E-2</v>
      </c>
      <c r="H60" s="21">
        <f>F60/(1-(1-F60)*(D60/'Psychrometric Chart'!$C$6))-('Psychrometric Chart'!$D$12/100)</f>
        <v>-0.26833966437458379</v>
      </c>
      <c r="I60" s="21">
        <f>G60/(1-(1-G60)*(E60/'Psychrometric Chart'!$C$6))-('Psychrometric Chart'!$D$12/100)</f>
        <v>-0.35051330564866379</v>
      </c>
      <c r="J60" s="21">
        <f t="shared" si="12"/>
        <v>-28.648109745968732</v>
      </c>
    </row>
    <row r="61" spans="1:10">
      <c r="A61" s="24">
        <v>3</v>
      </c>
      <c r="B61" s="20">
        <f t="shared" si="13"/>
        <v>31.561893791194095</v>
      </c>
      <c r="C61" s="20">
        <f t="shared" si="14"/>
        <v>-28.648109745968732</v>
      </c>
      <c r="D61" s="21">
        <f t="shared" si="10"/>
        <v>4.9430572546653013E-26</v>
      </c>
      <c r="E61" s="21">
        <f t="shared" si="11"/>
        <v>4.6418959009067882</v>
      </c>
      <c r="F61" s="21">
        <f>'Supporting 6'!$C$7/(0.62198*D61/('Psychrometric Chart'!$C$6-D61))</f>
        <v>1.243890478424137E+25</v>
      </c>
      <c r="G61" s="21">
        <f>'Supporting 6'!$C$7/(0.62198*E61/('Psychrometric Chart'!$C$6-E61))</f>
        <v>0.12639106127403868</v>
      </c>
      <c r="H61" s="21">
        <f>F61/(1-(1-F61)*(D61/'Psychrometric Chart'!$C$6))-('Psychrometric Chart'!$D$12/100)</f>
        <v>1.2363878077172169E+25</v>
      </c>
      <c r="I61" s="21">
        <f>G61/(1-(1-G61)*(E61/'Psychrometric Chart'!$C$6))-('Psychrometric Chart'!$D$12/100)</f>
        <v>-0.26833966437458379</v>
      </c>
      <c r="J61" s="21">
        <f t="shared" si="12"/>
        <v>31.561893791194095</v>
      </c>
    </row>
    <row r="62" spans="1:10">
      <c r="A62" s="30">
        <v>4</v>
      </c>
      <c r="B62" s="20">
        <f t="shared" si="13"/>
        <v>-28.648109745968732</v>
      </c>
      <c r="C62" s="20">
        <f t="shared" si="14"/>
        <v>31.561893791194095</v>
      </c>
      <c r="D62" s="21">
        <f t="shared" si="10"/>
        <v>4.6418959009067882</v>
      </c>
      <c r="E62" s="21">
        <f t="shared" si="11"/>
        <v>4.9430572546653013E-26</v>
      </c>
      <c r="F62" s="21">
        <f>'Supporting 6'!$C$7/(0.62198*D62/('Psychrometric Chart'!$C$6-D62))</f>
        <v>0.12639106127403868</v>
      </c>
      <c r="G62" s="21">
        <f>'Supporting 6'!$C$7/(0.62198*E62/('Psychrometric Chart'!$C$6-E62))</f>
        <v>1.243890478424137E+25</v>
      </c>
      <c r="H62" s="21">
        <f>F62/(1-(1-F62)*(D62/'Psychrometric Chart'!$C$6))-('Psychrometric Chart'!$D$12/100)</f>
        <v>-0.26833966437458379</v>
      </c>
      <c r="I62" s="21">
        <f>G62/(1-(1-G62)*(E62/'Psychrometric Chart'!$C$6))-('Psychrometric Chart'!$D$12/100)</f>
        <v>1.2363878077172169E+25</v>
      </c>
      <c r="J62" s="21">
        <f t="shared" si="12"/>
        <v>31.561893791194095</v>
      </c>
    </row>
    <row r="63" spans="1:10">
      <c r="A63" s="24">
        <v>5</v>
      </c>
      <c r="B63" s="20">
        <f t="shared" si="13"/>
        <v>31.561893791194095</v>
      </c>
      <c r="C63" s="20">
        <f t="shared" si="14"/>
        <v>31.561893791194095</v>
      </c>
      <c r="D63" s="21">
        <f t="shared" si="10"/>
        <v>4.6418959009067882</v>
      </c>
      <c r="E63" s="21">
        <f t="shared" si="11"/>
        <v>4.6418959009067882</v>
      </c>
      <c r="F63" s="21">
        <f>'Supporting 6'!$C$7/(0.62198*D63/('Psychrometric Chart'!$C$6-D63))</f>
        <v>0.12639106127403868</v>
      </c>
      <c r="G63" s="21">
        <f>'Supporting 6'!$C$7/(0.62198*E63/('Psychrometric Chart'!$C$6-E63))</f>
        <v>0.12639106127403868</v>
      </c>
      <c r="H63" s="21">
        <f>F63/(1-(1-F63)*(D63/'Psychrometric Chart'!$C$6))-('Psychrometric Chart'!$D$12/100)</f>
        <v>-0.26833966437458379</v>
      </c>
      <c r="I63" s="21">
        <f>G63/(1-(1-G63)*(E63/'Psychrometric Chart'!$C$6))-('Psychrometric Chart'!$D$12/100)</f>
        <v>-0.26833966437458379</v>
      </c>
      <c r="J63" s="21">
        <f t="shared" si="12"/>
        <v>31.561893791194095</v>
      </c>
    </row>
    <row r="64" spans="1:10">
      <c r="A64" s="30">
        <v>6</v>
      </c>
      <c r="B64" s="20">
        <f t="shared" si="13"/>
        <v>31.561893791194095</v>
      </c>
      <c r="C64" s="20">
        <f t="shared" si="14"/>
        <v>31.561893791194095</v>
      </c>
      <c r="D64" s="21">
        <f t="shared" si="10"/>
        <v>4.6418959009067882</v>
      </c>
      <c r="E64" s="21">
        <f t="shared" si="11"/>
        <v>4.6418959009067882</v>
      </c>
      <c r="F64" s="21">
        <f>'Supporting 6'!$C$7/(0.62198*D64/('Psychrometric Chart'!$C$6-D64))</f>
        <v>0.12639106127403868</v>
      </c>
      <c r="G64" s="21">
        <f>'Supporting 6'!$C$7/(0.62198*E64/('Psychrometric Chart'!$C$6-E64))</f>
        <v>0.12639106127403868</v>
      </c>
      <c r="H64" s="21">
        <f>F64/(1-(1-F64)*(D64/'Psychrometric Chart'!$C$6))-('Psychrometric Chart'!$D$12/100)</f>
        <v>-0.26833966437458379</v>
      </c>
      <c r="I64" s="21">
        <f>G64/(1-(1-G64)*(E64/'Psychrometric Chart'!$C$6))-('Psychrometric Chart'!$D$12/100)</f>
        <v>-0.26833966437458379</v>
      </c>
      <c r="J64" s="21">
        <f t="shared" si="12"/>
        <v>31.561893791194095</v>
      </c>
    </row>
    <row r="65" spans="1:10">
      <c r="A65" s="24">
        <v>7</v>
      </c>
      <c r="B65" s="20">
        <f t="shared" si="13"/>
        <v>31.561893791194095</v>
      </c>
      <c r="C65" s="20">
        <f t="shared" si="14"/>
        <v>31.561893791194095</v>
      </c>
      <c r="D65" s="21">
        <f t="shared" si="10"/>
        <v>4.6418959009067882</v>
      </c>
      <c r="E65" s="21">
        <f t="shared" si="11"/>
        <v>4.6418959009067882</v>
      </c>
      <c r="F65" s="21">
        <f>'Supporting 6'!$C$7/(0.62198*D65/('Psychrometric Chart'!$C$6-D65))</f>
        <v>0.12639106127403868</v>
      </c>
      <c r="G65" s="21">
        <f>'Supporting 6'!$C$7/(0.62198*E65/('Psychrometric Chart'!$C$6-E65))</f>
        <v>0.12639106127403868</v>
      </c>
      <c r="H65" s="21">
        <f>F65/(1-(1-F65)*(D65/'Psychrometric Chart'!$C$6))-('Psychrometric Chart'!$D$12/100)</f>
        <v>-0.26833966437458379</v>
      </c>
      <c r="I65" s="21">
        <f>G65/(1-(1-G65)*(E65/'Psychrometric Chart'!$C$6))-('Psychrometric Chart'!$D$12/100)</f>
        <v>-0.26833966437458379</v>
      </c>
      <c r="J65" s="21">
        <f t="shared" si="12"/>
        <v>31.561893791194095</v>
      </c>
    </row>
    <row r="66" spans="1:10">
      <c r="A66" s="30">
        <v>8</v>
      </c>
      <c r="B66" s="20">
        <f t="shared" si="13"/>
        <v>31.561893791194095</v>
      </c>
      <c r="C66" s="20">
        <f t="shared" si="14"/>
        <v>31.561893791194095</v>
      </c>
      <c r="D66" s="21">
        <f t="shared" si="10"/>
        <v>4.6418959009067882</v>
      </c>
      <c r="E66" s="21">
        <f t="shared" si="11"/>
        <v>4.6418959009067882</v>
      </c>
      <c r="F66" s="21">
        <f>'Supporting 6'!$C$7/(0.62198*D66/('Psychrometric Chart'!$C$6-D66))</f>
        <v>0.12639106127403868</v>
      </c>
      <c r="G66" s="21">
        <f>'Supporting 6'!$C$7/(0.62198*E66/('Psychrometric Chart'!$C$6-E66))</f>
        <v>0.12639106127403868</v>
      </c>
      <c r="H66" s="21">
        <f>F66/(1-(1-F66)*(D66/'Psychrometric Chart'!$C$6))-('Psychrometric Chart'!$D$12/100)</f>
        <v>-0.26833966437458379</v>
      </c>
      <c r="I66" s="21">
        <f>G66/(1-(1-G66)*(E66/'Psychrometric Chart'!$C$6))-('Psychrometric Chart'!$D$12/100)</f>
        <v>-0.26833966437458379</v>
      </c>
      <c r="J66" s="21">
        <f t="shared" si="12"/>
        <v>31.561893791194095</v>
      </c>
    </row>
    <row r="67" spans="1:10">
      <c r="A67" s="24">
        <v>9</v>
      </c>
      <c r="B67" s="20">
        <f t="shared" si="13"/>
        <v>31.561893791194095</v>
      </c>
      <c r="C67" s="20">
        <f t="shared" si="14"/>
        <v>31.561893791194095</v>
      </c>
      <c r="D67" s="21">
        <f t="shared" si="10"/>
        <v>4.6418959009067882</v>
      </c>
      <c r="E67" s="21">
        <f t="shared" si="11"/>
        <v>4.6418959009067882</v>
      </c>
      <c r="F67" s="21">
        <f>'Supporting 6'!$C$7/(0.62198*D67/('Psychrometric Chart'!$C$6-D67))</f>
        <v>0.12639106127403868</v>
      </c>
      <c r="G67" s="21">
        <f>'Supporting 6'!$C$7/(0.62198*E67/('Psychrometric Chart'!$C$6-E67))</f>
        <v>0.12639106127403868</v>
      </c>
      <c r="H67" s="21">
        <f>F67/(1-(1-F67)*(D67/'Psychrometric Chart'!$C$6))-('Psychrometric Chart'!$D$12/100)</f>
        <v>-0.26833966437458379</v>
      </c>
      <c r="I67" s="21">
        <f>G67/(1-(1-G67)*(E67/'Psychrometric Chart'!$C$6))-('Psychrometric Chart'!$D$12/100)</f>
        <v>-0.26833966437458379</v>
      </c>
      <c r="J67" s="21">
        <f t="shared" si="12"/>
        <v>31.561893791194095</v>
      </c>
    </row>
    <row r="68" spans="1:10">
      <c r="A68" s="30">
        <v>10</v>
      </c>
      <c r="B68" s="20">
        <f t="shared" si="13"/>
        <v>31.561893791194095</v>
      </c>
      <c r="C68" s="20">
        <f t="shared" si="14"/>
        <v>31.561893791194095</v>
      </c>
      <c r="D68" s="21">
        <f t="shared" si="10"/>
        <v>4.6418959009067882</v>
      </c>
      <c r="E68" s="21">
        <f t="shared" si="11"/>
        <v>4.6418959009067882</v>
      </c>
      <c r="F68" s="21">
        <f>'Supporting 6'!$C$7/(0.62198*D68/('Psychrometric Chart'!$C$6-D68))</f>
        <v>0.12639106127403868</v>
      </c>
      <c r="G68" s="21">
        <f>'Supporting 6'!$C$7/(0.62198*E68/('Psychrometric Chart'!$C$6-E68))</f>
        <v>0.12639106127403868</v>
      </c>
      <c r="H68" s="21">
        <f>F68/(1-(1-F68)*(D68/'Psychrometric Chart'!$C$6))-('Psychrometric Chart'!$D$12/100)</f>
        <v>-0.26833966437458379</v>
      </c>
      <c r="I68" s="21">
        <f>G68/(1-(1-G68)*(E68/'Psychrometric Chart'!$C$6))-('Psychrometric Chart'!$D$12/100)</f>
        <v>-0.26833966437458379</v>
      </c>
      <c r="J68" s="21">
        <f t="shared" si="12"/>
        <v>31.561893791194095</v>
      </c>
    </row>
    <row r="69" spans="1:10">
      <c r="A69" s="24">
        <v>11</v>
      </c>
      <c r="B69" s="20">
        <f t="shared" si="13"/>
        <v>31.561893791194095</v>
      </c>
      <c r="C69" s="20">
        <f t="shared" si="14"/>
        <v>31.561893791194095</v>
      </c>
      <c r="D69" s="21">
        <f t="shared" si="10"/>
        <v>4.6418959009067882</v>
      </c>
      <c r="E69" s="21">
        <f t="shared" si="11"/>
        <v>4.6418959009067882</v>
      </c>
      <c r="F69" s="21">
        <f>'Supporting 6'!$C$7/(0.62198*D69/('Psychrometric Chart'!$C$6-D69))</f>
        <v>0.12639106127403868</v>
      </c>
      <c r="G69" s="21">
        <f>'Supporting 6'!$C$7/(0.62198*E69/('Psychrometric Chart'!$C$6-E69))</f>
        <v>0.12639106127403868</v>
      </c>
      <c r="H69" s="21">
        <f>F69/(1-(1-F69)*(D69/'Psychrometric Chart'!$C$6))-('Psychrometric Chart'!$D$12/100)</f>
        <v>-0.26833966437458379</v>
      </c>
      <c r="I69" s="21">
        <f>G69/(1-(1-G69)*(E69/'Psychrometric Chart'!$C$6))-('Psychrometric Chart'!$D$12/100)</f>
        <v>-0.26833966437458379</v>
      </c>
      <c r="J69" s="21">
        <f t="shared" si="12"/>
        <v>31.561893791194095</v>
      </c>
    </row>
    <row r="70" spans="1:10">
      <c r="A70" s="30">
        <v>12</v>
      </c>
      <c r="B70" s="20">
        <f t="shared" si="13"/>
        <v>31.561893791194095</v>
      </c>
      <c r="C70" s="20">
        <f t="shared" si="14"/>
        <v>31.561893791194095</v>
      </c>
      <c r="D70" s="21">
        <f t="shared" si="10"/>
        <v>4.6418959009067882</v>
      </c>
      <c r="E70" s="21">
        <f t="shared" si="11"/>
        <v>4.6418959009067882</v>
      </c>
      <c r="F70" s="21">
        <f>'Supporting 6'!$C$7/(0.62198*D70/('Psychrometric Chart'!$C$6-D70))</f>
        <v>0.12639106127403868</v>
      </c>
      <c r="G70" s="21">
        <f>'Supporting 6'!$C$7/(0.62198*E70/('Psychrometric Chart'!$C$6-E70))</f>
        <v>0.12639106127403868</v>
      </c>
      <c r="H70" s="21">
        <f>F70/(1-(1-F70)*(D70/'Psychrometric Chart'!$C$6))-('Psychrometric Chart'!$D$12/100)</f>
        <v>-0.26833966437458379</v>
      </c>
      <c r="I70" s="21">
        <f>G70/(1-(1-G70)*(E70/'Psychrometric Chart'!$C$6))-('Psychrometric Chart'!$D$12/100)</f>
        <v>-0.26833966437458379</v>
      </c>
      <c r="J70" s="21">
        <f t="shared" si="12"/>
        <v>31.561893791194095</v>
      </c>
    </row>
    <row r="72" spans="1:10" ht="18">
      <c r="A72" s="28" t="s">
        <v>29</v>
      </c>
    </row>
    <row r="73" spans="1:10" ht="18">
      <c r="A73" s="29" t="s">
        <v>30</v>
      </c>
      <c r="B73" s="29" t="s">
        <v>56</v>
      </c>
      <c r="C73" s="29" t="s">
        <v>57</v>
      </c>
      <c r="D73" s="29" t="s">
        <v>58</v>
      </c>
      <c r="E73" s="29" t="s">
        <v>59</v>
      </c>
      <c r="F73" s="29" t="s">
        <v>60</v>
      </c>
      <c r="G73" s="29" t="s">
        <v>61</v>
      </c>
      <c r="H73" s="29" t="s">
        <v>62</v>
      </c>
      <c r="I73" s="29" t="s">
        <v>63</v>
      </c>
      <c r="J73" s="29" t="s">
        <v>64</v>
      </c>
    </row>
    <row r="74" spans="1:10">
      <c r="A74" s="30">
        <v>1</v>
      </c>
      <c r="B74" s="30">
        <v>0</v>
      </c>
      <c r="C74" s="30">
        <v>50</v>
      </c>
      <c r="D74" s="24">
        <f t="shared" ref="D74:D85" si="15">IF(273.15+C74&lt;273.16,EXP(-5674.5359/273.15+C74+6.3925247-0.009677843*273.15+C74+0.00000062215701*POWER(273.15+C74,2)+0.0000000020747825*POWER(273.15+C74,3)-0.000000000000948402*POWER(273.15+C74,4)+4.1635019*LN(273.15+C74))/1000,EXP(-5800.2206/(273.15+C74)+1.3914993-0.048640239*(273.15+C74)+0.000041764768*POWER((273.15+C74),2)-0.000000014452093*POWER((273.15+C74),3)+6.5459673*LN(273.15+C74))/1000)</f>
        <v>12.349856466723748</v>
      </c>
      <c r="E74" s="24">
        <f t="shared" ref="E74:E85" si="16">IF(273.15+B74&lt;273.16,EXP(-5674.5359/273.15+B74+6.3925247-0.009677843*273.15+B74+0.00000062215701*POWER(273.15+B74,2)+0.0000000020747825*POWER(273.15+B74,3)-0.000000000000948402*POWER(273.15+B74,4)+4.1635019*LN(273.15+B74))/1000,EXP(-5800.2206/(273.15+B74)+1.3914993-0.048640239*(273.15+B74)+0.000041764768*POWER((273.15+B74),2)-0.000000014452093*POWER((273.15+B74),3)+6.5459673*LN(273.15+B74))/1000)</f>
        <v>0.61115357225163369</v>
      </c>
      <c r="F74" s="20">
        <f>0.62198*(D74/('Psychrometric Chart'!$C$6-D74))</f>
        <v>8.6331568797076971E-2</v>
      </c>
      <c r="G74" s="20">
        <f>0.62198*(E74/('Psychrometric Chart'!$C$6-E74))</f>
        <v>3.7743102100838855E-3</v>
      </c>
      <c r="H74" s="21">
        <f>((2501-2.381*C74)*F74-('Supporting 6'!$C$10-C74))/(2501+1.805*'Supporting 6'!$C$10-4.186*C74)-'Supporting 6'!$C$7</f>
        <v>9.1631030294974686E-2</v>
      </c>
      <c r="I74" s="21">
        <f>((2501-2.381*E74)*G74-('Supporting 6'!$C$10-E74))/(2501+1.805*'Supporting 6'!$C$10-4.186*E74)-'Supporting 6'!$C$7</f>
        <v>-1.219435817507516E-2</v>
      </c>
      <c r="J74" s="21">
        <f t="shared" ref="J74:J85" si="17">IF(H74=I74,C74,C74-(C74-B74)*H74/(H74-I74))</f>
        <v>5.8725319282541477</v>
      </c>
    </row>
    <row r="75" spans="1:10">
      <c r="A75" s="30">
        <v>2</v>
      </c>
      <c r="B75" s="30">
        <f t="shared" ref="B75:B85" si="18">C74</f>
        <v>50</v>
      </c>
      <c r="C75" s="30">
        <f t="shared" ref="C75:C85" si="19">J74:J74</f>
        <v>5.8725319282541477</v>
      </c>
      <c r="D75" s="24">
        <f t="shared" si="15"/>
        <v>0.92703022209316677</v>
      </c>
      <c r="E75" s="24">
        <f t="shared" si="16"/>
        <v>12.349856466723748</v>
      </c>
      <c r="F75" s="20">
        <f>0.62198*(D75/('Psychrometric Chart'!$C$6-D75))</f>
        <v>5.7430868254906764E-3</v>
      </c>
      <c r="G75" s="20">
        <f>0.62198*(E75/('Psychrometric Chart'!$C$6-E75))</f>
        <v>8.6331568797076971E-2</v>
      </c>
      <c r="H75" s="21">
        <f>((2501-2.381*C75)*F75-('Supporting 6'!$C$10-C75))/(2501+1.805*'Supporting 6'!$C$10-4.186*C75)-'Supporting 6'!$C$7</f>
        <v>-8.2766642987080613E-3</v>
      </c>
      <c r="I75" s="21">
        <f>((2501-2.381*E75)*G75-('Supporting 6'!$C$10-E75))/(2501+1.805*'Supporting 6'!$C$10-4.186*E75)-'Supporting 6'!$C$7</f>
        <v>7.3697161375200326E-2</v>
      </c>
      <c r="J75" s="21">
        <f t="shared" si="17"/>
        <v>10.327957017656166</v>
      </c>
    </row>
    <row r="76" spans="1:10">
      <c r="A76" s="30">
        <v>3</v>
      </c>
      <c r="B76" s="30">
        <f t="shared" si="18"/>
        <v>5.8725319282541477</v>
      </c>
      <c r="C76" s="30">
        <f t="shared" si="19"/>
        <v>10.327957017656166</v>
      </c>
      <c r="D76" s="24">
        <f t="shared" si="15"/>
        <v>1.2552403832454759</v>
      </c>
      <c r="E76" s="24">
        <f t="shared" si="16"/>
        <v>0.92703022209316677</v>
      </c>
      <c r="F76" s="20">
        <f>0.62198*(D76/('Psychrometric Chart'!$C$6-D76))</f>
        <v>7.801901559083029E-3</v>
      </c>
      <c r="G76" s="20">
        <f>0.62198*(E76/('Psychrometric Chart'!$C$6-E76))</f>
        <v>5.7430868254906764E-3</v>
      </c>
      <c r="H76" s="21">
        <f>((2501-2.381*C76)*F76-('Supporting 6'!$C$10-C76))/(2501+1.805*'Supporting 6'!$C$10-4.186*C76)-'Supporting 6'!$C$7</f>
        <v>-4.5351201680733401E-3</v>
      </c>
      <c r="I76" s="21">
        <f>((2501-2.381*E76)*G76-('Supporting 6'!$C$10-E76))/(2501+1.805*'Supporting 6'!$C$10-4.186*E76)-'Supporting 6'!$C$7</f>
        <v>-1.0150001113476166E-2</v>
      </c>
      <c r="J76" s="21">
        <f t="shared" si="17"/>
        <v>13.926588649700046</v>
      </c>
    </row>
    <row r="77" spans="1:10">
      <c r="A77" s="30">
        <v>4</v>
      </c>
      <c r="B77" s="30">
        <f t="shared" si="18"/>
        <v>10.327957017656166</v>
      </c>
      <c r="C77" s="30">
        <f t="shared" si="19"/>
        <v>13.926588649700046</v>
      </c>
      <c r="D77" s="24">
        <f t="shared" si="15"/>
        <v>1.5910671593438952</v>
      </c>
      <c r="E77" s="24">
        <f t="shared" si="16"/>
        <v>1.2552403832454759</v>
      </c>
      <c r="F77" s="20">
        <f>0.62198*(D77/('Psychrometric Chart'!$C$6-D77))</f>
        <v>9.9225200850126798E-3</v>
      </c>
      <c r="G77" s="20">
        <f>0.62198*(E77/('Psychrometric Chart'!$C$6-E77))</f>
        <v>7.801901559083029E-3</v>
      </c>
      <c r="H77" s="21">
        <f>((2501-2.381*C77)*F77-('Supporting 6'!$C$10-C77))/(2501+1.805*'Supporting 6'!$C$10-4.186*C77)-'Supporting 6'!$C$7</f>
        <v>-1.0331932685429474E-3</v>
      </c>
      <c r="I77" s="21">
        <f>((2501-2.381*E77)*G77-('Supporting 6'!$C$10-E77))/(2501+1.805*'Supporting 6'!$C$10-4.186*E77)-'Supporting 6'!$C$7</f>
        <v>-8.0119224342709312E-3</v>
      </c>
      <c r="J77" s="21">
        <f t="shared" si="17"/>
        <v>14.459362151851796</v>
      </c>
    </row>
    <row r="78" spans="1:10">
      <c r="A78" s="30">
        <v>5</v>
      </c>
      <c r="B78" s="30">
        <f t="shared" si="18"/>
        <v>13.926588649700046</v>
      </c>
      <c r="C78" s="30">
        <f t="shared" si="19"/>
        <v>14.459362151851796</v>
      </c>
      <c r="D78" s="24">
        <f t="shared" si="15"/>
        <v>1.6469666538441174</v>
      </c>
      <c r="E78" s="24">
        <f t="shared" si="16"/>
        <v>1.5910671593438952</v>
      </c>
      <c r="F78" s="20">
        <f>0.62198*(D78/('Psychrometric Chart'!$C$6-D78))</f>
        <v>1.0276891356800327E-2</v>
      </c>
      <c r="G78" s="20">
        <f>0.62198*(E78/('Psychrometric Chart'!$C$6-E78))</f>
        <v>9.9225200850126798E-3</v>
      </c>
      <c r="H78" s="21">
        <f>((2501-2.381*C78)*F78-('Supporting 6'!$C$10-C78))/(2501+1.805*'Supporting 6'!$C$10-4.186*C78)-'Supporting 6'!$C$7</f>
        <v>-4.724668026674368E-4</v>
      </c>
      <c r="I78" s="21">
        <f>((2501-2.381*E78)*G78-('Supporting 6'!$C$10-E78))/(2501+1.805*'Supporting 6'!$C$10-4.186*E78)-'Supporting 6'!$C$7</f>
        <v>-5.8094198992750846E-3</v>
      </c>
      <c r="J78" s="21">
        <f t="shared" si="17"/>
        <v>14.506527226858276</v>
      </c>
    </row>
    <row r="79" spans="1:10">
      <c r="A79" s="30">
        <v>6</v>
      </c>
      <c r="B79" s="30">
        <f t="shared" si="18"/>
        <v>14.459362151851796</v>
      </c>
      <c r="C79" s="30">
        <f t="shared" si="19"/>
        <v>14.506527226858276</v>
      </c>
      <c r="D79" s="24">
        <f t="shared" si="15"/>
        <v>1.6519974253514118</v>
      </c>
      <c r="E79" s="24">
        <f t="shared" si="16"/>
        <v>1.6469666538441174</v>
      </c>
      <c r="F79" s="20">
        <f>0.62198*(D79/('Psychrometric Chart'!$C$6-D79))</f>
        <v>1.0308803106944967E-2</v>
      </c>
      <c r="G79" s="20">
        <f>0.62198*(E79/('Psychrometric Chart'!$C$6-E79))</f>
        <v>1.0276891356800327E-2</v>
      </c>
      <c r="H79" s="21">
        <f>((2501-2.381*C79)*F79-('Supporting 6'!$C$10-C79))/(2501+1.805*'Supporting 6'!$C$10-4.186*C79)-'Supporting 6'!$C$7</f>
        <v>-4.22262705063901E-4</v>
      </c>
      <c r="I79" s="21">
        <f>((2501-2.381*E79)*G79-('Supporting 6'!$C$10-E79))/(2501+1.805*'Supporting 6'!$C$10-4.186*E79)-'Supporting 6'!$C$7</f>
        <v>-5.4413415254929744E-3</v>
      </c>
      <c r="J79" s="21">
        <f t="shared" si="17"/>
        <v>14.51049529607363</v>
      </c>
    </row>
    <row r="80" spans="1:10">
      <c r="A80" s="30">
        <v>7</v>
      </c>
      <c r="B80" s="30">
        <f t="shared" si="18"/>
        <v>14.506527226858276</v>
      </c>
      <c r="C80" s="30">
        <f t="shared" si="19"/>
        <v>14.51049529607363</v>
      </c>
      <c r="D80" s="24">
        <f t="shared" si="15"/>
        <v>1.6524212867747212</v>
      </c>
      <c r="E80" s="24">
        <f t="shared" si="16"/>
        <v>1.6519974253514118</v>
      </c>
      <c r="F80" s="20">
        <f>0.62198*(D80/('Psychrometric Chart'!$C$6-D80))</f>
        <v>1.0311491939073998E-2</v>
      </c>
      <c r="G80" s="20">
        <f>0.62198*(E80/('Psychrometric Chart'!$C$6-E80))</f>
        <v>1.0308803106944967E-2</v>
      </c>
      <c r="H80" s="21">
        <f>((2501-2.381*C80)*F80-('Supporting 6'!$C$10-C80))/(2501+1.805*'Supporting 6'!$C$10-4.186*C80)-'Supporting 6'!$C$7</f>
        <v>-4.1803472878857708E-4</v>
      </c>
      <c r="I80" s="21">
        <f>((2501-2.381*E80)*G80-('Supporting 6'!$C$10-E80))/(2501+1.805*'Supporting 6'!$C$10-4.186*E80)-'Supporting 6'!$C$7</f>
        <v>-5.4081950953768221E-3</v>
      </c>
      <c r="J80" s="21">
        <f t="shared" si="17"/>
        <v>14.510827708384337</v>
      </c>
    </row>
    <row r="81" spans="1:10">
      <c r="A81" s="30">
        <v>8</v>
      </c>
      <c r="B81" s="30">
        <f t="shared" si="18"/>
        <v>14.51049529607363</v>
      </c>
      <c r="C81" s="30">
        <f t="shared" si="19"/>
        <v>14.510827708384337</v>
      </c>
      <c r="D81" s="24">
        <f t="shared" si="15"/>
        <v>1.652456798746702</v>
      </c>
      <c r="E81" s="24">
        <f t="shared" si="16"/>
        <v>1.6524212867747212</v>
      </c>
      <c r="F81" s="20">
        <f>0.62198*(D81/('Psychrometric Chart'!$C$6-D81))</f>
        <v>1.0311717215935852E-2</v>
      </c>
      <c r="G81" s="20">
        <f>0.62198*(E81/('Psychrometric Chart'!$C$6-E81))</f>
        <v>1.0311491939073998E-2</v>
      </c>
      <c r="H81" s="21">
        <f>((2501-2.381*C81)*F81-('Supporting 6'!$C$10-C81))/(2501+1.805*'Supporting 6'!$C$10-4.186*C81)-'Supporting 6'!$C$7</f>
        <v>-4.1768051376945029E-4</v>
      </c>
      <c r="I81" s="21">
        <f>((2501-2.381*E81)*G81-('Supporting 6'!$C$10-E81))/(2501+1.805*'Supporting 6'!$C$10-4.186*E81)-'Supporting 6'!$C$7</f>
        <v>-5.4054022286217588E-3</v>
      </c>
      <c r="J81" s="21">
        <f t="shared" si="17"/>
        <v>14.510855545170882</v>
      </c>
    </row>
    <row r="82" spans="1:10">
      <c r="A82" s="30">
        <v>9</v>
      </c>
      <c r="B82" s="30">
        <f t="shared" si="18"/>
        <v>14.510827708384337</v>
      </c>
      <c r="C82" s="30">
        <f t="shared" si="19"/>
        <v>14.510855545170882</v>
      </c>
      <c r="D82" s="24">
        <f t="shared" si="15"/>
        <v>1.6524597726115795</v>
      </c>
      <c r="E82" s="24">
        <f t="shared" si="16"/>
        <v>1.652456798746702</v>
      </c>
      <c r="F82" s="20">
        <f>0.62198*(D82/('Psychrometric Chart'!$C$6-D82))</f>
        <v>1.0311736081213349E-2</v>
      </c>
      <c r="G82" s="20">
        <f>0.62198*(E82/('Psychrometric Chart'!$C$6-E82))</f>
        <v>1.0311717215935852E-2</v>
      </c>
      <c r="H82" s="21">
        <f>((2501-2.381*C82)*F82-('Supporting 6'!$C$10-C82))/(2501+1.805*'Supporting 6'!$C$10-4.186*C82)-'Supporting 6'!$C$7</f>
        <v>-4.1765085097686307E-4</v>
      </c>
      <c r="I82" s="21">
        <f>((2501-2.381*E82)*G82-('Supporting 6'!$C$10-E82))/(2501+1.805*'Supporting 6'!$C$10-4.186*E82)-'Supporting 6'!$C$7</f>
        <v>-5.4051682354695589E-3</v>
      </c>
      <c r="J82" s="21">
        <f t="shared" si="17"/>
        <v>14.510857876201873</v>
      </c>
    </row>
    <row r="83" spans="1:10">
      <c r="A83" s="30">
        <v>10</v>
      </c>
      <c r="B83" s="30">
        <f t="shared" si="18"/>
        <v>14.510855545170882</v>
      </c>
      <c r="C83" s="30">
        <f t="shared" si="19"/>
        <v>14.510857876201873</v>
      </c>
      <c r="D83" s="24">
        <f t="shared" si="15"/>
        <v>1.6524600216409495</v>
      </c>
      <c r="E83" s="24">
        <f t="shared" si="16"/>
        <v>1.6524597726115795</v>
      </c>
      <c r="F83" s="20">
        <f>0.62198*(D83/('Psychrometric Chart'!$C$6-D83))</f>
        <v>1.0311737660978575E-2</v>
      </c>
      <c r="G83" s="20">
        <f>0.62198*(E83/('Psychrometric Chart'!$C$6-E83))</f>
        <v>1.0311736081213349E-2</v>
      </c>
      <c r="H83" s="21">
        <f>((2501-2.381*C83)*F83-('Supporting 6'!$C$10-C83))/(2501+1.805*'Supporting 6'!$C$10-4.186*C83)-'Supporting 6'!$C$7</f>
        <v>-4.1764836703600365E-4</v>
      </c>
      <c r="I83" s="21">
        <f>((2501-2.381*E83)*G83-('Supporting 6'!$C$10-E83))/(2501+1.805*'Supporting 6'!$C$10-4.186*E83)-'Supporting 6'!$C$7</f>
        <v>-5.4051486402668389E-3</v>
      </c>
      <c r="J83" s="21">
        <f t="shared" si="17"/>
        <v>14.510858071400115</v>
      </c>
    </row>
    <row r="84" spans="1:10">
      <c r="A84" s="30">
        <v>11</v>
      </c>
      <c r="B84" s="30">
        <f t="shared" si="18"/>
        <v>14.510857876201873</v>
      </c>
      <c r="C84" s="30">
        <f t="shared" si="19"/>
        <v>14.510858071400115</v>
      </c>
      <c r="D84" s="24">
        <f t="shared" si="15"/>
        <v>1.6524600424944127</v>
      </c>
      <c r="E84" s="24">
        <f t="shared" si="16"/>
        <v>1.6524600216409495</v>
      </c>
      <c r="F84" s="20">
        <f>0.62198*(D84/('Psychrometric Chart'!$C$6-D84))</f>
        <v>1.031173779326649E-2</v>
      </c>
      <c r="G84" s="20">
        <f>0.62198*(E84/('Psychrometric Chart'!$C$6-E84))</f>
        <v>1.0311737660978575E-2</v>
      </c>
      <c r="H84" s="21">
        <f>((2501-2.381*C84)*F84-('Supporting 6'!$C$10-C84))/(2501+1.805*'Supporting 6'!$C$10-4.186*C84)-'Supporting 6'!$C$7</f>
        <v>-4.1764815903331002E-4</v>
      </c>
      <c r="I84" s="21">
        <f>((2501-2.381*E84)*G84-('Supporting 6'!$C$10-E84))/(2501+1.805*'Supporting 6'!$C$10-4.186*E84)-'Supporting 6'!$C$7</f>
        <v>-5.4051469993781796E-3</v>
      </c>
      <c r="J84" s="21">
        <f t="shared" si="17"/>
        <v>14.51085808774582</v>
      </c>
    </row>
    <row r="85" spans="1:10">
      <c r="A85" s="30">
        <v>12</v>
      </c>
      <c r="B85" s="30">
        <f t="shared" si="18"/>
        <v>14.510858071400115</v>
      </c>
      <c r="C85" s="30">
        <f t="shared" si="19"/>
        <v>14.51085808774582</v>
      </c>
      <c r="D85" s="24">
        <f t="shared" si="15"/>
        <v>1.6524600442406692</v>
      </c>
      <c r="E85" s="24">
        <f t="shared" si="16"/>
        <v>1.6524600424944127</v>
      </c>
      <c r="F85" s="20">
        <f>0.62198*(D85/('Psychrometric Chart'!$C$6-D85))</f>
        <v>1.03117378043442E-2</v>
      </c>
      <c r="G85" s="20">
        <f>0.62198*(E85/('Psychrometric Chart'!$C$6-E85))</f>
        <v>1.031173779326649E-2</v>
      </c>
      <c r="H85" s="21">
        <f>((2501-2.381*C85)*F85-('Supporting 6'!$C$10-C85))/(2501+1.805*'Supporting 6'!$C$10-4.186*C85)-'Supporting 6'!$C$7</f>
        <v>-4.1764814161532283E-4</v>
      </c>
      <c r="I85" s="21">
        <f>((2501-2.381*E85)*G85-('Supporting 6'!$C$10-E85))/(2501+1.805*'Supporting 6'!$C$10-4.186*E85)-'Supporting 6'!$C$7</f>
        <v>-5.4051468619718528E-3</v>
      </c>
      <c r="J85" s="21">
        <f t="shared" si="17"/>
        <v>14.510858089114594</v>
      </c>
    </row>
  </sheetData>
  <phoneticPr fontId="11"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tabColor theme="6" tint="0.39997558519241921"/>
    <pageSetUpPr fitToPage="1"/>
  </sheetPr>
  <dimension ref="A1:EJ284"/>
  <sheetViews>
    <sheetView showGridLines="0" showRowColHeaders="0" tabSelected="1" zoomScaleNormal="100" workbookViewId="0">
      <selection activeCell="E24" sqref="E24"/>
    </sheetView>
  </sheetViews>
  <sheetFormatPr defaultColWidth="9.1796875" defaultRowHeight="12.75" customHeight="1"/>
  <cols>
    <col min="1" max="1" width="2.7265625" style="37" customWidth="1"/>
    <col min="2" max="2" width="18.7265625" style="37" customWidth="1"/>
    <col min="3" max="3" width="2.7265625" style="37" customWidth="1"/>
    <col min="4" max="4" width="17.54296875" style="37" customWidth="1"/>
    <col min="5" max="7" width="7.7265625" style="37" customWidth="1"/>
    <col min="8" max="8" width="2.7265625" style="37" customWidth="1"/>
    <col min="9" max="9" width="11.7265625" style="37" customWidth="1"/>
    <col min="10" max="11" width="8.26953125" style="37" hidden="1" customWidth="1"/>
    <col min="12" max="12" width="9.1796875" style="37" hidden="1" customWidth="1"/>
    <col min="13" max="13" width="9" style="37" customWidth="1"/>
    <col min="14" max="14" width="10" style="37" customWidth="1"/>
    <col min="15" max="15" width="6.81640625" style="37" customWidth="1"/>
    <col min="16" max="16" width="8.26953125" style="37" customWidth="1"/>
    <col min="17" max="17" width="2.26953125" style="37" customWidth="1"/>
    <col min="18" max="18" width="9.81640625" style="37" customWidth="1"/>
    <col min="19" max="19" width="8.81640625" style="37" customWidth="1"/>
    <col min="20" max="20" width="2.26953125" style="37" customWidth="1"/>
    <col min="21" max="22" width="9.81640625" style="37" customWidth="1"/>
    <col min="23" max="23" width="2.7265625" style="37" customWidth="1"/>
    <col min="24" max="24" width="8.1796875" style="37" customWidth="1"/>
    <col min="25" max="25" width="7.453125" style="37" customWidth="1"/>
    <col min="26" max="26" width="8.81640625" style="37" customWidth="1"/>
    <col min="27" max="27" width="6.81640625" style="37" customWidth="1"/>
    <col min="28" max="28" width="5.54296875" style="37" customWidth="1"/>
    <col min="29" max="29" width="3.7265625" style="37" hidden="1" customWidth="1"/>
    <col min="30" max="30" width="2.81640625" style="37" hidden="1" customWidth="1"/>
    <col min="31" max="31" width="12" style="37" hidden="1" customWidth="1"/>
    <col min="32" max="32" width="16.26953125" style="37" hidden="1" customWidth="1"/>
    <col min="33" max="33" width="18.81640625" style="37" hidden="1" customWidth="1"/>
    <col min="34" max="34" width="6.54296875" style="37" hidden="1" customWidth="1"/>
    <col min="35" max="35" width="2.7265625" style="37" hidden="1" customWidth="1"/>
    <col min="36" max="36" width="6.54296875" style="37" hidden="1" customWidth="1"/>
    <col min="37" max="37" width="5.54296875" style="37" hidden="1" customWidth="1"/>
    <col min="38" max="38" width="7.81640625" style="37" hidden="1" customWidth="1"/>
    <col min="39" max="39" width="8.81640625" style="37" hidden="1" customWidth="1"/>
    <col min="40" max="40" width="6.81640625" style="37" hidden="1" customWidth="1"/>
    <col min="41" max="41" width="4.81640625" style="37" hidden="1" customWidth="1"/>
    <col min="42" max="42" width="6.54296875" style="37" hidden="1" customWidth="1"/>
    <col min="43" max="43" width="2.7265625" style="37" hidden="1" customWidth="1"/>
    <col min="44" max="44" width="6.54296875" style="37" hidden="1" customWidth="1"/>
    <col min="45" max="45" width="4.81640625" style="37" hidden="1" customWidth="1"/>
    <col min="46" max="46" width="6.54296875" style="37" hidden="1" customWidth="1"/>
    <col min="47" max="47" width="2.7265625" style="37" hidden="1" customWidth="1"/>
    <col min="48" max="48" width="5.7265625" style="37" hidden="1" customWidth="1"/>
    <col min="49" max="49" width="3.54296875" style="37" hidden="1" customWidth="1"/>
    <col min="50" max="50" width="5.7265625" style="37" hidden="1" customWidth="1"/>
    <col min="51" max="51" width="2.7265625" style="37" hidden="1" customWidth="1"/>
    <col min="52" max="52" width="14.7265625" style="37" hidden="1" customWidth="1"/>
    <col min="53" max="53" width="4" style="37" hidden="1" customWidth="1"/>
    <col min="54" max="54" width="6.453125" style="37" hidden="1" customWidth="1"/>
    <col min="55" max="55" width="2" style="37" hidden="1" customWidth="1"/>
    <col min="56" max="57" width="2.7265625" style="37" hidden="1" customWidth="1"/>
    <col min="58" max="58" width="2" style="37" hidden="1" customWidth="1"/>
    <col min="59" max="59" width="4" style="37" hidden="1" customWidth="1"/>
    <col min="60" max="61" width="4.1796875" style="37" hidden="1" customWidth="1"/>
    <col min="62" max="62" width="2.1796875" style="37" hidden="1" customWidth="1"/>
    <col min="63" max="63" width="10.26953125" style="37" hidden="1" customWidth="1"/>
    <col min="64" max="64" width="2.1796875" style="37" hidden="1" customWidth="1"/>
    <col min="65" max="65" width="7.54296875" style="37" hidden="1" customWidth="1"/>
    <col min="66" max="66" width="4.1796875" style="37" hidden="1" customWidth="1"/>
    <col min="67" max="67" width="1.26953125" style="37" hidden="1" customWidth="1"/>
    <col min="68" max="68" width="3.7265625" style="37" hidden="1" customWidth="1"/>
    <col min="69" max="69" width="17.54296875" style="2" hidden="1" customWidth="1"/>
    <col min="70" max="70" width="8.7265625" style="2" hidden="1" customWidth="1"/>
    <col min="71" max="71" width="5.7265625" style="2" hidden="1" customWidth="1"/>
    <col min="72" max="72" width="1.7265625" style="2" hidden="1" customWidth="1"/>
    <col min="73" max="74" width="2.7265625" style="2" hidden="1" customWidth="1"/>
    <col min="75" max="75" width="6" style="2" hidden="1" customWidth="1"/>
    <col min="76" max="76" width="7" style="2" hidden="1" customWidth="1"/>
    <col min="77" max="77" width="1.7265625" style="2" hidden="1" customWidth="1"/>
    <col min="78" max="78" width="2.7265625" style="2" hidden="1" customWidth="1"/>
    <col min="79" max="79" width="6" style="2" hidden="1" customWidth="1"/>
    <col min="80" max="80" width="7" style="2" hidden="1" customWidth="1"/>
    <col min="81" max="81" width="1.7265625" style="2" hidden="1" customWidth="1"/>
    <col min="82" max="82" width="2.7265625" style="2" hidden="1" customWidth="1"/>
    <col min="83" max="83" width="6" style="2" hidden="1" customWidth="1"/>
    <col min="84" max="84" width="7" style="2" hidden="1" customWidth="1"/>
    <col min="85" max="86" width="6.54296875" style="2" hidden="1" customWidth="1"/>
    <col min="87" max="119" width="6" style="2" hidden="1" customWidth="1"/>
    <col min="120" max="120" width="4" style="2" hidden="1" customWidth="1"/>
    <col min="121" max="121" width="7.54296875" style="2" hidden="1" customWidth="1"/>
    <col min="122" max="131" width="5.7265625" style="2" hidden="1" customWidth="1"/>
    <col min="132" max="132" width="10.26953125" style="2" hidden="1" customWidth="1"/>
    <col min="133" max="134" width="5.7265625" style="2" hidden="1" customWidth="1"/>
    <col min="135" max="135" width="7.453125" style="2" hidden="1" customWidth="1"/>
    <col min="136" max="137" width="9.1796875" style="2" hidden="1" customWidth="1"/>
    <col min="138" max="141" width="9.1796875" style="2" customWidth="1"/>
    <col min="142" max="16384" width="9.1796875" style="2"/>
  </cols>
  <sheetData>
    <row r="1" spans="1:140" s="16" customFormat="1" ht="12.75" customHeight="1">
      <c r="A1" s="36"/>
      <c r="B1" s="36"/>
      <c r="C1" s="36"/>
      <c r="D1" s="389"/>
      <c r="E1" s="389"/>
      <c r="F1" s="389"/>
      <c r="G1" s="389"/>
      <c r="H1" s="388"/>
      <c r="I1" s="389"/>
      <c r="J1" s="389"/>
      <c r="K1" s="389"/>
      <c r="L1" s="389"/>
      <c r="M1" s="389"/>
      <c r="N1" s="389"/>
      <c r="O1" s="407"/>
      <c r="P1" s="389"/>
      <c r="Q1" s="407"/>
      <c r="R1" s="389"/>
      <c r="S1" s="389"/>
      <c r="T1" s="389"/>
      <c r="U1" s="389"/>
      <c r="V1" s="389"/>
      <c r="W1" s="389"/>
      <c r="X1" s="389"/>
      <c r="Y1" s="389"/>
      <c r="Z1" s="389"/>
      <c r="AA1" s="389"/>
      <c r="AB1" s="389"/>
      <c r="AC1" s="388"/>
      <c r="AD1" s="388"/>
      <c r="AE1" s="388"/>
      <c r="AF1" s="388"/>
      <c r="AG1" s="388"/>
      <c r="AH1" s="388"/>
      <c r="AI1" s="388"/>
      <c r="AJ1" s="388"/>
      <c r="AK1" s="388"/>
      <c r="AL1" s="388"/>
      <c r="AM1" s="388"/>
      <c r="AN1" s="388"/>
      <c r="AO1" s="388"/>
      <c r="AP1" s="388"/>
      <c r="AQ1" s="388"/>
      <c r="AR1" s="388"/>
      <c r="AS1" s="388"/>
      <c r="AT1" s="388"/>
      <c r="AU1" s="388"/>
      <c r="AV1" s="388"/>
      <c r="AW1" s="388"/>
      <c r="AX1" s="388"/>
      <c r="AY1" s="388"/>
      <c r="AZ1" s="388"/>
      <c r="BA1" s="388"/>
      <c r="BB1" s="388"/>
      <c r="BC1" s="388"/>
      <c r="BD1" s="388"/>
      <c r="BE1" s="388"/>
      <c r="BF1" s="388"/>
      <c r="BG1" s="388"/>
      <c r="BH1" s="388"/>
      <c r="BI1" s="388"/>
      <c r="BJ1" s="388"/>
      <c r="BK1" s="388"/>
      <c r="BL1" s="388"/>
      <c r="BM1" s="388"/>
      <c r="BN1" s="388"/>
      <c r="BO1" s="388"/>
      <c r="BP1" s="36"/>
    </row>
    <row r="2" spans="1:140" s="891" customFormat="1" ht="12.75" customHeight="1">
      <c r="A2" s="36"/>
      <c r="B2" s="894" t="s">
        <v>1561</v>
      </c>
      <c r="C2" s="36"/>
      <c r="D2" s="889" t="s">
        <v>1210</v>
      </c>
      <c r="E2" s="889"/>
      <c r="F2" s="889"/>
      <c r="G2" s="889"/>
      <c r="H2" s="889"/>
      <c r="I2" s="889"/>
      <c r="J2" s="889"/>
      <c r="K2" s="889"/>
      <c r="L2" s="889"/>
      <c r="M2" s="889"/>
      <c r="N2" s="889"/>
      <c r="O2" s="889"/>
      <c r="P2" s="889"/>
      <c r="Q2" s="889"/>
      <c r="R2" s="889"/>
      <c r="S2" s="889"/>
      <c r="T2" s="889"/>
      <c r="U2" s="889"/>
      <c r="V2" s="889"/>
      <c r="W2" s="889"/>
      <c r="X2" s="889"/>
      <c r="Y2" s="889"/>
      <c r="Z2" s="889"/>
      <c r="AA2" s="889"/>
      <c r="AB2" s="889"/>
      <c r="AC2" s="890"/>
      <c r="AD2" s="890"/>
      <c r="AE2" s="890"/>
      <c r="AF2" s="890"/>
      <c r="AG2" s="890"/>
      <c r="AH2" s="890"/>
      <c r="AI2" s="890"/>
      <c r="AJ2" s="890"/>
      <c r="AK2" s="890"/>
      <c r="AL2" s="890"/>
      <c r="AM2" s="890"/>
      <c r="AN2" s="890"/>
      <c r="AO2" s="890"/>
      <c r="AP2" s="890"/>
      <c r="AQ2" s="890"/>
      <c r="AR2" s="890"/>
      <c r="AS2" s="890"/>
      <c r="AT2" s="890"/>
      <c r="AU2" s="890"/>
      <c r="AV2" s="890"/>
      <c r="AW2" s="890"/>
      <c r="AX2" s="890"/>
      <c r="AY2" s="890"/>
      <c r="AZ2" s="889" t="s">
        <v>1562</v>
      </c>
      <c r="BA2" s="889"/>
      <c r="BB2" s="889"/>
      <c r="BC2" s="889"/>
      <c r="BD2" s="889"/>
      <c r="BE2" s="889"/>
      <c r="BF2" s="889"/>
      <c r="BG2" s="889"/>
      <c r="BH2" s="889"/>
      <c r="BI2" s="889"/>
      <c r="BJ2" s="889"/>
      <c r="BK2" s="889"/>
      <c r="BL2" s="889"/>
      <c r="BM2" s="889"/>
      <c r="BN2" s="889"/>
      <c r="BO2" s="889"/>
      <c r="BP2" s="36"/>
      <c r="BQ2" s="895" t="s">
        <v>357</v>
      </c>
      <c r="BR2" s="889"/>
      <c r="BS2" s="889"/>
      <c r="BT2" s="889"/>
      <c r="BU2" s="889"/>
      <c r="BV2" s="889"/>
      <c r="BW2" s="889"/>
      <c r="BX2" s="889"/>
      <c r="BY2" s="889"/>
      <c r="BZ2" s="889"/>
      <c r="CA2" s="889"/>
      <c r="CB2" s="889"/>
      <c r="CC2" s="889"/>
      <c r="CD2" s="889"/>
      <c r="CE2" s="889"/>
      <c r="CF2" s="889"/>
      <c r="CH2" s="1852" t="s">
        <v>1211</v>
      </c>
      <c r="CI2" s="1852"/>
      <c r="CJ2" s="1852"/>
      <c r="CK2" s="1852"/>
      <c r="CL2" s="1852"/>
      <c r="CM2" s="1852"/>
      <c r="CN2" s="1852"/>
      <c r="CO2" s="1852"/>
      <c r="CP2" s="1852"/>
      <c r="CQ2" s="1852"/>
      <c r="CR2" s="1852"/>
      <c r="CS2" s="1852"/>
      <c r="CT2" s="1852"/>
      <c r="CU2" s="1852"/>
      <c r="CV2" s="1852"/>
      <c r="CW2" s="1852"/>
      <c r="CX2" s="1852"/>
      <c r="CY2" s="1852"/>
      <c r="CZ2" s="1852"/>
      <c r="DA2" s="1852"/>
      <c r="DB2" s="1852"/>
      <c r="DC2" s="1852"/>
      <c r="DD2" s="1852"/>
      <c r="DE2" s="1852"/>
      <c r="DF2" s="1852"/>
      <c r="DG2" s="1852"/>
      <c r="DH2" s="1852"/>
      <c r="DI2" s="1852"/>
      <c r="DJ2" s="1852"/>
      <c r="DK2" s="1852"/>
      <c r="DL2" s="1852"/>
      <c r="DM2" s="1852"/>
      <c r="DN2" s="1852"/>
      <c r="DO2" s="1852"/>
      <c r="DP2" s="1852"/>
      <c r="DQ2" s="1852"/>
      <c r="DR2" s="1852"/>
      <c r="DS2" s="1852"/>
      <c r="DT2" s="1852"/>
      <c r="DU2" s="1852"/>
      <c r="DV2" s="1852"/>
      <c r="DW2" s="1852"/>
      <c r="DX2" s="1852"/>
      <c r="DY2" s="1852"/>
      <c r="DZ2" s="1852"/>
      <c r="EA2" s="1852"/>
      <c r="EB2" s="1852"/>
      <c r="EC2" s="1852"/>
      <c r="ED2" s="1852"/>
      <c r="EE2" s="1852"/>
      <c r="EF2" s="1852"/>
    </row>
    <row r="3" spans="1:140" s="16" customFormat="1" ht="12.75" customHeight="1">
      <c r="A3" s="36"/>
      <c r="B3" s="898">
        <v>1</v>
      </c>
      <c r="C3" s="36"/>
      <c r="D3" s="389"/>
      <c r="E3" s="389"/>
      <c r="F3" s="389"/>
      <c r="G3" s="389"/>
      <c r="H3" s="389"/>
      <c r="I3" s="389"/>
      <c r="J3" s="1857" t="s">
        <v>1211</v>
      </c>
      <c r="K3" s="1857"/>
      <c r="L3" s="1857"/>
      <c r="M3" s="407"/>
      <c r="N3" s="407"/>
      <c r="O3" s="407"/>
      <c r="P3" s="389"/>
      <c r="Q3" s="407"/>
      <c r="R3" s="389"/>
      <c r="S3" s="389"/>
      <c r="T3" s="389"/>
      <c r="U3" s="389"/>
      <c r="V3" s="389"/>
      <c r="W3" s="389"/>
      <c r="X3" s="389"/>
      <c r="Y3" s="389"/>
      <c r="Z3" s="389"/>
      <c r="AA3" s="389"/>
      <c r="AB3" s="389"/>
      <c r="AC3" s="388"/>
      <c r="AD3" s="1888" t="s">
        <v>1211</v>
      </c>
      <c r="AE3" s="1888"/>
      <c r="AF3" s="1888"/>
      <c r="AG3" s="1888"/>
      <c r="AH3" s="1888"/>
      <c r="AI3" s="388"/>
      <c r="AJ3" s="1888" t="s">
        <v>1211</v>
      </c>
      <c r="AK3" s="1888"/>
      <c r="AL3" s="1888"/>
      <c r="AM3" s="388"/>
      <c r="AN3" s="1888" t="s">
        <v>1211</v>
      </c>
      <c r="AO3" s="1888"/>
      <c r="AP3" s="1888"/>
      <c r="AQ3" s="388"/>
      <c r="AR3" s="1888" t="s">
        <v>1211</v>
      </c>
      <c r="AS3" s="1888"/>
      <c r="AT3" s="1888"/>
      <c r="AU3" s="388"/>
      <c r="AV3" s="1888" t="s">
        <v>1211</v>
      </c>
      <c r="AW3" s="1888"/>
      <c r="AX3" s="1888"/>
      <c r="AY3" s="387"/>
      <c r="AZ3" s="388"/>
      <c r="BA3" s="388"/>
      <c r="BB3" s="388"/>
      <c r="BC3" s="1857" t="s">
        <v>1211</v>
      </c>
      <c r="BD3" s="1857"/>
      <c r="BE3" s="1857"/>
      <c r="BF3" s="1857"/>
      <c r="BG3" s="1857"/>
      <c r="BH3" s="253"/>
      <c r="BI3" s="45"/>
      <c r="BJ3" s="45"/>
      <c r="BK3" s="251"/>
      <c r="BL3" s="251"/>
      <c r="BM3" s="45"/>
      <c r="BN3" s="45"/>
      <c r="BO3" s="45"/>
      <c r="BP3" s="36"/>
    </row>
    <row r="4" spans="1:140" s="16" customFormat="1" ht="12.75" customHeight="1">
      <c r="A4" s="36"/>
      <c r="B4" s="892"/>
      <c r="C4" s="36"/>
      <c r="D4" s="1847" t="s">
        <v>427</v>
      </c>
      <c r="E4" s="1849"/>
      <c r="F4" s="389"/>
      <c r="G4" s="389"/>
      <c r="H4" s="389"/>
      <c r="I4" s="1850" t="s">
        <v>1212</v>
      </c>
      <c r="J4" s="1850" t="s">
        <v>1213</v>
      </c>
      <c r="K4" s="1850" t="s">
        <v>1214</v>
      </c>
      <c r="L4" s="1850" t="s">
        <v>1215</v>
      </c>
      <c r="M4" s="1865" t="s">
        <v>1216</v>
      </c>
      <c r="N4" s="1865"/>
      <c r="O4" s="1866" t="s">
        <v>15</v>
      </c>
      <c r="P4" s="1863" t="s">
        <v>1235</v>
      </c>
      <c r="Q4" s="1868">
        <f>G15</f>
        <v>8</v>
      </c>
      <c r="R4" s="1868"/>
      <c r="S4" s="1868"/>
      <c r="T4" s="1870">
        <f>G16</f>
        <v>10</v>
      </c>
      <c r="U4" s="1871"/>
      <c r="V4" s="1872"/>
      <c r="W4" s="389"/>
      <c r="X4" s="1860" t="s">
        <v>106</v>
      </c>
      <c r="Y4" s="1861"/>
      <c r="Z4" s="1861"/>
      <c r="AA4" s="1862"/>
      <c r="AB4" s="389"/>
      <c r="AC4" s="388"/>
      <c r="AD4" s="390"/>
      <c r="AE4" s="390"/>
      <c r="AF4" s="391" t="s">
        <v>1217</v>
      </c>
      <c r="AG4" s="391" t="s">
        <v>1218</v>
      </c>
      <c r="AH4" s="391"/>
      <c r="AI4" s="388"/>
      <c r="AJ4" s="1841">
        <f>G21</f>
        <v>8</v>
      </c>
      <c r="AK4" s="1841"/>
      <c r="AL4" s="1841"/>
      <c r="AM4" s="388"/>
      <c r="AN4" s="1842">
        <f>G27</f>
        <v>10</v>
      </c>
      <c r="AO4" s="1842"/>
      <c r="AP4" s="1842"/>
      <c r="AQ4" s="388"/>
      <c r="AR4" s="1843" t="s">
        <v>1219</v>
      </c>
      <c r="AS4" s="1842"/>
      <c r="AT4" s="1842"/>
      <c r="AU4" s="388"/>
      <c r="AV4" s="1843" t="s">
        <v>242</v>
      </c>
      <c r="AW4" s="1842"/>
      <c r="AX4" s="1842"/>
      <c r="AY4" s="387"/>
      <c r="AZ4" s="527"/>
      <c r="BA4" s="442"/>
      <c r="BB4" s="881"/>
      <c r="BC4" s="767"/>
      <c r="BD4" s="767"/>
      <c r="BE4" s="767"/>
      <c r="BF4" s="767"/>
      <c r="BG4" s="767"/>
      <c r="BH4" s="767"/>
      <c r="BI4" s="442"/>
      <c r="BJ4" s="442"/>
      <c r="BK4" s="282"/>
      <c r="BL4" s="282"/>
      <c r="BM4" s="442"/>
      <c r="BN4" s="442"/>
      <c r="BO4" s="443"/>
      <c r="BP4" s="36"/>
      <c r="BQ4" s="679"/>
      <c r="BR4" s="17"/>
      <c r="BS4" s="17"/>
      <c r="BT4" s="677"/>
      <c r="CH4" s="16">
        <f>IF(BS7=CL13,1,2)</f>
        <v>2</v>
      </c>
      <c r="CJ4" s="171" t="s">
        <v>462</v>
      </c>
      <c r="CK4" s="171"/>
      <c r="CL4" s="171" t="s">
        <v>463</v>
      </c>
      <c r="CM4" s="171"/>
      <c r="CU4" s="466" t="e">
        <f>ROUND(IF(COUNTA(BR10)&gt;0,1/((1/(BR11-BR15))*3.6),""),1)</f>
        <v>#VALUE!</v>
      </c>
    </row>
    <row r="5" spans="1:140" s="16" customFormat="1" ht="12.75" customHeight="1">
      <c r="A5" s="36"/>
      <c r="B5" s="892"/>
      <c r="C5" s="36"/>
      <c r="D5" s="1853" t="s">
        <v>1559</v>
      </c>
      <c r="E5" s="1854"/>
      <c r="F5" s="389"/>
      <c r="G5" s="389"/>
      <c r="H5" s="388"/>
      <c r="I5" s="1850"/>
      <c r="J5" s="1850"/>
      <c r="K5" s="1850"/>
      <c r="L5" s="1850"/>
      <c r="M5" s="1865"/>
      <c r="N5" s="1865"/>
      <c r="O5" s="1867"/>
      <c r="P5" s="1864"/>
      <c r="Q5" s="1869"/>
      <c r="R5" s="1869"/>
      <c r="S5" s="1869"/>
      <c r="T5" s="1873"/>
      <c r="U5" s="1874"/>
      <c r="V5" s="1875"/>
      <c r="W5" s="389"/>
      <c r="X5" s="1863" t="s">
        <v>1700</v>
      </c>
      <c r="Y5" s="1844" t="s">
        <v>238</v>
      </c>
      <c r="Z5" s="1844"/>
      <c r="AA5" s="1859" t="s">
        <v>1692</v>
      </c>
      <c r="AB5" s="389"/>
      <c r="AC5" s="388"/>
      <c r="AD5" s="1858" t="s">
        <v>1220</v>
      </c>
      <c r="AE5" s="1858"/>
      <c r="AF5" s="392">
        <f>$E$11</f>
        <v>400</v>
      </c>
      <c r="AG5" s="393">
        <f>$E$10</f>
        <v>2.5</v>
      </c>
      <c r="AH5" s="391"/>
      <c r="AI5" s="388"/>
      <c r="AJ5" s="1841"/>
      <c r="AK5" s="1841"/>
      <c r="AL5" s="1841"/>
      <c r="AM5" s="388"/>
      <c r="AN5" s="1842"/>
      <c r="AO5" s="1842"/>
      <c r="AP5" s="1842"/>
      <c r="AQ5" s="388"/>
      <c r="AR5" s="1842"/>
      <c r="AS5" s="1842"/>
      <c r="AT5" s="1842"/>
      <c r="AU5" s="388"/>
      <c r="AV5" s="1842"/>
      <c r="AW5" s="1842"/>
      <c r="AX5" s="1842"/>
      <c r="AY5" s="387"/>
      <c r="AZ5" s="444" t="s">
        <v>1544</v>
      </c>
      <c r="BA5" s="253" t="s">
        <v>134</v>
      </c>
      <c r="BB5" s="1387">
        <v>150</v>
      </c>
      <c r="BC5" s="388"/>
      <c r="BD5" s="388"/>
      <c r="BE5" s="388"/>
      <c r="BF5" s="388"/>
      <c r="BG5" s="388"/>
      <c r="BH5" s="253" t="s">
        <v>0</v>
      </c>
      <c r="BI5" s="388"/>
      <c r="BJ5" s="388"/>
      <c r="BK5" s="388"/>
      <c r="BL5" s="388"/>
      <c r="BM5" s="388"/>
      <c r="BN5" s="388"/>
      <c r="BO5" s="445"/>
      <c r="BP5" s="36"/>
      <c r="BQ5" s="684" t="s">
        <v>428</v>
      </c>
      <c r="BR5" s="1936"/>
      <c r="BS5" s="1937"/>
      <c r="BT5" s="682"/>
      <c r="BY5" s="469"/>
      <c r="CC5" s="469"/>
      <c r="CI5" s="33">
        <v>1</v>
      </c>
      <c r="CJ5" s="1889" t="s">
        <v>1714</v>
      </c>
      <c r="CK5" s="1889"/>
      <c r="CL5" s="1889" t="s">
        <v>1715</v>
      </c>
      <c r="CM5" s="1889"/>
      <c r="CN5" s="466"/>
      <c r="CU5" s="172" t="e">
        <f>"for "&amp;CU4&amp;" W (Input energy) can give 1kg/hr steam at "&amp;BR10&amp;" bar"</f>
        <v>#VALUE!</v>
      </c>
      <c r="DG5" s="172"/>
      <c r="DH5" s="172"/>
      <c r="DI5" s="172"/>
      <c r="DJ5" s="172"/>
      <c r="DK5" s="172"/>
      <c r="DL5" s="172"/>
      <c r="DM5" s="172"/>
    </row>
    <row r="6" spans="1:140" s="16" customFormat="1" ht="12.75" customHeight="1">
      <c r="A6" s="36"/>
      <c r="B6" s="893"/>
      <c r="C6" s="36"/>
      <c r="D6" s="1855"/>
      <c r="E6" s="1856"/>
      <c r="F6" s="389"/>
      <c r="G6" s="389"/>
      <c r="H6" s="388"/>
      <c r="I6" s="761" t="s">
        <v>1221</v>
      </c>
      <c r="J6" s="761" t="s">
        <v>1221</v>
      </c>
      <c r="K6" s="761" t="s">
        <v>1221</v>
      </c>
      <c r="L6" s="761" t="s">
        <v>1221</v>
      </c>
      <c r="M6" s="761" t="s">
        <v>3</v>
      </c>
      <c r="N6" s="761" t="s">
        <v>1222</v>
      </c>
      <c r="O6" s="937" t="s">
        <v>1223</v>
      </c>
      <c r="P6" s="924" t="s">
        <v>14</v>
      </c>
      <c r="Q6" s="938"/>
      <c r="R6" s="938" t="s">
        <v>1224</v>
      </c>
      <c r="S6" s="761" t="s">
        <v>12</v>
      </c>
      <c r="T6" s="937"/>
      <c r="U6" s="938" t="s">
        <v>6</v>
      </c>
      <c r="V6" s="761" t="s">
        <v>12</v>
      </c>
      <c r="W6" s="389"/>
      <c r="X6" s="1864"/>
      <c r="Y6" s="761" t="s">
        <v>6</v>
      </c>
      <c r="Z6" s="761" t="s">
        <v>12</v>
      </c>
      <c r="AA6" s="1844"/>
      <c r="AB6" s="389"/>
      <c r="AC6" s="388"/>
      <c r="AD6" s="394" t="s">
        <v>1218</v>
      </c>
      <c r="AE6" s="395" t="s">
        <v>1217</v>
      </c>
      <c r="AF6" s="396">
        <f>AF5/1000/9.81*100</f>
        <v>4.077471967380224</v>
      </c>
      <c r="AG6" s="397">
        <f>AG5*3.28</f>
        <v>8.1999999999999993</v>
      </c>
      <c r="AH6" s="391" t="s">
        <v>1217</v>
      </c>
      <c r="AI6" s="388"/>
      <c r="AJ6" s="388"/>
      <c r="AK6" s="388"/>
      <c r="AL6" s="388"/>
      <c r="AM6" s="388"/>
      <c r="AN6" s="388"/>
      <c r="AO6" s="388"/>
      <c r="AP6" s="388"/>
      <c r="AQ6" s="388"/>
      <c r="AR6" s="388"/>
      <c r="AS6" s="388"/>
      <c r="AT6" s="388"/>
      <c r="AU6" s="388"/>
      <c r="AV6" s="388"/>
      <c r="AW6" s="388"/>
      <c r="AX6" s="388"/>
      <c r="AY6" s="387"/>
      <c r="AZ6" s="882"/>
      <c r="BA6" s="388"/>
      <c r="BB6" s="388"/>
      <c r="BC6" s="388"/>
      <c r="BD6" s="388"/>
      <c r="BE6" s="388"/>
      <c r="BF6" s="388"/>
      <c r="BG6" s="388"/>
      <c r="BH6" s="388"/>
      <c r="BI6" s="388"/>
      <c r="BJ6" s="388"/>
      <c r="BK6" s="388"/>
      <c r="BL6" s="388"/>
      <c r="BM6" s="388"/>
      <c r="BN6" s="388"/>
      <c r="BO6" s="445"/>
      <c r="BP6" s="36"/>
      <c r="BQ6" s="685"/>
      <c r="BT6" s="682"/>
      <c r="CI6" s="33">
        <v>2</v>
      </c>
      <c r="CJ6" s="1890" t="s">
        <v>1257</v>
      </c>
      <c r="CK6" s="1890"/>
      <c r="CL6" s="1890" t="s">
        <v>1258</v>
      </c>
      <c r="CM6" s="1890"/>
      <c r="CN6" s="465"/>
      <c r="CO6" s="32"/>
      <c r="CU6" s="172" t="e">
        <f>"for 1kg/hr steam at "&amp;BR10&amp; " bar can give "&amp; CU4&amp;" W (Output energy)"</f>
        <v>#VALUE!</v>
      </c>
      <c r="DG6" s="172"/>
      <c r="DH6" s="172"/>
      <c r="DI6" s="172"/>
      <c r="DJ6" s="172"/>
      <c r="DK6" s="172"/>
      <c r="DL6" s="172"/>
      <c r="DM6" s="172"/>
      <c r="DO6" s="18"/>
      <c r="DP6" s="18"/>
    </row>
    <row r="7" spans="1:140" s="16" customFormat="1" ht="12.75" customHeight="1">
      <c r="A7" s="36"/>
      <c r="B7" s="36"/>
      <c r="C7" s="36"/>
      <c r="D7" s="426" t="s">
        <v>1225</v>
      </c>
      <c r="E7" s="1418">
        <f>IF(AF52=1,140,100)</f>
        <v>140</v>
      </c>
      <c r="F7" s="389"/>
      <c r="H7" s="388"/>
      <c r="I7" s="757">
        <v>15</v>
      </c>
      <c r="J7" s="408">
        <v>21.4</v>
      </c>
      <c r="K7" s="409">
        <f t="shared" ref="K7:K39" si="0">J7-2*L7</f>
        <v>16.2</v>
      </c>
      <c r="L7" s="410">
        <v>2.6</v>
      </c>
      <c r="M7" s="759">
        <f t="shared" ref="M7:M39" si="1">PI()*(K7/1000)^2/4*O7*1000</f>
        <v>0.13536561965600805</v>
      </c>
      <c r="N7" s="418">
        <f t="shared" ref="N7:N39" si="2">M7*3.6</f>
        <v>0.487316230761629</v>
      </c>
      <c r="O7" s="411">
        <f>AH7</f>
        <v>0.65673243386529834</v>
      </c>
      <c r="P7" s="412">
        <f>ROUND(6.819*(O7/$E$7)^1.852/(K7/1000)^1.167*1000*9.81,0)</f>
        <v>400</v>
      </c>
      <c r="Q7" s="419" t="str">
        <f t="shared" ref="Q7:Q39" si="3">IF(OR($AJ$43=I7,$AR$43=I7),"►","")</f>
        <v/>
      </c>
      <c r="R7" s="420">
        <f t="shared" ref="R7:R39" si="4">M7*4.186789*$Q$4</f>
        <v>4.5339782988316664</v>
      </c>
      <c r="S7" s="421">
        <f t="shared" ref="S7:S39" si="5">R7/3.517</f>
        <v>1.2891607332475594</v>
      </c>
      <c r="T7" s="422" t="str">
        <f t="shared" ref="T7:T39" si="6">IF(OR($AN$43=I7,$AR$43=I7),"►","")</f>
        <v/>
      </c>
      <c r="U7" s="423">
        <f t="shared" ref="U7:U39" si="7">M7*4.186789*$T$4</f>
        <v>5.667472873539583</v>
      </c>
      <c r="V7" s="758">
        <f t="shared" ref="V7:V39" si="8">U7/3.517</f>
        <v>1.6114509165594493</v>
      </c>
      <c r="W7" s="389"/>
      <c r="X7" s="760">
        <v>25</v>
      </c>
      <c r="Y7" s="416">
        <v>17.600000000000001</v>
      </c>
      <c r="Z7" s="416">
        <v>5</v>
      </c>
      <c r="AA7" s="513" t="s">
        <v>1688</v>
      </c>
      <c r="AB7" s="389"/>
      <c r="AC7" s="388"/>
      <c r="AD7" s="508"/>
      <c r="AE7" s="508"/>
      <c r="AF7" s="398">
        <f t="shared" ref="AF7:AF39" si="9">(IF($AD7=0,AF$5,$AD7)/1000/9.81*($K7/1000)^1.167/6.819)^(1/1.852)*$E$7</f>
        <v>0.65673243386529834</v>
      </c>
      <c r="AG7" s="398">
        <f t="shared" ref="AG7:AG39" si="10">6.819*(IF($AE7=0,AG$5,$AE7)/$E$7)^1.852/($K7/1000)^1.167*1000*9.81</f>
        <v>4755.9956621769306</v>
      </c>
      <c r="AH7" s="398">
        <f t="shared" ref="AH7:AH39" si="11">IF(AG7&lt;=AF$5,IF(AF7&lt;=IF($AE7=0,AG$5,$AE7),AF7,(AG7/1000/9.81*($K7/1000)^1.167/6.819)^(1/1.852)*$E$7),IF(AF7&lt;=IF($AE7=0,AG$5,$AE7),AF7,"Check"))</f>
        <v>0.65673243386529834</v>
      </c>
      <c r="AI7" s="388"/>
      <c r="AJ7" s="399" t="str">
        <f t="shared" ref="AJ7:AJ39" si="12">IF($E$21&gt;AL7,"",AL7)</f>
        <v/>
      </c>
      <c r="AK7" s="508">
        <v>15</v>
      </c>
      <c r="AL7" s="400">
        <f t="shared" ref="AL7:AL39" si="13">M7</f>
        <v>0.13536561965600805</v>
      </c>
      <c r="AM7" s="388"/>
      <c r="AN7" s="399" t="str">
        <f t="shared" ref="AN7:AN39" si="14">IF($E$27&gt;AP7,"",AP7)</f>
        <v/>
      </c>
      <c r="AO7" s="508">
        <v>15</v>
      </c>
      <c r="AP7" s="400">
        <f t="shared" ref="AP7:AP39" si="15">M7</f>
        <v>0.13536561965600805</v>
      </c>
      <c r="AQ7" s="388"/>
      <c r="AR7" s="399">
        <f t="shared" ref="AR7:AR25" si="16">IF($AG$48&gt;AT7,"",AT7)</f>
        <v>0.13536561965600805</v>
      </c>
      <c r="AS7" s="508">
        <v>15</v>
      </c>
      <c r="AT7" s="400">
        <f t="shared" ref="AT7:AT39" si="17">M7</f>
        <v>0.13536561965600805</v>
      </c>
      <c r="AU7" s="388"/>
      <c r="AV7" s="401">
        <f>AE47</f>
        <v>4080</v>
      </c>
      <c r="AW7" s="388"/>
      <c r="AX7" s="388"/>
      <c r="AY7" s="387"/>
      <c r="AZ7" s="444" t="s">
        <v>1545</v>
      </c>
      <c r="BA7" s="253" t="s">
        <v>699</v>
      </c>
      <c r="BB7" s="1411"/>
      <c r="BC7" s="253">
        <f>IF(BB7&gt;0,1,0)</f>
        <v>0</v>
      </c>
      <c r="BD7" s="251" t="str">
        <f>IF(BB7&gt;0,BA7&amp;"+120","")</f>
        <v/>
      </c>
      <c r="BE7" s="253"/>
      <c r="BF7" s="253">
        <f>IF(BC7&gt;0,BB7+120,0)</f>
        <v>0</v>
      </c>
      <c r="BG7" s="253"/>
      <c r="BH7" s="880" t="s">
        <v>721</v>
      </c>
      <c r="BI7" s="255" t="s">
        <v>698</v>
      </c>
      <c r="BJ7" s="255" t="s">
        <v>5</v>
      </c>
      <c r="BK7" s="251" t="str">
        <f>BD7 &amp; BE7</f>
        <v/>
      </c>
      <c r="BL7" s="251" t="s">
        <v>5</v>
      </c>
      <c r="BM7" s="617" t="str">
        <f t="shared" ref="BM7:BM18" si="18">IF($BC$25=0,"-",SUM(BF7:BG7))</f>
        <v>-</v>
      </c>
      <c r="BN7" s="617"/>
      <c r="BO7" s="445"/>
      <c r="BP7" s="36"/>
      <c r="BQ7" s="1897" t="str">
        <f>IF(BR5&gt;0,IF(BR5=CJ4,VLOOKUP(CH4,CI5:CK6,2,FALSE),IF(BR5=CL4,VLOOKUP(CH4,CI5:CM6,4,FALSE))),"---")</f>
        <v>---</v>
      </c>
      <c r="BR7" s="1902"/>
      <c r="BS7" s="1938" t="s">
        <v>156</v>
      </c>
      <c r="BT7" s="682"/>
      <c r="BV7" s="1943" t="str">
        <f>IF(AND(BR7&gt;0,BR10&gt;0),IF(CH4=1,BR7/(BR11-BR15)*3600,BR7/3600*(BR11-BR15)),"---")</f>
        <v>---</v>
      </c>
      <c r="BW7" s="1943"/>
      <c r="BX7" s="469" t="str">
        <f>IF(AND(BR7&gt;0,BR10&gt;0),IF(CH4=1,"kg/hr ","kW "),"") &amp; CO11</f>
        <v/>
      </c>
      <c r="BY7" s="469"/>
      <c r="BZ7" s="469"/>
      <c r="CA7" s="469"/>
      <c r="CB7" s="469"/>
      <c r="CC7" s="469"/>
      <c r="CO7" s="501" t="s">
        <v>1259</v>
      </c>
      <c r="CP7" s="502" t="s">
        <v>1257</v>
      </c>
    </row>
    <row r="8" spans="1:140" s="16" customFormat="1" ht="12.75" customHeight="1">
      <c r="A8" s="36"/>
      <c r="B8" s="36"/>
      <c r="C8" s="36"/>
      <c r="D8" s="389"/>
      <c r="E8" s="389"/>
      <c r="F8" s="389"/>
      <c r="G8" s="389"/>
      <c r="H8" s="388"/>
      <c r="I8" s="899">
        <v>20</v>
      </c>
      <c r="J8" s="900">
        <v>26.9</v>
      </c>
      <c r="K8" s="901">
        <f t="shared" si="0"/>
        <v>21.7</v>
      </c>
      <c r="L8" s="902">
        <v>2.6</v>
      </c>
      <c r="M8" s="903">
        <f t="shared" si="1"/>
        <v>0.29200442863141934</v>
      </c>
      <c r="N8" s="904">
        <f t="shared" si="2"/>
        <v>1.0512159430731096</v>
      </c>
      <c r="O8" s="905">
        <f t="shared" ref="O8:O39" si="19">AH8</f>
        <v>0.78955082030053658</v>
      </c>
      <c r="P8" s="906">
        <f t="shared" ref="P8:P39" si="20">ROUND(6.819*(O8/$E$7)^1.852/(K8/1000)^1.167*1000*9.81,0)</f>
        <v>400</v>
      </c>
      <c r="Q8" s="907" t="str">
        <f t="shared" si="3"/>
        <v/>
      </c>
      <c r="R8" s="908">
        <f t="shared" si="4"/>
        <v>9.780487437962492</v>
      </c>
      <c r="S8" s="909">
        <f t="shared" si="5"/>
        <v>2.7809176678881125</v>
      </c>
      <c r="T8" s="910" t="str">
        <f t="shared" si="6"/>
        <v/>
      </c>
      <c r="U8" s="911">
        <f t="shared" si="7"/>
        <v>12.225609297453115</v>
      </c>
      <c r="V8" s="912">
        <f t="shared" si="8"/>
        <v>3.4761470848601408</v>
      </c>
      <c r="W8" s="389"/>
      <c r="X8" s="513">
        <v>32</v>
      </c>
      <c r="Y8" s="417">
        <v>101</v>
      </c>
      <c r="Z8" s="417">
        <v>28.7</v>
      </c>
      <c r="AA8" s="513" t="s">
        <v>1688</v>
      </c>
      <c r="AB8" s="389"/>
      <c r="AC8" s="388"/>
      <c r="AD8" s="508"/>
      <c r="AE8" s="508"/>
      <c r="AF8" s="398">
        <f t="shared" si="9"/>
        <v>0.78955082030053658</v>
      </c>
      <c r="AG8" s="398">
        <f t="shared" si="10"/>
        <v>3381.4032240584002</v>
      </c>
      <c r="AH8" s="398">
        <f t="shared" si="11"/>
        <v>0.78955082030053658</v>
      </c>
      <c r="AI8" s="388"/>
      <c r="AJ8" s="399" t="str">
        <f t="shared" si="12"/>
        <v/>
      </c>
      <c r="AK8" s="508">
        <v>20</v>
      </c>
      <c r="AL8" s="400">
        <f t="shared" si="13"/>
        <v>0.29200442863141934</v>
      </c>
      <c r="AM8" s="388"/>
      <c r="AN8" s="399" t="str">
        <f t="shared" si="14"/>
        <v/>
      </c>
      <c r="AO8" s="508">
        <v>20</v>
      </c>
      <c r="AP8" s="400">
        <f t="shared" si="15"/>
        <v>0.29200442863141934</v>
      </c>
      <c r="AQ8" s="388"/>
      <c r="AR8" s="399">
        <f t="shared" si="16"/>
        <v>0.29200442863141934</v>
      </c>
      <c r="AS8" s="508">
        <v>20</v>
      </c>
      <c r="AT8" s="400">
        <f t="shared" si="17"/>
        <v>0.29200442863141934</v>
      </c>
      <c r="AU8" s="388"/>
      <c r="AV8" s="399">
        <f>AE48</f>
        <v>1160.4095563139931</v>
      </c>
      <c r="AW8" s="388"/>
      <c r="AX8" s="401">
        <f>AV7</f>
        <v>4080</v>
      </c>
      <c r="AY8" s="387"/>
      <c r="AZ8" s="444" t="s">
        <v>1546</v>
      </c>
      <c r="BA8" s="253" t="s">
        <v>700</v>
      </c>
      <c r="BB8" s="1411"/>
      <c r="BC8" s="253">
        <f>IF(BB8&gt;0,2,0)</f>
        <v>0</v>
      </c>
      <c r="BD8" s="251" t="str">
        <f t="shared" ref="BD8:BD18" si="21">IF(BB8&gt;0,BA7&amp;"+"&amp;BA8&amp;"+120","")</f>
        <v/>
      </c>
      <c r="BE8" s="253" t="str">
        <f t="shared" ref="BE8:BE18" si="22">IF(AND(BC7&gt;0,BC7=$BC$25),BA7&amp;"+120","")</f>
        <v/>
      </c>
      <c r="BF8" s="253">
        <f>IF(BC8&gt;0,BB7+BB8+120,0)</f>
        <v>0</v>
      </c>
      <c r="BG8" s="253">
        <f t="shared" ref="BG8:BG18" si="23">IF(BC7=$BC$25,BB7+120,0)</f>
        <v>120</v>
      </c>
      <c r="BH8" s="880" t="s">
        <v>721</v>
      </c>
      <c r="BI8" s="255" t="s">
        <v>710</v>
      </c>
      <c r="BJ8" s="255" t="s">
        <v>5</v>
      </c>
      <c r="BK8" s="251" t="str">
        <f t="shared" ref="BK8:BK18" si="24">BD8 &amp; BE8</f>
        <v/>
      </c>
      <c r="BL8" s="251" t="s">
        <v>5</v>
      </c>
      <c r="BM8" s="617" t="str">
        <f t="shared" si="18"/>
        <v>-</v>
      </c>
      <c r="BN8" s="617"/>
      <c r="BO8" s="445"/>
      <c r="BP8" s="36"/>
      <c r="BQ8" s="1897"/>
      <c r="BR8" s="1903"/>
      <c r="BS8" s="1939"/>
      <c r="BT8" s="682"/>
      <c r="BV8" s="691" t="str">
        <f>IF(COUNTA(BR10)&gt;0,IF(BR5="Boiler plant",CU5, IF(BR5="Terminals",CU6,"")),"---")</f>
        <v>---</v>
      </c>
      <c r="BW8" s="470"/>
      <c r="BX8" s="470"/>
      <c r="BY8" s="470"/>
      <c r="BZ8" s="470"/>
      <c r="CA8" s="470"/>
      <c r="CB8" s="470"/>
      <c r="CC8" s="470"/>
      <c r="CD8" s="470"/>
      <c r="CE8" s="470"/>
      <c r="CF8" s="470"/>
      <c r="CH8" s="166">
        <f>IF(CH4=1,BR7/(BR11-BR15)*3600,BR7)</f>
        <v>0</v>
      </c>
      <c r="CI8" s="16" t="s">
        <v>156</v>
      </c>
      <c r="CK8" s="16" t="str">
        <f>IF(BR7*BR10*BR17&gt;0,MIN(DN28:EA28),"")</f>
        <v/>
      </c>
      <c r="CO8" s="502" t="s">
        <v>1257</v>
      </c>
      <c r="CP8" s="501" t="s">
        <v>1259</v>
      </c>
    </row>
    <row r="9" spans="1:140" s="16" customFormat="1" ht="12.75" customHeight="1">
      <c r="A9" s="36"/>
      <c r="B9" s="36"/>
      <c r="C9" s="36"/>
      <c r="D9" s="1847" t="s">
        <v>1226</v>
      </c>
      <c r="E9" s="1848"/>
      <c r="F9" s="1849"/>
      <c r="G9" s="389"/>
      <c r="H9" s="402"/>
      <c r="I9" s="757">
        <v>25</v>
      </c>
      <c r="J9" s="408">
        <v>33.799999999999997</v>
      </c>
      <c r="K9" s="409">
        <f t="shared" si="0"/>
        <v>27.4</v>
      </c>
      <c r="L9" s="410">
        <v>3.2</v>
      </c>
      <c r="M9" s="759">
        <f t="shared" si="1"/>
        <v>0.5392590528468818</v>
      </c>
      <c r="N9" s="418">
        <f t="shared" si="2"/>
        <v>1.9413325902487746</v>
      </c>
      <c r="O9" s="411">
        <f t="shared" si="19"/>
        <v>0.91454785942388916</v>
      </c>
      <c r="P9" s="412">
        <f t="shared" si="20"/>
        <v>400</v>
      </c>
      <c r="Q9" s="419" t="str">
        <f t="shared" si="3"/>
        <v/>
      </c>
      <c r="R9" s="420">
        <f t="shared" si="4"/>
        <v>18.062110964877949</v>
      </c>
      <c r="S9" s="421">
        <f t="shared" si="5"/>
        <v>5.1356585057941286</v>
      </c>
      <c r="T9" s="422" t="str">
        <f t="shared" si="6"/>
        <v/>
      </c>
      <c r="U9" s="423">
        <f t="shared" si="7"/>
        <v>22.577638706097435</v>
      </c>
      <c r="V9" s="758">
        <f t="shared" si="8"/>
        <v>6.4195731322426601</v>
      </c>
      <c r="W9" s="389"/>
      <c r="X9" s="513">
        <v>40</v>
      </c>
      <c r="Y9" s="417">
        <v>176</v>
      </c>
      <c r="Z9" s="417">
        <v>50.1</v>
      </c>
      <c r="AA9" s="513" t="s">
        <v>1688</v>
      </c>
      <c r="AB9" s="389"/>
      <c r="AC9" s="388"/>
      <c r="AD9" s="508"/>
      <c r="AE9" s="508"/>
      <c r="AF9" s="398">
        <f t="shared" si="9"/>
        <v>0.91454785942388916</v>
      </c>
      <c r="AG9" s="398">
        <f t="shared" si="10"/>
        <v>2575.6720486109321</v>
      </c>
      <c r="AH9" s="398">
        <f t="shared" si="11"/>
        <v>0.91454785942388916</v>
      </c>
      <c r="AI9" s="388"/>
      <c r="AJ9" s="399" t="str">
        <f t="shared" si="12"/>
        <v/>
      </c>
      <c r="AK9" s="508">
        <v>25</v>
      </c>
      <c r="AL9" s="400">
        <f t="shared" si="13"/>
        <v>0.5392590528468818</v>
      </c>
      <c r="AM9" s="388"/>
      <c r="AN9" s="399" t="str">
        <f t="shared" si="14"/>
        <v/>
      </c>
      <c r="AO9" s="508">
        <v>25</v>
      </c>
      <c r="AP9" s="400">
        <f t="shared" si="15"/>
        <v>0.5392590528468818</v>
      </c>
      <c r="AQ9" s="388"/>
      <c r="AR9" s="399">
        <f t="shared" si="16"/>
        <v>0.5392590528468818</v>
      </c>
      <c r="AS9" s="508">
        <v>25</v>
      </c>
      <c r="AT9" s="400">
        <f t="shared" si="17"/>
        <v>0.5392590528468818</v>
      </c>
      <c r="AU9" s="388"/>
      <c r="AV9" s="388"/>
      <c r="AW9" s="388"/>
      <c r="AX9" s="388"/>
      <c r="AY9" s="387"/>
      <c r="AZ9" s="444" t="s">
        <v>1547</v>
      </c>
      <c r="BA9" s="253" t="s">
        <v>701</v>
      </c>
      <c r="BB9" s="1411"/>
      <c r="BC9" s="253">
        <f>IF(BB9&gt;0,3,0)</f>
        <v>0</v>
      </c>
      <c r="BD9" s="251" t="str">
        <f t="shared" si="21"/>
        <v/>
      </c>
      <c r="BE9" s="253" t="str">
        <f t="shared" si="22"/>
        <v/>
      </c>
      <c r="BF9" s="253">
        <f t="shared" ref="BF9:BF18" si="25">IF(BC9&gt;0,BB8+BB9+120,0)</f>
        <v>0</v>
      </c>
      <c r="BG9" s="253">
        <f t="shared" si="23"/>
        <v>120</v>
      </c>
      <c r="BH9" s="880" t="s">
        <v>721</v>
      </c>
      <c r="BI9" s="255" t="s">
        <v>711</v>
      </c>
      <c r="BJ9" s="255" t="s">
        <v>5</v>
      </c>
      <c r="BK9" s="251" t="str">
        <f t="shared" si="24"/>
        <v/>
      </c>
      <c r="BL9" s="251" t="s">
        <v>5</v>
      </c>
      <c r="BM9" s="617" t="str">
        <f t="shared" si="18"/>
        <v>-</v>
      </c>
      <c r="BN9" s="617"/>
      <c r="BO9" s="445"/>
      <c r="BP9" s="36"/>
      <c r="BQ9" s="685"/>
      <c r="BT9" s="682"/>
      <c r="CH9" s="19" t="str">
        <f>IF(BR7*BR10*BR17&gt;0,HLOOKUP(MIN(DN28:EA28),DN28:EA30,3),"-")</f>
        <v>-</v>
      </c>
      <c r="CO9" s="501" t="s">
        <v>1260</v>
      </c>
      <c r="CP9" s="502" t="s">
        <v>1258</v>
      </c>
    </row>
    <row r="10" spans="1:140" s="16" customFormat="1" ht="12.75" customHeight="1">
      <c r="A10" s="36"/>
      <c r="B10" s="36"/>
      <c r="C10" s="36"/>
      <c r="D10" s="427" t="s">
        <v>1227</v>
      </c>
      <c r="E10" s="1400">
        <v>2.5</v>
      </c>
      <c r="F10" s="513" t="s">
        <v>1</v>
      </c>
      <c r="G10" s="389"/>
      <c r="H10" s="402"/>
      <c r="I10" s="899">
        <v>32</v>
      </c>
      <c r="J10" s="900">
        <v>42.5</v>
      </c>
      <c r="K10" s="901">
        <f t="shared" si="0"/>
        <v>36.1</v>
      </c>
      <c r="L10" s="902">
        <v>3.2</v>
      </c>
      <c r="M10" s="903">
        <f t="shared" si="1"/>
        <v>1.113712065349822</v>
      </c>
      <c r="N10" s="904">
        <f t="shared" si="2"/>
        <v>4.0093634352593597</v>
      </c>
      <c r="O10" s="905">
        <f t="shared" si="19"/>
        <v>1.0880995718664417</v>
      </c>
      <c r="P10" s="906">
        <f t="shared" si="20"/>
        <v>400</v>
      </c>
      <c r="Q10" s="907" t="str">
        <f t="shared" si="3"/>
        <v/>
      </c>
      <c r="R10" s="908">
        <f t="shared" si="4"/>
        <v>37.303019394991331</v>
      </c>
      <c r="S10" s="909">
        <f t="shared" si="5"/>
        <v>10.606488312479765</v>
      </c>
      <c r="T10" s="910" t="str">
        <f t="shared" si="6"/>
        <v/>
      </c>
      <c r="U10" s="911">
        <f t="shared" si="7"/>
        <v>46.628774243739166</v>
      </c>
      <c r="V10" s="912">
        <f t="shared" si="8"/>
        <v>13.258110390599706</v>
      </c>
      <c r="W10" s="389"/>
      <c r="X10" s="513">
        <v>50</v>
      </c>
      <c r="Y10" s="417">
        <v>598</v>
      </c>
      <c r="Z10" s="417">
        <v>170.1</v>
      </c>
      <c r="AA10" s="513" t="s">
        <v>1688</v>
      </c>
      <c r="AB10" s="389"/>
      <c r="AC10" s="388"/>
      <c r="AD10" s="508"/>
      <c r="AE10" s="508"/>
      <c r="AF10" s="398">
        <f t="shared" si="9"/>
        <v>1.0880995718664417</v>
      </c>
      <c r="AG10" s="398">
        <f t="shared" si="10"/>
        <v>1866.9580826545944</v>
      </c>
      <c r="AH10" s="398">
        <f t="shared" si="11"/>
        <v>1.0880995718664417</v>
      </c>
      <c r="AI10" s="388"/>
      <c r="AJ10" s="399" t="str">
        <f t="shared" si="12"/>
        <v/>
      </c>
      <c r="AK10" s="508">
        <v>32</v>
      </c>
      <c r="AL10" s="400">
        <f t="shared" si="13"/>
        <v>1.113712065349822</v>
      </c>
      <c r="AM10" s="388"/>
      <c r="AN10" s="399" t="str">
        <f t="shared" si="14"/>
        <v/>
      </c>
      <c r="AO10" s="508">
        <v>32</v>
      </c>
      <c r="AP10" s="400">
        <f t="shared" si="15"/>
        <v>1.113712065349822</v>
      </c>
      <c r="AQ10" s="388"/>
      <c r="AR10" s="399">
        <f t="shared" si="16"/>
        <v>1.113712065349822</v>
      </c>
      <c r="AS10" s="508">
        <v>32</v>
      </c>
      <c r="AT10" s="400">
        <f t="shared" si="17"/>
        <v>1.113712065349822</v>
      </c>
      <c r="AU10" s="388"/>
      <c r="AV10" s="388"/>
      <c r="AW10" s="388"/>
      <c r="AX10" s="388"/>
      <c r="AY10" s="387"/>
      <c r="AZ10" s="444" t="s">
        <v>1548</v>
      </c>
      <c r="BA10" s="253" t="s">
        <v>702</v>
      </c>
      <c r="BB10" s="1411"/>
      <c r="BC10" s="253">
        <f>IF(BB10&gt;0,4,0)</f>
        <v>0</v>
      </c>
      <c r="BD10" s="251" t="str">
        <f t="shared" si="21"/>
        <v/>
      </c>
      <c r="BE10" s="253" t="str">
        <f t="shared" si="22"/>
        <v/>
      </c>
      <c r="BF10" s="253">
        <f t="shared" si="25"/>
        <v>0</v>
      </c>
      <c r="BG10" s="253">
        <f t="shared" si="23"/>
        <v>120</v>
      </c>
      <c r="BH10" s="880" t="s">
        <v>721</v>
      </c>
      <c r="BI10" s="255" t="s">
        <v>712</v>
      </c>
      <c r="BJ10" s="255" t="s">
        <v>5</v>
      </c>
      <c r="BK10" s="251" t="str">
        <f t="shared" si="24"/>
        <v/>
      </c>
      <c r="BL10" s="251" t="s">
        <v>5</v>
      </c>
      <c r="BM10" s="617" t="str">
        <f t="shared" si="18"/>
        <v>-</v>
      </c>
      <c r="BN10" s="617"/>
      <c r="BO10" s="445"/>
      <c r="BP10" s="36"/>
      <c r="BQ10" s="685" t="s">
        <v>358</v>
      </c>
      <c r="BR10" s="1412"/>
      <c r="BS10" s="674" t="s">
        <v>128</v>
      </c>
      <c r="BT10" s="682"/>
      <c r="BV10" s="1926" t="s">
        <v>1490</v>
      </c>
      <c r="BW10" s="1927"/>
      <c r="BX10" s="1928"/>
      <c r="BZ10" s="1931" t="s">
        <v>1491</v>
      </c>
      <c r="CA10" s="1932"/>
      <c r="CB10" s="1933"/>
      <c r="CD10" s="1918" t="s">
        <v>1499</v>
      </c>
      <c r="CE10" s="1919"/>
      <c r="CF10" s="1920"/>
      <c r="CH10" s="19"/>
      <c r="CO10" s="502" t="s">
        <v>1258</v>
      </c>
      <c r="CP10" s="501" t="s">
        <v>1260</v>
      </c>
      <c r="DQ10" s="19"/>
    </row>
    <row r="11" spans="1:140" s="16" customFormat="1" ht="12.75" customHeight="1">
      <c r="A11" s="36"/>
      <c r="B11" s="36"/>
      <c r="C11" s="36"/>
      <c r="D11" s="427" t="s">
        <v>1228</v>
      </c>
      <c r="E11" s="1401">
        <v>400</v>
      </c>
      <c r="F11" s="513" t="s">
        <v>14</v>
      </c>
      <c r="G11" s="389"/>
      <c r="H11" s="388"/>
      <c r="I11" s="757">
        <v>40</v>
      </c>
      <c r="J11" s="408">
        <v>48.4</v>
      </c>
      <c r="K11" s="409">
        <f t="shared" si="0"/>
        <v>42</v>
      </c>
      <c r="L11" s="410">
        <v>3.2</v>
      </c>
      <c r="M11" s="759">
        <f t="shared" si="1"/>
        <v>1.6583765070951721</v>
      </c>
      <c r="N11" s="418">
        <f t="shared" si="2"/>
        <v>5.9701554255426199</v>
      </c>
      <c r="O11" s="411">
        <f t="shared" si="19"/>
        <v>1.1970014449508763</v>
      </c>
      <c r="P11" s="412">
        <f t="shared" si="20"/>
        <v>400</v>
      </c>
      <c r="Q11" s="419" t="str">
        <f t="shared" si="3"/>
        <v/>
      </c>
      <c r="R11" s="420">
        <f t="shared" si="4"/>
        <v>55.546180142115908</v>
      </c>
      <c r="S11" s="421">
        <f t="shared" si="5"/>
        <v>15.793625289199861</v>
      </c>
      <c r="T11" s="422" t="str">
        <f t="shared" si="6"/>
        <v/>
      </c>
      <c r="U11" s="423">
        <f t="shared" si="7"/>
        <v>69.432725177644883</v>
      </c>
      <c r="V11" s="758">
        <f t="shared" si="8"/>
        <v>19.742031611499826</v>
      </c>
      <c r="W11" s="389"/>
      <c r="X11" s="513">
        <v>65</v>
      </c>
      <c r="Y11" s="417">
        <v>800</v>
      </c>
      <c r="Z11" s="417">
        <v>227.5</v>
      </c>
      <c r="AA11" s="513" t="s">
        <v>1688</v>
      </c>
      <c r="AB11" s="409"/>
      <c r="AC11" s="388"/>
      <c r="AD11" s="403"/>
      <c r="AE11" s="403"/>
      <c r="AF11" s="398">
        <f t="shared" si="9"/>
        <v>1.1970014449508763</v>
      </c>
      <c r="AG11" s="398">
        <f t="shared" si="10"/>
        <v>1564.6368336849289</v>
      </c>
      <c r="AH11" s="398">
        <f t="shared" si="11"/>
        <v>1.1970014449508763</v>
      </c>
      <c r="AI11" s="388"/>
      <c r="AJ11" s="399" t="str">
        <f t="shared" si="12"/>
        <v/>
      </c>
      <c r="AK11" s="508">
        <v>40</v>
      </c>
      <c r="AL11" s="400">
        <f t="shared" si="13"/>
        <v>1.6583765070951721</v>
      </c>
      <c r="AM11" s="388"/>
      <c r="AN11" s="399" t="str">
        <f t="shared" si="14"/>
        <v/>
      </c>
      <c r="AO11" s="508">
        <v>40</v>
      </c>
      <c r="AP11" s="400">
        <f t="shared" si="15"/>
        <v>1.6583765070951721</v>
      </c>
      <c r="AQ11" s="388"/>
      <c r="AR11" s="399">
        <f t="shared" si="16"/>
        <v>1.6583765070951721</v>
      </c>
      <c r="AS11" s="508">
        <v>40</v>
      </c>
      <c r="AT11" s="400">
        <f t="shared" si="17"/>
        <v>1.6583765070951721</v>
      </c>
      <c r="AU11" s="388"/>
      <c r="AV11" s="388" t="str">
        <f t="shared" ref="AV11:AV19" si="26">IF($AX$8&gt;AX11,"",AX11)</f>
        <v/>
      </c>
      <c r="AW11" s="508">
        <v>25</v>
      </c>
      <c r="AX11" s="508">
        <v>17.600000000000001</v>
      </c>
      <c r="AY11" s="387"/>
      <c r="AZ11" s="444" t="s">
        <v>1549</v>
      </c>
      <c r="BA11" s="253" t="s">
        <v>703</v>
      </c>
      <c r="BB11" s="1411"/>
      <c r="BC11" s="253">
        <f>IF(BB11&gt;0,5,0)</f>
        <v>0</v>
      </c>
      <c r="BD11" s="251" t="str">
        <f t="shared" si="21"/>
        <v/>
      </c>
      <c r="BE11" s="253" t="str">
        <f t="shared" si="22"/>
        <v/>
      </c>
      <c r="BF11" s="253">
        <f t="shared" si="25"/>
        <v>0</v>
      </c>
      <c r="BG11" s="253">
        <f t="shared" si="23"/>
        <v>120</v>
      </c>
      <c r="BH11" s="880" t="s">
        <v>721</v>
      </c>
      <c r="BI11" s="255" t="s">
        <v>713</v>
      </c>
      <c r="BJ11" s="255" t="s">
        <v>5</v>
      </c>
      <c r="BK11" s="251" t="str">
        <f t="shared" si="24"/>
        <v/>
      </c>
      <c r="BL11" s="251" t="s">
        <v>5</v>
      </c>
      <c r="BM11" s="617" t="str">
        <f t="shared" si="18"/>
        <v>-</v>
      </c>
      <c r="BN11" s="617"/>
      <c r="BO11" s="445"/>
      <c r="BP11" s="36"/>
      <c r="BQ11" s="681" t="s">
        <v>1496</v>
      </c>
      <c r="BR11" s="683" t="str">
        <f>IF(BR10&gt;0,$EF$39,"-")</f>
        <v>-</v>
      </c>
      <c r="BS11" s="674" t="s">
        <v>458</v>
      </c>
      <c r="BT11" s="682"/>
      <c r="BV11" s="1929" t="s">
        <v>149</v>
      </c>
      <c r="BW11" s="1930"/>
      <c r="BX11" s="675" t="s">
        <v>156</v>
      </c>
      <c r="BZ11" s="1934" t="s">
        <v>149</v>
      </c>
      <c r="CA11" s="1935"/>
      <c r="CB11" s="675" t="s">
        <v>156</v>
      </c>
      <c r="CD11" s="1916" t="s">
        <v>149</v>
      </c>
      <c r="CE11" s="1917"/>
      <c r="CF11" s="675" t="s">
        <v>156</v>
      </c>
      <c r="CH11" s="691" t="s">
        <v>1272</v>
      </c>
      <c r="CO11" s="16" t="str">
        <f>IF(BR7*BR10&gt;0,VLOOKUP(BQ7,CO7:CP10,2,FALSE),"")</f>
        <v/>
      </c>
      <c r="DQ11" s="19"/>
      <c r="EH11" s="558"/>
      <c r="EJ11" s="558"/>
    </row>
    <row r="12" spans="1:140" s="16" customFormat="1" ht="12.75" customHeight="1">
      <c r="A12" s="36"/>
      <c r="B12" s="36"/>
      <c r="C12" s="36"/>
      <c r="D12" s="389"/>
      <c r="E12" s="389"/>
      <c r="F12" s="389"/>
      <c r="G12" s="389"/>
      <c r="H12" s="388"/>
      <c r="I12" s="899">
        <v>50</v>
      </c>
      <c r="J12" s="900">
        <v>60.3</v>
      </c>
      <c r="K12" s="901">
        <f t="shared" si="0"/>
        <v>53.099999999999994</v>
      </c>
      <c r="L12" s="902">
        <v>3.6</v>
      </c>
      <c r="M12" s="903">
        <f t="shared" si="1"/>
        <v>3.0729061145462055</v>
      </c>
      <c r="N12" s="904">
        <f t="shared" si="2"/>
        <v>11.062462012366341</v>
      </c>
      <c r="O12" s="905">
        <f t="shared" si="19"/>
        <v>1.3876194162663309</v>
      </c>
      <c r="P12" s="906">
        <f t="shared" si="20"/>
        <v>400</v>
      </c>
      <c r="Q12" s="907" t="str">
        <f t="shared" si="3"/>
        <v/>
      </c>
      <c r="R12" s="908">
        <f t="shared" si="4"/>
        <v>102.92487614731834</v>
      </c>
      <c r="S12" s="909">
        <f t="shared" si="5"/>
        <v>29.264963362899728</v>
      </c>
      <c r="T12" s="910" t="str">
        <f t="shared" si="6"/>
        <v/>
      </c>
      <c r="U12" s="911">
        <f t="shared" si="7"/>
        <v>128.65609518414794</v>
      </c>
      <c r="V12" s="912">
        <f t="shared" si="8"/>
        <v>36.581204203624665</v>
      </c>
      <c r="W12" s="389"/>
      <c r="X12" s="513">
        <v>80</v>
      </c>
      <c r="Y12" s="417">
        <v>1055</v>
      </c>
      <c r="Z12" s="417">
        <v>300.10000000000002</v>
      </c>
      <c r="AA12" s="513" t="s">
        <v>1688</v>
      </c>
      <c r="AB12" s="409"/>
      <c r="AC12" s="388"/>
      <c r="AD12" s="403"/>
      <c r="AE12" s="403"/>
      <c r="AF12" s="398">
        <f t="shared" si="9"/>
        <v>1.3876194162663309</v>
      </c>
      <c r="AG12" s="398">
        <f t="shared" si="10"/>
        <v>1190.0361813787081</v>
      </c>
      <c r="AH12" s="398">
        <f t="shared" si="11"/>
        <v>1.3876194162663309</v>
      </c>
      <c r="AI12" s="388"/>
      <c r="AJ12" s="399" t="str">
        <f t="shared" si="12"/>
        <v/>
      </c>
      <c r="AK12" s="508">
        <v>50</v>
      </c>
      <c r="AL12" s="400">
        <f t="shared" si="13"/>
        <v>3.0729061145462055</v>
      </c>
      <c r="AM12" s="388"/>
      <c r="AN12" s="399" t="str">
        <f t="shared" si="14"/>
        <v/>
      </c>
      <c r="AO12" s="508">
        <v>50</v>
      </c>
      <c r="AP12" s="400">
        <f t="shared" si="15"/>
        <v>3.0729061145462055</v>
      </c>
      <c r="AQ12" s="388"/>
      <c r="AR12" s="399">
        <f t="shared" si="16"/>
        <v>3.0729061145462055</v>
      </c>
      <c r="AS12" s="508">
        <v>50</v>
      </c>
      <c r="AT12" s="400">
        <f t="shared" si="17"/>
        <v>3.0729061145462055</v>
      </c>
      <c r="AU12" s="388"/>
      <c r="AV12" s="388" t="str">
        <f t="shared" si="26"/>
        <v/>
      </c>
      <c r="AW12" s="508">
        <v>32</v>
      </c>
      <c r="AX12" s="508">
        <v>101</v>
      </c>
      <c r="AY12" s="387"/>
      <c r="AZ12" s="444" t="s">
        <v>1550</v>
      </c>
      <c r="BA12" s="253" t="s">
        <v>704</v>
      </c>
      <c r="BB12" s="1411"/>
      <c r="BC12" s="253">
        <f>IF(BB12&gt;0,6,0)</f>
        <v>0</v>
      </c>
      <c r="BD12" s="251" t="str">
        <f t="shared" si="21"/>
        <v/>
      </c>
      <c r="BE12" s="253" t="str">
        <f t="shared" si="22"/>
        <v/>
      </c>
      <c r="BF12" s="253">
        <f t="shared" si="25"/>
        <v>0</v>
      </c>
      <c r="BG12" s="253">
        <f t="shared" si="23"/>
        <v>120</v>
      </c>
      <c r="BH12" s="880" t="s">
        <v>721</v>
      </c>
      <c r="BI12" s="255" t="s">
        <v>714</v>
      </c>
      <c r="BJ12" s="255" t="s">
        <v>5</v>
      </c>
      <c r="BK12" s="251" t="str">
        <f t="shared" si="24"/>
        <v/>
      </c>
      <c r="BL12" s="251" t="s">
        <v>5</v>
      </c>
      <c r="BM12" s="617" t="str">
        <f t="shared" si="18"/>
        <v>-</v>
      </c>
      <c r="BN12" s="617"/>
      <c r="BO12" s="445"/>
      <c r="BP12" s="36"/>
      <c r="BQ12" s="685"/>
      <c r="BS12" s="33"/>
      <c r="BT12" s="682"/>
      <c r="BV12" s="562" t="str">
        <f t="shared" ref="BV12:BV25" si="27">IF($CH$9=BW12,$CH$11,"")</f>
        <v/>
      </c>
      <c r="BW12" s="566">
        <v>15</v>
      </c>
      <c r="BX12" s="690">
        <f>DN29</f>
        <v>0</v>
      </c>
      <c r="BZ12" s="562" t="str">
        <f t="shared" ref="BZ12:BZ20" si="28">IF($BR$24=CA12,$CH$11,"")</f>
        <v/>
      </c>
      <c r="CA12" s="567">
        <v>15</v>
      </c>
      <c r="CB12" s="690">
        <v>160</v>
      </c>
      <c r="CD12" s="562" t="str">
        <f t="shared" ref="CD12:CD23" si="29">IF($BR$25=CE12,$CH$11,"")</f>
        <v/>
      </c>
      <c r="CE12" s="564">
        <v>159</v>
      </c>
      <c r="CF12" s="690">
        <f>SUM(CJ106:CJ122)*1000</f>
        <v>0</v>
      </c>
      <c r="EH12" s="558"/>
      <c r="EJ12" s="558"/>
    </row>
    <row r="13" spans="1:140" ht="12.75" customHeight="1">
      <c r="D13" s="1847" t="s">
        <v>1099</v>
      </c>
      <c r="E13" s="1848"/>
      <c r="F13" s="1848"/>
      <c r="G13" s="1849"/>
      <c r="H13" s="388"/>
      <c r="I13" s="757">
        <v>65</v>
      </c>
      <c r="J13" s="408">
        <v>76</v>
      </c>
      <c r="K13" s="409">
        <f t="shared" si="0"/>
        <v>68.8</v>
      </c>
      <c r="L13" s="410">
        <v>3.6</v>
      </c>
      <c r="M13" s="759">
        <f t="shared" si="1"/>
        <v>6.0732739539176066</v>
      </c>
      <c r="N13" s="418">
        <f t="shared" si="2"/>
        <v>21.863786234103383</v>
      </c>
      <c r="O13" s="411">
        <f t="shared" si="19"/>
        <v>1.6336390794301767</v>
      </c>
      <c r="P13" s="412">
        <f t="shared" si="20"/>
        <v>400</v>
      </c>
      <c r="Q13" s="419" t="str">
        <f t="shared" si="3"/>
        <v/>
      </c>
      <c r="R13" s="420">
        <f t="shared" si="4"/>
        <v>203.42013267398994</v>
      </c>
      <c r="S13" s="421">
        <f t="shared" si="5"/>
        <v>57.839105110602773</v>
      </c>
      <c r="T13" s="422" t="str">
        <f t="shared" si="6"/>
        <v/>
      </c>
      <c r="U13" s="423">
        <f t="shared" si="7"/>
        <v>254.27516584248741</v>
      </c>
      <c r="V13" s="758">
        <f t="shared" si="8"/>
        <v>72.298881388253463</v>
      </c>
      <c r="W13" s="389"/>
      <c r="X13" s="513">
        <v>100</v>
      </c>
      <c r="Y13" s="417">
        <v>1512</v>
      </c>
      <c r="Z13" s="417">
        <v>430</v>
      </c>
      <c r="AA13" s="513" t="s">
        <v>1688</v>
      </c>
      <c r="AB13" s="409"/>
      <c r="AC13" s="388"/>
      <c r="AD13" s="403"/>
      <c r="AE13" s="403"/>
      <c r="AF13" s="398">
        <f t="shared" si="9"/>
        <v>1.6336390794301767</v>
      </c>
      <c r="AG13" s="398">
        <f t="shared" si="10"/>
        <v>879.58894913021436</v>
      </c>
      <c r="AH13" s="398">
        <f t="shared" si="11"/>
        <v>1.6336390794301767</v>
      </c>
      <c r="AI13" s="388"/>
      <c r="AJ13" s="399" t="str">
        <f t="shared" si="12"/>
        <v/>
      </c>
      <c r="AK13" s="508">
        <v>65</v>
      </c>
      <c r="AL13" s="400">
        <f t="shared" si="13"/>
        <v>6.0732739539176066</v>
      </c>
      <c r="AM13" s="388"/>
      <c r="AN13" s="399" t="str">
        <f t="shared" si="14"/>
        <v/>
      </c>
      <c r="AO13" s="508">
        <v>65</v>
      </c>
      <c r="AP13" s="400">
        <f t="shared" si="15"/>
        <v>6.0732739539176066</v>
      </c>
      <c r="AQ13" s="388"/>
      <c r="AR13" s="399">
        <f t="shared" si="16"/>
        <v>6.0732739539176066</v>
      </c>
      <c r="AS13" s="508">
        <v>65</v>
      </c>
      <c r="AT13" s="400">
        <f t="shared" si="17"/>
        <v>6.0732739539176066</v>
      </c>
      <c r="AU13" s="388"/>
      <c r="AV13" s="388" t="str">
        <f t="shared" si="26"/>
        <v/>
      </c>
      <c r="AW13" s="508">
        <v>40</v>
      </c>
      <c r="AX13" s="508">
        <v>176</v>
      </c>
      <c r="AY13" s="387"/>
      <c r="AZ13" s="444" t="s">
        <v>1551</v>
      </c>
      <c r="BA13" s="253" t="s">
        <v>705</v>
      </c>
      <c r="BB13" s="1411"/>
      <c r="BC13" s="253">
        <f>IF(BB13&gt;0,7,0)</f>
        <v>0</v>
      </c>
      <c r="BD13" s="251" t="str">
        <f t="shared" si="21"/>
        <v/>
      </c>
      <c r="BE13" s="253" t="str">
        <f t="shared" si="22"/>
        <v/>
      </c>
      <c r="BF13" s="253">
        <f t="shared" si="25"/>
        <v>0</v>
      </c>
      <c r="BG13" s="253">
        <f t="shared" si="23"/>
        <v>120</v>
      </c>
      <c r="BH13" s="880" t="s">
        <v>721</v>
      </c>
      <c r="BI13" s="255" t="s">
        <v>715</v>
      </c>
      <c r="BJ13" s="255" t="s">
        <v>5</v>
      </c>
      <c r="BK13" s="251" t="str">
        <f t="shared" si="24"/>
        <v/>
      </c>
      <c r="BL13" s="251" t="s">
        <v>5</v>
      </c>
      <c r="BM13" s="617" t="str">
        <f t="shared" si="18"/>
        <v>-</v>
      </c>
      <c r="BN13" s="617"/>
      <c r="BO13" s="445"/>
      <c r="BQ13" s="681" t="str">
        <f>IF(BR5=EB43,"Steam Temp.","---")</f>
        <v>---</v>
      </c>
      <c r="BR13" s="173" t="str">
        <f>IF(BR5=EB43,VLOOKUP(BR10,EC43:ED54,2,FALSE),"---")</f>
        <v>---</v>
      </c>
      <c r="BS13" s="674" t="s">
        <v>459</v>
      </c>
      <c r="BT13" s="682"/>
      <c r="BU13" s="16"/>
      <c r="BV13" s="562" t="str">
        <f t="shared" si="27"/>
        <v/>
      </c>
      <c r="BW13" s="566">
        <v>20</v>
      </c>
      <c r="BX13" s="690">
        <f>DO29</f>
        <v>0</v>
      </c>
      <c r="BY13" s="16"/>
      <c r="BZ13" s="562" t="str">
        <f t="shared" si="28"/>
        <v/>
      </c>
      <c r="CA13" s="567">
        <v>20</v>
      </c>
      <c r="CB13" s="690">
        <v>370</v>
      </c>
      <c r="CC13" s="16"/>
      <c r="CD13" s="562" t="str">
        <f t="shared" si="29"/>
        <v/>
      </c>
      <c r="CE13" s="564">
        <v>219</v>
      </c>
      <c r="CF13" s="690">
        <f>SUM(CL106:CL122)*1000</f>
        <v>0</v>
      </c>
      <c r="CG13" s="16"/>
      <c r="CL13" s="8" t="s">
        <v>6</v>
      </c>
      <c r="DG13" s="35"/>
      <c r="DH13" s="35"/>
      <c r="DI13" s="35"/>
      <c r="DJ13" s="35"/>
      <c r="DK13" s="35"/>
      <c r="DL13" s="35"/>
      <c r="DM13" s="35"/>
      <c r="EB13" s="16"/>
      <c r="EC13" s="16"/>
      <c r="ED13" s="16"/>
      <c r="EE13" s="16"/>
      <c r="EF13" s="19">
        <f>MIN(EF14:EF22)</f>
        <v>15</v>
      </c>
      <c r="EH13" s="558"/>
      <c r="EJ13" s="558"/>
    </row>
    <row r="14" spans="1:140" ht="12.75" customHeight="1">
      <c r="D14" s="343"/>
      <c r="E14" s="355" t="s">
        <v>1092</v>
      </c>
      <c r="F14" s="355" t="s">
        <v>1093</v>
      </c>
      <c r="G14" s="343" t="s">
        <v>368</v>
      </c>
      <c r="H14" s="388"/>
      <c r="I14" s="899">
        <v>80</v>
      </c>
      <c r="J14" s="900">
        <v>88.8</v>
      </c>
      <c r="K14" s="901">
        <f t="shared" si="0"/>
        <v>80.8</v>
      </c>
      <c r="L14" s="902">
        <v>4</v>
      </c>
      <c r="M14" s="903">
        <f t="shared" si="1"/>
        <v>9.2697112547021625</v>
      </c>
      <c r="N14" s="904">
        <f t="shared" si="2"/>
        <v>33.370960516927788</v>
      </c>
      <c r="O14" s="905">
        <f t="shared" si="19"/>
        <v>1.8078134094946872</v>
      </c>
      <c r="P14" s="906">
        <f t="shared" si="20"/>
        <v>400</v>
      </c>
      <c r="Q14" s="907" t="str">
        <f t="shared" si="3"/>
        <v/>
      </c>
      <c r="R14" s="908">
        <f t="shared" si="4"/>
        <v>310.48260091490573</v>
      </c>
      <c r="S14" s="909">
        <f t="shared" si="5"/>
        <v>88.280523433297049</v>
      </c>
      <c r="T14" s="910" t="str">
        <f t="shared" si="6"/>
        <v/>
      </c>
      <c r="U14" s="911">
        <f t="shared" si="7"/>
        <v>388.10325114363218</v>
      </c>
      <c r="V14" s="912">
        <f t="shared" si="8"/>
        <v>110.35065429162132</v>
      </c>
      <c r="W14" s="389"/>
      <c r="X14" s="513">
        <v>125</v>
      </c>
      <c r="Y14" s="417">
        <v>2462</v>
      </c>
      <c r="Z14" s="417">
        <v>700.2</v>
      </c>
      <c r="AA14" s="513" t="s">
        <v>1687</v>
      </c>
      <c r="AB14" s="409"/>
      <c r="AC14" s="388"/>
      <c r="AD14" s="403"/>
      <c r="AE14" s="403"/>
      <c r="AF14" s="398">
        <f t="shared" si="9"/>
        <v>1.8078134094946872</v>
      </c>
      <c r="AG14" s="398">
        <f t="shared" si="10"/>
        <v>729.11563925054213</v>
      </c>
      <c r="AH14" s="398">
        <f t="shared" si="11"/>
        <v>1.8078134094946872</v>
      </c>
      <c r="AI14" s="388"/>
      <c r="AJ14" s="399" t="str">
        <f t="shared" si="12"/>
        <v/>
      </c>
      <c r="AK14" s="508">
        <v>80</v>
      </c>
      <c r="AL14" s="400">
        <f t="shared" si="13"/>
        <v>9.2697112547021625</v>
      </c>
      <c r="AM14" s="388"/>
      <c r="AN14" s="399" t="str">
        <f t="shared" si="14"/>
        <v/>
      </c>
      <c r="AO14" s="508">
        <v>80</v>
      </c>
      <c r="AP14" s="400">
        <f t="shared" si="15"/>
        <v>9.2697112547021625</v>
      </c>
      <c r="AQ14" s="388"/>
      <c r="AR14" s="399">
        <f t="shared" si="16"/>
        <v>9.2697112547021625</v>
      </c>
      <c r="AS14" s="508">
        <v>80</v>
      </c>
      <c r="AT14" s="400">
        <f t="shared" si="17"/>
        <v>9.2697112547021625</v>
      </c>
      <c r="AU14" s="388"/>
      <c r="AV14" s="388" t="str">
        <f t="shared" si="26"/>
        <v/>
      </c>
      <c r="AW14" s="508">
        <v>50</v>
      </c>
      <c r="AX14" s="508">
        <v>598</v>
      </c>
      <c r="AY14" s="387"/>
      <c r="AZ14" s="444" t="s">
        <v>1552</v>
      </c>
      <c r="BA14" s="253" t="s">
        <v>706</v>
      </c>
      <c r="BB14" s="1411"/>
      <c r="BC14" s="253">
        <f>IF(BB14&gt;0,8,0)</f>
        <v>0</v>
      </c>
      <c r="BD14" s="251" t="str">
        <f t="shared" si="21"/>
        <v/>
      </c>
      <c r="BE14" s="253" t="str">
        <f t="shared" si="22"/>
        <v/>
      </c>
      <c r="BF14" s="253">
        <f t="shared" si="25"/>
        <v>0</v>
      </c>
      <c r="BG14" s="253">
        <f t="shared" si="23"/>
        <v>120</v>
      </c>
      <c r="BH14" s="880" t="s">
        <v>721</v>
      </c>
      <c r="BI14" s="255" t="s">
        <v>716</v>
      </c>
      <c r="BJ14" s="255" t="s">
        <v>5</v>
      </c>
      <c r="BK14" s="251" t="str">
        <f t="shared" si="24"/>
        <v/>
      </c>
      <c r="BL14" s="251" t="s">
        <v>5</v>
      </c>
      <c r="BM14" s="617" t="str">
        <f t="shared" si="18"/>
        <v>-</v>
      </c>
      <c r="BN14" s="617"/>
      <c r="BO14" s="445"/>
      <c r="BQ14" s="681" t="str">
        <f>IF(BR5=EB42,"Water supply temp.","---")</f>
        <v>---</v>
      </c>
      <c r="BR14" s="680"/>
      <c r="BS14" s="674" t="s">
        <v>459</v>
      </c>
      <c r="BT14" s="682"/>
      <c r="BU14" s="16"/>
      <c r="BV14" s="562" t="str">
        <f t="shared" si="27"/>
        <v/>
      </c>
      <c r="BW14" s="566">
        <v>25</v>
      </c>
      <c r="BX14" s="690">
        <f>DP29</f>
        <v>0</v>
      </c>
      <c r="BZ14" s="562" t="str">
        <f t="shared" si="28"/>
        <v/>
      </c>
      <c r="CA14" s="567">
        <v>25</v>
      </c>
      <c r="CB14" s="690">
        <v>690</v>
      </c>
      <c r="CC14" s="16"/>
      <c r="CD14" s="562" t="str">
        <f t="shared" si="29"/>
        <v/>
      </c>
      <c r="CE14" s="564">
        <v>273</v>
      </c>
      <c r="CF14" s="690">
        <f>SUM(CN106:CN122)*1000</f>
        <v>0</v>
      </c>
      <c r="CG14" s="16"/>
      <c r="CH14" s="1900" t="s">
        <v>128</v>
      </c>
      <c r="CI14" s="1900" t="s">
        <v>1</v>
      </c>
      <c r="CL14" s="8" t="s">
        <v>156</v>
      </c>
      <c r="DG14" s="6"/>
      <c r="DH14" s="6"/>
      <c r="DI14" s="6"/>
      <c r="DJ14" s="6"/>
      <c r="DK14" s="6"/>
      <c r="DL14" s="6"/>
      <c r="DM14" s="6"/>
      <c r="EC14" s="8">
        <v>15</v>
      </c>
      <c r="ED14" s="8"/>
      <c r="EE14" s="8">
        <v>160</v>
      </c>
      <c r="EF14" s="2">
        <f t="shared" ref="EF14:EF22" si="30">IF($CH$8&gt;EE14,"",EC14)</f>
        <v>15</v>
      </c>
    </row>
    <row r="15" spans="1:140" ht="12.75" customHeight="1">
      <c r="D15" s="430" t="s">
        <v>1229</v>
      </c>
      <c r="E15" s="1397">
        <v>10</v>
      </c>
      <c r="F15" s="1397">
        <v>18</v>
      </c>
      <c r="G15" s="431">
        <f>F15-E15</f>
        <v>8</v>
      </c>
      <c r="H15" s="388"/>
      <c r="I15" s="757">
        <v>100</v>
      </c>
      <c r="J15" s="408">
        <v>114.1</v>
      </c>
      <c r="K15" s="409">
        <f t="shared" si="0"/>
        <v>105.1</v>
      </c>
      <c r="L15" s="410">
        <v>4.5</v>
      </c>
      <c r="M15" s="759">
        <f t="shared" si="1"/>
        <v>18.509908363392793</v>
      </c>
      <c r="N15" s="418">
        <f t="shared" si="2"/>
        <v>66.635670108214057</v>
      </c>
      <c r="O15" s="411">
        <f t="shared" si="19"/>
        <v>2.1335801160505756</v>
      </c>
      <c r="P15" s="412">
        <f t="shared" si="20"/>
        <v>400</v>
      </c>
      <c r="Q15" s="419" t="str">
        <f t="shared" si="3"/>
        <v/>
      </c>
      <c r="R15" s="420">
        <f t="shared" si="4"/>
        <v>619.97664581488755</v>
      </c>
      <c r="S15" s="421">
        <f t="shared" si="5"/>
        <v>176.27996753337717</v>
      </c>
      <c r="T15" s="422" t="str">
        <f t="shared" si="6"/>
        <v/>
      </c>
      <c r="U15" s="423">
        <f t="shared" si="7"/>
        <v>774.97080726860941</v>
      </c>
      <c r="V15" s="758">
        <f t="shared" si="8"/>
        <v>220.34995941672148</v>
      </c>
      <c r="W15" s="389"/>
      <c r="X15" s="513">
        <v>150</v>
      </c>
      <c r="Y15" s="417">
        <v>3500</v>
      </c>
      <c r="Z15" s="417">
        <v>995.4</v>
      </c>
      <c r="AA15" s="513" t="s">
        <v>1687</v>
      </c>
      <c r="AB15" s="409"/>
      <c r="AC15" s="388"/>
      <c r="AD15" s="403"/>
      <c r="AE15" s="403"/>
      <c r="AF15" s="398">
        <f t="shared" si="9"/>
        <v>2.1335801160505756</v>
      </c>
      <c r="AG15" s="398">
        <f t="shared" si="10"/>
        <v>536.45722927920713</v>
      </c>
      <c r="AH15" s="398">
        <f t="shared" si="11"/>
        <v>2.1335801160505756</v>
      </c>
      <c r="AI15" s="388"/>
      <c r="AJ15" s="399" t="str">
        <f t="shared" si="12"/>
        <v/>
      </c>
      <c r="AK15" s="508">
        <v>100</v>
      </c>
      <c r="AL15" s="400">
        <f t="shared" si="13"/>
        <v>18.509908363392793</v>
      </c>
      <c r="AM15" s="388"/>
      <c r="AN15" s="399" t="str">
        <f t="shared" si="14"/>
        <v/>
      </c>
      <c r="AO15" s="508">
        <v>100</v>
      </c>
      <c r="AP15" s="400">
        <f t="shared" si="15"/>
        <v>18.509908363392793</v>
      </c>
      <c r="AQ15" s="388"/>
      <c r="AR15" s="399">
        <f t="shared" si="16"/>
        <v>18.509908363392793</v>
      </c>
      <c r="AS15" s="508">
        <v>100</v>
      </c>
      <c r="AT15" s="400">
        <f t="shared" si="17"/>
        <v>18.509908363392793</v>
      </c>
      <c r="AU15" s="388"/>
      <c r="AV15" s="388" t="str">
        <f t="shared" si="26"/>
        <v/>
      </c>
      <c r="AW15" s="508">
        <v>65</v>
      </c>
      <c r="AX15" s="508">
        <v>800</v>
      </c>
      <c r="AY15" s="387"/>
      <c r="AZ15" s="444" t="s">
        <v>1553</v>
      </c>
      <c r="BA15" s="253" t="s">
        <v>707</v>
      </c>
      <c r="BB15" s="1411"/>
      <c r="BC15" s="253">
        <f>IF(BB15&gt;0,9,0)</f>
        <v>0</v>
      </c>
      <c r="BD15" s="251" t="str">
        <f t="shared" si="21"/>
        <v/>
      </c>
      <c r="BE15" s="253" t="str">
        <f t="shared" si="22"/>
        <v/>
      </c>
      <c r="BF15" s="253">
        <f t="shared" si="25"/>
        <v>0</v>
      </c>
      <c r="BG15" s="253">
        <f t="shared" si="23"/>
        <v>120</v>
      </c>
      <c r="BH15" s="880" t="s">
        <v>721</v>
      </c>
      <c r="BI15" s="255" t="s">
        <v>717</v>
      </c>
      <c r="BJ15" s="255" t="s">
        <v>5</v>
      </c>
      <c r="BK15" s="251" t="str">
        <f t="shared" si="24"/>
        <v/>
      </c>
      <c r="BL15" s="251" t="s">
        <v>5</v>
      </c>
      <c r="BM15" s="617" t="str">
        <f t="shared" si="18"/>
        <v>-</v>
      </c>
      <c r="BN15" s="617"/>
      <c r="BO15" s="445"/>
      <c r="BQ15" s="681" t="s">
        <v>1497</v>
      </c>
      <c r="BR15" s="683" t="str">
        <f>IF(COUNTA(BR10)&gt;0,EF60,"-")</f>
        <v>-</v>
      </c>
      <c r="BS15" s="674" t="s">
        <v>458</v>
      </c>
      <c r="BT15" s="682"/>
      <c r="BU15" s="16"/>
      <c r="BV15" s="562" t="str">
        <f t="shared" si="27"/>
        <v/>
      </c>
      <c r="BW15" s="566">
        <v>32</v>
      </c>
      <c r="BX15" s="690">
        <f>DQ29</f>
        <v>0</v>
      </c>
      <c r="BZ15" s="562" t="str">
        <f t="shared" si="28"/>
        <v/>
      </c>
      <c r="CA15" s="567">
        <v>32</v>
      </c>
      <c r="CB15" s="690">
        <v>1600</v>
      </c>
      <c r="CC15" s="16"/>
      <c r="CD15" s="562" t="str">
        <f t="shared" si="29"/>
        <v/>
      </c>
      <c r="CE15" s="564">
        <v>325</v>
      </c>
      <c r="CF15" s="690">
        <f>SUM(CP106:CP122)*1000</f>
        <v>0</v>
      </c>
      <c r="CG15" s="16"/>
      <c r="CH15" s="1900"/>
      <c r="CI15" s="1900"/>
      <c r="DG15" s="35"/>
      <c r="DH15" s="35"/>
      <c r="DI15" s="35"/>
      <c r="DJ15" s="35"/>
      <c r="DK15" s="35"/>
      <c r="DL15" s="35"/>
      <c r="DM15" s="35"/>
      <c r="EC15" s="8">
        <v>20</v>
      </c>
      <c r="ED15" s="8"/>
      <c r="EE15" s="8">
        <v>370</v>
      </c>
      <c r="EF15" s="2">
        <f t="shared" si="30"/>
        <v>20</v>
      </c>
    </row>
    <row r="16" spans="1:140" s="6" customFormat="1" ht="12.75" customHeight="1">
      <c r="A16" s="37"/>
      <c r="B16" s="37"/>
      <c r="C16" s="37"/>
      <c r="D16" s="432" t="s">
        <v>1230</v>
      </c>
      <c r="E16" s="1397">
        <v>60</v>
      </c>
      <c r="F16" s="1397">
        <v>50</v>
      </c>
      <c r="G16" s="433">
        <f>E16-F16</f>
        <v>10</v>
      </c>
      <c r="H16" s="388"/>
      <c r="I16" s="899">
        <v>125</v>
      </c>
      <c r="J16" s="900">
        <v>139.65</v>
      </c>
      <c r="K16" s="901">
        <f t="shared" si="0"/>
        <v>129.65</v>
      </c>
      <c r="L16" s="902">
        <v>5</v>
      </c>
      <c r="M16" s="903">
        <f t="shared" si="1"/>
        <v>32.150865656405749</v>
      </c>
      <c r="N16" s="904">
        <f t="shared" si="2"/>
        <v>115.74311636306069</v>
      </c>
      <c r="O16" s="905">
        <f t="shared" si="19"/>
        <v>2.4353295986273782</v>
      </c>
      <c r="P16" s="906">
        <f t="shared" si="20"/>
        <v>400</v>
      </c>
      <c r="Q16" s="907" t="str">
        <f t="shared" si="3"/>
        <v/>
      </c>
      <c r="R16" s="908">
        <f t="shared" si="4"/>
        <v>1076.8711253657389</v>
      </c>
      <c r="S16" s="909">
        <f t="shared" si="5"/>
        <v>306.19025458224024</v>
      </c>
      <c r="T16" s="910" t="str">
        <f t="shared" si="6"/>
        <v/>
      </c>
      <c r="U16" s="911">
        <f t="shared" si="7"/>
        <v>1346.0889067071735</v>
      </c>
      <c r="V16" s="912">
        <f t="shared" si="8"/>
        <v>382.73781822780023</v>
      </c>
      <c r="W16" s="389"/>
      <c r="X16" s="896" t="s">
        <v>246</v>
      </c>
      <c r="Y16" s="389"/>
      <c r="Z16" s="389"/>
      <c r="AA16" s="389"/>
      <c r="AB16" s="389"/>
      <c r="AC16" s="388"/>
      <c r="AD16" s="403"/>
      <c r="AE16" s="403"/>
      <c r="AF16" s="398">
        <f t="shared" si="9"/>
        <v>2.4353295986273782</v>
      </c>
      <c r="AG16" s="398">
        <f t="shared" si="10"/>
        <v>419.89426179175757</v>
      </c>
      <c r="AH16" s="398">
        <f t="shared" si="11"/>
        <v>2.4353295986273782</v>
      </c>
      <c r="AI16" s="388"/>
      <c r="AJ16" s="399" t="str">
        <f t="shared" si="12"/>
        <v/>
      </c>
      <c r="AK16" s="508">
        <v>125</v>
      </c>
      <c r="AL16" s="400">
        <f t="shared" si="13"/>
        <v>32.150865656405749</v>
      </c>
      <c r="AM16" s="388"/>
      <c r="AN16" s="399" t="str">
        <f t="shared" si="14"/>
        <v/>
      </c>
      <c r="AO16" s="508">
        <v>125</v>
      </c>
      <c r="AP16" s="400">
        <f t="shared" si="15"/>
        <v>32.150865656405749</v>
      </c>
      <c r="AQ16" s="388"/>
      <c r="AR16" s="399">
        <f>IF($AG$48&gt;AT16,"",AT16)</f>
        <v>32.150865656405749</v>
      </c>
      <c r="AS16" s="508">
        <v>125</v>
      </c>
      <c r="AT16" s="400">
        <f t="shared" si="17"/>
        <v>32.150865656405749</v>
      </c>
      <c r="AU16" s="388"/>
      <c r="AV16" s="388" t="str">
        <f t="shared" si="26"/>
        <v/>
      </c>
      <c r="AW16" s="508">
        <v>80</v>
      </c>
      <c r="AX16" s="508">
        <v>1055</v>
      </c>
      <c r="AY16" s="387"/>
      <c r="AZ16" s="444" t="s">
        <v>1554</v>
      </c>
      <c r="BA16" s="253" t="s">
        <v>708</v>
      </c>
      <c r="BB16" s="1411"/>
      <c r="BC16" s="253">
        <f>IF(BB16&gt;0,10,0)</f>
        <v>0</v>
      </c>
      <c r="BD16" s="251" t="str">
        <f t="shared" si="21"/>
        <v/>
      </c>
      <c r="BE16" s="253" t="str">
        <f t="shared" si="22"/>
        <v/>
      </c>
      <c r="BF16" s="253">
        <f t="shared" si="25"/>
        <v>0</v>
      </c>
      <c r="BG16" s="253">
        <f t="shared" si="23"/>
        <v>120</v>
      </c>
      <c r="BH16" s="880" t="s">
        <v>721</v>
      </c>
      <c r="BI16" s="255" t="s">
        <v>718</v>
      </c>
      <c r="BJ16" s="255" t="s">
        <v>5</v>
      </c>
      <c r="BK16" s="251" t="str">
        <f t="shared" si="24"/>
        <v/>
      </c>
      <c r="BL16" s="251" t="s">
        <v>5</v>
      </c>
      <c r="BM16" s="617" t="str">
        <f t="shared" si="18"/>
        <v>-</v>
      </c>
      <c r="BN16" s="617"/>
      <c r="BO16" s="445"/>
      <c r="BP16" s="37"/>
      <c r="BQ16" s="686"/>
      <c r="BR16" s="2"/>
      <c r="BS16" s="11"/>
      <c r="BT16" s="682"/>
      <c r="BU16" s="16"/>
      <c r="BV16" s="562" t="str">
        <f t="shared" si="27"/>
        <v/>
      </c>
      <c r="BW16" s="566">
        <v>40</v>
      </c>
      <c r="BX16" s="690">
        <f>DR29</f>
        <v>0</v>
      </c>
      <c r="BZ16" s="562" t="str">
        <f t="shared" si="28"/>
        <v/>
      </c>
      <c r="CA16" s="567">
        <v>40</v>
      </c>
      <c r="CB16" s="690">
        <v>2290</v>
      </c>
      <c r="CC16" s="16"/>
      <c r="CD16" s="562" t="str">
        <f t="shared" si="29"/>
        <v/>
      </c>
      <c r="CE16" s="564">
        <v>377</v>
      </c>
      <c r="CF16" s="690">
        <f>SUM(CR106:CR122)*1000</f>
        <v>0</v>
      </c>
      <c r="CG16" s="16"/>
      <c r="CH16" s="1900"/>
      <c r="CI16" s="1900"/>
      <c r="DG16" s="37"/>
      <c r="DH16" s="37"/>
      <c r="DI16" s="37"/>
      <c r="DJ16" s="37"/>
      <c r="DK16" s="37"/>
      <c r="DL16" s="37"/>
      <c r="DM16" s="37"/>
      <c r="EC16" s="8">
        <v>25</v>
      </c>
      <c r="ED16" s="8"/>
      <c r="EE16" s="8">
        <v>690</v>
      </c>
      <c r="EF16" s="2">
        <f t="shared" si="30"/>
        <v>25</v>
      </c>
    </row>
    <row r="17" spans="4:136" ht="12.75" customHeight="1">
      <c r="D17" s="389"/>
      <c r="E17" s="389"/>
      <c r="F17" s="389"/>
      <c r="G17" s="389"/>
      <c r="H17" s="388"/>
      <c r="I17" s="757">
        <v>150</v>
      </c>
      <c r="J17" s="408">
        <v>165.1</v>
      </c>
      <c r="K17" s="409">
        <f t="shared" si="0"/>
        <v>155.1</v>
      </c>
      <c r="L17" s="410">
        <v>5</v>
      </c>
      <c r="M17" s="759">
        <f t="shared" si="1"/>
        <v>47.233865181676606</v>
      </c>
      <c r="N17" s="418">
        <f t="shared" si="2"/>
        <v>170.04191465403579</v>
      </c>
      <c r="O17" s="411">
        <f t="shared" si="19"/>
        <v>2.4999999999999991</v>
      </c>
      <c r="P17" s="412">
        <f t="shared" si="20"/>
        <v>341</v>
      </c>
      <c r="Q17" s="419" t="str">
        <f t="shared" si="3"/>
        <v/>
      </c>
      <c r="R17" s="420">
        <f t="shared" si="4"/>
        <v>1582.0658173610129</v>
      </c>
      <c r="S17" s="421">
        <f t="shared" si="5"/>
        <v>449.83389745834887</v>
      </c>
      <c r="T17" s="422" t="str">
        <f t="shared" si="6"/>
        <v/>
      </c>
      <c r="U17" s="423">
        <f t="shared" si="7"/>
        <v>1977.5822717012661</v>
      </c>
      <c r="V17" s="758">
        <f t="shared" si="8"/>
        <v>562.29237182293605</v>
      </c>
      <c r="W17" s="389"/>
      <c r="X17" s="1851" t="s">
        <v>1701</v>
      </c>
      <c r="Y17" s="1851"/>
      <c r="Z17" s="1851"/>
      <c r="AA17" s="1851"/>
      <c r="AB17" s="1851"/>
      <c r="AC17" s="388"/>
      <c r="AD17" s="403"/>
      <c r="AE17" s="403"/>
      <c r="AF17" s="398">
        <f t="shared" si="9"/>
        <v>2.726506758963859</v>
      </c>
      <c r="AG17" s="398">
        <f t="shared" si="10"/>
        <v>340.64459607547985</v>
      </c>
      <c r="AH17" s="398">
        <f t="shared" si="11"/>
        <v>2.4999999999999991</v>
      </c>
      <c r="AI17" s="388"/>
      <c r="AJ17" s="399" t="str">
        <f t="shared" si="12"/>
        <v/>
      </c>
      <c r="AK17" s="508">
        <v>150</v>
      </c>
      <c r="AL17" s="400">
        <f t="shared" si="13"/>
        <v>47.233865181676606</v>
      </c>
      <c r="AM17" s="388"/>
      <c r="AN17" s="399" t="str">
        <f t="shared" si="14"/>
        <v/>
      </c>
      <c r="AO17" s="508">
        <v>150</v>
      </c>
      <c r="AP17" s="400">
        <f t="shared" si="15"/>
        <v>47.233865181676606</v>
      </c>
      <c r="AQ17" s="388"/>
      <c r="AR17" s="399">
        <f t="shared" si="16"/>
        <v>47.233865181676606</v>
      </c>
      <c r="AS17" s="508">
        <v>150</v>
      </c>
      <c r="AT17" s="400">
        <f t="shared" si="17"/>
        <v>47.233865181676606</v>
      </c>
      <c r="AU17" s="388"/>
      <c r="AV17" s="388" t="str">
        <f t="shared" si="26"/>
        <v/>
      </c>
      <c r="AW17" s="508">
        <v>100</v>
      </c>
      <c r="AX17" s="508">
        <v>1512</v>
      </c>
      <c r="AY17" s="387"/>
      <c r="AZ17" s="444" t="s">
        <v>1555</v>
      </c>
      <c r="BA17" s="253" t="s">
        <v>709</v>
      </c>
      <c r="BB17" s="1411"/>
      <c r="BC17" s="253">
        <f>IF(BB17&gt;0,11,0)</f>
        <v>0</v>
      </c>
      <c r="BD17" s="251" t="str">
        <f t="shared" si="21"/>
        <v/>
      </c>
      <c r="BE17" s="253" t="str">
        <f t="shared" si="22"/>
        <v/>
      </c>
      <c r="BF17" s="253">
        <f t="shared" si="25"/>
        <v>0</v>
      </c>
      <c r="BG17" s="253">
        <f t="shared" si="23"/>
        <v>120</v>
      </c>
      <c r="BH17" s="880" t="s">
        <v>721</v>
      </c>
      <c r="BI17" s="255" t="s">
        <v>719</v>
      </c>
      <c r="BJ17" s="255" t="s">
        <v>5</v>
      </c>
      <c r="BK17" s="251" t="str">
        <f t="shared" si="24"/>
        <v/>
      </c>
      <c r="BL17" s="251" t="s">
        <v>5</v>
      </c>
      <c r="BM17" s="617" t="str">
        <f t="shared" si="18"/>
        <v>-</v>
      </c>
      <c r="BN17" s="617"/>
      <c r="BO17" s="445"/>
      <c r="BQ17" s="681" t="s">
        <v>1492</v>
      </c>
      <c r="BR17" s="1412"/>
      <c r="BS17" s="674" t="s">
        <v>1</v>
      </c>
      <c r="BT17" s="682"/>
      <c r="BU17" s="16"/>
      <c r="BV17" s="562" t="str">
        <f t="shared" si="27"/>
        <v/>
      </c>
      <c r="BW17" s="566">
        <v>50</v>
      </c>
      <c r="BX17" s="690">
        <f>DS29</f>
        <v>0</v>
      </c>
      <c r="BZ17" s="562" t="str">
        <f t="shared" si="28"/>
        <v/>
      </c>
      <c r="CA17" s="567">
        <v>50</v>
      </c>
      <c r="CB17" s="690">
        <v>4390</v>
      </c>
      <c r="CC17" s="16"/>
      <c r="CD17" s="562" t="str">
        <f t="shared" si="29"/>
        <v/>
      </c>
      <c r="CE17" s="564">
        <v>426</v>
      </c>
      <c r="CF17" s="690">
        <f>SUM(CT106:CT122)*1000</f>
        <v>0</v>
      </c>
      <c r="CG17" s="16"/>
      <c r="CH17" s="563">
        <f>BR10</f>
        <v>0</v>
      </c>
      <c r="CI17" s="563">
        <f>BR17</f>
        <v>0</v>
      </c>
      <c r="DG17" s="37"/>
      <c r="DH17" s="37"/>
      <c r="DI17" s="37"/>
      <c r="DJ17" s="37"/>
      <c r="DK17" s="37"/>
      <c r="DL17" s="37"/>
      <c r="DM17" s="37"/>
      <c r="EC17" s="8">
        <v>32</v>
      </c>
      <c r="ED17" s="8"/>
      <c r="EE17" s="8">
        <v>1600</v>
      </c>
      <c r="EF17" s="2">
        <f t="shared" si="30"/>
        <v>32</v>
      </c>
    </row>
    <row r="18" spans="4:136" ht="12.75" customHeight="1">
      <c r="D18" s="1847" t="s">
        <v>1724</v>
      </c>
      <c r="E18" s="1848"/>
      <c r="F18" s="1848"/>
      <c r="G18" s="1849"/>
      <c r="H18" s="388"/>
      <c r="I18" s="899">
        <v>200</v>
      </c>
      <c r="J18" s="900">
        <v>219.1</v>
      </c>
      <c r="K18" s="901">
        <f t="shared" si="0"/>
        <v>206.5</v>
      </c>
      <c r="L18" s="902">
        <v>6.3</v>
      </c>
      <c r="M18" s="903">
        <f t="shared" si="1"/>
        <v>83.727862082837063</v>
      </c>
      <c r="N18" s="904">
        <f t="shared" si="2"/>
        <v>301.42030349821346</v>
      </c>
      <c r="O18" s="905">
        <f t="shared" si="19"/>
        <v>2.4999999999999991</v>
      </c>
      <c r="P18" s="906">
        <f t="shared" si="20"/>
        <v>244</v>
      </c>
      <c r="Q18" s="907" t="str">
        <f t="shared" si="3"/>
        <v/>
      </c>
      <c r="R18" s="908">
        <f t="shared" si="4"/>
        <v>2804.4071356955146</v>
      </c>
      <c r="S18" s="909">
        <f t="shared" si="5"/>
        <v>797.3861631207036</v>
      </c>
      <c r="T18" s="910" t="str">
        <f t="shared" si="6"/>
        <v/>
      </c>
      <c r="U18" s="911">
        <f t="shared" si="7"/>
        <v>3505.5089196193931</v>
      </c>
      <c r="V18" s="912">
        <f t="shared" si="8"/>
        <v>996.73270390087953</v>
      </c>
      <c r="W18" s="389"/>
      <c r="X18" s="1851"/>
      <c r="Y18" s="1851"/>
      <c r="Z18" s="1851"/>
      <c r="AA18" s="1851"/>
      <c r="AB18" s="1851"/>
      <c r="AC18" s="388"/>
      <c r="AD18" s="403"/>
      <c r="AE18" s="403"/>
      <c r="AF18" s="398">
        <f t="shared" si="9"/>
        <v>3.2654037739646391</v>
      </c>
      <c r="AG18" s="398">
        <f t="shared" si="10"/>
        <v>243.91233651413933</v>
      </c>
      <c r="AH18" s="398">
        <f t="shared" si="11"/>
        <v>2.4999999999999991</v>
      </c>
      <c r="AI18" s="388"/>
      <c r="AJ18" s="399" t="str">
        <f t="shared" si="12"/>
        <v/>
      </c>
      <c r="AK18" s="508">
        <v>200</v>
      </c>
      <c r="AL18" s="400">
        <f t="shared" si="13"/>
        <v>83.727862082837063</v>
      </c>
      <c r="AM18" s="388"/>
      <c r="AN18" s="399" t="str">
        <f t="shared" si="14"/>
        <v/>
      </c>
      <c r="AO18" s="508">
        <v>200</v>
      </c>
      <c r="AP18" s="400">
        <f t="shared" si="15"/>
        <v>83.727862082837063</v>
      </c>
      <c r="AQ18" s="388"/>
      <c r="AR18" s="399">
        <f t="shared" si="16"/>
        <v>83.727862082837063</v>
      </c>
      <c r="AS18" s="508">
        <v>200</v>
      </c>
      <c r="AT18" s="400">
        <f t="shared" si="17"/>
        <v>83.727862082837063</v>
      </c>
      <c r="AU18" s="388"/>
      <c r="AV18" s="388" t="str">
        <f t="shared" si="26"/>
        <v/>
      </c>
      <c r="AW18" s="508">
        <v>125</v>
      </c>
      <c r="AX18" s="508">
        <v>2462</v>
      </c>
      <c r="AY18" s="387"/>
      <c r="AZ18" s="628"/>
      <c r="BA18" s="253"/>
      <c r="BB18" s="253"/>
      <c r="BC18" s="253">
        <f>IF(BB18&gt;0,12,0)</f>
        <v>0</v>
      </c>
      <c r="BD18" s="251" t="str">
        <f t="shared" si="21"/>
        <v/>
      </c>
      <c r="BE18" s="253" t="str">
        <f t="shared" si="22"/>
        <v/>
      </c>
      <c r="BF18" s="253">
        <f t="shared" si="25"/>
        <v>0</v>
      </c>
      <c r="BG18" s="253">
        <f t="shared" si="23"/>
        <v>120</v>
      </c>
      <c r="BH18" s="880" t="s">
        <v>721</v>
      </c>
      <c r="BI18" s="255" t="s">
        <v>720</v>
      </c>
      <c r="BJ18" s="255" t="s">
        <v>5</v>
      </c>
      <c r="BK18" s="251" t="str">
        <f t="shared" si="24"/>
        <v/>
      </c>
      <c r="BL18" s="251" t="s">
        <v>5</v>
      </c>
      <c r="BM18" s="617" t="str">
        <f t="shared" si="18"/>
        <v>-</v>
      </c>
      <c r="BN18" s="617"/>
      <c r="BO18" s="445"/>
      <c r="BQ18" s="5"/>
      <c r="BR18" s="4"/>
      <c r="BS18" s="4"/>
      <c r="BT18" s="678"/>
      <c r="BU18" s="16"/>
      <c r="BV18" s="562" t="str">
        <f t="shared" si="27"/>
        <v/>
      </c>
      <c r="BW18" s="566">
        <v>65</v>
      </c>
      <c r="BX18" s="690">
        <f>DT29</f>
        <v>0</v>
      </c>
      <c r="BZ18" s="562" t="str">
        <f t="shared" si="28"/>
        <v/>
      </c>
      <c r="CA18" s="567">
        <v>65</v>
      </c>
      <c r="CB18" s="690">
        <v>8900</v>
      </c>
      <c r="CC18" s="16"/>
      <c r="CD18" s="562" t="str">
        <f t="shared" si="29"/>
        <v/>
      </c>
      <c r="CE18" s="564">
        <v>500</v>
      </c>
      <c r="CF18" s="690">
        <f>SUM(CV106:CV122)*1000</f>
        <v>0</v>
      </c>
      <c r="CG18" s="16"/>
      <c r="DG18" s="37"/>
      <c r="DH18" s="37"/>
      <c r="DI18" s="37"/>
      <c r="DJ18" s="37"/>
      <c r="DK18" s="37"/>
      <c r="DL18" s="37"/>
      <c r="DM18" s="37"/>
      <c r="EC18" s="8">
        <v>40</v>
      </c>
      <c r="ED18" s="8"/>
      <c r="EE18" s="8">
        <v>2290</v>
      </c>
      <c r="EF18" s="2">
        <f t="shared" si="30"/>
        <v>40</v>
      </c>
    </row>
    <row r="19" spans="4:136" ht="12.75" customHeight="1">
      <c r="D19" s="1845" t="s">
        <v>696</v>
      </c>
      <c r="E19" s="1388">
        <v>4080</v>
      </c>
      <c r="F19" s="554" t="s">
        <v>6</v>
      </c>
      <c r="G19" s="693"/>
      <c r="H19" s="388"/>
      <c r="I19" s="757">
        <v>250</v>
      </c>
      <c r="J19" s="408">
        <v>273</v>
      </c>
      <c r="K19" s="409">
        <f t="shared" si="0"/>
        <v>258.8</v>
      </c>
      <c r="L19" s="410">
        <v>7.1</v>
      </c>
      <c r="M19" s="759">
        <f t="shared" si="1"/>
        <v>131.50989591265693</v>
      </c>
      <c r="N19" s="418">
        <f t="shared" si="2"/>
        <v>473.43562528556498</v>
      </c>
      <c r="O19" s="411">
        <f t="shared" si="19"/>
        <v>2.4999999999999991</v>
      </c>
      <c r="P19" s="412">
        <f t="shared" si="20"/>
        <v>187</v>
      </c>
      <c r="Q19" s="419" t="str">
        <f>IF(OR($AJ$43=I19,$AR$43=I19),"►","")</f>
        <v>►</v>
      </c>
      <c r="R19" s="420">
        <f t="shared" si="4"/>
        <v>4404.833484786056</v>
      </c>
      <c r="S19" s="421">
        <f t="shared" si="5"/>
        <v>1252.4405700273119</v>
      </c>
      <c r="T19" s="422" t="str">
        <f t="shared" si="6"/>
        <v>►</v>
      </c>
      <c r="U19" s="423">
        <f t="shared" si="7"/>
        <v>5506.0418559825703</v>
      </c>
      <c r="V19" s="758">
        <f t="shared" si="8"/>
        <v>1565.5507125341401</v>
      </c>
      <c r="W19" s="389"/>
      <c r="X19" s="1851"/>
      <c r="Y19" s="1851"/>
      <c r="Z19" s="1851"/>
      <c r="AA19" s="1851"/>
      <c r="AB19" s="1851"/>
      <c r="AC19" s="388"/>
      <c r="AD19" s="403"/>
      <c r="AE19" s="403"/>
      <c r="AF19" s="398">
        <f t="shared" si="9"/>
        <v>3.7645879861037193</v>
      </c>
      <c r="AG19" s="398">
        <f t="shared" si="10"/>
        <v>187.42010048478974</v>
      </c>
      <c r="AH19" s="398">
        <f t="shared" si="11"/>
        <v>2.4999999999999991</v>
      </c>
      <c r="AI19" s="388"/>
      <c r="AJ19" s="399">
        <f t="shared" si="12"/>
        <v>131.50989591265693</v>
      </c>
      <c r="AK19" s="508">
        <v>250</v>
      </c>
      <c r="AL19" s="400">
        <f t="shared" si="13"/>
        <v>131.50989591265693</v>
      </c>
      <c r="AM19" s="388"/>
      <c r="AN19" s="399">
        <f t="shared" si="14"/>
        <v>131.50989591265693</v>
      </c>
      <c r="AO19" s="508">
        <v>250</v>
      </c>
      <c r="AP19" s="400">
        <f t="shared" si="15"/>
        <v>131.50989591265693</v>
      </c>
      <c r="AQ19" s="388"/>
      <c r="AR19" s="399">
        <f t="shared" si="16"/>
        <v>131.50989591265693</v>
      </c>
      <c r="AS19" s="508">
        <v>250</v>
      </c>
      <c r="AT19" s="400">
        <f t="shared" si="17"/>
        <v>131.50989591265693</v>
      </c>
      <c r="AU19" s="388"/>
      <c r="AV19" s="388" t="str">
        <f t="shared" si="26"/>
        <v/>
      </c>
      <c r="AW19" s="508">
        <v>150</v>
      </c>
      <c r="AX19" s="508">
        <v>3500</v>
      </c>
      <c r="AY19" s="387"/>
      <c r="AZ19" s="628"/>
      <c r="BA19" s="253"/>
      <c r="BB19" s="253"/>
      <c r="BC19" s="253"/>
      <c r="BD19" s="251"/>
      <c r="BE19" s="253"/>
      <c r="BF19" s="253"/>
      <c r="BG19" s="253"/>
      <c r="BH19" s="880"/>
      <c r="BI19" s="255"/>
      <c r="BJ19" s="255"/>
      <c r="BK19" s="251"/>
      <c r="BL19" s="251"/>
      <c r="BM19" s="254"/>
      <c r="BN19" s="254"/>
      <c r="BO19" s="445"/>
      <c r="BQ19" s="692" t="s">
        <v>1498</v>
      </c>
      <c r="BT19" s="16"/>
      <c r="BU19" s="16"/>
      <c r="BV19" s="562" t="str">
        <f t="shared" si="27"/>
        <v/>
      </c>
      <c r="BW19" s="566">
        <v>80</v>
      </c>
      <c r="BX19" s="690">
        <f>DU29</f>
        <v>0</v>
      </c>
      <c r="BZ19" s="562" t="str">
        <f t="shared" si="28"/>
        <v/>
      </c>
      <c r="CA19" s="567">
        <v>80</v>
      </c>
      <c r="CB19" s="690">
        <v>13800</v>
      </c>
      <c r="CC19" s="16"/>
      <c r="CD19" s="562" t="str">
        <f t="shared" si="29"/>
        <v/>
      </c>
      <c r="CE19" s="564">
        <v>600</v>
      </c>
      <c r="CF19" s="690">
        <f>SUM(CX106:CX122)*1000</f>
        <v>0</v>
      </c>
      <c r="CG19" s="16"/>
      <c r="CH19" s="1900" t="s">
        <v>128</v>
      </c>
      <c r="CI19" s="1900" t="s">
        <v>1</v>
      </c>
      <c r="DG19" s="37"/>
      <c r="DH19" s="37"/>
      <c r="DI19" s="37"/>
      <c r="DJ19" s="37"/>
      <c r="DK19" s="37"/>
      <c r="DL19" s="37"/>
      <c r="DM19" s="37"/>
      <c r="EC19" s="8">
        <v>50</v>
      </c>
      <c r="ED19" s="8"/>
      <c r="EE19" s="8">
        <v>4390</v>
      </c>
      <c r="EF19" s="2">
        <f t="shared" si="30"/>
        <v>50</v>
      </c>
    </row>
    <row r="20" spans="4:136" ht="12.75" customHeight="1">
      <c r="D20" s="1846"/>
      <c r="E20" s="528">
        <f>IF($E$19=0,"-",IF(F19=AF47,AE48,AE47))</f>
        <v>1160.4095563139931</v>
      </c>
      <c r="F20" s="650" t="str">
        <f>IF(F19="kW","RT","kW")</f>
        <v>RT</v>
      </c>
      <c r="G20" s="693"/>
      <c r="H20" s="388"/>
      <c r="I20" s="899">
        <v>300</v>
      </c>
      <c r="J20" s="900">
        <v>323.89999999999998</v>
      </c>
      <c r="K20" s="901">
        <f t="shared" si="0"/>
        <v>309.7</v>
      </c>
      <c r="L20" s="902">
        <v>7.1</v>
      </c>
      <c r="M20" s="903">
        <f t="shared" si="1"/>
        <v>188.3268753248438</v>
      </c>
      <c r="N20" s="904">
        <f t="shared" si="2"/>
        <v>677.97675116943765</v>
      </c>
      <c r="O20" s="905">
        <f t="shared" si="19"/>
        <v>2.4999999999999991</v>
      </c>
      <c r="P20" s="906">
        <f t="shared" si="20"/>
        <v>152</v>
      </c>
      <c r="Q20" s="907" t="str">
        <f t="shared" si="3"/>
        <v/>
      </c>
      <c r="R20" s="908">
        <f t="shared" si="4"/>
        <v>6307.8791201154199</v>
      </c>
      <c r="S20" s="909">
        <f t="shared" si="5"/>
        <v>1793.5396986395849</v>
      </c>
      <c r="T20" s="910" t="str">
        <f t="shared" si="6"/>
        <v/>
      </c>
      <c r="U20" s="911">
        <f t="shared" si="7"/>
        <v>7884.8489001442749</v>
      </c>
      <c r="V20" s="912">
        <f t="shared" si="8"/>
        <v>2241.924623299481</v>
      </c>
      <c r="W20" s="389"/>
      <c r="X20" s="1851"/>
      <c r="Y20" s="1851"/>
      <c r="Z20" s="1851"/>
      <c r="AA20" s="1851"/>
      <c r="AB20" s="1851"/>
      <c r="AC20" s="388"/>
      <c r="AD20" s="403"/>
      <c r="AE20" s="403"/>
      <c r="AF20" s="398">
        <f t="shared" si="9"/>
        <v>4.2155381597667771</v>
      </c>
      <c r="AG20" s="398">
        <f t="shared" si="10"/>
        <v>151.99072449482088</v>
      </c>
      <c r="AH20" s="398">
        <f t="shared" si="11"/>
        <v>2.4999999999999991</v>
      </c>
      <c r="AI20" s="388"/>
      <c r="AJ20" s="399">
        <f t="shared" si="12"/>
        <v>188.3268753248438</v>
      </c>
      <c r="AK20" s="508">
        <v>300</v>
      </c>
      <c r="AL20" s="400">
        <f t="shared" si="13"/>
        <v>188.3268753248438</v>
      </c>
      <c r="AM20" s="388"/>
      <c r="AN20" s="399">
        <f t="shared" si="14"/>
        <v>188.3268753248438</v>
      </c>
      <c r="AO20" s="508">
        <v>300</v>
      </c>
      <c r="AP20" s="400">
        <f t="shared" si="15"/>
        <v>188.3268753248438</v>
      </c>
      <c r="AQ20" s="388"/>
      <c r="AR20" s="399">
        <f t="shared" si="16"/>
        <v>188.3268753248438</v>
      </c>
      <c r="AS20" s="508">
        <v>300</v>
      </c>
      <c r="AT20" s="400">
        <f t="shared" si="17"/>
        <v>188.3268753248438</v>
      </c>
      <c r="AU20" s="388"/>
      <c r="AV20" s="388"/>
      <c r="AW20" s="388"/>
      <c r="AX20" s="388"/>
      <c r="AY20" s="387"/>
      <c r="AZ20" s="628" t="s">
        <v>1556</v>
      </c>
      <c r="BA20" s="255"/>
      <c r="BB20" s="255"/>
      <c r="BC20" s="255"/>
      <c r="BD20" s="255"/>
      <c r="BE20" s="255"/>
      <c r="BF20" s="255"/>
      <c r="BG20" s="255"/>
      <c r="BH20" s="255"/>
      <c r="BI20" s="255"/>
      <c r="BJ20" s="255"/>
      <c r="BK20" s="255"/>
      <c r="BL20" s="251"/>
      <c r="BM20" s="254"/>
      <c r="BN20" s="254"/>
      <c r="BO20" s="883"/>
      <c r="BU20" s="16"/>
      <c r="BV20" s="562" t="str">
        <f t="shared" si="27"/>
        <v/>
      </c>
      <c r="BW20" s="566">
        <v>100</v>
      </c>
      <c r="BX20" s="690">
        <f>DV29</f>
        <v>0</v>
      </c>
      <c r="BZ20" s="562" t="str">
        <f t="shared" si="28"/>
        <v/>
      </c>
      <c r="CA20" s="567">
        <v>100</v>
      </c>
      <c r="CB20" s="690">
        <v>28200</v>
      </c>
      <c r="CC20" s="16"/>
      <c r="CD20" s="562" t="str">
        <f t="shared" si="29"/>
        <v/>
      </c>
      <c r="CE20" s="564">
        <v>700</v>
      </c>
      <c r="CF20" s="690">
        <f>SUM(CZ106:CZ122)*1000</f>
        <v>0</v>
      </c>
      <c r="CG20" s="16"/>
      <c r="CH20" s="1900"/>
      <c r="CI20" s="1900"/>
      <c r="DG20" s="37"/>
      <c r="DH20" s="37"/>
      <c r="DI20" s="37"/>
      <c r="DJ20" s="37"/>
      <c r="DK20" s="37"/>
      <c r="DL20" s="37"/>
      <c r="DM20" s="37"/>
      <c r="EC20" s="8">
        <v>65</v>
      </c>
      <c r="ED20" s="8"/>
      <c r="EE20" s="8">
        <v>8900</v>
      </c>
      <c r="EF20" s="2">
        <f t="shared" si="30"/>
        <v>65</v>
      </c>
    </row>
    <row r="21" spans="4:136" ht="12.75" customHeight="1">
      <c r="D21" s="1946" t="s">
        <v>1722</v>
      </c>
      <c r="E21" s="1230">
        <f>IF($E$19=0,"-",AE47/4.185/G21)</f>
        <v>121.86379928315414</v>
      </c>
      <c r="F21" s="1214" t="s">
        <v>3</v>
      </c>
      <c r="G21" s="1878">
        <f>G15</f>
        <v>8</v>
      </c>
      <c r="H21" s="388"/>
      <c r="I21" s="757">
        <v>350</v>
      </c>
      <c r="J21" s="408">
        <v>355.6</v>
      </c>
      <c r="K21" s="409">
        <f t="shared" si="0"/>
        <v>341.40000000000003</v>
      </c>
      <c r="L21" s="410">
        <v>7.1</v>
      </c>
      <c r="M21" s="759">
        <f t="shared" si="1"/>
        <v>228.8531653017491</v>
      </c>
      <c r="N21" s="418">
        <f t="shared" si="2"/>
        <v>823.87139508629673</v>
      </c>
      <c r="O21" s="411">
        <f t="shared" si="19"/>
        <v>2.4999999999999991</v>
      </c>
      <c r="P21" s="412">
        <f t="shared" si="20"/>
        <v>136</v>
      </c>
      <c r="Q21" s="419" t="str">
        <f t="shared" si="3"/>
        <v/>
      </c>
      <c r="R21" s="420">
        <f t="shared" si="4"/>
        <v>7665.2793208043586</v>
      </c>
      <c r="S21" s="421">
        <f t="shared" si="5"/>
        <v>2179.4936937174748</v>
      </c>
      <c r="T21" s="422" t="str">
        <f t="shared" si="6"/>
        <v/>
      </c>
      <c r="U21" s="423">
        <f t="shared" si="7"/>
        <v>9581.5991510054482</v>
      </c>
      <c r="V21" s="758">
        <f t="shared" si="8"/>
        <v>2724.3671171468436</v>
      </c>
      <c r="W21" s="389"/>
      <c r="X21" s="1192"/>
      <c r="Y21" s="1192"/>
      <c r="Z21" s="1192"/>
      <c r="AA21" s="1192"/>
      <c r="AB21" s="1192"/>
      <c r="AC21" s="388"/>
      <c r="AD21" s="403"/>
      <c r="AE21" s="403"/>
      <c r="AF21" s="398">
        <f t="shared" si="9"/>
        <v>4.482513081871323</v>
      </c>
      <c r="AG21" s="398">
        <f t="shared" si="10"/>
        <v>135.65223317456505</v>
      </c>
      <c r="AH21" s="398">
        <f t="shared" si="11"/>
        <v>2.4999999999999991</v>
      </c>
      <c r="AI21" s="388"/>
      <c r="AJ21" s="399">
        <f t="shared" si="12"/>
        <v>228.8531653017491</v>
      </c>
      <c r="AK21" s="508">
        <v>350</v>
      </c>
      <c r="AL21" s="400">
        <f t="shared" si="13"/>
        <v>228.8531653017491</v>
      </c>
      <c r="AM21" s="388"/>
      <c r="AN21" s="399">
        <f t="shared" si="14"/>
        <v>228.8531653017491</v>
      </c>
      <c r="AO21" s="508">
        <v>350</v>
      </c>
      <c r="AP21" s="400">
        <f t="shared" si="15"/>
        <v>228.8531653017491</v>
      </c>
      <c r="AQ21" s="388"/>
      <c r="AR21" s="399">
        <f t="shared" si="16"/>
        <v>228.8531653017491</v>
      </c>
      <c r="AS21" s="508">
        <v>350</v>
      </c>
      <c r="AT21" s="400">
        <f t="shared" si="17"/>
        <v>228.8531653017491</v>
      </c>
      <c r="AU21" s="388"/>
      <c r="AV21" s="388"/>
      <c r="AW21" s="388"/>
      <c r="AX21" s="388"/>
      <c r="AY21" s="387"/>
      <c r="AZ21" s="724" t="s">
        <v>1699</v>
      </c>
      <c r="BA21" s="888"/>
      <c r="BB21" s="888"/>
      <c r="BC21" s="888"/>
      <c r="BD21" s="888"/>
      <c r="BE21" s="888"/>
      <c r="BF21" s="888"/>
      <c r="BG21" s="888"/>
      <c r="BH21" s="888"/>
      <c r="BI21" s="888"/>
      <c r="BJ21" s="888"/>
      <c r="BK21" s="888"/>
      <c r="BL21" s="251" t="s">
        <v>5</v>
      </c>
      <c r="BM21" s="887" t="str">
        <f>IF(BC25=0,"-",130+SUM(BM7:BM18)+120+2*BB5)</f>
        <v>-</v>
      </c>
      <c r="BN21" s="253" t="s">
        <v>0</v>
      </c>
      <c r="BO21" s="445"/>
      <c r="BU21" s="16"/>
      <c r="BV21" s="562" t="str">
        <f t="shared" si="27"/>
        <v/>
      </c>
      <c r="BW21" s="566">
        <v>125</v>
      </c>
      <c r="BX21" s="690">
        <f>DW29</f>
        <v>0</v>
      </c>
      <c r="BZ21" s="16"/>
      <c r="CA21" s="16"/>
      <c r="CB21" s="16"/>
      <c r="CC21" s="16"/>
      <c r="CD21" s="562" t="str">
        <f t="shared" si="29"/>
        <v/>
      </c>
      <c r="CE21" s="564">
        <v>800</v>
      </c>
      <c r="CF21" s="690">
        <f>SUM(DB106:DB122)*1000</f>
        <v>0</v>
      </c>
      <c r="CG21" s="16"/>
      <c r="CH21" s="1900"/>
      <c r="CI21" s="1900"/>
      <c r="DG21" s="37"/>
      <c r="DH21" s="37"/>
      <c r="DI21" s="37"/>
      <c r="DJ21" s="37"/>
      <c r="DK21" s="37"/>
      <c r="DL21" s="37"/>
      <c r="DM21" s="37"/>
      <c r="EC21" s="8">
        <v>80</v>
      </c>
      <c r="ED21" s="8"/>
      <c r="EE21" s="8">
        <v>13800</v>
      </c>
      <c r="EF21" s="2">
        <f t="shared" si="30"/>
        <v>80</v>
      </c>
    </row>
    <row r="22" spans="4:136" ht="12.75" customHeight="1">
      <c r="D22" s="1947"/>
      <c r="E22" s="1231">
        <f>IF(E19=0,"-",E21*3.6)</f>
        <v>438.70967741935488</v>
      </c>
      <c r="F22" s="407" t="s">
        <v>1222</v>
      </c>
      <c r="G22" s="1882"/>
      <c r="H22" s="388"/>
      <c r="I22" s="899">
        <v>400</v>
      </c>
      <c r="J22" s="900">
        <v>406.4</v>
      </c>
      <c r="K22" s="901">
        <f t="shared" si="0"/>
        <v>390.4</v>
      </c>
      <c r="L22" s="902">
        <v>8</v>
      </c>
      <c r="M22" s="903">
        <f t="shared" si="1"/>
        <v>299.2605763585949</v>
      </c>
      <c r="N22" s="904">
        <f t="shared" si="2"/>
        <v>1077.3380748909417</v>
      </c>
      <c r="O22" s="905">
        <f t="shared" si="19"/>
        <v>2.4999999999999991</v>
      </c>
      <c r="P22" s="906">
        <f t="shared" si="20"/>
        <v>116</v>
      </c>
      <c r="Q22" s="907" t="str">
        <f t="shared" si="3"/>
        <v/>
      </c>
      <c r="R22" s="908">
        <f t="shared" si="4"/>
        <v>10023.527113854601</v>
      </c>
      <c r="S22" s="909">
        <f t="shared" si="5"/>
        <v>2850.0219260320164</v>
      </c>
      <c r="T22" s="910" t="str">
        <f t="shared" si="6"/>
        <v/>
      </c>
      <c r="U22" s="911">
        <f t="shared" si="7"/>
        <v>12529.408892318252</v>
      </c>
      <c r="V22" s="912">
        <f t="shared" si="8"/>
        <v>3562.5274075400202</v>
      </c>
      <c r="W22" s="389"/>
      <c r="X22" s="1192"/>
      <c r="Y22" s="1192"/>
      <c r="Z22" s="1192"/>
      <c r="AA22" s="1192"/>
      <c r="AB22" s="1192"/>
      <c r="AC22" s="388"/>
      <c r="AD22" s="403"/>
      <c r="AE22" s="403"/>
      <c r="AF22" s="398">
        <f t="shared" si="9"/>
        <v>4.877803240775834</v>
      </c>
      <c r="AG22" s="398">
        <f t="shared" si="10"/>
        <v>115.99880753486131</v>
      </c>
      <c r="AH22" s="398">
        <f t="shared" si="11"/>
        <v>2.4999999999999991</v>
      </c>
      <c r="AI22" s="388"/>
      <c r="AJ22" s="399">
        <f t="shared" si="12"/>
        <v>299.2605763585949</v>
      </c>
      <c r="AK22" s="508">
        <v>400</v>
      </c>
      <c r="AL22" s="400">
        <f t="shared" si="13"/>
        <v>299.2605763585949</v>
      </c>
      <c r="AM22" s="388"/>
      <c r="AN22" s="399">
        <f t="shared" si="14"/>
        <v>299.2605763585949</v>
      </c>
      <c r="AO22" s="508">
        <v>400</v>
      </c>
      <c r="AP22" s="400">
        <f t="shared" si="15"/>
        <v>299.2605763585949</v>
      </c>
      <c r="AQ22" s="388"/>
      <c r="AR22" s="399">
        <f t="shared" si="16"/>
        <v>299.2605763585949</v>
      </c>
      <c r="AS22" s="508">
        <v>400</v>
      </c>
      <c r="AT22" s="400">
        <f t="shared" si="17"/>
        <v>299.2605763585949</v>
      </c>
      <c r="AU22" s="388"/>
      <c r="AV22" s="404" t="e">
        <f>IF(AX8&gt;0,VLOOKUP(MIN(AV11:AV19),AV11:AW19,2,FALSE),"")</f>
        <v>#N/A</v>
      </c>
      <c r="AW22" s="388"/>
      <c r="AX22" s="388"/>
      <c r="AY22" s="387"/>
      <c r="AZ22" s="884"/>
      <c r="BA22" s="885"/>
      <c r="BB22" s="885"/>
      <c r="BC22" s="885"/>
      <c r="BD22" s="885"/>
      <c r="BE22" s="885"/>
      <c r="BF22" s="885"/>
      <c r="BG22" s="885"/>
      <c r="BH22" s="885"/>
      <c r="BI22" s="885"/>
      <c r="BJ22" s="885"/>
      <c r="BK22" s="885"/>
      <c r="BL22" s="885"/>
      <c r="BM22" s="885"/>
      <c r="BN22" s="885"/>
      <c r="BO22" s="886"/>
      <c r="BQ22" s="1636" t="s">
        <v>359</v>
      </c>
      <c r="BR22" s="1635"/>
      <c r="BS22" s="1637"/>
      <c r="BT22" s="1638"/>
      <c r="BU22" s="16"/>
      <c r="BV22" s="562" t="str">
        <f t="shared" si="27"/>
        <v/>
      </c>
      <c r="BW22" s="566">
        <v>150</v>
      </c>
      <c r="BX22" s="690">
        <f>DX29</f>
        <v>0</v>
      </c>
      <c r="BZ22" s="16"/>
      <c r="CA22" s="16"/>
      <c r="CB22" s="16"/>
      <c r="CC22" s="16"/>
      <c r="CD22" s="562" t="str">
        <f t="shared" si="29"/>
        <v/>
      </c>
      <c r="CE22" s="564">
        <v>900</v>
      </c>
      <c r="CF22" s="690">
        <f>SUM(DD106:DD122)*1000</f>
        <v>0</v>
      </c>
      <c r="CG22" s="16"/>
      <c r="CH22" s="565" t="s">
        <v>243</v>
      </c>
      <c r="CI22" s="565" t="s">
        <v>243</v>
      </c>
      <c r="CJ22" s="37"/>
      <c r="CK22" s="37"/>
      <c r="CL22" s="37"/>
      <c r="CM22" s="37"/>
      <c r="CN22" s="37"/>
      <c r="CO22" s="37"/>
      <c r="CP22" s="37"/>
      <c r="CQ22" s="37"/>
      <c r="CR22" s="37"/>
      <c r="CS22" s="37"/>
      <c r="CT22" s="37"/>
      <c r="CU22" s="37"/>
      <c r="CV22" s="37"/>
      <c r="CW22" s="37"/>
      <c r="CX22" s="37"/>
      <c r="CY22" s="37"/>
      <c r="CZ22" s="37"/>
      <c r="DA22" s="37"/>
      <c r="DB22" s="37"/>
      <c r="DC22" s="37"/>
      <c r="DD22" s="37"/>
      <c r="DE22" s="37"/>
      <c r="DF22" s="37"/>
      <c r="DG22" s="37"/>
      <c r="DH22" s="37"/>
      <c r="DI22" s="37"/>
      <c r="DJ22" s="37"/>
      <c r="DK22" s="37"/>
      <c r="DL22" s="37"/>
      <c r="DM22" s="37"/>
      <c r="EC22" s="8">
        <v>1000</v>
      </c>
      <c r="ED22" s="8"/>
      <c r="EE22" s="8">
        <v>28200</v>
      </c>
      <c r="EF22" s="2">
        <f t="shared" si="30"/>
        <v>1000</v>
      </c>
    </row>
    <row r="23" spans="4:136" ht="12.75" customHeight="1">
      <c r="D23" s="1887" t="s">
        <v>1231</v>
      </c>
      <c r="E23" s="1237">
        <f>IF(E19=0,"-",IF(E24&gt;0,"-",AK42))</f>
        <v>250</v>
      </c>
      <c r="G23" s="693"/>
      <c r="H23" s="388"/>
      <c r="I23" s="757">
        <v>450</v>
      </c>
      <c r="J23" s="408">
        <v>457</v>
      </c>
      <c r="K23" s="409">
        <f t="shared" si="0"/>
        <v>441</v>
      </c>
      <c r="L23" s="410">
        <v>8</v>
      </c>
      <c r="M23" s="759">
        <f t="shared" si="1"/>
        <v>381.86255053924776</v>
      </c>
      <c r="N23" s="418">
        <f t="shared" si="2"/>
        <v>1374.705181941292</v>
      </c>
      <c r="O23" s="411">
        <f t="shared" si="19"/>
        <v>2.4999999999999991</v>
      </c>
      <c r="P23" s="412">
        <f t="shared" si="20"/>
        <v>101</v>
      </c>
      <c r="Q23" s="419" t="str">
        <f t="shared" si="3"/>
        <v/>
      </c>
      <c r="R23" s="420">
        <f t="shared" si="4"/>
        <v>12790.223408877333</v>
      </c>
      <c r="S23" s="421">
        <f t="shared" si="5"/>
        <v>3636.6856436955741</v>
      </c>
      <c r="T23" s="422" t="str">
        <f t="shared" si="6"/>
        <v/>
      </c>
      <c r="U23" s="423">
        <f t="shared" si="7"/>
        <v>15987.779261096666</v>
      </c>
      <c r="V23" s="758">
        <f t="shared" si="8"/>
        <v>4545.8570546194669</v>
      </c>
      <c r="W23" s="389"/>
      <c r="X23" s="1193"/>
      <c r="Y23" s="1193"/>
      <c r="Z23" s="1193"/>
      <c r="AA23" s="1193"/>
      <c r="AB23" s="1193"/>
      <c r="AC23" s="388"/>
      <c r="AD23" s="403"/>
      <c r="AE23" s="403"/>
      <c r="AF23" s="398">
        <f t="shared" si="9"/>
        <v>5.2671570594710859</v>
      </c>
      <c r="AG23" s="398">
        <f t="shared" si="10"/>
        <v>100.62030696380788</v>
      </c>
      <c r="AH23" s="398">
        <f t="shared" si="11"/>
        <v>2.4999999999999991</v>
      </c>
      <c r="AI23" s="388"/>
      <c r="AJ23" s="399">
        <f t="shared" si="12"/>
        <v>381.86255053924776</v>
      </c>
      <c r="AK23" s="508">
        <v>450</v>
      </c>
      <c r="AL23" s="400">
        <f t="shared" si="13"/>
        <v>381.86255053924776</v>
      </c>
      <c r="AM23" s="388"/>
      <c r="AN23" s="399">
        <f t="shared" si="14"/>
        <v>381.86255053924776</v>
      </c>
      <c r="AO23" s="508">
        <v>450</v>
      </c>
      <c r="AP23" s="400">
        <f t="shared" si="15"/>
        <v>381.86255053924776</v>
      </c>
      <c r="AQ23" s="388"/>
      <c r="AR23" s="399">
        <f t="shared" si="16"/>
        <v>381.86255053924776</v>
      </c>
      <c r="AS23" s="508">
        <v>450</v>
      </c>
      <c r="AT23" s="400">
        <f t="shared" si="17"/>
        <v>381.86255053924776</v>
      </c>
      <c r="AU23" s="388"/>
      <c r="AV23" s="388"/>
      <c r="AW23" s="388"/>
      <c r="AX23" s="388"/>
      <c r="AY23" s="387"/>
      <c r="AZ23" s="1208" t="s">
        <v>1558</v>
      </c>
      <c r="BA23" s="897"/>
      <c r="BB23" s="897"/>
      <c r="BC23" s="897"/>
      <c r="BD23" s="897"/>
      <c r="BE23" s="897"/>
      <c r="BF23" s="897"/>
      <c r="BG23" s="897"/>
      <c r="BH23" s="897"/>
      <c r="BI23" s="897"/>
      <c r="BJ23" s="897"/>
      <c r="BK23" s="897"/>
      <c r="BL23" s="897"/>
      <c r="BM23" s="897"/>
      <c r="BN23" s="897"/>
      <c r="BO23" s="897"/>
      <c r="BQ23" s="687" t="s">
        <v>1493</v>
      </c>
      <c r="BR23" s="1940" t="str">
        <f>IF(AND(BR7&gt;0,BR10&gt;0,BR17&gt;0),CH9,"n/a")</f>
        <v>n/a</v>
      </c>
      <c r="BS23" s="1940"/>
      <c r="BT23" s="682"/>
      <c r="BV23" s="562" t="str">
        <f t="shared" si="27"/>
        <v/>
      </c>
      <c r="BW23" s="566">
        <v>200</v>
      </c>
      <c r="BX23" s="690">
        <f>DY29</f>
        <v>0</v>
      </c>
      <c r="BZ23" s="16"/>
      <c r="CA23" s="16"/>
      <c r="CB23" s="16"/>
      <c r="CC23" s="16"/>
      <c r="CD23" s="562" t="str">
        <f t="shared" si="29"/>
        <v/>
      </c>
      <c r="CE23" s="564">
        <v>1000</v>
      </c>
      <c r="CF23" s="690">
        <f>SUM(DF106:DF122)*1000</f>
        <v>0</v>
      </c>
      <c r="CG23" s="16"/>
      <c r="CH23" s="37"/>
      <c r="CI23" s="37"/>
      <c r="CJ23" s="37"/>
      <c r="CK23" s="37"/>
      <c r="CL23" s="37"/>
      <c r="CM23" s="37"/>
      <c r="CN23" s="37"/>
      <c r="CO23" s="37"/>
      <c r="CP23" s="37"/>
      <c r="CQ23" s="37"/>
      <c r="CR23" s="37"/>
      <c r="CS23" s="37"/>
      <c r="CT23" s="37"/>
      <c r="CU23" s="37"/>
      <c r="CV23" s="37"/>
      <c r="CW23" s="37"/>
      <c r="CX23" s="37"/>
      <c r="CY23" s="37"/>
      <c r="CZ23" s="37"/>
      <c r="DA23" s="37"/>
      <c r="DB23" s="37"/>
      <c r="DC23" s="37"/>
      <c r="DD23" s="37"/>
      <c r="DE23" s="37"/>
      <c r="DF23" s="37"/>
      <c r="DG23" s="37"/>
      <c r="DH23" s="37"/>
      <c r="DI23" s="37"/>
      <c r="DJ23" s="37"/>
      <c r="DK23" s="37"/>
      <c r="DL23" s="37"/>
      <c r="DM23" s="37"/>
    </row>
    <row r="24" spans="4:136" ht="12.75" customHeight="1">
      <c r="D24" s="1887"/>
      <c r="E24" s="1242"/>
      <c r="F24" s="1241" t="s">
        <v>1731</v>
      </c>
      <c r="G24" s="693"/>
      <c r="H24" s="388"/>
      <c r="I24" s="899">
        <v>500</v>
      </c>
      <c r="J24" s="900">
        <v>508</v>
      </c>
      <c r="K24" s="901">
        <f t="shared" si="0"/>
        <v>490.4</v>
      </c>
      <c r="L24" s="902">
        <v>8.8000000000000007</v>
      </c>
      <c r="M24" s="903">
        <f t="shared" si="1"/>
        <v>472.20525193871305</v>
      </c>
      <c r="N24" s="904">
        <f t="shared" si="2"/>
        <v>1699.9389069793669</v>
      </c>
      <c r="O24" s="905">
        <f t="shared" si="19"/>
        <v>2.4999999999999991</v>
      </c>
      <c r="P24" s="906">
        <f t="shared" si="20"/>
        <v>89</v>
      </c>
      <c r="Q24" s="907" t="str">
        <f t="shared" si="3"/>
        <v/>
      </c>
      <c r="R24" s="908">
        <f t="shared" si="4"/>
        <v>15816.190036473859</v>
      </c>
      <c r="S24" s="909">
        <f t="shared" si="5"/>
        <v>4497.0685346812224</v>
      </c>
      <c r="T24" s="910" t="str">
        <f t="shared" si="6"/>
        <v/>
      </c>
      <c r="U24" s="911">
        <f t="shared" si="7"/>
        <v>19770.237545592325</v>
      </c>
      <c r="V24" s="912">
        <f t="shared" si="8"/>
        <v>5621.3356683515285</v>
      </c>
      <c r="W24" s="389"/>
      <c r="X24" s="1944" t="s">
        <v>1702</v>
      </c>
      <c r="Y24" s="1944"/>
      <c r="Z24" s="1944"/>
      <c r="AA24" s="1944"/>
      <c r="AB24" s="1944"/>
      <c r="AC24" s="388"/>
      <c r="AD24" s="403"/>
      <c r="AE24" s="403"/>
      <c r="AF24" s="398">
        <f t="shared" si="9"/>
        <v>5.6316119735650645</v>
      </c>
      <c r="AG24" s="398">
        <f t="shared" si="10"/>
        <v>88.894129864989097</v>
      </c>
      <c r="AH24" s="398">
        <f t="shared" si="11"/>
        <v>2.4999999999999991</v>
      </c>
      <c r="AI24" s="388"/>
      <c r="AJ24" s="399">
        <f t="shared" si="12"/>
        <v>472.20525193871305</v>
      </c>
      <c r="AK24" s="508">
        <v>500</v>
      </c>
      <c r="AL24" s="400">
        <f t="shared" si="13"/>
        <v>472.20525193871305</v>
      </c>
      <c r="AM24" s="388"/>
      <c r="AN24" s="399">
        <f t="shared" si="14"/>
        <v>472.20525193871305</v>
      </c>
      <c r="AO24" s="508">
        <v>500</v>
      </c>
      <c r="AP24" s="400">
        <f t="shared" si="15"/>
        <v>472.20525193871305</v>
      </c>
      <c r="AQ24" s="388"/>
      <c r="AR24" s="399">
        <f t="shared" si="16"/>
        <v>472.20525193871305</v>
      </c>
      <c r="AS24" s="508">
        <v>500</v>
      </c>
      <c r="AT24" s="400">
        <f t="shared" si="17"/>
        <v>472.20525193871305</v>
      </c>
      <c r="AU24" s="388"/>
      <c r="AV24" s="388"/>
      <c r="AW24" s="388"/>
      <c r="AX24" s="388"/>
      <c r="AY24" s="387"/>
      <c r="AZ24" s="388" t="s">
        <v>1557</v>
      </c>
      <c r="BA24" s="388"/>
      <c r="BB24" s="388"/>
      <c r="BC24" s="388"/>
      <c r="BD24" s="388"/>
      <c r="BE24" s="388"/>
      <c r="BF24" s="388"/>
      <c r="BG24" s="388"/>
      <c r="BH24" s="388"/>
      <c r="BI24" s="388"/>
      <c r="BJ24" s="388"/>
      <c r="BK24" s="388"/>
      <c r="BL24" s="388"/>
      <c r="BM24" s="388"/>
      <c r="BN24" s="388"/>
      <c r="BO24" s="388"/>
      <c r="BQ24" s="687" t="s">
        <v>1494</v>
      </c>
      <c r="BR24" s="1941" t="str">
        <f>IF(AND(BR7&gt;0,BR10&gt;0,BR17&gt;0),EF13,"n/a")</f>
        <v>n/a</v>
      </c>
      <c r="BS24" s="1941"/>
      <c r="BT24" s="682"/>
      <c r="BV24" s="562" t="str">
        <f t="shared" si="27"/>
        <v/>
      </c>
      <c r="BW24" s="566">
        <v>250</v>
      </c>
      <c r="BX24" s="690">
        <f>DZ29</f>
        <v>0</v>
      </c>
      <c r="BZ24" s="16"/>
      <c r="CA24" s="16"/>
      <c r="CB24" s="16"/>
      <c r="CC24" s="16"/>
      <c r="CD24" s="692" t="s">
        <v>1500</v>
      </c>
      <c r="CE24" s="16"/>
      <c r="CF24" s="16"/>
      <c r="CG24" s="16"/>
      <c r="CH24" s="1900" t="s">
        <v>128</v>
      </c>
      <c r="CI24" s="1900" t="s">
        <v>1</v>
      </c>
      <c r="CJ24" s="37"/>
      <c r="CK24" s="37"/>
      <c r="CL24" s="37"/>
      <c r="CM24" s="37"/>
      <c r="CN24" s="37"/>
      <c r="CO24" s="37"/>
      <c r="CP24" s="37"/>
      <c r="CQ24" s="37"/>
      <c r="CR24" s="37"/>
      <c r="CS24" s="37"/>
      <c r="CT24" s="37"/>
      <c r="CU24" s="37"/>
      <c r="CV24" s="37"/>
      <c r="CW24" s="37"/>
      <c r="CX24" s="37"/>
      <c r="CY24" s="37"/>
      <c r="CZ24" s="37"/>
      <c r="DA24" s="37"/>
      <c r="DB24" s="37"/>
      <c r="DC24" s="37"/>
      <c r="DD24" s="37"/>
      <c r="DE24" s="37"/>
      <c r="DF24" s="37"/>
      <c r="DG24" s="37"/>
      <c r="DH24" s="37"/>
      <c r="DI24" s="37"/>
      <c r="DJ24" s="37"/>
      <c r="DK24" s="37"/>
      <c r="DL24" s="37"/>
      <c r="DM24" s="37"/>
    </row>
    <row r="25" spans="4:136" ht="12.75" customHeight="1">
      <c r="D25" s="1232" t="s">
        <v>1721</v>
      </c>
      <c r="E25" s="1234">
        <f>IF(E19=0,"-",(E21/1000)/(((AK43/1000/2)^2)*PI()))</f>
        <v>2.3166279320168162</v>
      </c>
      <c r="F25" s="508" t="s">
        <v>1</v>
      </c>
      <c r="G25" s="693"/>
      <c r="H25" s="388"/>
      <c r="I25" s="757">
        <v>550</v>
      </c>
      <c r="J25" s="408">
        <v>559</v>
      </c>
      <c r="K25" s="409">
        <f t="shared" si="0"/>
        <v>541.4</v>
      </c>
      <c r="L25" s="410">
        <v>8.8000000000000007</v>
      </c>
      <c r="M25" s="759">
        <f t="shared" si="1"/>
        <v>575.52791462538266</v>
      </c>
      <c r="N25" s="418">
        <f t="shared" si="2"/>
        <v>2071.9004926513776</v>
      </c>
      <c r="O25" s="411">
        <f t="shared" si="19"/>
        <v>2.4999999999999991</v>
      </c>
      <c r="P25" s="412">
        <f t="shared" si="20"/>
        <v>79</v>
      </c>
      <c r="Q25" s="419" t="str">
        <f t="shared" si="3"/>
        <v/>
      </c>
      <c r="R25" s="420">
        <f t="shared" si="4"/>
        <v>19276.911537171931</v>
      </c>
      <c r="S25" s="421">
        <f t="shared" si="5"/>
        <v>5481.066686713657</v>
      </c>
      <c r="T25" s="422" t="str">
        <f t="shared" si="6"/>
        <v/>
      </c>
      <c r="U25" s="423">
        <f t="shared" si="7"/>
        <v>24096.139421464912</v>
      </c>
      <c r="V25" s="758">
        <f t="shared" si="8"/>
        <v>6851.3333583920703</v>
      </c>
      <c r="W25" s="389"/>
      <c r="X25" s="1850" t="s">
        <v>1700</v>
      </c>
      <c r="Y25" s="1942" t="s">
        <v>3</v>
      </c>
      <c r="Z25" s="1942"/>
      <c r="AA25" s="1863" t="s">
        <v>1703</v>
      </c>
      <c r="AB25" s="1865" t="s">
        <v>1692</v>
      </c>
      <c r="AC25" s="388"/>
      <c r="AD25" s="403"/>
      <c r="AE25" s="403"/>
      <c r="AF25" s="398">
        <f t="shared" si="9"/>
        <v>5.9938793861622912</v>
      </c>
      <c r="AG25" s="398">
        <f t="shared" si="10"/>
        <v>79.200818966995612</v>
      </c>
      <c r="AH25" s="398">
        <f t="shared" si="11"/>
        <v>2.4999999999999991</v>
      </c>
      <c r="AI25" s="388"/>
      <c r="AJ25" s="399">
        <f t="shared" si="12"/>
        <v>575.52791462538266</v>
      </c>
      <c r="AK25" s="508">
        <v>550</v>
      </c>
      <c r="AL25" s="400">
        <f t="shared" si="13"/>
        <v>575.52791462538266</v>
      </c>
      <c r="AM25" s="388"/>
      <c r="AN25" s="399">
        <f t="shared" si="14"/>
        <v>575.52791462538266</v>
      </c>
      <c r="AO25" s="508">
        <v>550</v>
      </c>
      <c r="AP25" s="400">
        <f t="shared" si="15"/>
        <v>575.52791462538266</v>
      </c>
      <c r="AQ25" s="388"/>
      <c r="AR25" s="399">
        <f t="shared" si="16"/>
        <v>575.52791462538266</v>
      </c>
      <c r="AS25" s="508">
        <v>550</v>
      </c>
      <c r="AT25" s="400">
        <f t="shared" si="17"/>
        <v>575.52791462538266</v>
      </c>
      <c r="AU25" s="388"/>
      <c r="AV25" s="388"/>
      <c r="AW25" s="388"/>
      <c r="AX25" s="388"/>
      <c r="AY25" s="387"/>
      <c r="AZ25" s="388"/>
      <c r="BA25" s="388"/>
      <c r="BB25" s="388"/>
      <c r="BC25" s="388">
        <f>IF(SUM(BB7:BB17)=0,0,MAX(BC7:BC18))</f>
        <v>0</v>
      </c>
      <c r="BD25" s="388"/>
      <c r="BE25" s="388"/>
      <c r="BF25" s="388"/>
      <c r="BG25" s="388"/>
      <c r="BH25" s="388"/>
      <c r="BI25" s="388"/>
      <c r="BJ25" s="388"/>
      <c r="BK25" s="388"/>
      <c r="BL25" s="388"/>
      <c r="BM25" s="388"/>
      <c r="BN25" s="388"/>
      <c r="BO25" s="388"/>
      <c r="BQ25" s="688" t="s">
        <v>1495</v>
      </c>
      <c r="BR25" s="1925" t="str">
        <f>IF(AND(BR5="Boiler Plant",BR7&gt;0,BR10&gt;0),CJ127,"n/a")</f>
        <v>n/a</v>
      </c>
      <c r="BS25" s="1925"/>
      <c r="BT25" s="689"/>
      <c r="BV25" s="562" t="str">
        <f t="shared" si="27"/>
        <v/>
      </c>
      <c r="BW25" s="566">
        <v>300</v>
      </c>
      <c r="BX25" s="690">
        <f>EA29</f>
        <v>0</v>
      </c>
      <c r="BZ25" s="16"/>
      <c r="CA25" s="16"/>
      <c r="CB25" s="16"/>
      <c r="CC25" s="16"/>
      <c r="CD25" s="16"/>
      <c r="CE25" s="16"/>
      <c r="CF25" s="16"/>
      <c r="CG25" s="16"/>
      <c r="CH25" s="1900"/>
      <c r="CI25" s="1900"/>
      <c r="CJ25" s="37"/>
      <c r="CK25" s="37"/>
      <c r="CL25" s="37"/>
      <c r="CM25" s="37"/>
      <c r="CN25" s="37"/>
      <c r="CO25" s="37"/>
      <c r="CP25" s="37"/>
      <c r="CQ25" s="37"/>
      <c r="CR25" s="37"/>
      <c r="CS25" s="37"/>
      <c r="CT25" s="37"/>
      <c r="CU25" s="37"/>
      <c r="CV25" s="37"/>
      <c r="CW25" s="37"/>
      <c r="CX25" s="37"/>
      <c r="CY25" s="37"/>
      <c r="CZ25" s="37"/>
      <c r="DA25" s="37"/>
      <c r="DB25" s="37"/>
      <c r="DC25" s="37"/>
      <c r="DD25" s="37"/>
      <c r="DE25" s="37"/>
      <c r="DF25" s="37"/>
      <c r="DG25" s="37"/>
      <c r="DH25" s="37"/>
      <c r="DI25" s="37"/>
      <c r="DJ25" s="37"/>
      <c r="DK25" s="37"/>
      <c r="DL25" s="37"/>
      <c r="DM25" s="37"/>
      <c r="EC25" s="59" t="s">
        <v>128</v>
      </c>
      <c r="ED25" s="59"/>
      <c r="EE25" s="59" t="s">
        <v>457</v>
      </c>
      <c r="EF25" s="2" t="s">
        <v>410</v>
      </c>
    </row>
    <row r="26" spans="4:136" ht="12.75" customHeight="1">
      <c r="D26" s="1233" t="s">
        <v>1720</v>
      </c>
      <c r="E26" s="1235">
        <f>IF(E19=0,"-",ROUND(6.819*(E25/$E$7)^1.852/(AK43/1000)^1.167*1000*9.81,0))</f>
        <v>163</v>
      </c>
      <c r="F26" s="1236" t="s">
        <v>14</v>
      </c>
      <c r="G26" s="425"/>
      <c r="H26" s="388"/>
      <c r="I26" s="899">
        <v>600</v>
      </c>
      <c r="J26" s="900">
        <v>610</v>
      </c>
      <c r="K26" s="901">
        <f t="shared" si="0"/>
        <v>592.4</v>
      </c>
      <c r="L26" s="902">
        <v>8.8000000000000007</v>
      </c>
      <c r="M26" s="903">
        <f t="shared" si="1"/>
        <v>689.0646804270358</v>
      </c>
      <c r="N26" s="904">
        <f t="shared" si="2"/>
        <v>2480.6328495373291</v>
      </c>
      <c r="O26" s="905">
        <f t="shared" si="19"/>
        <v>2.4999999999999991</v>
      </c>
      <c r="P26" s="906">
        <f t="shared" si="20"/>
        <v>71</v>
      </c>
      <c r="Q26" s="907" t="str">
        <f t="shared" si="3"/>
        <v/>
      </c>
      <c r="R26" s="908">
        <f t="shared" si="4"/>
        <v>23079.747394403432</v>
      </c>
      <c r="S26" s="909">
        <f t="shared" si="5"/>
        <v>6562.3393216956019</v>
      </c>
      <c r="T26" s="910" t="str">
        <f t="shared" si="6"/>
        <v/>
      </c>
      <c r="U26" s="911">
        <f t="shared" si="7"/>
        <v>28849.684243004289</v>
      </c>
      <c r="V26" s="912">
        <f t="shared" si="8"/>
        <v>8202.9241521195017</v>
      </c>
      <c r="W26" s="389"/>
      <c r="X26" s="1850"/>
      <c r="Y26" s="1850" t="s">
        <v>1694</v>
      </c>
      <c r="Z26" s="1850" t="s">
        <v>1698</v>
      </c>
      <c r="AA26" s="1945"/>
      <c r="AB26" s="1865"/>
      <c r="AC26" s="388"/>
      <c r="AD26" s="403"/>
      <c r="AE26" s="403"/>
      <c r="AF26" s="398">
        <f t="shared" ref="AF26:AF37" si="31">(IF($AD26=0,AF$5,$AD26)/1000/9.81*($K26/1000)^1.167/6.819)^(1/1.852)*$E$7</f>
        <v>6.3437206313259882</v>
      </c>
      <c r="AG26" s="398">
        <f t="shared" si="10"/>
        <v>71.302327830056953</v>
      </c>
      <c r="AH26" s="398">
        <f t="shared" si="11"/>
        <v>2.4999999999999991</v>
      </c>
      <c r="AI26" s="388"/>
      <c r="AJ26" s="399">
        <f t="shared" si="12"/>
        <v>689.0646804270358</v>
      </c>
      <c r="AK26" s="508">
        <v>600</v>
      </c>
      <c r="AL26" s="400">
        <f t="shared" si="13"/>
        <v>689.0646804270358</v>
      </c>
      <c r="AM26" s="388"/>
      <c r="AN26" s="399">
        <f t="shared" si="14"/>
        <v>689.0646804270358</v>
      </c>
      <c r="AO26" s="508">
        <v>600</v>
      </c>
      <c r="AP26" s="400">
        <f t="shared" si="15"/>
        <v>689.0646804270358</v>
      </c>
      <c r="AQ26" s="388"/>
      <c r="AR26" s="399">
        <f>IF($AG$48&gt;AT26,"",AT26)</f>
        <v>689.0646804270358</v>
      </c>
      <c r="AS26" s="508">
        <v>600</v>
      </c>
      <c r="AT26" s="400">
        <f t="shared" si="17"/>
        <v>689.0646804270358</v>
      </c>
      <c r="AU26" s="388"/>
      <c r="AV26" s="388"/>
      <c r="AW26" s="388"/>
      <c r="AX26" s="388"/>
      <c r="AY26" s="387"/>
      <c r="AZ26" s="388"/>
      <c r="BA26" s="388"/>
      <c r="BB26" s="388"/>
      <c r="BC26" s="388"/>
      <c r="BD26" s="388"/>
      <c r="BE26" s="388"/>
      <c r="BF26" s="388"/>
      <c r="BG26" s="388"/>
      <c r="BH26" s="388"/>
      <c r="BI26" s="388"/>
      <c r="BJ26" s="388"/>
      <c r="BK26" s="388"/>
      <c r="BL26" s="388"/>
      <c r="BM26" s="388"/>
      <c r="BN26" s="388"/>
      <c r="BO26" s="388"/>
      <c r="BZ26" s="16"/>
      <c r="CA26" s="16"/>
      <c r="CB26" s="16"/>
      <c r="CC26" s="16"/>
      <c r="CD26" s="16"/>
      <c r="CE26" s="16"/>
      <c r="CF26" s="16"/>
      <c r="CG26" s="16"/>
      <c r="CH26" s="1900"/>
      <c r="CI26" s="1900"/>
      <c r="CJ26" s="37"/>
      <c r="CK26" s="37"/>
      <c r="CL26" s="37"/>
      <c r="CM26" s="37"/>
      <c r="CN26" s="37"/>
      <c r="CO26" s="37"/>
      <c r="CP26" s="37"/>
      <c r="CQ26" s="37"/>
      <c r="CR26" s="37"/>
      <c r="CS26" s="37"/>
      <c r="CT26" s="37"/>
      <c r="CU26" s="37"/>
      <c r="CV26" s="37"/>
      <c r="CW26" s="37"/>
      <c r="CX26" s="37"/>
      <c r="CY26" s="37"/>
      <c r="CZ26" s="37"/>
      <c r="DA26" s="37"/>
      <c r="DB26" s="37"/>
      <c r="DC26" s="37"/>
      <c r="DD26" s="37"/>
      <c r="DE26" s="37"/>
      <c r="DF26" s="37"/>
      <c r="DG26" s="37"/>
      <c r="DH26" s="37"/>
      <c r="DI26" s="37"/>
      <c r="DJ26" s="37"/>
      <c r="DK26" s="37"/>
      <c r="DL26" s="37"/>
      <c r="DM26" s="37"/>
      <c r="EE26" s="167"/>
      <c r="EF26" s="168"/>
    </row>
    <row r="27" spans="4:136" ht="12.75" customHeight="1">
      <c r="D27" s="1880" t="s">
        <v>1723</v>
      </c>
      <c r="E27" s="436">
        <f>IF($E$19=0,"-",AE47/4.185/G27)</f>
        <v>97.491039426523315</v>
      </c>
      <c r="F27" s="1214" t="s">
        <v>3</v>
      </c>
      <c r="G27" s="1878">
        <f>G16</f>
        <v>10</v>
      </c>
      <c r="H27" s="388"/>
      <c r="I27" s="757">
        <v>650</v>
      </c>
      <c r="J27" s="408">
        <v>660</v>
      </c>
      <c r="K27" s="409">
        <f t="shared" si="0"/>
        <v>640</v>
      </c>
      <c r="L27" s="410">
        <v>10</v>
      </c>
      <c r="M27" s="759">
        <f t="shared" si="1"/>
        <v>804.24771931898681</v>
      </c>
      <c r="N27" s="418">
        <f t="shared" si="2"/>
        <v>2895.2917895483524</v>
      </c>
      <c r="O27" s="411">
        <f t="shared" si="19"/>
        <v>2.4999999999999991</v>
      </c>
      <c r="P27" s="412">
        <f t="shared" si="20"/>
        <v>65</v>
      </c>
      <c r="Q27" s="419" t="str">
        <f t="shared" si="3"/>
        <v/>
      </c>
      <c r="R27" s="420">
        <f t="shared" si="4"/>
        <v>26937.724036158572</v>
      </c>
      <c r="S27" s="421">
        <f t="shared" si="5"/>
        <v>7659.2903145176497</v>
      </c>
      <c r="T27" s="422" t="str">
        <f t="shared" si="6"/>
        <v/>
      </c>
      <c r="U27" s="423">
        <f t="shared" si="7"/>
        <v>33672.155045198218</v>
      </c>
      <c r="V27" s="758">
        <f t="shared" si="8"/>
        <v>9574.112893147063</v>
      </c>
      <c r="W27" s="389"/>
      <c r="X27" s="1850"/>
      <c r="Y27" s="1865"/>
      <c r="Z27" s="1865"/>
      <c r="AA27" s="1864"/>
      <c r="AB27" s="1865"/>
      <c r="AC27" s="388"/>
      <c r="AD27" s="403"/>
      <c r="AE27" s="403"/>
      <c r="AF27" s="398">
        <f t="shared" si="31"/>
        <v>6.6603078110393303</v>
      </c>
      <c r="AG27" s="398">
        <f t="shared" si="10"/>
        <v>65.152853635943174</v>
      </c>
      <c r="AH27" s="398">
        <f t="shared" si="11"/>
        <v>2.4999999999999991</v>
      </c>
      <c r="AI27" s="388"/>
      <c r="AJ27" s="399">
        <f t="shared" si="12"/>
        <v>804.24771931898681</v>
      </c>
      <c r="AK27" s="508">
        <v>650</v>
      </c>
      <c r="AL27" s="400">
        <f t="shared" si="13"/>
        <v>804.24771931898681</v>
      </c>
      <c r="AM27" s="388"/>
      <c r="AN27" s="399">
        <f t="shared" si="14"/>
        <v>804.24771931898681</v>
      </c>
      <c r="AO27" s="508">
        <v>650</v>
      </c>
      <c r="AP27" s="400">
        <f t="shared" si="15"/>
        <v>804.24771931898681</v>
      </c>
      <c r="AQ27" s="388"/>
      <c r="AR27" s="399">
        <f t="shared" ref="AR27:AR39" si="32">IF($AG$48&gt;AT27,"",AT27)</f>
        <v>804.24771931898681</v>
      </c>
      <c r="AS27" s="508">
        <v>650</v>
      </c>
      <c r="AT27" s="400">
        <f t="shared" si="17"/>
        <v>804.24771931898681</v>
      </c>
      <c r="AU27" s="388"/>
      <c r="AV27" s="388"/>
      <c r="AW27" s="388"/>
      <c r="AX27" s="388"/>
      <c r="AY27" s="387"/>
      <c r="AZ27" s="388"/>
      <c r="BA27" s="388"/>
      <c r="BB27" s="388"/>
      <c r="BC27" s="388"/>
      <c r="BD27" s="388"/>
      <c r="BE27" s="388"/>
      <c r="BF27" s="388"/>
      <c r="BG27" s="388"/>
      <c r="BH27" s="388"/>
      <c r="BI27" s="388"/>
      <c r="BJ27" s="388"/>
      <c r="BK27" s="388"/>
      <c r="BL27" s="388"/>
      <c r="BM27" s="388"/>
      <c r="BN27" s="388"/>
      <c r="BO27" s="388"/>
      <c r="BZ27" s="16"/>
      <c r="CA27" s="16"/>
      <c r="CB27" s="16"/>
      <c r="CC27" s="16"/>
      <c r="CD27" s="16"/>
      <c r="CE27" s="16"/>
      <c r="CF27" s="16"/>
      <c r="CG27" s="16"/>
      <c r="CH27" s="565">
        <f>BR10</f>
        <v>0</v>
      </c>
      <c r="CI27" s="565">
        <v>10</v>
      </c>
      <c r="CJ27" s="37"/>
      <c r="CK27" s="37"/>
      <c r="CL27" s="37"/>
      <c r="CM27" s="37"/>
      <c r="CN27" s="37"/>
      <c r="CO27" s="37"/>
      <c r="CP27" s="37"/>
      <c r="CQ27" s="37"/>
      <c r="CR27" s="37"/>
      <c r="CS27" s="37"/>
      <c r="CT27" s="37"/>
      <c r="CU27" s="37"/>
      <c r="CV27" s="37"/>
      <c r="CW27" s="37"/>
      <c r="CX27" s="37"/>
      <c r="CY27" s="37"/>
      <c r="CZ27" s="37"/>
      <c r="DA27" s="37"/>
      <c r="DB27" s="37"/>
      <c r="DC27" s="37"/>
      <c r="DD27" s="37"/>
      <c r="DE27" s="37"/>
      <c r="DF27" s="37"/>
      <c r="DG27" s="37"/>
      <c r="DH27" s="37"/>
      <c r="DI27" s="37"/>
      <c r="DJ27" s="37"/>
      <c r="DK27" s="37"/>
      <c r="DL27" s="37"/>
      <c r="DM27" s="37"/>
      <c r="EC27" s="2">
        <v>0.4</v>
      </c>
      <c r="ED27" s="2">
        <v>459.7</v>
      </c>
      <c r="EE27" s="167">
        <v>2691</v>
      </c>
      <c r="EF27" s="168">
        <f t="shared" ref="EF27:EF38" si="33">IF($BR$10=EC27,EE27,0)</f>
        <v>0</v>
      </c>
    </row>
    <row r="28" spans="4:136" ht="12.75" customHeight="1">
      <c r="D28" s="1881"/>
      <c r="E28" s="437">
        <f>IF(E19=0,"-",E27*3.6)</f>
        <v>350.96774193548396</v>
      </c>
      <c r="F28" s="407" t="s">
        <v>1222</v>
      </c>
      <c r="G28" s="1882"/>
      <c r="H28" s="388"/>
      <c r="I28" s="899">
        <v>700</v>
      </c>
      <c r="J28" s="900">
        <v>711</v>
      </c>
      <c r="K28" s="901">
        <f t="shared" si="0"/>
        <v>691</v>
      </c>
      <c r="L28" s="902">
        <v>10</v>
      </c>
      <c r="M28" s="903">
        <f t="shared" si="1"/>
        <v>937.53175114294197</v>
      </c>
      <c r="N28" s="904">
        <f t="shared" si="2"/>
        <v>3375.1143041145911</v>
      </c>
      <c r="O28" s="905">
        <f t="shared" si="19"/>
        <v>2.4999999999999991</v>
      </c>
      <c r="P28" s="906">
        <f t="shared" si="20"/>
        <v>60</v>
      </c>
      <c r="Q28" s="907" t="str">
        <f t="shared" si="3"/>
        <v/>
      </c>
      <c r="R28" s="908">
        <f t="shared" si="4"/>
        <v>31401.980982688056</v>
      </c>
      <c r="S28" s="909">
        <f t="shared" si="5"/>
        <v>8928.6269498686543</v>
      </c>
      <c r="T28" s="910" t="str">
        <f t="shared" si="6"/>
        <v/>
      </c>
      <c r="U28" s="911">
        <f t="shared" si="7"/>
        <v>39252.476228360072</v>
      </c>
      <c r="V28" s="912">
        <f t="shared" si="8"/>
        <v>11160.783687335819</v>
      </c>
      <c r="W28" s="389"/>
      <c r="X28" s="513">
        <v>50</v>
      </c>
      <c r="Y28" s="513">
        <v>1.1000000000000001</v>
      </c>
      <c r="Z28" s="513">
        <v>1</v>
      </c>
      <c r="AA28" s="513">
        <v>0.72</v>
      </c>
      <c r="AB28" s="513" t="s">
        <v>1688</v>
      </c>
      <c r="AC28" s="388"/>
      <c r="AD28" s="403"/>
      <c r="AE28" s="403"/>
      <c r="AF28" s="398">
        <f t="shared" si="31"/>
        <v>6.9899875496591148</v>
      </c>
      <c r="AG28" s="398">
        <f t="shared" si="10"/>
        <v>59.576445790012059</v>
      </c>
      <c r="AH28" s="398">
        <f t="shared" si="11"/>
        <v>2.4999999999999991</v>
      </c>
      <c r="AI28" s="388"/>
      <c r="AJ28" s="399">
        <f t="shared" si="12"/>
        <v>937.53175114294197</v>
      </c>
      <c r="AK28" s="508">
        <v>700</v>
      </c>
      <c r="AL28" s="400">
        <f t="shared" si="13"/>
        <v>937.53175114294197</v>
      </c>
      <c r="AM28" s="388"/>
      <c r="AN28" s="399">
        <f t="shared" si="14"/>
        <v>937.53175114294197</v>
      </c>
      <c r="AO28" s="508">
        <v>700</v>
      </c>
      <c r="AP28" s="400">
        <f t="shared" si="15"/>
        <v>937.53175114294197</v>
      </c>
      <c r="AQ28" s="388"/>
      <c r="AR28" s="399">
        <f t="shared" si="32"/>
        <v>937.53175114294197</v>
      </c>
      <c r="AS28" s="508">
        <v>700</v>
      </c>
      <c r="AT28" s="400">
        <f t="shared" si="17"/>
        <v>937.53175114294197</v>
      </c>
      <c r="AU28" s="388"/>
      <c r="AV28" s="388"/>
      <c r="AW28" s="388"/>
      <c r="AX28" s="388"/>
      <c r="AY28" s="387"/>
      <c r="AZ28" s="388"/>
      <c r="BA28" s="388"/>
      <c r="BB28" s="388"/>
      <c r="BC28" s="388"/>
      <c r="BD28" s="388"/>
      <c r="BE28" s="388"/>
      <c r="BF28" s="388"/>
      <c r="BG28" s="388"/>
      <c r="BH28" s="388"/>
      <c r="BI28" s="388"/>
      <c r="BJ28" s="388"/>
      <c r="BK28" s="388"/>
      <c r="BL28" s="388"/>
      <c r="BM28" s="388"/>
      <c r="BN28" s="388"/>
      <c r="BO28" s="388"/>
      <c r="BZ28" s="16"/>
      <c r="CA28" s="16"/>
      <c r="CB28" s="16"/>
      <c r="CC28" s="16"/>
      <c r="CD28" s="16"/>
      <c r="CE28" s="16"/>
      <c r="CF28" s="16"/>
      <c r="CG28" s="16"/>
      <c r="DN28" s="7">
        <f t="shared" ref="DN28:EA28" si="34">IF($CH$8&gt;DN29,"",DN29)</f>
        <v>0</v>
      </c>
      <c r="DO28" s="7">
        <f t="shared" si="34"/>
        <v>0</v>
      </c>
      <c r="DP28" s="7">
        <f t="shared" si="34"/>
        <v>0</v>
      </c>
      <c r="DQ28" s="7">
        <f t="shared" si="34"/>
        <v>0</v>
      </c>
      <c r="DR28" s="7">
        <f t="shared" si="34"/>
        <v>0</v>
      </c>
      <c r="DS28" s="7">
        <f t="shared" si="34"/>
        <v>0</v>
      </c>
      <c r="DT28" s="7">
        <f t="shared" si="34"/>
        <v>0</v>
      </c>
      <c r="DU28" s="7">
        <f t="shared" si="34"/>
        <v>0</v>
      </c>
      <c r="DV28" s="7">
        <f t="shared" si="34"/>
        <v>0</v>
      </c>
      <c r="DW28" s="7">
        <f t="shared" si="34"/>
        <v>0</v>
      </c>
      <c r="DX28" s="7">
        <f t="shared" si="34"/>
        <v>0</v>
      </c>
      <c r="DY28" s="7">
        <f t="shared" si="34"/>
        <v>0</v>
      </c>
      <c r="DZ28" s="7">
        <f t="shared" si="34"/>
        <v>0</v>
      </c>
      <c r="EA28" s="7">
        <f t="shared" si="34"/>
        <v>0</v>
      </c>
      <c r="EC28" s="2">
        <v>0.7</v>
      </c>
      <c r="ED28" s="2">
        <v>484.1</v>
      </c>
      <c r="EE28" s="167">
        <v>2699.5</v>
      </c>
      <c r="EF28" s="168">
        <f t="shared" si="33"/>
        <v>0</v>
      </c>
    </row>
    <row r="29" spans="4:136" ht="12.75" customHeight="1" thickBot="1">
      <c r="D29" s="1887" t="s">
        <v>1231</v>
      </c>
      <c r="E29" s="1238">
        <f>IF(E19=0,"-",IF(E30&gt;0,"-",AO42))</f>
        <v>250</v>
      </c>
      <c r="G29" s="693"/>
      <c r="H29" s="388"/>
      <c r="I29" s="757">
        <v>750</v>
      </c>
      <c r="J29" s="408">
        <v>762</v>
      </c>
      <c r="K29" s="409">
        <f t="shared" si="0"/>
        <v>742</v>
      </c>
      <c r="L29" s="410">
        <v>10</v>
      </c>
      <c r="M29" s="759">
        <f t="shared" si="1"/>
        <v>1081.0298860818812</v>
      </c>
      <c r="N29" s="418">
        <f t="shared" si="2"/>
        <v>3891.7075898947724</v>
      </c>
      <c r="O29" s="411">
        <f t="shared" si="19"/>
        <v>2.4999999999999991</v>
      </c>
      <c r="P29" s="412">
        <f t="shared" si="20"/>
        <v>55</v>
      </c>
      <c r="Q29" s="419" t="str">
        <f t="shared" si="3"/>
        <v/>
      </c>
      <c r="R29" s="420">
        <f t="shared" si="4"/>
        <v>36208.352285750989</v>
      </c>
      <c r="S29" s="421">
        <f t="shared" si="5"/>
        <v>10295.238068169176</v>
      </c>
      <c r="T29" s="422" t="str">
        <f t="shared" si="6"/>
        <v/>
      </c>
      <c r="U29" s="423">
        <f t="shared" si="7"/>
        <v>45260.440357188738</v>
      </c>
      <c r="V29" s="758">
        <f t="shared" si="8"/>
        <v>12869.047585211471</v>
      </c>
      <c r="W29" s="389"/>
      <c r="X29" s="513">
        <v>65</v>
      </c>
      <c r="Y29" s="513">
        <v>2.2000000000000002</v>
      </c>
      <c r="Z29" s="513">
        <v>2</v>
      </c>
      <c r="AA29" s="513">
        <v>0.85</v>
      </c>
      <c r="AB29" s="513" t="s">
        <v>1688</v>
      </c>
      <c r="AC29" s="388"/>
      <c r="AD29" s="403"/>
      <c r="AE29" s="403"/>
      <c r="AF29" s="398">
        <f t="shared" si="31"/>
        <v>7.3107797520777895</v>
      </c>
      <c r="AG29" s="398">
        <f t="shared" si="10"/>
        <v>54.82569103775036</v>
      </c>
      <c r="AH29" s="398">
        <f t="shared" si="11"/>
        <v>2.4999999999999991</v>
      </c>
      <c r="AI29" s="388"/>
      <c r="AJ29" s="399">
        <f t="shared" si="12"/>
        <v>1081.0298860818812</v>
      </c>
      <c r="AK29" s="508">
        <v>750</v>
      </c>
      <c r="AL29" s="400">
        <f t="shared" si="13"/>
        <v>1081.0298860818812</v>
      </c>
      <c r="AM29" s="388"/>
      <c r="AN29" s="399">
        <f t="shared" si="14"/>
        <v>1081.0298860818812</v>
      </c>
      <c r="AO29" s="508">
        <v>750</v>
      </c>
      <c r="AP29" s="400">
        <f t="shared" si="15"/>
        <v>1081.0298860818812</v>
      </c>
      <c r="AQ29" s="388"/>
      <c r="AR29" s="399">
        <f t="shared" si="32"/>
        <v>1081.0298860818812</v>
      </c>
      <c r="AS29" s="508">
        <v>750</v>
      </c>
      <c r="AT29" s="400">
        <f t="shared" si="17"/>
        <v>1081.0298860818812</v>
      </c>
      <c r="AU29" s="388"/>
      <c r="AV29" s="388"/>
      <c r="AW29" s="388"/>
      <c r="AX29" s="388"/>
      <c r="AY29" s="387"/>
      <c r="AZ29" s="388"/>
      <c r="BA29" s="388"/>
      <c r="BB29" s="388"/>
      <c r="BC29" s="388"/>
      <c r="BD29" s="388"/>
      <c r="BE29" s="388"/>
      <c r="BF29" s="388"/>
      <c r="BG29" s="388"/>
      <c r="BH29" s="388"/>
      <c r="BI29" s="388"/>
      <c r="BJ29" s="388"/>
      <c r="BK29" s="388"/>
      <c r="BL29" s="388"/>
      <c r="BM29" s="388"/>
      <c r="BN29" s="388"/>
      <c r="BO29" s="388"/>
      <c r="BZ29" s="16"/>
      <c r="CA29" s="16"/>
      <c r="CB29" s="16"/>
      <c r="CC29" s="16"/>
      <c r="CD29" s="16"/>
      <c r="CE29" s="16"/>
      <c r="CF29" s="16"/>
      <c r="CG29" s="16"/>
      <c r="DN29" s="7">
        <f t="shared" ref="DN29:EA29" si="35">SUM(DN33:DN68)</f>
        <v>0</v>
      </c>
      <c r="DO29" s="7">
        <f t="shared" si="35"/>
        <v>0</v>
      </c>
      <c r="DP29" s="7">
        <f t="shared" si="35"/>
        <v>0</v>
      </c>
      <c r="DQ29" s="7">
        <f t="shared" si="35"/>
        <v>0</v>
      </c>
      <c r="DR29" s="7">
        <f t="shared" si="35"/>
        <v>0</v>
      </c>
      <c r="DS29" s="7">
        <f t="shared" si="35"/>
        <v>0</v>
      </c>
      <c r="DT29" s="7">
        <f t="shared" si="35"/>
        <v>0</v>
      </c>
      <c r="DU29" s="7">
        <f t="shared" si="35"/>
        <v>0</v>
      </c>
      <c r="DV29" s="7">
        <f t="shared" si="35"/>
        <v>0</v>
      </c>
      <c r="DW29" s="7">
        <f t="shared" si="35"/>
        <v>0</v>
      </c>
      <c r="DX29" s="7">
        <f t="shared" si="35"/>
        <v>0</v>
      </c>
      <c r="DY29" s="7">
        <f t="shared" si="35"/>
        <v>0</v>
      </c>
      <c r="DZ29" s="7">
        <f t="shared" si="35"/>
        <v>0</v>
      </c>
      <c r="EA29" s="7">
        <f t="shared" si="35"/>
        <v>0</v>
      </c>
      <c r="EC29" s="2">
        <v>1</v>
      </c>
      <c r="ED29" s="2">
        <v>505.6</v>
      </c>
      <c r="EE29" s="167">
        <v>2706.7</v>
      </c>
      <c r="EF29" s="168">
        <f t="shared" si="33"/>
        <v>0</v>
      </c>
    </row>
    <row r="30" spans="4:136" ht="12.75" customHeight="1" thickTop="1">
      <c r="D30" s="1887"/>
      <c r="E30" s="1410"/>
      <c r="F30" s="1241" t="s">
        <v>1731</v>
      </c>
      <c r="G30" s="693"/>
      <c r="H30" s="388"/>
      <c r="I30" s="899">
        <v>800</v>
      </c>
      <c r="J30" s="900">
        <v>813</v>
      </c>
      <c r="K30" s="901">
        <f t="shared" si="0"/>
        <v>793</v>
      </c>
      <c r="L30" s="902">
        <v>10</v>
      </c>
      <c r="M30" s="903">
        <f t="shared" si="1"/>
        <v>1234.7421241358045</v>
      </c>
      <c r="N30" s="904">
        <f t="shared" si="2"/>
        <v>4445.0716468888959</v>
      </c>
      <c r="O30" s="905">
        <f t="shared" si="19"/>
        <v>2.4999999999999991</v>
      </c>
      <c r="P30" s="906">
        <f t="shared" si="20"/>
        <v>51</v>
      </c>
      <c r="Q30" s="907" t="str">
        <f t="shared" si="3"/>
        <v/>
      </c>
      <c r="R30" s="908">
        <f t="shared" si="4"/>
        <v>41356.837945347368</v>
      </c>
      <c r="S30" s="909">
        <f t="shared" si="5"/>
        <v>11759.123669419212</v>
      </c>
      <c r="T30" s="910" t="str">
        <f t="shared" si="6"/>
        <v/>
      </c>
      <c r="U30" s="911">
        <f t="shared" si="7"/>
        <v>51696.047431684208</v>
      </c>
      <c r="V30" s="912">
        <f t="shared" si="8"/>
        <v>14698.904586774015</v>
      </c>
      <c r="W30" s="389"/>
      <c r="X30" s="513">
        <v>80</v>
      </c>
      <c r="Y30" s="513">
        <v>3.8</v>
      </c>
      <c r="Z30" s="513">
        <v>3.5</v>
      </c>
      <c r="AA30" s="513">
        <v>0.98</v>
      </c>
      <c r="AB30" s="513" t="s">
        <v>1688</v>
      </c>
      <c r="AC30" s="388"/>
      <c r="AD30" s="403"/>
      <c r="AE30" s="403"/>
      <c r="AF30" s="398">
        <f t="shared" si="31"/>
        <v>7.6235120165281618</v>
      </c>
      <c r="AG30" s="398">
        <f t="shared" si="10"/>
        <v>50.733364231020182</v>
      </c>
      <c r="AH30" s="398">
        <f t="shared" si="11"/>
        <v>2.4999999999999991</v>
      </c>
      <c r="AI30" s="388"/>
      <c r="AJ30" s="399">
        <f t="shared" si="12"/>
        <v>1234.7421241358045</v>
      </c>
      <c r="AK30" s="508">
        <v>800</v>
      </c>
      <c r="AL30" s="400">
        <f t="shared" si="13"/>
        <v>1234.7421241358045</v>
      </c>
      <c r="AM30" s="388"/>
      <c r="AN30" s="399">
        <f t="shared" si="14"/>
        <v>1234.7421241358045</v>
      </c>
      <c r="AO30" s="508">
        <v>800</v>
      </c>
      <c r="AP30" s="400">
        <f t="shared" si="15"/>
        <v>1234.7421241358045</v>
      </c>
      <c r="AQ30" s="388"/>
      <c r="AR30" s="399">
        <f t="shared" si="32"/>
        <v>1234.7421241358045</v>
      </c>
      <c r="AS30" s="508">
        <v>800</v>
      </c>
      <c r="AT30" s="400">
        <f t="shared" si="17"/>
        <v>1234.7421241358045</v>
      </c>
      <c r="AU30" s="388"/>
      <c r="AV30" s="388"/>
      <c r="AW30" s="388"/>
      <c r="AX30" s="388"/>
      <c r="AY30" s="387"/>
      <c r="AZ30" s="388"/>
      <c r="BA30" s="388"/>
      <c r="BB30" s="388"/>
      <c r="BC30" s="388"/>
      <c r="BD30" s="388"/>
      <c r="BE30" s="388"/>
      <c r="BF30" s="388"/>
      <c r="BG30" s="388"/>
      <c r="BH30" s="388"/>
      <c r="BI30" s="388"/>
      <c r="BJ30" s="388"/>
      <c r="BK30" s="388"/>
      <c r="BL30" s="388"/>
      <c r="BM30" s="388"/>
      <c r="BN30" s="388"/>
      <c r="BO30" s="388"/>
      <c r="BZ30" s="16"/>
      <c r="CA30" s="16"/>
      <c r="CB30" s="16"/>
      <c r="CC30" s="16"/>
      <c r="CD30" s="16"/>
      <c r="CE30" s="16"/>
      <c r="CF30" s="16"/>
      <c r="CG30" s="16"/>
      <c r="CH30" s="1892" t="s">
        <v>128</v>
      </c>
      <c r="CI30" s="1913" t="s">
        <v>128</v>
      </c>
      <c r="CJ30" s="1910" t="s">
        <v>1</v>
      </c>
      <c r="CK30" s="1907" t="s">
        <v>1</v>
      </c>
      <c r="CL30" s="1904" t="s">
        <v>359</v>
      </c>
      <c r="CM30" s="1905"/>
      <c r="CN30" s="1905"/>
      <c r="CO30" s="1905"/>
      <c r="CP30" s="1905"/>
      <c r="CQ30" s="1905"/>
      <c r="CR30" s="1905"/>
      <c r="CS30" s="1905"/>
      <c r="CT30" s="1905"/>
      <c r="CU30" s="1905"/>
      <c r="CV30" s="1905"/>
      <c r="CW30" s="1905"/>
      <c r="CX30" s="1905"/>
      <c r="CY30" s="1905"/>
      <c r="CZ30" s="1905"/>
      <c r="DA30" s="1905"/>
      <c r="DB30" s="1905"/>
      <c r="DC30" s="1905"/>
      <c r="DD30" s="1905"/>
      <c r="DE30" s="1905"/>
      <c r="DF30" s="1905"/>
      <c r="DG30" s="1905"/>
      <c r="DH30" s="1905"/>
      <c r="DI30" s="1905"/>
      <c r="DJ30" s="1905"/>
      <c r="DK30" s="1905"/>
      <c r="DL30" s="1905"/>
      <c r="DM30" s="1906"/>
      <c r="DN30" s="9">
        <v>15</v>
      </c>
      <c r="DO30" s="9">
        <v>20</v>
      </c>
      <c r="DP30" s="9">
        <v>25</v>
      </c>
      <c r="DQ30" s="9">
        <v>32</v>
      </c>
      <c r="DR30" s="9">
        <v>40</v>
      </c>
      <c r="DS30" s="9">
        <v>50</v>
      </c>
      <c r="DT30" s="9">
        <v>65</v>
      </c>
      <c r="DU30" s="9">
        <v>80</v>
      </c>
      <c r="DV30" s="9">
        <v>100</v>
      </c>
      <c r="DW30" s="9">
        <v>125</v>
      </c>
      <c r="DX30" s="9">
        <v>150</v>
      </c>
      <c r="DY30" s="9">
        <v>200</v>
      </c>
      <c r="DZ30" s="9">
        <v>250</v>
      </c>
      <c r="EA30" s="9">
        <v>300</v>
      </c>
      <c r="EC30" s="2">
        <v>2</v>
      </c>
      <c r="ED30" s="2">
        <v>562.20000000000005</v>
      </c>
      <c r="EE30" s="167">
        <v>2725.5</v>
      </c>
      <c r="EF30" s="168">
        <f t="shared" si="33"/>
        <v>0</v>
      </c>
    </row>
    <row r="31" spans="4:136" ht="12.75" customHeight="1" thickBot="1">
      <c r="D31" s="1232" t="s">
        <v>1721</v>
      </c>
      <c r="E31" s="1234">
        <f>IF(E19=0,"-",(E27/1000)/(((AO43/1000/2)^2)*PI()))</f>
        <v>1.8533023456134532</v>
      </c>
      <c r="F31" s="508" t="s">
        <v>1</v>
      </c>
      <c r="G31" s="693"/>
      <c r="H31" s="388"/>
      <c r="I31" s="757">
        <v>850</v>
      </c>
      <c r="J31" s="408">
        <v>864</v>
      </c>
      <c r="K31" s="409">
        <f t="shared" si="0"/>
        <v>842</v>
      </c>
      <c r="L31" s="410">
        <v>11</v>
      </c>
      <c r="M31" s="759">
        <f t="shared" si="1"/>
        <v>1392.0475587872704</v>
      </c>
      <c r="N31" s="418">
        <f t="shared" si="2"/>
        <v>5011.371211634174</v>
      </c>
      <c r="O31" s="411">
        <f t="shared" si="19"/>
        <v>2.4999999999999991</v>
      </c>
      <c r="P31" s="412">
        <f t="shared" si="20"/>
        <v>47</v>
      </c>
      <c r="Q31" s="419" t="str">
        <f t="shared" si="3"/>
        <v/>
      </c>
      <c r="R31" s="420">
        <f t="shared" si="4"/>
        <v>46625.675252859175</v>
      </c>
      <c r="S31" s="421">
        <f t="shared" si="5"/>
        <v>13257.229244486545</v>
      </c>
      <c r="T31" s="422" t="str">
        <f t="shared" si="6"/>
        <v/>
      </c>
      <c r="U31" s="423">
        <f t="shared" si="7"/>
        <v>58282.094066073972</v>
      </c>
      <c r="V31" s="758">
        <f t="shared" si="8"/>
        <v>16571.536555608182</v>
      </c>
      <c r="W31" s="389"/>
      <c r="X31" s="513">
        <v>100</v>
      </c>
      <c r="Y31" s="513">
        <v>6.9</v>
      </c>
      <c r="Z31" s="513">
        <v>6.3</v>
      </c>
      <c r="AA31" s="513">
        <v>1.1399999999999999</v>
      </c>
      <c r="AB31" s="513" t="s">
        <v>1688</v>
      </c>
      <c r="AC31" s="388"/>
      <c r="AD31" s="403"/>
      <c r="AE31" s="403"/>
      <c r="AF31" s="398">
        <f t="shared" si="31"/>
        <v>7.9170424432215309</v>
      </c>
      <c r="AG31" s="398">
        <f t="shared" si="10"/>
        <v>47.304914408840872</v>
      </c>
      <c r="AH31" s="398">
        <f t="shared" si="11"/>
        <v>2.4999999999999991</v>
      </c>
      <c r="AI31" s="388"/>
      <c r="AJ31" s="399">
        <f t="shared" si="12"/>
        <v>1392.0475587872704</v>
      </c>
      <c r="AK31" s="508">
        <v>850</v>
      </c>
      <c r="AL31" s="400">
        <f t="shared" si="13"/>
        <v>1392.0475587872704</v>
      </c>
      <c r="AM31" s="388"/>
      <c r="AN31" s="399">
        <f t="shared" si="14"/>
        <v>1392.0475587872704</v>
      </c>
      <c r="AO31" s="508">
        <v>850</v>
      </c>
      <c r="AP31" s="400">
        <f t="shared" si="15"/>
        <v>1392.0475587872704</v>
      </c>
      <c r="AQ31" s="388"/>
      <c r="AR31" s="399">
        <f t="shared" si="32"/>
        <v>1392.0475587872704</v>
      </c>
      <c r="AS31" s="508">
        <v>850</v>
      </c>
      <c r="AT31" s="400">
        <f t="shared" si="17"/>
        <v>1392.0475587872704</v>
      </c>
      <c r="AU31" s="388"/>
      <c r="AV31" s="388"/>
      <c r="AW31" s="388"/>
      <c r="AX31" s="388"/>
      <c r="AY31" s="387"/>
      <c r="AZ31" s="388"/>
      <c r="BA31" s="388"/>
      <c r="BB31" s="388"/>
      <c r="BC31" s="388"/>
      <c r="BD31" s="388"/>
      <c r="BE31" s="388"/>
      <c r="BF31" s="388"/>
      <c r="BG31" s="388"/>
      <c r="BH31" s="388"/>
      <c r="BI31" s="388"/>
      <c r="BJ31" s="388"/>
      <c r="BK31" s="388"/>
      <c r="BL31" s="388"/>
      <c r="BM31" s="388"/>
      <c r="BN31" s="388"/>
      <c r="BO31" s="388"/>
      <c r="BZ31" s="16"/>
      <c r="CA31" s="16"/>
      <c r="CB31" s="16"/>
      <c r="CC31" s="16"/>
      <c r="CD31" s="16"/>
      <c r="CE31" s="16"/>
      <c r="CF31" s="16"/>
      <c r="CG31" s="16"/>
      <c r="CH31" s="1893"/>
      <c r="CI31" s="1914"/>
      <c r="CJ31" s="1911"/>
      <c r="CK31" s="1908"/>
      <c r="CL31" s="481" t="str">
        <f>IF($CH$9=CM31,$CH$11,"")</f>
        <v/>
      </c>
      <c r="CM31" s="482">
        <v>15</v>
      </c>
      <c r="CN31" s="483" t="str">
        <f>IF($CH$9=CO31,$CH$11,"")</f>
        <v/>
      </c>
      <c r="CO31" s="484">
        <v>20</v>
      </c>
      <c r="CP31" s="485" t="str">
        <f>IF($CH$9=CQ31,$CH$11,"")</f>
        <v/>
      </c>
      <c r="CQ31" s="482">
        <v>25</v>
      </c>
      <c r="CR31" s="483" t="str">
        <f>IF($CH$9=CS31,$CH$11,"")</f>
        <v/>
      </c>
      <c r="CS31" s="484">
        <v>32</v>
      </c>
      <c r="CT31" s="485" t="str">
        <f>IF($CH$9=CU31,$CH$11,"")</f>
        <v/>
      </c>
      <c r="CU31" s="482">
        <v>40</v>
      </c>
      <c r="CV31" s="483" t="str">
        <f>IF($CH$9=CW31,$CH$11,"")</f>
        <v/>
      </c>
      <c r="CW31" s="484">
        <v>50</v>
      </c>
      <c r="CX31" s="485" t="str">
        <f>IF($CH$9=CY31,$CH$11,"")</f>
        <v/>
      </c>
      <c r="CY31" s="482">
        <v>65</v>
      </c>
      <c r="CZ31" s="483" t="str">
        <f>IF($CH$9=DA31,$CH$11,"")</f>
        <v/>
      </c>
      <c r="DA31" s="484">
        <v>80</v>
      </c>
      <c r="DB31" s="485" t="str">
        <f>IF($CH$9=DC31,$CH$11,"")</f>
        <v/>
      </c>
      <c r="DC31" s="482">
        <v>100</v>
      </c>
      <c r="DD31" s="483" t="str">
        <f>IF($CH$9=DE31,$CH$11,"")</f>
        <v/>
      </c>
      <c r="DE31" s="484">
        <v>125</v>
      </c>
      <c r="DF31" s="485" t="str">
        <f>IF($CH$9=DG31,$CH$11,"")</f>
        <v/>
      </c>
      <c r="DG31" s="482">
        <v>150</v>
      </c>
      <c r="DH31" s="483" t="str">
        <f>IF($CH$9=DI31,$CH$11,"")</f>
        <v/>
      </c>
      <c r="DI31" s="484">
        <v>200</v>
      </c>
      <c r="DJ31" s="485" t="str">
        <f>IF($CH$9=DK31,$CH$11,"")</f>
        <v/>
      </c>
      <c r="DK31" s="482">
        <v>250</v>
      </c>
      <c r="DL31" s="483" t="str">
        <f>IF($CH$9=DM31,$CH$11,"")</f>
        <v/>
      </c>
      <c r="DM31" s="486">
        <v>300</v>
      </c>
      <c r="DN31" s="1891" t="s">
        <v>360</v>
      </c>
      <c r="DO31" s="1891"/>
      <c r="DP31" s="1891"/>
      <c r="DQ31" s="1891"/>
      <c r="DR31" s="1891"/>
      <c r="DS31" s="1891"/>
      <c r="DT31" s="1891"/>
      <c r="DU31" s="1891"/>
      <c r="DV31" s="1891"/>
      <c r="DW31" s="1891"/>
      <c r="DX31" s="1891"/>
      <c r="DY31" s="1891"/>
      <c r="DZ31" s="1891"/>
      <c r="EA31" s="1891"/>
      <c r="EC31" s="2">
        <v>3</v>
      </c>
      <c r="ED31" s="2">
        <v>605.29999999999995</v>
      </c>
      <c r="EE31" s="167">
        <v>2738.7</v>
      </c>
      <c r="EF31" s="168">
        <f t="shared" si="33"/>
        <v>0</v>
      </c>
    </row>
    <row r="32" spans="4:136" ht="12.75" customHeight="1" thickTop="1" thickBot="1">
      <c r="D32" s="1233" t="s">
        <v>1720</v>
      </c>
      <c r="E32" s="1235">
        <f>IF($E$19=0,"-",ROUND(6.819*(E31/$E$7)^1.852/(AO43/1000)^1.167*1000*9.81,0))</f>
        <v>108</v>
      </c>
      <c r="F32" s="1236" t="s">
        <v>14</v>
      </c>
      <c r="G32" s="425"/>
      <c r="H32" s="388"/>
      <c r="I32" s="899">
        <v>900</v>
      </c>
      <c r="J32" s="900">
        <v>914</v>
      </c>
      <c r="K32" s="901">
        <f t="shared" si="0"/>
        <v>892</v>
      </c>
      <c r="L32" s="902">
        <v>11</v>
      </c>
      <c r="M32" s="903">
        <f t="shared" si="1"/>
        <v>1562.2826107036678</v>
      </c>
      <c r="N32" s="904">
        <f t="shared" si="2"/>
        <v>5624.2173985332047</v>
      </c>
      <c r="O32" s="905">
        <f t="shared" si="19"/>
        <v>2.4999999999999991</v>
      </c>
      <c r="P32" s="906">
        <f t="shared" si="20"/>
        <v>44</v>
      </c>
      <c r="Q32" s="907" t="str">
        <f t="shared" si="3"/>
        <v/>
      </c>
      <c r="R32" s="908">
        <f t="shared" si="4"/>
        <v>52327.581195083192</v>
      </c>
      <c r="S32" s="909">
        <f t="shared" si="5"/>
        <v>14878.470626978446</v>
      </c>
      <c r="T32" s="910" t="str">
        <f t="shared" si="6"/>
        <v/>
      </c>
      <c r="U32" s="911">
        <f t="shared" si="7"/>
        <v>65409.476493853988</v>
      </c>
      <c r="V32" s="912">
        <f t="shared" si="8"/>
        <v>18598.088283723057</v>
      </c>
      <c r="W32" s="389"/>
      <c r="X32" s="513">
        <v>150</v>
      </c>
      <c r="Y32" s="513">
        <v>20.3</v>
      </c>
      <c r="Z32" s="513">
        <v>14.1</v>
      </c>
      <c r="AA32" s="513">
        <v>1.1200000000000001</v>
      </c>
      <c r="AB32" s="513" t="s">
        <v>1687</v>
      </c>
      <c r="AC32" s="388"/>
      <c r="AD32" s="403"/>
      <c r="AE32" s="403"/>
      <c r="AF32" s="398">
        <f t="shared" si="31"/>
        <v>8.2101191592409872</v>
      </c>
      <c r="AG32" s="398">
        <f t="shared" si="10"/>
        <v>44.225187897469958</v>
      </c>
      <c r="AH32" s="398">
        <f t="shared" si="11"/>
        <v>2.4999999999999991</v>
      </c>
      <c r="AI32" s="388"/>
      <c r="AJ32" s="399">
        <f t="shared" si="12"/>
        <v>1562.2826107036678</v>
      </c>
      <c r="AK32" s="508">
        <v>900</v>
      </c>
      <c r="AL32" s="400">
        <f t="shared" si="13"/>
        <v>1562.2826107036678</v>
      </c>
      <c r="AM32" s="388"/>
      <c r="AN32" s="399">
        <f t="shared" si="14"/>
        <v>1562.2826107036678</v>
      </c>
      <c r="AO32" s="508">
        <v>900</v>
      </c>
      <c r="AP32" s="400">
        <f t="shared" si="15"/>
        <v>1562.2826107036678</v>
      </c>
      <c r="AQ32" s="388"/>
      <c r="AR32" s="399">
        <f t="shared" si="32"/>
        <v>1562.2826107036678</v>
      </c>
      <c r="AS32" s="508">
        <v>900</v>
      </c>
      <c r="AT32" s="400">
        <f t="shared" si="17"/>
        <v>1562.2826107036678</v>
      </c>
      <c r="AU32" s="388"/>
      <c r="AV32" s="388"/>
      <c r="AW32" s="388"/>
      <c r="AX32" s="388"/>
      <c r="AY32" s="387"/>
      <c r="AZ32" s="388"/>
      <c r="BA32" s="388"/>
      <c r="BB32" s="388"/>
      <c r="BC32" s="388"/>
      <c r="BD32" s="388"/>
      <c r="BE32" s="388"/>
      <c r="BF32" s="388"/>
      <c r="BG32" s="388"/>
      <c r="BH32" s="388"/>
      <c r="BI32" s="388"/>
      <c r="BJ32" s="388"/>
      <c r="BK32" s="388"/>
      <c r="BL32" s="388"/>
      <c r="BM32" s="388"/>
      <c r="BN32" s="388"/>
      <c r="BO32" s="388"/>
      <c r="BZ32" s="16"/>
      <c r="CA32" s="16"/>
      <c r="CB32" s="16"/>
      <c r="CC32" s="16"/>
      <c r="CD32" s="16"/>
      <c r="CE32" s="16"/>
      <c r="CF32" s="16"/>
      <c r="CG32" s="16"/>
      <c r="CH32" s="1894"/>
      <c r="CI32" s="1915"/>
      <c r="CJ32" s="1912"/>
      <c r="CK32" s="1909"/>
      <c r="CL32" s="1895" t="s">
        <v>360</v>
      </c>
      <c r="CM32" s="1895"/>
      <c r="CN32" s="1895"/>
      <c r="CO32" s="1895"/>
      <c r="CP32" s="1895"/>
      <c r="CQ32" s="1895"/>
      <c r="CR32" s="1895"/>
      <c r="CS32" s="1895"/>
      <c r="CT32" s="1895"/>
      <c r="CU32" s="1895"/>
      <c r="CV32" s="1895"/>
      <c r="CW32" s="1895"/>
      <c r="CX32" s="1895"/>
      <c r="CY32" s="1895"/>
      <c r="CZ32" s="1895"/>
      <c r="DA32" s="1895"/>
      <c r="DB32" s="1895"/>
      <c r="DC32" s="1895"/>
      <c r="DD32" s="1895"/>
      <c r="DE32" s="1895"/>
      <c r="DF32" s="1895"/>
      <c r="DG32" s="1895"/>
      <c r="DH32" s="1895"/>
      <c r="DI32" s="1895"/>
      <c r="DJ32" s="1895"/>
      <c r="DK32" s="1895"/>
      <c r="DL32" s="1895"/>
      <c r="DM32" s="1896"/>
      <c r="DN32" s="676"/>
      <c r="DO32" s="676"/>
      <c r="DP32" s="676"/>
      <c r="DQ32" s="676"/>
      <c r="DR32" s="676"/>
      <c r="DS32" s="676"/>
      <c r="DT32" s="676"/>
      <c r="DU32" s="676"/>
      <c r="DV32" s="676"/>
      <c r="DW32" s="676"/>
      <c r="DX32" s="676"/>
      <c r="DY32" s="676"/>
      <c r="DZ32" s="676"/>
      <c r="EA32" s="676"/>
      <c r="EC32" s="2">
        <v>4</v>
      </c>
      <c r="ED32" s="2">
        <v>640.70000000000005</v>
      </c>
      <c r="EE32" s="167">
        <v>2748.8</v>
      </c>
      <c r="EF32" s="168">
        <f t="shared" si="33"/>
        <v>0</v>
      </c>
    </row>
    <row r="33" spans="4:136" ht="12.75" customHeight="1" thickTop="1">
      <c r="D33" s="389"/>
      <c r="E33" s="389"/>
      <c r="F33" s="389"/>
      <c r="G33" s="389"/>
      <c r="H33" s="388"/>
      <c r="I33" s="757">
        <v>1000</v>
      </c>
      <c r="J33" s="408">
        <v>1016</v>
      </c>
      <c r="K33" s="409">
        <f t="shared" si="0"/>
        <v>994</v>
      </c>
      <c r="L33" s="410">
        <v>11</v>
      </c>
      <c r="M33" s="759">
        <f t="shared" si="1"/>
        <v>1940.0041494264024</v>
      </c>
      <c r="N33" s="418">
        <f t="shared" si="2"/>
        <v>6984.0149379350487</v>
      </c>
      <c r="O33" s="411">
        <f t="shared" si="19"/>
        <v>2.4999999999999991</v>
      </c>
      <c r="P33" s="412">
        <f t="shared" si="20"/>
        <v>39</v>
      </c>
      <c r="Q33" s="419" t="str">
        <f t="shared" si="3"/>
        <v/>
      </c>
      <c r="R33" s="420">
        <f t="shared" si="4"/>
        <v>64979.10426218254</v>
      </c>
      <c r="S33" s="421">
        <f t="shared" si="5"/>
        <v>18475.719153307517</v>
      </c>
      <c r="T33" s="422" t="str">
        <f t="shared" si="6"/>
        <v/>
      </c>
      <c r="U33" s="423">
        <f t="shared" si="7"/>
        <v>81223.88032772817</v>
      </c>
      <c r="V33" s="758">
        <f t="shared" si="8"/>
        <v>23094.648941634397</v>
      </c>
      <c r="W33" s="389"/>
      <c r="X33" s="513">
        <v>200</v>
      </c>
      <c r="Y33" s="513">
        <v>43.8</v>
      </c>
      <c r="Z33" s="513">
        <v>26.8</v>
      </c>
      <c r="AA33" s="513">
        <v>1.2</v>
      </c>
      <c r="AB33" s="513" t="s">
        <v>1689</v>
      </c>
      <c r="AC33" s="388"/>
      <c r="AD33" s="403"/>
      <c r="AE33" s="403"/>
      <c r="AF33" s="398">
        <f t="shared" si="31"/>
        <v>8.7898025177609291</v>
      </c>
      <c r="AG33" s="398">
        <f t="shared" si="10"/>
        <v>38.975846948288513</v>
      </c>
      <c r="AH33" s="398">
        <f t="shared" si="11"/>
        <v>2.4999999999999991</v>
      </c>
      <c r="AI33" s="388"/>
      <c r="AJ33" s="399">
        <f t="shared" si="12"/>
        <v>1940.0041494264024</v>
      </c>
      <c r="AK33" s="508">
        <v>1000</v>
      </c>
      <c r="AL33" s="400">
        <f t="shared" si="13"/>
        <v>1940.0041494264024</v>
      </c>
      <c r="AM33" s="388"/>
      <c r="AN33" s="399">
        <f t="shared" si="14"/>
        <v>1940.0041494264024</v>
      </c>
      <c r="AO33" s="508">
        <v>1000</v>
      </c>
      <c r="AP33" s="400">
        <f t="shared" si="15"/>
        <v>1940.0041494264024</v>
      </c>
      <c r="AQ33" s="388"/>
      <c r="AR33" s="399">
        <f t="shared" si="32"/>
        <v>1940.0041494264024</v>
      </c>
      <c r="AS33" s="508">
        <v>1000</v>
      </c>
      <c r="AT33" s="400">
        <f t="shared" si="17"/>
        <v>1940.0041494264024</v>
      </c>
      <c r="AU33" s="388"/>
      <c r="AV33" s="388"/>
      <c r="AW33" s="388"/>
      <c r="AX33" s="388"/>
      <c r="AY33" s="387"/>
      <c r="BA33" s="388"/>
      <c r="BB33" s="388"/>
      <c r="BC33" s="388"/>
      <c r="BD33" s="388"/>
      <c r="BE33" s="388"/>
      <c r="BF33" s="388"/>
      <c r="BG33" s="388"/>
      <c r="BH33" s="388"/>
      <c r="BI33" s="388"/>
      <c r="BJ33" s="388"/>
      <c r="BK33" s="388"/>
      <c r="BL33" s="388"/>
      <c r="BM33" s="388"/>
      <c r="BN33" s="388"/>
      <c r="BO33" s="388"/>
      <c r="BZ33" s="16"/>
      <c r="CA33" s="16"/>
      <c r="CB33" s="16"/>
      <c r="CC33" s="16"/>
      <c r="CD33" s="16"/>
      <c r="CE33" s="16"/>
      <c r="CF33" s="16"/>
      <c r="CG33" s="16"/>
      <c r="CH33" s="1901">
        <v>0.4</v>
      </c>
      <c r="CI33" s="5">
        <f>IF($BR$10=CH33,CH33,0)</f>
        <v>0</v>
      </c>
      <c r="CJ33" s="477">
        <v>15</v>
      </c>
      <c r="CK33" s="2">
        <f t="shared" ref="CK33:CK68" si="36">IF($BR$17=CJ33,CJ33,0)</f>
        <v>0</v>
      </c>
      <c r="CL33" s="472" t="str">
        <f t="shared" ref="CL33:CL68" si="37">IF(AND($CI33*$CK33&gt;0,CM33=$CK$8),$CH$11,"")</f>
        <v/>
      </c>
      <c r="CM33" s="487">
        <v>7</v>
      </c>
      <c r="CN33" s="472" t="str">
        <f t="shared" ref="CN33:CN68" si="38">IF(AND($CI33*$CK33&gt;0,CO33=$CK$8),$CH$11,"")</f>
        <v/>
      </c>
      <c r="CO33" s="491">
        <v>14</v>
      </c>
      <c r="CP33" s="472" t="str">
        <f t="shared" ref="CP33:CP68" si="39">IF(AND($CI33*$CK33&gt;0,CQ33=$CK$8),$CH$11,"")</f>
        <v/>
      </c>
      <c r="CQ33" s="491">
        <v>24</v>
      </c>
      <c r="CR33" s="472" t="str">
        <f t="shared" ref="CR33:CR68" si="40">IF(AND($CI33*$CK33&gt;0,CS33=$CK$8),$CH$11,"")</f>
        <v/>
      </c>
      <c r="CS33" s="491">
        <v>37</v>
      </c>
      <c r="CT33" s="472" t="str">
        <f t="shared" ref="CT33:CT68" si="41">IF(AND($CI33*$CK33&gt;0,CU33=$CK$8),$CH$11,"")</f>
        <v/>
      </c>
      <c r="CU33" s="491">
        <v>52</v>
      </c>
      <c r="CV33" s="472" t="str">
        <f t="shared" ref="CV33:CV68" si="42">IF(AND($CI33*$CK33&gt;0,CW33=$CK$8),$CH$11,"")</f>
        <v/>
      </c>
      <c r="CW33" s="491">
        <v>99</v>
      </c>
      <c r="CX33" s="472" t="str">
        <f t="shared" ref="CX33:CX68" si="43">IF(AND($CI33*$CK33&gt;0,CY33=$CK$8),$CH$11,"")</f>
        <v/>
      </c>
      <c r="CY33" s="491">
        <v>145</v>
      </c>
      <c r="CZ33" s="472" t="str">
        <f t="shared" ref="CZ33:CZ68" si="44">IF(AND($CI33*$CK33&gt;0,DA33=$CK$8),$CH$11,"")</f>
        <v/>
      </c>
      <c r="DA33" s="491">
        <v>213</v>
      </c>
      <c r="DB33" s="472" t="str">
        <f t="shared" ref="DB33:DB68" si="45">IF(AND($CI33*$CK33&gt;0,DC33=$CK$8),$CH$11,"")</f>
        <v/>
      </c>
      <c r="DC33" s="491">
        <v>394</v>
      </c>
      <c r="DD33" s="472" t="str">
        <f t="shared" ref="DD33:DD68" si="46">IF(AND($CI33*$CK33&gt;0,DE33=$CK$8),$CH$11,"")</f>
        <v/>
      </c>
      <c r="DE33" s="491">
        <v>648</v>
      </c>
      <c r="DF33" s="472" t="str">
        <f t="shared" ref="DF33:DF68" si="47">IF(AND($CI33*$CK33&gt;0,DG33=$CK$8),$CH$11,"")</f>
        <v/>
      </c>
      <c r="DG33" s="491">
        <v>917</v>
      </c>
      <c r="DH33" s="472" t="str">
        <f t="shared" ref="DH33:DH68" si="48">IF(AND($CI33*$CK33&gt;0,DI33=$CK$8),$CH$11,"")</f>
        <v/>
      </c>
      <c r="DI33" s="491">
        <v>1606</v>
      </c>
      <c r="DJ33" s="472" t="str">
        <f t="shared" ref="DJ33:DJ68" si="49">IF(AND($CI33*$CK33&gt;0,DK33=$CK$8),$CH$11,"")</f>
        <v/>
      </c>
      <c r="DK33" s="491">
        <v>2590</v>
      </c>
      <c r="DL33" s="472" t="str">
        <f t="shared" ref="DL33:DL68" si="50">IF(AND($CI33*$CK33&gt;0,DM33=$CK$8),$CH$11,"")</f>
        <v/>
      </c>
      <c r="DM33" s="495">
        <v>3678</v>
      </c>
      <c r="DN33" s="7" t="str">
        <f t="shared" ref="DN33:DN68" si="51">IF(AND($CI33&gt;0,$CK33&gt;0),CM33,"")</f>
        <v/>
      </c>
      <c r="DO33" s="7" t="str">
        <f t="shared" ref="DO33:DO68" si="52">IF(AND($CI33&gt;0,$CK33&gt;0),CO33,"")</f>
        <v/>
      </c>
      <c r="DP33" s="7" t="str">
        <f t="shared" ref="DP33:DP68" si="53">IF(AND($CI33&gt;0,$CK33&gt;0),CQ33,"")</f>
        <v/>
      </c>
      <c r="DQ33" s="7" t="str">
        <f t="shared" ref="DQ33:DQ68" si="54">IF(AND($CI33&gt;0,$CK33&gt;0),CS33,"")</f>
        <v/>
      </c>
      <c r="DR33" s="7" t="str">
        <f t="shared" ref="DR33:DR68" si="55">IF(AND($CI33&gt;0,$CK33&gt;0),CU33,"")</f>
        <v/>
      </c>
      <c r="DS33" s="7" t="str">
        <f t="shared" ref="DS33:DS68" si="56">IF(AND($CI33&gt;0,$CK33&gt;0),CW33,"")</f>
        <v/>
      </c>
      <c r="DT33" s="7" t="str">
        <f t="shared" ref="DT33:DT68" si="57">IF(AND($CI33&gt;0,$CK33&gt;0),CY33,"")</f>
        <v/>
      </c>
      <c r="DU33" s="7" t="str">
        <f t="shared" ref="DU33:DU68" si="58">IF(AND($CI33&gt;0,$CK33&gt;0),DA33,"")</f>
        <v/>
      </c>
      <c r="DV33" s="7" t="str">
        <f t="shared" ref="DV33:DV68" si="59">IF(AND($CI33&gt;0,$CK33&gt;0),DC33,"")</f>
        <v/>
      </c>
      <c r="DW33" s="7" t="str">
        <f t="shared" ref="DW33:DW68" si="60">IF(AND($CI33&gt;0,$CK33&gt;0),DE33,"")</f>
        <v/>
      </c>
      <c r="DX33" s="7" t="str">
        <f t="shared" ref="DX33:DX68" si="61">IF(AND($CI33&gt;0,$CK33&gt;0),DG33,"")</f>
        <v/>
      </c>
      <c r="DY33" s="7" t="str">
        <f t="shared" ref="DY33:DY68" si="62">IF(AND($CI33&gt;0,$CK33&gt;0),DI33,"")</f>
        <v/>
      </c>
      <c r="DZ33" s="7" t="str">
        <f t="shared" ref="DZ33:DZ68" si="63">IF(AND($CI33&gt;0,$CK33&gt;0),DK33,"")</f>
        <v/>
      </c>
      <c r="EA33" s="7" t="str">
        <f t="shared" ref="EA33:EA68" si="64">IF(AND($CI33&gt;0,$CK33&gt;0),DM33,"")</f>
        <v/>
      </c>
      <c r="EC33" s="2">
        <v>5</v>
      </c>
      <c r="ED33" s="2">
        <v>670.9</v>
      </c>
      <c r="EE33" s="167">
        <v>2756.9</v>
      </c>
      <c r="EF33" s="168">
        <f t="shared" si="33"/>
        <v>0</v>
      </c>
    </row>
    <row r="34" spans="4:136" ht="12.75" customHeight="1">
      <c r="D34" s="1847" t="s">
        <v>1725</v>
      </c>
      <c r="E34" s="1848"/>
      <c r="F34" s="1848"/>
      <c r="G34" s="1849"/>
      <c r="H34" s="388"/>
      <c r="I34" s="899">
        <v>1200</v>
      </c>
      <c r="J34" s="900">
        <v>1219</v>
      </c>
      <c r="K34" s="901">
        <f t="shared" si="0"/>
        <v>1194</v>
      </c>
      <c r="L34" s="902">
        <v>12.5</v>
      </c>
      <c r="M34" s="903">
        <f t="shared" si="1"/>
        <v>2799.2297401832102</v>
      </c>
      <c r="N34" s="904">
        <f t="shared" si="2"/>
        <v>10077.227064659557</v>
      </c>
      <c r="O34" s="905">
        <f t="shared" si="19"/>
        <v>2.4999999999999991</v>
      </c>
      <c r="P34" s="906">
        <f t="shared" si="20"/>
        <v>31</v>
      </c>
      <c r="Q34" s="907" t="str">
        <f t="shared" si="3"/>
        <v/>
      </c>
      <c r="R34" s="908">
        <f t="shared" si="4"/>
        <v>93758.274277375385</v>
      </c>
      <c r="S34" s="909">
        <f t="shared" si="5"/>
        <v>26658.593766669146</v>
      </c>
      <c r="T34" s="910" t="str">
        <f t="shared" si="6"/>
        <v/>
      </c>
      <c r="U34" s="911">
        <f t="shared" si="7"/>
        <v>117197.84284671923</v>
      </c>
      <c r="V34" s="912">
        <f t="shared" si="8"/>
        <v>33323.242208336429</v>
      </c>
      <c r="W34" s="389"/>
      <c r="X34" s="513">
        <v>225</v>
      </c>
      <c r="Y34" s="513">
        <v>59.9</v>
      </c>
      <c r="Z34" s="513">
        <v>34.799999999999997</v>
      </c>
      <c r="AA34" s="513">
        <v>1.23</v>
      </c>
      <c r="AB34" s="513" t="s">
        <v>1690</v>
      </c>
      <c r="AC34" s="388"/>
      <c r="AD34" s="403"/>
      <c r="AE34" s="403"/>
      <c r="AF34" s="398">
        <f t="shared" si="31"/>
        <v>9.866173290172485</v>
      </c>
      <c r="AG34" s="398">
        <f t="shared" si="10"/>
        <v>31.468889862135562</v>
      </c>
      <c r="AH34" s="398">
        <f t="shared" si="11"/>
        <v>2.4999999999999991</v>
      </c>
      <c r="AI34" s="388"/>
      <c r="AJ34" s="399">
        <f t="shared" si="12"/>
        <v>2799.2297401832102</v>
      </c>
      <c r="AK34" s="508">
        <v>1200</v>
      </c>
      <c r="AL34" s="400">
        <f t="shared" si="13"/>
        <v>2799.2297401832102</v>
      </c>
      <c r="AM34" s="388"/>
      <c r="AN34" s="399">
        <f t="shared" si="14"/>
        <v>2799.2297401832102</v>
      </c>
      <c r="AO34" s="508">
        <v>1200</v>
      </c>
      <c r="AP34" s="400">
        <f t="shared" si="15"/>
        <v>2799.2297401832102</v>
      </c>
      <c r="AQ34" s="388"/>
      <c r="AR34" s="399">
        <f t="shared" si="32"/>
        <v>2799.2297401832102</v>
      </c>
      <c r="AS34" s="508">
        <v>1200</v>
      </c>
      <c r="AT34" s="400">
        <f t="shared" si="17"/>
        <v>2799.2297401832102</v>
      </c>
      <c r="AU34" s="388"/>
      <c r="AV34" s="388"/>
      <c r="AW34" s="388"/>
      <c r="AX34" s="388"/>
      <c r="AY34" s="387"/>
      <c r="AZ34" s="388"/>
      <c r="BA34" s="388"/>
      <c r="BB34" s="388"/>
      <c r="BC34" s="388"/>
      <c r="BD34" s="388"/>
      <c r="BE34" s="388"/>
      <c r="BF34" s="388"/>
      <c r="BG34" s="388"/>
      <c r="BH34" s="388"/>
      <c r="BI34" s="388"/>
      <c r="BJ34" s="388"/>
      <c r="BK34" s="388"/>
      <c r="BL34" s="388"/>
      <c r="BM34" s="388"/>
      <c r="BN34" s="388"/>
      <c r="BO34" s="388"/>
      <c r="BZ34" s="16"/>
      <c r="CA34" s="16"/>
      <c r="CB34" s="16"/>
      <c r="CC34" s="16"/>
      <c r="CD34" s="16"/>
      <c r="CE34" s="16"/>
      <c r="CF34" s="16"/>
      <c r="CG34" s="16"/>
      <c r="CH34" s="1898"/>
      <c r="CI34" s="468">
        <f>IF($BR$10=CH33,CH33,0)</f>
        <v>0</v>
      </c>
      <c r="CJ34" s="477">
        <v>25</v>
      </c>
      <c r="CK34" s="2">
        <f t="shared" si="36"/>
        <v>0</v>
      </c>
      <c r="CL34" s="472" t="str">
        <f t="shared" si="37"/>
        <v/>
      </c>
      <c r="CM34" s="487">
        <v>10</v>
      </c>
      <c r="CN34" s="472" t="str">
        <f t="shared" si="38"/>
        <v/>
      </c>
      <c r="CO34" s="491">
        <v>25</v>
      </c>
      <c r="CP34" s="472" t="str">
        <f t="shared" si="39"/>
        <v/>
      </c>
      <c r="CQ34" s="491">
        <v>40</v>
      </c>
      <c r="CR34" s="472" t="str">
        <f t="shared" si="40"/>
        <v/>
      </c>
      <c r="CS34" s="491">
        <v>62</v>
      </c>
      <c r="CT34" s="472" t="str">
        <f t="shared" si="41"/>
        <v/>
      </c>
      <c r="CU34" s="491">
        <v>92</v>
      </c>
      <c r="CV34" s="472" t="str">
        <f t="shared" si="42"/>
        <v/>
      </c>
      <c r="CW34" s="491">
        <v>162</v>
      </c>
      <c r="CX34" s="472" t="str">
        <f t="shared" si="43"/>
        <v/>
      </c>
      <c r="CY34" s="491">
        <v>265</v>
      </c>
      <c r="CZ34" s="472" t="str">
        <f t="shared" si="44"/>
        <v/>
      </c>
      <c r="DA34" s="491">
        <v>384</v>
      </c>
      <c r="DB34" s="472" t="str">
        <f t="shared" si="45"/>
        <v/>
      </c>
      <c r="DC34" s="491">
        <v>675</v>
      </c>
      <c r="DD34" s="472" t="str">
        <f t="shared" si="46"/>
        <v/>
      </c>
      <c r="DE34" s="491">
        <v>972</v>
      </c>
      <c r="DF34" s="472" t="str">
        <f t="shared" si="47"/>
        <v/>
      </c>
      <c r="DG34" s="491">
        <v>1457</v>
      </c>
      <c r="DH34" s="472" t="str">
        <f t="shared" si="48"/>
        <v/>
      </c>
      <c r="DI34" s="491">
        <v>2806</v>
      </c>
      <c r="DJ34" s="472" t="str">
        <f t="shared" si="49"/>
        <v/>
      </c>
      <c r="DK34" s="491">
        <v>4101</v>
      </c>
      <c r="DL34" s="472" t="str">
        <f t="shared" si="50"/>
        <v/>
      </c>
      <c r="DM34" s="495">
        <v>5936</v>
      </c>
      <c r="DN34" s="7" t="str">
        <f t="shared" si="51"/>
        <v/>
      </c>
      <c r="DO34" s="7" t="str">
        <f t="shared" si="52"/>
        <v/>
      </c>
      <c r="DP34" s="7" t="str">
        <f t="shared" si="53"/>
        <v/>
      </c>
      <c r="DQ34" s="7" t="str">
        <f t="shared" si="54"/>
        <v/>
      </c>
      <c r="DR34" s="7" t="str">
        <f t="shared" si="55"/>
        <v/>
      </c>
      <c r="DS34" s="7" t="str">
        <f t="shared" si="56"/>
        <v/>
      </c>
      <c r="DT34" s="7" t="str">
        <f t="shared" si="57"/>
        <v/>
      </c>
      <c r="DU34" s="7" t="str">
        <f t="shared" si="58"/>
        <v/>
      </c>
      <c r="DV34" s="7" t="str">
        <f t="shared" si="59"/>
        <v/>
      </c>
      <c r="DW34" s="7" t="str">
        <f t="shared" si="60"/>
        <v/>
      </c>
      <c r="DX34" s="7" t="str">
        <f t="shared" si="61"/>
        <v/>
      </c>
      <c r="DY34" s="7" t="str">
        <f t="shared" si="62"/>
        <v/>
      </c>
      <c r="DZ34" s="7" t="str">
        <f t="shared" si="63"/>
        <v/>
      </c>
      <c r="EA34" s="7" t="str">
        <f t="shared" si="64"/>
        <v/>
      </c>
      <c r="EC34" s="2">
        <v>6</v>
      </c>
      <c r="ED34" s="2">
        <v>697.5</v>
      </c>
      <c r="EE34" s="167">
        <v>2763.5</v>
      </c>
      <c r="EF34" s="168">
        <f t="shared" si="33"/>
        <v>0</v>
      </c>
    </row>
    <row r="35" spans="4:136" ht="12.75" customHeight="1">
      <c r="D35" s="1885" t="s">
        <v>1452</v>
      </c>
      <c r="E35" s="1388"/>
      <c r="F35" s="554" t="s">
        <v>3</v>
      </c>
      <c r="G35" s="424"/>
      <c r="H35" s="388"/>
      <c r="I35" s="757">
        <v>1400</v>
      </c>
      <c r="J35" s="408">
        <v>1422</v>
      </c>
      <c r="K35" s="409">
        <f t="shared" si="0"/>
        <v>1397</v>
      </c>
      <c r="L35" s="410">
        <v>12.5</v>
      </c>
      <c r="M35" s="759">
        <f t="shared" si="1"/>
        <v>3831.9753106748253</v>
      </c>
      <c r="N35" s="418">
        <f t="shared" si="2"/>
        <v>13795.111118429371</v>
      </c>
      <c r="O35" s="411">
        <f t="shared" si="19"/>
        <v>2.4999999999999991</v>
      </c>
      <c r="P35" s="412">
        <f t="shared" si="20"/>
        <v>26</v>
      </c>
      <c r="Q35" s="419" t="str">
        <f t="shared" si="3"/>
        <v/>
      </c>
      <c r="R35" s="420">
        <f t="shared" si="4"/>
        <v>128349.37663203954</v>
      </c>
      <c r="S35" s="421">
        <f t="shared" si="5"/>
        <v>36493.993924378599</v>
      </c>
      <c r="T35" s="422" t="str">
        <f t="shared" si="6"/>
        <v/>
      </c>
      <c r="U35" s="423">
        <f t="shared" si="7"/>
        <v>160436.72079004941</v>
      </c>
      <c r="V35" s="758">
        <f t="shared" si="8"/>
        <v>45617.492405473247</v>
      </c>
      <c r="W35" s="389"/>
      <c r="X35" s="513">
        <v>250</v>
      </c>
      <c r="Y35" s="513">
        <v>79.400000000000006</v>
      </c>
      <c r="Z35" s="513">
        <v>42.3</v>
      </c>
      <c r="AA35" s="513">
        <v>1.21</v>
      </c>
      <c r="AB35" s="513" t="s">
        <v>1691</v>
      </c>
      <c r="AC35" s="388"/>
      <c r="AD35" s="403"/>
      <c r="AE35" s="403"/>
      <c r="AF35" s="398">
        <f t="shared" si="31"/>
        <v>10.892274713656221</v>
      </c>
      <c r="AG35" s="398">
        <f t="shared" si="10"/>
        <v>26.199998464906813</v>
      </c>
      <c r="AH35" s="398">
        <f t="shared" si="11"/>
        <v>2.4999999999999991</v>
      </c>
      <c r="AI35" s="388"/>
      <c r="AJ35" s="399">
        <f t="shared" si="12"/>
        <v>3831.9753106748253</v>
      </c>
      <c r="AK35" s="508">
        <v>1400</v>
      </c>
      <c r="AL35" s="400">
        <f t="shared" si="13"/>
        <v>3831.9753106748253</v>
      </c>
      <c r="AM35" s="388"/>
      <c r="AN35" s="399">
        <f t="shared" si="14"/>
        <v>3831.9753106748253</v>
      </c>
      <c r="AO35" s="508">
        <v>1400</v>
      </c>
      <c r="AP35" s="400">
        <f t="shared" si="15"/>
        <v>3831.9753106748253</v>
      </c>
      <c r="AQ35" s="388"/>
      <c r="AR35" s="399">
        <f t="shared" si="32"/>
        <v>3831.9753106748253</v>
      </c>
      <c r="AS35" s="508">
        <v>1400</v>
      </c>
      <c r="AT35" s="400">
        <f t="shared" si="17"/>
        <v>3831.9753106748253</v>
      </c>
      <c r="AU35" s="388"/>
      <c r="AV35" s="388"/>
      <c r="AW35" s="388"/>
      <c r="AX35" s="388"/>
      <c r="AY35" s="388"/>
      <c r="BZ35" s="16"/>
      <c r="CA35" s="16"/>
      <c r="CB35" s="16"/>
      <c r="CC35" s="16"/>
      <c r="CD35" s="16"/>
      <c r="CE35" s="16"/>
      <c r="CF35" s="16"/>
      <c r="CG35" s="16"/>
      <c r="CH35" s="1898"/>
      <c r="CI35" s="468">
        <f>IF($BR$10=CH33,CH33,0)</f>
        <v>0</v>
      </c>
      <c r="CJ35" s="478">
        <v>40</v>
      </c>
      <c r="CK35" s="4">
        <f t="shared" si="36"/>
        <v>0</v>
      </c>
      <c r="CL35" s="473" t="str">
        <f t="shared" si="37"/>
        <v/>
      </c>
      <c r="CM35" s="488">
        <v>17</v>
      </c>
      <c r="CN35" s="473" t="str">
        <f t="shared" si="38"/>
        <v/>
      </c>
      <c r="CO35" s="492">
        <v>35</v>
      </c>
      <c r="CP35" s="473" t="str">
        <f t="shared" si="39"/>
        <v/>
      </c>
      <c r="CQ35" s="492">
        <v>64</v>
      </c>
      <c r="CR35" s="473" t="str">
        <f t="shared" si="40"/>
        <v/>
      </c>
      <c r="CS35" s="492">
        <v>102</v>
      </c>
      <c r="CT35" s="473" t="str">
        <f t="shared" si="41"/>
        <v/>
      </c>
      <c r="CU35" s="492">
        <v>142</v>
      </c>
      <c r="CV35" s="473" t="str">
        <f t="shared" si="42"/>
        <v/>
      </c>
      <c r="CW35" s="492">
        <v>265</v>
      </c>
      <c r="CX35" s="473" t="str">
        <f t="shared" si="43"/>
        <v/>
      </c>
      <c r="CY35" s="492">
        <v>403</v>
      </c>
      <c r="CZ35" s="473" t="str">
        <f t="shared" si="44"/>
        <v/>
      </c>
      <c r="DA35" s="492">
        <v>576</v>
      </c>
      <c r="DB35" s="473" t="str">
        <f t="shared" si="45"/>
        <v/>
      </c>
      <c r="DC35" s="492">
        <v>1037</v>
      </c>
      <c r="DD35" s="473" t="str">
        <f t="shared" si="46"/>
        <v/>
      </c>
      <c r="DE35" s="492">
        <v>1670</v>
      </c>
      <c r="DF35" s="473" t="str">
        <f t="shared" si="47"/>
        <v/>
      </c>
      <c r="DG35" s="492">
        <v>2303</v>
      </c>
      <c r="DH35" s="473" t="str">
        <f t="shared" si="48"/>
        <v/>
      </c>
      <c r="DI35" s="492">
        <v>4318</v>
      </c>
      <c r="DJ35" s="473" t="str">
        <f t="shared" si="49"/>
        <v/>
      </c>
      <c r="DK35" s="492">
        <v>6909</v>
      </c>
      <c r="DL35" s="473" t="str">
        <f t="shared" si="50"/>
        <v/>
      </c>
      <c r="DM35" s="496">
        <v>9500</v>
      </c>
      <c r="DN35" s="7" t="str">
        <f t="shared" si="51"/>
        <v/>
      </c>
      <c r="DO35" s="7" t="str">
        <f t="shared" si="52"/>
        <v/>
      </c>
      <c r="DP35" s="7" t="str">
        <f t="shared" si="53"/>
        <v/>
      </c>
      <c r="DQ35" s="7" t="str">
        <f t="shared" si="54"/>
        <v/>
      </c>
      <c r="DR35" s="7" t="str">
        <f t="shared" si="55"/>
        <v/>
      </c>
      <c r="DS35" s="7" t="str">
        <f t="shared" si="56"/>
        <v/>
      </c>
      <c r="DT35" s="7" t="str">
        <f t="shared" si="57"/>
        <v/>
      </c>
      <c r="DU35" s="7" t="str">
        <f t="shared" si="58"/>
        <v/>
      </c>
      <c r="DV35" s="7" t="str">
        <f t="shared" si="59"/>
        <v/>
      </c>
      <c r="DW35" s="7" t="str">
        <f t="shared" si="60"/>
        <v/>
      </c>
      <c r="DX35" s="7" t="str">
        <f t="shared" si="61"/>
        <v/>
      </c>
      <c r="DY35" s="7" t="str">
        <f t="shared" si="62"/>
        <v/>
      </c>
      <c r="DZ35" s="7" t="str">
        <f t="shared" si="63"/>
        <v/>
      </c>
      <c r="EA35" s="7" t="str">
        <f t="shared" si="64"/>
        <v/>
      </c>
      <c r="EC35" s="2">
        <v>7</v>
      </c>
      <c r="ED35" s="2">
        <v>721.4</v>
      </c>
      <c r="EE35" s="167">
        <v>2769.1</v>
      </c>
      <c r="EF35" s="168">
        <f t="shared" si="33"/>
        <v>0</v>
      </c>
    </row>
    <row r="36" spans="4:136" ht="12.75" customHeight="1">
      <c r="D36" s="1886"/>
      <c r="E36" s="528" t="str">
        <f>IF($E$35=0,"-",IF(F35=AH48,AG47,AG48))</f>
        <v>-</v>
      </c>
      <c r="F36" s="650" t="str">
        <f>IF(F35="m3/h","kg/s","m3/h")</f>
        <v>m3/h</v>
      </c>
      <c r="G36" s="693"/>
      <c r="H36" s="388"/>
      <c r="I36" s="899">
        <v>1600</v>
      </c>
      <c r="J36" s="900">
        <v>1626</v>
      </c>
      <c r="K36" s="901">
        <f t="shared" si="0"/>
        <v>1601</v>
      </c>
      <c r="L36" s="902">
        <v>12.5</v>
      </c>
      <c r="M36" s="903">
        <f t="shared" si="1"/>
        <v>5032.8333945462546</v>
      </c>
      <c r="N36" s="904">
        <f t="shared" si="2"/>
        <v>18118.200220366518</v>
      </c>
      <c r="O36" s="905">
        <f t="shared" si="19"/>
        <v>2.4999999999999991</v>
      </c>
      <c r="P36" s="906">
        <f t="shared" si="20"/>
        <v>22</v>
      </c>
      <c r="Q36" s="907" t="str">
        <f t="shared" si="3"/>
        <v/>
      </c>
      <c r="R36" s="908">
        <f t="shared" si="4"/>
        <v>168571.29196095135</v>
      </c>
      <c r="S36" s="909">
        <f t="shared" si="5"/>
        <v>47930.421370756711</v>
      </c>
      <c r="T36" s="910" t="str">
        <f t="shared" si="6"/>
        <v/>
      </c>
      <c r="U36" s="911">
        <f t="shared" si="7"/>
        <v>210714.1149511892</v>
      </c>
      <c r="V36" s="912">
        <f t="shared" si="8"/>
        <v>59913.026713445892</v>
      </c>
      <c r="W36" s="389"/>
      <c r="AC36" s="388"/>
      <c r="AD36" s="403"/>
      <c r="AE36" s="403"/>
      <c r="AF36" s="398">
        <f t="shared" si="31"/>
        <v>11.869134750904744</v>
      </c>
      <c r="AG36" s="398">
        <f t="shared" si="10"/>
        <v>22.347080192334744</v>
      </c>
      <c r="AH36" s="398">
        <f t="shared" si="11"/>
        <v>2.4999999999999991</v>
      </c>
      <c r="AI36" s="388"/>
      <c r="AJ36" s="399">
        <f t="shared" si="12"/>
        <v>5032.8333945462546</v>
      </c>
      <c r="AK36" s="508">
        <v>1600</v>
      </c>
      <c r="AL36" s="400">
        <f t="shared" si="13"/>
        <v>5032.8333945462546</v>
      </c>
      <c r="AM36" s="388"/>
      <c r="AN36" s="399">
        <f t="shared" si="14"/>
        <v>5032.8333945462546</v>
      </c>
      <c r="AO36" s="508">
        <v>1600</v>
      </c>
      <c r="AP36" s="400">
        <f t="shared" si="15"/>
        <v>5032.8333945462546</v>
      </c>
      <c r="AQ36" s="388"/>
      <c r="AR36" s="399">
        <f t="shared" si="32"/>
        <v>5032.8333945462546</v>
      </c>
      <c r="AS36" s="508">
        <v>1600</v>
      </c>
      <c r="AT36" s="400">
        <f t="shared" si="17"/>
        <v>5032.8333945462546</v>
      </c>
      <c r="AU36" s="388"/>
      <c r="AV36" s="388"/>
      <c r="AW36" s="388"/>
      <c r="AX36" s="388"/>
      <c r="AY36" s="388"/>
      <c r="AZ36" s="388"/>
      <c r="BA36" s="388"/>
      <c r="BB36" s="388"/>
      <c r="BC36" s="388"/>
      <c r="BD36" s="388"/>
      <c r="BE36" s="388"/>
      <c r="BF36" s="388"/>
      <c r="BG36" s="388"/>
      <c r="BI36" s="388"/>
      <c r="BJ36" s="388"/>
      <c r="BK36" s="388"/>
      <c r="BL36" s="388"/>
      <c r="BM36" s="388"/>
      <c r="BN36" s="388"/>
      <c r="BO36" s="388"/>
      <c r="BZ36" s="16"/>
      <c r="CA36" s="16"/>
      <c r="CB36" s="16"/>
      <c r="CC36" s="16"/>
      <c r="CD36" s="16"/>
      <c r="CE36" s="16"/>
      <c r="CF36" s="16"/>
      <c r="CG36" s="16"/>
      <c r="CH36" s="1898">
        <v>0.7</v>
      </c>
      <c r="CI36" s="468">
        <f>IF($BR$10=CH36,CH36,0)</f>
        <v>0</v>
      </c>
      <c r="CJ36" s="479">
        <v>15</v>
      </c>
      <c r="CK36" s="3">
        <f t="shared" si="36"/>
        <v>0</v>
      </c>
      <c r="CL36" s="471" t="str">
        <f t="shared" si="37"/>
        <v/>
      </c>
      <c r="CM36" s="489">
        <v>7</v>
      </c>
      <c r="CN36" s="471" t="str">
        <f t="shared" si="38"/>
        <v/>
      </c>
      <c r="CO36" s="493">
        <v>16</v>
      </c>
      <c r="CP36" s="471" t="str">
        <f t="shared" si="39"/>
        <v/>
      </c>
      <c r="CQ36" s="493">
        <v>25</v>
      </c>
      <c r="CR36" s="471" t="str">
        <f t="shared" si="40"/>
        <v/>
      </c>
      <c r="CS36" s="493">
        <v>40</v>
      </c>
      <c r="CT36" s="471" t="str">
        <f t="shared" si="41"/>
        <v/>
      </c>
      <c r="CU36" s="493">
        <v>59</v>
      </c>
      <c r="CV36" s="471" t="str">
        <f t="shared" si="42"/>
        <v/>
      </c>
      <c r="CW36" s="493">
        <v>109</v>
      </c>
      <c r="CX36" s="471" t="str">
        <f t="shared" si="43"/>
        <v/>
      </c>
      <c r="CY36" s="493">
        <v>166</v>
      </c>
      <c r="CZ36" s="471" t="str">
        <f t="shared" si="44"/>
        <v/>
      </c>
      <c r="DA36" s="493">
        <v>250</v>
      </c>
      <c r="DB36" s="471" t="str">
        <f t="shared" si="45"/>
        <v/>
      </c>
      <c r="DC36" s="493">
        <v>431</v>
      </c>
      <c r="DD36" s="471" t="str">
        <f t="shared" si="46"/>
        <v/>
      </c>
      <c r="DE36" s="493">
        <v>680</v>
      </c>
      <c r="DF36" s="471" t="str">
        <f t="shared" si="47"/>
        <v/>
      </c>
      <c r="DG36" s="493">
        <v>1006</v>
      </c>
      <c r="DH36" s="471" t="str">
        <f t="shared" si="48"/>
        <v/>
      </c>
      <c r="DI36" s="493">
        <v>1708</v>
      </c>
      <c r="DJ36" s="471" t="str">
        <f t="shared" si="49"/>
        <v/>
      </c>
      <c r="DK36" s="493">
        <v>2791</v>
      </c>
      <c r="DL36" s="471" t="str">
        <f t="shared" si="50"/>
        <v/>
      </c>
      <c r="DM36" s="497">
        <v>3852</v>
      </c>
      <c r="DN36" s="7" t="str">
        <f t="shared" si="51"/>
        <v/>
      </c>
      <c r="DO36" s="7" t="str">
        <f t="shared" si="52"/>
        <v/>
      </c>
      <c r="DP36" s="7" t="str">
        <f t="shared" si="53"/>
        <v/>
      </c>
      <c r="DQ36" s="7" t="str">
        <f t="shared" si="54"/>
        <v/>
      </c>
      <c r="DR36" s="7" t="str">
        <f t="shared" si="55"/>
        <v/>
      </c>
      <c r="DS36" s="7" t="str">
        <f t="shared" si="56"/>
        <v/>
      </c>
      <c r="DT36" s="7" t="str">
        <f t="shared" si="57"/>
        <v/>
      </c>
      <c r="DU36" s="7" t="str">
        <f t="shared" si="58"/>
        <v/>
      </c>
      <c r="DV36" s="7" t="str">
        <f t="shared" si="59"/>
        <v/>
      </c>
      <c r="DW36" s="7" t="str">
        <f t="shared" si="60"/>
        <v/>
      </c>
      <c r="DX36" s="7" t="str">
        <f t="shared" si="61"/>
        <v/>
      </c>
      <c r="DY36" s="7" t="str">
        <f t="shared" si="62"/>
        <v/>
      </c>
      <c r="DZ36" s="7" t="str">
        <f t="shared" si="63"/>
        <v/>
      </c>
      <c r="EA36" s="7" t="str">
        <f t="shared" si="64"/>
        <v/>
      </c>
      <c r="EC36" s="2">
        <v>8</v>
      </c>
      <c r="ED36" s="2">
        <v>743.1</v>
      </c>
      <c r="EE36" s="167">
        <v>2774</v>
      </c>
      <c r="EF36" s="168">
        <f t="shared" si="33"/>
        <v>0</v>
      </c>
    </row>
    <row r="37" spans="4:136" ht="12.75" customHeight="1">
      <c r="D37" s="1887" t="s">
        <v>1231</v>
      </c>
      <c r="E37" s="1239" t="str">
        <f>IF(E35=0,"-",IF(E38&gt;0,"-",AR43))</f>
        <v>-</v>
      </c>
      <c r="G37" s="693"/>
      <c r="H37" s="388"/>
      <c r="I37" s="757">
        <v>1800</v>
      </c>
      <c r="J37" s="408">
        <v>1829</v>
      </c>
      <c r="K37" s="409">
        <f t="shared" si="0"/>
        <v>1797</v>
      </c>
      <c r="L37" s="410">
        <v>16</v>
      </c>
      <c r="M37" s="759">
        <f t="shared" si="1"/>
        <v>6340.5370445662738</v>
      </c>
      <c r="N37" s="418">
        <f t="shared" si="2"/>
        <v>22825.933360438587</v>
      </c>
      <c r="O37" s="411">
        <f t="shared" si="19"/>
        <v>2.4999999999999991</v>
      </c>
      <c r="P37" s="412">
        <f t="shared" si="20"/>
        <v>20</v>
      </c>
      <c r="Q37" s="419" t="str">
        <f t="shared" si="3"/>
        <v/>
      </c>
      <c r="R37" s="420">
        <f t="shared" si="4"/>
        <v>212371.92601826068</v>
      </c>
      <c r="S37" s="421">
        <f t="shared" si="5"/>
        <v>60384.397503059619</v>
      </c>
      <c r="T37" s="422" t="str">
        <f t="shared" si="6"/>
        <v/>
      </c>
      <c r="U37" s="423">
        <f t="shared" si="7"/>
        <v>265464.90752282587</v>
      </c>
      <c r="V37" s="758">
        <f t="shared" si="8"/>
        <v>75480.496878824531</v>
      </c>
      <c r="W37" s="389"/>
      <c r="AC37" s="388"/>
      <c r="AD37" s="403"/>
      <c r="AE37" s="403"/>
      <c r="AF37" s="398">
        <f t="shared" si="31"/>
        <v>12.765102596704534</v>
      </c>
      <c r="AG37" s="398">
        <f t="shared" si="10"/>
        <v>19.52935346348168</v>
      </c>
      <c r="AH37" s="398">
        <f t="shared" si="11"/>
        <v>2.4999999999999991</v>
      </c>
      <c r="AI37" s="388"/>
      <c r="AJ37" s="399">
        <f t="shared" si="12"/>
        <v>6340.5370445662738</v>
      </c>
      <c r="AK37" s="508">
        <v>1800</v>
      </c>
      <c r="AL37" s="400">
        <f t="shared" si="13"/>
        <v>6340.5370445662738</v>
      </c>
      <c r="AM37" s="388"/>
      <c r="AN37" s="399">
        <f t="shared" si="14"/>
        <v>6340.5370445662738</v>
      </c>
      <c r="AO37" s="508">
        <v>1800</v>
      </c>
      <c r="AP37" s="400">
        <f t="shared" si="15"/>
        <v>6340.5370445662738</v>
      </c>
      <c r="AQ37" s="388"/>
      <c r="AR37" s="399">
        <f t="shared" si="32"/>
        <v>6340.5370445662738</v>
      </c>
      <c r="AS37" s="508">
        <v>1800</v>
      </c>
      <c r="AT37" s="400">
        <f t="shared" si="17"/>
        <v>6340.5370445662738</v>
      </c>
      <c r="AU37" s="388"/>
      <c r="AV37" s="388"/>
      <c r="AW37" s="388"/>
      <c r="AX37" s="388"/>
      <c r="AY37" s="388"/>
      <c r="AZ37" s="388"/>
      <c r="BA37" s="388"/>
      <c r="BB37" s="388"/>
      <c r="BC37" s="388"/>
      <c r="BD37" s="388"/>
      <c r="BE37" s="388"/>
      <c r="BF37" s="388"/>
      <c r="BG37" s="388"/>
      <c r="BH37" s="388"/>
      <c r="BI37" s="388"/>
      <c r="BJ37" s="388"/>
      <c r="BK37" s="388"/>
      <c r="BL37" s="388"/>
      <c r="BM37" s="388"/>
      <c r="BN37" s="388"/>
      <c r="BO37" s="388"/>
      <c r="BZ37" s="16"/>
      <c r="CA37" s="16"/>
      <c r="CB37" s="16"/>
      <c r="CC37" s="16"/>
      <c r="CD37" s="16"/>
      <c r="CE37" s="16"/>
      <c r="CF37" s="16"/>
      <c r="CG37" s="16"/>
      <c r="CH37" s="1898"/>
      <c r="CI37" s="468">
        <f>IF($BR$10=CH36,CH36,0)</f>
        <v>0</v>
      </c>
      <c r="CJ37" s="477">
        <v>25</v>
      </c>
      <c r="CK37" s="2">
        <f t="shared" si="36"/>
        <v>0</v>
      </c>
      <c r="CL37" s="472" t="str">
        <f t="shared" si="37"/>
        <v/>
      </c>
      <c r="CM37" s="487">
        <v>12</v>
      </c>
      <c r="CN37" s="472" t="str">
        <f t="shared" si="38"/>
        <v/>
      </c>
      <c r="CO37" s="491">
        <v>25</v>
      </c>
      <c r="CP37" s="472" t="str">
        <f t="shared" si="39"/>
        <v/>
      </c>
      <c r="CQ37" s="491">
        <v>45</v>
      </c>
      <c r="CR37" s="472" t="str">
        <f t="shared" si="40"/>
        <v/>
      </c>
      <c r="CS37" s="491">
        <v>72</v>
      </c>
      <c r="CT37" s="472" t="str">
        <f t="shared" si="41"/>
        <v/>
      </c>
      <c r="CU37" s="491">
        <v>100</v>
      </c>
      <c r="CV37" s="472" t="str">
        <f t="shared" si="42"/>
        <v/>
      </c>
      <c r="CW37" s="491">
        <v>182</v>
      </c>
      <c r="CX37" s="472" t="str">
        <f t="shared" si="43"/>
        <v/>
      </c>
      <c r="CY37" s="491">
        <v>287</v>
      </c>
      <c r="CZ37" s="472" t="str">
        <f t="shared" si="44"/>
        <v/>
      </c>
      <c r="DA37" s="491">
        <v>430</v>
      </c>
      <c r="DB37" s="472" t="str">
        <f t="shared" si="45"/>
        <v/>
      </c>
      <c r="DC37" s="491">
        <v>716</v>
      </c>
      <c r="DD37" s="472" t="str">
        <f t="shared" si="46"/>
        <v/>
      </c>
      <c r="DE37" s="491">
        <v>1145</v>
      </c>
      <c r="DF37" s="472" t="str">
        <f t="shared" si="47"/>
        <v/>
      </c>
      <c r="DG37" s="491">
        <v>1575</v>
      </c>
      <c r="DH37" s="472" t="str">
        <f t="shared" si="48"/>
        <v/>
      </c>
      <c r="DI37" s="491">
        <v>2816</v>
      </c>
      <c r="DJ37" s="472" t="str">
        <f t="shared" si="49"/>
        <v/>
      </c>
      <c r="DK37" s="491">
        <v>4629</v>
      </c>
      <c r="DL37" s="472" t="str">
        <f t="shared" si="50"/>
        <v/>
      </c>
      <c r="DM37" s="495">
        <v>6204</v>
      </c>
      <c r="DN37" s="7" t="str">
        <f t="shared" si="51"/>
        <v/>
      </c>
      <c r="DO37" s="7" t="str">
        <f t="shared" si="52"/>
        <v/>
      </c>
      <c r="DP37" s="7" t="str">
        <f t="shared" si="53"/>
        <v/>
      </c>
      <c r="DQ37" s="7" t="str">
        <f t="shared" si="54"/>
        <v/>
      </c>
      <c r="DR37" s="7" t="str">
        <f t="shared" si="55"/>
        <v/>
      </c>
      <c r="DS37" s="7" t="str">
        <f t="shared" si="56"/>
        <v/>
      </c>
      <c r="DT37" s="7" t="str">
        <f t="shared" si="57"/>
        <v/>
      </c>
      <c r="DU37" s="7" t="str">
        <f t="shared" si="58"/>
        <v/>
      </c>
      <c r="DV37" s="7" t="str">
        <f t="shared" si="59"/>
        <v/>
      </c>
      <c r="DW37" s="7" t="str">
        <f t="shared" si="60"/>
        <v/>
      </c>
      <c r="DX37" s="7" t="str">
        <f t="shared" si="61"/>
        <v/>
      </c>
      <c r="DY37" s="7" t="str">
        <f t="shared" si="62"/>
        <v/>
      </c>
      <c r="DZ37" s="7" t="str">
        <f t="shared" si="63"/>
        <v/>
      </c>
      <c r="EA37" s="7" t="str">
        <f t="shared" si="64"/>
        <v/>
      </c>
      <c r="EC37" s="2">
        <v>10</v>
      </c>
      <c r="ED37" s="2">
        <v>781.6</v>
      </c>
      <c r="EE37" s="167">
        <v>2781.7</v>
      </c>
      <c r="EF37" s="168">
        <f t="shared" si="33"/>
        <v>0</v>
      </c>
    </row>
    <row r="38" spans="4:136" ht="12.75" customHeight="1">
      <c r="D38" s="1887"/>
      <c r="E38" s="1410"/>
      <c r="F38" s="1241" t="s">
        <v>1731</v>
      </c>
      <c r="G38" s="693"/>
      <c r="H38" s="388"/>
      <c r="I38" s="899">
        <v>2000</v>
      </c>
      <c r="J38" s="900">
        <v>2032</v>
      </c>
      <c r="K38" s="901">
        <f t="shared" si="0"/>
        <v>2000</v>
      </c>
      <c r="L38" s="902">
        <v>16</v>
      </c>
      <c r="M38" s="903">
        <f t="shared" si="1"/>
        <v>7853.9816339744802</v>
      </c>
      <c r="N38" s="904">
        <f t="shared" si="2"/>
        <v>28274.333882308129</v>
      </c>
      <c r="O38" s="905">
        <f t="shared" si="19"/>
        <v>2.4999999999999991</v>
      </c>
      <c r="P38" s="906">
        <f t="shared" si="20"/>
        <v>17</v>
      </c>
      <c r="Q38" s="907" t="str">
        <f t="shared" si="3"/>
        <v/>
      </c>
      <c r="R38" s="908">
        <f t="shared" si="4"/>
        <v>263063.71129061107</v>
      </c>
      <c r="S38" s="909">
        <f t="shared" si="5"/>
        <v>74797.756977711426</v>
      </c>
      <c r="T38" s="910" t="str">
        <f t="shared" si="6"/>
        <v/>
      </c>
      <c r="U38" s="911">
        <f t="shared" si="7"/>
        <v>328829.63911326381</v>
      </c>
      <c r="V38" s="912">
        <f t="shared" si="8"/>
        <v>93497.196222139275</v>
      </c>
      <c r="W38" s="389"/>
      <c r="X38" s="389"/>
      <c r="Y38" s="389"/>
      <c r="AD38" s="403"/>
      <c r="AE38" s="403"/>
      <c r="AF38" s="398">
        <f t="shared" si="9"/>
        <v>13.655699204580646</v>
      </c>
      <c r="AG38" s="398">
        <f t="shared" si="10"/>
        <v>17.236277077638398</v>
      </c>
      <c r="AH38" s="398">
        <f t="shared" si="11"/>
        <v>2.4999999999999991</v>
      </c>
      <c r="AI38" s="388"/>
      <c r="AJ38" s="399">
        <f t="shared" si="12"/>
        <v>7853.9816339744802</v>
      </c>
      <c r="AK38" s="508">
        <v>2000</v>
      </c>
      <c r="AL38" s="400">
        <f t="shared" si="13"/>
        <v>7853.9816339744802</v>
      </c>
      <c r="AM38" s="388"/>
      <c r="AN38" s="399">
        <f t="shared" si="14"/>
        <v>7853.9816339744802</v>
      </c>
      <c r="AO38" s="508">
        <v>2000</v>
      </c>
      <c r="AP38" s="400">
        <f t="shared" si="15"/>
        <v>7853.9816339744802</v>
      </c>
      <c r="AQ38" s="388"/>
      <c r="AR38" s="399">
        <f t="shared" si="32"/>
        <v>7853.9816339744802</v>
      </c>
      <c r="AS38" s="508">
        <v>2000</v>
      </c>
      <c r="AT38" s="400">
        <f t="shared" si="17"/>
        <v>7853.9816339744802</v>
      </c>
      <c r="AU38" s="388"/>
      <c r="AV38" s="388"/>
      <c r="AW38" s="388"/>
      <c r="AX38" s="388"/>
      <c r="AY38" s="388"/>
      <c r="AZ38" s="388"/>
      <c r="BA38" s="388"/>
      <c r="BB38" s="388"/>
      <c r="BC38" s="388"/>
      <c r="BD38" s="388"/>
      <c r="BE38" s="388"/>
      <c r="BF38" s="388"/>
      <c r="BG38" s="388"/>
      <c r="BH38" s="388"/>
      <c r="BI38" s="388"/>
      <c r="BJ38" s="388"/>
      <c r="BK38" s="388"/>
      <c r="BL38" s="388"/>
      <c r="BM38" s="388"/>
      <c r="BN38" s="388"/>
      <c r="BO38" s="388"/>
      <c r="BZ38" s="16"/>
      <c r="CA38" s="16"/>
      <c r="CB38" s="16"/>
      <c r="CC38" s="16"/>
      <c r="CD38" s="16"/>
      <c r="CE38" s="16"/>
      <c r="CF38" s="16"/>
      <c r="CG38" s="16"/>
      <c r="CH38" s="1899"/>
      <c r="CI38" s="10">
        <f>IF($BR$10=CH36,CH36,0)</f>
        <v>0</v>
      </c>
      <c r="CJ38" s="477">
        <v>40</v>
      </c>
      <c r="CK38" s="2">
        <f t="shared" si="36"/>
        <v>0</v>
      </c>
      <c r="CL38" s="472" t="str">
        <f t="shared" si="37"/>
        <v/>
      </c>
      <c r="CM38" s="487">
        <v>18</v>
      </c>
      <c r="CN38" s="472" t="str">
        <f t="shared" si="38"/>
        <v/>
      </c>
      <c r="CO38" s="491">
        <v>37</v>
      </c>
      <c r="CP38" s="472" t="str">
        <f t="shared" si="39"/>
        <v/>
      </c>
      <c r="CQ38" s="491">
        <v>68</v>
      </c>
      <c r="CR38" s="472" t="str">
        <f t="shared" si="40"/>
        <v/>
      </c>
      <c r="CS38" s="491">
        <v>106</v>
      </c>
      <c r="CT38" s="472" t="str">
        <f t="shared" si="41"/>
        <v/>
      </c>
      <c r="CU38" s="491">
        <v>167</v>
      </c>
      <c r="CV38" s="472" t="str">
        <f t="shared" si="42"/>
        <v/>
      </c>
      <c r="CW38" s="491">
        <v>298</v>
      </c>
      <c r="CX38" s="472" t="str">
        <f t="shared" si="43"/>
        <v/>
      </c>
      <c r="CY38" s="491">
        <v>428</v>
      </c>
      <c r="CZ38" s="472" t="str">
        <f t="shared" si="44"/>
        <v/>
      </c>
      <c r="DA38" s="491">
        <v>630</v>
      </c>
      <c r="DB38" s="472" t="str">
        <f t="shared" si="45"/>
        <v/>
      </c>
      <c r="DC38" s="491">
        <v>1108</v>
      </c>
      <c r="DD38" s="472" t="str">
        <f t="shared" si="46"/>
        <v/>
      </c>
      <c r="DE38" s="491">
        <v>1712</v>
      </c>
      <c r="DF38" s="472" t="str">
        <f t="shared" si="47"/>
        <v/>
      </c>
      <c r="DG38" s="491">
        <v>2417</v>
      </c>
      <c r="DH38" s="472" t="str">
        <f t="shared" si="48"/>
        <v/>
      </c>
      <c r="DI38" s="491">
        <v>4532</v>
      </c>
      <c r="DJ38" s="472" t="str">
        <f t="shared" si="49"/>
        <v/>
      </c>
      <c r="DK38" s="491">
        <v>7251</v>
      </c>
      <c r="DL38" s="472" t="str">
        <f t="shared" si="50"/>
        <v/>
      </c>
      <c r="DM38" s="495">
        <v>10323</v>
      </c>
      <c r="DN38" s="7" t="str">
        <f t="shared" si="51"/>
        <v/>
      </c>
      <c r="DO38" s="7" t="str">
        <f t="shared" si="52"/>
        <v/>
      </c>
      <c r="DP38" s="7" t="str">
        <f t="shared" si="53"/>
        <v/>
      </c>
      <c r="DQ38" s="7" t="str">
        <f t="shared" si="54"/>
        <v/>
      </c>
      <c r="DR38" s="7" t="str">
        <f t="shared" si="55"/>
        <v/>
      </c>
      <c r="DS38" s="7" t="str">
        <f t="shared" si="56"/>
        <v/>
      </c>
      <c r="DT38" s="7" t="str">
        <f t="shared" si="57"/>
        <v/>
      </c>
      <c r="DU38" s="7" t="str">
        <f t="shared" si="58"/>
        <v/>
      </c>
      <c r="DV38" s="7" t="str">
        <f t="shared" si="59"/>
        <v/>
      </c>
      <c r="DW38" s="7" t="str">
        <f t="shared" si="60"/>
        <v/>
      </c>
      <c r="DX38" s="7" t="str">
        <f t="shared" si="61"/>
        <v/>
      </c>
      <c r="DY38" s="7" t="str">
        <f t="shared" si="62"/>
        <v/>
      </c>
      <c r="DZ38" s="7" t="str">
        <f t="shared" si="63"/>
        <v/>
      </c>
      <c r="EA38" s="7" t="str">
        <f t="shared" si="64"/>
        <v/>
      </c>
      <c r="EC38" s="2">
        <v>14</v>
      </c>
      <c r="ED38" s="2">
        <v>845.1</v>
      </c>
      <c r="EE38" s="167">
        <v>2792.2</v>
      </c>
      <c r="EF38" s="168">
        <f t="shared" si="33"/>
        <v>0</v>
      </c>
    </row>
    <row r="39" spans="4:136" ht="12.75" customHeight="1">
      <c r="D39" s="1232" t="s">
        <v>1721</v>
      </c>
      <c r="E39" s="1234" t="str">
        <f>IF($E$35=0,"-",(AG48/1000)/(((AS43/1000/2)^2)*PI()))</f>
        <v>-</v>
      </c>
      <c r="F39" s="508" t="s">
        <v>1</v>
      </c>
      <c r="G39" s="693"/>
      <c r="H39" s="388"/>
      <c r="I39" s="757">
        <v>2200</v>
      </c>
      <c r="J39" s="408">
        <v>2235</v>
      </c>
      <c r="K39" s="409">
        <f t="shared" si="0"/>
        <v>2203</v>
      </c>
      <c r="L39" s="410">
        <v>16</v>
      </c>
      <c r="M39" s="759">
        <f t="shared" si="1"/>
        <v>9529.2535879599127</v>
      </c>
      <c r="N39" s="418">
        <f t="shared" si="2"/>
        <v>34305.31291665569</v>
      </c>
      <c r="O39" s="411">
        <f t="shared" si="19"/>
        <v>2.4999999999999991</v>
      </c>
      <c r="P39" s="412">
        <f t="shared" si="20"/>
        <v>15</v>
      </c>
      <c r="Q39" s="419" t="str">
        <f t="shared" si="3"/>
        <v/>
      </c>
      <c r="R39" s="420">
        <f t="shared" si="4"/>
        <v>319175.79280224879</v>
      </c>
      <c r="S39" s="421">
        <f t="shared" si="5"/>
        <v>90752.286836010462</v>
      </c>
      <c r="T39" s="422" t="str">
        <f t="shared" si="6"/>
        <v/>
      </c>
      <c r="U39" s="423">
        <f t="shared" si="7"/>
        <v>398969.741002811</v>
      </c>
      <c r="V39" s="758">
        <f t="shared" si="8"/>
        <v>113440.35854501308</v>
      </c>
      <c r="W39" s="389"/>
      <c r="X39" s="389"/>
      <c r="AD39" s="403"/>
      <c r="AE39" s="403"/>
      <c r="AF39" s="398">
        <f t="shared" si="9"/>
        <v>14.51341516375402</v>
      </c>
      <c r="AG39" s="398">
        <f t="shared" si="10"/>
        <v>15.397405723416048</v>
      </c>
      <c r="AH39" s="398">
        <f t="shared" si="11"/>
        <v>2.4999999999999991</v>
      </c>
      <c r="AI39" s="388"/>
      <c r="AJ39" s="399">
        <f t="shared" si="12"/>
        <v>9529.2535879599127</v>
      </c>
      <c r="AK39" s="508">
        <v>2200</v>
      </c>
      <c r="AL39" s="400">
        <f t="shared" si="13"/>
        <v>9529.2535879599127</v>
      </c>
      <c r="AM39" s="388"/>
      <c r="AN39" s="399">
        <f t="shared" si="14"/>
        <v>9529.2535879599127</v>
      </c>
      <c r="AO39" s="508">
        <v>2200</v>
      </c>
      <c r="AP39" s="400">
        <f t="shared" si="15"/>
        <v>9529.2535879599127</v>
      </c>
      <c r="AQ39" s="388"/>
      <c r="AR39" s="399">
        <f t="shared" si="32"/>
        <v>9529.2535879599127</v>
      </c>
      <c r="AS39" s="508">
        <v>2200</v>
      </c>
      <c r="AT39" s="400">
        <f t="shared" si="17"/>
        <v>9529.2535879599127</v>
      </c>
      <c r="AU39" s="388"/>
      <c r="AV39" s="388"/>
      <c r="AW39" s="388"/>
      <c r="AX39" s="388"/>
      <c r="AY39" s="388"/>
      <c r="AZ39" s="388"/>
      <c r="BA39" s="388"/>
      <c r="BB39" s="388"/>
      <c r="BC39" s="388"/>
      <c r="BD39" s="388"/>
      <c r="BE39" s="388"/>
      <c r="BF39" s="388"/>
      <c r="BG39" s="388"/>
      <c r="BH39" s="388"/>
      <c r="BI39" s="388"/>
      <c r="BJ39" s="388"/>
      <c r="BK39" s="388"/>
      <c r="BL39" s="388"/>
      <c r="BM39" s="388"/>
      <c r="BN39" s="388"/>
      <c r="BO39" s="388"/>
      <c r="BZ39" s="16"/>
      <c r="CA39" s="16"/>
      <c r="CB39" s="16"/>
      <c r="CC39" s="16"/>
      <c r="CD39" s="16"/>
      <c r="CE39" s="16"/>
      <c r="CF39" s="16"/>
      <c r="CG39" s="16"/>
      <c r="CH39" s="1898">
        <v>1</v>
      </c>
      <c r="CI39" s="468">
        <f>IF($BR$10=CH39,CH39,0)</f>
        <v>0</v>
      </c>
      <c r="CJ39" s="479">
        <v>15</v>
      </c>
      <c r="CK39" s="3">
        <f t="shared" si="36"/>
        <v>0</v>
      </c>
      <c r="CL39" s="471" t="str">
        <f t="shared" si="37"/>
        <v/>
      </c>
      <c r="CM39" s="489">
        <v>8</v>
      </c>
      <c r="CN39" s="471" t="str">
        <f t="shared" si="38"/>
        <v/>
      </c>
      <c r="CO39" s="493">
        <v>17</v>
      </c>
      <c r="CP39" s="471" t="str">
        <f t="shared" si="39"/>
        <v/>
      </c>
      <c r="CQ39" s="493">
        <v>29</v>
      </c>
      <c r="CR39" s="471" t="str">
        <f t="shared" si="40"/>
        <v/>
      </c>
      <c r="CS39" s="493">
        <v>43</v>
      </c>
      <c r="CT39" s="471" t="str">
        <f t="shared" si="41"/>
        <v/>
      </c>
      <c r="CU39" s="493">
        <v>65</v>
      </c>
      <c r="CV39" s="471" t="str">
        <f t="shared" si="42"/>
        <v/>
      </c>
      <c r="CW39" s="493">
        <v>112</v>
      </c>
      <c r="CX39" s="471" t="str">
        <f t="shared" si="43"/>
        <v/>
      </c>
      <c r="CY39" s="493">
        <v>182</v>
      </c>
      <c r="CZ39" s="471" t="str">
        <f t="shared" si="44"/>
        <v/>
      </c>
      <c r="DA39" s="493">
        <v>260</v>
      </c>
      <c r="DB39" s="471" t="str">
        <f t="shared" si="45"/>
        <v/>
      </c>
      <c r="DC39" s="493">
        <v>470</v>
      </c>
      <c r="DD39" s="471" t="str">
        <f t="shared" si="46"/>
        <v/>
      </c>
      <c r="DE39" s="493">
        <v>694</v>
      </c>
      <c r="DF39" s="471" t="str">
        <f t="shared" si="47"/>
        <v/>
      </c>
      <c r="DG39" s="493">
        <v>1020</v>
      </c>
      <c r="DH39" s="471" t="str">
        <f t="shared" si="48"/>
        <v/>
      </c>
      <c r="DI39" s="493">
        <v>1864</v>
      </c>
      <c r="DJ39" s="471" t="str">
        <f t="shared" si="49"/>
        <v/>
      </c>
      <c r="DK39" s="493">
        <v>2814</v>
      </c>
      <c r="DL39" s="471" t="str">
        <f t="shared" si="50"/>
        <v/>
      </c>
      <c r="DM39" s="497">
        <v>4045</v>
      </c>
      <c r="DN39" s="7" t="str">
        <f t="shared" si="51"/>
        <v/>
      </c>
      <c r="DO39" s="7" t="str">
        <f t="shared" si="52"/>
        <v/>
      </c>
      <c r="DP39" s="7" t="str">
        <f t="shared" si="53"/>
        <v/>
      </c>
      <c r="DQ39" s="7" t="str">
        <f t="shared" si="54"/>
        <v/>
      </c>
      <c r="DR39" s="7" t="str">
        <f t="shared" si="55"/>
        <v/>
      </c>
      <c r="DS39" s="7" t="str">
        <f t="shared" si="56"/>
        <v/>
      </c>
      <c r="DT39" s="7" t="str">
        <f t="shared" si="57"/>
        <v/>
      </c>
      <c r="DU39" s="7" t="str">
        <f t="shared" si="58"/>
        <v/>
      </c>
      <c r="DV39" s="7" t="str">
        <f t="shared" si="59"/>
        <v/>
      </c>
      <c r="DW39" s="7" t="str">
        <f t="shared" si="60"/>
        <v/>
      </c>
      <c r="DX39" s="7" t="str">
        <f t="shared" si="61"/>
        <v/>
      </c>
      <c r="DY39" s="7" t="str">
        <f t="shared" si="62"/>
        <v/>
      </c>
      <c r="DZ39" s="7" t="str">
        <f t="shared" si="63"/>
        <v/>
      </c>
      <c r="EA39" s="7" t="str">
        <f t="shared" si="64"/>
        <v/>
      </c>
      <c r="EF39" s="170">
        <f>SUM(EF26:EF38)</f>
        <v>0</v>
      </c>
    </row>
    <row r="40" spans="4:136" ht="12.75" customHeight="1">
      <c r="D40" s="1233" t="s">
        <v>1720</v>
      </c>
      <c r="E40" s="1235" t="str">
        <f>IF($E$35=0,"-",ROUND(6.819*(E39/$E$7)^1.852/(AS43/1000)^1.167*1000*9.81,0))</f>
        <v>-</v>
      </c>
      <c r="F40" s="1236" t="s">
        <v>14</v>
      </c>
      <c r="G40" s="425"/>
      <c r="H40" s="388"/>
      <c r="I40" s="896" t="s">
        <v>246</v>
      </c>
      <c r="J40" s="896"/>
      <c r="K40" s="896"/>
      <c r="L40" s="896"/>
      <c r="M40" s="896"/>
      <c r="N40" s="896"/>
      <c r="O40" s="896"/>
      <c r="P40" s="896"/>
      <c r="Q40" s="896"/>
      <c r="R40" s="896"/>
      <c r="S40" s="896"/>
      <c r="T40" s="896"/>
      <c r="U40" s="896"/>
      <c r="V40" s="896"/>
      <c r="W40" s="389"/>
      <c r="AD40" s="388"/>
      <c r="AE40" s="388"/>
      <c r="AF40" s="388"/>
      <c r="AG40" s="388"/>
      <c r="AH40" s="508"/>
      <c r="AI40" s="388"/>
      <c r="AJ40" s="388"/>
      <c r="AK40" s="388"/>
      <c r="AL40" s="388"/>
      <c r="AM40" s="388"/>
      <c r="AN40" s="388"/>
      <c r="AO40" s="388"/>
      <c r="AP40" s="388"/>
      <c r="AQ40" s="388"/>
      <c r="AR40" s="388"/>
      <c r="AS40" s="388"/>
      <c r="AT40" s="388"/>
      <c r="AU40" s="388"/>
      <c r="AV40" s="388"/>
      <c r="AW40" s="388"/>
      <c r="AX40" s="388"/>
      <c r="AY40" s="388"/>
      <c r="AZ40" s="388"/>
      <c r="BA40" s="388"/>
      <c r="BB40" s="388"/>
      <c r="BC40" s="388"/>
      <c r="BD40" s="388"/>
      <c r="BE40" s="388"/>
      <c r="BF40" s="388"/>
      <c r="BG40" s="388"/>
      <c r="BH40" s="388"/>
      <c r="BI40" s="388"/>
      <c r="BJ40" s="388"/>
      <c r="BK40" s="388"/>
      <c r="BL40" s="388"/>
      <c r="BM40" s="388"/>
      <c r="BN40" s="388"/>
      <c r="BO40" s="388"/>
      <c r="BZ40" s="16"/>
      <c r="CA40" s="16"/>
      <c r="CB40" s="16"/>
      <c r="CC40" s="16"/>
      <c r="CD40" s="16"/>
      <c r="CE40" s="16"/>
      <c r="CF40" s="16"/>
      <c r="CG40" s="16"/>
      <c r="CH40" s="1898"/>
      <c r="CI40" s="468">
        <f>IF($BR$10=CH39,CH39,0)</f>
        <v>0</v>
      </c>
      <c r="CJ40" s="477">
        <v>25</v>
      </c>
      <c r="CK40" s="2">
        <f t="shared" si="36"/>
        <v>0</v>
      </c>
      <c r="CL40" s="472" t="str">
        <f t="shared" si="37"/>
        <v/>
      </c>
      <c r="CM40" s="487">
        <v>12</v>
      </c>
      <c r="CN40" s="472" t="str">
        <f t="shared" si="38"/>
        <v/>
      </c>
      <c r="CO40" s="491">
        <v>26</v>
      </c>
      <c r="CP40" s="472" t="str">
        <f t="shared" si="39"/>
        <v/>
      </c>
      <c r="CQ40" s="491">
        <v>48</v>
      </c>
      <c r="CR40" s="472" t="str">
        <f t="shared" si="40"/>
        <v/>
      </c>
      <c r="CS40" s="491">
        <v>72</v>
      </c>
      <c r="CT40" s="472" t="str">
        <f t="shared" si="41"/>
        <v/>
      </c>
      <c r="CU40" s="491">
        <v>100</v>
      </c>
      <c r="CV40" s="472" t="str">
        <f t="shared" si="42"/>
        <v/>
      </c>
      <c r="CW40" s="491">
        <v>193</v>
      </c>
      <c r="CX40" s="472" t="str">
        <f t="shared" si="43"/>
        <v/>
      </c>
      <c r="CY40" s="491">
        <v>300</v>
      </c>
      <c r="CZ40" s="472" t="str">
        <f t="shared" si="44"/>
        <v/>
      </c>
      <c r="DA40" s="491">
        <v>445</v>
      </c>
      <c r="DB40" s="472" t="str">
        <f t="shared" si="45"/>
        <v/>
      </c>
      <c r="DC40" s="491">
        <v>730</v>
      </c>
      <c r="DD40" s="472" t="str">
        <f t="shared" si="46"/>
        <v/>
      </c>
      <c r="DE40" s="491">
        <v>1160</v>
      </c>
      <c r="DF40" s="472" t="str">
        <f t="shared" si="47"/>
        <v/>
      </c>
      <c r="DG40" s="491">
        <v>1660</v>
      </c>
      <c r="DH40" s="472" t="str">
        <f t="shared" si="48"/>
        <v/>
      </c>
      <c r="DI40" s="491">
        <v>3099</v>
      </c>
      <c r="DJ40" s="472" t="str">
        <f t="shared" si="49"/>
        <v/>
      </c>
      <c r="DK40" s="491">
        <v>4689</v>
      </c>
      <c r="DL40" s="472" t="str">
        <f t="shared" si="50"/>
        <v/>
      </c>
      <c r="DM40" s="495">
        <v>6751</v>
      </c>
      <c r="DN40" s="7" t="str">
        <f t="shared" si="51"/>
        <v/>
      </c>
      <c r="DO40" s="7" t="str">
        <f t="shared" si="52"/>
        <v/>
      </c>
      <c r="DP40" s="7" t="str">
        <f t="shared" si="53"/>
        <v/>
      </c>
      <c r="DQ40" s="7" t="str">
        <f t="shared" si="54"/>
        <v/>
      </c>
      <c r="DR40" s="7" t="str">
        <f t="shared" si="55"/>
        <v/>
      </c>
      <c r="DS40" s="7" t="str">
        <f t="shared" si="56"/>
        <v/>
      </c>
      <c r="DT40" s="7" t="str">
        <f t="shared" si="57"/>
        <v/>
      </c>
      <c r="DU40" s="7" t="str">
        <f t="shared" si="58"/>
        <v/>
      </c>
      <c r="DV40" s="7" t="str">
        <f t="shared" si="59"/>
        <v/>
      </c>
      <c r="DW40" s="7" t="str">
        <f t="shared" si="60"/>
        <v/>
      </c>
      <c r="DX40" s="7" t="str">
        <f t="shared" si="61"/>
        <v/>
      </c>
      <c r="DY40" s="7" t="str">
        <f t="shared" si="62"/>
        <v/>
      </c>
      <c r="DZ40" s="7" t="str">
        <f t="shared" si="63"/>
        <v/>
      </c>
      <c r="EA40" s="7" t="str">
        <f t="shared" si="64"/>
        <v/>
      </c>
    </row>
    <row r="41" spans="4:136" ht="12.75" customHeight="1">
      <c r="D41" s="1883" t="s">
        <v>1232</v>
      </c>
      <c r="E41" s="438" t="str">
        <f>IF(AS41="x","-",$AG$48*4.185*G41)</f>
        <v>-</v>
      </c>
      <c r="F41" s="1214" t="s">
        <v>6</v>
      </c>
      <c r="G41" s="1878">
        <f>G15</f>
        <v>8</v>
      </c>
      <c r="H41" s="388"/>
      <c r="I41" s="415" t="s">
        <v>2458</v>
      </c>
      <c r="J41" s="415"/>
      <c r="K41" s="415"/>
      <c r="L41" s="415"/>
      <c r="M41" s="415"/>
      <c r="N41" s="415"/>
      <c r="O41" s="415"/>
      <c r="P41" s="415"/>
      <c r="Q41" s="415"/>
      <c r="R41" s="415"/>
      <c r="S41" s="415"/>
      <c r="T41" s="415"/>
      <c r="U41" s="415"/>
      <c r="V41" s="415"/>
      <c r="W41" s="389"/>
      <c r="AC41" s="388"/>
      <c r="AD41" s="388"/>
      <c r="AE41" s="388"/>
      <c r="AF41" s="388"/>
      <c r="AG41" s="388"/>
      <c r="AH41" s="388"/>
      <c r="AI41" s="388"/>
      <c r="AJ41" s="388"/>
      <c r="AK41" s="388" t="str">
        <f>IF($E$19=0,"x","ok")</f>
        <v>ok</v>
      </c>
      <c r="AL41" s="388"/>
      <c r="AM41" s="388"/>
      <c r="AN41" s="388"/>
      <c r="AO41" s="388" t="str">
        <f>IF($E$19=0,"x","ok")</f>
        <v>ok</v>
      </c>
      <c r="AP41" s="388"/>
      <c r="AQ41" s="388"/>
      <c r="AR41" s="388"/>
      <c r="AS41" s="388" t="str">
        <f>IF($E$35=0,"x","ok")</f>
        <v>x</v>
      </c>
      <c r="AT41" s="388"/>
      <c r="AU41" s="388"/>
      <c r="AV41" s="388"/>
      <c r="AW41" s="388"/>
      <c r="AX41" s="388"/>
      <c r="AY41" s="388"/>
      <c r="AZ41" s="388"/>
      <c r="BA41" s="388"/>
      <c r="BB41" s="388"/>
      <c r="BC41" s="388"/>
      <c r="BD41" s="388"/>
      <c r="BE41" s="388"/>
      <c r="BF41" s="388"/>
      <c r="BG41" s="388"/>
      <c r="BH41" s="388"/>
      <c r="BI41" s="388"/>
      <c r="BJ41" s="388"/>
      <c r="BK41" s="388"/>
      <c r="BL41" s="388"/>
      <c r="BM41" s="388"/>
      <c r="BN41" s="388"/>
      <c r="BO41" s="388"/>
      <c r="BZ41" s="16"/>
      <c r="CA41" s="16"/>
      <c r="CB41" s="16"/>
      <c r="CC41" s="16"/>
      <c r="CD41" s="16"/>
      <c r="CE41" s="16"/>
      <c r="CF41" s="16"/>
      <c r="CG41" s="16"/>
      <c r="CH41" s="1898"/>
      <c r="CI41" s="468">
        <f>IF($BR$10=CH39,CH39,0)</f>
        <v>0</v>
      </c>
      <c r="CJ41" s="478">
        <v>40</v>
      </c>
      <c r="CK41" s="4">
        <f t="shared" si="36"/>
        <v>0</v>
      </c>
      <c r="CL41" s="473" t="str">
        <f t="shared" si="37"/>
        <v/>
      </c>
      <c r="CM41" s="488">
        <v>19</v>
      </c>
      <c r="CN41" s="473" t="str">
        <f t="shared" si="38"/>
        <v/>
      </c>
      <c r="CO41" s="492">
        <v>39</v>
      </c>
      <c r="CP41" s="473" t="str">
        <f t="shared" si="39"/>
        <v/>
      </c>
      <c r="CQ41" s="492">
        <v>71</v>
      </c>
      <c r="CR41" s="473" t="str">
        <f t="shared" si="40"/>
        <v/>
      </c>
      <c r="CS41" s="492">
        <v>112</v>
      </c>
      <c r="CT41" s="473" t="str">
        <f t="shared" si="41"/>
        <v/>
      </c>
      <c r="CU41" s="492">
        <v>172</v>
      </c>
      <c r="CV41" s="473" t="str">
        <f t="shared" si="42"/>
        <v/>
      </c>
      <c r="CW41" s="492">
        <v>311</v>
      </c>
      <c r="CX41" s="473" t="str">
        <f t="shared" si="43"/>
        <v/>
      </c>
      <c r="CY41" s="492">
        <v>465</v>
      </c>
      <c r="CZ41" s="473" t="str">
        <f t="shared" si="44"/>
        <v/>
      </c>
      <c r="DA41" s="492">
        <v>640</v>
      </c>
      <c r="DB41" s="473" t="str">
        <f t="shared" si="45"/>
        <v/>
      </c>
      <c r="DC41" s="492">
        <v>1150</v>
      </c>
      <c r="DD41" s="473" t="str">
        <f t="shared" si="46"/>
        <v/>
      </c>
      <c r="DE41" s="492">
        <v>1800</v>
      </c>
      <c r="DF41" s="473" t="str">
        <f t="shared" si="47"/>
        <v/>
      </c>
      <c r="DG41" s="492">
        <v>2500</v>
      </c>
      <c r="DH41" s="473" t="str">
        <f t="shared" si="48"/>
        <v/>
      </c>
      <c r="DI41" s="492">
        <v>4815</v>
      </c>
      <c r="DJ41" s="473" t="str">
        <f t="shared" si="49"/>
        <v/>
      </c>
      <c r="DK41" s="492">
        <v>7333</v>
      </c>
      <c r="DL41" s="473" t="str">
        <f t="shared" si="50"/>
        <v/>
      </c>
      <c r="DM41" s="496">
        <v>10370</v>
      </c>
      <c r="DN41" s="7" t="str">
        <f t="shared" si="51"/>
        <v/>
      </c>
      <c r="DO41" s="7" t="str">
        <f t="shared" si="52"/>
        <v/>
      </c>
      <c r="DP41" s="7" t="str">
        <f t="shared" si="53"/>
        <v/>
      </c>
      <c r="DQ41" s="7" t="str">
        <f t="shared" si="54"/>
        <v/>
      </c>
      <c r="DR41" s="7" t="str">
        <f t="shared" si="55"/>
        <v/>
      </c>
      <c r="DS41" s="7" t="str">
        <f t="shared" si="56"/>
        <v/>
      </c>
      <c r="DT41" s="7" t="str">
        <f t="shared" si="57"/>
        <v/>
      </c>
      <c r="DU41" s="7" t="str">
        <f t="shared" si="58"/>
        <v/>
      </c>
      <c r="DV41" s="7" t="str">
        <f t="shared" si="59"/>
        <v/>
      </c>
      <c r="DW41" s="7" t="str">
        <f t="shared" si="60"/>
        <v/>
      </c>
      <c r="DX41" s="7" t="str">
        <f t="shared" si="61"/>
        <v/>
      </c>
      <c r="DY41" s="7" t="str">
        <f t="shared" si="62"/>
        <v/>
      </c>
      <c r="DZ41" s="7" t="str">
        <f t="shared" si="63"/>
        <v/>
      </c>
      <c r="EA41" s="7" t="str">
        <f t="shared" si="64"/>
        <v/>
      </c>
      <c r="EB41" s="16"/>
      <c r="EC41" s="16"/>
      <c r="ED41" s="59" t="s">
        <v>460</v>
      </c>
      <c r="EE41" s="59" t="s">
        <v>461</v>
      </c>
    </row>
    <row r="42" spans="4:136" ht="12.75" customHeight="1">
      <c r="D42" s="1884"/>
      <c r="E42" s="439" t="str">
        <f>IF(AS41="x","-",E41/3.516)</f>
        <v>-</v>
      </c>
      <c r="F42" s="1215" t="s">
        <v>12</v>
      </c>
      <c r="G42" s="1879"/>
      <c r="H42" s="388"/>
      <c r="I42" s="415" t="s">
        <v>1234</v>
      </c>
      <c r="J42" s="415"/>
      <c r="K42" s="415"/>
      <c r="L42" s="415"/>
      <c r="M42" s="415"/>
      <c r="N42" s="415"/>
      <c r="O42" s="415"/>
      <c r="P42" s="415"/>
      <c r="Q42" s="415"/>
      <c r="R42" s="415"/>
      <c r="S42" s="415"/>
      <c r="T42" s="415"/>
      <c r="U42" s="415"/>
      <c r="V42" s="415"/>
      <c r="W42" s="389"/>
      <c r="AC42" s="388"/>
      <c r="AD42" s="388"/>
      <c r="AE42" s="388"/>
      <c r="AF42" s="388"/>
      <c r="AG42" s="388"/>
      <c r="AH42" s="388"/>
      <c r="AI42" s="388"/>
      <c r="AJ42" s="388"/>
      <c r="AK42" s="388">
        <f>IF(AK41="x","",VLOOKUP(MIN(AJ7:AJ39),AJ7:AK39,2,FALSE))</f>
        <v>250</v>
      </c>
      <c r="AL42" s="388"/>
      <c r="AM42" s="388"/>
      <c r="AN42" s="388"/>
      <c r="AO42" s="388">
        <f>IF(AO41="x","",VLOOKUP(MIN(AN7:AN39),AN7:AO39,2,FALSE))</f>
        <v>250</v>
      </c>
      <c r="AP42" s="388"/>
      <c r="AQ42" s="388"/>
      <c r="AR42" s="388"/>
      <c r="AS42" s="388" t="str">
        <f>IF(AS41="x","",VLOOKUP(MIN(AR7:AR39),AR7:AS39,2,FALSE))</f>
        <v/>
      </c>
      <c r="AT42" s="388"/>
      <c r="AU42" s="388"/>
      <c r="AV42" s="388"/>
      <c r="AW42" s="388"/>
      <c r="AX42" s="388"/>
      <c r="AY42" s="388"/>
      <c r="AZ42" s="388"/>
      <c r="BA42" s="388"/>
      <c r="BB42" s="388"/>
      <c r="BC42" s="388"/>
      <c r="BD42" s="388"/>
      <c r="BE42" s="388"/>
      <c r="BF42" s="388"/>
      <c r="BG42" s="388"/>
      <c r="BH42" s="388"/>
      <c r="BI42" s="388"/>
      <c r="BJ42" s="388"/>
      <c r="BK42" s="388"/>
      <c r="BL42" s="388"/>
      <c r="BM42" s="388"/>
      <c r="BN42" s="388"/>
      <c r="BO42" s="388"/>
      <c r="BZ42" s="16"/>
      <c r="CA42" s="16"/>
      <c r="CB42" s="16"/>
      <c r="CC42" s="16"/>
      <c r="CD42" s="16"/>
      <c r="CE42" s="16"/>
      <c r="CF42" s="16"/>
      <c r="CG42" s="16"/>
      <c r="CH42" s="1898">
        <v>2</v>
      </c>
      <c r="CI42" s="468">
        <f>IF($BR$10=CH42,CH42,0)</f>
        <v>0</v>
      </c>
      <c r="CJ42" s="479">
        <v>15</v>
      </c>
      <c r="CK42" s="3">
        <f t="shared" si="36"/>
        <v>0</v>
      </c>
      <c r="CL42" s="471" t="str">
        <f t="shared" si="37"/>
        <v/>
      </c>
      <c r="CM42" s="489">
        <v>12</v>
      </c>
      <c r="CN42" s="471" t="str">
        <f t="shared" si="38"/>
        <v/>
      </c>
      <c r="CO42" s="493">
        <v>25</v>
      </c>
      <c r="CP42" s="471" t="str">
        <f t="shared" si="39"/>
        <v/>
      </c>
      <c r="CQ42" s="493">
        <v>45</v>
      </c>
      <c r="CR42" s="471" t="str">
        <f t="shared" si="40"/>
        <v/>
      </c>
      <c r="CS42" s="493">
        <v>70</v>
      </c>
      <c r="CT42" s="471" t="str">
        <f t="shared" si="41"/>
        <v/>
      </c>
      <c r="CU42" s="493">
        <v>100</v>
      </c>
      <c r="CV42" s="471" t="str">
        <f t="shared" si="42"/>
        <v/>
      </c>
      <c r="CW42" s="493">
        <v>182</v>
      </c>
      <c r="CX42" s="471" t="str">
        <f t="shared" si="43"/>
        <v/>
      </c>
      <c r="CY42" s="493">
        <v>280</v>
      </c>
      <c r="CZ42" s="471" t="str">
        <f t="shared" si="44"/>
        <v/>
      </c>
      <c r="DA42" s="493">
        <v>410</v>
      </c>
      <c r="DB42" s="471" t="str">
        <f t="shared" si="45"/>
        <v/>
      </c>
      <c r="DC42" s="493">
        <v>715</v>
      </c>
      <c r="DD42" s="471" t="str">
        <f t="shared" si="46"/>
        <v/>
      </c>
      <c r="DE42" s="493">
        <v>1125</v>
      </c>
      <c r="DF42" s="471" t="str">
        <f t="shared" si="47"/>
        <v/>
      </c>
      <c r="DG42" s="493">
        <v>1580</v>
      </c>
      <c r="DH42" s="471" t="str">
        <f t="shared" si="48"/>
        <v/>
      </c>
      <c r="DI42" s="493">
        <v>2814</v>
      </c>
      <c r="DJ42" s="471" t="str">
        <f t="shared" si="49"/>
        <v/>
      </c>
      <c r="DK42" s="493">
        <v>4545</v>
      </c>
      <c r="DL42" s="471" t="str">
        <f t="shared" si="50"/>
        <v/>
      </c>
      <c r="DM42" s="497">
        <v>6277</v>
      </c>
      <c r="DN42" s="7" t="str">
        <f t="shared" si="51"/>
        <v/>
      </c>
      <c r="DO42" s="7" t="str">
        <f t="shared" si="52"/>
        <v/>
      </c>
      <c r="DP42" s="7" t="str">
        <f t="shared" si="53"/>
        <v/>
      </c>
      <c r="DQ42" s="7" t="str">
        <f t="shared" si="54"/>
        <v/>
      </c>
      <c r="DR42" s="7" t="str">
        <f t="shared" si="55"/>
        <v/>
      </c>
      <c r="DS42" s="7" t="str">
        <f t="shared" si="56"/>
        <v/>
      </c>
      <c r="DT42" s="7" t="str">
        <f t="shared" si="57"/>
        <v/>
      </c>
      <c r="DU42" s="7" t="str">
        <f t="shared" si="58"/>
        <v/>
      </c>
      <c r="DV42" s="7" t="str">
        <f t="shared" si="59"/>
        <v/>
      </c>
      <c r="DW42" s="7" t="str">
        <f t="shared" si="60"/>
        <v/>
      </c>
      <c r="DX42" s="7" t="str">
        <f t="shared" si="61"/>
        <v/>
      </c>
      <c r="DY42" s="7" t="str">
        <f t="shared" si="62"/>
        <v/>
      </c>
      <c r="DZ42" s="7" t="str">
        <f t="shared" si="63"/>
        <v/>
      </c>
      <c r="EA42" s="7" t="str">
        <f t="shared" si="64"/>
        <v/>
      </c>
      <c r="EB42" s="171" t="s">
        <v>462</v>
      </c>
      <c r="EC42" s="16"/>
      <c r="ED42" s="168"/>
      <c r="EE42" s="169"/>
      <c r="EF42" s="168"/>
    </row>
    <row r="43" spans="4:136" ht="12.75" customHeight="1">
      <c r="D43" s="1876" t="s">
        <v>1233</v>
      </c>
      <c r="E43" s="440" t="str">
        <f>IF(AS41="x","-",$AG$48*4.185*G43)</f>
        <v>-</v>
      </c>
      <c r="F43" s="1214" t="s">
        <v>6</v>
      </c>
      <c r="G43" s="1878">
        <f>G16</f>
        <v>10</v>
      </c>
      <c r="H43" s="388"/>
      <c r="I43" s="389"/>
      <c r="J43" s="389"/>
      <c r="K43" s="389"/>
      <c r="L43" s="389"/>
      <c r="M43" s="389"/>
      <c r="N43" s="389"/>
      <c r="O43" s="407"/>
      <c r="P43" s="389"/>
      <c r="Q43" s="407"/>
      <c r="R43" s="389"/>
      <c r="S43" s="389"/>
      <c r="T43" s="389"/>
      <c r="U43" s="389"/>
      <c r="V43" s="389"/>
      <c r="W43" s="389"/>
      <c r="AC43" s="388"/>
      <c r="AD43" s="388"/>
      <c r="AE43" s="388"/>
      <c r="AF43" s="388"/>
      <c r="AG43" s="388"/>
      <c r="AH43" s="388"/>
      <c r="AI43" s="388"/>
      <c r="AJ43" s="405">
        <f>IF(E24&gt;0,E24,AK42)</f>
        <v>250</v>
      </c>
      <c r="AK43" s="406">
        <f>(VLOOKUP(AJ43,$I$7:$K$39,3,FALSE))</f>
        <v>258.8</v>
      </c>
      <c r="AL43" s="388"/>
      <c r="AM43" s="388"/>
      <c r="AN43" s="405">
        <f>IF(E30&gt;0,E30,AO42)</f>
        <v>250</v>
      </c>
      <c r="AO43" s="406">
        <f>(VLOOKUP(AN43,$I$7:$K$39,3,FALSE))</f>
        <v>258.8</v>
      </c>
      <c r="AP43" s="388"/>
      <c r="AQ43" s="388"/>
      <c r="AR43" s="405" t="str">
        <f>IF(E38&gt;0,E38,AS42)</f>
        <v/>
      </c>
      <c r="AS43" s="406" t="e">
        <f>(VLOOKUP(AR43,$I$7:$K$39,3,FALSE))</f>
        <v>#N/A</v>
      </c>
      <c r="AT43" s="388"/>
      <c r="AU43" s="388"/>
      <c r="AV43" s="388"/>
      <c r="AW43" s="388"/>
      <c r="AX43" s="388"/>
      <c r="AY43" s="388"/>
      <c r="AZ43" s="388"/>
      <c r="BA43" s="388"/>
      <c r="BB43" s="388"/>
      <c r="BC43" s="388"/>
      <c r="BD43" s="388"/>
      <c r="BE43" s="388"/>
      <c r="BF43" s="388"/>
      <c r="BG43" s="388"/>
      <c r="BH43" s="388"/>
      <c r="BI43" s="388"/>
      <c r="BJ43" s="388"/>
      <c r="BK43" s="388"/>
      <c r="BL43" s="388"/>
      <c r="BM43" s="388"/>
      <c r="BN43" s="388"/>
      <c r="BO43" s="388"/>
      <c r="BZ43" s="16"/>
      <c r="CA43" s="16"/>
      <c r="CB43" s="16"/>
      <c r="CC43" s="16"/>
      <c r="CD43" s="16"/>
      <c r="CE43" s="16"/>
      <c r="CF43" s="16"/>
      <c r="CG43" s="16"/>
      <c r="CH43" s="1898">
        <v>2</v>
      </c>
      <c r="CI43" s="468">
        <f>IF($BR$10=CH42,CH42,0)</f>
        <v>0</v>
      </c>
      <c r="CJ43" s="477">
        <v>25</v>
      </c>
      <c r="CK43" s="2">
        <f t="shared" si="36"/>
        <v>0</v>
      </c>
      <c r="CL43" s="472" t="str">
        <f t="shared" si="37"/>
        <v/>
      </c>
      <c r="CM43" s="487">
        <v>19</v>
      </c>
      <c r="CN43" s="472" t="str">
        <f t="shared" si="38"/>
        <v/>
      </c>
      <c r="CO43" s="491">
        <v>43</v>
      </c>
      <c r="CP43" s="472" t="str">
        <f t="shared" si="39"/>
        <v/>
      </c>
      <c r="CQ43" s="491">
        <v>70</v>
      </c>
      <c r="CR43" s="472" t="str">
        <f t="shared" si="40"/>
        <v/>
      </c>
      <c r="CS43" s="491">
        <v>112</v>
      </c>
      <c r="CT43" s="472" t="str">
        <f t="shared" si="41"/>
        <v/>
      </c>
      <c r="CU43" s="491">
        <v>162</v>
      </c>
      <c r="CV43" s="472" t="str">
        <f t="shared" si="42"/>
        <v/>
      </c>
      <c r="CW43" s="491">
        <v>295</v>
      </c>
      <c r="CX43" s="472" t="str">
        <f t="shared" si="43"/>
        <v/>
      </c>
      <c r="CY43" s="491">
        <v>428</v>
      </c>
      <c r="CZ43" s="472" t="str">
        <f t="shared" si="44"/>
        <v/>
      </c>
      <c r="DA43" s="491">
        <v>656</v>
      </c>
      <c r="DB43" s="472" t="str">
        <f t="shared" si="45"/>
        <v/>
      </c>
      <c r="DC43" s="491">
        <v>1215</v>
      </c>
      <c r="DD43" s="472" t="str">
        <f t="shared" si="46"/>
        <v/>
      </c>
      <c r="DE43" s="491">
        <v>1755</v>
      </c>
      <c r="DF43" s="472" t="str">
        <f t="shared" si="47"/>
        <v/>
      </c>
      <c r="DG43" s="491">
        <v>2520</v>
      </c>
      <c r="DH43" s="472" t="str">
        <f t="shared" si="48"/>
        <v/>
      </c>
      <c r="DI43" s="491">
        <v>4815</v>
      </c>
      <c r="DJ43" s="472" t="str">
        <f t="shared" si="49"/>
        <v/>
      </c>
      <c r="DK43" s="491">
        <v>7424</v>
      </c>
      <c r="DL43" s="472" t="str">
        <f t="shared" si="50"/>
        <v/>
      </c>
      <c r="DM43" s="495">
        <v>10575</v>
      </c>
      <c r="DN43" s="7" t="str">
        <f t="shared" si="51"/>
        <v/>
      </c>
      <c r="DO43" s="7" t="str">
        <f t="shared" si="52"/>
        <v/>
      </c>
      <c r="DP43" s="7" t="str">
        <f t="shared" si="53"/>
        <v/>
      </c>
      <c r="DQ43" s="7" t="str">
        <f t="shared" si="54"/>
        <v/>
      </c>
      <c r="DR43" s="7" t="str">
        <f t="shared" si="55"/>
        <v/>
      </c>
      <c r="DS43" s="7" t="str">
        <f t="shared" si="56"/>
        <v/>
      </c>
      <c r="DT43" s="7" t="str">
        <f t="shared" si="57"/>
        <v/>
      </c>
      <c r="DU43" s="7" t="str">
        <f t="shared" si="58"/>
        <v/>
      </c>
      <c r="DV43" s="7" t="str">
        <f t="shared" si="59"/>
        <v/>
      </c>
      <c r="DW43" s="7" t="str">
        <f t="shared" si="60"/>
        <v/>
      </c>
      <c r="DX43" s="7" t="str">
        <f t="shared" si="61"/>
        <v/>
      </c>
      <c r="DY43" s="7" t="str">
        <f t="shared" si="62"/>
        <v/>
      </c>
      <c r="DZ43" s="7" t="str">
        <f t="shared" si="63"/>
        <v/>
      </c>
      <c r="EA43" s="7" t="str">
        <f t="shared" si="64"/>
        <v/>
      </c>
      <c r="EB43" s="171" t="s">
        <v>463</v>
      </c>
      <c r="EC43" s="2">
        <v>0.4</v>
      </c>
      <c r="ED43" s="166">
        <v>109.55</v>
      </c>
      <c r="EE43" s="172">
        <v>459.7</v>
      </c>
      <c r="EF43" s="168">
        <f>IF($EB$45=EC43,EE43,0)</f>
        <v>0</v>
      </c>
    </row>
    <row r="44" spans="4:136" ht="12.75" customHeight="1">
      <c r="D44" s="1877"/>
      <c r="E44" s="694" t="str">
        <f>IF(AS41="x","-",E43/3.516)</f>
        <v>-</v>
      </c>
      <c r="F44" s="1215" t="s">
        <v>12</v>
      </c>
      <c r="G44" s="1879"/>
      <c r="H44" s="388"/>
      <c r="I44" s="389"/>
      <c r="J44" s="389"/>
      <c r="K44" s="389"/>
      <c r="L44" s="389"/>
      <c r="M44" s="389"/>
      <c r="N44" s="389"/>
      <c r="O44" s="407"/>
      <c r="P44" s="389"/>
      <c r="Q44" s="407"/>
      <c r="R44" s="389"/>
      <c r="S44" s="389"/>
      <c r="T44" s="389"/>
      <c r="U44" s="389"/>
      <c r="V44" s="389"/>
      <c r="W44" s="389"/>
      <c r="AC44" s="388"/>
      <c r="AD44" s="388"/>
      <c r="AE44" s="388"/>
      <c r="AF44" s="388"/>
      <c r="AG44" s="388"/>
      <c r="AH44" s="388"/>
      <c r="AI44" s="388"/>
      <c r="AJ44" s="388"/>
      <c r="AK44" s="388"/>
      <c r="AL44" s="388"/>
      <c r="AM44" s="388"/>
      <c r="AN44" s="388"/>
      <c r="AO44" s="388"/>
      <c r="AP44" s="388"/>
      <c r="AQ44" s="388"/>
      <c r="AR44" s="388"/>
      <c r="AS44" s="388"/>
      <c r="AT44" s="388"/>
      <c r="AU44" s="388"/>
      <c r="AV44" s="388"/>
      <c r="AW44" s="388"/>
      <c r="AX44" s="388"/>
      <c r="AY44" s="388"/>
      <c r="AZ44" s="388"/>
      <c r="BA44" s="388"/>
      <c r="BB44" s="388"/>
      <c r="BC44" s="388"/>
      <c r="BD44" s="388"/>
      <c r="BE44" s="388"/>
      <c r="BF44" s="388"/>
      <c r="BG44" s="388"/>
      <c r="BH44" s="388"/>
      <c r="BI44" s="388"/>
      <c r="BJ44" s="388"/>
      <c r="BK44" s="388"/>
      <c r="BL44" s="388"/>
      <c r="BM44" s="388"/>
      <c r="BN44" s="388"/>
      <c r="BO44" s="388"/>
      <c r="BZ44" s="16"/>
      <c r="CA44" s="16"/>
      <c r="CB44" s="16"/>
      <c r="CC44" s="16"/>
      <c r="CD44" s="16"/>
      <c r="CE44" s="16"/>
      <c r="CF44" s="16"/>
      <c r="CG44" s="16"/>
      <c r="CH44" s="1899">
        <v>2</v>
      </c>
      <c r="CI44" s="10">
        <f>IF($BR$10=CH42,CH42,0)</f>
        <v>0</v>
      </c>
      <c r="CJ44" s="477">
        <v>40</v>
      </c>
      <c r="CK44" s="2">
        <f t="shared" si="36"/>
        <v>0</v>
      </c>
      <c r="CL44" s="472" t="str">
        <f t="shared" si="37"/>
        <v/>
      </c>
      <c r="CM44" s="487">
        <v>30</v>
      </c>
      <c r="CN44" s="472" t="str">
        <f t="shared" si="38"/>
        <v/>
      </c>
      <c r="CO44" s="491">
        <v>64</v>
      </c>
      <c r="CP44" s="472" t="str">
        <f t="shared" si="39"/>
        <v/>
      </c>
      <c r="CQ44" s="491">
        <v>115</v>
      </c>
      <c r="CR44" s="472" t="str">
        <f t="shared" si="40"/>
        <v/>
      </c>
      <c r="CS44" s="491">
        <v>178</v>
      </c>
      <c r="CT44" s="472" t="str">
        <f t="shared" si="41"/>
        <v/>
      </c>
      <c r="CU44" s="491">
        <v>275</v>
      </c>
      <c r="CV44" s="472" t="str">
        <f t="shared" si="42"/>
        <v/>
      </c>
      <c r="CW44" s="491">
        <v>475</v>
      </c>
      <c r="CX44" s="472" t="str">
        <f t="shared" si="43"/>
        <v/>
      </c>
      <c r="CY44" s="491">
        <v>745</v>
      </c>
      <c r="CZ44" s="472" t="str">
        <f t="shared" si="44"/>
        <v/>
      </c>
      <c r="DA44" s="491">
        <v>1010</v>
      </c>
      <c r="DB44" s="472" t="str">
        <f t="shared" si="45"/>
        <v/>
      </c>
      <c r="DC44" s="491">
        <v>1895</v>
      </c>
      <c r="DD44" s="472" t="str">
        <f t="shared" si="46"/>
        <v/>
      </c>
      <c r="DE44" s="491">
        <v>2925</v>
      </c>
      <c r="DF44" s="472" t="str">
        <f t="shared" si="47"/>
        <v/>
      </c>
      <c r="DG44" s="491">
        <v>4175</v>
      </c>
      <c r="DH44" s="472" t="str">
        <f t="shared" si="48"/>
        <v/>
      </c>
      <c r="DI44" s="491">
        <v>7678</v>
      </c>
      <c r="DJ44" s="472" t="str">
        <f t="shared" si="49"/>
        <v/>
      </c>
      <c r="DK44" s="491">
        <v>1197</v>
      </c>
      <c r="DL44" s="472" t="str">
        <f t="shared" si="50"/>
        <v/>
      </c>
      <c r="DM44" s="495">
        <v>16796</v>
      </c>
      <c r="DN44" s="7" t="str">
        <f t="shared" si="51"/>
        <v/>
      </c>
      <c r="DO44" s="7" t="str">
        <f t="shared" si="52"/>
        <v/>
      </c>
      <c r="DP44" s="7" t="str">
        <f t="shared" si="53"/>
        <v/>
      </c>
      <c r="DQ44" s="7" t="str">
        <f t="shared" si="54"/>
        <v/>
      </c>
      <c r="DR44" s="7" t="str">
        <f t="shared" si="55"/>
        <v/>
      </c>
      <c r="DS44" s="7" t="str">
        <f t="shared" si="56"/>
        <v/>
      </c>
      <c r="DT44" s="7" t="str">
        <f t="shared" si="57"/>
        <v/>
      </c>
      <c r="DU44" s="7" t="str">
        <f t="shared" si="58"/>
        <v/>
      </c>
      <c r="DV44" s="7" t="str">
        <f t="shared" si="59"/>
        <v/>
      </c>
      <c r="DW44" s="7" t="str">
        <f t="shared" si="60"/>
        <v/>
      </c>
      <c r="DX44" s="7" t="str">
        <f t="shared" si="61"/>
        <v/>
      </c>
      <c r="DY44" s="7" t="str">
        <f t="shared" si="62"/>
        <v/>
      </c>
      <c r="DZ44" s="7" t="str">
        <f t="shared" si="63"/>
        <v/>
      </c>
      <c r="EA44" s="7" t="str">
        <f t="shared" si="64"/>
        <v/>
      </c>
      <c r="EC44" s="2">
        <v>0.7</v>
      </c>
      <c r="ED44" s="168">
        <v>115.4</v>
      </c>
      <c r="EE44" s="169">
        <v>484.1</v>
      </c>
      <c r="EF44" s="168">
        <f t="shared" ref="EF44:EF54" si="65">IF($EB$45=EC44,EE44,0)</f>
        <v>0</v>
      </c>
    </row>
    <row r="45" spans="4:136" ht="12.75" customHeight="1">
      <c r="D45" s="389"/>
      <c r="E45" s="389"/>
      <c r="F45" s="389"/>
      <c r="G45" s="389"/>
      <c r="H45" s="388"/>
      <c r="I45" s="389"/>
      <c r="J45" s="389"/>
      <c r="K45" s="389"/>
      <c r="L45" s="389"/>
      <c r="M45" s="389"/>
      <c r="N45" s="389"/>
      <c r="O45" s="407"/>
      <c r="P45" s="389"/>
      <c r="Q45" s="407"/>
      <c r="R45" s="389"/>
      <c r="S45" s="389"/>
      <c r="T45" s="389"/>
      <c r="U45" s="389"/>
      <c r="V45" s="389"/>
      <c r="W45" s="389"/>
      <c r="AC45" s="388"/>
      <c r="AD45" s="388"/>
      <c r="AE45" s="388"/>
      <c r="AF45" s="388"/>
      <c r="AG45" s="388"/>
      <c r="AH45" s="388"/>
      <c r="AI45" s="388"/>
      <c r="AJ45" s="388"/>
      <c r="AK45" s="388"/>
      <c r="AL45" s="388"/>
      <c r="AM45" s="388"/>
      <c r="AN45" s="388"/>
      <c r="AO45" s="388"/>
      <c r="AP45" s="388"/>
      <c r="AQ45" s="388"/>
      <c r="AR45" s="388"/>
      <c r="AS45" s="388"/>
      <c r="AT45" s="388"/>
      <c r="AU45" s="388"/>
      <c r="AV45" s="388"/>
      <c r="AW45" s="388"/>
      <c r="AX45" s="388"/>
      <c r="AY45" s="388"/>
      <c r="AZ45" s="388"/>
      <c r="BA45" s="388"/>
      <c r="BB45" s="388"/>
      <c r="BC45" s="388"/>
      <c r="BD45" s="388"/>
      <c r="BE45" s="388"/>
      <c r="BF45" s="388"/>
      <c r="BG45" s="388"/>
      <c r="BH45" s="388"/>
      <c r="BI45" s="388"/>
      <c r="BJ45" s="388"/>
      <c r="BK45" s="388"/>
      <c r="BL45" s="388"/>
      <c r="BM45" s="388"/>
      <c r="BN45" s="388"/>
      <c r="BO45" s="388"/>
      <c r="BZ45" s="16"/>
      <c r="CA45" s="16"/>
      <c r="CB45" s="16"/>
      <c r="CC45" s="16"/>
      <c r="CD45" s="16"/>
      <c r="CE45" s="16"/>
      <c r="CF45" s="16"/>
      <c r="CG45" s="16"/>
      <c r="CH45" s="1898">
        <v>3</v>
      </c>
      <c r="CI45" s="468">
        <f>IF($BR$10=CH45,CH45,0)</f>
        <v>0</v>
      </c>
      <c r="CJ45" s="479">
        <v>15</v>
      </c>
      <c r="CK45" s="3">
        <f t="shared" si="36"/>
        <v>0</v>
      </c>
      <c r="CL45" s="471" t="str">
        <f t="shared" si="37"/>
        <v/>
      </c>
      <c r="CM45" s="489">
        <v>16</v>
      </c>
      <c r="CN45" s="471" t="str">
        <f t="shared" si="38"/>
        <v/>
      </c>
      <c r="CO45" s="493">
        <v>37</v>
      </c>
      <c r="CP45" s="471" t="str">
        <f t="shared" si="39"/>
        <v/>
      </c>
      <c r="CQ45" s="493">
        <v>60</v>
      </c>
      <c r="CR45" s="471" t="str">
        <f t="shared" si="40"/>
        <v/>
      </c>
      <c r="CS45" s="493">
        <v>93</v>
      </c>
      <c r="CT45" s="471" t="str">
        <f t="shared" si="41"/>
        <v/>
      </c>
      <c r="CU45" s="493">
        <v>127</v>
      </c>
      <c r="CV45" s="471" t="str">
        <f t="shared" si="42"/>
        <v/>
      </c>
      <c r="CW45" s="493">
        <v>245</v>
      </c>
      <c r="CX45" s="471" t="str">
        <f t="shared" si="43"/>
        <v/>
      </c>
      <c r="CY45" s="493">
        <v>385</v>
      </c>
      <c r="CZ45" s="471" t="str">
        <f t="shared" si="44"/>
        <v/>
      </c>
      <c r="DA45" s="493">
        <v>535</v>
      </c>
      <c r="DB45" s="471" t="str">
        <f t="shared" si="45"/>
        <v/>
      </c>
      <c r="DC45" s="493">
        <v>925</v>
      </c>
      <c r="DD45" s="471" t="str">
        <f t="shared" si="46"/>
        <v/>
      </c>
      <c r="DE45" s="493">
        <v>1505</v>
      </c>
      <c r="DF45" s="471" t="str">
        <f t="shared" si="47"/>
        <v/>
      </c>
      <c r="DG45" s="493">
        <v>2040</v>
      </c>
      <c r="DH45" s="471" t="str">
        <f t="shared" si="48"/>
        <v/>
      </c>
      <c r="DI45" s="493">
        <v>3983</v>
      </c>
      <c r="DJ45" s="471" t="str">
        <f t="shared" si="49"/>
        <v/>
      </c>
      <c r="DK45" s="493">
        <v>6217</v>
      </c>
      <c r="DL45" s="471" t="str">
        <f t="shared" si="50"/>
        <v/>
      </c>
      <c r="DM45" s="497">
        <v>8743</v>
      </c>
      <c r="DN45" s="7" t="str">
        <f t="shared" si="51"/>
        <v/>
      </c>
      <c r="DO45" s="7" t="str">
        <f t="shared" si="52"/>
        <v/>
      </c>
      <c r="DP45" s="7" t="str">
        <f t="shared" si="53"/>
        <v/>
      </c>
      <c r="DQ45" s="7" t="str">
        <f t="shared" si="54"/>
        <v/>
      </c>
      <c r="DR45" s="7" t="str">
        <f t="shared" si="55"/>
        <v/>
      </c>
      <c r="DS45" s="7" t="str">
        <f t="shared" si="56"/>
        <v/>
      </c>
      <c r="DT45" s="7" t="str">
        <f t="shared" si="57"/>
        <v/>
      </c>
      <c r="DU45" s="7" t="str">
        <f t="shared" si="58"/>
        <v/>
      </c>
      <c r="DV45" s="7" t="str">
        <f t="shared" si="59"/>
        <v/>
      </c>
      <c r="DW45" s="7" t="str">
        <f t="shared" si="60"/>
        <v/>
      </c>
      <c r="DX45" s="7" t="str">
        <f t="shared" si="61"/>
        <v/>
      </c>
      <c r="DY45" s="7" t="str">
        <f t="shared" si="62"/>
        <v/>
      </c>
      <c r="DZ45" s="7" t="str">
        <f t="shared" si="63"/>
        <v/>
      </c>
      <c r="EA45" s="7" t="str">
        <f t="shared" si="64"/>
        <v/>
      </c>
      <c r="EB45" s="2">
        <f>BR10</f>
        <v>0</v>
      </c>
      <c r="EC45" s="2">
        <v>1</v>
      </c>
      <c r="ED45" s="168">
        <v>120.42</v>
      </c>
      <c r="EE45" s="169">
        <v>505.6</v>
      </c>
      <c r="EF45" s="168">
        <f t="shared" si="65"/>
        <v>0</v>
      </c>
    </row>
    <row r="46" spans="4:136" ht="12.75" customHeight="1">
      <c r="D46" s="389"/>
      <c r="E46" s="389"/>
      <c r="F46" s="389"/>
      <c r="G46" s="389"/>
      <c r="H46" s="388"/>
      <c r="I46" s="389"/>
      <c r="J46" s="389"/>
      <c r="K46" s="389"/>
      <c r="L46" s="389"/>
      <c r="M46" s="389"/>
      <c r="N46" s="389"/>
      <c r="O46" s="407"/>
      <c r="P46" s="389"/>
      <c r="Q46" s="407"/>
      <c r="R46" s="389"/>
      <c r="S46" s="389"/>
      <c r="T46" s="389"/>
      <c r="U46" s="389"/>
      <c r="V46" s="389"/>
      <c r="W46" s="389"/>
      <c r="AC46" s="388"/>
      <c r="AD46" s="388"/>
      <c r="AE46" s="388"/>
      <c r="AF46" s="388"/>
      <c r="AG46" s="388"/>
      <c r="AH46" s="388"/>
      <c r="AI46" s="388"/>
      <c r="AJ46" s="388"/>
      <c r="AK46" s="388"/>
      <c r="AL46" s="388"/>
      <c r="AM46" s="388"/>
      <c r="AN46" s="388"/>
      <c r="AO46" s="388"/>
      <c r="AP46" s="388"/>
      <c r="AQ46" s="388"/>
      <c r="AR46" s="388"/>
      <c r="AS46" s="388"/>
      <c r="AT46" s="388"/>
      <c r="AU46" s="388"/>
      <c r="AV46" s="388"/>
      <c r="AW46" s="388"/>
      <c r="AX46" s="388"/>
      <c r="AY46" s="388"/>
      <c r="AZ46" s="388"/>
      <c r="BA46" s="388"/>
      <c r="BB46" s="388"/>
      <c r="BC46" s="388"/>
      <c r="BD46" s="388"/>
      <c r="BE46" s="388"/>
      <c r="BF46" s="388"/>
      <c r="BG46" s="388"/>
      <c r="BH46" s="388"/>
      <c r="BI46" s="388"/>
      <c r="BJ46" s="388"/>
      <c r="BK46" s="388"/>
      <c r="BL46" s="388"/>
      <c r="BM46" s="388"/>
      <c r="BN46" s="388"/>
      <c r="BO46" s="388"/>
      <c r="BZ46" s="16"/>
      <c r="CA46" s="16"/>
      <c r="CB46" s="16"/>
      <c r="CC46" s="16"/>
      <c r="CD46" s="16"/>
      <c r="CE46" s="16"/>
      <c r="CF46" s="16"/>
      <c r="CG46" s="16"/>
      <c r="CH46" s="1898">
        <v>3</v>
      </c>
      <c r="CI46" s="468">
        <f>IF($BR$10=CH45,CH45,0)</f>
        <v>0</v>
      </c>
      <c r="CJ46" s="477">
        <v>25</v>
      </c>
      <c r="CK46" s="2">
        <f t="shared" si="36"/>
        <v>0</v>
      </c>
      <c r="CL46" s="472" t="str">
        <f t="shared" si="37"/>
        <v/>
      </c>
      <c r="CM46" s="487">
        <v>26</v>
      </c>
      <c r="CN46" s="472" t="str">
        <f t="shared" si="38"/>
        <v/>
      </c>
      <c r="CO46" s="491">
        <v>56</v>
      </c>
      <c r="CP46" s="472" t="str">
        <f t="shared" si="39"/>
        <v/>
      </c>
      <c r="CQ46" s="491">
        <v>100</v>
      </c>
      <c r="CR46" s="472" t="str">
        <f t="shared" si="40"/>
        <v/>
      </c>
      <c r="CS46" s="491">
        <v>152</v>
      </c>
      <c r="CT46" s="472" t="str">
        <f t="shared" si="41"/>
        <v/>
      </c>
      <c r="CU46" s="491">
        <v>225</v>
      </c>
      <c r="CV46" s="472" t="str">
        <f t="shared" si="42"/>
        <v/>
      </c>
      <c r="CW46" s="491">
        <v>425</v>
      </c>
      <c r="CX46" s="472" t="str">
        <f t="shared" si="43"/>
        <v/>
      </c>
      <c r="CY46" s="491">
        <v>632</v>
      </c>
      <c r="CZ46" s="472" t="str">
        <f t="shared" si="44"/>
        <v/>
      </c>
      <c r="DA46" s="491">
        <v>910</v>
      </c>
      <c r="DB46" s="472" t="str">
        <f t="shared" si="45"/>
        <v/>
      </c>
      <c r="DC46" s="491">
        <v>1580</v>
      </c>
      <c r="DD46" s="472" t="str">
        <f t="shared" si="46"/>
        <v/>
      </c>
      <c r="DE46" s="491">
        <v>2480</v>
      </c>
      <c r="DF46" s="472" t="str">
        <f t="shared" si="47"/>
        <v/>
      </c>
      <c r="DG46" s="491">
        <v>3440</v>
      </c>
      <c r="DH46" s="472" t="str">
        <f t="shared" si="48"/>
        <v/>
      </c>
      <c r="DI46" s="491">
        <v>6779</v>
      </c>
      <c r="DJ46" s="472" t="str">
        <f t="shared" si="49"/>
        <v/>
      </c>
      <c r="DK46" s="491">
        <v>10269</v>
      </c>
      <c r="DL46" s="472" t="str">
        <f t="shared" si="50"/>
        <v/>
      </c>
      <c r="DM46" s="495">
        <v>14316</v>
      </c>
      <c r="DN46" s="7" t="str">
        <f t="shared" si="51"/>
        <v/>
      </c>
      <c r="DO46" s="7" t="str">
        <f t="shared" si="52"/>
        <v/>
      </c>
      <c r="DP46" s="7" t="str">
        <f t="shared" si="53"/>
        <v/>
      </c>
      <c r="DQ46" s="7" t="str">
        <f t="shared" si="54"/>
        <v/>
      </c>
      <c r="DR46" s="7" t="str">
        <f t="shared" si="55"/>
        <v/>
      </c>
      <c r="DS46" s="7" t="str">
        <f t="shared" si="56"/>
        <v/>
      </c>
      <c r="DT46" s="7" t="str">
        <f t="shared" si="57"/>
        <v/>
      </c>
      <c r="DU46" s="7" t="str">
        <f t="shared" si="58"/>
        <v/>
      </c>
      <c r="DV46" s="7" t="str">
        <f t="shared" si="59"/>
        <v/>
      </c>
      <c r="DW46" s="7" t="str">
        <f t="shared" si="60"/>
        <v/>
      </c>
      <c r="DX46" s="7" t="str">
        <f t="shared" si="61"/>
        <v/>
      </c>
      <c r="DY46" s="7" t="str">
        <f t="shared" si="62"/>
        <v/>
      </c>
      <c r="DZ46" s="7" t="str">
        <f t="shared" si="63"/>
        <v/>
      </c>
      <c r="EA46" s="7" t="str">
        <f t="shared" si="64"/>
        <v/>
      </c>
      <c r="EC46" s="2">
        <v>2</v>
      </c>
      <c r="ED46" s="168">
        <v>133.69</v>
      </c>
      <c r="EE46" s="169">
        <v>562.20000000000005</v>
      </c>
      <c r="EF46" s="168">
        <f t="shared" si="65"/>
        <v>0</v>
      </c>
    </row>
    <row r="47" spans="4:136" ht="12.75" customHeight="1">
      <c r="D47" s="389"/>
      <c r="E47" s="389"/>
      <c r="F47" s="389"/>
      <c r="G47" s="389"/>
      <c r="H47" s="388"/>
      <c r="I47" s="389"/>
      <c r="J47" s="389"/>
      <c r="K47" s="389"/>
      <c r="L47" s="389"/>
      <c r="M47" s="389"/>
      <c r="N47" s="389"/>
      <c r="O47" s="407"/>
      <c r="P47" s="389"/>
      <c r="Q47" s="407"/>
      <c r="R47" s="389"/>
      <c r="S47" s="389"/>
      <c r="T47" s="389"/>
      <c r="U47" s="389"/>
      <c r="V47" s="389"/>
      <c r="W47" s="389"/>
      <c r="AC47" s="388"/>
      <c r="AD47" s="388"/>
      <c r="AE47" s="657">
        <f>IF(F19=AF47,E19,E19*3.516)</f>
        <v>4080</v>
      </c>
      <c r="AF47" s="434" t="s">
        <v>6</v>
      </c>
      <c r="AG47" s="657">
        <f>IF(F35=AH48,E35*3.6,E35)</f>
        <v>0</v>
      </c>
      <c r="AH47" s="548" t="s">
        <v>1339</v>
      </c>
      <c r="AI47" s="388"/>
      <c r="AP47" s="388"/>
      <c r="AQ47" s="388"/>
      <c r="AR47" s="388"/>
      <c r="AS47" s="388"/>
      <c r="AT47" s="388"/>
      <c r="AU47" s="388"/>
      <c r="AV47" s="388"/>
      <c r="AW47" s="388"/>
      <c r="AX47" s="388"/>
      <c r="AY47" s="388"/>
      <c r="AZ47" s="388"/>
      <c r="BA47" s="388"/>
      <c r="BB47" s="388"/>
      <c r="BC47" s="388"/>
      <c r="BD47" s="388"/>
      <c r="BE47" s="388"/>
      <c r="BF47" s="388"/>
      <c r="BG47" s="388"/>
      <c r="BH47" s="388"/>
      <c r="BI47" s="388"/>
      <c r="BJ47" s="388"/>
      <c r="BK47" s="388"/>
      <c r="BL47" s="388"/>
      <c r="BM47" s="388"/>
      <c r="BN47" s="388"/>
      <c r="BO47" s="388"/>
      <c r="BZ47" s="16"/>
      <c r="CA47" s="16"/>
      <c r="CB47" s="16"/>
      <c r="CC47" s="16"/>
      <c r="CD47" s="16"/>
      <c r="CE47" s="16"/>
      <c r="CF47" s="16"/>
      <c r="CG47" s="16"/>
      <c r="CH47" s="1898">
        <v>3</v>
      </c>
      <c r="CI47" s="468">
        <f>IF($BR$10=CH45,CH45,0)</f>
        <v>0</v>
      </c>
      <c r="CJ47" s="478">
        <v>40</v>
      </c>
      <c r="CK47" s="4">
        <f t="shared" si="36"/>
        <v>0</v>
      </c>
      <c r="CL47" s="473" t="str">
        <f t="shared" si="37"/>
        <v/>
      </c>
      <c r="CM47" s="488">
        <v>41</v>
      </c>
      <c r="CN47" s="473" t="str">
        <f t="shared" si="38"/>
        <v/>
      </c>
      <c r="CO47" s="492">
        <v>87</v>
      </c>
      <c r="CP47" s="473" t="str">
        <f t="shared" si="39"/>
        <v/>
      </c>
      <c r="CQ47" s="492">
        <v>157</v>
      </c>
      <c r="CR47" s="473" t="str">
        <f t="shared" si="40"/>
        <v/>
      </c>
      <c r="CS47" s="492">
        <v>250</v>
      </c>
      <c r="CT47" s="473" t="str">
        <f t="shared" si="41"/>
        <v/>
      </c>
      <c r="CU47" s="492">
        <v>357</v>
      </c>
      <c r="CV47" s="473" t="str">
        <f t="shared" si="42"/>
        <v/>
      </c>
      <c r="CW47" s="492">
        <v>595</v>
      </c>
      <c r="CX47" s="473" t="str">
        <f t="shared" si="43"/>
        <v/>
      </c>
      <c r="CY47" s="492">
        <v>1025</v>
      </c>
      <c r="CZ47" s="473" t="str">
        <f t="shared" si="44"/>
        <v/>
      </c>
      <c r="DA47" s="492">
        <v>1460</v>
      </c>
      <c r="DB47" s="473" t="str">
        <f t="shared" si="45"/>
        <v/>
      </c>
      <c r="DC47" s="492">
        <v>2540</v>
      </c>
      <c r="DD47" s="473" t="str">
        <f t="shared" si="46"/>
        <v/>
      </c>
      <c r="DE47" s="492">
        <v>4050</v>
      </c>
      <c r="DF47" s="473" t="str">
        <f t="shared" si="47"/>
        <v/>
      </c>
      <c r="DG47" s="492">
        <v>5940</v>
      </c>
      <c r="DH47" s="473" t="str">
        <f t="shared" si="48"/>
        <v/>
      </c>
      <c r="DI47" s="492">
        <v>10476</v>
      </c>
      <c r="DJ47" s="473" t="str">
        <f t="shared" si="49"/>
        <v/>
      </c>
      <c r="DK47" s="492">
        <v>16470</v>
      </c>
      <c r="DL47" s="473" t="str">
        <f t="shared" si="50"/>
        <v/>
      </c>
      <c r="DM47" s="496">
        <v>22950</v>
      </c>
      <c r="DN47" s="7" t="str">
        <f t="shared" si="51"/>
        <v/>
      </c>
      <c r="DO47" s="7" t="str">
        <f t="shared" si="52"/>
        <v/>
      </c>
      <c r="DP47" s="7" t="str">
        <f t="shared" si="53"/>
        <v/>
      </c>
      <c r="DQ47" s="7" t="str">
        <f t="shared" si="54"/>
        <v/>
      </c>
      <c r="DR47" s="7" t="str">
        <f t="shared" si="55"/>
        <v/>
      </c>
      <c r="DS47" s="7" t="str">
        <f t="shared" si="56"/>
        <v/>
      </c>
      <c r="DT47" s="7" t="str">
        <f t="shared" si="57"/>
        <v/>
      </c>
      <c r="DU47" s="7" t="str">
        <f t="shared" si="58"/>
        <v/>
      </c>
      <c r="DV47" s="7" t="str">
        <f t="shared" si="59"/>
        <v/>
      </c>
      <c r="DW47" s="7" t="str">
        <f t="shared" si="60"/>
        <v/>
      </c>
      <c r="DX47" s="7" t="str">
        <f t="shared" si="61"/>
        <v/>
      </c>
      <c r="DY47" s="7" t="str">
        <f t="shared" si="62"/>
        <v/>
      </c>
      <c r="DZ47" s="7" t="str">
        <f t="shared" si="63"/>
        <v/>
      </c>
      <c r="EA47" s="7" t="str">
        <f t="shared" si="64"/>
        <v/>
      </c>
      <c r="EC47" s="2">
        <v>3</v>
      </c>
      <c r="ED47" s="168">
        <v>143.75</v>
      </c>
      <c r="EE47" s="169">
        <v>605.29999999999995</v>
      </c>
      <c r="EF47" s="168">
        <f t="shared" si="65"/>
        <v>0</v>
      </c>
    </row>
    <row r="48" spans="4:136" ht="12.75" customHeight="1">
      <c r="D48" s="389"/>
      <c r="E48" s="389"/>
      <c r="F48" s="389"/>
      <c r="G48" s="389"/>
      <c r="H48" s="388"/>
      <c r="I48" s="389"/>
      <c r="J48" s="389"/>
      <c r="K48" s="389"/>
      <c r="L48" s="389"/>
      <c r="M48" s="389"/>
      <c r="N48" s="389"/>
      <c r="O48" s="407"/>
      <c r="P48" s="389"/>
      <c r="Q48" s="407"/>
      <c r="R48" s="389"/>
      <c r="S48" s="389"/>
      <c r="T48" s="389"/>
      <c r="U48" s="389"/>
      <c r="V48" s="389"/>
      <c r="W48" s="389"/>
      <c r="AC48" s="388"/>
      <c r="AD48" s="388"/>
      <c r="AE48" s="657">
        <f>IF(F19=AF48,E19,E19/3.516)</f>
        <v>1160.4095563139931</v>
      </c>
      <c r="AF48" s="435" t="s">
        <v>12</v>
      </c>
      <c r="AG48" s="657">
        <f>IF(F35=AH47,E35/3.6,E35)</f>
        <v>0</v>
      </c>
      <c r="AH48" s="548" t="s">
        <v>3</v>
      </c>
      <c r="AI48" s="388"/>
      <c r="AP48" s="388"/>
      <c r="AQ48" s="388"/>
      <c r="AR48" s="388"/>
      <c r="AS48" s="388"/>
      <c r="AT48" s="388"/>
      <c r="AU48" s="388"/>
      <c r="AV48" s="388"/>
      <c r="AW48" s="388"/>
      <c r="AX48" s="388"/>
      <c r="AY48" s="388"/>
      <c r="AZ48" s="388"/>
      <c r="BA48" s="388"/>
      <c r="BB48" s="388"/>
      <c r="BC48" s="388"/>
      <c r="BD48" s="388"/>
      <c r="BE48" s="388"/>
      <c r="BF48" s="388"/>
      <c r="BG48" s="388"/>
      <c r="BH48" s="388"/>
      <c r="BI48" s="388"/>
      <c r="BJ48" s="388"/>
      <c r="BK48" s="388"/>
      <c r="BL48" s="388"/>
      <c r="BM48" s="388"/>
      <c r="BN48" s="388"/>
      <c r="BO48" s="388"/>
      <c r="BZ48" s="16"/>
      <c r="CA48" s="16"/>
      <c r="CB48" s="16"/>
      <c r="CC48" s="16"/>
      <c r="CD48" s="16"/>
      <c r="CE48" s="16"/>
      <c r="CF48" s="16"/>
      <c r="CG48" s="16"/>
      <c r="CH48" s="1898">
        <v>4</v>
      </c>
      <c r="CI48" s="468">
        <f>IF($BR$10=CH48,CH48,0)</f>
        <v>0</v>
      </c>
      <c r="CJ48" s="479">
        <v>15</v>
      </c>
      <c r="CK48" s="3">
        <f t="shared" si="36"/>
        <v>0</v>
      </c>
      <c r="CL48" s="471" t="str">
        <f t="shared" si="37"/>
        <v/>
      </c>
      <c r="CM48" s="489">
        <v>19</v>
      </c>
      <c r="CN48" s="471" t="str">
        <f t="shared" si="38"/>
        <v/>
      </c>
      <c r="CO48" s="493">
        <v>42</v>
      </c>
      <c r="CP48" s="471" t="str">
        <f t="shared" si="39"/>
        <v/>
      </c>
      <c r="CQ48" s="493">
        <v>70</v>
      </c>
      <c r="CR48" s="471" t="str">
        <f t="shared" si="40"/>
        <v/>
      </c>
      <c r="CS48" s="493">
        <v>108</v>
      </c>
      <c r="CT48" s="471" t="str">
        <f t="shared" si="41"/>
        <v/>
      </c>
      <c r="CU48" s="493">
        <v>156</v>
      </c>
      <c r="CV48" s="471" t="str">
        <f t="shared" si="42"/>
        <v/>
      </c>
      <c r="CW48" s="493">
        <v>281</v>
      </c>
      <c r="CX48" s="471" t="str">
        <f t="shared" si="43"/>
        <v/>
      </c>
      <c r="CY48" s="493">
        <v>432</v>
      </c>
      <c r="CZ48" s="471" t="str">
        <f t="shared" si="44"/>
        <v/>
      </c>
      <c r="DA48" s="493">
        <v>635</v>
      </c>
      <c r="DB48" s="471" t="str">
        <f t="shared" si="45"/>
        <v/>
      </c>
      <c r="DC48" s="493">
        <v>1166</v>
      </c>
      <c r="DD48" s="471" t="str">
        <f t="shared" si="46"/>
        <v/>
      </c>
      <c r="DE48" s="493">
        <v>1685</v>
      </c>
      <c r="DF48" s="471" t="str">
        <f t="shared" si="47"/>
        <v/>
      </c>
      <c r="DG48" s="493">
        <v>2460</v>
      </c>
      <c r="DH48" s="471" t="str">
        <f t="shared" si="48"/>
        <v/>
      </c>
      <c r="DI48" s="493">
        <v>4618</v>
      </c>
      <c r="DJ48" s="471" t="str">
        <f t="shared" si="49"/>
        <v/>
      </c>
      <c r="DK48" s="493">
        <v>7121</v>
      </c>
      <c r="DL48" s="471" t="str">
        <f t="shared" si="50"/>
        <v/>
      </c>
      <c r="DM48" s="497">
        <v>10358</v>
      </c>
      <c r="DN48" s="7" t="str">
        <f t="shared" si="51"/>
        <v/>
      </c>
      <c r="DO48" s="7" t="str">
        <f t="shared" si="52"/>
        <v/>
      </c>
      <c r="DP48" s="7" t="str">
        <f t="shared" si="53"/>
        <v/>
      </c>
      <c r="DQ48" s="7" t="str">
        <f t="shared" si="54"/>
        <v/>
      </c>
      <c r="DR48" s="7" t="str">
        <f t="shared" si="55"/>
        <v/>
      </c>
      <c r="DS48" s="7" t="str">
        <f t="shared" si="56"/>
        <v/>
      </c>
      <c r="DT48" s="7" t="str">
        <f t="shared" si="57"/>
        <v/>
      </c>
      <c r="DU48" s="7" t="str">
        <f t="shared" si="58"/>
        <v/>
      </c>
      <c r="DV48" s="7" t="str">
        <f t="shared" si="59"/>
        <v/>
      </c>
      <c r="DW48" s="7" t="str">
        <f t="shared" si="60"/>
        <v/>
      </c>
      <c r="DX48" s="7" t="str">
        <f t="shared" si="61"/>
        <v/>
      </c>
      <c r="DY48" s="7" t="str">
        <f t="shared" si="62"/>
        <v/>
      </c>
      <c r="DZ48" s="7" t="str">
        <f t="shared" si="63"/>
        <v/>
      </c>
      <c r="EA48" s="7" t="str">
        <f t="shared" si="64"/>
        <v/>
      </c>
      <c r="EC48" s="2">
        <v>4</v>
      </c>
      <c r="ED48" s="168">
        <v>151.96</v>
      </c>
      <c r="EE48" s="169">
        <v>640.70000000000005</v>
      </c>
      <c r="EF48" s="168">
        <f t="shared" si="65"/>
        <v>0</v>
      </c>
    </row>
    <row r="49" spans="4:140" ht="12.75" customHeight="1">
      <c r="D49" s="389"/>
      <c r="E49" s="389"/>
      <c r="F49" s="389"/>
      <c r="G49" s="389"/>
      <c r="H49" s="388"/>
      <c r="I49" s="389"/>
      <c r="J49" s="389"/>
      <c r="K49" s="389"/>
      <c r="L49" s="389"/>
      <c r="M49" s="389"/>
      <c r="N49" s="389"/>
      <c r="O49" s="407"/>
      <c r="P49" s="389"/>
      <c r="Q49" s="407"/>
      <c r="R49" s="389"/>
      <c r="S49" s="389"/>
      <c r="T49" s="389"/>
      <c r="U49" s="389"/>
      <c r="V49" s="389"/>
      <c r="W49" s="389"/>
      <c r="AC49" s="388"/>
      <c r="AD49" s="388"/>
      <c r="AE49" s="388"/>
      <c r="AF49" s="388"/>
      <c r="AG49" s="388"/>
      <c r="AH49" s="388"/>
      <c r="AI49" s="388"/>
      <c r="AP49" s="388"/>
      <c r="AQ49" s="388"/>
      <c r="AR49" s="388"/>
      <c r="AS49" s="388"/>
      <c r="AT49" s="388"/>
      <c r="AU49" s="388"/>
      <c r="AV49" s="388"/>
      <c r="AW49" s="388"/>
      <c r="AX49" s="388"/>
      <c r="AY49" s="388"/>
      <c r="AZ49" s="388"/>
      <c r="BA49" s="388"/>
      <c r="BB49" s="388"/>
      <c r="BC49" s="388"/>
      <c r="BD49" s="388"/>
      <c r="BE49" s="388"/>
      <c r="BF49" s="388"/>
      <c r="BG49" s="388"/>
      <c r="BH49" s="388"/>
      <c r="BI49" s="388"/>
      <c r="BJ49" s="388"/>
      <c r="BK49" s="388"/>
      <c r="BL49" s="388"/>
      <c r="BM49" s="388"/>
      <c r="BN49" s="388"/>
      <c r="BO49" s="388"/>
      <c r="BZ49" s="16"/>
      <c r="CA49" s="16"/>
      <c r="CB49" s="16"/>
      <c r="CC49" s="16"/>
      <c r="CD49" s="16"/>
      <c r="CE49" s="16"/>
      <c r="CF49" s="16"/>
      <c r="CG49" s="16"/>
      <c r="CH49" s="1898">
        <v>4</v>
      </c>
      <c r="CI49" s="468">
        <f>IF($BR$10=CH48,CH48,0)</f>
        <v>0</v>
      </c>
      <c r="CJ49" s="477">
        <v>25</v>
      </c>
      <c r="CK49" s="2">
        <f t="shared" si="36"/>
        <v>0</v>
      </c>
      <c r="CL49" s="472" t="str">
        <f t="shared" si="37"/>
        <v/>
      </c>
      <c r="CM49" s="487">
        <v>30</v>
      </c>
      <c r="CN49" s="472" t="str">
        <f t="shared" si="38"/>
        <v/>
      </c>
      <c r="CO49" s="491">
        <v>63</v>
      </c>
      <c r="CP49" s="472" t="str">
        <f t="shared" si="39"/>
        <v/>
      </c>
      <c r="CQ49" s="491">
        <v>115</v>
      </c>
      <c r="CR49" s="472" t="str">
        <f t="shared" si="40"/>
        <v/>
      </c>
      <c r="CS49" s="491">
        <v>180</v>
      </c>
      <c r="CT49" s="472" t="str">
        <f t="shared" si="41"/>
        <v/>
      </c>
      <c r="CU49" s="491">
        <v>270</v>
      </c>
      <c r="CV49" s="472" t="str">
        <f t="shared" si="42"/>
        <v/>
      </c>
      <c r="CW49" s="491">
        <v>450</v>
      </c>
      <c r="CX49" s="472" t="str">
        <f t="shared" si="43"/>
        <v/>
      </c>
      <c r="CY49" s="491">
        <v>742</v>
      </c>
      <c r="CZ49" s="472" t="str">
        <f t="shared" si="44"/>
        <v/>
      </c>
      <c r="DA49" s="491">
        <v>1080</v>
      </c>
      <c r="DB49" s="472" t="str">
        <f t="shared" si="45"/>
        <v/>
      </c>
      <c r="DC49" s="491">
        <v>1980</v>
      </c>
      <c r="DD49" s="472" t="str">
        <f t="shared" si="46"/>
        <v/>
      </c>
      <c r="DE49" s="491">
        <v>2925</v>
      </c>
      <c r="DF49" s="472" t="str">
        <f t="shared" si="47"/>
        <v/>
      </c>
      <c r="DG49" s="491">
        <v>4225</v>
      </c>
      <c r="DH49" s="472" t="str">
        <f t="shared" si="48"/>
        <v/>
      </c>
      <c r="DI49" s="491">
        <v>7866</v>
      </c>
      <c r="DJ49" s="472" t="str">
        <f t="shared" si="49"/>
        <v/>
      </c>
      <c r="DK49" s="491">
        <v>12225</v>
      </c>
      <c r="DL49" s="472" t="str">
        <f t="shared" si="50"/>
        <v/>
      </c>
      <c r="DM49" s="495">
        <v>17304</v>
      </c>
      <c r="DN49" s="7" t="str">
        <f t="shared" si="51"/>
        <v/>
      </c>
      <c r="DO49" s="7" t="str">
        <f t="shared" si="52"/>
        <v/>
      </c>
      <c r="DP49" s="7" t="str">
        <f t="shared" si="53"/>
        <v/>
      </c>
      <c r="DQ49" s="7" t="str">
        <f t="shared" si="54"/>
        <v/>
      </c>
      <c r="DR49" s="7" t="str">
        <f t="shared" si="55"/>
        <v/>
      </c>
      <c r="DS49" s="7" t="str">
        <f t="shared" si="56"/>
        <v/>
      </c>
      <c r="DT49" s="7" t="str">
        <f t="shared" si="57"/>
        <v/>
      </c>
      <c r="DU49" s="7" t="str">
        <f t="shared" si="58"/>
        <v/>
      </c>
      <c r="DV49" s="7" t="str">
        <f t="shared" si="59"/>
        <v/>
      </c>
      <c r="DW49" s="7" t="str">
        <f t="shared" si="60"/>
        <v/>
      </c>
      <c r="DX49" s="7" t="str">
        <f t="shared" si="61"/>
        <v/>
      </c>
      <c r="DY49" s="7" t="str">
        <f t="shared" si="62"/>
        <v/>
      </c>
      <c r="DZ49" s="7" t="str">
        <f t="shared" si="63"/>
        <v/>
      </c>
      <c r="EA49" s="7" t="str">
        <f t="shared" si="64"/>
        <v/>
      </c>
      <c r="EC49" s="2">
        <v>5</v>
      </c>
      <c r="ED49" s="168">
        <v>158.91999999999999</v>
      </c>
      <c r="EE49" s="169">
        <v>670.9</v>
      </c>
      <c r="EF49" s="168">
        <f t="shared" si="65"/>
        <v>0</v>
      </c>
    </row>
    <row r="50" spans="4:140" ht="12.75" customHeight="1">
      <c r="D50" s="388"/>
      <c r="E50" s="388"/>
      <c r="F50" s="388"/>
      <c r="G50" s="388"/>
      <c r="H50" s="388"/>
      <c r="I50" s="389"/>
      <c r="J50" s="389"/>
      <c r="K50" s="389"/>
      <c r="L50" s="389"/>
      <c r="M50" s="389"/>
      <c r="N50" s="389"/>
      <c r="O50" s="407"/>
      <c r="P50" s="389"/>
      <c r="Q50" s="407"/>
      <c r="R50" s="389"/>
      <c r="S50" s="389"/>
      <c r="T50" s="389"/>
      <c r="U50" s="389"/>
      <c r="V50" s="389"/>
      <c r="W50" s="389"/>
      <c r="AC50" s="388"/>
      <c r="AD50" s="388"/>
      <c r="AE50" s="388"/>
      <c r="AF50" s="388" t="s">
        <v>1559</v>
      </c>
      <c r="AG50" s="388"/>
      <c r="AH50" s="388"/>
      <c r="AI50" s="388"/>
      <c r="AP50" s="388"/>
      <c r="AQ50" s="388"/>
      <c r="AR50" s="388"/>
      <c r="AS50" s="388"/>
      <c r="AT50" s="388"/>
      <c r="AU50" s="388"/>
      <c r="AV50" s="388"/>
      <c r="AW50" s="388"/>
      <c r="AX50" s="388"/>
      <c r="AY50" s="388"/>
      <c r="AZ50" s="388"/>
      <c r="BA50" s="388"/>
      <c r="BB50" s="388"/>
      <c r="BC50" s="388"/>
      <c r="BD50" s="388"/>
      <c r="BE50" s="388"/>
      <c r="BF50" s="388"/>
      <c r="BG50" s="388"/>
      <c r="BH50" s="388"/>
      <c r="BI50" s="388"/>
      <c r="BJ50" s="388"/>
      <c r="BK50" s="388"/>
      <c r="BL50" s="388"/>
      <c r="BM50" s="388"/>
      <c r="BN50" s="388"/>
      <c r="BO50" s="388"/>
      <c r="BZ50" s="16"/>
      <c r="CA50" s="16"/>
      <c r="CB50" s="16"/>
      <c r="CC50" s="16"/>
      <c r="CD50" s="16"/>
      <c r="CE50" s="16"/>
      <c r="CF50" s="16"/>
      <c r="CG50" s="16"/>
      <c r="CH50" s="1898">
        <v>4</v>
      </c>
      <c r="CI50" s="468">
        <f>IF($BR$10=CH48,CH48,0)</f>
        <v>0</v>
      </c>
      <c r="CJ50" s="478">
        <v>40</v>
      </c>
      <c r="CK50" s="4">
        <f t="shared" si="36"/>
        <v>0</v>
      </c>
      <c r="CL50" s="473" t="str">
        <f t="shared" si="37"/>
        <v/>
      </c>
      <c r="CM50" s="488">
        <v>49</v>
      </c>
      <c r="CN50" s="473" t="str">
        <f t="shared" si="38"/>
        <v/>
      </c>
      <c r="CO50" s="492">
        <v>116</v>
      </c>
      <c r="CP50" s="473" t="str">
        <f t="shared" si="39"/>
        <v/>
      </c>
      <c r="CQ50" s="492">
        <v>197</v>
      </c>
      <c r="CR50" s="473" t="str">
        <f t="shared" si="40"/>
        <v/>
      </c>
      <c r="CS50" s="492">
        <v>295</v>
      </c>
      <c r="CT50" s="473" t="str">
        <f t="shared" si="41"/>
        <v/>
      </c>
      <c r="CU50" s="492">
        <v>456</v>
      </c>
      <c r="CV50" s="473" t="str">
        <f t="shared" si="42"/>
        <v/>
      </c>
      <c r="CW50" s="492">
        <v>796</v>
      </c>
      <c r="CX50" s="473" t="str">
        <f t="shared" si="43"/>
        <v/>
      </c>
      <c r="CY50" s="492">
        <v>1247</v>
      </c>
      <c r="CZ50" s="473" t="str">
        <f t="shared" si="44"/>
        <v/>
      </c>
      <c r="DA50" s="492">
        <v>1825</v>
      </c>
      <c r="DB50" s="473" t="str">
        <f t="shared" si="45"/>
        <v/>
      </c>
      <c r="DC50" s="492">
        <v>3120</v>
      </c>
      <c r="DD50" s="473" t="str">
        <f t="shared" si="46"/>
        <v/>
      </c>
      <c r="DE50" s="492">
        <v>4940</v>
      </c>
      <c r="DF50" s="473" t="str">
        <f t="shared" si="47"/>
        <v/>
      </c>
      <c r="DG50" s="492">
        <v>7050</v>
      </c>
      <c r="DH50" s="473" t="str">
        <f t="shared" si="48"/>
        <v/>
      </c>
      <c r="DI50" s="492">
        <v>12661</v>
      </c>
      <c r="DJ50" s="473" t="str">
        <f t="shared" si="49"/>
        <v/>
      </c>
      <c r="DK50" s="492">
        <v>19663</v>
      </c>
      <c r="DL50" s="473" t="str">
        <f t="shared" si="50"/>
        <v/>
      </c>
      <c r="DM50" s="496">
        <v>27816</v>
      </c>
      <c r="DN50" s="7" t="str">
        <f t="shared" si="51"/>
        <v/>
      </c>
      <c r="DO50" s="7" t="str">
        <f t="shared" si="52"/>
        <v/>
      </c>
      <c r="DP50" s="7" t="str">
        <f t="shared" si="53"/>
        <v/>
      </c>
      <c r="DQ50" s="7" t="str">
        <f t="shared" si="54"/>
        <v/>
      </c>
      <c r="DR50" s="7" t="str">
        <f t="shared" si="55"/>
        <v/>
      </c>
      <c r="DS50" s="7" t="str">
        <f t="shared" si="56"/>
        <v/>
      </c>
      <c r="DT50" s="7" t="str">
        <f t="shared" si="57"/>
        <v/>
      </c>
      <c r="DU50" s="7" t="str">
        <f t="shared" si="58"/>
        <v/>
      </c>
      <c r="DV50" s="7" t="str">
        <f t="shared" si="59"/>
        <v/>
      </c>
      <c r="DW50" s="7" t="str">
        <f t="shared" si="60"/>
        <v/>
      </c>
      <c r="DX50" s="7" t="str">
        <f t="shared" si="61"/>
        <v/>
      </c>
      <c r="DY50" s="7" t="str">
        <f t="shared" si="62"/>
        <v/>
      </c>
      <c r="DZ50" s="7" t="str">
        <f t="shared" si="63"/>
        <v/>
      </c>
      <c r="EA50" s="7" t="str">
        <f t="shared" si="64"/>
        <v/>
      </c>
      <c r="EC50" s="2">
        <v>6</v>
      </c>
      <c r="ED50" s="168">
        <v>165.04</v>
      </c>
      <c r="EE50" s="169">
        <v>697.5</v>
      </c>
      <c r="EF50" s="168">
        <f t="shared" si="65"/>
        <v>0</v>
      </c>
    </row>
    <row r="51" spans="4:140" ht="12.75" customHeight="1">
      <c r="D51" s="388"/>
      <c r="E51" s="388"/>
      <c r="F51" s="388"/>
      <c r="G51" s="388"/>
      <c r="H51" s="388"/>
      <c r="I51" s="389"/>
      <c r="J51" s="389"/>
      <c r="K51" s="389"/>
      <c r="L51" s="389"/>
      <c r="M51" s="389"/>
      <c r="N51" s="389"/>
      <c r="O51" s="407"/>
      <c r="P51" s="389"/>
      <c r="Q51" s="407"/>
      <c r="R51" s="389"/>
      <c r="S51" s="389"/>
      <c r="T51" s="389"/>
      <c r="U51" s="389"/>
      <c r="V51" s="389"/>
      <c r="W51" s="389"/>
      <c r="AC51" s="388"/>
      <c r="AD51" s="388"/>
      <c r="AE51" s="388"/>
      <c r="AF51" s="388" t="s">
        <v>1560</v>
      </c>
      <c r="AG51" s="388"/>
      <c r="AH51" s="388"/>
      <c r="AI51" s="388"/>
      <c r="AP51" s="388"/>
      <c r="AQ51" s="388"/>
      <c r="AR51" s="388"/>
      <c r="AS51" s="388"/>
      <c r="AT51" s="388"/>
      <c r="AU51" s="388"/>
      <c r="AV51" s="388"/>
      <c r="AW51" s="388"/>
      <c r="AX51" s="388"/>
      <c r="AY51" s="388"/>
      <c r="AZ51" s="388"/>
      <c r="BA51" s="388"/>
      <c r="BB51" s="388"/>
      <c r="BC51" s="388"/>
      <c r="BD51" s="388"/>
      <c r="BE51" s="388"/>
      <c r="BF51" s="388"/>
      <c r="BG51" s="388"/>
      <c r="BH51" s="388"/>
      <c r="BI51" s="388"/>
      <c r="BJ51" s="388"/>
      <c r="BK51" s="388"/>
      <c r="BL51" s="388"/>
      <c r="BM51" s="388"/>
      <c r="BN51" s="388"/>
      <c r="BO51" s="388"/>
      <c r="BZ51" s="16"/>
      <c r="CA51" s="16"/>
      <c r="CB51" s="16"/>
      <c r="CC51" s="16"/>
      <c r="CD51" s="16"/>
      <c r="CE51" s="16"/>
      <c r="CF51" s="16"/>
      <c r="CG51" s="16"/>
      <c r="CH51" s="1898">
        <v>5</v>
      </c>
      <c r="CI51" s="468">
        <f>IF($BR$10=CH51,CH51,0)</f>
        <v>0</v>
      </c>
      <c r="CJ51" s="479">
        <v>15</v>
      </c>
      <c r="CK51" s="3">
        <f t="shared" si="36"/>
        <v>0</v>
      </c>
      <c r="CL51" s="471" t="str">
        <f t="shared" si="37"/>
        <v/>
      </c>
      <c r="CM51" s="489">
        <v>22</v>
      </c>
      <c r="CN51" s="471" t="str">
        <f t="shared" si="38"/>
        <v/>
      </c>
      <c r="CO51" s="493">
        <v>49</v>
      </c>
      <c r="CP51" s="471" t="str">
        <f t="shared" si="39"/>
        <v/>
      </c>
      <c r="CQ51" s="493">
        <v>87</v>
      </c>
      <c r="CR51" s="471" t="str">
        <f t="shared" si="40"/>
        <v/>
      </c>
      <c r="CS51" s="493">
        <v>128</v>
      </c>
      <c r="CT51" s="471" t="str">
        <f t="shared" si="41"/>
        <v/>
      </c>
      <c r="CU51" s="493">
        <v>187</v>
      </c>
      <c r="CV51" s="471" t="str">
        <f t="shared" si="42"/>
        <v/>
      </c>
      <c r="CW51" s="493">
        <v>352</v>
      </c>
      <c r="CX51" s="471" t="str">
        <f t="shared" si="43"/>
        <v/>
      </c>
      <c r="CY51" s="493">
        <v>526</v>
      </c>
      <c r="CZ51" s="471" t="str">
        <f t="shared" si="44"/>
        <v/>
      </c>
      <c r="DA51" s="493">
        <v>770</v>
      </c>
      <c r="DB51" s="471" t="str">
        <f t="shared" si="45"/>
        <v/>
      </c>
      <c r="DC51" s="493">
        <v>1295</v>
      </c>
      <c r="DD51" s="471" t="str">
        <f t="shared" si="46"/>
        <v/>
      </c>
      <c r="DE51" s="493">
        <v>2105</v>
      </c>
      <c r="DF51" s="471" t="str">
        <f t="shared" si="47"/>
        <v/>
      </c>
      <c r="DG51" s="493">
        <v>3825</v>
      </c>
      <c r="DH51" s="471" t="str">
        <f t="shared" si="48"/>
        <v/>
      </c>
      <c r="DI51" s="493">
        <v>5548</v>
      </c>
      <c r="DJ51" s="471" t="str">
        <f t="shared" si="49"/>
        <v/>
      </c>
      <c r="DK51" s="493">
        <v>8596</v>
      </c>
      <c r="DL51" s="471" t="str">
        <f t="shared" si="50"/>
        <v/>
      </c>
      <c r="DM51" s="497">
        <v>11947</v>
      </c>
      <c r="DN51" s="7" t="str">
        <f t="shared" si="51"/>
        <v/>
      </c>
      <c r="DO51" s="7" t="str">
        <f t="shared" si="52"/>
        <v/>
      </c>
      <c r="DP51" s="7" t="str">
        <f t="shared" si="53"/>
        <v/>
      </c>
      <c r="DQ51" s="7" t="str">
        <f t="shared" si="54"/>
        <v/>
      </c>
      <c r="DR51" s="7" t="str">
        <f t="shared" si="55"/>
        <v/>
      </c>
      <c r="DS51" s="7" t="str">
        <f t="shared" si="56"/>
        <v/>
      </c>
      <c r="DT51" s="7" t="str">
        <f t="shared" si="57"/>
        <v/>
      </c>
      <c r="DU51" s="7" t="str">
        <f t="shared" si="58"/>
        <v/>
      </c>
      <c r="DV51" s="7" t="str">
        <f t="shared" si="59"/>
        <v/>
      </c>
      <c r="DW51" s="7" t="str">
        <f t="shared" si="60"/>
        <v/>
      </c>
      <c r="DX51" s="7" t="str">
        <f t="shared" si="61"/>
        <v/>
      </c>
      <c r="DY51" s="7" t="str">
        <f t="shared" si="62"/>
        <v/>
      </c>
      <c r="DZ51" s="7" t="str">
        <f t="shared" si="63"/>
        <v/>
      </c>
      <c r="EA51" s="7" t="str">
        <f t="shared" si="64"/>
        <v/>
      </c>
      <c r="EC51" s="2">
        <v>7</v>
      </c>
      <c r="ED51" s="168">
        <v>170.5</v>
      </c>
      <c r="EE51" s="169">
        <v>721.4</v>
      </c>
      <c r="EF51" s="168">
        <f t="shared" si="65"/>
        <v>0</v>
      </c>
    </row>
    <row r="52" spans="4:140" ht="12.75" customHeight="1">
      <c r="D52" s="388"/>
      <c r="E52" s="388"/>
      <c r="F52" s="388"/>
      <c r="G52" s="388"/>
      <c r="H52" s="388"/>
      <c r="I52" s="389"/>
      <c r="J52" s="389"/>
      <c r="K52" s="389"/>
      <c r="L52" s="389"/>
      <c r="M52" s="389"/>
      <c r="N52" s="389"/>
      <c r="O52" s="407"/>
      <c r="P52" s="389"/>
      <c r="Q52" s="407"/>
      <c r="R52" s="389"/>
      <c r="S52" s="389"/>
      <c r="T52" s="389"/>
      <c r="U52" s="389"/>
      <c r="V52" s="389"/>
      <c r="W52" s="389"/>
      <c r="X52" s="389"/>
      <c r="Y52" s="389"/>
      <c r="Z52" s="389"/>
      <c r="AA52" s="389"/>
      <c r="AB52" s="389"/>
      <c r="AC52" s="388"/>
      <c r="AD52" s="388"/>
      <c r="AE52" s="388"/>
      <c r="AF52" s="389">
        <f>IF(D5=AF50,1,2)</f>
        <v>1</v>
      </c>
      <c r="AG52" s="388"/>
      <c r="AH52" s="388"/>
      <c r="AI52" s="388"/>
      <c r="AP52" s="388"/>
      <c r="AQ52" s="388"/>
      <c r="AR52" s="388"/>
      <c r="AS52" s="388"/>
      <c r="AT52" s="388"/>
      <c r="AU52" s="388"/>
      <c r="AV52" s="388"/>
      <c r="AW52" s="388"/>
      <c r="AX52" s="388"/>
      <c r="AY52" s="388"/>
      <c r="AZ52" s="388"/>
      <c r="BA52" s="388"/>
      <c r="BB52" s="388"/>
      <c r="BC52" s="388"/>
      <c r="BD52" s="388"/>
      <c r="BE52" s="388"/>
      <c r="BF52" s="388"/>
      <c r="BG52" s="388"/>
      <c r="BH52" s="388"/>
      <c r="BI52" s="388"/>
      <c r="BJ52" s="388"/>
      <c r="BK52" s="388"/>
      <c r="BL52" s="388"/>
      <c r="BM52" s="388"/>
      <c r="BN52" s="388"/>
      <c r="BO52" s="388"/>
      <c r="BZ52" s="16"/>
      <c r="CA52" s="16"/>
      <c r="CB52" s="16"/>
      <c r="CC52" s="16"/>
      <c r="CD52" s="16"/>
      <c r="CE52" s="16"/>
      <c r="CF52" s="16"/>
      <c r="CG52" s="16"/>
      <c r="CH52" s="1898">
        <v>5</v>
      </c>
      <c r="CI52" s="468">
        <f>IF($BR$10=CH51,CH51,0)</f>
        <v>0</v>
      </c>
      <c r="CJ52" s="477">
        <v>25</v>
      </c>
      <c r="CK52" s="2">
        <f t="shared" si="36"/>
        <v>0</v>
      </c>
      <c r="CL52" s="472" t="str">
        <f t="shared" si="37"/>
        <v/>
      </c>
      <c r="CM52" s="487">
        <v>36</v>
      </c>
      <c r="CN52" s="472" t="str">
        <f t="shared" si="38"/>
        <v/>
      </c>
      <c r="CO52" s="491">
        <v>81</v>
      </c>
      <c r="CP52" s="472" t="str">
        <f t="shared" si="39"/>
        <v/>
      </c>
      <c r="CQ52" s="491">
        <v>135</v>
      </c>
      <c r="CR52" s="472" t="str">
        <f t="shared" si="40"/>
        <v/>
      </c>
      <c r="CS52" s="491">
        <v>211</v>
      </c>
      <c r="CT52" s="472" t="str">
        <f t="shared" si="41"/>
        <v/>
      </c>
      <c r="CU52" s="491">
        <v>308</v>
      </c>
      <c r="CV52" s="472" t="str">
        <f t="shared" si="42"/>
        <v/>
      </c>
      <c r="CW52" s="491">
        <v>548</v>
      </c>
      <c r="CX52" s="472" t="str">
        <f t="shared" si="43"/>
        <v/>
      </c>
      <c r="CY52" s="491">
        <v>885</v>
      </c>
      <c r="CZ52" s="472" t="str">
        <f t="shared" si="44"/>
        <v/>
      </c>
      <c r="DA52" s="491">
        <v>1265</v>
      </c>
      <c r="DB52" s="472" t="str">
        <f t="shared" si="45"/>
        <v/>
      </c>
      <c r="DC52" s="491">
        <v>2110</v>
      </c>
      <c r="DD52" s="472" t="str">
        <f t="shared" si="46"/>
        <v/>
      </c>
      <c r="DE52" s="491">
        <v>3540</v>
      </c>
      <c r="DF52" s="472" t="str">
        <f t="shared" si="47"/>
        <v/>
      </c>
      <c r="DG52" s="491">
        <v>5150</v>
      </c>
      <c r="DH52" s="472" t="str">
        <f t="shared" si="48"/>
        <v/>
      </c>
      <c r="DI52" s="491">
        <v>8865</v>
      </c>
      <c r="DJ52" s="472" t="str">
        <f t="shared" si="49"/>
        <v/>
      </c>
      <c r="DK52" s="491">
        <v>14268</v>
      </c>
      <c r="DL52" s="472" t="str">
        <f t="shared" si="50"/>
        <v/>
      </c>
      <c r="DM52" s="495">
        <v>20051</v>
      </c>
      <c r="DN52" s="7" t="str">
        <f t="shared" si="51"/>
        <v/>
      </c>
      <c r="DO52" s="7" t="str">
        <f t="shared" si="52"/>
        <v/>
      </c>
      <c r="DP52" s="7" t="str">
        <f t="shared" si="53"/>
        <v/>
      </c>
      <c r="DQ52" s="7" t="str">
        <f t="shared" si="54"/>
        <v/>
      </c>
      <c r="DR52" s="7" t="str">
        <f t="shared" si="55"/>
        <v/>
      </c>
      <c r="DS52" s="7" t="str">
        <f t="shared" si="56"/>
        <v/>
      </c>
      <c r="DT52" s="7" t="str">
        <f t="shared" si="57"/>
        <v/>
      </c>
      <c r="DU52" s="7" t="str">
        <f t="shared" si="58"/>
        <v/>
      </c>
      <c r="DV52" s="7" t="str">
        <f t="shared" si="59"/>
        <v/>
      </c>
      <c r="DW52" s="7" t="str">
        <f t="shared" si="60"/>
        <v/>
      </c>
      <c r="DX52" s="7" t="str">
        <f t="shared" si="61"/>
        <v/>
      </c>
      <c r="DY52" s="7" t="str">
        <f t="shared" si="62"/>
        <v/>
      </c>
      <c r="DZ52" s="7" t="str">
        <f t="shared" si="63"/>
        <v/>
      </c>
      <c r="EA52" s="7" t="str">
        <f t="shared" si="64"/>
        <v/>
      </c>
      <c r="EC52" s="2">
        <v>8</v>
      </c>
      <c r="ED52" s="168">
        <v>175.43</v>
      </c>
      <c r="EE52" s="169">
        <v>743.1</v>
      </c>
      <c r="EF52" s="168">
        <f t="shared" si="65"/>
        <v>0</v>
      </c>
    </row>
    <row r="53" spans="4:140" ht="12.75" customHeight="1">
      <c r="D53" s="388"/>
      <c r="E53" s="388"/>
      <c r="F53" s="388"/>
      <c r="G53" s="388"/>
      <c r="H53" s="388"/>
      <c r="I53" s="389"/>
      <c r="J53" s="389"/>
      <c r="K53" s="389"/>
      <c r="L53" s="389"/>
      <c r="M53" s="389"/>
      <c r="N53" s="389"/>
      <c r="O53" s="407"/>
      <c r="P53" s="389"/>
      <c r="Q53" s="407"/>
      <c r="R53" s="389"/>
      <c r="S53" s="389"/>
      <c r="T53" s="389"/>
      <c r="U53" s="389"/>
      <c r="V53" s="389"/>
      <c r="W53" s="389"/>
      <c r="X53" s="389"/>
      <c r="Y53" s="389"/>
      <c r="Z53" s="389"/>
      <c r="AA53" s="389"/>
      <c r="AB53" s="389"/>
      <c r="AC53" s="388"/>
      <c r="AD53" s="388"/>
      <c r="AE53" s="388"/>
      <c r="AF53" s="388"/>
      <c r="AG53" s="388"/>
      <c r="AH53" s="388"/>
      <c r="AI53" s="388"/>
      <c r="AP53" s="388"/>
      <c r="AQ53" s="388"/>
      <c r="AR53" s="388"/>
      <c r="AS53" s="388"/>
      <c r="AT53" s="388"/>
      <c r="AU53" s="388"/>
      <c r="AV53" s="388"/>
      <c r="AW53" s="388"/>
      <c r="AX53" s="388"/>
      <c r="AY53" s="388"/>
      <c r="AZ53" s="388"/>
      <c r="BA53" s="388"/>
      <c r="BB53" s="388"/>
      <c r="BC53" s="388"/>
      <c r="BD53" s="388"/>
      <c r="BE53" s="388"/>
      <c r="BF53" s="388"/>
      <c r="BG53" s="388"/>
      <c r="BH53" s="388"/>
      <c r="BI53" s="388"/>
      <c r="BJ53" s="388"/>
      <c r="BK53" s="388"/>
      <c r="BL53" s="388"/>
      <c r="BM53" s="388"/>
      <c r="BN53" s="388"/>
      <c r="BO53" s="388"/>
      <c r="BZ53" s="16"/>
      <c r="CA53" s="16"/>
      <c r="CB53" s="16"/>
      <c r="CC53" s="16"/>
      <c r="CD53" s="16"/>
      <c r="CE53" s="16"/>
      <c r="CF53" s="16"/>
      <c r="CG53" s="16"/>
      <c r="CH53" s="1898">
        <v>5</v>
      </c>
      <c r="CI53" s="468">
        <f>IF($BR$10=CH51,CH51,0)</f>
        <v>0</v>
      </c>
      <c r="CJ53" s="478">
        <v>40</v>
      </c>
      <c r="CK53" s="4">
        <f t="shared" si="36"/>
        <v>0</v>
      </c>
      <c r="CL53" s="473" t="str">
        <f t="shared" si="37"/>
        <v/>
      </c>
      <c r="CM53" s="488">
        <v>59</v>
      </c>
      <c r="CN53" s="473" t="str">
        <f t="shared" si="38"/>
        <v/>
      </c>
      <c r="CO53" s="492">
        <v>131</v>
      </c>
      <c r="CP53" s="473" t="str">
        <f t="shared" si="39"/>
        <v/>
      </c>
      <c r="CQ53" s="492">
        <v>225</v>
      </c>
      <c r="CR53" s="473" t="str">
        <f t="shared" si="40"/>
        <v/>
      </c>
      <c r="CS53" s="492">
        <v>338</v>
      </c>
      <c r="CT53" s="473" t="str">
        <f t="shared" si="41"/>
        <v/>
      </c>
      <c r="CU53" s="492">
        <v>495</v>
      </c>
      <c r="CV53" s="473" t="str">
        <f t="shared" si="42"/>
        <v/>
      </c>
      <c r="CW53" s="492">
        <v>855</v>
      </c>
      <c r="CX53" s="473" t="str">
        <f t="shared" si="43"/>
        <v/>
      </c>
      <c r="CY53" s="492">
        <v>1350</v>
      </c>
      <c r="CZ53" s="473" t="str">
        <f t="shared" si="44"/>
        <v/>
      </c>
      <c r="DA53" s="492">
        <v>1890</v>
      </c>
      <c r="DB53" s="473" t="str">
        <f t="shared" si="45"/>
        <v/>
      </c>
      <c r="DC53" s="492">
        <v>3510</v>
      </c>
      <c r="DD53" s="473" t="str">
        <f t="shared" si="46"/>
        <v/>
      </c>
      <c r="DE53" s="492">
        <v>5400</v>
      </c>
      <c r="DF53" s="473" t="str">
        <f t="shared" si="47"/>
        <v/>
      </c>
      <c r="DG53" s="492">
        <v>7870</v>
      </c>
      <c r="DH53" s="473" t="str">
        <f t="shared" si="48"/>
        <v/>
      </c>
      <c r="DI53" s="492">
        <v>13761</v>
      </c>
      <c r="DJ53" s="473" t="str">
        <f t="shared" si="49"/>
        <v/>
      </c>
      <c r="DK53" s="492">
        <v>23205</v>
      </c>
      <c r="DL53" s="473" t="str">
        <f t="shared" si="50"/>
        <v/>
      </c>
      <c r="DM53" s="496">
        <v>32244</v>
      </c>
      <c r="DN53" s="7" t="str">
        <f t="shared" si="51"/>
        <v/>
      </c>
      <c r="DO53" s="7" t="str">
        <f t="shared" si="52"/>
        <v/>
      </c>
      <c r="DP53" s="7" t="str">
        <f t="shared" si="53"/>
        <v/>
      </c>
      <c r="DQ53" s="7" t="str">
        <f t="shared" si="54"/>
        <v/>
      </c>
      <c r="DR53" s="7" t="str">
        <f t="shared" si="55"/>
        <v/>
      </c>
      <c r="DS53" s="7" t="str">
        <f t="shared" si="56"/>
        <v/>
      </c>
      <c r="DT53" s="7" t="str">
        <f t="shared" si="57"/>
        <v/>
      </c>
      <c r="DU53" s="7" t="str">
        <f t="shared" si="58"/>
        <v/>
      </c>
      <c r="DV53" s="7" t="str">
        <f t="shared" si="59"/>
        <v/>
      </c>
      <c r="DW53" s="7" t="str">
        <f t="shared" si="60"/>
        <v/>
      </c>
      <c r="DX53" s="7" t="str">
        <f t="shared" si="61"/>
        <v/>
      </c>
      <c r="DY53" s="7" t="str">
        <f t="shared" si="62"/>
        <v/>
      </c>
      <c r="DZ53" s="7" t="str">
        <f t="shared" si="63"/>
        <v/>
      </c>
      <c r="EA53" s="7" t="str">
        <f t="shared" si="64"/>
        <v/>
      </c>
      <c r="EC53" s="2">
        <v>10</v>
      </c>
      <c r="ED53" s="168">
        <v>184.13</v>
      </c>
      <c r="EE53" s="169">
        <v>781.6</v>
      </c>
      <c r="EF53" s="168">
        <f t="shared" si="65"/>
        <v>0</v>
      </c>
    </row>
    <row r="54" spans="4:140" ht="12.75" customHeight="1">
      <c r="D54" s="388"/>
      <c r="E54" s="388"/>
      <c r="F54" s="388"/>
      <c r="G54" s="388"/>
      <c r="H54" s="388"/>
      <c r="I54" s="389"/>
      <c r="J54" s="389"/>
      <c r="K54" s="389"/>
      <c r="L54" s="389"/>
      <c r="M54" s="389"/>
      <c r="N54" s="389"/>
      <c r="O54" s="407"/>
      <c r="P54" s="389"/>
      <c r="Q54" s="407"/>
      <c r="R54" s="389"/>
      <c r="S54" s="389"/>
      <c r="T54" s="389"/>
      <c r="U54" s="389"/>
      <c r="V54" s="389"/>
      <c r="W54" s="389"/>
      <c r="X54" s="389"/>
      <c r="Y54" s="389"/>
      <c r="Z54" s="389"/>
      <c r="AA54" s="389"/>
      <c r="AB54" s="389"/>
      <c r="AC54" s="388"/>
      <c r="AD54" s="388"/>
      <c r="AE54" s="388"/>
      <c r="AF54" s="388"/>
      <c r="AG54" s="388"/>
      <c r="AH54" s="388"/>
      <c r="AI54" s="388"/>
      <c r="AP54" s="388"/>
      <c r="AQ54" s="388"/>
      <c r="AR54" s="388"/>
      <c r="AS54" s="388"/>
      <c r="AT54" s="388"/>
      <c r="AU54" s="388"/>
      <c r="AV54" s="388"/>
      <c r="AW54" s="388"/>
      <c r="AX54" s="388"/>
      <c r="AY54" s="388"/>
      <c r="AZ54" s="388"/>
      <c r="BA54" s="388"/>
      <c r="BB54" s="388"/>
      <c r="BC54" s="388"/>
      <c r="BD54" s="388"/>
      <c r="BE54" s="388"/>
      <c r="BF54" s="388"/>
      <c r="BG54" s="388"/>
      <c r="BH54" s="388"/>
      <c r="BI54" s="388"/>
      <c r="BJ54" s="388"/>
      <c r="BK54" s="388"/>
      <c r="BL54" s="388"/>
      <c r="BM54" s="388"/>
      <c r="BN54" s="388"/>
      <c r="BO54" s="388"/>
      <c r="CH54" s="1898">
        <v>6</v>
      </c>
      <c r="CI54" s="468">
        <f>IF($BR$10=CH54,CH54,0)</f>
        <v>0</v>
      </c>
      <c r="CJ54" s="479">
        <v>15</v>
      </c>
      <c r="CK54" s="3">
        <f t="shared" si="36"/>
        <v>0</v>
      </c>
      <c r="CL54" s="471" t="str">
        <f t="shared" si="37"/>
        <v/>
      </c>
      <c r="CM54" s="489">
        <v>26</v>
      </c>
      <c r="CN54" s="471" t="str">
        <f t="shared" si="38"/>
        <v/>
      </c>
      <c r="CO54" s="493">
        <v>59</v>
      </c>
      <c r="CP54" s="471" t="str">
        <f t="shared" si="39"/>
        <v/>
      </c>
      <c r="CQ54" s="493">
        <v>105</v>
      </c>
      <c r="CR54" s="471" t="str">
        <f t="shared" si="40"/>
        <v/>
      </c>
      <c r="CS54" s="493">
        <v>153</v>
      </c>
      <c r="CT54" s="471" t="str">
        <f t="shared" si="41"/>
        <v/>
      </c>
      <c r="CU54" s="493">
        <v>225</v>
      </c>
      <c r="CV54" s="471" t="str">
        <f t="shared" si="42"/>
        <v/>
      </c>
      <c r="CW54" s="493">
        <v>425</v>
      </c>
      <c r="CX54" s="471" t="str">
        <f t="shared" si="43"/>
        <v/>
      </c>
      <c r="CY54" s="493">
        <v>632</v>
      </c>
      <c r="CZ54" s="471" t="str">
        <f t="shared" si="44"/>
        <v/>
      </c>
      <c r="DA54" s="493">
        <v>925</v>
      </c>
      <c r="DB54" s="471" t="str">
        <f t="shared" si="45"/>
        <v/>
      </c>
      <c r="DC54" s="493">
        <v>1555</v>
      </c>
      <c r="DD54" s="471" t="str">
        <f t="shared" si="46"/>
        <v/>
      </c>
      <c r="DE54" s="493">
        <v>2525</v>
      </c>
      <c r="DF54" s="471" t="str">
        <f t="shared" si="47"/>
        <v/>
      </c>
      <c r="DG54" s="493">
        <v>3400</v>
      </c>
      <c r="DH54" s="471" t="str">
        <f t="shared" si="48"/>
        <v/>
      </c>
      <c r="DI54" s="493">
        <v>6654</v>
      </c>
      <c r="DJ54" s="471" t="str">
        <f t="shared" si="49"/>
        <v/>
      </c>
      <c r="DK54" s="493">
        <v>10297</v>
      </c>
      <c r="DL54" s="471" t="str">
        <f t="shared" si="50"/>
        <v/>
      </c>
      <c r="DM54" s="497">
        <v>14328</v>
      </c>
      <c r="DN54" s="7" t="str">
        <f t="shared" si="51"/>
        <v/>
      </c>
      <c r="DO54" s="7" t="str">
        <f t="shared" si="52"/>
        <v/>
      </c>
      <c r="DP54" s="7" t="str">
        <f t="shared" si="53"/>
        <v/>
      </c>
      <c r="DQ54" s="7" t="str">
        <f t="shared" si="54"/>
        <v/>
      </c>
      <c r="DR54" s="7" t="str">
        <f t="shared" si="55"/>
        <v/>
      </c>
      <c r="DS54" s="7" t="str">
        <f t="shared" si="56"/>
        <v/>
      </c>
      <c r="DT54" s="7" t="str">
        <f t="shared" si="57"/>
        <v/>
      </c>
      <c r="DU54" s="7" t="str">
        <f t="shared" si="58"/>
        <v/>
      </c>
      <c r="DV54" s="7" t="str">
        <f t="shared" si="59"/>
        <v/>
      </c>
      <c r="DW54" s="7" t="str">
        <f t="shared" si="60"/>
        <v/>
      </c>
      <c r="DX54" s="7" t="str">
        <f t="shared" si="61"/>
        <v/>
      </c>
      <c r="DY54" s="7" t="str">
        <f t="shared" si="62"/>
        <v/>
      </c>
      <c r="DZ54" s="7" t="str">
        <f t="shared" si="63"/>
        <v/>
      </c>
      <c r="EA54" s="7" t="str">
        <f t="shared" si="64"/>
        <v/>
      </c>
      <c r="EC54" s="2">
        <v>14</v>
      </c>
      <c r="ED54" s="168">
        <v>198.35</v>
      </c>
      <c r="EE54" s="169">
        <v>845.1</v>
      </c>
      <c r="EF54" s="168">
        <f t="shared" si="65"/>
        <v>0</v>
      </c>
    </row>
    <row r="55" spans="4:140" ht="12.75" customHeight="1">
      <c r="D55" s="388"/>
      <c r="E55" s="388"/>
      <c r="F55" s="388"/>
      <c r="G55" s="388"/>
      <c r="H55" s="388"/>
      <c r="I55" s="389"/>
      <c r="J55" s="389"/>
      <c r="K55" s="389"/>
      <c r="L55" s="389"/>
      <c r="M55" s="389"/>
      <c r="N55" s="389"/>
      <c r="O55" s="407"/>
      <c r="P55" s="389"/>
      <c r="Q55" s="407"/>
      <c r="R55" s="389"/>
      <c r="S55" s="389"/>
      <c r="T55" s="389"/>
      <c r="U55" s="389"/>
      <c r="V55" s="389"/>
      <c r="W55" s="389"/>
      <c r="X55" s="389"/>
      <c r="Y55" s="389"/>
      <c r="Z55" s="389"/>
      <c r="AA55" s="389"/>
      <c r="AB55" s="389"/>
      <c r="AC55" s="388"/>
      <c r="AD55" s="388"/>
      <c r="AE55" s="388"/>
      <c r="AF55" s="388"/>
      <c r="AG55" s="388"/>
      <c r="AH55" s="388"/>
      <c r="AI55" s="388"/>
      <c r="AP55" s="388"/>
      <c r="AQ55" s="388"/>
      <c r="AR55" s="388"/>
      <c r="AS55" s="388"/>
      <c r="AT55" s="388"/>
      <c r="AU55" s="388"/>
      <c r="AV55" s="388"/>
      <c r="AW55" s="388"/>
      <c r="AX55" s="388"/>
      <c r="AY55" s="388"/>
      <c r="AZ55" s="388"/>
      <c r="BA55" s="388"/>
      <c r="BB55" s="388"/>
      <c r="BC55" s="388"/>
      <c r="BD55" s="388"/>
      <c r="BE55" s="388"/>
      <c r="BF55" s="388"/>
      <c r="BG55" s="388"/>
      <c r="BH55" s="388"/>
      <c r="BI55" s="388"/>
      <c r="BJ55" s="388"/>
      <c r="BK55" s="388"/>
      <c r="BL55" s="388"/>
      <c r="BM55" s="388"/>
      <c r="BN55" s="388"/>
      <c r="BO55" s="388"/>
      <c r="CH55" s="1898">
        <v>6</v>
      </c>
      <c r="CI55" s="468">
        <f>IF($BR$10=CH54,CH54,0)</f>
        <v>0</v>
      </c>
      <c r="CJ55" s="477">
        <v>25</v>
      </c>
      <c r="CK55" s="2">
        <f t="shared" si="36"/>
        <v>0</v>
      </c>
      <c r="CL55" s="472" t="str">
        <f t="shared" si="37"/>
        <v/>
      </c>
      <c r="CM55" s="487">
        <v>43</v>
      </c>
      <c r="CN55" s="472" t="str">
        <f t="shared" si="38"/>
        <v/>
      </c>
      <c r="CO55" s="491">
        <v>97</v>
      </c>
      <c r="CP55" s="472" t="str">
        <f t="shared" si="39"/>
        <v/>
      </c>
      <c r="CQ55" s="491">
        <v>162</v>
      </c>
      <c r="CR55" s="472" t="str">
        <f t="shared" si="40"/>
        <v/>
      </c>
      <c r="CS55" s="491">
        <v>253</v>
      </c>
      <c r="CT55" s="472" t="str">
        <f t="shared" si="41"/>
        <v/>
      </c>
      <c r="CU55" s="491">
        <v>370</v>
      </c>
      <c r="CV55" s="472" t="str">
        <f t="shared" si="42"/>
        <v/>
      </c>
      <c r="CW55" s="491">
        <v>658</v>
      </c>
      <c r="CX55" s="472" t="str">
        <f t="shared" si="43"/>
        <v/>
      </c>
      <c r="CY55" s="491">
        <v>1065</v>
      </c>
      <c r="CZ55" s="472" t="str">
        <f t="shared" si="44"/>
        <v/>
      </c>
      <c r="DA55" s="491">
        <v>1520</v>
      </c>
      <c r="DB55" s="472" t="str">
        <f t="shared" si="45"/>
        <v/>
      </c>
      <c r="DC55" s="491">
        <v>2530</v>
      </c>
      <c r="DD55" s="472" t="str">
        <f t="shared" si="46"/>
        <v/>
      </c>
      <c r="DE55" s="491">
        <v>4250</v>
      </c>
      <c r="DF55" s="472" t="str">
        <f t="shared" si="47"/>
        <v/>
      </c>
      <c r="DG55" s="491">
        <v>6175</v>
      </c>
      <c r="DH55" s="472" t="str">
        <f t="shared" si="48"/>
        <v/>
      </c>
      <c r="DI55" s="491">
        <v>10629</v>
      </c>
      <c r="DJ55" s="472" t="str">
        <f t="shared" si="49"/>
        <v/>
      </c>
      <c r="DK55" s="491">
        <v>17108</v>
      </c>
      <c r="DL55" s="472" t="str">
        <f t="shared" si="50"/>
        <v/>
      </c>
      <c r="DM55" s="495">
        <v>24042</v>
      </c>
      <c r="DN55" s="7" t="str">
        <f t="shared" si="51"/>
        <v/>
      </c>
      <c r="DO55" s="7" t="str">
        <f t="shared" si="52"/>
        <v/>
      </c>
      <c r="DP55" s="7" t="str">
        <f t="shared" si="53"/>
        <v/>
      </c>
      <c r="DQ55" s="7" t="str">
        <f t="shared" si="54"/>
        <v/>
      </c>
      <c r="DR55" s="7" t="str">
        <f t="shared" si="55"/>
        <v/>
      </c>
      <c r="DS55" s="7" t="str">
        <f t="shared" si="56"/>
        <v/>
      </c>
      <c r="DT55" s="7" t="str">
        <f t="shared" si="57"/>
        <v/>
      </c>
      <c r="DU55" s="7" t="str">
        <f t="shared" si="58"/>
        <v/>
      </c>
      <c r="DV55" s="7" t="str">
        <f t="shared" si="59"/>
        <v/>
      </c>
      <c r="DW55" s="7" t="str">
        <f t="shared" si="60"/>
        <v/>
      </c>
      <c r="DX55" s="7" t="str">
        <f t="shared" si="61"/>
        <v/>
      </c>
      <c r="DY55" s="7" t="str">
        <f t="shared" si="62"/>
        <v/>
      </c>
      <c r="DZ55" s="7" t="str">
        <f t="shared" si="63"/>
        <v/>
      </c>
      <c r="EA55" s="7" t="str">
        <f t="shared" si="64"/>
        <v/>
      </c>
      <c r="EF55" s="170">
        <f>IF(BR5=EB43,SUM(EF42:EF54),0)</f>
        <v>0</v>
      </c>
    </row>
    <row r="56" spans="4:140" ht="12.75" customHeight="1">
      <c r="D56" s="388"/>
      <c r="E56" s="388"/>
      <c r="F56" s="388"/>
      <c r="G56" s="388"/>
      <c r="H56" s="388"/>
      <c r="I56" s="389"/>
      <c r="J56" s="389"/>
      <c r="K56" s="389"/>
      <c r="L56" s="389"/>
      <c r="M56" s="389"/>
      <c r="N56" s="389"/>
      <c r="O56" s="407"/>
      <c r="P56" s="389"/>
      <c r="Q56" s="407"/>
      <c r="R56" s="389"/>
      <c r="S56" s="389"/>
      <c r="T56" s="389"/>
      <c r="U56" s="389"/>
      <c r="V56" s="389"/>
      <c r="W56" s="389"/>
      <c r="X56" s="389"/>
      <c r="Y56" s="389"/>
      <c r="Z56" s="389"/>
      <c r="AA56" s="389"/>
      <c r="AB56" s="389"/>
      <c r="AC56" s="388"/>
      <c r="AD56" s="388"/>
      <c r="AE56" s="388"/>
      <c r="AF56" s="388"/>
      <c r="AG56" s="388"/>
      <c r="AH56" s="388"/>
      <c r="AI56" s="388"/>
      <c r="AP56" s="388"/>
      <c r="AQ56" s="388"/>
      <c r="AR56" s="388"/>
      <c r="AS56" s="388"/>
      <c r="AT56" s="388"/>
      <c r="AU56" s="388"/>
      <c r="AV56" s="388"/>
      <c r="AW56" s="388"/>
      <c r="AX56" s="388"/>
      <c r="AY56" s="388"/>
      <c r="AZ56" s="388"/>
      <c r="BA56" s="388"/>
      <c r="BB56" s="388"/>
      <c r="BC56" s="388"/>
      <c r="BD56" s="388"/>
      <c r="BE56" s="388"/>
      <c r="BF56" s="388"/>
      <c r="BG56" s="388"/>
      <c r="BH56" s="388"/>
      <c r="BI56" s="388"/>
      <c r="BJ56" s="388"/>
      <c r="BK56" s="388"/>
      <c r="BL56" s="388"/>
      <c r="BM56" s="388"/>
      <c r="BN56" s="388"/>
      <c r="BO56" s="388"/>
      <c r="CH56" s="1898">
        <v>6</v>
      </c>
      <c r="CI56" s="468">
        <f>IF($BR$10=CH54,CH54,0)</f>
        <v>0</v>
      </c>
      <c r="CJ56" s="478">
        <v>40</v>
      </c>
      <c r="CK56" s="4">
        <f t="shared" si="36"/>
        <v>0</v>
      </c>
      <c r="CL56" s="473" t="str">
        <f t="shared" si="37"/>
        <v/>
      </c>
      <c r="CM56" s="488">
        <v>71</v>
      </c>
      <c r="CN56" s="473" t="str">
        <f t="shared" si="38"/>
        <v/>
      </c>
      <c r="CO56" s="492">
        <v>57</v>
      </c>
      <c r="CP56" s="473" t="str">
        <f t="shared" si="39"/>
        <v/>
      </c>
      <c r="CQ56" s="492">
        <v>270</v>
      </c>
      <c r="CR56" s="473" t="str">
        <f t="shared" si="40"/>
        <v/>
      </c>
      <c r="CS56" s="492">
        <v>405</v>
      </c>
      <c r="CT56" s="473" t="str">
        <f t="shared" si="41"/>
        <v/>
      </c>
      <c r="CU56" s="492">
        <v>595</v>
      </c>
      <c r="CV56" s="473" t="str">
        <f t="shared" si="42"/>
        <v/>
      </c>
      <c r="CW56" s="492">
        <v>1025</v>
      </c>
      <c r="CX56" s="473" t="str">
        <f t="shared" si="43"/>
        <v/>
      </c>
      <c r="CY56" s="492">
        <v>1620</v>
      </c>
      <c r="CZ56" s="473" t="str">
        <f t="shared" si="44"/>
        <v/>
      </c>
      <c r="DA56" s="492">
        <v>2270</v>
      </c>
      <c r="DB56" s="473" t="str">
        <f t="shared" si="45"/>
        <v/>
      </c>
      <c r="DC56" s="492">
        <v>4210</v>
      </c>
      <c r="DD56" s="473" t="str">
        <f t="shared" si="46"/>
        <v/>
      </c>
      <c r="DE56" s="492">
        <v>6475</v>
      </c>
      <c r="DF56" s="473" t="str">
        <f t="shared" si="47"/>
        <v/>
      </c>
      <c r="DG56" s="492">
        <v>9445</v>
      </c>
      <c r="DH56" s="473" t="str">
        <f t="shared" si="48"/>
        <v/>
      </c>
      <c r="DI56" s="492">
        <v>16515</v>
      </c>
      <c r="DJ56" s="473" t="str">
        <f t="shared" si="49"/>
        <v/>
      </c>
      <c r="DK56" s="492">
        <v>27849</v>
      </c>
      <c r="DL56" s="473" t="str">
        <f t="shared" si="50"/>
        <v/>
      </c>
      <c r="DM56" s="496">
        <v>38697</v>
      </c>
      <c r="DN56" s="7" t="str">
        <f t="shared" si="51"/>
        <v/>
      </c>
      <c r="DO56" s="7" t="str">
        <f t="shared" si="52"/>
        <v/>
      </c>
      <c r="DP56" s="7" t="str">
        <f t="shared" si="53"/>
        <v/>
      </c>
      <c r="DQ56" s="7" t="str">
        <f t="shared" si="54"/>
        <v/>
      </c>
      <c r="DR56" s="7" t="str">
        <f t="shared" si="55"/>
        <v/>
      </c>
      <c r="DS56" s="7" t="str">
        <f t="shared" si="56"/>
        <v/>
      </c>
      <c r="DT56" s="7" t="str">
        <f t="shared" si="57"/>
        <v/>
      </c>
      <c r="DU56" s="7" t="str">
        <f t="shared" si="58"/>
        <v/>
      </c>
      <c r="DV56" s="7" t="str">
        <f t="shared" si="59"/>
        <v/>
      </c>
      <c r="DW56" s="7" t="str">
        <f t="shared" si="60"/>
        <v/>
      </c>
      <c r="DX56" s="7" t="str">
        <f t="shared" si="61"/>
        <v/>
      </c>
      <c r="DY56" s="7" t="str">
        <f t="shared" si="62"/>
        <v/>
      </c>
      <c r="DZ56" s="7" t="str">
        <f t="shared" si="63"/>
        <v/>
      </c>
      <c r="EA56" s="7" t="str">
        <f t="shared" si="64"/>
        <v/>
      </c>
    </row>
    <row r="57" spans="4:140" ht="12.75" customHeight="1">
      <c r="D57" s="388"/>
      <c r="E57" s="388"/>
      <c r="F57" s="388"/>
      <c r="G57" s="388"/>
      <c r="H57" s="388"/>
      <c r="I57" s="389"/>
      <c r="J57" s="389"/>
      <c r="K57" s="389"/>
      <c r="L57" s="389"/>
      <c r="M57" s="389"/>
      <c r="N57" s="389"/>
      <c r="O57" s="407"/>
      <c r="P57" s="389"/>
      <c r="Q57" s="407"/>
      <c r="R57" s="389"/>
      <c r="S57" s="389"/>
      <c r="T57" s="389"/>
      <c r="U57" s="389"/>
      <c r="V57" s="389"/>
      <c r="W57" s="389"/>
      <c r="X57" s="389"/>
      <c r="Y57" s="389"/>
      <c r="Z57" s="389"/>
      <c r="AA57" s="389"/>
      <c r="AB57" s="389"/>
      <c r="AC57" s="388"/>
      <c r="AD57" s="388"/>
      <c r="AE57" s="388"/>
      <c r="AF57" s="388"/>
      <c r="AG57" s="388"/>
      <c r="AH57" s="388"/>
      <c r="AI57" s="388"/>
      <c r="AP57" s="388"/>
      <c r="AQ57" s="388"/>
      <c r="AR57" s="388"/>
      <c r="AS57" s="388"/>
      <c r="AT57" s="388"/>
      <c r="AU57" s="388"/>
      <c r="AV57" s="388"/>
      <c r="AW57" s="388"/>
      <c r="AX57" s="388"/>
      <c r="AY57" s="388"/>
      <c r="AZ57" s="388"/>
      <c r="BA57" s="388"/>
      <c r="BB57" s="388"/>
      <c r="BC57" s="388"/>
      <c r="BD57" s="388"/>
      <c r="BE57" s="388"/>
      <c r="BF57" s="388"/>
      <c r="BG57" s="388"/>
      <c r="BH57" s="388"/>
      <c r="BI57" s="388"/>
      <c r="BJ57" s="388"/>
      <c r="BK57" s="388"/>
      <c r="BL57" s="388"/>
      <c r="BM57" s="388"/>
      <c r="BN57" s="388"/>
      <c r="BO57" s="388"/>
      <c r="CH57" s="1898">
        <v>7</v>
      </c>
      <c r="CI57" s="468">
        <f>IF($BR$10=CH57,CH57,0)</f>
        <v>0</v>
      </c>
      <c r="CJ57" s="479">
        <v>15</v>
      </c>
      <c r="CK57" s="3">
        <f t="shared" si="36"/>
        <v>0</v>
      </c>
      <c r="CL57" s="471" t="str">
        <f t="shared" si="37"/>
        <v/>
      </c>
      <c r="CM57" s="489">
        <v>29</v>
      </c>
      <c r="CN57" s="471" t="str">
        <f t="shared" si="38"/>
        <v/>
      </c>
      <c r="CO57" s="493">
        <v>63</v>
      </c>
      <c r="CP57" s="471" t="str">
        <f t="shared" si="39"/>
        <v/>
      </c>
      <c r="CQ57" s="493">
        <v>110</v>
      </c>
      <c r="CR57" s="471" t="str">
        <f t="shared" si="40"/>
        <v/>
      </c>
      <c r="CS57" s="493">
        <v>165</v>
      </c>
      <c r="CT57" s="471" t="str">
        <f t="shared" si="41"/>
        <v/>
      </c>
      <c r="CU57" s="493">
        <v>260</v>
      </c>
      <c r="CV57" s="471" t="str">
        <f t="shared" si="42"/>
        <v/>
      </c>
      <c r="CW57" s="493">
        <v>445</v>
      </c>
      <c r="CX57" s="471" t="str">
        <f t="shared" si="43"/>
        <v/>
      </c>
      <c r="CY57" s="493">
        <v>705</v>
      </c>
      <c r="CZ57" s="471" t="str">
        <f t="shared" si="44"/>
        <v/>
      </c>
      <c r="DA57" s="493">
        <v>952</v>
      </c>
      <c r="DB57" s="471" t="str">
        <f t="shared" si="45"/>
        <v/>
      </c>
      <c r="DC57" s="493">
        <v>1815</v>
      </c>
      <c r="DD57" s="471" t="str">
        <f t="shared" si="46"/>
        <v/>
      </c>
      <c r="DE57" s="493">
        <v>2765</v>
      </c>
      <c r="DF57" s="471" t="str">
        <f t="shared" si="47"/>
        <v/>
      </c>
      <c r="DG57" s="493">
        <v>3990</v>
      </c>
      <c r="DH57" s="471" t="str">
        <f t="shared" si="48"/>
        <v/>
      </c>
      <c r="DI57" s="493">
        <v>7390</v>
      </c>
      <c r="DJ57" s="471" t="str">
        <f t="shared" si="49"/>
        <v/>
      </c>
      <c r="DK57" s="493">
        <v>12015</v>
      </c>
      <c r="DL57" s="471" t="str">
        <f t="shared" si="50"/>
        <v/>
      </c>
      <c r="DM57" s="497">
        <v>16096</v>
      </c>
      <c r="DN57" s="7" t="str">
        <f t="shared" si="51"/>
        <v/>
      </c>
      <c r="DO57" s="7" t="str">
        <f t="shared" si="52"/>
        <v/>
      </c>
      <c r="DP57" s="7" t="str">
        <f t="shared" si="53"/>
        <v/>
      </c>
      <c r="DQ57" s="7" t="str">
        <f t="shared" si="54"/>
        <v/>
      </c>
      <c r="DR57" s="7" t="str">
        <f t="shared" si="55"/>
        <v/>
      </c>
      <c r="DS57" s="7" t="str">
        <f t="shared" si="56"/>
        <v/>
      </c>
      <c r="DT57" s="7" t="str">
        <f t="shared" si="57"/>
        <v/>
      </c>
      <c r="DU57" s="7" t="str">
        <f t="shared" si="58"/>
        <v/>
      </c>
      <c r="DV57" s="7" t="str">
        <f t="shared" si="59"/>
        <v/>
      </c>
      <c r="DW57" s="7" t="str">
        <f t="shared" si="60"/>
        <v/>
      </c>
      <c r="DX57" s="7" t="str">
        <f t="shared" si="61"/>
        <v/>
      </c>
      <c r="DY57" s="7" t="str">
        <f t="shared" si="62"/>
        <v/>
      </c>
      <c r="DZ57" s="7" t="str">
        <f t="shared" si="63"/>
        <v/>
      </c>
      <c r="EA57" s="7" t="str">
        <f t="shared" si="64"/>
        <v/>
      </c>
    </row>
    <row r="58" spans="4:140" ht="12.75" customHeight="1">
      <c r="D58" s="388"/>
      <c r="E58" s="388"/>
      <c r="F58" s="388"/>
      <c r="G58" s="388"/>
      <c r="H58" s="388"/>
      <c r="I58" s="389"/>
      <c r="J58" s="389"/>
      <c r="K58" s="389"/>
      <c r="L58" s="389"/>
      <c r="M58" s="389"/>
      <c r="N58" s="389"/>
      <c r="O58" s="407"/>
      <c r="P58" s="389"/>
      <c r="Q58" s="407"/>
      <c r="R58" s="389"/>
      <c r="S58" s="389"/>
      <c r="T58" s="389"/>
      <c r="U58" s="389"/>
      <c r="V58" s="389"/>
      <c r="W58" s="389"/>
      <c r="X58" s="389"/>
      <c r="Y58" s="389"/>
      <c r="Z58" s="389"/>
      <c r="AA58" s="389"/>
      <c r="AB58" s="389"/>
      <c r="AC58" s="388"/>
      <c r="AD58" s="388"/>
      <c r="AE58" s="388"/>
      <c r="AF58" s="388"/>
      <c r="AG58" s="388"/>
      <c r="AH58" s="388"/>
      <c r="AI58" s="388"/>
      <c r="AO58" s="388"/>
      <c r="AP58" s="388"/>
      <c r="AQ58" s="388"/>
      <c r="AR58" s="388"/>
      <c r="AS58" s="388"/>
      <c r="AT58" s="388"/>
      <c r="AU58" s="388"/>
      <c r="AV58" s="388"/>
      <c r="AW58" s="388"/>
      <c r="AX58" s="388"/>
      <c r="AY58" s="388"/>
      <c r="AZ58" s="388"/>
      <c r="BA58" s="388"/>
      <c r="BB58" s="388"/>
      <c r="BC58" s="388"/>
      <c r="BD58" s="388"/>
      <c r="BE58" s="388"/>
      <c r="BF58" s="388"/>
      <c r="BG58" s="388"/>
      <c r="BH58" s="388"/>
      <c r="BI58" s="388"/>
      <c r="BJ58" s="388"/>
      <c r="BK58" s="388"/>
      <c r="BL58" s="388"/>
      <c r="BM58" s="388"/>
      <c r="BN58" s="388"/>
      <c r="BO58" s="388"/>
      <c r="CH58" s="1898">
        <v>7</v>
      </c>
      <c r="CI58" s="468">
        <f>IF($BR$10=CH57,CH57,0)</f>
        <v>0</v>
      </c>
      <c r="CJ58" s="477">
        <v>25</v>
      </c>
      <c r="CK58" s="2">
        <f t="shared" si="36"/>
        <v>0</v>
      </c>
      <c r="CL58" s="472" t="str">
        <f t="shared" si="37"/>
        <v/>
      </c>
      <c r="CM58" s="487">
        <v>49</v>
      </c>
      <c r="CN58" s="472" t="str">
        <f t="shared" si="38"/>
        <v/>
      </c>
      <c r="CO58" s="491">
        <v>114</v>
      </c>
      <c r="CP58" s="472" t="str">
        <f t="shared" si="39"/>
        <v/>
      </c>
      <c r="CQ58" s="491">
        <v>119</v>
      </c>
      <c r="CR58" s="472" t="str">
        <f t="shared" si="40"/>
        <v/>
      </c>
      <c r="CS58" s="491">
        <v>288</v>
      </c>
      <c r="CT58" s="472" t="str">
        <f t="shared" si="41"/>
        <v/>
      </c>
      <c r="CU58" s="491">
        <v>450</v>
      </c>
      <c r="CV58" s="472" t="str">
        <f t="shared" si="42"/>
        <v/>
      </c>
      <c r="CW58" s="491">
        <v>785</v>
      </c>
      <c r="CX58" s="472" t="str">
        <f t="shared" si="43"/>
        <v/>
      </c>
      <c r="CY58" s="491">
        <v>1205</v>
      </c>
      <c r="CZ58" s="472" t="str">
        <f t="shared" si="44"/>
        <v/>
      </c>
      <c r="DA58" s="491">
        <v>1750</v>
      </c>
      <c r="DB58" s="472" t="str">
        <f t="shared" si="45"/>
        <v/>
      </c>
      <c r="DC58" s="491">
        <v>3025</v>
      </c>
      <c r="DD58" s="472" t="str">
        <f t="shared" si="46"/>
        <v/>
      </c>
      <c r="DE58" s="491">
        <v>4815</v>
      </c>
      <c r="DF58" s="472" t="str">
        <f t="shared" si="47"/>
        <v/>
      </c>
      <c r="DG58" s="491">
        <v>6900</v>
      </c>
      <c r="DH58" s="472" t="str">
        <f t="shared" si="48"/>
        <v/>
      </c>
      <c r="DI58" s="491">
        <v>12288</v>
      </c>
      <c r="DJ58" s="472" t="str">
        <f t="shared" si="49"/>
        <v/>
      </c>
      <c r="DK58" s="491">
        <v>19377</v>
      </c>
      <c r="DL58" s="472" t="str">
        <f t="shared" si="50"/>
        <v/>
      </c>
      <c r="DM58" s="495">
        <v>27080</v>
      </c>
      <c r="DN58" s="7" t="str">
        <f t="shared" si="51"/>
        <v/>
      </c>
      <c r="DO58" s="7" t="str">
        <f t="shared" si="52"/>
        <v/>
      </c>
      <c r="DP58" s="7" t="str">
        <f t="shared" si="53"/>
        <v/>
      </c>
      <c r="DQ58" s="7" t="str">
        <f t="shared" si="54"/>
        <v/>
      </c>
      <c r="DR58" s="7" t="str">
        <f t="shared" si="55"/>
        <v/>
      </c>
      <c r="DS58" s="7" t="str">
        <f t="shared" si="56"/>
        <v/>
      </c>
      <c r="DT58" s="7" t="str">
        <f t="shared" si="57"/>
        <v/>
      </c>
      <c r="DU58" s="7" t="str">
        <f t="shared" si="58"/>
        <v/>
      </c>
      <c r="DV58" s="7" t="str">
        <f t="shared" si="59"/>
        <v/>
      </c>
      <c r="DW58" s="7" t="str">
        <f t="shared" si="60"/>
        <v/>
      </c>
      <c r="DX58" s="7" t="str">
        <f t="shared" si="61"/>
        <v/>
      </c>
      <c r="DY58" s="7" t="str">
        <f t="shared" si="62"/>
        <v/>
      </c>
      <c r="DZ58" s="7" t="str">
        <f t="shared" si="63"/>
        <v/>
      </c>
      <c r="EA58" s="7" t="str">
        <f t="shared" si="64"/>
        <v/>
      </c>
      <c r="EB58" s="16"/>
      <c r="EC58" s="16"/>
      <c r="ED58" s="59" t="s">
        <v>460</v>
      </c>
      <c r="EE58" s="59" t="s">
        <v>461</v>
      </c>
    </row>
    <row r="59" spans="4:140" ht="12.75" customHeight="1">
      <c r="D59" s="388"/>
      <c r="E59" s="388"/>
      <c r="F59" s="388"/>
      <c r="G59" s="388"/>
      <c r="H59" s="388"/>
      <c r="I59" s="389"/>
      <c r="J59" s="389"/>
      <c r="K59" s="389"/>
      <c r="L59" s="389"/>
      <c r="M59" s="389"/>
      <c r="N59" s="389"/>
      <c r="O59" s="407"/>
      <c r="P59" s="389"/>
      <c r="Q59" s="407"/>
      <c r="R59" s="389"/>
      <c r="S59" s="389"/>
      <c r="T59" s="389"/>
      <c r="U59" s="389"/>
      <c r="V59" s="389"/>
      <c r="W59" s="389"/>
      <c r="X59" s="389"/>
      <c r="Y59" s="389"/>
      <c r="Z59" s="389"/>
      <c r="AA59" s="389"/>
      <c r="AB59" s="389"/>
      <c r="AC59" s="388"/>
      <c r="AD59" s="388"/>
      <c r="AE59" s="388"/>
      <c r="AF59" s="388"/>
      <c r="AG59" s="388"/>
      <c r="AH59" s="388"/>
      <c r="AI59" s="388"/>
      <c r="AJ59" s="388"/>
      <c r="AK59" s="388"/>
      <c r="AL59" s="388"/>
      <c r="AM59" s="388"/>
      <c r="AN59" s="388"/>
      <c r="AO59" s="388"/>
      <c r="AP59" s="388"/>
      <c r="AQ59" s="388"/>
      <c r="AR59" s="388"/>
      <c r="AS59" s="388"/>
      <c r="AT59" s="388"/>
      <c r="AU59" s="388"/>
      <c r="AV59" s="388"/>
      <c r="AW59" s="388"/>
      <c r="AX59" s="388"/>
      <c r="AY59" s="388"/>
      <c r="AZ59" s="388"/>
      <c r="BA59" s="388"/>
      <c r="BB59" s="388"/>
      <c r="BC59" s="388"/>
      <c r="BD59" s="388"/>
      <c r="BE59" s="388"/>
      <c r="BF59" s="388"/>
      <c r="BG59" s="388"/>
      <c r="BH59" s="388"/>
      <c r="BI59" s="388"/>
      <c r="BJ59" s="388"/>
      <c r="BK59" s="388"/>
      <c r="BL59" s="388"/>
      <c r="BM59" s="388"/>
      <c r="BN59" s="388"/>
      <c r="BO59" s="388"/>
      <c r="CH59" s="1898">
        <v>7</v>
      </c>
      <c r="CI59" s="468">
        <f>IF($BR$10=CH57,CH57,0)</f>
        <v>0</v>
      </c>
      <c r="CJ59" s="478">
        <v>40</v>
      </c>
      <c r="CK59" s="4">
        <f t="shared" si="36"/>
        <v>0</v>
      </c>
      <c r="CL59" s="473" t="str">
        <f t="shared" si="37"/>
        <v/>
      </c>
      <c r="CM59" s="488">
        <v>76</v>
      </c>
      <c r="CN59" s="473" t="str">
        <f t="shared" si="38"/>
        <v/>
      </c>
      <c r="CO59" s="492">
        <v>177</v>
      </c>
      <c r="CP59" s="473" t="str">
        <f t="shared" si="39"/>
        <v/>
      </c>
      <c r="CQ59" s="492">
        <v>303</v>
      </c>
      <c r="CR59" s="473" t="str">
        <f t="shared" si="40"/>
        <v/>
      </c>
      <c r="CS59" s="492">
        <v>455</v>
      </c>
      <c r="CT59" s="473" t="str">
        <f t="shared" si="41"/>
        <v/>
      </c>
      <c r="CU59" s="492">
        <v>690</v>
      </c>
      <c r="CV59" s="473" t="str">
        <f t="shared" si="42"/>
        <v/>
      </c>
      <c r="CW59" s="492">
        <v>1210</v>
      </c>
      <c r="CX59" s="473" t="str">
        <f t="shared" si="43"/>
        <v/>
      </c>
      <c r="CY59" s="492">
        <v>1865</v>
      </c>
      <c r="CZ59" s="473" t="str">
        <f t="shared" si="44"/>
        <v/>
      </c>
      <c r="DA59" s="492">
        <v>2520</v>
      </c>
      <c r="DB59" s="473" t="str">
        <f t="shared" si="45"/>
        <v/>
      </c>
      <c r="DC59" s="492">
        <v>4585</v>
      </c>
      <c r="DD59" s="473" t="str">
        <f t="shared" si="46"/>
        <v/>
      </c>
      <c r="DE59" s="492">
        <v>7560</v>
      </c>
      <c r="DF59" s="473" t="str">
        <f t="shared" si="47"/>
        <v/>
      </c>
      <c r="DG59" s="492">
        <v>10880</v>
      </c>
      <c r="DH59" s="473" t="str">
        <f t="shared" si="48"/>
        <v/>
      </c>
      <c r="DI59" s="492">
        <v>19141</v>
      </c>
      <c r="DJ59" s="473" t="str">
        <f t="shared" si="49"/>
        <v/>
      </c>
      <c r="DK59" s="492">
        <v>30978</v>
      </c>
      <c r="DL59" s="473" t="str">
        <f t="shared" si="50"/>
        <v/>
      </c>
      <c r="DM59" s="496">
        <v>43470</v>
      </c>
      <c r="DN59" s="7" t="str">
        <f t="shared" si="51"/>
        <v/>
      </c>
      <c r="DO59" s="7" t="str">
        <f t="shared" si="52"/>
        <v/>
      </c>
      <c r="DP59" s="7" t="str">
        <f t="shared" si="53"/>
        <v/>
      </c>
      <c r="DQ59" s="7" t="str">
        <f t="shared" si="54"/>
        <v/>
      </c>
      <c r="DR59" s="7" t="str">
        <f t="shared" si="55"/>
        <v/>
      </c>
      <c r="DS59" s="7" t="str">
        <f t="shared" si="56"/>
        <v/>
      </c>
      <c r="DT59" s="7" t="str">
        <f t="shared" si="57"/>
        <v/>
      </c>
      <c r="DU59" s="7" t="str">
        <f t="shared" si="58"/>
        <v/>
      </c>
      <c r="DV59" s="7" t="str">
        <f t="shared" si="59"/>
        <v/>
      </c>
      <c r="DW59" s="7" t="str">
        <f t="shared" si="60"/>
        <v/>
      </c>
      <c r="DX59" s="7" t="str">
        <f t="shared" si="61"/>
        <v/>
      </c>
      <c r="DY59" s="7" t="str">
        <f t="shared" si="62"/>
        <v/>
      </c>
      <c r="DZ59" s="7" t="str">
        <f t="shared" si="63"/>
        <v/>
      </c>
      <c r="EA59" s="7" t="str">
        <f t="shared" si="64"/>
        <v/>
      </c>
      <c r="EB59" s="171" t="s">
        <v>462</v>
      </c>
      <c r="EC59" s="16"/>
      <c r="ED59" s="168">
        <f>BR14</f>
        <v>0</v>
      </c>
      <c r="EE59" s="169" t="e">
        <f>INDEX(EE62:EE131,ED60) + (ED59-INDEX(ED62:ED131,ED60)) * (INDEX(EE62:EE131,ED60+1)-INDEX(EE62:EE131,ED60)) / (INDEX(ED62:ED131,ED60+1)-INDEX(ED62:ED131,ED60))</f>
        <v>#N/A</v>
      </c>
      <c r="EF59" s="170">
        <f>IF($BR$5=EB59,EE59,0)</f>
        <v>0</v>
      </c>
    </row>
    <row r="60" spans="4:140" ht="12.75" customHeight="1">
      <c r="D60" s="389"/>
      <c r="E60" s="389"/>
      <c r="F60" s="389"/>
      <c r="G60" s="389"/>
      <c r="H60" s="388"/>
      <c r="I60" s="389"/>
      <c r="J60" s="389"/>
      <c r="K60" s="389"/>
      <c r="L60" s="389"/>
      <c r="M60" s="389"/>
      <c r="N60" s="389"/>
      <c r="O60" s="407"/>
      <c r="P60" s="389"/>
      <c r="Q60" s="407"/>
      <c r="R60" s="389"/>
      <c r="S60" s="389"/>
      <c r="T60" s="389"/>
      <c r="U60" s="389"/>
      <c r="V60" s="389"/>
      <c r="W60" s="389"/>
      <c r="X60" s="389"/>
      <c r="Y60" s="389"/>
      <c r="Z60" s="389"/>
      <c r="AA60" s="389"/>
      <c r="AB60" s="389"/>
      <c r="AC60" s="388"/>
      <c r="AD60" s="388"/>
      <c r="AE60" s="388"/>
      <c r="AF60" s="388"/>
      <c r="AG60" s="388"/>
      <c r="AH60" s="388"/>
      <c r="AI60" s="388"/>
      <c r="AJ60" s="388"/>
      <c r="AK60" s="388"/>
      <c r="AL60" s="388"/>
      <c r="AM60" s="388"/>
      <c r="AN60" s="388"/>
      <c r="AO60" s="388"/>
      <c r="AP60" s="388"/>
      <c r="AQ60" s="388"/>
      <c r="AR60" s="388"/>
      <c r="AS60" s="388"/>
      <c r="AT60" s="388"/>
      <c r="AU60" s="388"/>
      <c r="AV60" s="388"/>
      <c r="AW60" s="388"/>
      <c r="AX60" s="388"/>
      <c r="AY60" s="388"/>
      <c r="AZ60" s="388"/>
      <c r="BA60" s="388"/>
      <c r="BB60" s="388"/>
      <c r="BC60" s="388"/>
      <c r="BD60" s="388"/>
      <c r="BE60" s="388"/>
      <c r="BF60" s="388"/>
      <c r="BG60" s="388"/>
      <c r="BH60" s="388"/>
      <c r="BI60" s="388"/>
      <c r="BJ60" s="388"/>
      <c r="BK60" s="388"/>
      <c r="BL60" s="388"/>
      <c r="BM60" s="388"/>
      <c r="BN60" s="388"/>
      <c r="BO60" s="388"/>
      <c r="CH60" s="1898">
        <v>8</v>
      </c>
      <c r="CI60" s="468">
        <f>IF($BR$10=CH60,CH60,0)</f>
        <v>0</v>
      </c>
      <c r="CJ60" s="479">
        <v>15</v>
      </c>
      <c r="CK60" s="3">
        <f t="shared" si="36"/>
        <v>0</v>
      </c>
      <c r="CL60" s="471" t="str">
        <f t="shared" si="37"/>
        <v/>
      </c>
      <c r="CM60" s="489">
        <v>32</v>
      </c>
      <c r="CN60" s="471" t="str">
        <f t="shared" si="38"/>
        <v/>
      </c>
      <c r="CO60" s="493">
        <v>70</v>
      </c>
      <c r="CP60" s="471" t="str">
        <f t="shared" si="39"/>
        <v/>
      </c>
      <c r="CQ60" s="493">
        <v>126</v>
      </c>
      <c r="CR60" s="471" t="str">
        <f t="shared" si="40"/>
        <v/>
      </c>
      <c r="CS60" s="493">
        <v>190</v>
      </c>
      <c r="CT60" s="471" t="str">
        <f t="shared" si="41"/>
        <v/>
      </c>
      <c r="CU60" s="493">
        <v>285</v>
      </c>
      <c r="CV60" s="471" t="str">
        <f t="shared" si="42"/>
        <v/>
      </c>
      <c r="CW60" s="493">
        <v>475</v>
      </c>
      <c r="CX60" s="471" t="str">
        <f t="shared" si="43"/>
        <v/>
      </c>
      <c r="CY60" s="493">
        <v>800</v>
      </c>
      <c r="CZ60" s="471" t="str">
        <f t="shared" si="44"/>
        <v/>
      </c>
      <c r="DA60" s="493">
        <v>1125</v>
      </c>
      <c r="DB60" s="471" t="str">
        <f t="shared" si="45"/>
        <v/>
      </c>
      <c r="DC60" s="493">
        <v>1990</v>
      </c>
      <c r="DD60" s="471" t="str">
        <f t="shared" si="46"/>
        <v/>
      </c>
      <c r="DE60" s="493">
        <v>3025</v>
      </c>
      <c r="DF60" s="471" t="str">
        <f t="shared" si="47"/>
        <v/>
      </c>
      <c r="DG60" s="493">
        <v>4540</v>
      </c>
      <c r="DH60" s="471" t="str">
        <f t="shared" si="48"/>
        <v/>
      </c>
      <c r="DI60" s="493">
        <v>8042</v>
      </c>
      <c r="DJ60" s="471" t="str">
        <f t="shared" si="49"/>
        <v/>
      </c>
      <c r="DK60" s="493">
        <v>12625</v>
      </c>
      <c r="DL60" s="471" t="str">
        <f t="shared" si="50"/>
        <v/>
      </c>
      <c r="DM60" s="497">
        <v>17728</v>
      </c>
      <c r="DN60" s="7" t="str">
        <f t="shared" si="51"/>
        <v/>
      </c>
      <c r="DO60" s="7" t="str">
        <f t="shared" si="52"/>
        <v/>
      </c>
      <c r="DP60" s="7" t="str">
        <f t="shared" si="53"/>
        <v/>
      </c>
      <c r="DQ60" s="7" t="str">
        <f t="shared" si="54"/>
        <v/>
      </c>
      <c r="DR60" s="7" t="str">
        <f t="shared" si="55"/>
        <v/>
      </c>
      <c r="DS60" s="7" t="str">
        <f t="shared" si="56"/>
        <v/>
      </c>
      <c r="DT60" s="7" t="str">
        <f t="shared" si="57"/>
        <v/>
      </c>
      <c r="DU60" s="7" t="str">
        <f t="shared" si="58"/>
        <v/>
      </c>
      <c r="DV60" s="7" t="str">
        <f t="shared" si="59"/>
        <v/>
      </c>
      <c r="DW60" s="7" t="str">
        <f t="shared" si="60"/>
        <v/>
      </c>
      <c r="DX60" s="7" t="str">
        <f t="shared" si="61"/>
        <v/>
      </c>
      <c r="DY60" s="7" t="str">
        <f t="shared" si="62"/>
        <v/>
      </c>
      <c r="DZ60" s="7" t="str">
        <f t="shared" si="63"/>
        <v/>
      </c>
      <c r="EA60" s="7" t="str">
        <f t="shared" si="64"/>
        <v/>
      </c>
      <c r="ED60" s="2" t="e">
        <f>MATCH(ED59,ED62:ED82)</f>
        <v>#N/A</v>
      </c>
      <c r="EF60" s="499">
        <f>EF55+EF59</f>
        <v>0</v>
      </c>
    </row>
    <row r="61" spans="4:140" ht="12.75" customHeight="1">
      <c r="D61" s="389"/>
      <c r="E61" s="389"/>
      <c r="F61" s="389"/>
      <c r="G61" s="389"/>
      <c r="H61" s="388"/>
      <c r="I61" s="389"/>
      <c r="J61" s="389"/>
      <c r="K61" s="389"/>
      <c r="L61" s="389"/>
      <c r="M61" s="389"/>
      <c r="N61" s="389"/>
      <c r="O61" s="407"/>
      <c r="P61" s="389"/>
      <c r="Q61" s="407"/>
      <c r="R61" s="389"/>
      <c r="S61" s="389"/>
      <c r="T61" s="389"/>
      <c r="U61" s="389"/>
      <c r="V61" s="389"/>
      <c r="W61" s="389"/>
      <c r="X61" s="389"/>
      <c r="Y61" s="389"/>
      <c r="Z61" s="389"/>
      <c r="AA61" s="389"/>
      <c r="AB61" s="389"/>
      <c r="AC61" s="388"/>
      <c r="AD61" s="388"/>
      <c r="AE61" s="388"/>
      <c r="AF61" s="388"/>
      <c r="AG61" s="388"/>
      <c r="AH61" s="388"/>
      <c r="AI61" s="388"/>
      <c r="AJ61" s="388"/>
      <c r="AK61" s="388"/>
      <c r="AL61" s="388"/>
      <c r="AM61" s="388"/>
      <c r="AN61" s="388"/>
      <c r="AO61" s="388"/>
      <c r="AP61" s="388"/>
      <c r="AQ61" s="388"/>
      <c r="AR61" s="388"/>
      <c r="AS61" s="388"/>
      <c r="AT61" s="388"/>
      <c r="AU61" s="388"/>
      <c r="AV61" s="388"/>
      <c r="AW61" s="388"/>
      <c r="AX61" s="388"/>
      <c r="AY61" s="388"/>
      <c r="AZ61" s="388"/>
      <c r="BA61" s="388"/>
      <c r="BB61" s="388"/>
      <c r="BC61" s="388"/>
      <c r="BD61" s="388"/>
      <c r="BE61" s="388"/>
      <c r="BF61" s="388"/>
      <c r="BG61" s="388"/>
      <c r="BH61" s="388"/>
      <c r="BI61" s="388"/>
      <c r="BJ61" s="388"/>
      <c r="BK61" s="388"/>
      <c r="BL61" s="388"/>
      <c r="BM61" s="388"/>
      <c r="BN61" s="388"/>
      <c r="BO61" s="388"/>
      <c r="CH61" s="1898">
        <v>8</v>
      </c>
      <c r="CI61" s="468">
        <f>IF($BR$10=CH60,CH60,0)</f>
        <v>0</v>
      </c>
      <c r="CJ61" s="477">
        <v>25</v>
      </c>
      <c r="CK61" s="2">
        <f t="shared" si="36"/>
        <v>0</v>
      </c>
      <c r="CL61" s="472" t="str">
        <f t="shared" si="37"/>
        <v/>
      </c>
      <c r="CM61" s="487">
        <v>54</v>
      </c>
      <c r="CN61" s="472" t="str">
        <f t="shared" si="38"/>
        <v/>
      </c>
      <c r="CO61" s="491">
        <v>122</v>
      </c>
      <c r="CP61" s="472" t="str">
        <f t="shared" si="39"/>
        <v/>
      </c>
      <c r="CQ61" s="491">
        <v>205</v>
      </c>
      <c r="CR61" s="472" t="str">
        <f t="shared" si="40"/>
        <v/>
      </c>
      <c r="CS61" s="491">
        <v>320</v>
      </c>
      <c r="CT61" s="472" t="str">
        <f t="shared" si="41"/>
        <v/>
      </c>
      <c r="CU61" s="491">
        <v>465</v>
      </c>
      <c r="CV61" s="472" t="str">
        <f t="shared" si="42"/>
        <v/>
      </c>
      <c r="CW61" s="491">
        <v>810</v>
      </c>
      <c r="CX61" s="472" t="str">
        <f t="shared" si="43"/>
        <v/>
      </c>
      <c r="CY61" s="491">
        <v>1260</v>
      </c>
      <c r="CZ61" s="472" t="str">
        <f t="shared" si="44"/>
        <v/>
      </c>
      <c r="DA61" s="491">
        <v>1870</v>
      </c>
      <c r="DB61" s="472" t="str">
        <f t="shared" si="45"/>
        <v/>
      </c>
      <c r="DC61" s="491">
        <v>3240</v>
      </c>
      <c r="DD61" s="472" t="str">
        <f t="shared" si="46"/>
        <v/>
      </c>
      <c r="DE61" s="491">
        <v>5220</v>
      </c>
      <c r="DF61" s="472" t="str">
        <f t="shared" si="47"/>
        <v/>
      </c>
      <c r="DG61" s="491">
        <v>7120</v>
      </c>
      <c r="DH61" s="472" t="str">
        <f t="shared" si="48"/>
        <v/>
      </c>
      <c r="DI61" s="491">
        <v>13140</v>
      </c>
      <c r="DJ61" s="472" t="str">
        <f t="shared" si="49"/>
        <v/>
      </c>
      <c r="DK61" s="491">
        <v>21600</v>
      </c>
      <c r="DL61" s="472" t="str">
        <f t="shared" si="50"/>
        <v/>
      </c>
      <c r="DM61" s="495">
        <v>33210</v>
      </c>
      <c r="DN61" s="7" t="str">
        <f t="shared" si="51"/>
        <v/>
      </c>
      <c r="DO61" s="7" t="str">
        <f t="shared" si="52"/>
        <v/>
      </c>
      <c r="DP61" s="7" t="str">
        <f t="shared" si="53"/>
        <v/>
      </c>
      <c r="DQ61" s="7" t="str">
        <f t="shared" si="54"/>
        <v/>
      </c>
      <c r="DR61" s="7" t="str">
        <f t="shared" si="55"/>
        <v/>
      </c>
      <c r="DS61" s="7" t="str">
        <f t="shared" si="56"/>
        <v/>
      </c>
      <c r="DT61" s="7" t="str">
        <f t="shared" si="57"/>
        <v/>
      </c>
      <c r="DU61" s="7" t="str">
        <f t="shared" si="58"/>
        <v/>
      </c>
      <c r="DV61" s="7" t="str">
        <f t="shared" si="59"/>
        <v/>
      </c>
      <c r="DW61" s="7" t="str">
        <f t="shared" si="60"/>
        <v/>
      </c>
      <c r="DX61" s="7" t="str">
        <f t="shared" si="61"/>
        <v/>
      </c>
      <c r="DY61" s="7" t="str">
        <f t="shared" si="62"/>
        <v/>
      </c>
      <c r="DZ61" s="7" t="str">
        <f t="shared" si="63"/>
        <v/>
      </c>
      <c r="EA61" s="7" t="str">
        <f t="shared" si="64"/>
        <v/>
      </c>
      <c r="EH61" s="275"/>
      <c r="EJ61" s="275"/>
    </row>
    <row r="62" spans="4:140" ht="12.75" customHeight="1">
      <c r="D62" s="389"/>
      <c r="E62" s="389"/>
      <c r="F62" s="389"/>
      <c r="G62" s="389"/>
      <c r="H62" s="388"/>
      <c r="I62" s="389"/>
      <c r="J62" s="389"/>
      <c r="K62" s="389"/>
      <c r="L62" s="389"/>
      <c r="M62" s="389"/>
      <c r="N62" s="389"/>
      <c r="O62" s="407"/>
      <c r="P62" s="389"/>
      <c r="Q62" s="407"/>
      <c r="R62" s="389"/>
      <c r="S62" s="389"/>
      <c r="T62" s="389"/>
      <c r="U62" s="389"/>
      <c r="V62" s="389"/>
      <c r="W62" s="389"/>
      <c r="X62" s="389"/>
      <c r="Y62" s="389"/>
      <c r="Z62" s="389"/>
      <c r="AA62" s="389"/>
      <c r="AB62" s="389"/>
      <c r="AC62" s="388"/>
      <c r="AD62" s="388"/>
      <c r="AE62" s="388"/>
      <c r="AF62" s="388"/>
      <c r="AG62" s="388"/>
      <c r="AH62" s="388"/>
      <c r="AI62" s="388"/>
      <c r="AJ62" s="388"/>
      <c r="AK62" s="388"/>
      <c r="AL62" s="388"/>
      <c r="AM62" s="388"/>
      <c r="AN62" s="388"/>
      <c r="AO62" s="388"/>
      <c r="AP62" s="388"/>
      <c r="AQ62" s="388"/>
      <c r="AR62" s="388"/>
      <c r="AS62" s="388"/>
      <c r="AT62" s="388"/>
      <c r="AU62" s="388"/>
      <c r="AV62" s="388"/>
      <c r="AW62" s="388"/>
      <c r="AX62" s="388"/>
      <c r="AY62" s="388"/>
      <c r="AZ62" s="388"/>
      <c r="BA62" s="388"/>
      <c r="BB62" s="388"/>
      <c r="BC62" s="388"/>
      <c r="BD62" s="388"/>
      <c r="BE62" s="388"/>
      <c r="BF62" s="388"/>
      <c r="BG62" s="388"/>
      <c r="BH62" s="388"/>
      <c r="BI62" s="388"/>
      <c r="BJ62" s="388"/>
      <c r="BK62" s="388"/>
      <c r="BL62" s="388"/>
      <c r="BM62" s="388"/>
      <c r="BN62" s="388"/>
      <c r="BO62" s="388"/>
      <c r="CH62" s="1898">
        <v>8</v>
      </c>
      <c r="CI62" s="468">
        <f>IF($BR$10=CH60,CH60,0)</f>
        <v>0</v>
      </c>
      <c r="CJ62" s="478">
        <v>40</v>
      </c>
      <c r="CK62" s="4">
        <f t="shared" si="36"/>
        <v>0</v>
      </c>
      <c r="CL62" s="473" t="str">
        <f t="shared" si="37"/>
        <v/>
      </c>
      <c r="CM62" s="488">
        <v>84</v>
      </c>
      <c r="CN62" s="473" t="str">
        <f t="shared" si="38"/>
        <v/>
      </c>
      <c r="CO62" s="492">
        <v>192</v>
      </c>
      <c r="CP62" s="473" t="str">
        <f t="shared" si="39"/>
        <v/>
      </c>
      <c r="CQ62" s="492">
        <v>327</v>
      </c>
      <c r="CR62" s="473" t="str">
        <f t="shared" si="40"/>
        <v/>
      </c>
      <c r="CS62" s="492">
        <v>510</v>
      </c>
      <c r="CT62" s="473" t="str">
        <f t="shared" si="41"/>
        <v/>
      </c>
      <c r="CU62" s="492">
        <v>730</v>
      </c>
      <c r="CV62" s="473" t="str">
        <f t="shared" si="42"/>
        <v/>
      </c>
      <c r="CW62" s="492">
        <v>1370</v>
      </c>
      <c r="CX62" s="473" t="str">
        <f t="shared" si="43"/>
        <v/>
      </c>
      <c r="CY62" s="492">
        <v>2065</v>
      </c>
      <c r="CZ62" s="473" t="str">
        <f t="shared" si="44"/>
        <v/>
      </c>
      <c r="DA62" s="492">
        <v>3120</v>
      </c>
      <c r="DB62" s="473" t="str">
        <f t="shared" si="45"/>
        <v/>
      </c>
      <c r="DC62" s="492">
        <v>5135</v>
      </c>
      <c r="DD62" s="473" t="str">
        <f t="shared" si="46"/>
        <v/>
      </c>
      <c r="DE62" s="492">
        <v>8395</v>
      </c>
      <c r="DF62" s="473" t="str">
        <f t="shared" si="47"/>
        <v/>
      </c>
      <c r="DG62" s="492">
        <v>12470</v>
      </c>
      <c r="DH62" s="473" t="str">
        <f t="shared" si="48"/>
        <v/>
      </c>
      <c r="DI62" s="492">
        <v>21247</v>
      </c>
      <c r="DJ62" s="473" t="str">
        <f t="shared" si="49"/>
        <v/>
      </c>
      <c r="DK62" s="492">
        <v>33669</v>
      </c>
      <c r="DL62" s="473" t="str">
        <f t="shared" si="50"/>
        <v/>
      </c>
      <c r="DM62" s="496">
        <v>46858</v>
      </c>
      <c r="DN62" s="7" t="str">
        <f t="shared" si="51"/>
        <v/>
      </c>
      <c r="DO62" s="7" t="str">
        <f t="shared" si="52"/>
        <v/>
      </c>
      <c r="DP62" s="7" t="str">
        <f t="shared" si="53"/>
        <v/>
      </c>
      <c r="DQ62" s="7" t="str">
        <f t="shared" si="54"/>
        <v/>
      </c>
      <c r="DR62" s="7" t="str">
        <f t="shared" si="55"/>
        <v/>
      </c>
      <c r="DS62" s="7" t="str">
        <f t="shared" si="56"/>
        <v/>
      </c>
      <c r="DT62" s="7" t="str">
        <f t="shared" si="57"/>
        <v/>
      </c>
      <c r="DU62" s="7" t="str">
        <f t="shared" si="58"/>
        <v/>
      </c>
      <c r="DV62" s="7" t="str">
        <f t="shared" si="59"/>
        <v/>
      </c>
      <c r="DW62" s="7" t="str">
        <f t="shared" si="60"/>
        <v/>
      </c>
      <c r="DX62" s="7" t="str">
        <f t="shared" si="61"/>
        <v/>
      </c>
      <c r="DY62" s="7" t="str">
        <f t="shared" si="62"/>
        <v/>
      </c>
      <c r="DZ62" s="7" t="str">
        <f t="shared" si="63"/>
        <v/>
      </c>
      <c r="EA62" s="7" t="str">
        <f t="shared" si="64"/>
        <v/>
      </c>
      <c r="ED62" s="2">
        <v>0.01</v>
      </c>
      <c r="EE62" s="2">
        <v>0.01</v>
      </c>
      <c r="EH62" s="500"/>
      <c r="EJ62" s="500"/>
    </row>
    <row r="63" spans="4:140" ht="12.75" customHeight="1">
      <c r="D63" s="389"/>
      <c r="E63" s="389"/>
      <c r="F63" s="389"/>
      <c r="G63" s="389"/>
      <c r="H63" s="388"/>
      <c r="I63" s="389"/>
      <c r="J63" s="389"/>
      <c r="K63" s="389"/>
      <c r="L63" s="389"/>
      <c r="M63" s="389"/>
      <c r="N63" s="389"/>
      <c r="O63" s="407"/>
      <c r="P63" s="389"/>
      <c r="Q63" s="407"/>
      <c r="R63" s="389"/>
      <c r="S63" s="389"/>
      <c r="T63" s="389"/>
      <c r="U63" s="389"/>
      <c r="V63" s="389"/>
      <c r="W63" s="389"/>
      <c r="X63" s="389"/>
      <c r="Y63" s="389"/>
      <c r="Z63" s="389"/>
      <c r="AA63" s="389"/>
      <c r="AB63" s="389"/>
      <c r="AC63" s="388"/>
      <c r="AD63" s="388"/>
      <c r="AE63" s="388"/>
      <c r="AF63" s="388"/>
      <c r="AG63" s="388"/>
      <c r="AH63" s="388"/>
      <c r="AI63" s="388"/>
      <c r="AJ63" s="388"/>
      <c r="AK63" s="388"/>
      <c r="AL63" s="388"/>
      <c r="AM63" s="388"/>
      <c r="AN63" s="388"/>
      <c r="AO63" s="388"/>
      <c r="AP63" s="388"/>
      <c r="AQ63" s="388"/>
      <c r="AR63" s="388"/>
      <c r="AS63" s="388"/>
      <c r="AT63" s="388"/>
      <c r="AU63" s="388"/>
      <c r="AV63" s="388"/>
      <c r="AW63" s="388"/>
      <c r="AX63" s="388"/>
      <c r="AY63" s="388"/>
      <c r="AZ63" s="388"/>
      <c r="BA63" s="388"/>
      <c r="BB63" s="388"/>
      <c r="BC63" s="388"/>
      <c r="BD63" s="388"/>
      <c r="BE63" s="388"/>
      <c r="BF63" s="388"/>
      <c r="BG63" s="388"/>
      <c r="BH63" s="388"/>
      <c r="BI63" s="388"/>
      <c r="BJ63" s="388"/>
      <c r="BK63" s="388"/>
      <c r="BL63" s="388"/>
      <c r="BM63" s="388"/>
      <c r="BN63" s="388"/>
      <c r="BO63" s="388"/>
      <c r="CH63" s="1898">
        <v>10</v>
      </c>
      <c r="CI63" s="468">
        <f>IF($BR$10=CH63,CH63,0)</f>
        <v>0</v>
      </c>
      <c r="CJ63" s="479">
        <v>15</v>
      </c>
      <c r="CK63" s="3">
        <f t="shared" si="36"/>
        <v>0</v>
      </c>
      <c r="CL63" s="471" t="str">
        <f t="shared" si="37"/>
        <v/>
      </c>
      <c r="CM63" s="489">
        <v>41</v>
      </c>
      <c r="CN63" s="471" t="str">
        <f t="shared" si="38"/>
        <v/>
      </c>
      <c r="CO63" s="493">
        <v>95</v>
      </c>
      <c r="CP63" s="471" t="str">
        <f t="shared" si="39"/>
        <v/>
      </c>
      <c r="CQ63" s="493">
        <v>155</v>
      </c>
      <c r="CR63" s="471" t="str">
        <f t="shared" si="40"/>
        <v/>
      </c>
      <c r="CS63" s="493">
        <v>260</v>
      </c>
      <c r="CT63" s="471" t="str">
        <f t="shared" si="41"/>
        <v/>
      </c>
      <c r="CU63" s="493">
        <v>372</v>
      </c>
      <c r="CV63" s="471" t="str">
        <f t="shared" si="42"/>
        <v/>
      </c>
      <c r="CW63" s="493">
        <v>626</v>
      </c>
      <c r="CX63" s="471" t="str">
        <f t="shared" si="43"/>
        <v/>
      </c>
      <c r="CY63" s="493">
        <v>1012</v>
      </c>
      <c r="CZ63" s="471" t="str">
        <f t="shared" si="44"/>
        <v/>
      </c>
      <c r="DA63" s="493">
        <v>1465</v>
      </c>
      <c r="DB63" s="471" t="str">
        <f t="shared" si="45"/>
        <v/>
      </c>
      <c r="DC63" s="493">
        <v>2495</v>
      </c>
      <c r="DD63" s="471" t="str">
        <f t="shared" si="46"/>
        <v/>
      </c>
      <c r="DE63" s="493">
        <v>3995</v>
      </c>
      <c r="DF63" s="471" t="str">
        <f t="shared" si="47"/>
        <v/>
      </c>
      <c r="DG63" s="493">
        <v>5860</v>
      </c>
      <c r="DH63" s="471" t="str">
        <f t="shared" si="48"/>
        <v/>
      </c>
      <c r="DI63" s="493">
        <v>9994</v>
      </c>
      <c r="DJ63" s="471" t="str">
        <f t="shared" si="49"/>
        <v/>
      </c>
      <c r="DK63" s="493">
        <v>16172</v>
      </c>
      <c r="DL63" s="471" t="str">
        <f t="shared" si="50"/>
        <v/>
      </c>
      <c r="DM63" s="497">
        <v>22713</v>
      </c>
      <c r="DN63" s="7" t="str">
        <f t="shared" si="51"/>
        <v/>
      </c>
      <c r="DO63" s="7" t="str">
        <f t="shared" si="52"/>
        <v/>
      </c>
      <c r="DP63" s="7" t="str">
        <f t="shared" si="53"/>
        <v/>
      </c>
      <c r="DQ63" s="7" t="str">
        <f t="shared" si="54"/>
        <v/>
      </c>
      <c r="DR63" s="7" t="str">
        <f t="shared" si="55"/>
        <v/>
      </c>
      <c r="DS63" s="7" t="str">
        <f t="shared" si="56"/>
        <v/>
      </c>
      <c r="DT63" s="7" t="str">
        <f t="shared" si="57"/>
        <v/>
      </c>
      <c r="DU63" s="7" t="str">
        <f t="shared" si="58"/>
        <v/>
      </c>
      <c r="DV63" s="7" t="str">
        <f t="shared" si="59"/>
        <v/>
      </c>
      <c r="DW63" s="7" t="str">
        <f t="shared" si="60"/>
        <v/>
      </c>
      <c r="DX63" s="7" t="str">
        <f t="shared" si="61"/>
        <v/>
      </c>
      <c r="DY63" s="7" t="str">
        <f t="shared" si="62"/>
        <v/>
      </c>
      <c r="DZ63" s="7" t="str">
        <f t="shared" si="63"/>
        <v/>
      </c>
      <c r="EA63" s="7" t="str">
        <f t="shared" si="64"/>
        <v/>
      </c>
      <c r="ED63" s="2">
        <v>5</v>
      </c>
      <c r="EE63" s="2">
        <v>20.98</v>
      </c>
      <c r="EH63" s="500"/>
      <c r="EJ63" s="500"/>
    </row>
    <row r="64" spans="4:140" ht="12.75" customHeight="1">
      <c r="D64" s="389"/>
      <c r="E64" s="389"/>
      <c r="F64" s="389"/>
      <c r="G64" s="389"/>
      <c r="H64" s="388"/>
      <c r="I64" s="389"/>
      <c r="J64" s="389"/>
      <c r="K64" s="389"/>
      <c r="L64" s="389"/>
      <c r="M64" s="389"/>
      <c r="N64" s="389"/>
      <c r="O64" s="407"/>
      <c r="P64" s="389"/>
      <c r="Q64" s="407"/>
      <c r="R64" s="389"/>
      <c r="S64" s="389"/>
      <c r="T64" s="389"/>
      <c r="U64" s="389"/>
      <c r="V64" s="389"/>
      <c r="W64" s="389"/>
      <c r="X64" s="389"/>
      <c r="Y64" s="389"/>
      <c r="Z64" s="389"/>
      <c r="AA64" s="389"/>
      <c r="AB64" s="389"/>
      <c r="AC64" s="388"/>
      <c r="AD64" s="388"/>
      <c r="AE64" s="388"/>
      <c r="AF64" s="388"/>
      <c r="AG64" s="388"/>
      <c r="AH64" s="388"/>
      <c r="AI64" s="388"/>
      <c r="AJ64" s="388"/>
      <c r="AK64" s="388"/>
      <c r="AL64" s="388"/>
      <c r="AM64" s="388"/>
      <c r="AN64" s="388"/>
      <c r="AO64" s="388"/>
      <c r="AP64" s="388"/>
      <c r="AQ64" s="388"/>
      <c r="AR64" s="388"/>
      <c r="AS64" s="388"/>
      <c r="AT64" s="388"/>
      <c r="AU64" s="388"/>
      <c r="AV64" s="388"/>
      <c r="AW64" s="388"/>
      <c r="AX64" s="388"/>
      <c r="AY64" s="388"/>
      <c r="AZ64" s="388"/>
      <c r="BA64" s="388"/>
      <c r="BB64" s="388"/>
      <c r="BC64" s="388"/>
      <c r="BD64" s="388"/>
      <c r="BE64" s="388"/>
      <c r="BF64" s="388"/>
      <c r="BG64" s="388"/>
      <c r="BH64" s="388"/>
      <c r="BI64" s="388"/>
      <c r="BJ64" s="388"/>
      <c r="BK64" s="388"/>
      <c r="BL64" s="388"/>
      <c r="BM64" s="388"/>
      <c r="BN64" s="388"/>
      <c r="BO64" s="388"/>
      <c r="CH64" s="1898"/>
      <c r="CI64" s="468">
        <f>IF($BR$10=CH63,CH63,0)</f>
        <v>0</v>
      </c>
      <c r="CJ64" s="477">
        <v>25</v>
      </c>
      <c r="CK64" s="2">
        <f t="shared" si="36"/>
        <v>0</v>
      </c>
      <c r="CL64" s="472" t="str">
        <f t="shared" si="37"/>
        <v/>
      </c>
      <c r="CM64" s="487">
        <v>66</v>
      </c>
      <c r="CN64" s="472" t="str">
        <f t="shared" si="38"/>
        <v/>
      </c>
      <c r="CO64" s="491">
        <v>145</v>
      </c>
      <c r="CP64" s="472" t="str">
        <f t="shared" si="39"/>
        <v/>
      </c>
      <c r="CQ64" s="491">
        <v>257</v>
      </c>
      <c r="CR64" s="472" t="str">
        <f t="shared" si="40"/>
        <v/>
      </c>
      <c r="CS64" s="491">
        <v>405</v>
      </c>
      <c r="CT64" s="472" t="str">
        <f t="shared" si="41"/>
        <v/>
      </c>
      <c r="CU64" s="491">
        <v>562</v>
      </c>
      <c r="CV64" s="472" t="str">
        <f t="shared" si="42"/>
        <v/>
      </c>
      <c r="CW64" s="491">
        <v>990</v>
      </c>
      <c r="CX64" s="472" t="str">
        <f t="shared" si="43"/>
        <v/>
      </c>
      <c r="CY64" s="491">
        <v>1530</v>
      </c>
      <c r="CZ64" s="472" t="str">
        <f t="shared" si="44"/>
        <v/>
      </c>
      <c r="DA64" s="491">
        <v>2205</v>
      </c>
      <c r="DB64" s="472" t="str">
        <f t="shared" si="45"/>
        <v/>
      </c>
      <c r="DC64" s="491">
        <v>2835</v>
      </c>
      <c r="DD64" s="472" t="str">
        <f t="shared" si="46"/>
        <v/>
      </c>
      <c r="DE64" s="491">
        <v>6295</v>
      </c>
      <c r="DF64" s="472" t="str">
        <f t="shared" si="47"/>
        <v/>
      </c>
      <c r="DG64" s="491">
        <v>8995</v>
      </c>
      <c r="DH64" s="472" t="str">
        <f t="shared" si="48"/>
        <v/>
      </c>
      <c r="DI64" s="491">
        <v>15966</v>
      </c>
      <c r="DJ64" s="472" t="str">
        <f t="shared" si="49"/>
        <v/>
      </c>
      <c r="DK64" s="491">
        <v>25860</v>
      </c>
      <c r="DL64" s="472" t="str">
        <f t="shared" si="50"/>
        <v/>
      </c>
      <c r="DM64" s="495">
        <v>35890</v>
      </c>
      <c r="DN64" s="7" t="str">
        <f t="shared" si="51"/>
        <v/>
      </c>
      <c r="DO64" s="7" t="str">
        <f t="shared" si="52"/>
        <v/>
      </c>
      <c r="DP64" s="7" t="str">
        <f t="shared" si="53"/>
        <v/>
      </c>
      <c r="DQ64" s="7" t="str">
        <f t="shared" si="54"/>
        <v/>
      </c>
      <c r="DR64" s="7" t="str">
        <f t="shared" si="55"/>
        <v/>
      </c>
      <c r="DS64" s="7" t="str">
        <f t="shared" si="56"/>
        <v/>
      </c>
      <c r="DT64" s="7" t="str">
        <f t="shared" si="57"/>
        <v/>
      </c>
      <c r="DU64" s="7" t="str">
        <f t="shared" si="58"/>
        <v/>
      </c>
      <c r="DV64" s="7" t="str">
        <f t="shared" si="59"/>
        <v/>
      </c>
      <c r="DW64" s="7" t="str">
        <f t="shared" si="60"/>
        <v/>
      </c>
      <c r="DX64" s="7" t="str">
        <f t="shared" si="61"/>
        <v/>
      </c>
      <c r="DY64" s="7" t="str">
        <f t="shared" si="62"/>
        <v/>
      </c>
      <c r="DZ64" s="7" t="str">
        <f t="shared" si="63"/>
        <v/>
      </c>
      <c r="EA64" s="7" t="str">
        <f t="shared" si="64"/>
        <v/>
      </c>
      <c r="ED64" s="2">
        <v>10</v>
      </c>
      <c r="EE64" s="2">
        <v>42.01</v>
      </c>
      <c r="EH64" s="500"/>
      <c r="EJ64" s="500"/>
    </row>
    <row r="65" spans="4:140" ht="12.75" customHeight="1">
      <c r="D65" s="389"/>
      <c r="E65" s="389"/>
      <c r="F65" s="389"/>
      <c r="G65" s="389"/>
      <c r="H65" s="388"/>
      <c r="I65" s="389"/>
      <c r="J65" s="389"/>
      <c r="K65" s="389"/>
      <c r="L65" s="389"/>
      <c r="M65" s="389"/>
      <c r="N65" s="389"/>
      <c r="O65" s="407"/>
      <c r="P65" s="389"/>
      <c r="Q65" s="407"/>
      <c r="R65" s="389"/>
      <c r="S65" s="389"/>
      <c r="T65" s="389"/>
      <c r="U65" s="389"/>
      <c r="V65" s="389"/>
      <c r="W65" s="389"/>
      <c r="X65" s="389"/>
      <c r="Y65" s="389"/>
      <c r="Z65" s="389"/>
      <c r="AA65" s="389"/>
      <c r="AB65" s="389"/>
      <c r="AC65" s="388"/>
      <c r="AD65" s="388"/>
      <c r="AE65" s="388"/>
      <c r="AF65" s="388"/>
      <c r="AG65" s="388"/>
      <c r="AH65" s="388"/>
      <c r="AI65" s="388"/>
      <c r="AJ65" s="388"/>
      <c r="AK65" s="388"/>
      <c r="AL65" s="388"/>
      <c r="AM65" s="388"/>
      <c r="AN65" s="388"/>
      <c r="AO65" s="388"/>
      <c r="AP65" s="388"/>
      <c r="AQ65" s="388"/>
      <c r="AR65" s="388"/>
      <c r="AS65" s="388"/>
      <c r="AT65" s="388"/>
      <c r="AU65" s="388"/>
      <c r="AV65" s="388"/>
      <c r="AW65" s="388"/>
      <c r="AX65" s="388"/>
      <c r="AY65" s="388"/>
      <c r="AZ65" s="388"/>
      <c r="BA65" s="388"/>
      <c r="BB65" s="388"/>
      <c r="BC65" s="388"/>
      <c r="BD65" s="388"/>
      <c r="BE65" s="388"/>
      <c r="BF65" s="388"/>
      <c r="BG65" s="388"/>
      <c r="BH65" s="388"/>
      <c r="BI65" s="388"/>
      <c r="BJ65" s="388"/>
      <c r="BK65" s="388"/>
      <c r="BL65" s="388"/>
      <c r="BM65" s="388"/>
      <c r="BN65" s="388"/>
      <c r="BO65" s="388"/>
      <c r="CH65" s="1898"/>
      <c r="CI65" s="468">
        <f>IF($BR$10=CH63,CH63,0)</f>
        <v>0</v>
      </c>
      <c r="CJ65" s="478">
        <v>40</v>
      </c>
      <c r="CK65" s="4">
        <f t="shared" si="36"/>
        <v>0</v>
      </c>
      <c r="CL65" s="473" t="str">
        <f t="shared" si="37"/>
        <v/>
      </c>
      <c r="CM65" s="488">
        <v>104</v>
      </c>
      <c r="CN65" s="473" t="str">
        <f t="shared" si="38"/>
        <v/>
      </c>
      <c r="CO65" s="492">
        <v>216</v>
      </c>
      <c r="CP65" s="473" t="str">
        <f t="shared" si="39"/>
        <v/>
      </c>
      <c r="CQ65" s="492">
        <v>408</v>
      </c>
      <c r="CR65" s="473" t="str">
        <f t="shared" si="40"/>
        <v/>
      </c>
      <c r="CS65" s="492">
        <v>615</v>
      </c>
      <c r="CT65" s="473" t="str">
        <f t="shared" si="41"/>
        <v/>
      </c>
      <c r="CU65" s="492">
        <v>910</v>
      </c>
      <c r="CV65" s="473" t="str">
        <f t="shared" si="42"/>
        <v/>
      </c>
      <c r="CW65" s="492">
        <v>1635</v>
      </c>
      <c r="CX65" s="473" t="str">
        <f t="shared" si="43"/>
        <v/>
      </c>
      <c r="CY65" s="492">
        <v>2545</v>
      </c>
      <c r="CZ65" s="473" t="str">
        <f t="shared" si="44"/>
        <v/>
      </c>
      <c r="DA65" s="492">
        <v>3600</v>
      </c>
      <c r="DB65" s="473" t="str">
        <f t="shared" si="45"/>
        <v/>
      </c>
      <c r="DC65" s="492">
        <v>6230</v>
      </c>
      <c r="DD65" s="473" t="str">
        <f t="shared" si="46"/>
        <v/>
      </c>
      <c r="DE65" s="492">
        <v>9880</v>
      </c>
      <c r="DF65" s="473" t="str">
        <f t="shared" si="47"/>
        <v/>
      </c>
      <c r="DG65" s="492">
        <v>14390</v>
      </c>
      <c r="DH65" s="473" t="str">
        <f t="shared" si="48"/>
        <v/>
      </c>
      <c r="DI65" s="492">
        <v>26621</v>
      </c>
      <c r="DJ65" s="473" t="str">
        <f t="shared" si="49"/>
        <v/>
      </c>
      <c r="DK65" s="492">
        <v>41011</v>
      </c>
      <c r="DL65" s="473" t="str">
        <f t="shared" si="50"/>
        <v/>
      </c>
      <c r="DM65" s="496">
        <v>57560</v>
      </c>
      <c r="DN65" s="7" t="str">
        <f t="shared" si="51"/>
        <v/>
      </c>
      <c r="DO65" s="7" t="str">
        <f t="shared" si="52"/>
        <v/>
      </c>
      <c r="DP65" s="7" t="str">
        <f t="shared" si="53"/>
        <v/>
      </c>
      <c r="DQ65" s="7" t="str">
        <f t="shared" si="54"/>
        <v/>
      </c>
      <c r="DR65" s="7" t="str">
        <f t="shared" si="55"/>
        <v/>
      </c>
      <c r="DS65" s="7" t="str">
        <f t="shared" si="56"/>
        <v/>
      </c>
      <c r="DT65" s="7" t="str">
        <f t="shared" si="57"/>
        <v/>
      </c>
      <c r="DU65" s="7" t="str">
        <f t="shared" si="58"/>
        <v/>
      </c>
      <c r="DV65" s="7" t="str">
        <f t="shared" si="59"/>
        <v/>
      </c>
      <c r="DW65" s="7" t="str">
        <f t="shared" si="60"/>
        <v/>
      </c>
      <c r="DX65" s="7" t="str">
        <f t="shared" si="61"/>
        <v/>
      </c>
      <c r="DY65" s="7" t="str">
        <f t="shared" si="62"/>
        <v/>
      </c>
      <c r="DZ65" s="7" t="str">
        <f t="shared" si="63"/>
        <v/>
      </c>
      <c r="EA65" s="7" t="str">
        <f t="shared" si="64"/>
        <v/>
      </c>
      <c r="ED65" s="2">
        <v>15</v>
      </c>
      <c r="EE65" s="2">
        <v>62.99</v>
      </c>
      <c r="EH65" s="273"/>
      <c r="EJ65" s="273"/>
    </row>
    <row r="66" spans="4:140" ht="12.75" customHeight="1">
      <c r="D66" s="389"/>
      <c r="E66" s="389"/>
      <c r="F66" s="389"/>
      <c r="G66" s="389"/>
      <c r="H66" s="388"/>
      <c r="I66" s="389"/>
      <c r="J66" s="389"/>
      <c r="K66" s="389"/>
      <c r="L66" s="389"/>
      <c r="M66" s="389"/>
      <c r="N66" s="389"/>
      <c r="O66" s="407"/>
      <c r="P66" s="389"/>
      <c r="Q66" s="407"/>
      <c r="R66" s="389"/>
      <c r="S66" s="389"/>
      <c r="T66" s="389"/>
      <c r="U66" s="389"/>
      <c r="V66" s="389"/>
      <c r="W66" s="389"/>
      <c r="X66" s="389"/>
      <c r="Y66" s="389"/>
      <c r="Z66" s="389"/>
      <c r="AA66" s="389"/>
      <c r="AB66" s="389"/>
      <c r="AC66" s="388"/>
      <c r="AD66" s="388"/>
      <c r="AE66" s="388"/>
      <c r="AF66" s="388"/>
      <c r="AG66" s="388"/>
      <c r="AH66" s="388"/>
      <c r="AI66" s="388"/>
      <c r="AJ66" s="388"/>
      <c r="AK66" s="388"/>
      <c r="AL66" s="388"/>
      <c r="AM66" s="388"/>
      <c r="AN66" s="388"/>
      <c r="AO66" s="388"/>
      <c r="AP66" s="388"/>
      <c r="AQ66" s="388"/>
      <c r="AR66" s="388"/>
      <c r="AS66" s="388"/>
      <c r="AT66" s="388"/>
      <c r="AU66" s="388"/>
      <c r="AV66" s="388"/>
      <c r="AW66" s="388"/>
      <c r="AX66" s="388"/>
      <c r="AY66" s="388"/>
      <c r="AZ66" s="388"/>
      <c r="BA66" s="388"/>
      <c r="BB66" s="388"/>
      <c r="BC66" s="388"/>
      <c r="BD66" s="388"/>
      <c r="BE66" s="388"/>
      <c r="BF66" s="388"/>
      <c r="BG66" s="388"/>
      <c r="BH66" s="388"/>
      <c r="BI66" s="388"/>
      <c r="BJ66" s="388"/>
      <c r="BK66" s="388"/>
      <c r="BL66" s="388"/>
      <c r="BM66" s="388"/>
      <c r="BN66" s="388"/>
      <c r="BO66" s="388"/>
      <c r="CH66" s="1898">
        <v>14</v>
      </c>
      <c r="CI66" s="468">
        <f>IF($BR$10=CH66,CH66,0)</f>
        <v>0</v>
      </c>
      <c r="CJ66" s="479">
        <v>15</v>
      </c>
      <c r="CK66" s="3">
        <f t="shared" si="36"/>
        <v>0</v>
      </c>
      <c r="CL66" s="471" t="str">
        <f t="shared" si="37"/>
        <v/>
      </c>
      <c r="CM66" s="489">
        <v>50</v>
      </c>
      <c r="CN66" s="471" t="str">
        <f t="shared" si="38"/>
        <v/>
      </c>
      <c r="CO66" s="493">
        <v>121</v>
      </c>
      <c r="CP66" s="471" t="str">
        <f t="shared" si="39"/>
        <v/>
      </c>
      <c r="CQ66" s="493">
        <v>205</v>
      </c>
      <c r="CR66" s="471" t="str">
        <f t="shared" si="40"/>
        <v/>
      </c>
      <c r="CS66" s="493">
        <v>310</v>
      </c>
      <c r="CT66" s="471" t="str">
        <f t="shared" si="41"/>
        <v/>
      </c>
      <c r="CU66" s="493">
        <v>465</v>
      </c>
      <c r="CV66" s="471" t="str">
        <f t="shared" si="42"/>
        <v/>
      </c>
      <c r="CW66" s="493">
        <v>810</v>
      </c>
      <c r="CX66" s="471" t="str">
        <f t="shared" si="43"/>
        <v/>
      </c>
      <c r="CY66" s="493">
        <v>1270</v>
      </c>
      <c r="CZ66" s="471" t="str">
        <f t="shared" si="44"/>
        <v/>
      </c>
      <c r="DA66" s="493">
        <v>1870</v>
      </c>
      <c r="DB66" s="471" t="str">
        <f t="shared" si="45"/>
        <v/>
      </c>
      <c r="DC66" s="493">
        <v>3220</v>
      </c>
      <c r="DD66" s="471" t="str">
        <f t="shared" si="46"/>
        <v/>
      </c>
      <c r="DE66" s="493">
        <v>5215</v>
      </c>
      <c r="DF66" s="471" t="str">
        <f t="shared" si="47"/>
        <v/>
      </c>
      <c r="DG66" s="493">
        <v>7390</v>
      </c>
      <c r="DH66" s="471" t="str">
        <f t="shared" si="48"/>
        <v/>
      </c>
      <c r="DI66" s="493">
        <v>12921</v>
      </c>
      <c r="DJ66" s="471" t="str">
        <f t="shared" si="49"/>
        <v/>
      </c>
      <c r="DK66" s="493">
        <v>20538</v>
      </c>
      <c r="DL66" s="471" t="str">
        <f t="shared" si="50"/>
        <v/>
      </c>
      <c r="DM66" s="497">
        <v>29016</v>
      </c>
      <c r="DN66" s="7" t="str">
        <f t="shared" si="51"/>
        <v/>
      </c>
      <c r="DO66" s="7" t="str">
        <f t="shared" si="52"/>
        <v/>
      </c>
      <c r="DP66" s="7" t="str">
        <f t="shared" si="53"/>
        <v/>
      </c>
      <c r="DQ66" s="7" t="str">
        <f t="shared" si="54"/>
        <v/>
      </c>
      <c r="DR66" s="7" t="str">
        <f t="shared" si="55"/>
        <v/>
      </c>
      <c r="DS66" s="7" t="str">
        <f t="shared" si="56"/>
        <v/>
      </c>
      <c r="DT66" s="7" t="str">
        <f t="shared" si="57"/>
        <v/>
      </c>
      <c r="DU66" s="7" t="str">
        <f t="shared" si="58"/>
        <v/>
      </c>
      <c r="DV66" s="7" t="str">
        <f t="shared" si="59"/>
        <v/>
      </c>
      <c r="DW66" s="7" t="str">
        <f t="shared" si="60"/>
        <v/>
      </c>
      <c r="DX66" s="7" t="str">
        <f t="shared" si="61"/>
        <v/>
      </c>
      <c r="DY66" s="7" t="str">
        <f t="shared" si="62"/>
        <v/>
      </c>
      <c r="DZ66" s="7" t="str">
        <f t="shared" si="63"/>
        <v/>
      </c>
      <c r="EA66" s="7" t="str">
        <f t="shared" si="64"/>
        <v/>
      </c>
      <c r="ED66" s="2">
        <v>20</v>
      </c>
      <c r="EE66" s="2">
        <v>83.96</v>
      </c>
      <c r="EH66" s="273"/>
      <c r="EJ66" s="273"/>
    </row>
    <row r="67" spans="4:140" ht="12.75" customHeight="1">
      <c r="D67" s="389"/>
      <c r="E67" s="389"/>
      <c r="F67" s="389"/>
      <c r="G67" s="389"/>
      <c r="H67" s="388"/>
      <c r="I67" s="389"/>
      <c r="J67" s="389"/>
      <c r="K67" s="389"/>
      <c r="L67" s="389"/>
      <c r="M67" s="389"/>
      <c r="N67" s="389"/>
      <c r="O67" s="407"/>
      <c r="P67" s="389"/>
      <c r="Q67" s="407"/>
      <c r="R67" s="389"/>
      <c r="S67" s="389"/>
      <c r="T67" s="389"/>
      <c r="U67" s="389"/>
      <c r="V67" s="389"/>
      <c r="W67" s="389"/>
      <c r="X67" s="389"/>
      <c r="Y67" s="389"/>
      <c r="Z67" s="389"/>
      <c r="AA67" s="389"/>
      <c r="AB67" s="389"/>
      <c r="AC67" s="388"/>
      <c r="AD67" s="388"/>
      <c r="AE67" s="388"/>
      <c r="AF67" s="388"/>
      <c r="AG67" s="388"/>
      <c r="AH67" s="388"/>
      <c r="AI67" s="388"/>
      <c r="AJ67" s="388"/>
      <c r="AK67" s="388"/>
      <c r="AL67" s="388"/>
      <c r="AM67" s="388"/>
      <c r="AN67" s="388"/>
      <c r="AO67" s="388"/>
      <c r="AP67" s="388"/>
      <c r="AQ67" s="388"/>
      <c r="AR67" s="388"/>
      <c r="AS67" s="388"/>
      <c r="AT67" s="388"/>
      <c r="AU67" s="388"/>
      <c r="AV67" s="388"/>
      <c r="AW67" s="388"/>
      <c r="AX67" s="388"/>
      <c r="AY67" s="388"/>
      <c r="AZ67" s="388"/>
      <c r="BA67" s="388"/>
      <c r="BB67" s="388"/>
      <c r="BC67" s="388"/>
      <c r="BD67" s="388"/>
      <c r="BE67" s="388"/>
      <c r="BF67" s="388"/>
      <c r="BG67" s="388"/>
      <c r="BH67" s="388"/>
      <c r="BI67" s="388"/>
      <c r="BJ67" s="388"/>
      <c r="BK67" s="388"/>
      <c r="BL67" s="388"/>
      <c r="BM67" s="388"/>
      <c r="BN67" s="388"/>
      <c r="BO67" s="388"/>
      <c r="CH67" s="1898">
        <v>14</v>
      </c>
      <c r="CI67" s="468">
        <f>IF($BR$10=CH66,CH66,0)</f>
        <v>0</v>
      </c>
      <c r="CJ67" s="477">
        <v>25</v>
      </c>
      <c r="CK67" s="2">
        <f t="shared" si="36"/>
        <v>0</v>
      </c>
      <c r="CL67" s="472" t="str">
        <f t="shared" si="37"/>
        <v/>
      </c>
      <c r="CM67" s="487">
        <v>85</v>
      </c>
      <c r="CN67" s="472" t="str">
        <f t="shared" si="38"/>
        <v/>
      </c>
      <c r="CO67" s="491">
        <v>195</v>
      </c>
      <c r="CP67" s="472" t="str">
        <f t="shared" si="39"/>
        <v/>
      </c>
      <c r="CQ67" s="491">
        <v>331</v>
      </c>
      <c r="CR67" s="472" t="str">
        <f t="shared" si="40"/>
        <v/>
      </c>
      <c r="CS67" s="491">
        <v>520</v>
      </c>
      <c r="CT67" s="472" t="str">
        <f t="shared" si="41"/>
        <v/>
      </c>
      <c r="CU67" s="491">
        <v>740</v>
      </c>
      <c r="CV67" s="472" t="str">
        <f t="shared" si="42"/>
        <v/>
      </c>
      <c r="CW67" s="491">
        <v>1375</v>
      </c>
      <c r="CX67" s="472" t="str">
        <f t="shared" si="43"/>
        <v/>
      </c>
      <c r="CY67" s="491">
        <v>2080</v>
      </c>
      <c r="CZ67" s="472" t="str">
        <f t="shared" si="44"/>
        <v/>
      </c>
      <c r="DA67" s="491">
        <v>3120</v>
      </c>
      <c r="DB67" s="472" t="str">
        <f t="shared" si="45"/>
        <v/>
      </c>
      <c r="DC67" s="491">
        <v>5200</v>
      </c>
      <c r="DD67" s="472" t="str">
        <f t="shared" si="46"/>
        <v/>
      </c>
      <c r="DE67" s="491">
        <v>8500</v>
      </c>
      <c r="DF67" s="472" t="str">
        <f t="shared" si="47"/>
        <v/>
      </c>
      <c r="DG67" s="491">
        <v>12560</v>
      </c>
      <c r="DH67" s="472" t="str">
        <f t="shared" si="48"/>
        <v/>
      </c>
      <c r="DI67" s="491">
        <v>21720</v>
      </c>
      <c r="DJ67" s="472" t="str">
        <f t="shared" si="49"/>
        <v/>
      </c>
      <c r="DK67" s="491">
        <v>34139</v>
      </c>
      <c r="DL67" s="472" t="str">
        <f t="shared" si="50"/>
        <v/>
      </c>
      <c r="DM67" s="495">
        <v>47128</v>
      </c>
      <c r="DN67" s="7" t="str">
        <f t="shared" si="51"/>
        <v/>
      </c>
      <c r="DO67" s="7" t="str">
        <f t="shared" si="52"/>
        <v/>
      </c>
      <c r="DP67" s="7" t="str">
        <f t="shared" si="53"/>
        <v/>
      </c>
      <c r="DQ67" s="7" t="str">
        <f t="shared" si="54"/>
        <v/>
      </c>
      <c r="DR67" s="7" t="str">
        <f t="shared" si="55"/>
        <v/>
      </c>
      <c r="DS67" s="7" t="str">
        <f t="shared" si="56"/>
        <v/>
      </c>
      <c r="DT67" s="7" t="str">
        <f t="shared" si="57"/>
        <v/>
      </c>
      <c r="DU67" s="7" t="str">
        <f t="shared" si="58"/>
        <v/>
      </c>
      <c r="DV67" s="7" t="str">
        <f t="shared" si="59"/>
        <v/>
      </c>
      <c r="DW67" s="7" t="str">
        <f t="shared" si="60"/>
        <v/>
      </c>
      <c r="DX67" s="7" t="str">
        <f t="shared" si="61"/>
        <v/>
      </c>
      <c r="DY67" s="7" t="str">
        <f t="shared" si="62"/>
        <v/>
      </c>
      <c r="DZ67" s="7" t="str">
        <f t="shared" si="63"/>
        <v/>
      </c>
      <c r="EA67" s="7" t="str">
        <f t="shared" si="64"/>
        <v/>
      </c>
      <c r="ED67" s="2">
        <v>25</v>
      </c>
      <c r="EE67" s="2">
        <v>104.89</v>
      </c>
      <c r="EH67" s="273"/>
      <c r="EJ67" s="273"/>
    </row>
    <row r="68" spans="4:140" ht="12.75" customHeight="1" thickBot="1">
      <c r="D68" s="389"/>
      <c r="E68" s="389"/>
      <c r="F68" s="389"/>
      <c r="G68" s="389"/>
      <c r="H68" s="388"/>
      <c r="I68" s="389"/>
      <c r="J68" s="389"/>
      <c r="K68" s="389"/>
      <c r="L68" s="389"/>
      <c r="M68" s="389"/>
      <c r="N68" s="389"/>
      <c r="O68" s="407"/>
      <c r="P68" s="389"/>
      <c r="Q68" s="407"/>
      <c r="R68" s="389"/>
      <c r="S68" s="389"/>
      <c r="T68" s="389"/>
      <c r="U68" s="389"/>
      <c r="V68" s="389"/>
      <c r="W68" s="389"/>
      <c r="X68" s="389"/>
      <c r="Y68" s="389"/>
      <c r="Z68" s="389"/>
      <c r="AA68" s="389"/>
      <c r="AB68" s="389"/>
      <c r="AC68" s="388"/>
      <c r="AD68" s="388"/>
      <c r="AE68" s="388"/>
      <c r="AF68" s="388"/>
      <c r="AG68" s="388"/>
      <c r="AH68" s="388"/>
      <c r="AI68" s="388"/>
      <c r="AJ68" s="388"/>
      <c r="AK68" s="388"/>
      <c r="AL68" s="388"/>
      <c r="AM68" s="388"/>
      <c r="AN68" s="388"/>
      <c r="AO68" s="388"/>
      <c r="AP68" s="388"/>
      <c r="AQ68" s="388"/>
      <c r="AR68" s="388"/>
      <c r="AS68" s="388"/>
      <c r="AT68" s="388"/>
      <c r="AU68" s="388"/>
      <c r="AV68" s="388"/>
      <c r="AW68" s="388"/>
      <c r="AX68" s="388"/>
      <c r="AY68" s="388"/>
      <c r="AZ68" s="388"/>
      <c r="BA68" s="388"/>
      <c r="BB68" s="388"/>
      <c r="BC68" s="388"/>
      <c r="BD68" s="388"/>
      <c r="BE68" s="388"/>
      <c r="BF68" s="388"/>
      <c r="BG68" s="388"/>
      <c r="BH68" s="388"/>
      <c r="BI68" s="388"/>
      <c r="BJ68" s="388"/>
      <c r="BK68" s="388"/>
      <c r="BL68" s="388"/>
      <c r="BM68" s="388"/>
      <c r="BN68" s="388"/>
      <c r="BO68" s="388"/>
      <c r="CH68" s="1923">
        <v>14</v>
      </c>
      <c r="CI68" s="476">
        <f>IF($BR$10=CH66,CH66,0)</f>
        <v>0</v>
      </c>
      <c r="CJ68" s="480">
        <v>40</v>
      </c>
      <c r="CK68" s="474">
        <f t="shared" si="36"/>
        <v>0</v>
      </c>
      <c r="CL68" s="475" t="str">
        <f t="shared" si="37"/>
        <v/>
      </c>
      <c r="CM68" s="490">
        <v>126</v>
      </c>
      <c r="CN68" s="475" t="str">
        <f t="shared" si="38"/>
        <v/>
      </c>
      <c r="CO68" s="494">
        <v>305</v>
      </c>
      <c r="CP68" s="475" t="str">
        <f t="shared" si="39"/>
        <v/>
      </c>
      <c r="CQ68" s="494">
        <v>555</v>
      </c>
      <c r="CR68" s="475" t="str">
        <f t="shared" si="40"/>
        <v/>
      </c>
      <c r="CS68" s="494">
        <v>825</v>
      </c>
      <c r="CT68" s="475" t="str">
        <f t="shared" si="41"/>
        <v/>
      </c>
      <c r="CU68" s="494">
        <v>1210</v>
      </c>
      <c r="CV68" s="475" t="str">
        <f t="shared" si="42"/>
        <v/>
      </c>
      <c r="CW68" s="494">
        <v>2195</v>
      </c>
      <c r="CX68" s="475" t="str">
        <f t="shared" si="43"/>
        <v/>
      </c>
      <c r="CY68" s="494">
        <v>3425</v>
      </c>
      <c r="CZ68" s="475" t="str">
        <f t="shared" si="44"/>
        <v/>
      </c>
      <c r="DA68" s="494">
        <v>4735</v>
      </c>
      <c r="DB68" s="475" t="str">
        <f t="shared" si="45"/>
        <v/>
      </c>
      <c r="DC68" s="494">
        <v>8510</v>
      </c>
      <c r="DD68" s="475" t="str">
        <f t="shared" si="46"/>
        <v/>
      </c>
      <c r="DE68" s="494">
        <v>13050</v>
      </c>
      <c r="DF68" s="475" t="str">
        <f t="shared" si="47"/>
        <v/>
      </c>
      <c r="DG68" s="494">
        <v>18630</v>
      </c>
      <c r="DH68" s="475" t="str">
        <f t="shared" si="48"/>
        <v/>
      </c>
      <c r="DI68" s="494">
        <v>35548</v>
      </c>
      <c r="DJ68" s="475" t="str">
        <f t="shared" si="49"/>
        <v/>
      </c>
      <c r="DK68" s="494">
        <v>54883</v>
      </c>
      <c r="DL68" s="475" t="str">
        <f t="shared" si="50"/>
        <v/>
      </c>
      <c r="DM68" s="498">
        <v>76534</v>
      </c>
      <c r="DN68" s="7" t="str">
        <f t="shared" si="51"/>
        <v/>
      </c>
      <c r="DO68" s="7" t="str">
        <f t="shared" si="52"/>
        <v/>
      </c>
      <c r="DP68" s="7" t="str">
        <f t="shared" si="53"/>
        <v/>
      </c>
      <c r="DQ68" s="7" t="str">
        <f t="shared" si="54"/>
        <v/>
      </c>
      <c r="DR68" s="7" t="str">
        <f t="shared" si="55"/>
        <v/>
      </c>
      <c r="DS68" s="7" t="str">
        <f t="shared" si="56"/>
        <v/>
      </c>
      <c r="DT68" s="7" t="str">
        <f t="shared" si="57"/>
        <v/>
      </c>
      <c r="DU68" s="7" t="str">
        <f t="shared" si="58"/>
        <v/>
      </c>
      <c r="DV68" s="7" t="str">
        <f t="shared" si="59"/>
        <v/>
      </c>
      <c r="DW68" s="7" t="str">
        <f t="shared" si="60"/>
        <v/>
      </c>
      <c r="DX68" s="7" t="str">
        <f t="shared" si="61"/>
        <v/>
      </c>
      <c r="DY68" s="7" t="str">
        <f t="shared" si="62"/>
        <v/>
      </c>
      <c r="DZ68" s="7" t="str">
        <f t="shared" si="63"/>
        <v/>
      </c>
      <c r="EA68" s="7" t="str">
        <f t="shared" si="64"/>
        <v/>
      </c>
      <c r="ED68" s="2">
        <v>30</v>
      </c>
      <c r="EE68" s="2">
        <v>125.79</v>
      </c>
      <c r="EH68" s="273"/>
      <c r="EJ68" s="273"/>
    </row>
    <row r="69" spans="4:140" ht="12.75" customHeight="1" thickTop="1">
      <c r="D69" s="389"/>
      <c r="E69" s="389"/>
      <c r="F69" s="389"/>
      <c r="G69" s="389"/>
      <c r="H69" s="388"/>
      <c r="I69" s="389"/>
      <c r="J69" s="389"/>
      <c r="K69" s="389"/>
      <c r="L69" s="389"/>
      <c r="M69" s="389"/>
      <c r="N69" s="389"/>
      <c r="O69" s="407"/>
      <c r="P69" s="389"/>
      <c r="Q69" s="407"/>
      <c r="R69" s="389"/>
      <c r="S69" s="389"/>
      <c r="T69" s="389"/>
      <c r="U69" s="389"/>
      <c r="V69" s="389"/>
      <c r="W69" s="389"/>
      <c r="X69" s="389"/>
      <c r="Y69" s="389"/>
      <c r="Z69" s="389"/>
      <c r="AA69" s="389"/>
      <c r="AB69" s="389"/>
      <c r="AC69" s="388"/>
      <c r="AD69" s="388"/>
      <c r="AE69" s="388"/>
      <c r="AF69" s="388"/>
      <c r="AG69" s="388"/>
      <c r="AH69" s="388"/>
      <c r="AI69" s="388"/>
      <c r="AJ69" s="388"/>
      <c r="AK69" s="388"/>
      <c r="AL69" s="388"/>
      <c r="AM69" s="388"/>
      <c r="AN69" s="388"/>
      <c r="AO69" s="388"/>
      <c r="AP69" s="388"/>
      <c r="AQ69" s="388"/>
      <c r="AR69" s="388"/>
      <c r="AS69" s="388"/>
      <c r="AT69" s="388"/>
      <c r="AU69" s="388"/>
      <c r="AV69" s="388"/>
      <c r="AW69" s="388"/>
      <c r="AX69" s="388"/>
      <c r="AY69" s="388"/>
      <c r="AZ69" s="388"/>
      <c r="BA69" s="388"/>
      <c r="BB69" s="388"/>
      <c r="BC69" s="388"/>
      <c r="BD69" s="388"/>
      <c r="BE69" s="388"/>
      <c r="BF69" s="388"/>
      <c r="BG69" s="388"/>
      <c r="BH69" s="388"/>
      <c r="BI69" s="388"/>
      <c r="BJ69" s="388"/>
      <c r="BK69" s="388"/>
      <c r="BL69" s="388"/>
      <c r="BM69" s="388"/>
      <c r="BN69" s="388"/>
      <c r="BO69" s="388"/>
      <c r="CH69" s="11"/>
      <c r="ED69" s="2">
        <v>35</v>
      </c>
      <c r="EE69" s="2">
        <v>146.68</v>
      </c>
      <c r="EH69" s="273"/>
      <c r="EJ69" s="273"/>
    </row>
    <row r="70" spans="4:140" ht="12.75" customHeight="1">
      <c r="D70" s="389"/>
      <c r="E70" s="389"/>
      <c r="F70" s="389"/>
      <c r="G70" s="389"/>
      <c r="H70" s="388"/>
      <c r="I70" s="389"/>
      <c r="J70" s="389"/>
      <c r="K70" s="389"/>
      <c r="L70" s="389"/>
      <c r="M70" s="389"/>
      <c r="N70" s="389"/>
      <c r="O70" s="407"/>
      <c r="P70" s="389"/>
      <c r="Q70" s="407"/>
      <c r="R70" s="389"/>
      <c r="S70" s="389"/>
      <c r="T70" s="389"/>
      <c r="U70" s="389"/>
      <c r="V70" s="389"/>
      <c r="W70" s="389"/>
      <c r="X70" s="389"/>
      <c r="Y70" s="389"/>
      <c r="Z70" s="389"/>
      <c r="AA70" s="389"/>
      <c r="AB70" s="389"/>
      <c r="AC70" s="388"/>
      <c r="AD70" s="388"/>
      <c r="AE70" s="388"/>
      <c r="AF70" s="388"/>
      <c r="AG70" s="388"/>
      <c r="AH70" s="388"/>
      <c r="AI70" s="388"/>
      <c r="AJ70" s="388"/>
      <c r="AK70" s="388"/>
      <c r="AL70" s="388"/>
      <c r="AM70" s="388"/>
      <c r="AN70" s="388"/>
      <c r="AO70" s="388"/>
      <c r="AP70" s="388"/>
      <c r="AQ70" s="388"/>
      <c r="AR70" s="388"/>
      <c r="AS70" s="388"/>
      <c r="AT70" s="388"/>
      <c r="AU70" s="388"/>
      <c r="AV70" s="388"/>
      <c r="AW70" s="388"/>
      <c r="AX70" s="388"/>
      <c r="AY70" s="388"/>
      <c r="AZ70" s="388"/>
      <c r="BA70" s="388"/>
      <c r="BB70" s="388"/>
      <c r="BC70" s="388"/>
      <c r="BD70" s="388"/>
      <c r="BE70" s="388"/>
      <c r="BF70" s="388"/>
      <c r="BG70" s="388"/>
      <c r="BH70" s="388"/>
      <c r="BI70" s="388"/>
      <c r="BJ70" s="388"/>
      <c r="BK70" s="388"/>
      <c r="BL70" s="388"/>
      <c r="BM70" s="388"/>
      <c r="BN70" s="388"/>
      <c r="BO70" s="388"/>
      <c r="CI70" s="2">
        <v>0.4</v>
      </c>
      <c r="CK70" s="2">
        <v>15</v>
      </c>
      <c r="ED70" s="2">
        <v>40</v>
      </c>
      <c r="EE70" s="2">
        <v>167.57</v>
      </c>
      <c r="EH70" s="273"/>
      <c r="EJ70" s="273"/>
    </row>
    <row r="71" spans="4:140" ht="12.75" customHeight="1">
      <c r="D71" s="389"/>
      <c r="E71" s="389"/>
      <c r="F71" s="389"/>
      <c r="G71" s="389"/>
      <c r="H71" s="388"/>
      <c r="I71" s="389"/>
      <c r="J71" s="389"/>
      <c r="K71" s="389"/>
      <c r="L71" s="389"/>
      <c r="M71" s="389"/>
      <c r="N71" s="389"/>
      <c r="O71" s="407"/>
      <c r="P71" s="389"/>
      <c r="Q71" s="407"/>
      <c r="R71" s="389"/>
      <c r="S71" s="389"/>
      <c r="T71" s="389"/>
      <c r="U71" s="389"/>
      <c r="V71" s="389"/>
      <c r="W71" s="389"/>
      <c r="X71" s="389"/>
      <c r="Y71" s="389"/>
      <c r="Z71" s="389"/>
      <c r="AA71" s="389"/>
      <c r="AB71" s="389"/>
      <c r="AC71" s="388"/>
      <c r="AD71" s="388"/>
      <c r="AE71" s="388"/>
      <c r="AF71" s="388"/>
      <c r="AG71" s="388"/>
      <c r="AH71" s="388"/>
      <c r="AI71" s="388"/>
      <c r="AJ71" s="388"/>
      <c r="AK71" s="388"/>
      <c r="AL71" s="388"/>
      <c r="AM71" s="388"/>
      <c r="AN71" s="388"/>
      <c r="AO71" s="388"/>
      <c r="AP71" s="388"/>
      <c r="AQ71" s="388"/>
      <c r="AR71" s="388"/>
      <c r="AS71" s="388"/>
      <c r="AT71" s="388"/>
      <c r="AU71" s="388"/>
      <c r="AV71" s="388"/>
      <c r="AW71" s="388"/>
      <c r="AX71" s="388"/>
      <c r="AY71" s="388"/>
      <c r="AZ71" s="388"/>
      <c r="BA71" s="388"/>
      <c r="BB71" s="388"/>
      <c r="BC71" s="388"/>
      <c r="BD71" s="388"/>
      <c r="BE71" s="388"/>
      <c r="BF71" s="388"/>
      <c r="BG71" s="388"/>
      <c r="BH71" s="388"/>
      <c r="BI71" s="388"/>
      <c r="BJ71" s="388"/>
      <c r="BK71" s="388"/>
      <c r="BL71" s="388"/>
      <c r="BM71" s="388"/>
      <c r="BN71" s="388"/>
      <c r="BO71" s="388"/>
      <c r="CI71" s="2">
        <v>0.7</v>
      </c>
      <c r="CK71" s="2">
        <v>25</v>
      </c>
      <c r="ED71" s="2">
        <v>45</v>
      </c>
      <c r="EE71" s="2">
        <v>188.45</v>
      </c>
      <c r="EH71" s="273"/>
      <c r="EJ71" s="273"/>
    </row>
    <row r="72" spans="4:140" ht="12.75" customHeight="1">
      <c r="D72" s="389"/>
      <c r="E72" s="389"/>
      <c r="F72" s="389"/>
      <c r="G72" s="389"/>
      <c r="H72" s="388"/>
      <c r="I72" s="389"/>
      <c r="J72" s="389"/>
      <c r="K72" s="389"/>
      <c r="L72" s="389"/>
      <c r="M72" s="389"/>
      <c r="N72" s="389"/>
      <c r="O72" s="407"/>
      <c r="P72" s="389"/>
      <c r="Q72" s="407"/>
      <c r="R72" s="389"/>
      <c r="S72" s="389"/>
      <c r="T72" s="389"/>
      <c r="U72" s="389"/>
      <c r="V72" s="389"/>
      <c r="W72" s="389"/>
      <c r="X72" s="389"/>
      <c r="Y72" s="389"/>
      <c r="Z72" s="389"/>
      <c r="AA72" s="389"/>
      <c r="AB72" s="389"/>
      <c r="AC72" s="388"/>
      <c r="AD72" s="388"/>
      <c r="AE72" s="388"/>
      <c r="AF72" s="388"/>
      <c r="AG72" s="388"/>
      <c r="AH72" s="388"/>
      <c r="AI72" s="388"/>
      <c r="AJ72" s="388"/>
      <c r="AK72" s="388"/>
      <c r="AL72" s="388"/>
      <c r="AM72" s="388"/>
      <c r="AN72" s="388"/>
      <c r="AO72" s="388"/>
      <c r="AP72" s="388"/>
      <c r="AQ72" s="388"/>
      <c r="AR72" s="388"/>
      <c r="AS72" s="388"/>
      <c r="AT72" s="388"/>
      <c r="AU72" s="388"/>
      <c r="AV72" s="388"/>
      <c r="AW72" s="388"/>
      <c r="AX72" s="388"/>
      <c r="AY72" s="388"/>
      <c r="AZ72" s="388"/>
      <c r="BA72" s="388"/>
      <c r="BB72" s="388"/>
      <c r="BC72" s="388"/>
      <c r="BD72" s="388"/>
      <c r="BE72" s="388"/>
      <c r="BF72" s="388"/>
      <c r="BG72" s="388"/>
      <c r="BH72" s="388"/>
      <c r="BI72" s="388"/>
      <c r="BJ72" s="388"/>
      <c r="BK72" s="388"/>
      <c r="BL72" s="388"/>
      <c r="BM72" s="388"/>
      <c r="BN72" s="388"/>
      <c r="BO72" s="388"/>
      <c r="CI72" s="2">
        <v>1</v>
      </c>
      <c r="CK72" s="2">
        <v>40</v>
      </c>
      <c r="ED72" s="2">
        <v>50</v>
      </c>
      <c r="EE72" s="2">
        <v>209.33</v>
      </c>
      <c r="EH72" s="273"/>
      <c r="EJ72" s="273"/>
    </row>
    <row r="73" spans="4:140" ht="12.75" customHeight="1">
      <c r="D73" s="389"/>
      <c r="E73" s="389"/>
      <c r="F73" s="389"/>
      <c r="G73" s="389"/>
      <c r="H73" s="388"/>
      <c r="I73" s="389"/>
      <c r="J73" s="389"/>
      <c r="K73" s="389"/>
      <c r="L73" s="389"/>
      <c r="M73" s="389"/>
      <c r="N73" s="389"/>
      <c r="O73" s="407"/>
      <c r="P73" s="389"/>
      <c r="Q73" s="407"/>
      <c r="R73" s="389"/>
      <c r="S73" s="389"/>
      <c r="T73" s="389"/>
      <c r="U73" s="389"/>
      <c r="V73" s="389"/>
      <c r="W73" s="389"/>
      <c r="X73" s="389"/>
      <c r="Y73" s="389"/>
      <c r="Z73" s="389"/>
      <c r="AA73" s="389"/>
      <c r="AB73" s="389"/>
      <c r="AC73" s="388"/>
      <c r="AD73" s="388"/>
      <c r="AE73" s="388"/>
      <c r="AF73" s="388"/>
      <c r="AG73" s="388"/>
      <c r="AH73" s="388"/>
      <c r="AI73" s="388"/>
      <c r="AJ73" s="388"/>
      <c r="AK73" s="388"/>
      <c r="AL73" s="388"/>
      <c r="AM73" s="388"/>
      <c r="AN73" s="388"/>
      <c r="AO73" s="388"/>
      <c r="AP73" s="388"/>
      <c r="AQ73" s="388"/>
      <c r="AR73" s="388"/>
      <c r="AS73" s="388"/>
      <c r="AT73" s="388"/>
      <c r="AU73" s="388"/>
      <c r="AV73" s="388"/>
      <c r="AW73" s="388"/>
      <c r="AX73" s="388"/>
      <c r="AY73" s="388"/>
      <c r="AZ73" s="388"/>
      <c r="BA73" s="388"/>
      <c r="BB73" s="388"/>
      <c r="BC73" s="388"/>
      <c r="BD73" s="388"/>
      <c r="BE73" s="388"/>
      <c r="BF73" s="388"/>
      <c r="BG73" s="388"/>
      <c r="BH73" s="388"/>
      <c r="BI73" s="388"/>
      <c r="BJ73" s="388"/>
      <c r="BK73" s="388"/>
      <c r="BL73" s="388"/>
      <c r="BM73" s="388"/>
      <c r="BN73" s="388"/>
      <c r="BO73" s="388"/>
      <c r="CI73" s="2">
        <v>2</v>
      </c>
      <c r="ED73" s="2">
        <v>55</v>
      </c>
      <c r="EE73" s="2">
        <v>230.23</v>
      </c>
      <c r="EH73" s="273"/>
      <c r="EJ73" s="273"/>
    </row>
    <row r="74" spans="4:140" ht="12.75" customHeight="1">
      <c r="D74" s="389"/>
      <c r="E74" s="389"/>
      <c r="F74" s="389"/>
      <c r="G74" s="389"/>
      <c r="H74" s="388"/>
      <c r="I74" s="389"/>
      <c r="J74" s="389"/>
      <c r="K74" s="389"/>
      <c r="L74" s="389"/>
      <c r="M74" s="389"/>
      <c r="N74" s="389"/>
      <c r="O74" s="407"/>
      <c r="P74" s="389"/>
      <c r="Q74" s="407"/>
      <c r="R74" s="389"/>
      <c r="S74" s="389"/>
      <c r="T74" s="389"/>
      <c r="U74" s="389"/>
      <c r="V74" s="389"/>
      <c r="W74" s="389"/>
      <c r="X74" s="389"/>
      <c r="Y74" s="389"/>
      <c r="Z74" s="389"/>
      <c r="AA74" s="389"/>
      <c r="AB74" s="389"/>
      <c r="AC74" s="388"/>
      <c r="AD74" s="388"/>
      <c r="AE74" s="388"/>
      <c r="AF74" s="388"/>
      <c r="AG74" s="388"/>
      <c r="AH74" s="388"/>
      <c r="AI74" s="388"/>
      <c r="AJ74" s="388"/>
      <c r="AK74" s="388"/>
      <c r="AL74" s="388"/>
      <c r="AM74" s="388"/>
      <c r="AN74" s="388"/>
      <c r="AO74" s="388"/>
      <c r="AP74" s="388"/>
      <c r="AQ74" s="388"/>
      <c r="AR74" s="388"/>
      <c r="AS74" s="388"/>
      <c r="AT74" s="388"/>
      <c r="AU74" s="388"/>
      <c r="AV74" s="388"/>
      <c r="AW74" s="388"/>
      <c r="AX74" s="388"/>
      <c r="AY74" s="388"/>
      <c r="AZ74" s="388"/>
      <c r="BA74" s="388"/>
      <c r="BB74" s="388"/>
      <c r="BC74" s="388"/>
      <c r="BD74" s="388"/>
      <c r="BE74" s="388"/>
      <c r="BF74" s="388"/>
      <c r="BG74" s="388"/>
      <c r="BH74" s="388"/>
      <c r="BI74" s="388"/>
      <c r="BJ74" s="388"/>
      <c r="BK74" s="388"/>
      <c r="BL74" s="388"/>
      <c r="BM74" s="388"/>
      <c r="BN74" s="388"/>
      <c r="BO74" s="388"/>
      <c r="CI74" s="2">
        <v>3</v>
      </c>
      <c r="DI74" s="12"/>
      <c r="DJ74" s="12"/>
      <c r="DK74" s="12"/>
      <c r="DL74" s="12"/>
      <c r="DM74" s="12"/>
      <c r="ED74" s="2">
        <v>60</v>
      </c>
      <c r="EE74" s="2">
        <v>251.13</v>
      </c>
      <c r="EH74" s="273"/>
      <c r="EJ74" s="273"/>
    </row>
    <row r="75" spans="4:140" ht="12.75" customHeight="1">
      <c r="D75" s="389"/>
      <c r="E75" s="389"/>
      <c r="F75" s="389"/>
      <c r="G75" s="389"/>
      <c r="H75" s="388"/>
      <c r="I75" s="389"/>
      <c r="J75" s="389"/>
      <c r="K75" s="389"/>
      <c r="L75" s="389"/>
      <c r="M75" s="389"/>
      <c r="N75" s="389"/>
      <c r="O75" s="407"/>
      <c r="P75" s="389"/>
      <c r="Q75" s="407"/>
      <c r="R75" s="389"/>
      <c r="S75" s="389"/>
      <c r="T75" s="389"/>
      <c r="U75" s="389"/>
      <c r="V75" s="389"/>
      <c r="W75" s="389"/>
      <c r="X75" s="389"/>
      <c r="Y75" s="389"/>
      <c r="Z75" s="389"/>
      <c r="AA75" s="389"/>
      <c r="AB75" s="389"/>
      <c r="AC75" s="388"/>
      <c r="AD75" s="388"/>
      <c r="AE75" s="388"/>
      <c r="AF75" s="388"/>
      <c r="AG75" s="388"/>
      <c r="AH75" s="388"/>
      <c r="AI75" s="388"/>
      <c r="AJ75" s="388"/>
      <c r="AK75" s="388"/>
      <c r="AL75" s="388"/>
      <c r="AM75" s="388"/>
      <c r="AN75" s="388"/>
      <c r="AO75" s="388"/>
      <c r="AP75" s="388"/>
      <c r="AQ75" s="388"/>
      <c r="AR75" s="388"/>
      <c r="AS75" s="388"/>
      <c r="AT75" s="388"/>
      <c r="AU75" s="388"/>
      <c r="AV75" s="388"/>
      <c r="AW75" s="388"/>
      <c r="AX75" s="388"/>
      <c r="AY75" s="388"/>
      <c r="AZ75" s="388"/>
      <c r="BA75" s="388"/>
      <c r="BB75" s="388"/>
      <c r="BC75" s="388"/>
      <c r="BD75" s="388"/>
      <c r="BE75" s="388"/>
      <c r="BF75" s="388"/>
      <c r="BG75" s="388"/>
      <c r="BH75" s="388"/>
      <c r="BI75" s="388"/>
      <c r="BJ75" s="388"/>
      <c r="BK75" s="388"/>
      <c r="BL75" s="388"/>
      <c r="BM75" s="388"/>
      <c r="BN75" s="388"/>
      <c r="BO75" s="388"/>
      <c r="CI75" s="2">
        <v>4</v>
      </c>
      <c r="DI75" s="12"/>
      <c r="DJ75" s="12"/>
      <c r="DK75" s="12"/>
      <c r="DL75" s="12"/>
      <c r="DM75" s="12"/>
      <c r="ED75" s="2">
        <v>65</v>
      </c>
      <c r="EE75" s="2">
        <v>272.06</v>
      </c>
      <c r="EH75" s="273"/>
      <c r="EJ75" s="273"/>
    </row>
    <row r="76" spans="4:140" ht="12.75" customHeight="1">
      <c r="D76" s="389"/>
      <c r="E76" s="389"/>
      <c r="F76" s="389"/>
      <c r="G76" s="389"/>
      <c r="H76" s="388"/>
      <c r="I76" s="389"/>
      <c r="J76" s="389"/>
      <c r="K76" s="389"/>
      <c r="L76" s="389"/>
      <c r="M76" s="389"/>
      <c r="N76" s="389"/>
      <c r="O76" s="407"/>
      <c r="P76" s="389"/>
      <c r="Q76" s="407"/>
      <c r="R76" s="389"/>
      <c r="S76" s="389"/>
      <c r="T76" s="389"/>
      <c r="U76" s="389"/>
      <c r="V76" s="389"/>
      <c r="W76" s="389"/>
      <c r="X76" s="389"/>
      <c r="Y76" s="389"/>
      <c r="Z76" s="389"/>
      <c r="AA76" s="389"/>
      <c r="AB76" s="389"/>
      <c r="AC76" s="388"/>
      <c r="AD76" s="388"/>
      <c r="AE76" s="388"/>
      <c r="AF76" s="388"/>
      <c r="AG76" s="388"/>
      <c r="AH76" s="388"/>
      <c r="AI76" s="388"/>
      <c r="AJ76" s="388"/>
      <c r="AK76" s="388"/>
      <c r="AL76" s="388"/>
      <c r="AM76" s="388"/>
      <c r="AN76" s="388"/>
      <c r="AO76" s="388"/>
      <c r="AP76" s="388"/>
      <c r="AQ76" s="388"/>
      <c r="AR76" s="388"/>
      <c r="AS76" s="388"/>
      <c r="AT76" s="388"/>
      <c r="AU76" s="388"/>
      <c r="AV76" s="388"/>
      <c r="AW76" s="388"/>
      <c r="AX76" s="388"/>
      <c r="AY76" s="388"/>
      <c r="AZ76" s="388"/>
      <c r="BA76" s="388"/>
      <c r="BB76" s="388"/>
      <c r="BC76" s="388"/>
      <c r="BD76" s="388"/>
      <c r="BE76" s="388"/>
      <c r="BF76" s="388"/>
      <c r="BG76" s="388"/>
      <c r="BH76" s="388"/>
      <c r="BI76" s="388"/>
      <c r="BJ76" s="388"/>
      <c r="BK76" s="388"/>
      <c r="BL76" s="388"/>
      <c r="BM76" s="388"/>
      <c r="BN76" s="388"/>
      <c r="BO76" s="388"/>
      <c r="CI76" s="2">
        <v>5</v>
      </c>
      <c r="DI76" s="12"/>
      <c r="DJ76" s="12"/>
      <c r="DK76" s="12"/>
      <c r="DL76" s="12"/>
      <c r="DM76" s="12"/>
      <c r="ED76" s="2">
        <v>70</v>
      </c>
      <c r="EE76" s="2">
        <v>292.98</v>
      </c>
      <c r="EH76" s="273"/>
      <c r="EJ76" s="273"/>
    </row>
    <row r="77" spans="4:140" ht="12.75" customHeight="1">
      <c r="D77" s="389"/>
      <c r="E77" s="389"/>
      <c r="F77" s="389"/>
      <c r="G77" s="389"/>
      <c r="H77" s="388"/>
      <c r="I77" s="389"/>
      <c r="J77" s="389"/>
      <c r="K77" s="389"/>
      <c r="L77" s="389"/>
      <c r="M77" s="389"/>
      <c r="N77" s="389"/>
      <c r="O77" s="407"/>
      <c r="P77" s="389"/>
      <c r="Q77" s="407"/>
      <c r="R77" s="389"/>
      <c r="S77" s="389"/>
      <c r="T77" s="389"/>
      <c r="U77" s="389"/>
      <c r="V77" s="389"/>
      <c r="W77" s="389"/>
      <c r="X77" s="389"/>
      <c r="Y77" s="389"/>
      <c r="Z77" s="389"/>
      <c r="AA77" s="389"/>
      <c r="AB77" s="389"/>
      <c r="AC77" s="388"/>
      <c r="AD77" s="388"/>
      <c r="AE77" s="388"/>
      <c r="AF77" s="388"/>
      <c r="AG77" s="388"/>
      <c r="AH77" s="388"/>
      <c r="AI77" s="388"/>
      <c r="AJ77" s="388"/>
      <c r="AK77" s="388"/>
      <c r="AL77" s="388"/>
      <c r="AM77" s="388"/>
      <c r="AN77" s="388"/>
      <c r="AO77" s="388"/>
      <c r="AP77" s="388"/>
      <c r="AQ77" s="388"/>
      <c r="AR77" s="388"/>
      <c r="AS77" s="388"/>
      <c r="AT77" s="388"/>
      <c r="AU77" s="388"/>
      <c r="AV77" s="388"/>
      <c r="AW77" s="388"/>
      <c r="AX77" s="388"/>
      <c r="AY77" s="388"/>
      <c r="AZ77" s="388"/>
      <c r="BA77" s="388"/>
      <c r="BB77" s="388"/>
      <c r="BC77" s="388"/>
      <c r="BD77" s="388"/>
      <c r="BE77" s="388"/>
      <c r="BF77" s="388"/>
      <c r="BG77" s="388"/>
      <c r="BH77" s="388"/>
      <c r="BI77" s="388"/>
      <c r="BJ77" s="388"/>
      <c r="BK77" s="388"/>
      <c r="BL77" s="388"/>
      <c r="BM77" s="388"/>
      <c r="BN77" s="388"/>
      <c r="BO77" s="388"/>
      <c r="CI77" s="2">
        <v>6</v>
      </c>
      <c r="DI77" s="12"/>
      <c r="DJ77" s="12"/>
      <c r="DK77" s="12"/>
      <c r="DL77" s="12"/>
      <c r="ED77" s="2">
        <v>75</v>
      </c>
      <c r="EE77" s="2">
        <v>313.93</v>
      </c>
      <c r="EH77" s="273"/>
      <c r="EJ77" s="273"/>
    </row>
    <row r="78" spans="4:140" ht="12.75" customHeight="1">
      <c r="D78" s="389"/>
      <c r="E78" s="389"/>
      <c r="F78" s="389"/>
      <c r="G78" s="389"/>
      <c r="H78" s="388"/>
      <c r="I78" s="389"/>
      <c r="J78" s="389"/>
      <c r="K78" s="389"/>
      <c r="L78" s="389"/>
      <c r="M78" s="389"/>
      <c r="N78" s="389"/>
      <c r="O78" s="407"/>
      <c r="P78" s="389"/>
      <c r="Q78" s="407"/>
      <c r="R78" s="389"/>
      <c r="S78" s="389"/>
      <c r="T78" s="389"/>
      <c r="U78" s="389"/>
      <c r="V78" s="389"/>
      <c r="W78" s="389"/>
      <c r="X78" s="389"/>
      <c r="Y78" s="389"/>
      <c r="Z78" s="389"/>
      <c r="AA78" s="389"/>
      <c r="AB78" s="389"/>
      <c r="AC78" s="388"/>
      <c r="AD78" s="388"/>
      <c r="AE78" s="388"/>
      <c r="AF78" s="388"/>
      <c r="AG78" s="388"/>
      <c r="AH78" s="388"/>
      <c r="AI78" s="388"/>
      <c r="AJ78" s="388"/>
      <c r="AK78" s="388"/>
      <c r="AL78" s="388"/>
      <c r="AM78" s="388"/>
      <c r="AN78" s="388"/>
      <c r="AO78" s="388"/>
      <c r="AP78" s="388"/>
      <c r="AQ78" s="388"/>
      <c r="AR78" s="388"/>
      <c r="AS78" s="388"/>
      <c r="AT78" s="388"/>
      <c r="AU78" s="388"/>
      <c r="AV78" s="388"/>
      <c r="AW78" s="388"/>
      <c r="AX78" s="388"/>
      <c r="AY78" s="388"/>
      <c r="AZ78" s="388"/>
      <c r="BA78" s="388"/>
      <c r="BB78" s="388"/>
      <c r="BC78" s="388"/>
      <c r="BD78" s="388"/>
      <c r="BE78" s="388"/>
      <c r="BF78" s="388"/>
      <c r="BG78" s="388"/>
      <c r="BH78" s="388"/>
      <c r="BI78" s="388"/>
      <c r="BJ78" s="388"/>
      <c r="BK78" s="388"/>
      <c r="BL78" s="388"/>
      <c r="BM78" s="388"/>
      <c r="BN78" s="388"/>
      <c r="BO78" s="388"/>
      <c r="CI78" s="2">
        <v>7</v>
      </c>
      <c r="DI78" s="12"/>
      <c r="DJ78" s="12"/>
      <c r="DK78" s="12"/>
      <c r="DL78" s="12"/>
      <c r="DM78" s="12"/>
      <c r="ED78" s="2">
        <v>80</v>
      </c>
      <c r="EE78" s="2">
        <v>334.91</v>
      </c>
      <c r="EH78" s="273"/>
      <c r="EJ78" s="273"/>
    </row>
    <row r="79" spans="4:140" ht="12.75" customHeight="1">
      <c r="D79" s="389"/>
      <c r="E79" s="389"/>
      <c r="F79" s="389"/>
      <c r="G79" s="389"/>
      <c r="H79" s="388"/>
      <c r="I79" s="389"/>
      <c r="J79" s="389"/>
      <c r="K79" s="389"/>
      <c r="L79" s="389"/>
      <c r="M79" s="389"/>
      <c r="N79" s="389"/>
      <c r="O79" s="407"/>
      <c r="P79" s="389"/>
      <c r="Q79" s="407"/>
      <c r="R79" s="389"/>
      <c r="S79" s="389"/>
      <c r="T79" s="389"/>
      <c r="U79" s="389"/>
      <c r="V79" s="389"/>
      <c r="W79" s="389"/>
      <c r="X79" s="389"/>
      <c r="Y79" s="389"/>
      <c r="Z79" s="389"/>
      <c r="AA79" s="389"/>
      <c r="AB79" s="389"/>
      <c r="AC79" s="388"/>
      <c r="AD79" s="388"/>
      <c r="AE79" s="388"/>
      <c r="AF79" s="388"/>
      <c r="AG79" s="388"/>
      <c r="AH79" s="388"/>
      <c r="AI79" s="388"/>
      <c r="AJ79" s="388"/>
      <c r="AK79" s="388"/>
      <c r="AL79" s="388"/>
      <c r="AM79" s="388"/>
      <c r="AN79" s="388"/>
      <c r="AO79" s="388"/>
      <c r="AP79" s="388"/>
      <c r="AQ79" s="388"/>
      <c r="AR79" s="388"/>
      <c r="AS79" s="388"/>
      <c r="AT79" s="388"/>
      <c r="AU79" s="388"/>
      <c r="AV79" s="388"/>
      <c r="AW79" s="388"/>
      <c r="AX79" s="388"/>
      <c r="AY79" s="388"/>
      <c r="AZ79" s="388"/>
      <c r="BA79" s="388"/>
      <c r="BB79" s="388"/>
      <c r="BC79" s="388"/>
      <c r="BD79" s="388"/>
      <c r="BE79" s="388"/>
      <c r="BF79" s="388"/>
      <c r="BG79" s="388"/>
      <c r="BH79" s="388"/>
      <c r="BI79" s="388"/>
      <c r="BJ79" s="388"/>
      <c r="BK79" s="388"/>
      <c r="BL79" s="388"/>
      <c r="BM79" s="388"/>
      <c r="BN79" s="388"/>
      <c r="BO79" s="388"/>
      <c r="CI79" s="2">
        <v>8</v>
      </c>
      <c r="ED79" s="2">
        <v>85</v>
      </c>
      <c r="EE79" s="2">
        <v>355.9</v>
      </c>
      <c r="EH79" s="273"/>
      <c r="EJ79" s="273"/>
    </row>
    <row r="80" spans="4:140" ht="12.75" customHeight="1">
      <c r="D80" s="389"/>
      <c r="E80" s="389"/>
      <c r="F80" s="389"/>
      <c r="G80" s="389"/>
      <c r="H80" s="388"/>
      <c r="I80" s="389"/>
      <c r="J80" s="389"/>
      <c r="K80" s="389"/>
      <c r="L80" s="389"/>
      <c r="M80" s="389"/>
      <c r="N80" s="389"/>
      <c r="O80" s="407"/>
      <c r="P80" s="389"/>
      <c r="Q80" s="407"/>
      <c r="R80" s="389"/>
      <c r="S80" s="389"/>
      <c r="T80" s="389"/>
      <c r="U80" s="389"/>
      <c r="V80" s="389"/>
      <c r="W80" s="389"/>
      <c r="X80" s="389"/>
      <c r="Y80" s="389"/>
      <c r="Z80" s="389"/>
      <c r="AA80" s="389"/>
      <c r="AB80" s="389"/>
      <c r="AC80" s="388"/>
      <c r="AD80" s="388"/>
      <c r="AE80" s="388"/>
      <c r="AF80" s="388"/>
      <c r="AG80" s="388"/>
      <c r="AH80" s="388"/>
      <c r="AI80" s="388"/>
      <c r="AJ80" s="388"/>
      <c r="AK80" s="388"/>
      <c r="AL80" s="388"/>
      <c r="AM80" s="388"/>
      <c r="AN80" s="388"/>
      <c r="AO80" s="388"/>
      <c r="AP80" s="388"/>
      <c r="AQ80" s="388"/>
      <c r="AR80" s="388"/>
      <c r="AS80" s="388"/>
      <c r="AT80" s="388"/>
      <c r="AU80" s="388"/>
      <c r="AV80" s="388"/>
      <c r="AW80" s="388"/>
      <c r="AX80" s="388"/>
      <c r="AY80" s="388"/>
      <c r="AZ80" s="388"/>
      <c r="BA80" s="388"/>
      <c r="BB80" s="388"/>
      <c r="BC80" s="388"/>
      <c r="BD80" s="388"/>
      <c r="BE80" s="388"/>
      <c r="BF80" s="388"/>
      <c r="BG80" s="388"/>
      <c r="BH80" s="388"/>
      <c r="BI80" s="388"/>
      <c r="BJ80" s="388"/>
      <c r="BK80" s="388"/>
      <c r="BL80" s="388"/>
      <c r="BM80" s="388"/>
      <c r="BN80" s="388"/>
      <c r="BO80" s="388"/>
      <c r="CI80" s="2">
        <v>10</v>
      </c>
      <c r="ED80" s="2">
        <v>90</v>
      </c>
      <c r="EE80" s="2">
        <v>376.92</v>
      </c>
      <c r="EH80" s="273"/>
      <c r="EJ80" s="273"/>
    </row>
    <row r="81" spans="4:140" ht="12.75" customHeight="1">
      <c r="D81" s="389"/>
      <c r="E81" s="389"/>
      <c r="F81" s="389"/>
      <c r="G81" s="389"/>
      <c r="H81" s="388"/>
      <c r="I81" s="389"/>
      <c r="J81" s="389"/>
      <c r="K81" s="389"/>
      <c r="L81" s="389"/>
      <c r="M81" s="389"/>
      <c r="N81" s="389"/>
      <c r="O81" s="407"/>
      <c r="P81" s="389"/>
      <c r="Q81" s="407"/>
      <c r="R81" s="389"/>
      <c r="S81" s="389"/>
      <c r="T81" s="389"/>
      <c r="U81" s="389"/>
      <c r="V81" s="389"/>
      <c r="W81" s="389"/>
      <c r="X81" s="389"/>
      <c r="Y81" s="389"/>
      <c r="Z81" s="389"/>
      <c r="AA81" s="389"/>
      <c r="AB81" s="389"/>
      <c r="AC81" s="388"/>
      <c r="AD81" s="388"/>
      <c r="AE81" s="388"/>
      <c r="AF81" s="388"/>
      <c r="AG81" s="388"/>
      <c r="AH81" s="388"/>
      <c r="AI81" s="388"/>
      <c r="AJ81" s="388"/>
      <c r="AK81" s="388"/>
      <c r="AL81" s="388"/>
      <c r="AM81" s="388"/>
      <c r="AN81" s="388"/>
      <c r="AO81" s="388"/>
      <c r="AP81" s="388"/>
      <c r="AQ81" s="388"/>
      <c r="AR81" s="388"/>
      <c r="AS81" s="388"/>
      <c r="AT81" s="388"/>
      <c r="AU81" s="388"/>
      <c r="AV81" s="388"/>
      <c r="AW81" s="388"/>
      <c r="AX81" s="388"/>
      <c r="AY81" s="388"/>
      <c r="AZ81" s="388"/>
      <c r="BA81" s="388"/>
      <c r="BB81" s="388"/>
      <c r="BC81" s="388"/>
      <c r="BD81" s="388"/>
      <c r="BE81" s="388"/>
      <c r="BF81" s="388"/>
      <c r="BG81" s="388"/>
      <c r="BH81" s="388"/>
      <c r="BI81" s="388"/>
      <c r="BJ81" s="388"/>
      <c r="BK81" s="388"/>
      <c r="BL81" s="388"/>
      <c r="BM81" s="388"/>
      <c r="BN81" s="388"/>
      <c r="BO81" s="388"/>
      <c r="CI81" s="2">
        <v>14</v>
      </c>
      <c r="ED81" s="2">
        <v>95</v>
      </c>
      <c r="EE81" s="2">
        <v>397.96</v>
      </c>
      <c r="EH81" s="273"/>
      <c r="EJ81" s="273"/>
    </row>
    <row r="82" spans="4:140" ht="12.75" customHeight="1">
      <c r="D82" s="389"/>
      <c r="E82" s="389"/>
      <c r="F82" s="389"/>
      <c r="G82" s="389"/>
      <c r="H82" s="388"/>
      <c r="I82" s="389"/>
      <c r="J82" s="389"/>
      <c r="K82" s="389"/>
      <c r="L82" s="389"/>
      <c r="M82" s="389"/>
      <c r="N82" s="389"/>
      <c r="O82" s="407"/>
      <c r="P82" s="389"/>
      <c r="Q82" s="407"/>
      <c r="R82" s="389"/>
      <c r="S82" s="389"/>
      <c r="T82" s="389"/>
      <c r="U82" s="389"/>
      <c r="V82" s="389"/>
      <c r="W82" s="389"/>
      <c r="X82" s="389"/>
      <c r="Y82" s="389"/>
      <c r="Z82" s="389"/>
      <c r="AA82" s="389"/>
      <c r="AB82" s="389"/>
      <c r="AC82" s="388"/>
      <c r="AD82" s="388"/>
      <c r="AE82" s="388"/>
      <c r="AF82" s="388"/>
      <c r="AG82" s="388"/>
      <c r="AH82" s="388"/>
      <c r="AI82" s="388"/>
      <c r="AJ82" s="388"/>
      <c r="AK82" s="388"/>
      <c r="AL82" s="388"/>
      <c r="AM82" s="388"/>
      <c r="AN82" s="388"/>
      <c r="AO82" s="388"/>
      <c r="AP82" s="388"/>
      <c r="AQ82" s="388"/>
      <c r="AR82" s="388"/>
      <c r="AS82" s="388"/>
      <c r="AT82" s="388"/>
      <c r="AU82" s="388"/>
      <c r="AV82" s="388"/>
      <c r="AW82" s="388"/>
      <c r="AX82" s="388"/>
      <c r="AY82" s="388"/>
      <c r="AZ82" s="388"/>
      <c r="BA82" s="388"/>
      <c r="BB82" s="388"/>
      <c r="BC82" s="388"/>
      <c r="BD82" s="388"/>
      <c r="BE82" s="388"/>
      <c r="BF82" s="388"/>
      <c r="BG82" s="388"/>
      <c r="BH82" s="388"/>
      <c r="BI82" s="388"/>
      <c r="BJ82" s="388"/>
      <c r="BK82" s="388"/>
      <c r="BL82" s="388"/>
      <c r="BM82" s="388"/>
      <c r="BN82" s="388"/>
      <c r="BO82" s="388"/>
      <c r="ED82" s="2">
        <v>100</v>
      </c>
      <c r="EE82" s="2">
        <v>419.04</v>
      </c>
      <c r="EH82" s="273"/>
      <c r="EJ82" s="273"/>
    </row>
    <row r="83" spans="4:140" ht="12.75" customHeight="1">
      <c r="D83" s="389"/>
      <c r="E83" s="389"/>
      <c r="F83" s="389"/>
      <c r="G83" s="389"/>
      <c r="H83" s="388"/>
      <c r="I83" s="389"/>
      <c r="J83" s="389"/>
      <c r="K83" s="389"/>
      <c r="L83" s="389"/>
      <c r="M83" s="389"/>
      <c r="N83" s="389"/>
      <c r="O83" s="407"/>
      <c r="P83" s="389"/>
      <c r="Q83" s="407"/>
      <c r="R83" s="389"/>
      <c r="S83" s="389"/>
      <c r="T83" s="389"/>
      <c r="U83" s="389"/>
      <c r="V83" s="389"/>
      <c r="W83" s="389"/>
      <c r="X83" s="389"/>
      <c r="Y83" s="389"/>
      <c r="Z83" s="389"/>
      <c r="AA83" s="389"/>
      <c r="AB83" s="389"/>
      <c r="AC83" s="388"/>
      <c r="AD83" s="388"/>
      <c r="AE83" s="388"/>
      <c r="AF83" s="388"/>
      <c r="AG83" s="388"/>
      <c r="AH83" s="388"/>
      <c r="AI83" s="388"/>
      <c r="AJ83" s="388"/>
      <c r="AK83" s="388"/>
      <c r="AL83" s="388"/>
      <c r="AM83" s="388"/>
      <c r="AN83" s="388"/>
      <c r="AO83" s="388"/>
      <c r="AP83" s="388"/>
      <c r="AQ83" s="388"/>
      <c r="AR83" s="388"/>
      <c r="AS83" s="388"/>
      <c r="AT83" s="388"/>
      <c r="AU83" s="388"/>
      <c r="AV83" s="388"/>
      <c r="AW83" s="388"/>
      <c r="AX83" s="388"/>
      <c r="AY83" s="388"/>
      <c r="AZ83" s="388"/>
      <c r="BA83" s="388"/>
      <c r="BB83" s="388"/>
      <c r="BC83" s="388"/>
      <c r="BD83" s="388"/>
      <c r="BE83" s="388"/>
      <c r="BF83" s="388"/>
      <c r="BG83" s="388"/>
      <c r="BH83" s="388"/>
      <c r="BI83" s="388"/>
      <c r="BJ83" s="388"/>
      <c r="BK83" s="388"/>
      <c r="BL83" s="388"/>
      <c r="BM83" s="388"/>
      <c r="BN83" s="388"/>
      <c r="BO83" s="388"/>
      <c r="EH83" s="273"/>
      <c r="EJ83" s="273"/>
    </row>
    <row r="84" spans="4:140" ht="12.75" customHeight="1">
      <c r="D84" s="389"/>
      <c r="E84" s="389"/>
      <c r="F84" s="389"/>
      <c r="G84" s="389"/>
      <c r="H84" s="388"/>
      <c r="I84" s="389"/>
      <c r="J84" s="389"/>
      <c r="K84" s="389"/>
      <c r="L84" s="389"/>
      <c r="M84" s="389"/>
      <c r="N84" s="389"/>
      <c r="O84" s="407"/>
      <c r="P84" s="389"/>
      <c r="Q84" s="407"/>
      <c r="R84" s="389"/>
      <c r="S84" s="389"/>
      <c r="T84" s="389"/>
      <c r="U84" s="389"/>
      <c r="V84" s="389"/>
      <c r="W84" s="389"/>
      <c r="X84" s="389"/>
      <c r="Y84" s="389"/>
      <c r="Z84" s="389"/>
      <c r="AA84" s="389"/>
      <c r="AB84" s="389"/>
      <c r="AC84" s="388"/>
      <c r="AD84" s="388"/>
      <c r="AE84" s="388"/>
      <c r="AF84" s="388"/>
      <c r="AG84" s="388"/>
      <c r="AH84" s="388"/>
      <c r="AI84" s="388"/>
      <c r="AJ84" s="388"/>
      <c r="AK84" s="388"/>
      <c r="AL84" s="388"/>
      <c r="AM84" s="388"/>
      <c r="AN84" s="388"/>
      <c r="AO84" s="388"/>
      <c r="AP84" s="388"/>
      <c r="AQ84" s="388"/>
      <c r="AR84" s="388"/>
      <c r="AS84" s="388"/>
      <c r="AT84" s="388"/>
      <c r="AU84" s="388"/>
      <c r="AV84" s="388"/>
      <c r="AW84" s="388"/>
      <c r="AX84" s="388"/>
      <c r="AY84" s="388"/>
      <c r="AZ84" s="388"/>
      <c r="BA84" s="388"/>
      <c r="BB84" s="388"/>
      <c r="BC84" s="388"/>
      <c r="BD84" s="388"/>
      <c r="BE84" s="388"/>
      <c r="BF84" s="388"/>
      <c r="BG84" s="388"/>
      <c r="BH84" s="388"/>
      <c r="BI84" s="388"/>
      <c r="BJ84" s="388"/>
      <c r="BK84" s="388"/>
      <c r="BL84" s="388"/>
      <c r="BM84" s="388"/>
      <c r="BN84" s="388"/>
      <c r="BO84" s="388"/>
      <c r="CH84" s="1922" t="s">
        <v>1354</v>
      </c>
      <c r="CI84" s="673"/>
      <c r="CJ84" s="1924" t="s">
        <v>1352</v>
      </c>
      <c r="CK84" s="1924"/>
      <c r="CL84" s="1924"/>
      <c r="CM84" s="1924"/>
      <c r="CN84" s="1924"/>
      <c r="CO84" s="1924"/>
      <c r="CP84" s="1924"/>
      <c r="CQ84" s="1924"/>
      <c r="CR84" s="1924"/>
      <c r="CS84" s="1924"/>
      <c r="CT84" s="1924"/>
      <c r="CU84" s="1924"/>
      <c r="CV84" s="1924"/>
      <c r="CW84" s="1924"/>
      <c r="CX84" s="1924"/>
      <c r="CY84" s="1924"/>
      <c r="CZ84" s="1924"/>
      <c r="DA84" s="1924"/>
      <c r="DB84" s="1924"/>
      <c r="DC84" s="1924"/>
      <c r="DD84" s="1924"/>
      <c r="DE84" s="1924"/>
      <c r="DF84" s="1924"/>
      <c r="EH84" s="273"/>
      <c r="EJ84" s="273"/>
    </row>
    <row r="85" spans="4:140" ht="12.75" customHeight="1">
      <c r="D85" s="389"/>
      <c r="E85" s="389"/>
      <c r="F85" s="389"/>
      <c r="G85" s="389"/>
      <c r="H85" s="388"/>
      <c r="I85" s="389"/>
      <c r="J85" s="389"/>
      <c r="K85" s="389"/>
      <c r="L85" s="389"/>
      <c r="M85" s="389"/>
      <c r="N85" s="389"/>
      <c r="O85" s="407"/>
      <c r="P85" s="389"/>
      <c r="Q85" s="407"/>
      <c r="R85" s="389"/>
      <c r="S85" s="389"/>
      <c r="T85" s="389"/>
      <c r="U85" s="389"/>
      <c r="V85" s="389"/>
      <c r="W85" s="389"/>
      <c r="X85" s="389"/>
      <c r="Y85" s="389"/>
      <c r="Z85" s="389"/>
      <c r="AA85" s="389"/>
      <c r="AB85" s="389"/>
      <c r="AC85" s="388"/>
      <c r="AD85" s="388"/>
      <c r="AE85" s="388"/>
      <c r="AF85" s="388"/>
      <c r="AG85" s="388"/>
      <c r="AH85" s="388"/>
      <c r="AI85" s="388"/>
      <c r="AJ85" s="388"/>
      <c r="AK85" s="388"/>
      <c r="AL85" s="388"/>
      <c r="AM85" s="388"/>
      <c r="AN85" s="388"/>
      <c r="AO85" s="388"/>
      <c r="AP85" s="388"/>
      <c r="AQ85" s="388"/>
      <c r="AR85" s="388"/>
      <c r="AS85" s="388"/>
      <c r="AT85" s="388"/>
      <c r="AU85" s="388"/>
      <c r="AV85" s="388"/>
      <c r="AW85" s="388"/>
      <c r="AX85" s="388"/>
      <c r="AY85" s="388"/>
      <c r="AZ85" s="388"/>
      <c r="BA85" s="388"/>
      <c r="BB85" s="388"/>
      <c r="BC85" s="388"/>
      <c r="BD85" s="388"/>
      <c r="BE85" s="388"/>
      <c r="BF85" s="388"/>
      <c r="BG85" s="388"/>
      <c r="BH85" s="388"/>
      <c r="BI85" s="388"/>
      <c r="BJ85" s="388"/>
      <c r="BK85" s="388"/>
      <c r="BL85" s="388"/>
      <c r="BM85" s="388"/>
      <c r="BN85" s="388"/>
      <c r="BO85" s="388"/>
      <c r="CH85" s="1922"/>
      <c r="CI85" s="673"/>
      <c r="CJ85" s="559">
        <v>159</v>
      </c>
      <c r="CK85" s="673"/>
      <c r="CL85" s="559">
        <v>219</v>
      </c>
      <c r="CM85" s="673"/>
      <c r="CN85" s="559">
        <v>273</v>
      </c>
      <c r="CO85" s="673"/>
      <c r="CP85" s="559">
        <v>325</v>
      </c>
      <c r="CQ85" s="673"/>
      <c r="CR85" s="559">
        <v>377</v>
      </c>
      <c r="CS85" s="673"/>
      <c r="CT85" s="559">
        <v>426</v>
      </c>
      <c r="CU85" s="673"/>
      <c r="CV85" s="559">
        <v>500</v>
      </c>
      <c r="CW85" s="673"/>
      <c r="CX85" s="559">
        <v>600</v>
      </c>
      <c r="CY85" s="673"/>
      <c r="CZ85" s="559">
        <v>700</v>
      </c>
      <c r="DA85" s="673"/>
      <c r="DB85" s="559">
        <v>800</v>
      </c>
      <c r="DC85" s="673"/>
      <c r="DD85" s="559">
        <v>900</v>
      </c>
      <c r="DE85" s="673"/>
      <c r="DF85" s="559">
        <v>1000</v>
      </c>
      <c r="EH85" s="273"/>
      <c r="EJ85" s="273"/>
    </row>
    <row r="86" spans="4:140" ht="12.75" customHeight="1">
      <c r="D86" s="389"/>
      <c r="E86" s="389"/>
      <c r="F86" s="389"/>
      <c r="G86" s="389"/>
      <c r="H86" s="388"/>
      <c r="I86" s="389"/>
      <c r="J86" s="389"/>
      <c r="K86" s="389"/>
      <c r="L86" s="389"/>
      <c r="M86" s="389"/>
      <c r="N86" s="389"/>
      <c r="O86" s="407"/>
      <c r="P86" s="389"/>
      <c r="Q86" s="407"/>
      <c r="R86" s="389"/>
      <c r="S86" s="389"/>
      <c r="T86" s="389"/>
      <c r="U86" s="389"/>
      <c r="V86" s="389"/>
      <c r="W86" s="389"/>
      <c r="X86" s="389"/>
      <c r="Y86" s="389"/>
      <c r="Z86" s="389"/>
      <c r="AA86" s="389"/>
      <c r="AB86" s="389"/>
      <c r="AC86" s="388"/>
      <c r="AD86" s="388"/>
      <c r="AE86" s="388"/>
      <c r="AF86" s="388"/>
      <c r="AG86" s="388"/>
      <c r="AH86" s="388"/>
      <c r="AI86" s="388"/>
      <c r="AJ86" s="388"/>
      <c r="AK86" s="388"/>
      <c r="AL86" s="388"/>
      <c r="AM86" s="388"/>
      <c r="AN86" s="388"/>
      <c r="AO86" s="388"/>
      <c r="AP86" s="388"/>
      <c r="AQ86" s="388"/>
      <c r="AR86" s="388"/>
      <c r="AS86" s="388"/>
      <c r="AT86" s="388"/>
      <c r="AU86" s="388"/>
      <c r="AV86" s="388"/>
      <c r="AW86" s="388"/>
      <c r="AX86" s="388"/>
      <c r="AY86" s="388"/>
      <c r="AZ86" s="388"/>
      <c r="BA86" s="388"/>
      <c r="BB86" s="388"/>
      <c r="BC86" s="388"/>
      <c r="BD86" s="388"/>
      <c r="BE86" s="388"/>
      <c r="BF86" s="388"/>
      <c r="BG86" s="388"/>
      <c r="BH86" s="388"/>
      <c r="BI86" s="388"/>
      <c r="BJ86" s="388"/>
      <c r="BK86" s="388"/>
      <c r="BL86" s="388"/>
      <c r="BM86" s="388"/>
      <c r="BN86" s="388"/>
      <c r="BO86" s="388"/>
      <c r="CH86" s="1922"/>
      <c r="CI86" s="673"/>
      <c r="CJ86" s="1921" t="s">
        <v>1353</v>
      </c>
      <c r="CK86" s="1921"/>
      <c r="CL86" s="1921"/>
      <c r="CM86" s="1921"/>
      <c r="CN86" s="1921"/>
      <c r="CO86" s="1921"/>
      <c r="CP86" s="1921"/>
      <c r="CQ86" s="1921"/>
      <c r="CR86" s="1921"/>
      <c r="CS86" s="1921"/>
      <c r="CT86" s="1921"/>
      <c r="CU86" s="1921"/>
      <c r="CV86" s="1921"/>
      <c r="CW86" s="1921"/>
      <c r="CX86" s="1921"/>
      <c r="CY86" s="1921"/>
      <c r="CZ86" s="1921"/>
      <c r="DA86" s="1921"/>
      <c r="DB86" s="1921"/>
      <c r="DC86" s="1921"/>
      <c r="DD86" s="1921"/>
      <c r="DE86" s="1921"/>
      <c r="DF86" s="1921"/>
      <c r="EH86" s="273"/>
      <c r="EJ86" s="273"/>
    </row>
    <row r="87" spans="4:140" ht="12.75" customHeight="1">
      <c r="D87" s="389"/>
      <c r="E87" s="389"/>
      <c r="F87" s="389"/>
      <c r="G87" s="389"/>
      <c r="H87" s="388"/>
      <c r="I87" s="389"/>
      <c r="J87" s="389"/>
      <c r="K87" s="389"/>
      <c r="L87" s="389"/>
      <c r="M87" s="389"/>
      <c r="N87" s="389"/>
      <c r="O87" s="407"/>
      <c r="P87" s="389"/>
      <c r="Q87" s="407"/>
      <c r="R87" s="389"/>
      <c r="S87" s="389"/>
      <c r="T87" s="389"/>
      <c r="U87" s="389"/>
      <c r="V87" s="389"/>
      <c r="W87" s="389"/>
      <c r="X87" s="389"/>
      <c r="Y87" s="389"/>
      <c r="Z87" s="389"/>
      <c r="AA87" s="389"/>
      <c r="AB87" s="389"/>
      <c r="AC87" s="388"/>
      <c r="AD87" s="388"/>
      <c r="AE87" s="388"/>
      <c r="AF87" s="388"/>
      <c r="AG87" s="388"/>
      <c r="AH87" s="388"/>
      <c r="AI87" s="388"/>
      <c r="AJ87" s="388"/>
      <c r="AK87" s="388"/>
      <c r="AL87" s="388"/>
      <c r="AM87" s="388"/>
      <c r="AN87" s="388"/>
      <c r="AO87" s="388"/>
      <c r="AP87" s="388"/>
      <c r="AQ87" s="388"/>
      <c r="AR87" s="388"/>
      <c r="AS87" s="388"/>
      <c r="AT87" s="388"/>
      <c r="AU87" s="388"/>
      <c r="AV87" s="388"/>
      <c r="AW87" s="388"/>
      <c r="AX87" s="388"/>
      <c r="AY87" s="388"/>
      <c r="AZ87" s="388"/>
      <c r="BA87" s="388"/>
      <c r="BB87" s="388"/>
      <c r="BC87" s="388"/>
      <c r="BD87" s="388"/>
      <c r="BE87" s="388"/>
      <c r="BF87" s="388"/>
      <c r="BG87" s="388"/>
      <c r="BH87" s="388"/>
      <c r="BI87" s="388"/>
      <c r="BJ87" s="388"/>
      <c r="BK87" s="388"/>
      <c r="BL87" s="388"/>
      <c r="BM87" s="388"/>
      <c r="BN87" s="388"/>
      <c r="BO87" s="388"/>
      <c r="CH87" s="560">
        <v>0.5</v>
      </c>
      <c r="CI87" s="560"/>
      <c r="CJ87" s="561">
        <v>0.55000000000000004</v>
      </c>
      <c r="CK87" s="560"/>
      <c r="CL87" s="561">
        <v>1.06</v>
      </c>
      <c r="CM87" s="560"/>
      <c r="CN87" s="561">
        <v>1.52</v>
      </c>
      <c r="CO87" s="560"/>
      <c r="CP87" s="561">
        <v>2.1800000000000002</v>
      </c>
      <c r="CQ87" s="560"/>
      <c r="CR87" s="561">
        <v>2.97</v>
      </c>
      <c r="CS87" s="560"/>
      <c r="CT87" s="561">
        <v>3.88</v>
      </c>
      <c r="CU87" s="560"/>
      <c r="CV87" s="561">
        <v>6.07</v>
      </c>
      <c r="CW87" s="560"/>
      <c r="CX87" s="561">
        <v>8.74</v>
      </c>
      <c r="CY87" s="560"/>
      <c r="CZ87" s="561">
        <v>11.89</v>
      </c>
      <c r="DA87" s="560"/>
      <c r="DB87" s="561">
        <v>15.53</v>
      </c>
      <c r="DC87" s="560"/>
      <c r="DD87" s="561">
        <v>19.66</v>
      </c>
      <c r="DE87" s="560"/>
      <c r="DF87" s="561">
        <v>24.27</v>
      </c>
      <c r="EH87" s="273"/>
      <c r="EJ87" s="273"/>
    </row>
    <row r="88" spans="4:140" ht="12.75" customHeight="1">
      <c r="D88" s="389"/>
      <c r="E88" s="389"/>
      <c r="F88" s="389"/>
      <c r="G88" s="389"/>
      <c r="H88" s="388"/>
      <c r="I88" s="389"/>
      <c r="J88" s="389"/>
      <c r="K88" s="389"/>
      <c r="L88" s="389"/>
      <c r="M88" s="389"/>
      <c r="N88" s="389"/>
      <c r="O88" s="407"/>
      <c r="P88" s="389"/>
      <c r="Q88" s="407"/>
      <c r="R88" s="389"/>
      <c r="S88" s="389"/>
      <c r="T88" s="389"/>
      <c r="U88" s="389"/>
      <c r="V88" s="389"/>
      <c r="W88" s="389"/>
      <c r="X88" s="389"/>
      <c r="Y88" s="389"/>
      <c r="Z88" s="389"/>
      <c r="AA88" s="389"/>
      <c r="AB88" s="389"/>
      <c r="AC88" s="388"/>
      <c r="AD88" s="388"/>
      <c r="AE88" s="388"/>
      <c r="AF88" s="388"/>
      <c r="AG88" s="388"/>
      <c r="AH88" s="388"/>
      <c r="AI88" s="388"/>
      <c r="AJ88" s="388"/>
      <c r="AK88" s="388"/>
      <c r="AL88" s="388"/>
      <c r="AM88" s="388"/>
      <c r="AN88" s="388"/>
      <c r="AO88" s="388"/>
      <c r="AP88" s="388"/>
      <c r="AQ88" s="388"/>
      <c r="AR88" s="388"/>
      <c r="AS88" s="388"/>
      <c r="AT88" s="388"/>
      <c r="AU88" s="388"/>
      <c r="AV88" s="388"/>
      <c r="AW88" s="388"/>
      <c r="AX88" s="388"/>
      <c r="AY88" s="388"/>
      <c r="AZ88" s="388"/>
      <c r="BA88" s="388"/>
      <c r="BB88" s="388"/>
      <c r="BC88" s="388"/>
      <c r="BD88" s="388"/>
      <c r="BE88" s="388"/>
      <c r="BF88" s="388"/>
      <c r="BG88" s="388"/>
      <c r="BH88" s="388"/>
      <c r="BI88" s="388"/>
      <c r="BJ88" s="388"/>
      <c r="BK88" s="388"/>
      <c r="BL88" s="388"/>
      <c r="BM88" s="388"/>
      <c r="BN88" s="388"/>
      <c r="BO88" s="388"/>
      <c r="CH88" s="560">
        <v>1</v>
      </c>
      <c r="CI88" s="560"/>
      <c r="CJ88" s="561">
        <v>0.72</v>
      </c>
      <c r="CK88" s="560"/>
      <c r="CL88" s="561">
        <v>1.39</v>
      </c>
      <c r="CM88" s="560"/>
      <c r="CN88" s="561">
        <v>2</v>
      </c>
      <c r="CO88" s="560"/>
      <c r="CP88" s="561">
        <v>2.87</v>
      </c>
      <c r="CQ88" s="560"/>
      <c r="CR88" s="561">
        <v>3.91</v>
      </c>
      <c r="CS88" s="560"/>
      <c r="CT88" s="561">
        <v>5.0999999999999996</v>
      </c>
      <c r="CU88" s="560"/>
      <c r="CV88" s="561">
        <v>7.97</v>
      </c>
      <c r="CW88" s="560"/>
      <c r="CX88" s="561">
        <v>11.48</v>
      </c>
      <c r="CY88" s="560"/>
      <c r="CZ88" s="561">
        <v>15.62</v>
      </c>
      <c r="DA88" s="560"/>
      <c r="DB88" s="561">
        <v>20.41</v>
      </c>
      <c r="DC88" s="560"/>
      <c r="DD88" s="561">
        <v>25.83</v>
      </c>
      <c r="DE88" s="560"/>
      <c r="DF88" s="561">
        <v>31.89</v>
      </c>
      <c r="EH88" s="273"/>
      <c r="EJ88" s="273"/>
    </row>
    <row r="89" spans="4:140" ht="12.75" customHeight="1">
      <c r="D89" s="389"/>
      <c r="E89" s="389"/>
      <c r="F89" s="389"/>
      <c r="G89" s="389"/>
      <c r="H89" s="388"/>
      <c r="I89" s="389"/>
      <c r="J89" s="389"/>
      <c r="K89" s="389"/>
      <c r="L89" s="389"/>
      <c r="M89" s="389"/>
      <c r="N89" s="389"/>
      <c r="O89" s="407"/>
      <c r="P89" s="389"/>
      <c r="Q89" s="407"/>
      <c r="R89" s="389"/>
      <c r="S89" s="389"/>
      <c r="T89" s="389"/>
      <c r="U89" s="389"/>
      <c r="V89" s="389"/>
      <c r="W89" s="389"/>
      <c r="X89" s="389"/>
      <c r="Y89" s="389"/>
      <c r="Z89" s="389"/>
      <c r="AA89" s="389"/>
      <c r="AB89" s="389"/>
      <c r="AC89" s="388"/>
      <c r="AD89" s="388"/>
      <c r="AE89" s="388"/>
      <c r="AF89" s="388"/>
      <c r="AG89" s="388"/>
      <c r="AH89" s="388"/>
      <c r="AI89" s="388"/>
      <c r="AJ89" s="388"/>
      <c r="AK89" s="388"/>
      <c r="AL89" s="388"/>
      <c r="AM89" s="388"/>
      <c r="AN89" s="388"/>
      <c r="AO89" s="388"/>
      <c r="AP89" s="388"/>
      <c r="AQ89" s="388"/>
      <c r="AR89" s="388"/>
      <c r="AS89" s="388"/>
      <c r="AT89" s="388"/>
      <c r="AU89" s="388"/>
      <c r="AV89" s="388"/>
      <c r="AW89" s="388"/>
      <c r="AX89" s="388"/>
      <c r="AY89" s="388"/>
      <c r="AZ89" s="388"/>
      <c r="BA89" s="388"/>
      <c r="BB89" s="388"/>
      <c r="BC89" s="388"/>
      <c r="BD89" s="388"/>
      <c r="BE89" s="388"/>
      <c r="BF89" s="388"/>
      <c r="BG89" s="388"/>
      <c r="BH89" s="388"/>
      <c r="BI89" s="388"/>
      <c r="BJ89" s="388"/>
      <c r="BK89" s="388"/>
      <c r="BL89" s="388"/>
      <c r="BM89" s="388"/>
      <c r="BN89" s="388"/>
      <c r="BO89" s="388"/>
      <c r="CH89" s="560">
        <v>2</v>
      </c>
      <c r="CI89" s="560"/>
      <c r="CJ89" s="561">
        <v>1.06</v>
      </c>
      <c r="CK89" s="560"/>
      <c r="CL89" s="561">
        <v>2.0299999999999998</v>
      </c>
      <c r="CM89" s="560"/>
      <c r="CN89" s="561">
        <v>2.92</v>
      </c>
      <c r="CO89" s="560"/>
      <c r="CP89" s="561">
        <v>4.1900000000000004</v>
      </c>
      <c r="CQ89" s="560"/>
      <c r="CR89" s="561">
        <v>5.71</v>
      </c>
      <c r="CS89" s="560"/>
      <c r="CT89" s="561">
        <v>7.46</v>
      </c>
      <c r="CU89" s="560"/>
      <c r="CV89" s="561">
        <v>11.65</v>
      </c>
      <c r="CW89" s="560"/>
      <c r="CX89" s="561">
        <v>16.79</v>
      </c>
      <c r="CY89" s="560"/>
      <c r="CZ89" s="561">
        <v>22.84</v>
      </c>
      <c r="DA89" s="560"/>
      <c r="DB89" s="561">
        <v>29.84</v>
      </c>
      <c r="DC89" s="560"/>
      <c r="DD89" s="561">
        <v>37.76</v>
      </c>
      <c r="DE89" s="560"/>
      <c r="DF89" s="561">
        <v>46.63</v>
      </c>
      <c r="EH89" s="273"/>
      <c r="EJ89" s="273"/>
    </row>
    <row r="90" spans="4:140" ht="12.75" customHeight="1">
      <c r="D90" s="389"/>
      <c r="E90" s="389"/>
      <c r="F90" s="389"/>
      <c r="G90" s="389"/>
      <c r="H90" s="388"/>
      <c r="I90" s="389"/>
      <c r="J90" s="389"/>
      <c r="K90" s="389"/>
      <c r="L90" s="389"/>
      <c r="M90" s="389"/>
      <c r="N90" s="389"/>
      <c r="O90" s="407"/>
      <c r="P90" s="389"/>
      <c r="Q90" s="407"/>
      <c r="R90" s="389"/>
      <c r="S90" s="389"/>
      <c r="T90" s="389"/>
      <c r="U90" s="389"/>
      <c r="V90" s="389"/>
      <c r="W90" s="389"/>
      <c r="X90" s="389"/>
      <c r="Y90" s="389"/>
      <c r="Z90" s="389"/>
      <c r="AA90" s="389"/>
      <c r="AB90" s="389"/>
      <c r="AC90" s="388"/>
      <c r="AD90" s="388"/>
      <c r="AE90" s="388"/>
      <c r="AF90" s="388"/>
      <c r="AG90" s="388"/>
      <c r="AH90" s="388"/>
      <c r="AI90" s="388"/>
      <c r="AJ90" s="388"/>
      <c r="AK90" s="388"/>
      <c r="AL90" s="388"/>
      <c r="AM90" s="388"/>
      <c r="AN90" s="388"/>
      <c r="AO90" s="388"/>
      <c r="AP90" s="388"/>
      <c r="AQ90" s="388"/>
      <c r="AR90" s="388"/>
      <c r="AS90" s="388"/>
      <c r="AT90" s="388"/>
      <c r="AU90" s="388"/>
      <c r="AV90" s="388"/>
      <c r="AW90" s="388"/>
      <c r="AX90" s="388"/>
      <c r="AY90" s="388"/>
      <c r="AZ90" s="388"/>
      <c r="BA90" s="388"/>
      <c r="BB90" s="388"/>
      <c r="BC90" s="388"/>
      <c r="BD90" s="388"/>
      <c r="BE90" s="388"/>
      <c r="BF90" s="388"/>
      <c r="BG90" s="388"/>
      <c r="BH90" s="388"/>
      <c r="BI90" s="388"/>
      <c r="BJ90" s="388"/>
      <c r="BK90" s="388"/>
      <c r="BL90" s="388"/>
      <c r="BM90" s="388"/>
      <c r="BN90" s="388"/>
      <c r="BO90" s="388"/>
      <c r="CH90" s="560">
        <v>3</v>
      </c>
      <c r="CI90" s="560"/>
      <c r="CJ90" s="561">
        <v>1.38</v>
      </c>
      <c r="CK90" s="560"/>
      <c r="CL90" s="561">
        <v>2.66</v>
      </c>
      <c r="CM90" s="560"/>
      <c r="CN90" s="561">
        <v>3.83</v>
      </c>
      <c r="CO90" s="560"/>
      <c r="CP90" s="561">
        <v>5.49</v>
      </c>
      <c r="CQ90" s="560"/>
      <c r="CR90" s="561">
        <v>7.48</v>
      </c>
      <c r="CS90" s="560"/>
      <c r="CT90" s="561">
        <v>9.77</v>
      </c>
      <c r="CU90" s="560"/>
      <c r="CV90" s="561">
        <v>15.27</v>
      </c>
      <c r="CW90" s="560"/>
      <c r="CX90" s="561">
        <v>21.99</v>
      </c>
      <c r="CY90" s="560"/>
      <c r="CZ90" s="561">
        <v>29.93</v>
      </c>
      <c r="DA90" s="560"/>
      <c r="DB90" s="561">
        <v>39.1</v>
      </c>
      <c r="DC90" s="560"/>
      <c r="DD90" s="561">
        <v>49.48</v>
      </c>
      <c r="DE90" s="560"/>
      <c r="DF90" s="561">
        <v>61.09</v>
      </c>
      <c r="EH90" s="273"/>
      <c r="EJ90" s="273"/>
    </row>
    <row r="91" spans="4:140" ht="12.75" customHeight="1">
      <c r="D91" s="389"/>
      <c r="E91" s="389"/>
      <c r="F91" s="389"/>
      <c r="G91" s="389"/>
      <c r="H91" s="388"/>
      <c r="I91" s="389"/>
      <c r="J91" s="389"/>
      <c r="K91" s="389"/>
      <c r="L91" s="389"/>
      <c r="M91" s="389"/>
      <c r="N91" s="389"/>
      <c r="O91" s="407"/>
      <c r="P91" s="389"/>
      <c r="Q91" s="407"/>
      <c r="R91" s="389"/>
      <c r="S91" s="389"/>
      <c r="T91" s="389"/>
      <c r="U91" s="389"/>
      <c r="V91" s="389"/>
      <c r="W91" s="389"/>
      <c r="X91" s="389"/>
      <c r="Y91" s="389"/>
      <c r="Z91" s="389"/>
      <c r="AA91" s="389"/>
      <c r="AB91" s="389"/>
      <c r="AC91" s="388"/>
      <c r="AD91" s="388"/>
      <c r="AE91" s="388"/>
      <c r="AF91" s="388"/>
      <c r="AG91" s="388"/>
      <c r="AH91" s="388"/>
      <c r="AI91" s="388"/>
      <c r="AJ91" s="388"/>
      <c r="AK91" s="388"/>
      <c r="AL91" s="388"/>
      <c r="AM91" s="388"/>
      <c r="AN91" s="388"/>
      <c r="AO91" s="388"/>
      <c r="AP91" s="388"/>
      <c r="AQ91" s="388"/>
      <c r="AR91" s="388"/>
      <c r="AS91" s="388"/>
      <c r="AT91" s="388"/>
      <c r="AU91" s="388"/>
      <c r="AV91" s="388"/>
      <c r="AW91" s="388"/>
      <c r="AX91" s="388"/>
      <c r="AY91" s="388"/>
      <c r="AZ91" s="388"/>
      <c r="BA91" s="388"/>
      <c r="BB91" s="388"/>
      <c r="BC91" s="388"/>
      <c r="BD91" s="388"/>
      <c r="BE91" s="388"/>
      <c r="BF91" s="388"/>
      <c r="BG91" s="388"/>
      <c r="BH91" s="388"/>
      <c r="BI91" s="388"/>
      <c r="BJ91" s="388"/>
      <c r="BK91" s="388"/>
      <c r="BL91" s="388"/>
      <c r="BM91" s="388"/>
      <c r="BN91" s="388"/>
      <c r="BO91" s="388"/>
      <c r="CH91" s="560">
        <v>4</v>
      </c>
      <c r="CI91" s="560"/>
      <c r="CJ91" s="561">
        <v>1.71</v>
      </c>
      <c r="CK91" s="560"/>
      <c r="CL91" s="561">
        <v>3.28</v>
      </c>
      <c r="CM91" s="560"/>
      <c r="CN91" s="561">
        <v>4.72</v>
      </c>
      <c r="CO91" s="560"/>
      <c r="CP91" s="561">
        <v>6.78</v>
      </c>
      <c r="CQ91" s="560"/>
      <c r="CR91" s="561">
        <v>9.23</v>
      </c>
      <c r="CS91" s="560"/>
      <c r="CT91" s="561">
        <v>12.06</v>
      </c>
      <c r="CU91" s="560"/>
      <c r="CV91" s="561">
        <v>18.84</v>
      </c>
      <c r="CW91" s="560"/>
      <c r="CX91" s="561">
        <v>27.13</v>
      </c>
      <c r="CY91" s="560"/>
      <c r="CZ91" s="561">
        <v>36.93</v>
      </c>
      <c r="DA91" s="560"/>
      <c r="DB91" s="561">
        <v>48.24</v>
      </c>
      <c r="DC91" s="560"/>
      <c r="DD91" s="561">
        <v>61.04</v>
      </c>
      <c r="DE91" s="560"/>
      <c r="DF91" s="561">
        <v>75.37</v>
      </c>
      <c r="EH91" s="273"/>
      <c r="EJ91" s="273"/>
    </row>
    <row r="92" spans="4:140" ht="12.75" customHeight="1">
      <c r="D92" s="389"/>
      <c r="E92" s="389"/>
      <c r="F92" s="389"/>
      <c r="G92" s="389"/>
      <c r="H92" s="388"/>
      <c r="I92" s="389"/>
      <c r="J92" s="389"/>
      <c r="K92" s="389"/>
      <c r="L92" s="389"/>
      <c r="M92" s="389"/>
      <c r="N92" s="389"/>
      <c r="O92" s="407"/>
      <c r="P92" s="389"/>
      <c r="Q92" s="407"/>
      <c r="R92" s="389"/>
      <c r="S92" s="389"/>
      <c r="T92" s="389"/>
      <c r="U92" s="389"/>
      <c r="V92" s="389"/>
      <c r="W92" s="389"/>
      <c r="X92" s="389"/>
      <c r="Y92" s="389"/>
      <c r="Z92" s="389"/>
      <c r="AA92" s="389"/>
      <c r="AB92" s="389"/>
      <c r="AC92" s="388"/>
      <c r="AD92" s="388"/>
      <c r="AE92" s="388"/>
      <c r="AF92" s="388"/>
      <c r="AG92" s="388"/>
      <c r="AH92" s="388"/>
      <c r="AI92" s="388"/>
      <c r="AJ92" s="388"/>
      <c r="AK92" s="388"/>
      <c r="AL92" s="388"/>
      <c r="AM92" s="388"/>
      <c r="AN92" s="388"/>
      <c r="AO92" s="388"/>
      <c r="AP92" s="388"/>
      <c r="AQ92" s="388"/>
      <c r="AR92" s="388"/>
      <c r="AS92" s="388"/>
      <c r="AT92" s="388"/>
      <c r="AU92" s="388"/>
      <c r="AV92" s="388"/>
      <c r="AW92" s="388"/>
      <c r="AX92" s="388"/>
      <c r="AY92" s="388"/>
      <c r="AZ92" s="388"/>
      <c r="BA92" s="388"/>
      <c r="BB92" s="388"/>
      <c r="BC92" s="388"/>
      <c r="BD92" s="388"/>
      <c r="BE92" s="388"/>
      <c r="BF92" s="388"/>
      <c r="BG92" s="388"/>
      <c r="BH92" s="388"/>
      <c r="BI92" s="388"/>
      <c r="BJ92" s="388"/>
      <c r="BK92" s="388"/>
      <c r="BL92" s="388"/>
      <c r="BM92" s="388"/>
      <c r="BN92" s="388"/>
      <c r="BO92" s="388"/>
      <c r="CH92" s="560">
        <v>5</v>
      </c>
      <c r="CI92" s="560"/>
      <c r="CJ92" s="561">
        <v>2.0299999999999998</v>
      </c>
      <c r="CK92" s="560"/>
      <c r="CL92" s="561">
        <v>3.9</v>
      </c>
      <c r="CM92" s="560"/>
      <c r="CN92" s="561">
        <v>5.61</v>
      </c>
      <c r="CO92" s="560"/>
      <c r="CP92" s="561">
        <v>8.0500000000000007</v>
      </c>
      <c r="CQ92" s="560"/>
      <c r="CR92" s="561">
        <v>10.96</v>
      </c>
      <c r="CS92" s="560"/>
      <c r="CT92" s="561">
        <v>14.32</v>
      </c>
      <c r="CU92" s="560"/>
      <c r="CV92" s="561">
        <v>22.37</v>
      </c>
      <c r="CW92" s="560"/>
      <c r="CX92" s="561">
        <v>32.229999999999997</v>
      </c>
      <c r="CY92" s="560"/>
      <c r="CZ92" s="561">
        <v>43.86</v>
      </c>
      <c r="DA92" s="560"/>
      <c r="DB92" s="561">
        <v>57.29</v>
      </c>
      <c r="DC92" s="560"/>
      <c r="DD92" s="561">
        <v>72.510000000000005</v>
      </c>
      <c r="DE92" s="560"/>
      <c r="DF92" s="561">
        <v>89.52</v>
      </c>
      <c r="EH92" s="273"/>
      <c r="EJ92" s="273"/>
    </row>
    <row r="93" spans="4:140" ht="12.75" customHeight="1">
      <c r="D93" s="389"/>
      <c r="E93" s="389"/>
      <c r="F93" s="389"/>
      <c r="G93" s="389"/>
      <c r="H93" s="388"/>
      <c r="I93" s="389"/>
      <c r="J93" s="389"/>
      <c r="K93" s="389"/>
      <c r="L93" s="389"/>
      <c r="M93" s="389"/>
      <c r="N93" s="389"/>
      <c r="O93" s="407"/>
      <c r="P93" s="389"/>
      <c r="Q93" s="407"/>
      <c r="R93" s="389"/>
      <c r="S93" s="389"/>
      <c r="T93" s="389"/>
      <c r="U93" s="389"/>
      <c r="V93" s="389"/>
      <c r="W93" s="389"/>
      <c r="X93" s="389"/>
      <c r="Y93" s="389"/>
      <c r="Z93" s="389"/>
      <c r="AA93" s="389"/>
      <c r="AB93" s="389"/>
      <c r="AC93" s="388"/>
      <c r="AD93" s="388"/>
      <c r="AE93" s="388"/>
      <c r="AF93" s="388"/>
      <c r="AG93" s="388"/>
      <c r="AH93" s="388"/>
      <c r="AI93" s="388"/>
      <c r="AJ93" s="388"/>
      <c r="AK93" s="388"/>
      <c r="AL93" s="388"/>
      <c r="AM93" s="388"/>
      <c r="AN93" s="388"/>
      <c r="AO93" s="388"/>
      <c r="AP93" s="388"/>
      <c r="AQ93" s="388"/>
      <c r="AR93" s="388"/>
      <c r="AS93" s="388"/>
      <c r="AT93" s="388"/>
      <c r="AU93" s="388"/>
      <c r="AV93" s="388"/>
      <c r="AW93" s="388"/>
      <c r="AX93" s="388"/>
      <c r="AY93" s="388"/>
      <c r="AZ93" s="388"/>
      <c r="BA93" s="388"/>
      <c r="BB93" s="388"/>
      <c r="BC93" s="388"/>
      <c r="BD93" s="388"/>
      <c r="BE93" s="388"/>
      <c r="BF93" s="388"/>
      <c r="BG93" s="388"/>
      <c r="BH93" s="388"/>
      <c r="BI93" s="388"/>
      <c r="BJ93" s="388"/>
      <c r="BK93" s="388"/>
      <c r="BL93" s="388"/>
      <c r="BM93" s="388"/>
      <c r="BN93" s="388"/>
      <c r="BO93" s="388"/>
      <c r="CH93" s="560">
        <v>6</v>
      </c>
      <c r="CI93" s="560"/>
      <c r="CJ93" s="561">
        <v>2.35</v>
      </c>
      <c r="CK93" s="560"/>
      <c r="CL93" s="561">
        <v>4.51</v>
      </c>
      <c r="CM93" s="560"/>
      <c r="CN93" s="561">
        <v>6.49</v>
      </c>
      <c r="CO93" s="560"/>
      <c r="CP93" s="561">
        <v>9.31</v>
      </c>
      <c r="CQ93" s="560"/>
      <c r="CR93" s="561">
        <v>12.69</v>
      </c>
      <c r="CS93" s="560"/>
      <c r="CT93" s="561">
        <v>16.57</v>
      </c>
      <c r="CU93" s="560"/>
      <c r="CV93" s="561">
        <v>25.89</v>
      </c>
      <c r="CW93" s="560"/>
      <c r="CX93" s="561">
        <v>37.29</v>
      </c>
      <c r="CY93" s="560"/>
      <c r="CZ93" s="561">
        <v>50.74</v>
      </c>
      <c r="DA93" s="560"/>
      <c r="DB93" s="561">
        <v>66.290000000000006</v>
      </c>
      <c r="DC93" s="560"/>
      <c r="DD93" s="561">
        <v>83.89</v>
      </c>
      <c r="DE93" s="560"/>
      <c r="DF93" s="561">
        <v>103.58</v>
      </c>
      <c r="EH93" s="273"/>
      <c r="EJ93" s="273"/>
    </row>
    <row r="94" spans="4:140" ht="12.75" customHeight="1">
      <c r="D94" s="389"/>
      <c r="E94" s="389"/>
      <c r="F94" s="389"/>
      <c r="G94" s="389"/>
      <c r="H94" s="388"/>
      <c r="I94" s="389"/>
      <c r="J94" s="389"/>
      <c r="K94" s="389"/>
      <c r="L94" s="389"/>
      <c r="M94" s="389"/>
      <c r="N94" s="389"/>
      <c r="O94" s="407"/>
      <c r="P94" s="389"/>
      <c r="Q94" s="407"/>
      <c r="R94" s="389"/>
      <c r="S94" s="389"/>
      <c r="T94" s="389"/>
      <c r="U94" s="389"/>
      <c r="V94" s="389"/>
      <c r="W94" s="389"/>
      <c r="X94" s="389"/>
      <c r="Y94" s="389"/>
      <c r="Z94" s="389"/>
      <c r="AA94" s="389"/>
      <c r="AB94" s="389"/>
      <c r="AC94" s="388"/>
      <c r="AD94" s="388"/>
      <c r="AE94" s="388"/>
      <c r="AF94" s="388"/>
      <c r="AG94" s="388"/>
      <c r="AH94" s="388"/>
      <c r="AI94" s="388"/>
      <c r="AJ94" s="388"/>
      <c r="AK94" s="388"/>
      <c r="AL94" s="388"/>
      <c r="AM94" s="388"/>
      <c r="AN94" s="388"/>
      <c r="AO94" s="388"/>
      <c r="AP94" s="388"/>
      <c r="AQ94" s="388"/>
      <c r="AR94" s="388"/>
      <c r="AS94" s="388"/>
      <c r="AT94" s="388"/>
      <c r="AU94" s="388"/>
      <c r="AV94" s="388"/>
      <c r="AW94" s="388"/>
      <c r="AX94" s="388"/>
      <c r="AY94" s="388"/>
      <c r="AZ94" s="388"/>
      <c r="BA94" s="388"/>
      <c r="BB94" s="388"/>
      <c r="BC94" s="388"/>
      <c r="BD94" s="388"/>
      <c r="BE94" s="388"/>
      <c r="BF94" s="388"/>
      <c r="BG94" s="388"/>
      <c r="BH94" s="388"/>
      <c r="BI94" s="388"/>
      <c r="BJ94" s="388"/>
      <c r="BK94" s="388"/>
      <c r="BL94" s="388"/>
      <c r="BM94" s="388"/>
      <c r="BN94" s="388"/>
      <c r="BO94" s="388"/>
      <c r="CH94" s="560">
        <v>7</v>
      </c>
      <c r="CI94" s="560"/>
      <c r="CJ94" s="561">
        <v>2.66</v>
      </c>
      <c r="CK94" s="560"/>
      <c r="CL94" s="561">
        <v>5.12</v>
      </c>
      <c r="CM94" s="560"/>
      <c r="CN94" s="561">
        <v>7.37</v>
      </c>
      <c r="CO94" s="560"/>
      <c r="CP94" s="561">
        <v>10.57</v>
      </c>
      <c r="CQ94" s="560"/>
      <c r="CR94" s="561">
        <v>14.4</v>
      </c>
      <c r="CS94" s="560"/>
      <c r="CT94" s="561">
        <v>18.809999999999999</v>
      </c>
      <c r="CU94" s="560"/>
      <c r="CV94" s="561">
        <v>29.38</v>
      </c>
      <c r="CW94" s="560"/>
      <c r="CX94" s="561">
        <v>42.32</v>
      </c>
      <c r="CY94" s="560"/>
      <c r="CZ94" s="561">
        <v>57.59</v>
      </c>
      <c r="DA94" s="560"/>
      <c r="DB94" s="561">
        <v>75.239999999999995</v>
      </c>
      <c r="DC94" s="560"/>
      <c r="DD94" s="561">
        <v>95.21</v>
      </c>
      <c r="DE94" s="560"/>
      <c r="DF94" s="561">
        <v>117.56</v>
      </c>
      <c r="EH94" s="273"/>
      <c r="EJ94" s="273"/>
    </row>
    <row r="95" spans="4:140" ht="12.75" customHeight="1">
      <c r="D95" s="389"/>
      <c r="E95" s="389"/>
      <c r="F95" s="389"/>
      <c r="G95" s="389"/>
      <c r="H95" s="388"/>
      <c r="I95" s="389"/>
      <c r="J95" s="389"/>
      <c r="K95" s="389"/>
      <c r="L95" s="389"/>
      <c r="M95" s="389"/>
      <c r="N95" s="389"/>
      <c r="O95" s="407"/>
      <c r="P95" s="389"/>
      <c r="Q95" s="407"/>
      <c r="R95" s="389"/>
      <c r="S95" s="389"/>
      <c r="T95" s="389"/>
      <c r="U95" s="389"/>
      <c r="V95" s="389"/>
      <c r="W95" s="389"/>
      <c r="X95" s="389"/>
      <c r="Y95" s="389"/>
      <c r="Z95" s="389"/>
      <c r="AA95" s="389"/>
      <c r="AB95" s="389"/>
      <c r="AC95" s="388"/>
      <c r="AD95" s="388"/>
      <c r="AE95" s="388"/>
      <c r="AF95" s="388"/>
      <c r="AG95" s="388"/>
      <c r="AH95" s="388"/>
      <c r="AI95" s="388"/>
      <c r="AJ95" s="388"/>
      <c r="AK95" s="388"/>
      <c r="AL95" s="388"/>
      <c r="AM95" s="388"/>
      <c r="AN95" s="388"/>
      <c r="AO95" s="388"/>
      <c r="AP95" s="388"/>
      <c r="AQ95" s="388"/>
      <c r="AR95" s="388"/>
      <c r="AS95" s="388"/>
      <c r="AT95" s="388"/>
      <c r="AU95" s="388"/>
      <c r="AV95" s="388"/>
      <c r="AW95" s="388"/>
      <c r="AX95" s="388"/>
      <c r="AY95" s="388"/>
      <c r="AZ95" s="388"/>
      <c r="BA95" s="388"/>
      <c r="BB95" s="388"/>
      <c r="BC95" s="388"/>
      <c r="BD95" s="388"/>
      <c r="BE95" s="388"/>
      <c r="BF95" s="388"/>
      <c r="BG95" s="388"/>
      <c r="BH95" s="388"/>
      <c r="BI95" s="388"/>
      <c r="BJ95" s="388"/>
      <c r="BK95" s="388"/>
      <c r="BL95" s="388"/>
      <c r="BM95" s="388"/>
      <c r="BN95" s="388"/>
      <c r="BO95" s="388"/>
      <c r="CH95" s="560">
        <v>8</v>
      </c>
      <c r="CI95" s="560"/>
      <c r="CJ95" s="561">
        <v>2.98</v>
      </c>
      <c r="CK95" s="560"/>
      <c r="CL95" s="561">
        <v>5.73</v>
      </c>
      <c r="CM95" s="560"/>
      <c r="CN95" s="561">
        <v>8.24</v>
      </c>
      <c r="CO95" s="560"/>
      <c r="CP95" s="561">
        <v>11.82</v>
      </c>
      <c r="CQ95" s="560"/>
      <c r="CR95" s="561">
        <v>16.11</v>
      </c>
      <c r="CS95" s="560"/>
      <c r="CT95" s="561">
        <v>21.04</v>
      </c>
      <c r="CU95" s="560"/>
      <c r="CV95" s="561">
        <v>32.86</v>
      </c>
      <c r="CW95" s="560"/>
      <c r="CX95" s="561">
        <v>47.34</v>
      </c>
      <c r="CY95" s="560"/>
      <c r="CZ95" s="561">
        <v>64.42</v>
      </c>
      <c r="DA95" s="560"/>
      <c r="DB95" s="561">
        <v>84.16</v>
      </c>
      <c r="DC95" s="560"/>
      <c r="DD95" s="561">
        <v>106.5</v>
      </c>
      <c r="DE95" s="560"/>
      <c r="DF95" s="561">
        <v>131.49</v>
      </c>
      <c r="EH95" s="273"/>
      <c r="EJ95" s="273"/>
    </row>
    <row r="96" spans="4:140" ht="12.75" customHeight="1">
      <c r="D96" s="389"/>
      <c r="E96" s="389"/>
      <c r="F96" s="389"/>
      <c r="G96" s="389"/>
      <c r="H96" s="388"/>
      <c r="I96" s="389"/>
      <c r="J96" s="389"/>
      <c r="K96" s="389"/>
      <c r="L96" s="389"/>
      <c r="M96" s="389"/>
      <c r="N96" s="389"/>
      <c r="O96" s="407"/>
      <c r="P96" s="389"/>
      <c r="Q96" s="407"/>
      <c r="R96" s="389"/>
      <c r="S96" s="389"/>
      <c r="T96" s="389"/>
      <c r="U96" s="389"/>
      <c r="V96" s="389"/>
      <c r="W96" s="389"/>
      <c r="X96" s="389"/>
      <c r="Y96" s="389"/>
      <c r="Z96" s="389"/>
      <c r="AA96" s="389"/>
      <c r="AB96" s="389"/>
      <c r="AC96" s="388"/>
      <c r="AD96" s="388"/>
      <c r="AE96" s="388"/>
      <c r="AF96" s="388"/>
      <c r="AG96" s="388"/>
      <c r="AH96" s="388"/>
      <c r="AI96" s="388"/>
      <c r="AJ96" s="388"/>
      <c r="AK96" s="388"/>
      <c r="AL96" s="388"/>
      <c r="AM96" s="388"/>
      <c r="AN96" s="388"/>
      <c r="AO96" s="388"/>
      <c r="AP96" s="388"/>
      <c r="AQ96" s="388"/>
      <c r="AR96" s="388"/>
      <c r="AS96" s="388"/>
      <c r="AT96" s="388"/>
      <c r="AU96" s="388"/>
      <c r="AV96" s="388"/>
      <c r="AW96" s="388"/>
      <c r="AX96" s="388"/>
      <c r="AY96" s="388"/>
      <c r="AZ96" s="388"/>
      <c r="BA96" s="388"/>
      <c r="BB96" s="388"/>
      <c r="BC96" s="388"/>
      <c r="BD96" s="388"/>
      <c r="BE96" s="388"/>
      <c r="BF96" s="388"/>
      <c r="BG96" s="388"/>
      <c r="BH96" s="388"/>
      <c r="BI96" s="388"/>
      <c r="BJ96" s="388"/>
      <c r="BK96" s="388"/>
      <c r="BL96" s="388"/>
      <c r="BM96" s="388"/>
      <c r="BN96" s="388"/>
      <c r="BO96" s="388"/>
      <c r="CH96" s="560">
        <v>9</v>
      </c>
      <c r="CI96" s="560"/>
      <c r="CJ96" s="561">
        <v>3.29</v>
      </c>
      <c r="CK96" s="560"/>
      <c r="CL96" s="561">
        <v>6.33</v>
      </c>
      <c r="CM96" s="560"/>
      <c r="CN96" s="561">
        <v>9.11</v>
      </c>
      <c r="CO96" s="560"/>
      <c r="CP96" s="561">
        <v>13.07</v>
      </c>
      <c r="CQ96" s="560"/>
      <c r="CR96" s="561">
        <v>17.809999999999999</v>
      </c>
      <c r="CS96" s="560"/>
      <c r="CT96" s="561">
        <v>23.26</v>
      </c>
      <c r="CU96" s="560"/>
      <c r="CV96" s="561">
        <v>36.340000000000003</v>
      </c>
      <c r="CW96" s="560"/>
      <c r="CX96" s="561">
        <v>52.34</v>
      </c>
      <c r="CY96" s="560"/>
      <c r="CZ96" s="561">
        <v>71.23</v>
      </c>
      <c r="DA96" s="560"/>
      <c r="DB96" s="561">
        <v>93.05</v>
      </c>
      <c r="DC96" s="560"/>
      <c r="DD96" s="561">
        <v>117.76</v>
      </c>
      <c r="DE96" s="560"/>
      <c r="DF96" s="561">
        <v>145.38999999999999</v>
      </c>
      <c r="EH96" s="273"/>
      <c r="EJ96" s="273"/>
    </row>
    <row r="97" spans="4:140" ht="12.75" customHeight="1">
      <c r="D97" s="389"/>
      <c r="E97" s="389"/>
      <c r="F97" s="389"/>
      <c r="G97" s="389"/>
      <c r="H97" s="388"/>
      <c r="I97" s="389"/>
      <c r="J97" s="389"/>
      <c r="K97" s="389"/>
      <c r="L97" s="389"/>
      <c r="M97" s="389"/>
      <c r="N97" s="389"/>
      <c r="O97" s="407"/>
      <c r="P97" s="389"/>
      <c r="Q97" s="407"/>
      <c r="R97" s="389"/>
      <c r="S97" s="389"/>
      <c r="T97" s="389"/>
      <c r="U97" s="389"/>
      <c r="V97" s="389"/>
      <c r="W97" s="389"/>
      <c r="X97" s="389"/>
      <c r="Y97" s="389"/>
      <c r="Z97" s="389"/>
      <c r="AA97" s="389"/>
      <c r="AB97" s="389"/>
      <c r="AC97" s="388"/>
      <c r="AD97" s="388"/>
      <c r="AE97" s="388"/>
      <c r="AF97" s="388"/>
      <c r="AG97" s="388"/>
      <c r="AH97" s="388"/>
      <c r="AI97" s="388"/>
      <c r="AJ97" s="388"/>
      <c r="AK97" s="388"/>
      <c r="AL97" s="388"/>
      <c r="AM97" s="388"/>
      <c r="AN97" s="388"/>
      <c r="AO97" s="388"/>
      <c r="AP97" s="388"/>
      <c r="AQ97" s="388"/>
      <c r="AR97" s="388"/>
      <c r="AS97" s="388"/>
      <c r="AT97" s="388"/>
      <c r="AU97" s="388"/>
      <c r="AV97" s="388"/>
      <c r="AW97" s="388"/>
      <c r="AX97" s="388"/>
      <c r="AY97" s="388"/>
      <c r="AZ97" s="388"/>
      <c r="BA97" s="388"/>
      <c r="BB97" s="388"/>
      <c r="BC97" s="388"/>
      <c r="BD97" s="388"/>
      <c r="BE97" s="388"/>
      <c r="BF97" s="388"/>
      <c r="BG97" s="388"/>
      <c r="BH97" s="388"/>
      <c r="BI97" s="388"/>
      <c r="BJ97" s="388"/>
      <c r="BK97" s="388"/>
      <c r="BL97" s="388"/>
      <c r="BM97" s="388"/>
      <c r="BN97" s="388"/>
      <c r="BO97" s="388"/>
      <c r="CH97" s="560">
        <v>10</v>
      </c>
      <c r="CI97" s="560"/>
      <c r="CJ97" s="561">
        <v>3.61</v>
      </c>
      <c r="CK97" s="560"/>
      <c r="CL97" s="561">
        <v>6.93</v>
      </c>
      <c r="CM97" s="560"/>
      <c r="CN97" s="561">
        <v>9.98</v>
      </c>
      <c r="CO97" s="560"/>
      <c r="CP97" s="561">
        <v>14.32</v>
      </c>
      <c r="CQ97" s="560"/>
      <c r="CR97" s="561">
        <v>19.510000000000002</v>
      </c>
      <c r="CS97" s="560"/>
      <c r="CT97" s="561">
        <v>25.48</v>
      </c>
      <c r="CU97" s="560"/>
      <c r="CV97" s="561">
        <v>39.799999999999997</v>
      </c>
      <c r="CW97" s="560"/>
      <c r="CX97" s="561">
        <v>57.33</v>
      </c>
      <c r="CY97" s="560"/>
      <c r="CZ97" s="561">
        <v>78.02</v>
      </c>
      <c r="DA97" s="560"/>
      <c r="DB97" s="561">
        <v>101.92</v>
      </c>
      <c r="DC97" s="560"/>
      <c r="DD97" s="561">
        <v>128.97999999999999</v>
      </c>
      <c r="DE97" s="560"/>
      <c r="DF97" s="561">
        <v>159.25</v>
      </c>
      <c r="EH97" s="273"/>
      <c r="EJ97" s="273"/>
    </row>
    <row r="98" spans="4:140" ht="12.75" customHeight="1">
      <c r="D98" s="389"/>
      <c r="E98" s="389"/>
      <c r="F98" s="389"/>
      <c r="G98" s="389"/>
      <c r="H98" s="388"/>
      <c r="I98" s="389"/>
      <c r="J98" s="389"/>
      <c r="K98" s="389"/>
      <c r="L98" s="389"/>
      <c r="M98" s="389"/>
      <c r="N98" s="389"/>
      <c r="O98" s="407"/>
      <c r="P98" s="389"/>
      <c r="Q98" s="407"/>
      <c r="R98" s="389"/>
      <c r="S98" s="389"/>
      <c r="T98" s="389"/>
      <c r="U98" s="389"/>
      <c r="V98" s="389"/>
      <c r="W98" s="389"/>
      <c r="X98" s="389"/>
      <c r="Y98" s="389"/>
      <c r="Z98" s="389"/>
      <c r="AA98" s="389"/>
      <c r="AB98" s="389"/>
      <c r="AC98" s="388"/>
      <c r="AD98" s="388"/>
      <c r="AE98" s="388"/>
      <c r="AF98" s="388"/>
      <c r="AG98" s="388"/>
      <c r="AH98" s="388"/>
      <c r="AI98" s="388"/>
      <c r="AJ98" s="388"/>
      <c r="AK98" s="388"/>
      <c r="AL98" s="388"/>
      <c r="AM98" s="388"/>
      <c r="AN98" s="388"/>
      <c r="AO98" s="388"/>
      <c r="AP98" s="388"/>
      <c r="AQ98" s="388"/>
      <c r="AR98" s="388"/>
      <c r="AS98" s="388"/>
      <c r="AT98" s="388"/>
      <c r="AU98" s="388"/>
      <c r="AV98" s="388"/>
      <c r="AW98" s="388"/>
      <c r="AX98" s="388"/>
      <c r="AY98" s="388"/>
      <c r="AZ98" s="388"/>
      <c r="BA98" s="388"/>
      <c r="BB98" s="388"/>
      <c r="BC98" s="388"/>
      <c r="BD98" s="388"/>
      <c r="BE98" s="388"/>
      <c r="BF98" s="388"/>
      <c r="BG98" s="388"/>
      <c r="BH98" s="388"/>
      <c r="BI98" s="388"/>
      <c r="BJ98" s="388"/>
      <c r="BK98" s="388"/>
      <c r="BL98" s="388"/>
      <c r="BM98" s="388"/>
      <c r="BN98" s="388"/>
      <c r="BO98" s="388"/>
      <c r="CH98" s="560">
        <v>11</v>
      </c>
      <c r="CI98" s="560"/>
      <c r="CJ98" s="561">
        <v>3.92</v>
      </c>
      <c r="CK98" s="560"/>
      <c r="CL98" s="561">
        <v>7.54</v>
      </c>
      <c r="CM98" s="560"/>
      <c r="CN98" s="561">
        <v>10.85</v>
      </c>
      <c r="CO98" s="560"/>
      <c r="CP98" s="561">
        <v>15.56</v>
      </c>
      <c r="CQ98" s="560"/>
      <c r="CR98" s="561">
        <v>21.2</v>
      </c>
      <c r="CS98" s="560"/>
      <c r="CT98" s="561">
        <v>27.7</v>
      </c>
      <c r="CU98" s="560"/>
      <c r="CV98" s="561">
        <v>43.26</v>
      </c>
      <c r="CW98" s="560"/>
      <c r="CX98" s="561">
        <v>62.32</v>
      </c>
      <c r="CY98" s="560"/>
      <c r="CZ98" s="561">
        <v>84.8</v>
      </c>
      <c r="DA98" s="560"/>
      <c r="DB98" s="561">
        <v>110.78</v>
      </c>
      <c r="DC98" s="560"/>
      <c r="DD98" s="561">
        <v>140.19999999999999</v>
      </c>
      <c r="DE98" s="560"/>
      <c r="DF98" s="561">
        <v>173.1</v>
      </c>
      <c r="EH98" s="273"/>
      <c r="EJ98" s="273"/>
    </row>
    <row r="99" spans="4:140" ht="12.75" customHeight="1">
      <c r="D99" s="389"/>
      <c r="E99" s="389"/>
      <c r="F99" s="389"/>
      <c r="G99" s="389"/>
      <c r="H99" s="388"/>
      <c r="I99" s="389"/>
      <c r="J99" s="389"/>
      <c r="K99" s="389"/>
      <c r="L99" s="389"/>
      <c r="M99" s="389"/>
      <c r="N99" s="389"/>
      <c r="O99" s="407"/>
      <c r="P99" s="389"/>
      <c r="Q99" s="407"/>
      <c r="R99" s="389"/>
      <c r="S99" s="389"/>
      <c r="T99" s="389"/>
      <c r="U99" s="389"/>
      <c r="V99" s="389"/>
      <c r="W99" s="389"/>
      <c r="X99" s="389"/>
      <c r="Y99" s="389"/>
      <c r="Z99" s="389"/>
      <c r="AA99" s="389"/>
      <c r="AB99" s="389"/>
      <c r="AC99" s="388"/>
      <c r="AD99" s="388"/>
      <c r="AE99" s="388"/>
      <c r="AF99" s="388"/>
      <c r="AG99" s="388"/>
      <c r="AH99" s="388"/>
      <c r="AI99" s="388"/>
      <c r="AJ99" s="388"/>
      <c r="AK99" s="388"/>
      <c r="AL99" s="388"/>
      <c r="AM99" s="388"/>
      <c r="AN99" s="388"/>
      <c r="AO99" s="388"/>
      <c r="AP99" s="388"/>
      <c r="AQ99" s="388"/>
      <c r="AR99" s="388"/>
      <c r="AS99" s="388"/>
      <c r="AT99" s="388"/>
      <c r="AU99" s="388"/>
      <c r="AV99" s="388"/>
      <c r="AW99" s="388"/>
      <c r="AX99" s="388"/>
      <c r="AY99" s="388"/>
      <c r="AZ99" s="388"/>
      <c r="BA99" s="388"/>
      <c r="BB99" s="388"/>
      <c r="BC99" s="388"/>
      <c r="BD99" s="388"/>
      <c r="BE99" s="388"/>
      <c r="BF99" s="388"/>
      <c r="BG99" s="388"/>
      <c r="BH99" s="388"/>
      <c r="BI99" s="388"/>
      <c r="BJ99" s="388"/>
      <c r="BK99" s="388"/>
      <c r="BL99" s="388"/>
      <c r="BM99" s="388"/>
      <c r="BN99" s="388"/>
      <c r="BO99" s="388"/>
      <c r="CH99" s="560">
        <v>12</v>
      </c>
      <c r="CI99" s="560"/>
      <c r="CJ99" s="561">
        <v>4.24</v>
      </c>
      <c r="CK99" s="560"/>
      <c r="CL99" s="561">
        <v>8.14</v>
      </c>
      <c r="CM99" s="560"/>
      <c r="CN99" s="561">
        <v>11.71</v>
      </c>
      <c r="CO99" s="560"/>
      <c r="CP99" s="561">
        <v>16.809999999999999</v>
      </c>
      <c r="CQ99" s="560"/>
      <c r="CR99" s="561">
        <v>22.9</v>
      </c>
      <c r="CS99" s="560"/>
      <c r="CT99" s="561">
        <v>29.91</v>
      </c>
      <c r="CU99" s="560"/>
      <c r="CV99" s="561">
        <v>46.72</v>
      </c>
      <c r="CW99" s="560"/>
      <c r="CX99" s="561">
        <v>67.3</v>
      </c>
      <c r="CY99" s="560"/>
      <c r="CZ99" s="561">
        <v>91.58</v>
      </c>
      <c r="DA99" s="560"/>
      <c r="DB99" s="561">
        <v>119.64</v>
      </c>
      <c r="DC99" s="560"/>
      <c r="DD99" s="561">
        <v>151.4</v>
      </c>
      <c r="DE99" s="560"/>
      <c r="DF99" s="561">
        <v>186.94</v>
      </c>
      <c r="EH99" s="273"/>
      <c r="EJ99" s="273"/>
    </row>
    <row r="100" spans="4:140" ht="12.75" customHeight="1">
      <c r="D100" s="389"/>
      <c r="E100" s="389"/>
      <c r="F100" s="389"/>
      <c r="G100" s="389"/>
      <c r="H100" s="388"/>
      <c r="I100" s="389"/>
      <c r="J100" s="389"/>
      <c r="K100" s="389"/>
      <c r="L100" s="389"/>
      <c r="M100" s="389"/>
      <c r="N100" s="389"/>
      <c r="O100" s="407"/>
      <c r="P100" s="389"/>
      <c r="Q100" s="407"/>
      <c r="R100" s="389"/>
      <c r="S100" s="389"/>
      <c r="T100" s="389"/>
      <c r="U100" s="389"/>
      <c r="V100" s="389"/>
      <c r="W100" s="389"/>
      <c r="X100" s="389"/>
      <c r="Y100" s="389"/>
      <c r="Z100" s="389"/>
      <c r="AA100" s="389"/>
      <c r="AB100" s="389"/>
      <c r="AC100" s="388"/>
      <c r="AD100" s="388"/>
      <c r="AE100" s="388"/>
      <c r="AF100" s="388"/>
      <c r="AG100" s="388"/>
      <c r="AH100" s="388"/>
      <c r="AI100" s="388"/>
      <c r="AJ100" s="388"/>
      <c r="AK100" s="388"/>
      <c r="AL100" s="388"/>
      <c r="AM100" s="388"/>
      <c r="AN100" s="388"/>
      <c r="AO100" s="388"/>
      <c r="AP100" s="388"/>
      <c r="AQ100" s="388"/>
      <c r="AR100" s="388"/>
      <c r="AS100" s="388"/>
      <c r="AT100" s="388"/>
      <c r="AU100" s="388"/>
      <c r="AV100" s="388"/>
      <c r="AW100" s="388"/>
      <c r="AX100" s="388"/>
      <c r="AY100" s="388"/>
      <c r="AZ100" s="388"/>
      <c r="BA100" s="388"/>
      <c r="BB100" s="388"/>
      <c r="BC100" s="388"/>
      <c r="BD100" s="388"/>
      <c r="BE100" s="388"/>
      <c r="BF100" s="388"/>
      <c r="BG100" s="388"/>
      <c r="BH100" s="388"/>
      <c r="BI100" s="388"/>
      <c r="BJ100" s="388"/>
      <c r="BK100" s="388"/>
      <c r="BL100" s="388"/>
      <c r="BM100" s="388"/>
      <c r="BN100" s="388"/>
      <c r="BO100" s="388"/>
      <c r="CH100" s="560">
        <v>13</v>
      </c>
      <c r="CI100" s="560"/>
      <c r="CJ100" s="561">
        <v>4.55</v>
      </c>
      <c r="CK100" s="560"/>
      <c r="CL100" s="561">
        <v>8.74</v>
      </c>
      <c r="CM100" s="560"/>
      <c r="CN100" s="561">
        <v>12.58</v>
      </c>
      <c r="CO100" s="560"/>
      <c r="CP100" s="561">
        <v>18.05</v>
      </c>
      <c r="CQ100" s="560"/>
      <c r="CR100" s="561">
        <v>24.59</v>
      </c>
      <c r="CS100" s="560"/>
      <c r="CT100" s="561">
        <v>32.119999999999997</v>
      </c>
      <c r="CU100" s="560"/>
      <c r="CV100" s="561">
        <v>50.17</v>
      </c>
      <c r="CW100" s="560"/>
      <c r="CX100" s="561">
        <v>72.27</v>
      </c>
      <c r="CY100" s="560"/>
      <c r="CZ100" s="561">
        <v>98.35</v>
      </c>
      <c r="DA100" s="560"/>
      <c r="DB100" s="561">
        <v>128.47999999999999</v>
      </c>
      <c r="DC100" s="560"/>
      <c r="DD100" s="561">
        <v>162.59</v>
      </c>
      <c r="DE100" s="560"/>
      <c r="DF100" s="561">
        <v>200.75</v>
      </c>
      <c r="EH100" s="273"/>
      <c r="EJ100" s="273"/>
    </row>
    <row r="101" spans="4:140" ht="12.75" customHeight="1">
      <c r="D101" s="389"/>
      <c r="E101" s="389"/>
      <c r="F101" s="389"/>
      <c r="G101" s="389"/>
      <c r="H101" s="388"/>
      <c r="I101" s="389"/>
      <c r="J101" s="389"/>
      <c r="K101" s="389"/>
      <c r="L101" s="389"/>
      <c r="M101" s="389"/>
      <c r="N101" s="389"/>
      <c r="O101" s="407"/>
      <c r="P101" s="389"/>
      <c r="Q101" s="407"/>
      <c r="R101" s="389"/>
      <c r="S101" s="389"/>
      <c r="T101" s="389"/>
      <c r="U101" s="389"/>
      <c r="V101" s="389"/>
      <c r="W101" s="389"/>
      <c r="X101" s="389"/>
      <c r="Y101" s="389"/>
      <c r="Z101" s="389"/>
      <c r="AA101" s="389"/>
      <c r="AB101" s="389"/>
      <c r="AC101" s="388"/>
      <c r="AD101" s="388"/>
      <c r="AE101" s="388"/>
      <c r="AF101" s="388"/>
      <c r="AG101" s="388"/>
      <c r="AH101" s="388"/>
      <c r="AI101" s="388"/>
      <c r="AJ101" s="388"/>
      <c r="AK101" s="388"/>
      <c r="AL101" s="388"/>
      <c r="AM101" s="388"/>
      <c r="AN101" s="388"/>
      <c r="AO101" s="388"/>
      <c r="AP101" s="388"/>
      <c r="AQ101" s="388"/>
      <c r="AR101" s="388"/>
      <c r="AS101" s="388"/>
      <c r="AT101" s="388"/>
      <c r="AU101" s="388"/>
      <c r="AV101" s="388"/>
      <c r="AW101" s="388"/>
      <c r="AX101" s="388"/>
      <c r="AY101" s="388"/>
      <c r="AZ101" s="388"/>
      <c r="BA101" s="388"/>
      <c r="BB101" s="388"/>
      <c r="BC101" s="388"/>
      <c r="BD101" s="388"/>
      <c r="BE101" s="388"/>
      <c r="BF101" s="388"/>
      <c r="BG101" s="388"/>
      <c r="BH101" s="388"/>
      <c r="BI101" s="388"/>
      <c r="BJ101" s="388"/>
      <c r="BK101" s="388"/>
      <c r="BL101" s="388"/>
      <c r="BM101" s="388"/>
      <c r="BN101" s="388"/>
      <c r="BO101" s="388"/>
      <c r="CH101" s="560">
        <v>14</v>
      </c>
      <c r="CI101" s="560"/>
      <c r="CJ101" s="561">
        <v>4.8600000000000003</v>
      </c>
      <c r="CK101" s="560"/>
      <c r="CL101" s="561">
        <v>9.34</v>
      </c>
      <c r="CM101" s="560"/>
      <c r="CN101" s="561">
        <v>13.44</v>
      </c>
      <c r="CO101" s="560"/>
      <c r="CP101" s="561">
        <v>19.29</v>
      </c>
      <c r="CQ101" s="560"/>
      <c r="CR101" s="561">
        <v>26.28</v>
      </c>
      <c r="CS101" s="560"/>
      <c r="CT101" s="561">
        <v>34.33</v>
      </c>
      <c r="CU101" s="560"/>
      <c r="CV101" s="561">
        <v>53.63</v>
      </c>
      <c r="CW101" s="560"/>
      <c r="CX101" s="561">
        <v>77.25</v>
      </c>
      <c r="CY101" s="560"/>
      <c r="CZ101" s="561">
        <v>105.13</v>
      </c>
      <c r="DA101" s="560"/>
      <c r="DB101" s="561">
        <v>137.33000000000001</v>
      </c>
      <c r="DC101" s="560"/>
      <c r="DD101" s="561">
        <v>173.79</v>
      </c>
      <c r="DE101" s="560"/>
      <c r="DF101" s="561">
        <v>214.58</v>
      </c>
      <c r="EH101" s="273"/>
      <c r="EJ101" s="273"/>
    </row>
    <row r="102" spans="4:140" ht="12.75" customHeight="1">
      <c r="D102" s="389"/>
      <c r="E102" s="389"/>
      <c r="F102" s="389"/>
      <c r="G102" s="389"/>
      <c r="H102" s="388"/>
      <c r="I102" s="389"/>
      <c r="J102" s="389"/>
      <c r="K102" s="389"/>
      <c r="L102" s="389"/>
      <c r="M102" s="389"/>
      <c r="N102" s="389"/>
      <c r="O102" s="407"/>
      <c r="P102" s="389"/>
      <c r="Q102" s="407"/>
      <c r="R102" s="389"/>
      <c r="S102" s="389"/>
      <c r="T102" s="389"/>
      <c r="U102" s="389"/>
      <c r="V102" s="389"/>
      <c r="W102" s="389"/>
      <c r="X102" s="389"/>
      <c r="Y102" s="389"/>
      <c r="Z102" s="389"/>
      <c r="AA102" s="389"/>
      <c r="AB102" s="389"/>
      <c r="AC102" s="388"/>
      <c r="AD102" s="388"/>
      <c r="AE102" s="388"/>
      <c r="AF102" s="388"/>
      <c r="AG102" s="388"/>
      <c r="AH102" s="388"/>
      <c r="AI102" s="388"/>
      <c r="AJ102" s="388"/>
      <c r="AK102" s="388"/>
      <c r="AL102" s="388"/>
      <c r="AM102" s="388"/>
      <c r="AN102" s="388"/>
      <c r="AO102" s="388"/>
      <c r="AP102" s="388"/>
      <c r="AQ102" s="388"/>
      <c r="AR102" s="388"/>
      <c r="AS102" s="388"/>
      <c r="AT102" s="388"/>
      <c r="AU102" s="388"/>
      <c r="AV102" s="388"/>
      <c r="AW102" s="388"/>
      <c r="AX102" s="388"/>
      <c r="AY102" s="388"/>
      <c r="AZ102" s="388"/>
      <c r="BA102" s="388"/>
      <c r="BB102" s="388"/>
      <c r="BC102" s="388"/>
      <c r="BD102" s="388"/>
      <c r="BE102" s="388"/>
      <c r="BF102" s="388"/>
      <c r="BG102" s="388"/>
      <c r="BH102" s="388"/>
      <c r="BI102" s="388"/>
      <c r="BJ102" s="388"/>
      <c r="BK102" s="388"/>
      <c r="BL102" s="388"/>
      <c r="BM102" s="388"/>
      <c r="BN102" s="388"/>
      <c r="BO102" s="388"/>
      <c r="CH102" s="560">
        <v>15</v>
      </c>
      <c r="CI102" s="560"/>
      <c r="CJ102" s="561">
        <v>5.17</v>
      </c>
      <c r="CK102" s="560"/>
      <c r="CL102" s="561">
        <v>9.9499999999999993</v>
      </c>
      <c r="CM102" s="560"/>
      <c r="CN102" s="561">
        <v>14.31</v>
      </c>
      <c r="CO102" s="560"/>
      <c r="CP102" s="561">
        <v>20.54</v>
      </c>
      <c r="CQ102" s="560"/>
      <c r="CR102" s="561">
        <v>27.98</v>
      </c>
      <c r="CS102" s="560"/>
      <c r="CT102" s="561">
        <v>36.549999999999997</v>
      </c>
      <c r="CU102" s="560"/>
      <c r="CV102" s="561">
        <v>57.08</v>
      </c>
      <c r="CW102" s="560"/>
      <c r="CX102" s="561">
        <v>82.23</v>
      </c>
      <c r="CY102" s="560"/>
      <c r="CZ102" s="561">
        <v>111.9</v>
      </c>
      <c r="DA102" s="560"/>
      <c r="DB102" s="561">
        <v>146.18</v>
      </c>
      <c r="DC102" s="560"/>
      <c r="DD102" s="561">
        <v>184.99</v>
      </c>
      <c r="DE102" s="560"/>
      <c r="DF102" s="561">
        <v>228.41</v>
      </c>
      <c r="EH102" s="273"/>
      <c r="EJ102" s="273"/>
    </row>
    <row r="103" spans="4:140" ht="12.75" customHeight="1">
      <c r="D103" s="389"/>
      <c r="E103" s="389"/>
      <c r="F103" s="389"/>
      <c r="G103" s="389"/>
      <c r="H103" s="388"/>
      <c r="I103" s="389"/>
      <c r="J103" s="389"/>
      <c r="K103" s="389"/>
      <c r="L103" s="389"/>
      <c r="M103" s="389"/>
      <c r="N103" s="389"/>
      <c r="O103" s="407"/>
      <c r="P103" s="389"/>
      <c r="Q103" s="407"/>
      <c r="R103" s="389"/>
      <c r="S103" s="389"/>
      <c r="T103" s="389"/>
      <c r="U103" s="389"/>
      <c r="V103" s="389"/>
      <c r="W103" s="389"/>
      <c r="X103" s="389"/>
      <c r="Y103" s="389"/>
      <c r="Z103" s="389"/>
      <c r="AA103" s="389"/>
      <c r="AB103" s="389"/>
      <c r="AC103" s="388"/>
      <c r="AD103" s="388"/>
      <c r="AE103" s="388"/>
      <c r="AF103" s="388"/>
      <c r="AG103" s="388"/>
      <c r="AH103" s="388"/>
      <c r="AI103" s="388"/>
      <c r="AJ103" s="388"/>
      <c r="AK103" s="388"/>
      <c r="AL103" s="388"/>
      <c r="AM103" s="388"/>
      <c r="AN103" s="388"/>
      <c r="AO103" s="388"/>
      <c r="AP103" s="388"/>
      <c r="AQ103" s="388"/>
      <c r="AR103" s="388"/>
      <c r="AS103" s="388"/>
      <c r="AT103" s="388"/>
      <c r="AU103" s="388"/>
      <c r="AV103" s="388"/>
      <c r="AW103" s="388"/>
      <c r="AX103" s="388"/>
      <c r="AY103" s="388"/>
      <c r="AZ103" s="388"/>
      <c r="BA103" s="388"/>
      <c r="BB103" s="388"/>
      <c r="BC103" s="388"/>
      <c r="BD103" s="388"/>
      <c r="BE103" s="388"/>
      <c r="BF103" s="388"/>
      <c r="BG103" s="388"/>
      <c r="BH103" s="388"/>
      <c r="BI103" s="388"/>
      <c r="BJ103" s="388"/>
      <c r="BK103" s="388"/>
      <c r="BL103" s="388"/>
      <c r="BM103" s="388"/>
      <c r="BN103" s="388"/>
      <c r="BO103" s="388"/>
      <c r="CH103" s="560">
        <v>16</v>
      </c>
      <c r="CI103" s="560"/>
      <c r="CJ103" s="561">
        <v>5.49</v>
      </c>
      <c r="CK103" s="560"/>
      <c r="CL103" s="561">
        <v>10.55</v>
      </c>
      <c r="CM103" s="560"/>
      <c r="CN103" s="561">
        <v>15.18</v>
      </c>
      <c r="CO103" s="560"/>
      <c r="CP103" s="561">
        <v>21.78</v>
      </c>
      <c r="CQ103" s="560"/>
      <c r="CR103" s="561">
        <v>29.67</v>
      </c>
      <c r="CS103" s="560"/>
      <c r="CT103" s="561">
        <v>38.76</v>
      </c>
      <c r="CU103" s="560"/>
      <c r="CV103" s="561">
        <v>60.54</v>
      </c>
      <c r="CW103" s="560"/>
      <c r="CX103" s="561">
        <v>87.21</v>
      </c>
      <c r="CY103" s="560"/>
      <c r="CZ103" s="561">
        <v>118.69</v>
      </c>
      <c r="DA103" s="560"/>
      <c r="DB103" s="561">
        <v>155.05000000000001</v>
      </c>
      <c r="DC103" s="560"/>
      <c r="DD103" s="561">
        <v>196.21</v>
      </c>
      <c r="DE103" s="560"/>
      <c r="DF103" s="561">
        <v>242.26</v>
      </c>
      <c r="EH103" s="273"/>
      <c r="EJ103" s="273"/>
    </row>
    <row r="104" spans="4:140" ht="12.75" customHeight="1">
      <c r="D104" s="389"/>
      <c r="E104" s="389"/>
      <c r="F104" s="389"/>
      <c r="G104" s="389"/>
      <c r="H104" s="388"/>
      <c r="I104" s="389"/>
      <c r="J104" s="389"/>
      <c r="K104" s="389"/>
      <c r="L104" s="389"/>
      <c r="M104" s="389"/>
      <c r="N104" s="389"/>
      <c r="O104" s="407"/>
      <c r="P104" s="389"/>
      <c r="Q104" s="407"/>
      <c r="R104" s="389"/>
      <c r="S104" s="389"/>
      <c r="T104" s="389"/>
      <c r="U104" s="389"/>
      <c r="V104" s="389"/>
      <c r="W104" s="389"/>
      <c r="X104" s="389"/>
      <c r="Y104" s="389"/>
      <c r="Z104" s="389"/>
      <c r="AA104" s="389"/>
      <c r="AB104" s="389"/>
      <c r="AC104" s="388"/>
      <c r="AD104" s="388"/>
      <c r="AE104" s="388"/>
      <c r="AF104" s="388"/>
      <c r="AG104" s="388"/>
      <c r="AH104" s="388"/>
      <c r="AI104" s="388"/>
      <c r="AJ104" s="388"/>
      <c r="AK104" s="388"/>
      <c r="AL104" s="388"/>
      <c r="AM104" s="388"/>
      <c r="AN104" s="388"/>
      <c r="AO104" s="388"/>
      <c r="AP104" s="388"/>
      <c r="AQ104" s="388"/>
      <c r="AR104" s="388"/>
      <c r="AS104" s="388"/>
      <c r="AT104" s="388"/>
      <c r="AU104" s="388"/>
      <c r="AV104" s="388"/>
      <c r="AW104" s="388"/>
      <c r="AX104" s="388"/>
      <c r="AY104" s="388"/>
      <c r="AZ104" s="388"/>
      <c r="BA104" s="388"/>
      <c r="BB104" s="388"/>
      <c r="BC104" s="388"/>
      <c r="BD104" s="388"/>
      <c r="BE104" s="388"/>
      <c r="BF104" s="388"/>
      <c r="BG104" s="388"/>
      <c r="BH104" s="388"/>
      <c r="BI104" s="388"/>
      <c r="BJ104" s="388"/>
      <c r="BK104" s="388"/>
      <c r="BL104" s="388"/>
      <c r="BM104" s="388"/>
      <c r="BN104" s="388"/>
      <c r="BO104" s="388"/>
      <c r="EH104" s="273"/>
      <c r="EJ104" s="273"/>
    </row>
    <row r="105" spans="4:140" ht="12.75" customHeight="1">
      <c r="D105" s="389"/>
      <c r="E105" s="389"/>
      <c r="F105" s="389"/>
      <c r="G105" s="389"/>
      <c r="H105" s="388"/>
      <c r="I105" s="389"/>
      <c r="J105" s="389"/>
      <c r="K105" s="389"/>
      <c r="L105" s="389"/>
      <c r="M105" s="389"/>
      <c r="N105" s="389"/>
      <c r="O105" s="407"/>
      <c r="P105" s="389"/>
      <c r="Q105" s="407"/>
      <c r="R105" s="389"/>
      <c r="S105" s="389"/>
      <c r="T105" s="389"/>
      <c r="U105" s="389"/>
      <c r="V105" s="389"/>
      <c r="W105" s="389"/>
      <c r="X105" s="389"/>
      <c r="Y105" s="389"/>
      <c r="Z105" s="389"/>
      <c r="AA105" s="389"/>
      <c r="AB105" s="389"/>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c r="BJ105" s="388"/>
      <c r="BK105" s="388"/>
      <c r="BL105" s="388"/>
      <c r="BM105" s="388"/>
      <c r="BN105" s="388"/>
      <c r="BO105" s="388"/>
      <c r="EH105" s="273"/>
      <c r="EJ105" s="273"/>
    </row>
    <row r="106" spans="4:140" ht="12.75" customHeight="1">
      <c r="D106" s="389"/>
      <c r="E106" s="389"/>
      <c r="F106" s="389"/>
      <c r="G106" s="389"/>
      <c r="H106" s="388"/>
      <c r="I106" s="389"/>
      <c r="J106" s="389"/>
      <c r="K106" s="389"/>
      <c r="L106" s="389"/>
      <c r="M106" s="389"/>
      <c r="N106" s="389"/>
      <c r="O106" s="407"/>
      <c r="P106" s="389"/>
      <c r="Q106" s="407"/>
      <c r="R106" s="389"/>
      <c r="S106" s="389"/>
      <c r="T106" s="389"/>
      <c r="U106" s="389"/>
      <c r="V106" s="389"/>
      <c r="W106" s="389"/>
      <c r="X106" s="389"/>
      <c r="Y106" s="389"/>
      <c r="Z106" s="389"/>
      <c r="AA106" s="389"/>
      <c r="AB106" s="389"/>
      <c r="AC106" s="388"/>
      <c r="AD106" s="388"/>
      <c r="AE106" s="388"/>
      <c r="AF106" s="388"/>
      <c r="AG106" s="388"/>
      <c r="AH106" s="388"/>
      <c r="AI106" s="388"/>
      <c r="AJ106" s="388"/>
      <c r="AK106" s="388"/>
      <c r="AL106" s="388"/>
      <c r="AM106" s="388"/>
      <c r="AN106" s="388"/>
      <c r="AO106" s="388"/>
      <c r="AP106" s="388"/>
      <c r="AQ106" s="388"/>
      <c r="AR106" s="388"/>
      <c r="AS106" s="388"/>
      <c r="AT106" s="388"/>
      <c r="AU106" s="388"/>
      <c r="AV106" s="388"/>
      <c r="AW106" s="388"/>
      <c r="AX106" s="388"/>
      <c r="AY106" s="388"/>
      <c r="AZ106" s="388"/>
      <c r="BA106" s="388"/>
      <c r="BB106" s="388"/>
      <c r="BC106" s="388"/>
      <c r="BD106" s="388"/>
      <c r="BE106" s="388"/>
      <c r="BF106" s="388"/>
      <c r="BG106" s="388"/>
      <c r="BH106" s="388"/>
      <c r="BI106" s="388"/>
      <c r="BJ106" s="388"/>
      <c r="BK106" s="388"/>
      <c r="BL106" s="388"/>
      <c r="BM106" s="388"/>
      <c r="BN106" s="388"/>
      <c r="BO106" s="388"/>
      <c r="CH106" s="560">
        <v>0.5</v>
      </c>
      <c r="CJ106" s="2">
        <f t="shared" ref="CJ106:CJ122" si="66">IF($CH106=$CH$27,CJ87,0)</f>
        <v>0</v>
      </c>
      <c r="CL106" s="2">
        <f t="shared" ref="CL106:CL122" si="67">IF($CH106=$CH$27,CL87,0)</f>
        <v>0</v>
      </c>
      <c r="CN106" s="2">
        <f t="shared" ref="CN106:CN122" si="68">IF($CH106=$CH$27,CN87,0)</f>
        <v>0</v>
      </c>
      <c r="CP106" s="2">
        <f t="shared" ref="CP106:CP122" si="69">IF($CH106=$CH$27,CP87,0)</f>
        <v>0</v>
      </c>
      <c r="CR106" s="2">
        <f t="shared" ref="CR106:CR122" si="70">IF($CH106=$CH$27,CR87,0)</f>
        <v>0</v>
      </c>
      <c r="CT106" s="2">
        <f t="shared" ref="CT106:CT122" si="71">IF($CH106=$CH$27,CT87,0)</f>
        <v>0</v>
      </c>
      <c r="CV106" s="2">
        <f t="shared" ref="CV106:CV122" si="72">IF($CH106=$CH$27,CV87,0)</f>
        <v>0</v>
      </c>
      <c r="CX106" s="2">
        <f t="shared" ref="CX106:CX122" si="73">IF($CH106=$CH$27,CX87,0)</f>
        <v>0</v>
      </c>
      <c r="CZ106" s="2">
        <f t="shared" ref="CZ106:CZ122" si="74">IF($CH106=$CH$27,CZ87,0)</f>
        <v>0</v>
      </c>
      <c r="DB106" s="2">
        <f t="shared" ref="DB106:DB122" si="75">IF($CH106=$CH$27,DB87,0)</f>
        <v>0</v>
      </c>
      <c r="DD106" s="2">
        <f t="shared" ref="DD106:DD122" si="76">IF($CH106=$CH$27,DD87,0)</f>
        <v>0</v>
      </c>
      <c r="DF106" s="2">
        <f t="shared" ref="DF106:DF122" si="77">IF($CH106=$CH$27,DF87,0)</f>
        <v>0</v>
      </c>
      <c r="EH106" s="273"/>
      <c r="EJ106" s="273"/>
    </row>
    <row r="107" spans="4:140" ht="12.75" customHeight="1">
      <c r="D107" s="389"/>
      <c r="E107" s="389"/>
      <c r="F107" s="389"/>
      <c r="G107" s="389"/>
      <c r="H107" s="388"/>
      <c r="I107" s="389"/>
      <c r="J107" s="389"/>
      <c r="K107" s="389"/>
      <c r="L107" s="389"/>
      <c r="M107" s="389"/>
      <c r="N107" s="389"/>
      <c r="O107" s="407"/>
      <c r="P107" s="389"/>
      <c r="Q107" s="407"/>
      <c r="R107" s="389"/>
      <c r="S107" s="389"/>
      <c r="T107" s="389"/>
      <c r="U107" s="389"/>
      <c r="V107" s="389"/>
      <c r="W107" s="389"/>
      <c r="X107" s="389"/>
      <c r="Y107" s="389"/>
      <c r="Z107" s="389"/>
      <c r="AA107" s="389"/>
      <c r="AB107" s="389"/>
      <c r="AC107" s="388"/>
      <c r="AD107" s="388"/>
      <c r="AE107" s="388"/>
      <c r="AF107" s="388"/>
      <c r="AG107" s="388"/>
      <c r="AH107" s="388"/>
      <c r="AI107" s="388"/>
      <c r="AJ107" s="388"/>
      <c r="AK107" s="388"/>
      <c r="AL107" s="388"/>
      <c r="AM107" s="388"/>
      <c r="AN107" s="388"/>
      <c r="AO107" s="388"/>
      <c r="AP107" s="388"/>
      <c r="AQ107" s="388"/>
      <c r="AR107" s="388"/>
      <c r="AS107" s="388"/>
      <c r="AT107" s="388"/>
      <c r="AU107" s="388"/>
      <c r="AV107" s="388"/>
      <c r="AW107" s="388"/>
      <c r="AX107" s="388"/>
      <c r="AY107" s="388"/>
      <c r="AZ107" s="388"/>
      <c r="BA107" s="388"/>
      <c r="BB107" s="388"/>
      <c r="BC107" s="388"/>
      <c r="BD107" s="388"/>
      <c r="BE107" s="388"/>
      <c r="BF107" s="388"/>
      <c r="BG107" s="388"/>
      <c r="BH107" s="388"/>
      <c r="BI107" s="388"/>
      <c r="BJ107" s="388"/>
      <c r="BK107" s="388"/>
      <c r="BL107" s="388"/>
      <c r="BM107" s="388"/>
      <c r="BN107" s="388"/>
      <c r="BO107" s="388"/>
      <c r="CH107" s="560">
        <v>1</v>
      </c>
      <c r="CJ107" s="2">
        <f t="shared" si="66"/>
        <v>0</v>
      </c>
      <c r="CL107" s="2">
        <f t="shared" si="67"/>
        <v>0</v>
      </c>
      <c r="CN107" s="2">
        <f t="shared" si="68"/>
        <v>0</v>
      </c>
      <c r="CP107" s="2">
        <f t="shared" si="69"/>
        <v>0</v>
      </c>
      <c r="CR107" s="2">
        <f t="shared" si="70"/>
        <v>0</v>
      </c>
      <c r="CT107" s="2">
        <f t="shared" si="71"/>
        <v>0</v>
      </c>
      <c r="CV107" s="2">
        <f t="shared" si="72"/>
        <v>0</v>
      </c>
      <c r="CX107" s="2">
        <f t="shared" si="73"/>
        <v>0</v>
      </c>
      <c r="CZ107" s="2">
        <f t="shared" si="74"/>
        <v>0</v>
      </c>
      <c r="DB107" s="2">
        <f t="shared" si="75"/>
        <v>0</v>
      </c>
      <c r="DD107" s="2">
        <f t="shared" si="76"/>
        <v>0</v>
      </c>
      <c r="DF107" s="2">
        <f t="shared" si="77"/>
        <v>0</v>
      </c>
      <c r="EH107" s="273"/>
      <c r="EJ107" s="273"/>
    </row>
    <row r="108" spans="4:140" ht="12.75" customHeight="1">
      <c r="D108" s="389"/>
      <c r="E108" s="389"/>
      <c r="F108" s="389"/>
      <c r="G108" s="389"/>
      <c r="H108" s="388"/>
      <c r="I108" s="389"/>
      <c r="J108" s="389"/>
      <c r="K108" s="389"/>
      <c r="L108" s="389"/>
      <c r="M108" s="389"/>
      <c r="N108" s="389"/>
      <c r="O108" s="407"/>
      <c r="P108" s="389"/>
      <c r="Q108" s="407"/>
      <c r="R108" s="389"/>
      <c r="S108" s="389"/>
      <c r="T108" s="389"/>
      <c r="U108" s="389"/>
      <c r="V108" s="389"/>
      <c r="W108" s="389"/>
      <c r="X108" s="389"/>
      <c r="Y108" s="389"/>
      <c r="Z108" s="389"/>
      <c r="AA108" s="389"/>
      <c r="AB108" s="389"/>
      <c r="AC108" s="388"/>
      <c r="AD108" s="388"/>
      <c r="AE108" s="388"/>
      <c r="AF108" s="388"/>
      <c r="AG108" s="388"/>
      <c r="AH108" s="388"/>
      <c r="AI108" s="388"/>
      <c r="AJ108" s="388"/>
      <c r="AK108" s="388"/>
      <c r="AL108" s="388"/>
      <c r="AM108" s="388"/>
      <c r="AN108" s="388"/>
      <c r="AO108" s="388"/>
      <c r="AP108" s="388"/>
      <c r="AQ108" s="388"/>
      <c r="AR108" s="388"/>
      <c r="AS108" s="388"/>
      <c r="AT108" s="388"/>
      <c r="AU108" s="388"/>
      <c r="AV108" s="388"/>
      <c r="AW108" s="388"/>
      <c r="AX108" s="388"/>
      <c r="AY108" s="388"/>
      <c r="AZ108" s="388"/>
      <c r="BA108" s="388"/>
      <c r="BB108" s="388"/>
      <c r="BC108" s="388"/>
      <c r="BD108" s="388"/>
      <c r="BE108" s="388"/>
      <c r="BF108" s="388"/>
      <c r="BG108" s="388"/>
      <c r="BH108" s="388"/>
      <c r="BI108" s="388"/>
      <c r="BJ108" s="388"/>
      <c r="BK108" s="388"/>
      <c r="BL108" s="388"/>
      <c r="BM108" s="388"/>
      <c r="BN108" s="388"/>
      <c r="BO108" s="388"/>
      <c r="CH108" s="560">
        <v>2</v>
      </c>
      <c r="CJ108" s="2">
        <f t="shared" si="66"/>
        <v>0</v>
      </c>
      <c r="CL108" s="2">
        <f t="shared" si="67"/>
        <v>0</v>
      </c>
      <c r="CN108" s="2">
        <f t="shared" si="68"/>
        <v>0</v>
      </c>
      <c r="CP108" s="2">
        <f t="shared" si="69"/>
        <v>0</v>
      </c>
      <c r="CR108" s="2">
        <f t="shared" si="70"/>
        <v>0</v>
      </c>
      <c r="CT108" s="2">
        <f t="shared" si="71"/>
        <v>0</v>
      </c>
      <c r="CV108" s="2">
        <f t="shared" si="72"/>
        <v>0</v>
      </c>
      <c r="CX108" s="2">
        <f t="shared" si="73"/>
        <v>0</v>
      </c>
      <c r="CZ108" s="2">
        <f t="shared" si="74"/>
        <v>0</v>
      </c>
      <c r="DB108" s="2">
        <f t="shared" si="75"/>
        <v>0</v>
      </c>
      <c r="DD108" s="2">
        <f t="shared" si="76"/>
        <v>0</v>
      </c>
      <c r="DF108" s="2">
        <f t="shared" si="77"/>
        <v>0</v>
      </c>
      <c r="EH108" s="273"/>
      <c r="EJ108" s="273"/>
    </row>
    <row r="109" spans="4:140" ht="12.75" customHeight="1">
      <c r="D109" s="389"/>
      <c r="E109" s="389"/>
      <c r="F109" s="389"/>
      <c r="G109" s="389"/>
      <c r="H109" s="388"/>
      <c r="I109" s="389"/>
      <c r="J109" s="389"/>
      <c r="K109" s="389"/>
      <c r="L109" s="389"/>
      <c r="M109" s="389"/>
      <c r="N109" s="389"/>
      <c r="O109" s="407"/>
      <c r="P109" s="389"/>
      <c r="Q109" s="407"/>
      <c r="R109" s="389"/>
      <c r="S109" s="389"/>
      <c r="T109" s="389"/>
      <c r="U109" s="389"/>
      <c r="V109" s="389"/>
      <c r="W109" s="389"/>
      <c r="X109" s="389"/>
      <c r="Y109" s="389"/>
      <c r="Z109" s="389"/>
      <c r="AA109" s="389"/>
      <c r="AB109" s="389"/>
      <c r="AC109" s="388"/>
      <c r="AD109" s="388"/>
      <c r="AE109" s="388"/>
      <c r="AF109" s="388"/>
      <c r="AG109" s="388"/>
      <c r="AH109" s="388"/>
      <c r="AI109" s="388"/>
      <c r="AJ109" s="388"/>
      <c r="AK109" s="388"/>
      <c r="AL109" s="388"/>
      <c r="AM109" s="388"/>
      <c r="AN109" s="388"/>
      <c r="AO109" s="388"/>
      <c r="AP109" s="388"/>
      <c r="AQ109" s="388"/>
      <c r="AR109" s="388"/>
      <c r="AS109" s="388"/>
      <c r="AT109" s="388"/>
      <c r="AU109" s="388"/>
      <c r="AV109" s="388"/>
      <c r="AW109" s="388"/>
      <c r="AX109" s="388"/>
      <c r="AY109" s="388"/>
      <c r="AZ109" s="388"/>
      <c r="BA109" s="388"/>
      <c r="BB109" s="388"/>
      <c r="BC109" s="388"/>
      <c r="BD109" s="388"/>
      <c r="BE109" s="388"/>
      <c r="BF109" s="388"/>
      <c r="BG109" s="388"/>
      <c r="BH109" s="388"/>
      <c r="BI109" s="388"/>
      <c r="BJ109" s="388"/>
      <c r="BK109" s="388"/>
      <c r="BL109" s="388"/>
      <c r="BM109" s="388"/>
      <c r="BN109" s="388"/>
      <c r="BO109" s="388"/>
      <c r="CH109" s="560">
        <v>3</v>
      </c>
      <c r="CJ109" s="2">
        <f t="shared" si="66"/>
        <v>0</v>
      </c>
      <c r="CL109" s="2">
        <f t="shared" si="67"/>
        <v>0</v>
      </c>
      <c r="CN109" s="2">
        <f t="shared" si="68"/>
        <v>0</v>
      </c>
      <c r="CP109" s="2">
        <f t="shared" si="69"/>
        <v>0</v>
      </c>
      <c r="CR109" s="2">
        <f t="shared" si="70"/>
        <v>0</v>
      </c>
      <c r="CT109" s="2">
        <f t="shared" si="71"/>
        <v>0</v>
      </c>
      <c r="CV109" s="2">
        <f t="shared" si="72"/>
        <v>0</v>
      </c>
      <c r="CX109" s="2">
        <f t="shared" si="73"/>
        <v>0</v>
      </c>
      <c r="CZ109" s="2">
        <f t="shared" si="74"/>
        <v>0</v>
      </c>
      <c r="DB109" s="2">
        <f t="shared" si="75"/>
        <v>0</v>
      </c>
      <c r="DD109" s="2">
        <f t="shared" si="76"/>
        <v>0</v>
      </c>
      <c r="DF109" s="2">
        <f t="shared" si="77"/>
        <v>0</v>
      </c>
      <c r="EH109" s="273"/>
      <c r="EJ109" s="273"/>
    </row>
    <row r="110" spans="4:140" ht="12.75" customHeight="1">
      <c r="D110" s="389"/>
      <c r="E110" s="389"/>
      <c r="F110" s="389"/>
      <c r="G110" s="389"/>
      <c r="H110" s="388"/>
      <c r="I110" s="389"/>
      <c r="J110" s="389"/>
      <c r="K110" s="389"/>
      <c r="L110" s="389"/>
      <c r="M110" s="389"/>
      <c r="N110" s="389"/>
      <c r="O110" s="407"/>
      <c r="P110" s="389"/>
      <c r="Q110" s="407"/>
      <c r="R110" s="389"/>
      <c r="S110" s="389"/>
      <c r="T110" s="389"/>
      <c r="U110" s="389"/>
      <c r="V110" s="389"/>
      <c r="W110" s="389"/>
      <c r="X110" s="389"/>
      <c r="Y110" s="389"/>
      <c r="Z110" s="389"/>
      <c r="AA110" s="389"/>
      <c r="AB110" s="389"/>
      <c r="AC110" s="388"/>
      <c r="AD110" s="388"/>
      <c r="AE110" s="388"/>
      <c r="AF110" s="388"/>
      <c r="AG110" s="388"/>
      <c r="AH110" s="388"/>
      <c r="AI110" s="388"/>
      <c r="AJ110" s="388"/>
      <c r="AK110" s="388"/>
      <c r="AL110" s="388"/>
      <c r="AM110" s="388"/>
      <c r="AN110" s="388"/>
      <c r="AO110" s="388"/>
      <c r="AP110" s="388"/>
      <c r="AQ110" s="388"/>
      <c r="AR110" s="388"/>
      <c r="AS110" s="388"/>
      <c r="AT110" s="388"/>
      <c r="AU110" s="388"/>
      <c r="AV110" s="388"/>
      <c r="AW110" s="388"/>
      <c r="AX110" s="388"/>
      <c r="AY110" s="388"/>
      <c r="AZ110" s="388"/>
      <c r="BA110" s="388"/>
      <c r="BB110" s="388"/>
      <c r="BC110" s="388"/>
      <c r="BD110" s="388"/>
      <c r="BE110" s="388"/>
      <c r="BF110" s="388"/>
      <c r="BG110" s="388"/>
      <c r="BH110" s="388"/>
      <c r="BI110" s="388"/>
      <c r="BJ110" s="388"/>
      <c r="BK110" s="388"/>
      <c r="BL110" s="388"/>
      <c r="BM110" s="388"/>
      <c r="BN110" s="388"/>
      <c r="BO110" s="388"/>
      <c r="CH110" s="560">
        <v>4</v>
      </c>
      <c r="CJ110" s="2">
        <f t="shared" si="66"/>
        <v>0</v>
      </c>
      <c r="CL110" s="2">
        <f t="shared" si="67"/>
        <v>0</v>
      </c>
      <c r="CN110" s="2">
        <f t="shared" si="68"/>
        <v>0</v>
      </c>
      <c r="CP110" s="2">
        <f t="shared" si="69"/>
        <v>0</v>
      </c>
      <c r="CR110" s="2">
        <f t="shared" si="70"/>
        <v>0</v>
      </c>
      <c r="CT110" s="2">
        <f t="shared" si="71"/>
        <v>0</v>
      </c>
      <c r="CV110" s="2">
        <f t="shared" si="72"/>
        <v>0</v>
      </c>
      <c r="CX110" s="2">
        <f t="shared" si="73"/>
        <v>0</v>
      </c>
      <c r="CZ110" s="2">
        <f t="shared" si="74"/>
        <v>0</v>
      </c>
      <c r="DB110" s="2">
        <f t="shared" si="75"/>
        <v>0</v>
      </c>
      <c r="DD110" s="2">
        <f t="shared" si="76"/>
        <v>0</v>
      </c>
      <c r="DF110" s="2">
        <f t="shared" si="77"/>
        <v>0</v>
      </c>
      <c r="EH110" s="273"/>
      <c r="EJ110" s="273"/>
    </row>
    <row r="111" spans="4:140" ht="12.75" customHeight="1">
      <c r="D111" s="389"/>
      <c r="E111" s="389"/>
      <c r="F111" s="389"/>
      <c r="G111" s="389"/>
      <c r="H111" s="388"/>
      <c r="I111" s="389"/>
      <c r="J111" s="389"/>
      <c r="K111" s="389"/>
      <c r="L111" s="389"/>
      <c r="M111" s="389"/>
      <c r="N111" s="389"/>
      <c r="O111" s="407"/>
      <c r="P111" s="389"/>
      <c r="Q111" s="407"/>
      <c r="R111" s="389"/>
      <c r="S111" s="389"/>
      <c r="T111" s="389"/>
      <c r="U111" s="389"/>
      <c r="V111" s="389"/>
      <c r="W111" s="389"/>
      <c r="X111" s="389"/>
      <c r="Y111" s="389"/>
      <c r="Z111" s="389"/>
      <c r="AA111" s="389"/>
      <c r="AB111" s="389"/>
      <c r="AC111" s="388"/>
      <c r="AD111" s="388"/>
      <c r="AE111" s="388"/>
      <c r="AF111" s="388"/>
      <c r="AG111" s="388"/>
      <c r="AH111" s="388"/>
      <c r="AI111" s="388"/>
      <c r="AJ111" s="388"/>
      <c r="AK111" s="388"/>
      <c r="AL111" s="388"/>
      <c r="AM111" s="388"/>
      <c r="AN111" s="388"/>
      <c r="AO111" s="388"/>
      <c r="AP111" s="388"/>
      <c r="AQ111" s="388"/>
      <c r="AR111" s="388"/>
      <c r="AS111" s="388"/>
      <c r="AT111" s="388"/>
      <c r="AU111" s="388"/>
      <c r="AV111" s="388"/>
      <c r="AW111" s="388"/>
      <c r="AX111" s="388"/>
      <c r="AY111" s="388"/>
      <c r="AZ111" s="388"/>
      <c r="BA111" s="388"/>
      <c r="BB111" s="388"/>
      <c r="BC111" s="388"/>
      <c r="BD111" s="388"/>
      <c r="BE111" s="388"/>
      <c r="BF111" s="388"/>
      <c r="BG111" s="388"/>
      <c r="BH111" s="388"/>
      <c r="BI111" s="388"/>
      <c r="BJ111" s="388"/>
      <c r="BK111" s="388"/>
      <c r="BL111" s="388"/>
      <c r="BM111" s="388"/>
      <c r="BN111" s="388"/>
      <c r="BO111" s="388"/>
      <c r="CH111" s="560">
        <v>5</v>
      </c>
      <c r="CJ111" s="2">
        <f t="shared" si="66"/>
        <v>0</v>
      </c>
      <c r="CL111" s="2">
        <f t="shared" si="67"/>
        <v>0</v>
      </c>
      <c r="CN111" s="2">
        <f t="shared" si="68"/>
        <v>0</v>
      </c>
      <c r="CP111" s="2">
        <f t="shared" si="69"/>
        <v>0</v>
      </c>
      <c r="CR111" s="2">
        <f t="shared" si="70"/>
        <v>0</v>
      </c>
      <c r="CT111" s="2">
        <f t="shared" si="71"/>
        <v>0</v>
      </c>
      <c r="CV111" s="2">
        <f t="shared" si="72"/>
        <v>0</v>
      </c>
      <c r="CX111" s="2">
        <f t="shared" si="73"/>
        <v>0</v>
      </c>
      <c r="CZ111" s="2">
        <f t="shared" si="74"/>
        <v>0</v>
      </c>
      <c r="DB111" s="2">
        <f t="shared" si="75"/>
        <v>0</v>
      </c>
      <c r="DD111" s="2">
        <f t="shared" si="76"/>
        <v>0</v>
      </c>
      <c r="DF111" s="2">
        <f t="shared" si="77"/>
        <v>0</v>
      </c>
      <c r="EH111" s="273"/>
      <c r="EJ111" s="273"/>
    </row>
    <row r="112" spans="4:140" ht="12.75" customHeight="1">
      <c r="D112" s="389"/>
      <c r="E112" s="389"/>
      <c r="F112" s="389"/>
      <c r="G112" s="389"/>
      <c r="H112" s="388"/>
      <c r="I112" s="389"/>
      <c r="J112" s="389"/>
      <c r="K112" s="389"/>
      <c r="L112" s="389"/>
      <c r="M112" s="389"/>
      <c r="N112" s="389"/>
      <c r="O112" s="407"/>
      <c r="P112" s="389"/>
      <c r="Q112" s="407"/>
      <c r="R112" s="389"/>
      <c r="S112" s="389"/>
      <c r="T112" s="389"/>
      <c r="U112" s="389"/>
      <c r="V112" s="389"/>
      <c r="W112" s="389"/>
      <c r="X112" s="389"/>
      <c r="Y112" s="389"/>
      <c r="Z112" s="389"/>
      <c r="AA112" s="389"/>
      <c r="AB112" s="389"/>
      <c r="AC112" s="388"/>
      <c r="AD112" s="388"/>
      <c r="AE112" s="388"/>
      <c r="AF112" s="388"/>
      <c r="AG112" s="388"/>
      <c r="AH112" s="388"/>
      <c r="AI112" s="388"/>
      <c r="AJ112" s="388"/>
      <c r="AK112" s="388"/>
      <c r="AL112" s="388"/>
      <c r="AM112" s="388"/>
      <c r="AN112" s="388"/>
      <c r="AO112" s="388"/>
      <c r="AP112" s="388"/>
      <c r="AQ112" s="388"/>
      <c r="AR112" s="388"/>
      <c r="AS112" s="388"/>
      <c r="AT112" s="388"/>
      <c r="AU112" s="388"/>
      <c r="AV112" s="388"/>
      <c r="AW112" s="388"/>
      <c r="AX112" s="388"/>
      <c r="AY112" s="388"/>
      <c r="AZ112" s="388"/>
      <c r="BA112" s="388"/>
      <c r="BB112" s="388"/>
      <c r="BC112" s="388"/>
      <c r="BD112" s="388"/>
      <c r="BE112" s="388"/>
      <c r="BF112" s="388"/>
      <c r="BG112" s="388"/>
      <c r="BH112" s="388"/>
      <c r="BI112" s="388"/>
      <c r="BJ112" s="388"/>
      <c r="BK112" s="388"/>
      <c r="BL112" s="388"/>
      <c r="BM112" s="388"/>
      <c r="BN112" s="388"/>
      <c r="BO112" s="388"/>
      <c r="CH112" s="560">
        <v>6</v>
      </c>
      <c r="CJ112" s="2">
        <f t="shared" si="66"/>
        <v>0</v>
      </c>
      <c r="CL112" s="2">
        <f t="shared" si="67"/>
        <v>0</v>
      </c>
      <c r="CN112" s="2">
        <f t="shared" si="68"/>
        <v>0</v>
      </c>
      <c r="CP112" s="2">
        <f t="shared" si="69"/>
        <v>0</v>
      </c>
      <c r="CR112" s="2">
        <f t="shared" si="70"/>
        <v>0</v>
      </c>
      <c r="CT112" s="2">
        <f t="shared" si="71"/>
        <v>0</v>
      </c>
      <c r="CV112" s="2">
        <f t="shared" si="72"/>
        <v>0</v>
      </c>
      <c r="CX112" s="2">
        <f t="shared" si="73"/>
        <v>0</v>
      </c>
      <c r="CZ112" s="2">
        <f t="shared" si="74"/>
        <v>0</v>
      </c>
      <c r="DB112" s="2">
        <f t="shared" si="75"/>
        <v>0</v>
      </c>
      <c r="DD112" s="2">
        <f t="shared" si="76"/>
        <v>0</v>
      </c>
      <c r="DF112" s="2">
        <f t="shared" si="77"/>
        <v>0</v>
      </c>
      <c r="EH112" s="273"/>
      <c r="EJ112" s="273"/>
    </row>
    <row r="113" spans="4:140" ht="12.75" customHeight="1">
      <c r="D113" s="389"/>
      <c r="E113" s="389"/>
      <c r="F113" s="389"/>
      <c r="G113" s="389"/>
      <c r="H113" s="388"/>
      <c r="I113" s="389"/>
      <c r="J113" s="389"/>
      <c r="K113" s="389"/>
      <c r="L113" s="389"/>
      <c r="M113" s="389"/>
      <c r="N113" s="389"/>
      <c r="O113" s="407"/>
      <c r="P113" s="389"/>
      <c r="Q113" s="407"/>
      <c r="R113" s="389"/>
      <c r="S113" s="389"/>
      <c r="T113" s="389"/>
      <c r="U113" s="389"/>
      <c r="V113" s="389"/>
      <c r="W113" s="389"/>
      <c r="X113" s="389"/>
      <c r="Y113" s="389"/>
      <c r="Z113" s="389"/>
      <c r="AA113" s="389"/>
      <c r="AB113" s="389"/>
      <c r="AC113" s="388"/>
      <c r="AD113" s="388"/>
      <c r="AE113" s="388"/>
      <c r="AF113" s="388"/>
      <c r="AG113" s="388"/>
      <c r="AH113" s="388"/>
      <c r="AI113" s="388"/>
      <c r="AJ113" s="388"/>
      <c r="AK113" s="388"/>
      <c r="AL113" s="388"/>
      <c r="AM113" s="388"/>
      <c r="AN113" s="388"/>
      <c r="AO113" s="388"/>
      <c r="AP113" s="388"/>
      <c r="AQ113" s="388"/>
      <c r="AR113" s="388"/>
      <c r="AS113" s="388"/>
      <c r="AT113" s="388"/>
      <c r="AU113" s="388"/>
      <c r="AV113" s="388"/>
      <c r="AW113" s="388"/>
      <c r="AX113" s="388"/>
      <c r="AY113" s="388"/>
      <c r="AZ113" s="388"/>
      <c r="BA113" s="388"/>
      <c r="BB113" s="388"/>
      <c r="BC113" s="388"/>
      <c r="BD113" s="388"/>
      <c r="BE113" s="388"/>
      <c r="BF113" s="388"/>
      <c r="BG113" s="388"/>
      <c r="BH113" s="388"/>
      <c r="BI113" s="388"/>
      <c r="BJ113" s="388"/>
      <c r="BK113" s="388"/>
      <c r="BL113" s="388"/>
      <c r="BM113" s="388"/>
      <c r="BN113" s="388"/>
      <c r="BO113" s="388"/>
      <c r="CH113" s="560">
        <v>7</v>
      </c>
      <c r="CJ113" s="2">
        <f t="shared" si="66"/>
        <v>0</v>
      </c>
      <c r="CL113" s="2">
        <f t="shared" si="67"/>
        <v>0</v>
      </c>
      <c r="CN113" s="2">
        <f t="shared" si="68"/>
        <v>0</v>
      </c>
      <c r="CP113" s="2">
        <f t="shared" si="69"/>
        <v>0</v>
      </c>
      <c r="CR113" s="2">
        <f t="shared" si="70"/>
        <v>0</v>
      </c>
      <c r="CT113" s="2">
        <f t="shared" si="71"/>
        <v>0</v>
      </c>
      <c r="CV113" s="2">
        <f t="shared" si="72"/>
        <v>0</v>
      </c>
      <c r="CX113" s="2">
        <f t="shared" si="73"/>
        <v>0</v>
      </c>
      <c r="CZ113" s="2">
        <f t="shared" si="74"/>
        <v>0</v>
      </c>
      <c r="DB113" s="2">
        <f t="shared" si="75"/>
        <v>0</v>
      </c>
      <c r="DD113" s="2">
        <f t="shared" si="76"/>
        <v>0</v>
      </c>
      <c r="DF113" s="2">
        <f t="shared" si="77"/>
        <v>0</v>
      </c>
      <c r="EH113" s="273"/>
      <c r="EJ113" s="273"/>
    </row>
    <row r="114" spans="4:140" ht="12.75" customHeight="1">
      <c r="D114" s="389"/>
      <c r="E114" s="389"/>
      <c r="F114" s="389"/>
      <c r="G114" s="389"/>
      <c r="H114" s="388"/>
      <c r="I114" s="389"/>
      <c r="J114" s="389"/>
      <c r="K114" s="389"/>
      <c r="L114" s="389"/>
      <c r="M114" s="389"/>
      <c r="N114" s="389"/>
      <c r="O114" s="407"/>
      <c r="P114" s="389"/>
      <c r="Q114" s="407"/>
      <c r="R114" s="389"/>
      <c r="S114" s="389"/>
      <c r="T114" s="389"/>
      <c r="U114" s="389"/>
      <c r="V114" s="389"/>
      <c r="W114" s="389"/>
      <c r="X114" s="389"/>
      <c r="Y114" s="389"/>
      <c r="Z114" s="389"/>
      <c r="AA114" s="389"/>
      <c r="AB114" s="389"/>
      <c r="AC114" s="388"/>
      <c r="AD114" s="388"/>
      <c r="AE114" s="388"/>
      <c r="AF114" s="388"/>
      <c r="AG114" s="388"/>
      <c r="AH114" s="388"/>
      <c r="AI114" s="388"/>
      <c r="AJ114" s="388"/>
      <c r="AK114" s="388"/>
      <c r="AL114" s="388"/>
      <c r="AM114" s="388"/>
      <c r="AN114" s="388"/>
      <c r="AO114" s="388"/>
      <c r="AP114" s="388"/>
      <c r="AQ114" s="388"/>
      <c r="AR114" s="388"/>
      <c r="AS114" s="388"/>
      <c r="AT114" s="388"/>
      <c r="AU114" s="388"/>
      <c r="AV114" s="388"/>
      <c r="AW114" s="388"/>
      <c r="AX114" s="388"/>
      <c r="AY114" s="388"/>
      <c r="AZ114" s="388"/>
      <c r="BA114" s="388"/>
      <c r="BB114" s="388"/>
      <c r="BC114" s="388"/>
      <c r="BD114" s="388"/>
      <c r="BE114" s="388"/>
      <c r="BF114" s="388"/>
      <c r="BG114" s="388"/>
      <c r="BH114" s="388"/>
      <c r="BI114" s="388"/>
      <c r="BJ114" s="388"/>
      <c r="BK114" s="388"/>
      <c r="BL114" s="388"/>
      <c r="BM114" s="388"/>
      <c r="BN114" s="388"/>
      <c r="BO114" s="388"/>
      <c r="CH114" s="560">
        <v>8</v>
      </c>
      <c r="CJ114" s="2">
        <f t="shared" si="66"/>
        <v>0</v>
      </c>
      <c r="CL114" s="2">
        <f t="shared" si="67"/>
        <v>0</v>
      </c>
      <c r="CN114" s="2">
        <f t="shared" si="68"/>
        <v>0</v>
      </c>
      <c r="CP114" s="2">
        <f t="shared" si="69"/>
        <v>0</v>
      </c>
      <c r="CR114" s="2">
        <f t="shared" si="70"/>
        <v>0</v>
      </c>
      <c r="CT114" s="2">
        <f t="shared" si="71"/>
        <v>0</v>
      </c>
      <c r="CV114" s="2">
        <f t="shared" si="72"/>
        <v>0</v>
      </c>
      <c r="CX114" s="2">
        <f t="shared" si="73"/>
        <v>0</v>
      </c>
      <c r="CZ114" s="2">
        <f t="shared" si="74"/>
        <v>0</v>
      </c>
      <c r="DB114" s="2">
        <f t="shared" si="75"/>
        <v>0</v>
      </c>
      <c r="DD114" s="2">
        <f t="shared" si="76"/>
        <v>0</v>
      </c>
      <c r="DF114" s="2">
        <f t="shared" si="77"/>
        <v>0</v>
      </c>
      <c r="EH114" s="273"/>
      <c r="EJ114" s="273"/>
    </row>
    <row r="115" spans="4:140" ht="12.75" customHeight="1">
      <c r="D115" s="389"/>
      <c r="E115" s="389"/>
      <c r="F115" s="389"/>
      <c r="G115" s="389"/>
      <c r="H115" s="388"/>
      <c r="I115" s="389"/>
      <c r="J115" s="389"/>
      <c r="K115" s="389"/>
      <c r="L115" s="389"/>
      <c r="M115" s="389"/>
      <c r="N115" s="389"/>
      <c r="O115" s="407"/>
      <c r="P115" s="389"/>
      <c r="Q115" s="407"/>
      <c r="R115" s="389"/>
      <c r="S115" s="389"/>
      <c r="T115" s="389"/>
      <c r="U115" s="389"/>
      <c r="V115" s="389"/>
      <c r="W115" s="389"/>
      <c r="X115" s="389"/>
      <c r="Y115" s="389"/>
      <c r="Z115" s="389"/>
      <c r="AA115" s="389"/>
      <c r="AB115" s="389"/>
      <c r="AC115" s="388"/>
      <c r="AD115" s="388"/>
      <c r="AE115" s="388"/>
      <c r="AF115" s="388"/>
      <c r="AG115" s="388"/>
      <c r="AH115" s="388"/>
      <c r="AI115" s="388"/>
      <c r="AJ115" s="388"/>
      <c r="AK115" s="388"/>
      <c r="AL115" s="388"/>
      <c r="AM115" s="388"/>
      <c r="AN115" s="388"/>
      <c r="AO115" s="388"/>
      <c r="AP115" s="388"/>
      <c r="AQ115" s="388"/>
      <c r="AR115" s="388"/>
      <c r="AS115" s="388"/>
      <c r="AT115" s="388"/>
      <c r="AU115" s="388"/>
      <c r="AV115" s="388"/>
      <c r="AW115" s="388"/>
      <c r="AX115" s="388"/>
      <c r="AY115" s="388"/>
      <c r="AZ115" s="388"/>
      <c r="BA115" s="388"/>
      <c r="BB115" s="388"/>
      <c r="BC115" s="388"/>
      <c r="BD115" s="388"/>
      <c r="BE115" s="388"/>
      <c r="BF115" s="388"/>
      <c r="BG115" s="388"/>
      <c r="BH115" s="388"/>
      <c r="BI115" s="388"/>
      <c r="BJ115" s="388"/>
      <c r="BK115" s="388"/>
      <c r="BL115" s="388"/>
      <c r="BM115" s="388"/>
      <c r="BN115" s="388"/>
      <c r="BO115" s="388"/>
      <c r="CH115" s="560">
        <v>9</v>
      </c>
      <c r="CJ115" s="2">
        <f t="shared" si="66"/>
        <v>0</v>
      </c>
      <c r="CL115" s="2">
        <f t="shared" si="67"/>
        <v>0</v>
      </c>
      <c r="CN115" s="2">
        <f t="shared" si="68"/>
        <v>0</v>
      </c>
      <c r="CP115" s="2">
        <f t="shared" si="69"/>
        <v>0</v>
      </c>
      <c r="CR115" s="2">
        <f t="shared" si="70"/>
        <v>0</v>
      </c>
      <c r="CT115" s="2">
        <f t="shared" si="71"/>
        <v>0</v>
      </c>
      <c r="CV115" s="2">
        <f t="shared" si="72"/>
        <v>0</v>
      </c>
      <c r="CX115" s="2">
        <f t="shared" si="73"/>
        <v>0</v>
      </c>
      <c r="CZ115" s="2">
        <f t="shared" si="74"/>
        <v>0</v>
      </c>
      <c r="DB115" s="2">
        <f t="shared" si="75"/>
        <v>0</v>
      </c>
      <c r="DD115" s="2">
        <f t="shared" si="76"/>
        <v>0</v>
      </c>
      <c r="DF115" s="2">
        <f t="shared" si="77"/>
        <v>0</v>
      </c>
      <c r="EH115" s="273"/>
      <c r="EJ115" s="273"/>
    </row>
    <row r="116" spans="4:140" ht="12.75" customHeight="1">
      <c r="D116" s="389"/>
      <c r="E116" s="389"/>
      <c r="F116" s="389"/>
      <c r="G116" s="389"/>
      <c r="H116" s="388"/>
      <c r="I116" s="389"/>
      <c r="J116" s="389"/>
      <c r="K116" s="389"/>
      <c r="L116" s="389"/>
      <c r="M116" s="389"/>
      <c r="N116" s="389"/>
      <c r="O116" s="407"/>
      <c r="P116" s="389"/>
      <c r="Q116" s="407"/>
      <c r="R116" s="389"/>
      <c r="S116" s="389"/>
      <c r="T116" s="389"/>
      <c r="U116" s="389"/>
      <c r="V116" s="389"/>
      <c r="W116" s="389"/>
      <c r="X116" s="389"/>
      <c r="Y116" s="389"/>
      <c r="Z116" s="389"/>
      <c r="AA116" s="389"/>
      <c r="AB116" s="389"/>
      <c r="AC116" s="388"/>
      <c r="AD116" s="388"/>
      <c r="AE116" s="388"/>
      <c r="AF116" s="388"/>
      <c r="AG116" s="388"/>
      <c r="AH116" s="388"/>
      <c r="AI116" s="388"/>
      <c r="AJ116" s="388"/>
      <c r="AK116" s="388"/>
      <c r="AL116" s="388"/>
      <c r="AM116" s="388"/>
      <c r="AN116" s="388"/>
      <c r="AO116" s="388"/>
      <c r="AP116" s="388"/>
      <c r="AQ116" s="388"/>
      <c r="AR116" s="388"/>
      <c r="AS116" s="388"/>
      <c r="AT116" s="388"/>
      <c r="AU116" s="388"/>
      <c r="AV116" s="388"/>
      <c r="AW116" s="388"/>
      <c r="AX116" s="388"/>
      <c r="AY116" s="388"/>
      <c r="AZ116" s="388"/>
      <c r="BA116" s="388"/>
      <c r="BB116" s="388"/>
      <c r="BC116" s="388"/>
      <c r="BD116" s="388"/>
      <c r="BE116" s="388"/>
      <c r="BF116" s="388"/>
      <c r="BG116" s="388"/>
      <c r="BH116" s="388"/>
      <c r="BI116" s="388"/>
      <c r="BJ116" s="388"/>
      <c r="BK116" s="388"/>
      <c r="BL116" s="388"/>
      <c r="BM116" s="388"/>
      <c r="BN116" s="388"/>
      <c r="BO116" s="388"/>
      <c r="CH116" s="560">
        <v>10</v>
      </c>
      <c r="CJ116" s="2">
        <f t="shared" si="66"/>
        <v>0</v>
      </c>
      <c r="CL116" s="2">
        <f t="shared" si="67"/>
        <v>0</v>
      </c>
      <c r="CN116" s="2">
        <f t="shared" si="68"/>
        <v>0</v>
      </c>
      <c r="CP116" s="2">
        <f t="shared" si="69"/>
        <v>0</v>
      </c>
      <c r="CR116" s="2">
        <f t="shared" si="70"/>
        <v>0</v>
      </c>
      <c r="CT116" s="2">
        <f t="shared" si="71"/>
        <v>0</v>
      </c>
      <c r="CV116" s="2">
        <f t="shared" si="72"/>
        <v>0</v>
      </c>
      <c r="CX116" s="2">
        <f t="shared" si="73"/>
        <v>0</v>
      </c>
      <c r="CZ116" s="2">
        <f t="shared" si="74"/>
        <v>0</v>
      </c>
      <c r="DB116" s="2">
        <f t="shared" si="75"/>
        <v>0</v>
      </c>
      <c r="DD116" s="2">
        <f t="shared" si="76"/>
        <v>0</v>
      </c>
      <c r="DF116" s="2">
        <f t="shared" si="77"/>
        <v>0</v>
      </c>
      <c r="EH116" s="273"/>
      <c r="EJ116" s="273"/>
    </row>
    <row r="117" spans="4:140" ht="12.75" customHeight="1">
      <c r="D117" s="389"/>
      <c r="E117" s="389"/>
      <c r="F117" s="389"/>
      <c r="G117" s="389"/>
      <c r="H117" s="388"/>
      <c r="I117" s="389"/>
      <c r="J117" s="389"/>
      <c r="K117" s="389"/>
      <c r="L117" s="389"/>
      <c r="M117" s="389"/>
      <c r="N117" s="389"/>
      <c r="O117" s="407"/>
      <c r="P117" s="389"/>
      <c r="Q117" s="407"/>
      <c r="R117" s="389"/>
      <c r="S117" s="389"/>
      <c r="T117" s="389"/>
      <c r="U117" s="389"/>
      <c r="V117" s="389"/>
      <c r="W117" s="389"/>
      <c r="X117" s="389"/>
      <c r="Y117" s="389"/>
      <c r="Z117" s="389"/>
      <c r="AA117" s="389"/>
      <c r="AB117" s="389"/>
      <c r="AC117" s="388"/>
      <c r="AD117" s="388"/>
      <c r="AE117" s="388"/>
      <c r="AF117" s="388"/>
      <c r="AG117" s="388"/>
      <c r="AH117" s="388"/>
      <c r="AI117" s="388"/>
      <c r="AJ117" s="388"/>
      <c r="AK117" s="388"/>
      <c r="AL117" s="388"/>
      <c r="AM117" s="388"/>
      <c r="AN117" s="388"/>
      <c r="AO117" s="388"/>
      <c r="AP117" s="388"/>
      <c r="AQ117" s="388"/>
      <c r="AR117" s="388"/>
      <c r="AS117" s="388"/>
      <c r="AT117" s="388"/>
      <c r="AU117" s="388"/>
      <c r="AV117" s="388"/>
      <c r="AW117" s="388"/>
      <c r="AX117" s="388"/>
      <c r="AY117" s="388"/>
      <c r="AZ117" s="388"/>
      <c r="BA117" s="388"/>
      <c r="BB117" s="388"/>
      <c r="BC117" s="388"/>
      <c r="BD117" s="388"/>
      <c r="BE117" s="388"/>
      <c r="BF117" s="388"/>
      <c r="BG117" s="388"/>
      <c r="BH117" s="388"/>
      <c r="BI117" s="388"/>
      <c r="BJ117" s="388"/>
      <c r="BK117" s="388"/>
      <c r="BL117" s="388"/>
      <c r="BM117" s="388"/>
      <c r="BN117" s="388"/>
      <c r="BO117" s="388"/>
      <c r="CH117" s="560">
        <v>11</v>
      </c>
      <c r="CJ117" s="2">
        <f t="shared" si="66"/>
        <v>0</v>
      </c>
      <c r="CL117" s="2">
        <f t="shared" si="67"/>
        <v>0</v>
      </c>
      <c r="CN117" s="2">
        <f t="shared" si="68"/>
        <v>0</v>
      </c>
      <c r="CP117" s="2">
        <f t="shared" si="69"/>
        <v>0</v>
      </c>
      <c r="CR117" s="2">
        <f t="shared" si="70"/>
        <v>0</v>
      </c>
      <c r="CT117" s="2">
        <f t="shared" si="71"/>
        <v>0</v>
      </c>
      <c r="CV117" s="2">
        <f t="shared" si="72"/>
        <v>0</v>
      </c>
      <c r="CX117" s="2">
        <f t="shared" si="73"/>
        <v>0</v>
      </c>
      <c r="CZ117" s="2">
        <f t="shared" si="74"/>
        <v>0</v>
      </c>
      <c r="DB117" s="2">
        <f t="shared" si="75"/>
        <v>0</v>
      </c>
      <c r="DD117" s="2">
        <f t="shared" si="76"/>
        <v>0</v>
      </c>
      <c r="DF117" s="2">
        <f t="shared" si="77"/>
        <v>0</v>
      </c>
      <c r="EH117" s="273"/>
      <c r="EJ117" s="273"/>
    </row>
    <row r="118" spans="4:140" ht="12.75" customHeight="1">
      <c r="D118" s="389"/>
      <c r="E118" s="389"/>
      <c r="F118" s="389"/>
      <c r="G118" s="389"/>
      <c r="H118" s="388"/>
      <c r="I118" s="389"/>
      <c r="J118" s="389"/>
      <c r="K118" s="389"/>
      <c r="L118" s="389"/>
      <c r="M118" s="389"/>
      <c r="N118" s="389"/>
      <c r="O118" s="407"/>
      <c r="P118" s="389"/>
      <c r="Q118" s="407"/>
      <c r="R118" s="389"/>
      <c r="S118" s="389"/>
      <c r="T118" s="389"/>
      <c r="U118" s="389"/>
      <c r="V118" s="389"/>
      <c r="W118" s="389"/>
      <c r="X118" s="389"/>
      <c r="Y118" s="389"/>
      <c r="Z118" s="389"/>
      <c r="AA118" s="389"/>
      <c r="AB118" s="389"/>
      <c r="AC118" s="388"/>
      <c r="AD118" s="388"/>
      <c r="AE118" s="388"/>
      <c r="AF118" s="388"/>
      <c r="AG118" s="388"/>
      <c r="AH118" s="388"/>
      <c r="AI118" s="388"/>
      <c r="AJ118" s="388"/>
      <c r="AK118" s="388"/>
      <c r="AL118" s="388"/>
      <c r="AM118" s="388"/>
      <c r="AN118" s="388"/>
      <c r="AO118" s="388"/>
      <c r="AP118" s="388"/>
      <c r="AQ118" s="388"/>
      <c r="AR118" s="388"/>
      <c r="AS118" s="388"/>
      <c r="AT118" s="388"/>
      <c r="AU118" s="388"/>
      <c r="AV118" s="388"/>
      <c r="AW118" s="388"/>
      <c r="AX118" s="388"/>
      <c r="AY118" s="388"/>
      <c r="AZ118" s="388"/>
      <c r="BA118" s="388"/>
      <c r="BB118" s="388"/>
      <c r="BC118" s="388"/>
      <c r="BD118" s="388"/>
      <c r="BE118" s="388"/>
      <c r="BF118" s="388"/>
      <c r="BG118" s="388"/>
      <c r="BH118" s="388"/>
      <c r="BI118" s="388"/>
      <c r="BJ118" s="388"/>
      <c r="BK118" s="388"/>
      <c r="BL118" s="388"/>
      <c r="BM118" s="388"/>
      <c r="BN118" s="388"/>
      <c r="BO118" s="388"/>
      <c r="CH118" s="560">
        <v>12</v>
      </c>
      <c r="CJ118" s="2">
        <f t="shared" si="66"/>
        <v>0</v>
      </c>
      <c r="CL118" s="2">
        <f t="shared" si="67"/>
        <v>0</v>
      </c>
      <c r="CN118" s="2">
        <f t="shared" si="68"/>
        <v>0</v>
      </c>
      <c r="CP118" s="2">
        <f t="shared" si="69"/>
        <v>0</v>
      </c>
      <c r="CR118" s="2">
        <f t="shared" si="70"/>
        <v>0</v>
      </c>
      <c r="CT118" s="2">
        <f t="shared" si="71"/>
        <v>0</v>
      </c>
      <c r="CV118" s="2">
        <f t="shared" si="72"/>
        <v>0</v>
      </c>
      <c r="CX118" s="2">
        <f t="shared" si="73"/>
        <v>0</v>
      </c>
      <c r="CZ118" s="2">
        <f t="shared" si="74"/>
        <v>0</v>
      </c>
      <c r="DB118" s="2">
        <f t="shared" si="75"/>
        <v>0</v>
      </c>
      <c r="DD118" s="2">
        <f t="shared" si="76"/>
        <v>0</v>
      </c>
      <c r="DF118" s="2">
        <f t="shared" si="77"/>
        <v>0</v>
      </c>
      <c r="EH118" s="273"/>
      <c r="EJ118" s="273"/>
    </row>
    <row r="119" spans="4:140" ht="12.75" customHeight="1">
      <c r="D119" s="389"/>
      <c r="E119" s="389"/>
      <c r="F119" s="389"/>
      <c r="G119" s="389"/>
      <c r="H119" s="388"/>
      <c r="I119" s="389"/>
      <c r="J119" s="389"/>
      <c r="K119" s="389"/>
      <c r="L119" s="389"/>
      <c r="M119" s="389"/>
      <c r="N119" s="389"/>
      <c r="O119" s="407"/>
      <c r="P119" s="389"/>
      <c r="Q119" s="407"/>
      <c r="R119" s="389"/>
      <c r="S119" s="389"/>
      <c r="T119" s="389"/>
      <c r="U119" s="389"/>
      <c r="V119" s="389"/>
      <c r="W119" s="389"/>
      <c r="X119" s="389"/>
      <c r="Y119" s="389"/>
      <c r="Z119" s="389"/>
      <c r="AA119" s="389"/>
      <c r="AB119" s="389"/>
      <c r="AC119" s="388"/>
      <c r="AD119" s="388"/>
      <c r="AE119" s="388"/>
      <c r="AF119" s="388"/>
      <c r="AG119" s="388"/>
      <c r="AH119" s="388"/>
      <c r="AI119" s="388"/>
      <c r="AJ119" s="388"/>
      <c r="AK119" s="388"/>
      <c r="AL119" s="388"/>
      <c r="AM119" s="388"/>
      <c r="AN119" s="388"/>
      <c r="AO119" s="388"/>
      <c r="AP119" s="388"/>
      <c r="AQ119" s="388"/>
      <c r="AR119" s="388"/>
      <c r="AS119" s="388"/>
      <c r="AT119" s="388"/>
      <c r="AU119" s="388"/>
      <c r="AV119" s="388"/>
      <c r="AW119" s="388"/>
      <c r="AX119" s="388"/>
      <c r="AY119" s="388"/>
      <c r="AZ119" s="388"/>
      <c r="BA119" s="388"/>
      <c r="BB119" s="388"/>
      <c r="BC119" s="388"/>
      <c r="BD119" s="388"/>
      <c r="BE119" s="388"/>
      <c r="BF119" s="388"/>
      <c r="BG119" s="388"/>
      <c r="BH119" s="388"/>
      <c r="BI119" s="388"/>
      <c r="BJ119" s="388"/>
      <c r="BK119" s="388"/>
      <c r="BL119" s="388"/>
      <c r="BM119" s="388"/>
      <c r="BN119" s="388"/>
      <c r="BO119" s="388"/>
      <c r="CH119" s="560">
        <v>13</v>
      </c>
      <c r="CJ119" s="2">
        <f t="shared" si="66"/>
        <v>0</v>
      </c>
      <c r="CL119" s="2">
        <f t="shared" si="67"/>
        <v>0</v>
      </c>
      <c r="CN119" s="2">
        <f t="shared" si="68"/>
        <v>0</v>
      </c>
      <c r="CP119" s="2">
        <f t="shared" si="69"/>
        <v>0</v>
      </c>
      <c r="CR119" s="2">
        <f t="shared" si="70"/>
        <v>0</v>
      </c>
      <c r="CT119" s="2">
        <f t="shared" si="71"/>
        <v>0</v>
      </c>
      <c r="CV119" s="2">
        <f t="shared" si="72"/>
        <v>0</v>
      </c>
      <c r="CX119" s="2">
        <f t="shared" si="73"/>
        <v>0</v>
      </c>
      <c r="CZ119" s="2">
        <f t="shared" si="74"/>
        <v>0</v>
      </c>
      <c r="DB119" s="2">
        <f t="shared" si="75"/>
        <v>0</v>
      </c>
      <c r="DD119" s="2">
        <f t="shared" si="76"/>
        <v>0</v>
      </c>
      <c r="DF119" s="2">
        <f t="shared" si="77"/>
        <v>0</v>
      </c>
      <c r="EH119" s="273"/>
      <c r="EJ119" s="273"/>
    </row>
    <row r="120" spans="4:140" ht="12.75" customHeight="1">
      <c r="D120" s="389"/>
      <c r="E120" s="389"/>
      <c r="F120" s="389"/>
      <c r="G120" s="389"/>
      <c r="H120" s="388"/>
      <c r="I120" s="389"/>
      <c r="J120" s="389"/>
      <c r="K120" s="389"/>
      <c r="L120" s="389"/>
      <c r="M120" s="389"/>
      <c r="N120" s="389"/>
      <c r="O120" s="407"/>
      <c r="P120" s="389"/>
      <c r="Q120" s="407"/>
      <c r="R120" s="389"/>
      <c r="S120" s="389"/>
      <c r="T120" s="389"/>
      <c r="U120" s="389"/>
      <c r="V120" s="389"/>
      <c r="W120" s="389"/>
      <c r="X120" s="389"/>
      <c r="Y120" s="389"/>
      <c r="Z120" s="389"/>
      <c r="AA120" s="389"/>
      <c r="AB120" s="389"/>
      <c r="AC120" s="388"/>
      <c r="AD120" s="388"/>
      <c r="AE120" s="388"/>
      <c r="AF120" s="388"/>
      <c r="AG120" s="388"/>
      <c r="AH120" s="388"/>
      <c r="AI120" s="388"/>
      <c r="AJ120" s="388"/>
      <c r="AK120" s="388"/>
      <c r="AL120" s="388"/>
      <c r="AM120" s="388"/>
      <c r="AN120" s="388"/>
      <c r="AO120" s="388"/>
      <c r="AP120" s="388"/>
      <c r="AQ120" s="388"/>
      <c r="AR120" s="388"/>
      <c r="AS120" s="388"/>
      <c r="AT120" s="388"/>
      <c r="AU120" s="388"/>
      <c r="AV120" s="388"/>
      <c r="AW120" s="388"/>
      <c r="AX120" s="388"/>
      <c r="AY120" s="388"/>
      <c r="AZ120" s="388"/>
      <c r="BA120" s="388"/>
      <c r="BB120" s="388"/>
      <c r="BC120" s="388"/>
      <c r="BD120" s="388"/>
      <c r="BE120" s="388"/>
      <c r="BF120" s="388"/>
      <c r="BG120" s="388"/>
      <c r="BH120" s="388"/>
      <c r="BI120" s="388"/>
      <c r="BJ120" s="388"/>
      <c r="BK120" s="388"/>
      <c r="BL120" s="388"/>
      <c r="BM120" s="388"/>
      <c r="BN120" s="388"/>
      <c r="BO120" s="388"/>
      <c r="CH120" s="560">
        <v>14</v>
      </c>
      <c r="CJ120" s="2">
        <f t="shared" si="66"/>
        <v>0</v>
      </c>
      <c r="CL120" s="2">
        <f t="shared" si="67"/>
        <v>0</v>
      </c>
      <c r="CN120" s="2">
        <f t="shared" si="68"/>
        <v>0</v>
      </c>
      <c r="CP120" s="2">
        <f t="shared" si="69"/>
        <v>0</v>
      </c>
      <c r="CR120" s="2">
        <f t="shared" si="70"/>
        <v>0</v>
      </c>
      <c r="CT120" s="2">
        <f t="shared" si="71"/>
        <v>0</v>
      </c>
      <c r="CV120" s="2">
        <f t="shared" si="72"/>
        <v>0</v>
      </c>
      <c r="CX120" s="2">
        <f t="shared" si="73"/>
        <v>0</v>
      </c>
      <c r="CZ120" s="2">
        <f t="shared" si="74"/>
        <v>0</v>
      </c>
      <c r="DB120" s="2">
        <f t="shared" si="75"/>
        <v>0</v>
      </c>
      <c r="DD120" s="2">
        <f t="shared" si="76"/>
        <v>0</v>
      </c>
      <c r="DF120" s="2">
        <f t="shared" si="77"/>
        <v>0</v>
      </c>
      <c r="EH120" s="273"/>
      <c r="EJ120" s="273"/>
    </row>
    <row r="121" spans="4:140" ht="12.75" customHeight="1">
      <c r="D121" s="389"/>
      <c r="E121" s="389"/>
      <c r="F121" s="389"/>
      <c r="G121" s="389"/>
      <c r="H121" s="388"/>
      <c r="I121" s="389"/>
      <c r="J121" s="389"/>
      <c r="K121" s="389"/>
      <c r="L121" s="389"/>
      <c r="M121" s="389"/>
      <c r="N121" s="389"/>
      <c r="O121" s="407"/>
      <c r="P121" s="389"/>
      <c r="Q121" s="407"/>
      <c r="R121" s="389"/>
      <c r="S121" s="389"/>
      <c r="T121" s="389"/>
      <c r="U121" s="389"/>
      <c r="V121" s="389"/>
      <c r="W121" s="389"/>
      <c r="X121" s="389"/>
      <c r="Y121" s="389"/>
      <c r="Z121" s="389"/>
      <c r="AA121" s="389"/>
      <c r="AB121" s="389"/>
      <c r="AC121" s="388"/>
      <c r="AD121" s="388"/>
      <c r="AE121" s="388"/>
      <c r="AF121" s="388"/>
      <c r="AG121" s="388"/>
      <c r="AH121" s="388"/>
      <c r="AI121" s="388"/>
      <c r="AJ121" s="388"/>
      <c r="AK121" s="388"/>
      <c r="AL121" s="388"/>
      <c r="AM121" s="388"/>
      <c r="AN121" s="388"/>
      <c r="AO121" s="388"/>
      <c r="AP121" s="388"/>
      <c r="AQ121" s="388"/>
      <c r="AR121" s="388"/>
      <c r="AS121" s="388"/>
      <c r="AT121" s="388"/>
      <c r="AU121" s="388"/>
      <c r="AV121" s="388"/>
      <c r="AW121" s="388"/>
      <c r="AX121" s="388"/>
      <c r="AY121" s="388"/>
      <c r="AZ121" s="388"/>
      <c r="BA121" s="388"/>
      <c r="BB121" s="388"/>
      <c r="BC121" s="388"/>
      <c r="BD121" s="388"/>
      <c r="BE121" s="388"/>
      <c r="BF121" s="388"/>
      <c r="BG121" s="388"/>
      <c r="BH121" s="388"/>
      <c r="BI121" s="388"/>
      <c r="BJ121" s="388"/>
      <c r="BK121" s="388"/>
      <c r="BL121" s="388"/>
      <c r="BM121" s="388"/>
      <c r="BN121" s="388"/>
      <c r="BO121" s="388"/>
      <c r="CH121" s="560">
        <v>15</v>
      </c>
      <c r="CJ121" s="2">
        <f t="shared" si="66"/>
        <v>0</v>
      </c>
      <c r="CL121" s="2">
        <f t="shared" si="67"/>
        <v>0</v>
      </c>
      <c r="CN121" s="2">
        <f t="shared" si="68"/>
        <v>0</v>
      </c>
      <c r="CP121" s="2">
        <f t="shared" si="69"/>
        <v>0</v>
      </c>
      <c r="CR121" s="2">
        <f t="shared" si="70"/>
        <v>0</v>
      </c>
      <c r="CT121" s="2">
        <f t="shared" si="71"/>
        <v>0</v>
      </c>
      <c r="CV121" s="2">
        <f t="shared" si="72"/>
        <v>0</v>
      </c>
      <c r="CX121" s="2">
        <f t="shared" si="73"/>
        <v>0</v>
      </c>
      <c r="CZ121" s="2">
        <f t="shared" si="74"/>
        <v>0</v>
      </c>
      <c r="DB121" s="2">
        <f t="shared" si="75"/>
        <v>0</v>
      </c>
      <c r="DD121" s="2">
        <f t="shared" si="76"/>
        <v>0</v>
      </c>
      <c r="DF121" s="2">
        <f t="shared" si="77"/>
        <v>0</v>
      </c>
      <c r="EH121" s="273"/>
      <c r="EJ121" s="273"/>
    </row>
    <row r="122" spans="4:140" ht="12.75" customHeight="1">
      <c r="D122" s="389"/>
      <c r="E122" s="389"/>
      <c r="F122" s="389"/>
      <c r="G122" s="389"/>
      <c r="H122" s="388"/>
      <c r="I122" s="389"/>
      <c r="J122" s="389"/>
      <c r="K122" s="389"/>
      <c r="L122" s="389"/>
      <c r="M122" s="389"/>
      <c r="N122" s="389"/>
      <c r="O122" s="407"/>
      <c r="P122" s="389"/>
      <c r="Q122" s="407"/>
      <c r="R122" s="389"/>
      <c r="S122" s="389"/>
      <c r="T122" s="389"/>
      <c r="U122" s="389"/>
      <c r="V122" s="389"/>
      <c r="W122" s="389"/>
      <c r="X122" s="389"/>
      <c r="Y122" s="389"/>
      <c r="Z122" s="389"/>
      <c r="AA122" s="389"/>
      <c r="AB122" s="389"/>
      <c r="AC122" s="388"/>
      <c r="AD122" s="388"/>
      <c r="AE122" s="388"/>
      <c r="AF122" s="388"/>
      <c r="AG122" s="388"/>
      <c r="AH122" s="388"/>
      <c r="AI122" s="388"/>
      <c r="AJ122" s="388"/>
      <c r="AK122" s="388"/>
      <c r="AL122" s="388"/>
      <c r="AM122" s="388"/>
      <c r="AN122" s="388"/>
      <c r="AO122" s="388"/>
      <c r="AP122" s="388"/>
      <c r="AQ122" s="388"/>
      <c r="AR122" s="388"/>
      <c r="AS122" s="388"/>
      <c r="AT122" s="388"/>
      <c r="AU122" s="388"/>
      <c r="AV122" s="388"/>
      <c r="AW122" s="388"/>
      <c r="AX122" s="388"/>
      <c r="AY122" s="388"/>
      <c r="AZ122" s="388"/>
      <c r="BA122" s="388"/>
      <c r="BB122" s="388"/>
      <c r="BC122" s="388"/>
      <c r="BD122" s="388"/>
      <c r="BE122" s="388"/>
      <c r="BF122" s="388"/>
      <c r="BG122" s="388"/>
      <c r="BH122" s="388"/>
      <c r="BI122" s="388"/>
      <c r="BJ122" s="388"/>
      <c r="BK122" s="388"/>
      <c r="BL122" s="388"/>
      <c r="BM122" s="388"/>
      <c r="BN122" s="388"/>
      <c r="BO122" s="388"/>
      <c r="CH122" s="560">
        <v>16</v>
      </c>
      <c r="CJ122" s="2">
        <f t="shared" si="66"/>
        <v>0</v>
      </c>
      <c r="CL122" s="2">
        <f t="shared" si="67"/>
        <v>0</v>
      </c>
      <c r="CN122" s="2">
        <f t="shared" si="68"/>
        <v>0</v>
      </c>
      <c r="CP122" s="2">
        <f t="shared" si="69"/>
        <v>0</v>
      </c>
      <c r="CR122" s="2">
        <f t="shared" si="70"/>
        <v>0</v>
      </c>
      <c r="CT122" s="2">
        <f t="shared" si="71"/>
        <v>0</v>
      </c>
      <c r="CV122" s="2">
        <f t="shared" si="72"/>
        <v>0</v>
      </c>
      <c r="CX122" s="2">
        <f t="shared" si="73"/>
        <v>0</v>
      </c>
      <c r="CZ122" s="2">
        <f t="shared" si="74"/>
        <v>0</v>
      </c>
      <c r="DB122" s="2">
        <f t="shared" si="75"/>
        <v>0</v>
      </c>
      <c r="DD122" s="2">
        <f t="shared" si="76"/>
        <v>0</v>
      </c>
      <c r="DF122" s="2">
        <f t="shared" si="77"/>
        <v>0</v>
      </c>
      <c r="EH122" s="273"/>
      <c r="EJ122" s="273"/>
    </row>
    <row r="123" spans="4:140" ht="12.75" customHeight="1">
      <c r="D123" s="389"/>
      <c r="E123" s="389"/>
      <c r="F123" s="389"/>
      <c r="G123" s="389"/>
      <c r="H123" s="388"/>
      <c r="I123" s="389"/>
      <c r="J123" s="389"/>
      <c r="K123" s="389"/>
      <c r="L123" s="389"/>
      <c r="M123" s="389"/>
      <c r="N123" s="389"/>
      <c r="O123" s="407"/>
      <c r="P123" s="389"/>
      <c r="Q123" s="407"/>
      <c r="R123" s="389"/>
      <c r="S123" s="389"/>
      <c r="T123" s="389"/>
      <c r="U123" s="389"/>
      <c r="V123" s="389"/>
      <c r="W123" s="389"/>
      <c r="X123" s="389"/>
      <c r="Y123" s="389"/>
      <c r="Z123" s="389"/>
      <c r="AA123" s="389"/>
      <c r="AB123" s="389"/>
      <c r="AC123" s="388"/>
      <c r="AD123" s="388"/>
      <c r="AE123" s="388"/>
      <c r="AF123" s="388"/>
      <c r="AG123" s="388"/>
      <c r="AH123" s="388"/>
      <c r="AI123" s="388"/>
      <c r="AJ123" s="388"/>
      <c r="AK123" s="388"/>
      <c r="AL123" s="388"/>
      <c r="AM123" s="388"/>
      <c r="AN123" s="388"/>
      <c r="AO123" s="388"/>
      <c r="AP123" s="388"/>
      <c r="AQ123" s="388"/>
      <c r="AR123" s="388"/>
      <c r="AS123" s="388"/>
      <c r="AT123" s="388"/>
      <c r="AU123" s="388"/>
      <c r="AV123" s="388"/>
      <c r="AW123" s="388"/>
      <c r="AX123" s="388"/>
      <c r="AY123" s="388"/>
      <c r="AZ123" s="388"/>
      <c r="BA123" s="388"/>
      <c r="BB123" s="388"/>
      <c r="BC123" s="388"/>
      <c r="BD123" s="388"/>
      <c r="BE123" s="388"/>
      <c r="BF123" s="388"/>
      <c r="BG123" s="388"/>
      <c r="BH123" s="388"/>
      <c r="BI123" s="388"/>
      <c r="BJ123" s="388"/>
      <c r="BK123" s="388"/>
      <c r="BL123" s="388"/>
      <c r="BM123" s="388"/>
      <c r="BN123" s="388"/>
      <c r="BO123" s="388"/>
      <c r="CJ123" s="2">
        <f>SUM(CJ106:CJ122)*1000</f>
        <v>0</v>
      </c>
      <c r="CL123" s="2">
        <f t="shared" ref="CL123:DF123" si="78">SUM(CL106:CL122)*1000</f>
        <v>0</v>
      </c>
      <c r="CN123" s="2">
        <f t="shared" si="78"/>
        <v>0</v>
      </c>
      <c r="CP123" s="2">
        <f t="shared" si="78"/>
        <v>0</v>
      </c>
      <c r="CR123" s="2">
        <f t="shared" si="78"/>
        <v>0</v>
      </c>
      <c r="CT123" s="2">
        <f t="shared" si="78"/>
        <v>0</v>
      </c>
      <c r="CV123" s="2">
        <f t="shared" si="78"/>
        <v>0</v>
      </c>
      <c r="CX123" s="2">
        <f t="shared" si="78"/>
        <v>0</v>
      </c>
      <c r="CZ123" s="2">
        <f t="shared" si="78"/>
        <v>0</v>
      </c>
      <c r="DB123" s="2">
        <f t="shared" si="78"/>
        <v>0</v>
      </c>
      <c r="DD123" s="2">
        <f t="shared" si="78"/>
        <v>0</v>
      </c>
      <c r="DF123" s="2">
        <f t="shared" si="78"/>
        <v>0</v>
      </c>
      <c r="EH123" s="273"/>
      <c r="EJ123" s="273"/>
    </row>
    <row r="124" spans="4:140" ht="12.75" customHeight="1">
      <c r="D124" s="389"/>
      <c r="E124" s="389"/>
      <c r="F124" s="389"/>
      <c r="G124" s="389"/>
      <c r="H124" s="388"/>
      <c r="I124" s="389"/>
      <c r="J124" s="389"/>
      <c r="K124" s="389"/>
      <c r="L124" s="389"/>
      <c r="M124" s="389"/>
      <c r="N124" s="389"/>
      <c r="O124" s="407"/>
      <c r="P124" s="389"/>
      <c r="Q124" s="407"/>
      <c r="R124" s="389"/>
      <c r="S124" s="389"/>
      <c r="T124" s="389"/>
      <c r="U124" s="389"/>
      <c r="V124" s="389"/>
      <c r="W124" s="389"/>
      <c r="X124" s="389"/>
      <c r="Y124" s="389"/>
      <c r="Z124" s="389"/>
      <c r="AA124" s="389"/>
      <c r="AB124" s="389"/>
      <c r="AC124" s="388"/>
      <c r="AD124" s="388"/>
      <c r="AE124" s="388"/>
      <c r="AF124" s="388"/>
      <c r="AG124" s="388"/>
      <c r="AH124" s="388"/>
      <c r="AI124" s="388"/>
      <c r="AJ124" s="388"/>
      <c r="AK124" s="388"/>
      <c r="AL124" s="388"/>
      <c r="AM124" s="388"/>
      <c r="AN124" s="388"/>
      <c r="AO124" s="388"/>
      <c r="AP124" s="388"/>
      <c r="AQ124" s="388"/>
      <c r="AR124" s="388"/>
      <c r="AS124" s="388"/>
      <c r="AT124" s="388"/>
      <c r="AU124" s="388"/>
      <c r="AV124" s="388"/>
      <c r="AW124" s="388"/>
      <c r="AX124" s="388"/>
      <c r="AY124" s="388"/>
      <c r="AZ124" s="388"/>
      <c r="BA124" s="388"/>
      <c r="BB124" s="388"/>
      <c r="BC124" s="388"/>
      <c r="BD124" s="388"/>
      <c r="BE124" s="388"/>
      <c r="BF124" s="388"/>
      <c r="BG124" s="388"/>
      <c r="BH124" s="388"/>
      <c r="BI124" s="388"/>
      <c r="BJ124" s="388"/>
      <c r="BK124" s="388"/>
      <c r="BL124" s="388"/>
      <c r="BM124" s="388"/>
      <c r="BN124" s="388"/>
      <c r="BO124" s="388"/>
      <c r="CJ124" s="7">
        <f t="shared" ref="CJ124:DF124" si="79">IF($CH$8&gt;CJ123,"",CJ123)</f>
        <v>0</v>
      </c>
      <c r="CK124" s="7">
        <f t="shared" si="79"/>
        <v>0</v>
      </c>
      <c r="CL124" s="7">
        <f t="shared" si="79"/>
        <v>0</v>
      </c>
      <c r="CM124" s="7">
        <f t="shared" si="79"/>
        <v>0</v>
      </c>
      <c r="CN124" s="7">
        <f t="shared" si="79"/>
        <v>0</v>
      </c>
      <c r="CO124" s="7">
        <f t="shared" si="79"/>
        <v>0</v>
      </c>
      <c r="CP124" s="7">
        <f t="shared" si="79"/>
        <v>0</v>
      </c>
      <c r="CQ124" s="7">
        <f t="shared" si="79"/>
        <v>0</v>
      </c>
      <c r="CR124" s="7">
        <f t="shared" si="79"/>
        <v>0</v>
      </c>
      <c r="CS124" s="7">
        <f t="shared" si="79"/>
        <v>0</v>
      </c>
      <c r="CT124" s="7">
        <f t="shared" si="79"/>
        <v>0</v>
      </c>
      <c r="CU124" s="7">
        <f t="shared" si="79"/>
        <v>0</v>
      </c>
      <c r="CV124" s="7">
        <f t="shared" si="79"/>
        <v>0</v>
      </c>
      <c r="CW124" s="7">
        <f t="shared" si="79"/>
        <v>0</v>
      </c>
      <c r="CX124" s="7">
        <f t="shared" si="79"/>
        <v>0</v>
      </c>
      <c r="CY124" s="7">
        <f t="shared" si="79"/>
        <v>0</v>
      </c>
      <c r="CZ124" s="7">
        <f t="shared" si="79"/>
        <v>0</v>
      </c>
      <c r="DA124" s="7">
        <f t="shared" si="79"/>
        <v>0</v>
      </c>
      <c r="DB124" s="7">
        <f t="shared" si="79"/>
        <v>0</v>
      </c>
      <c r="DC124" s="7">
        <f t="shared" si="79"/>
        <v>0</v>
      </c>
      <c r="DD124" s="7">
        <f t="shared" si="79"/>
        <v>0</v>
      </c>
      <c r="DE124" s="7">
        <f t="shared" si="79"/>
        <v>0</v>
      </c>
      <c r="DF124" s="7">
        <f t="shared" si="79"/>
        <v>0</v>
      </c>
      <c r="EH124" s="273"/>
      <c r="EJ124" s="273"/>
    </row>
    <row r="125" spans="4:140" ht="12.75" customHeight="1">
      <c r="D125" s="389"/>
      <c r="E125" s="389"/>
      <c r="F125" s="389"/>
      <c r="G125" s="389"/>
      <c r="H125" s="388"/>
      <c r="I125" s="389"/>
      <c r="J125" s="389"/>
      <c r="K125" s="389"/>
      <c r="L125" s="389"/>
      <c r="M125" s="389"/>
      <c r="N125" s="389"/>
      <c r="O125" s="407"/>
      <c r="P125" s="389"/>
      <c r="Q125" s="407"/>
      <c r="R125" s="389"/>
      <c r="S125" s="389"/>
      <c r="T125" s="389"/>
      <c r="U125" s="389"/>
      <c r="V125" s="389"/>
      <c r="W125" s="389"/>
      <c r="X125" s="389"/>
      <c r="Y125" s="389"/>
      <c r="Z125" s="389"/>
      <c r="AA125" s="389"/>
      <c r="AB125" s="389"/>
      <c r="AC125" s="388"/>
      <c r="AD125" s="388"/>
      <c r="AE125" s="388"/>
      <c r="AF125" s="388"/>
      <c r="AG125" s="388"/>
      <c r="AH125" s="388"/>
      <c r="AI125" s="388"/>
      <c r="AJ125" s="388"/>
      <c r="AK125" s="388"/>
      <c r="AL125" s="388"/>
      <c r="AM125" s="388"/>
      <c r="AN125" s="388"/>
      <c r="AO125" s="388"/>
      <c r="AP125" s="388"/>
      <c r="AQ125" s="388"/>
      <c r="AR125" s="388"/>
      <c r="AS125" s="388"/>
      <c r="AT125" s="388"/>
      <c r="AU125" s="388"/>
      <c r="AV125" s="388"/>
      <c r="AW125" s="388"/>
      <c r="AX125" s="388"/>
      <c r="AY125" s="388"/>
      <c r="AZ125" s="388"/>
      <c r="BA125" s="388"/>
      <c r="BB125" s="388"/>
      <c r="BC125" s="388"/>
      <c r="BD125" s="388"/>
      <c r="BE125" s="388"/>
      <c r="BF125" s="388"/>
      <c r="BG125" s="388"/>
      <c r="BH125" s="388"/>
      <c r="BI125" s="388"/>
      <c r="BJ125" s="388"/>
      <c r="BK125" s="388"/>
      <c r="BL125" s="388"/>
      <c r="BM125" s="388"/>
      <c r="BN125" s="388"/>
      <c r="BO125" s="388"/>
      <c r="CJ125" s="559">
        <v>159</v>
      </c>
      <c r="CK125" s="673"/>
      <c r="CL125" s="559">
        <v>219</v>
      </c>
      <c r="CM125" s="673"/>
      <c r="CN125" s="559">
        <v>273</v>
      </c>
      <c r="CO125" s="673"/>
      <c r="CP125" s="559">
        <v>325</v>
      </c>
      <c r="CQ125" s="673"/>
      <c r="CR125" s="559">
        <v>377</v>
      </c>
      <c r="CS125" s="673"/>
      <c r="CT125" s="559">
        <v>426</v>
      </c>
      <c r="CU125" s="673"/>
      <c r="CV125" s="559">
        <v>500</v>
      </c>
      <c r="CW125" s="673"/>
      <c r="CX125" s="559">
        <v>600</v>
      </c>
      <c r="CY125" s="673"/>
      <c r="CZ125" s="559">
        <v>700</v>
      </c>
      <c r="DA125" s="673"/>
      <c r="DB125" s="559">
        <v>800</v>
      </c>
      <c r="DC125" s="673"/>
      <c r="DD125" s="559">
        <v>900</v>
      </c>
      <c r="DE125" s="673"/>
      <c r="DF125" s="559">
        <v>1000</v>
      </c>
      <c r="EH125" s="273"/>
      <c r="EJ125" s="273"/>
    </row>
    <row r="126" spans="4:140" ht="12.75" customHeight="1">
      <c r="D126" s="389"/>
      <c r="E126" s="389"/>
      <c r="F126" s="389"/>
      <c r="G126" s="389"/>
      <c r="H126" s="388"/>
      <c r="I126" s="389"/>
      <c r="J126" s="389"/>
      <c r="K126" s="389"/>
      <c r="L126" s="389"/>
      <c r="M126" s="389"/>
      <c r="N126" s="389"/>
      <c r="O126" s="407"/>
      <c r="P126" s="389"/>
      <c r="Q126" s="407"/>
      <c r="R126" s="389"/>
      <c r="S126" s="389"/>
      <c r="T126" s="389"/>
      <c r="U126" s="389"/>
      <c r="V126" s="389"/>
      <c r="W126" s="389"/>
      <c r="X126" s="389"/>
      <c r="Y126" s="389"/>
      <c r="Z126" s="389"/>
      <c r="AA126" s="389"/>
      <c r="AB126" s="389"/>
      <c r="AC126" s="388"/>
      <c r="AD126" s="388"/>
      <c r="AE126" s="388"/>
      <c r="AF126" s="388"/>
      <c r="AG126" s="388"/>
      <c r="AH126" s="388"/>
      <c r="AI126" s="388"/>
      <c r="AJ126" s="388"/>
      <c r="AK126" s="388"/>
      <c r="AL126" s="388"/>
      <c r="AM126" s="388"/>
      <c r="AN126" s="388"/>
      <c r="AO126" s="388"/>
      <c r="AP126" s="388"/>
      <c r="AQ126" s="388"/>
      <c r="AR126" s="388"/>
      <c r="AS126" s="388"/>
      <c r="AT126" s="388"/>
      <c r="AU126" s="388"/>
      <c r="AV126" s="388"/>
      <c r="AW126" s="388"/>
      <c r="AX126" s="388"/>
      <c r="AY126" s="388"/>
      <c r="AZ126" s="388"/>
      <c r="BA126" s="388"/>
      <c r="BB126" s="388"/>
      <c r="BC126" s="388"/>
      <c r="BD126" s="388"/>
      <c r="BE126" s="388"/>
      <c r="BF126" s="388"/>
      <c r="BG126" s="388"/>
      <c r="BH126" s="388"/>
      <c r="BI126" s="388"/>
      <c r="BJ126" s="388"/>
      <c r="BK126" s="388"/>
      <c r="BL126" s="388"/>
      <c r="BM126" s="388"/>
      <c r="BN126" s="388"/>
      <c r="BO126" s="388"/>
      <c r="EH126" s="273"/>
      <c r="EJ126" s="273"/>
    </row>
    <row r="127" spans="4:140" ht="12.75" customHeight="1">
      <c r="D127" s="389"/>
      <c r="E127" s="389"/>
      <c r="F127" s="389"/>
      <c r="G127" s="389"/>
      <c r="H127" s="388"/>
      <c r="I127" s="389"/>
      <c r="J127" s="389"/>
      <c r="K127" s="389"/>
      <c r="L127" s="389"/>
      <c r="M127" s="389"/>
      <c r="N127" s="389"/>
      <c r="O127" s="407"/>
      <c r="P127" s="389"/>
      <c r="Q127" s="407"/>
      <c r="R127" s="389"/>
      <c r="S127" s="389"/>
      <c r="T127" s="389"/>
      <c r="U127" s="389"/>
      <c r="V127" s="389"/>
      <c r="W127" s="389"/>
      <c r="X127" s="389"/>
      <c r="Y127" s="389"/>
      <c r="Z127" s="389"/>
      <c r="AA127" s="389"/>
      <c r="AB127" s="389"/>
      <c r="AC127" s="388"/>
      <c r="AD127" s="388"/>
      <c r="AE127" s="388"/>
      <c r="AF127" s="388"/>
      <c r="AG127" s="388"/>
      <c r="AH127" s="388"/>
      <c r="AI127" s="388"/>
      <c r="AJ127" s="388"/>
      <c r="AK127" s="388"/>
      <c r="AL127" s="388"/>
      <c r="AM127" s="388"/>
      <c r="AN127" s="388"/>
      <c r="AO127" s="388"/>
      <c r="AP127" s="388"/>
      <c r="AQ127" s="388"/>
      <c r="AR127" s="388"/>
      <c r="AS127" s="388"/>
      <c r="AT127" s="388"/>
      <c r="AU127" s="388"/>
      <c r="AV127" s="388"/>
      <c r="AW127" s="388"/>
      <c r="AX127" s="388"/>
      <c r="AY127" s="388"/>
      <c r="AZ127" s="388"/>
      <c r="BA127" s="388"/>
      <c r="BB127" s="388"/>
      <c r="BC127" s="388"/>
      <c r="BD127" s="388"/>
      <c r="BE127" s="388"/>
      <c r="BF127" s="388"/>
      <c r="BG127" s="388"/>
      <c r="BH127" s="388"/>
      <c r="BI127" s="388"/>
      <c r="BJ127" s="388"/>
      <c r="BK127" s="388"/>
      <c r="BL127" s="388"/>
      <c r="BM127" s="388"/>
      <c r="BN127" s="388"/>
      <c r="BO127" s="388"/>
      <c r="CJ127" s="2">
        <f>HLOOKUP(MIN(CJ124:DF124),CJ124:DF125,2,FALSE)</f>
        <v>159</v>
      </c>
      <c r="EH127" s="273"/>
      <c r="EJ127" s="273"/>
    </row>
    <row r="128" spans="4:140" ht="12.75" customHeight="1">
      <c r="D128" s="389"/>
      <c r="E128" s="389"/>
      <c r="F128" s="389"/>
      <c r="G128" s="389"/>
      <c r="H128" s="388"/>
      <c r="I128" s="389"/>
      <c r="J128" s="389"/>
      <c r="K128" s="389"/>
      <c r="L128" s="389"/>
      <c r="M128" s="389"/>
      <c r="N128" s="389"/>
      <c r="O128" s="407"/>
      <c r="P128" s="389"/>
      <c r="Q128" s="407"/>
      <c r="R128" s="389"/>
      <c r="S128" s="389"/>
      <c r="T128" s="389"/>
      <c r="U128" s="389"/>
      <c r="V128" s="389"/>
      <c r="W128" s="389"/>
      <c r="X128" s="389"/>
      <c r="Y128" s="389"/>
      <c r="Z128" s="389"/>
      <c r="AA128" s="389"/>
      <c r="AB128" s="389"/>
      <c r="AC128" s="388"/>
      <c r="AD128" s="388"/>
      <c r="AE128" s="388"/>
      <c r="AF128" s="388"/>
      <c r="AG128" s="388"/>
      <c r="AH128" s="388"/>
      <c r="AI128" s="388"/>
      <c r="AJ128" s="388"/>
      <c r="AK128" s="388"/>
      <c r="AL128" s="388"/>
      <c r="AM128" s="388"/>
      <c r="AN128" s="388"/>
      <c r="AO128" s="388"/>
      <c r="AP128" s="388"/>
      <c r="AQ128" s="388"/>
      <c r="AR128" s="388"/>
      <c r="AS128" s="388"/>
      <c r="AT128" s="388"/>
      <c r="AU128" s="388"/>
      <c r="AV128" s="388"/>
      <c r="AW128" s="388"/>
      <c r="AX128" s="388"/>
      <c r="AY128" s="388"/>
      <c r="AZ128" s="388"/>
      <c r="BA128" s="388"/>
      <c r="BB128" s="388"/>
      <c r="BC128" s="388"/>
      <c r="BD128" s="388"/>
      <c r="BE128" s="388"/>
      <c r="BF128" s="388"/>
      <c r="BG128" s="388"/>
      <c r="BH128" s="388"/>
      <c r="BI128" s="388"/>
      <c r="BJ128" s="388"/>
      <c r="BK128" s="388"/>
      <c r="BL128" s="388"/>
      <c r="BM128" s="388"/>
      <c r="BN128" s="388"/>
      <c r="BO128" s="388"/>
      <c r="EH128" s="273"/>
      <c r="EJ128" s="273"/>
    </row>
    <row r="129" spans="4:140" ht="12.75" customHeight="1">
      <c r="D129" s="389"/>
      <c r="E129" s="389"/>
      <c r="F129" s="389"/>
      <c r="G129" s="389"/>
      <c r="H129" s="388"/>
      <c r="I129" s="389"/>
      <c r="J129" s="389"/>
      <c r="K129" s="389"/>
      <c r="L129" s="389"/>
      <c r="M129" s="389"/>
      <c r="N129" s="389"/>
      <c r="O129" s="407"/>
      <c r="P129" s="389"/>
      <c r="Q129" s="407"/>
      <c r="R129" s="389"/>
      <c r="S129" s="389"/>
      <c r="T129" s="389"/>
      <c r="U129" s="389"/>
      <c r="V129" s="389"/>
      <c r="W129" s="389"/>
      <c r="X129" s="389"/>
      <c r="Y129" s="389"/>
      <c r="Z129" s="389"/>
      <c r="AA129" s="389"/>
      <c r="AB129" s="389"/>
      <c r="AC129" s="388"/>
      <c r="AD129" s="388"/>
      <c r="AE129" s="388"/>
      <c r="AF129" s="388"/>
      <c r="AG129" s="388"/>
      <c r="AH129" s="388"/>
      <c r="AI129" s="388"/>
      <c r="AJ129" s="388"/>
      <c r="AK129" s="388"/>
      <c r="AL129" s="388"/>
      <c r="AM129" s="388"/>
      <c r="AN129" s="388"/>
      <c r="AO129" s="388"/>
      <c r="AP129" s="388"/>
      <c r="AQ129" s="388"/>
      <c r="AR129" s="388"/>
      <c r="AS129" s="388"/>
      <c r="AT129" s="388"/>
      <c r="AU129" s="388"/>
      <c r="AV129" s="388"/>
      <c r="AW129" s="388"/>
      <c r="AX129" s="388"/>
      <c r="AY129" s="388"/>
      <c r="AZ129" s="388"/>
      <c r="BA129" s="388"/>
      <c r="BB129" s="388"/>
      <c r="BC129" s="388"/>
      <c r="BD129" s="388"/>
      <c r="BE129" s="388"/>
      <c r="BF129" s="388"/>
      <c r="BG129" s="388"/>
      <c r="BH129" s="388"/>
      <c r="BI129" s="388"/>
      <c r="BJ129" s="388"/>
      <c r="BK129" s="388"/>
      <c r="BL129" s="388"/>
      <c r="BM129" s="388"/>
      <c r="BN129" s="388"/>
      <c r="BO129" s="388"/>
      <c r="EH129" s="273"/>
      <c r="EJ129" s="273"/>
    </row>
    <row r="130" spans="4:140" ht="12.75" customHeight="1">
      <c r="D130" s="389"/>
      <c r="E130" s="389"/>
      <c r="F130" s="389"/>
      <c r="G130" s="389"/>
      <c r="H130" s="388"/>
      <c r="I130" s="389"/>
      <c r="J130" s="389"/>
      <c r="K130" s="389"/>
      <c r="L130" s="389"/>
      <c r="M130" s="389"/>
      <c r="N130" s="389"/>
      <c r="O130" s="407"/>
      <c r="P130" s="389"/>
      <c r="Q130" s="407"/>
      <c r="R130" s="389"/>
      <c r="S130" s="389"/>
      <c r="T130" s="389"/>
      <c r="U130" s="389"/>
      <c r="V130" s="389"/>
      <c r="W130" s="389"/>
      <c r="X130" s="389"/>
      <c r="Y130" s="389"/>
      <c r="Z130" s="389"/>
      <c r="AA130" s="389"/>
      <c r="AB130" s="389"/>
      <c r="AC130" s="388"/>
      <c r="AD130" s="388"/>
      <c r="AE130" s="388"/>
      <c r="AF130" s="388"/>
      <c r="AG130" s="388"/>
      <c r="AH130" s="388"/>
      <c r="AI130" s="388"/>
      <c r="AJ130" s="388"/>
      <c r="AK130" s="388"/>
      <c r="AL130" s="388"/>
      <c r="AM130" s="388"/>
      <c r="AN130" s="388"/>
      <c r="AO130" s="388"/>
      <c r="AP130" s="388"/>
      <c r="AQ130" s="388"/>
      <c r="AR130" s="388"/>
      <c r="AS130" s="388"/>
      <c r="AT130" s="388"/>
      <c r="AU130" s="388"/>
      <c r="AV130" s="388"/>
      <c r="AW130" s="388"/>
      <c r="AX130" s="388"/>
      <c r="AY130" s="388"/>
      <c r="AZ130" s="388"/>
      <c r="BA130" s="388"/>
      <c r="BB130" s="388"/>
      <c r="BC130" s="388"/>
      <c r="BD130" s="388"/>
      <c r="BE130" s="388"/>
      <c r="BF130" s="388"/>
      <c r="BG130" s="388"/>
      <c r="BH130" s="388"/>
      <c r="BI130" s="388"/>
      <c r="BJ130" s="388"/>
      <c r="BK130" s="388"/>
      <c r="BL130" s="388"/>
      <c r="BM130" s="388"/>
      <c r="BN130" s="388"/>
      <c r="BO130" s="388"/>
      <c r="EH130" s="273"/>
      <c r="EJ130" s="273"/>
    </row>
    <row r="131" spans="4:140" ht="12.75" customHeight="1">
      <c r="D131" s="389"/>
      <c r="E131" s="389"/>
      <c r="F131" s="389"/>
      <c r="G131" s="389"/>
      <c r="H131" s="388"/>
      <c r="I131" s="389"/>
      <c r="J131" s="389"/>
      <c r="K131" s="389"/>
      <c r="L131" s="389"/>
      <c r="M131" s="389"/>
      <c r="N131" s="389"/>
      <c r="O131" s="407"/>
      <c r="P131" s="389"/>
      <c r="Q131" s="407"/>
      <c r="R131" s="389"/>
      <c r="S131" s="389"/>
      <c r="T131" s="389"/>
      <c r="U131" s="389"/>
      <c r="V131" s="389"/>
      <c r="W131" s="389"/>
      <c r="X131" s="389"/>
      <c r="Y131" s="389"/>
      <c r="Z131" s="389"/>
      <c r="AA131" s="389"/>
      <c r="AB131" s="389"/>
      <c r="AC131" s="388"/>
      <c r="AD131" s="388"/>
      <c r="AE131" s="388"/>
      <c r="AF131" s="388"/>
      <c r="AG131" s="388"/>
      <c r="AH131" s="388"/>
      <c r="AI131" s="388"/>
      <c r="AJ131" s="388"/>
      <c r="AK131" s="388"/>
      <c r="AL131" s="388"/>
      <c r="AM131" s="388"/>
      <c r="AN131" s="388"/>
      <c r="AO131" s="388"/>
      <c r="AP131" s="388"/>
      <c r="AQ131" s="388"/>
      <c r="AR131" s="388"/>
      <c r="AS131" s="388"/>
      <c r="AT131" s="388"/>
      <c r="AU131" s="388"/>
      <c r="AV131" s="388"/>
      <c r="AW131" s="388"/>
      <c r="AX131" s="388"/>
      <c r="AY131" s="388"/>
      <c r="AZ131" s="388"/>
      <c r="BA131" s="388"/>
      <c r="BB131" s="388"/>
      <c r="BC131" s="388"/>
      <c r="BD131" s="388"/>
      <c r="BE131" s="388"/>
      <c r="BF131" s="388"/>
      <c r="BG131" s="388"/>
      <c r="BH131" s="388"/>
      <c r="BI131" s="388"/>
      <c r="BJ131" s="388"/>
      <c r="BK131" s="388"/>
      <c r="BL131" s="388"/>
      <c r="BM131" s="388"/>
      <c r="BN131" s="388"/>
      <c r="BO131" s="388"/>
      <c r="EH131" s="273"/>
      <c r="EJ131" s="273"/>
    </row>
    <row r="132" spans="4:140" ht="12.75" customHeight="1">
      <c r="D132" s="389"/>
      <c r="E132" s="389"/>
      <c r="F132" s="389"/>
      <c r="G132" s="389"/>
      <c r="H132" s="388"/>
      <c r="I132" s="389"/>
      <c r="J132" s="389"/>
      <c r="K132" s="389"/>
      <c r="L132" s="389"/>
      <c r="M132" s="389"/>
      <c r="N132" s="389"/>
      <c r="O132" s="407"/>
      <c r="P132" s="389"/>
      <c r="Q132" s="407"/>
      <c r="R132" s="389"/>
      <c r="S132" s="389"/>
      <c r="T132" s="389"/>
      <c r="U132" s="389"/>
      <c r="V132" s="389"/>
      <c r="W132" s="389"/>
      <c r="X132" s="389"/>
      <c r="Y132" s="389"/>
      <c r="Z132" s="389"/>
      <c r="AA132" s="389"/>
      <c r="AB132" s="389"/>
      <c r="AC132" s="388"/>
      <c r="AD132" s="388"/>
      <c r="AE132" s="388"/>
      <c r="AF132" s="388"/>
      <c r="AG132" s="388"/>
      <c r="AH132" s="388"/>
      <c r="AI132" s="388"/>
      <c r="AJ132" s="388"/>
      <c r="AK132" s="388"/>
      <c r="AL132" s="388"/>
      <c r="AM132" s="388"/>
      <c r="AN132" s="388"/>
      <c r="AO132" s="388"/>
      <c r="AP132" s="388"/>
      <c r="AQ132" s="388"/>
      <c r="AR132" s="388"/>
      <c r="AS132" s="388"/>
      <c r="AT132" s="388"/>
      <c r="AU132" s="388"/>
      <c r="AV132" s="388"/>
      <c r="AW132" s="388"/>
      <c r="AX132" s="388"/>
      <c r="AY132" s="388"/>
      <c r="AZ132" s="388"/>
      <c r="BA132" s="388"/>
      <c r="BB132" s="388"/>
      <c r="BC132" s="388"/>
      <c r="BD132" s="388"/>
      <c r="BE132" s="388"/>
      <c r="BF132" s="388"/>
      <c r="BG132" s="388"/>
      <c r="BH132" s="388"/>
      <c r="BI132" s="388"/>
      <c r="BJ132" s="388"/>
      <c r="BK132" s="388"/>
      <c r="BL132" s="388"/>
      <c r="BM132" s="388"/>
      <c r="BN132" s="388"/>
      <c r="BO132" s="388"/>
      <c r="EH132" s="273"/>
      <c r="EJ132" s="273"/>
    </row>
    <row r="133" spans="4:140" ht="12.75" customHeight="1">
      <c r="D133" s="389"/>
      <c r="E133" s="389"/>
      <c r="F133" s="389"/>
      <c r="G133" s="389"/>
      <c r="H133" s="388"/>
      <c r="I133" s="389"/>
      <c r="J133" s="389"/>
      <c r="K133" s="389"/>
      <c r="L133" s="389"/>
      <c r="M133" s="389"/>
      <c r="N133" s="389"/>
      <c r="O133" s="407"/>
      <c r="P133" s="389"/>
      <c r="Q133" s="407"/>
      <c r="R133" s="389"/>
      <c r="S133" s="389"/>
      <c r="T133" s="389"/>
      <c r="U133" s="389"/>
      <c r="V133" s="389"/>
      <c r="W133" s="389"/>
      <c r="X133" s="389"/>
      <c r="Y133" s="389"/>
      <c r="Z133" s="389"/>
      <c r="AA133" s="389"/>
      <c r="AB133" s="389"/>
      <c r="AC133" s="388"/>
      <c r="AD133" s="388"/>
      <c r="AE133" s="388"/>
      <c r="AF133" s="388"/>
      <c r="AG133" s="388"/>
      <c r="AH133" s="388"/>
      <c r="AI133" s="388"/>
      <c r="AJ133" s="388"/>
      <c r="AK133" s="388"/>
      <c r="AL133" s="388"/>
      <c r="AM133" s="388"/>
      <c r="AN133" s="388"/>
      <c r="AO133" s="388"/>
      <c r="AP133" s="388"/>
      <c r="AQ133" s="388"/>
      <c r="AR133" s="388"/>
      <c r="AS133" s="388"/>
      <c r="AT133" s="388"/>
      <c r="AU133" s="388"/>
      <c r="AV133" s="388"/>
      <c r="AW133" s="388"/>
      <c r="AX133" s="388"/>
      <c r="AY133" s="388"/>
      <c r="AZ133" s="388"/>
      <c r="BA133" s="388"/>
      <c r="BB133" s="388"/>
      <c r="BC133" s="388"/>
      <c r="BD133" s="388"/>
      <c r="BE133" s="388"/>
      <c r="BF133" s="388"/>
      <c r="BG133" s="388"/>
      <c r="BH133" s="388"/>
      <c r="BI133" s="388"/>
      <c r="BJ133" s="388"/>
      <c r="BK133" s="388"/>
      <c r="BL133" s="388"/>
      <c r="BM133" s="388"/>
      <c r="BN133" s="388"/>
      <c r="BO133" s="388"/>
      <c r="EH133" s="273"/>
      <c r="EJ133" s="273"/>
    </row>
    <row r="134" spans="4:140" ht="12.75" customHeight="1">
      <c r="D134" s="389"/>
      <c r="E134" s="389"/>
      <c r="F134" s="389"/>
      <c r="G134" s="389"/>
      <c r="H134" s="388"/>
      <c r="I134" s="389"/>
      <c r="J134" s="389"/>
      <c r="K134" s="389"/>
      <c r="L134" s="389"/>
      <c r="M134" s="389"/>
      <c r="N134" s="389"/>
      <c r="O134" s="407"/>
      <c r="P134" s="389"/>
      <c r="Q134" s="407"/>
      <c r="R134" s="389"/>
      <c r="S134" s="389"/>
      <c r="T134" s="389"/>
      <c r="U134" s="389"/>
      <c r="V134" s="389"/>
      <c r="W134" s="389"/>
      <c r="X134" s="389"/>
      <c r="Y134" s="389"/>
      <c r="Z134" s="389"/>
      <c r="AA134" s="389"/>
      <c r="AB134" s="389"/>
      <c r="AC134" s="388"/>
      <c r="AD134" s="388"/>
      <c r="AE134" s="388"/>
      <c r="AF134" s="388"/>
      <c r="AG134" s="388"/>
      <c r="AH134" s="388"/>
      <c r="AI134" s="388"/>
      <c r="AJ134" s="388"/>
      <c r="AK134" s="388"/>
      <c r="AL134" s="388"/>
      <c r="AM134" s="388"/>
      <c r="AN134" s="388"/>
      <c r="AO134" s="388"/>
      <c r="AP134" s="388"/>
      <c r="AQ134" s="388"/>
      <c r="AR134" s="388"/>
      <c r="AS134" s="388"/>
      <c r="AT134" s="388"/>
      <c r="AU134" s="388"/>
      <c r="AV134" s="388"/>
      <c r="AW134" s="388"/>
      <c r="AX134" s="388"/>
      <c r="AY134" s="388"/>
      <c r="AZ134" s="388"/>
      <c r="BA134" s="388"/>
      <c r="BB134" s="388"/>
      <c r="BC134" s="388"/>
      <c r="BD134" s="388"/>
      <c r="BE134" s="388"/>
      <c r="BF134" s="388"/>
      <c r="BG134" s="388"/>
      <c r="BH134" s="388"/>
      <c r="BI134" s="388"/>
      <c r="BJ134" s="388"/>
      <c r="BK134" s="388"/>
      <c r="BL134" s="388"/>
      <c r="BM134" s="388"/>
      <c r="BN134" s="388"/>
      <c r="BO134" s="388"/>
      <c r="EH134" s="273"/>
      <c r="EJ134" s="273"/>
    </row>
    <row r="135" spans="4:140" ht="12.75" customHeight="1">
      <c r="D135" s="389"/>
      <c r="E135" s="389"/>
      <c r="F135" s="389"/>
      <c r="G135" s="389"/>
      <c r="H135" s="388"/>
      <c r="I135" s="389"/>
      <c r="J135" s="389"/>
      <c r="K135" s="389"/>
      <c r="L135" s="389"/>
      <c r="M135" s="389"/>
      <c r="N135" s="389"/>
      <c r="O135" s="407"/>
      <c r="P135" s="389"/>
      <c r="Q135" s="407"/>
      <c r="R135" s="389"/>
      <c r="S135" s="389"/>
      <c r="T135" s="389"/>
      <c r="U135" s="389"/>
      <c r="V135" s="389"/>
      <c r="W135" s="389"/>
      <c r="X135" s="389"/>
      <c r="Y135" s="389"/>
      <c r="Z135" s="389"/>
      <c r="AA135" s="389"/>
      <c r="AB135" s="389"/>
      <c r="AC135" s="388"/>
      <c r="AD135" s="388"/>
      <c r="AE135" s="388"/>
      <c r="AF135" s="388"/>
      <c r="AG135" s="388"/>
      <c r="AH135" s="388"/>
      <c r="AI135" s="388"/>
      <c r="AJ135" s="388"/>
      <c r="AK135" s="388"/>
      <c r="AL135" s="388"/>
      <c r="AM135" s="388"/>
      <c r="AN135" s="388"/>
      <c r="AO135" s="388"/>
      <c r="AP135" s="388"/>
      <c r="AQ135" s="388"/>
      <c r="AR135" s="388"/>
      <c r="AS135" s="388"/>
      <c r="AT135" s="388"/>
      <c r="AU135" s="388"/>
      <c r="AV135" s="388"/>
      <c r="AW135" s="388"/>
      <c r="AX135" s="388"/>
      <c r="AY135" s="388"/>
      <c r="AZ135" s="388"/>
      <c r="BA135" s="388"/>
      <c r="BB135" s="388"/>
      <c r="BC135" s="388"/>
      <c r="BD135" s="388"/>
      <c r="BE135" s="388"/>
      <c r="BF135" s="388"/>
      <c r="BG135" s="388"/>
      <c r="BH135" s="388"/>
      <c r="BI135" s="388"/>
      <c r="BJ135" s="388"/>
      <c r="BK135" s="388"/>
      <c r="BL135" s="388"/>
      <c r="BM135" s="388"/>
      <c r="BN135" s="388"/>
      <c r="BO135" s="388"/>
      <c r="EH135" s="273"/>
      <c r="EJ135" s="273"/>
    </row>
    <row r="136" spans="4:140" ht="12.75" customHeight="1">
      <c r="D136" s="389"/>
      <c r="E136" s="389"/>
      <c r="F136" s="389"/>
      <c r="G136" s="389"/>
      <c r="H136" s="388"/>
      <c r="I136" s="389"/>
      <c r="J136" s="389"/>
      <c r="K136" s="389"/>
      <c r="L136" s="389"/>
      <c r="M136" s="389"/>
      <c r="N136" s="389"/>
      <c r="O136" s="407"/>
      <c r="P136" s="389"/>
      <c r="Q136" s="407"/>
      <c r="R136" s="389"/>
      <c r="S136" s="389"/>
      <c r="T136" s="389"/>
      <c r="U136" s="389"/>
      <c r="V136" s="389"/>
      <c r="W136" s="389"/>
      <c r="X136" s="389"/>
      <c r="Y136" s="389"/>
      <c r="Z136" s="389"/>
      <c r="AA136" s="389"/>
      <c r="AB136" s="389"/>
      <c r="AC136" s="388"/>
      <c r="AD136" s="388"/>
      <c r="AE136" s="388"/>
      <c r="AF136" s="388"/>
      <c r="AG136" s="388"/>
      <c r="AH136" s="388"/>
      <c r="AI136" s="388"/>
      <c r="AJ136" s="388"/>
      <c r="AK136" s="388"/>
      <c r="AL136" s="388"/>
      <c r="AM136" s="388"/>
      <c r="AN136" s="388"/>
      <c r="AO136" s="388"/>
      <c r="AP136" s="388"/>
      <c r="AQ136" s="388"/>
      <c r="AR136" s="388"/>
      <c r="AS136" s="388"/>
      <c r="AT136" s="388"/>
      <c r="AU136" s="388"/>
      <c r="AV136" s="388"/>
      <c r="AW136" s="388"/>
      <c r="AX136" s="388"/>
      <c r="AY136" s="388"/>
      <c r="AZ136" s="388"/>
      <c r="BA136" s="388"/>
      <c r="BB136" s="388"/>
      <c r="BC136" s="388"/>
      <c r="BD136" s="388"/>
      <c r="BE136" s="388"/>
      <c r="BF136" s="388"/>
      <c r="BG136" s="388"/>
      <c r="BH136" s="388"/>
      <c r="BI136" s="388"/>
      <c r="BJ136" s="388"/>
      <c r="BK136" s="388"/>
      <c r="BL136" s="388"/>
      <c r="BM136" s="388"/>
      <c r="BN136" s="388"/>
      <c r="BO136" s="388"/>
    </row>
    <row r="137" spans="4:140" ht="12.75" customHeight="1">
      <c r="D137" s="389"/>
      <c r="E137" s="389"/>
      <c r="F137" s="389"/>
      <c r="G137" s="389"/>
      <c r="H137" s="388"/>
      <c r="I137" s="389"/>
      <c r="J137" s="389"/>
      <c r="K137" s="389"/>
      <c r="L137" s="389"/>
      <c r="M137" s="389"/>
      <c r="N137" s="389"/>
      <c r="O137" s="407"/>
      <c r="P137" s="389"/>
      <c r="Q137" s="407"/>
      <c r="R137" s="389"/>
      <c r="S137" s="389"/>
      <c r="T137" s="389"/>
      <c r="U137" s="389"/>
      <c r="V137" s="389"/>
      <c r="W137" s="389"/>
      <c r="X137" s="389"/>
      <c r="Y137" s="389"/>
      <c r="Z137" s="389"/>
      <c r="AA137" s="389"/>
      <c r="AB137" s="389"/>
      <c r="AC137" s="388"/>
      <c r="AD137" s="388"/>
      <c r="AE137" s="388"/>
      <c r="AF137" s="388"/>
      <c r="AG137" s="388"/>
      <c r="AH137" s="388"/>
      <c r="AI137" s="388"/>
      <c r="AJ137" s="388"/>
      <c r="AK137" s="388"/>
      <c r="AL137" s="388"/>
      <c r="AM137" s="388"/>
      <c r="AN137" s="388"/>
      <c r="AO137" s="388"/>
      <c r="AP137" s="388"/>
      <c r="AQ137" s="388"/>
      <c r="AR137" s="388"/>
      <c r="AS137" s="388"/>
      <c r="AT137" s="388"/>
      <c r="AU137" s="388"/>
      <c r="AV137" s="388"/>
      <c r="AW137" s="388"/>
      <c r="AX137" s="388"/>
      <c r="AY137" s="388"/>
      <c r="AZ137" s="388"/>
      <c r="BA137" s="388"/>
      <c r="BB137" s="388"/>
      <c r="BC137" s="388"/>
      <c r="BD137" s="388"/>
      <c r="BE137" s="388"/>
      <c r="BF137" s="388"/>
      <c r="BG137" s="388"/>
      <c r="BH137" s="388"/>
      <c r="BI137" s="388"/>
      <c r="BJ137" s="388"/>
      <c r="BK137" s="388"/>
      <c r="BL137" s="388"/>
      <c r="BM137" s="388"/>
      <c r="BN137" s="388"/>
      <c r="BO137" s="388"/>
    </row>
    <row r="138" spans="4:140" ht="12.75" customHeight="1">
      <c r="D138" s="389"/>
      <c r="E138" s="389"/>
      <c r="F138" s="389"/>
      <c r="G138" s="389"/>
      <c r="H138" s="388"/>
      <c r="I138" s="389"/>
      <c r="J138" s="389"/>
      <c r="K138" s="389"/>
      <c r="L138" s="389"/>
      <c r="M138" s="389"/>
      <c r="N138" s="389"/>
      <c r="O138" s="407"/>
      <c r="P138" s="389"/>
      <c r="Q138" s="407"/>
      <c r="R138" s="389"/>
      <c r="S138" s="389"/>
      <c r="T138" s="389"/>
      <c r="U138" s="389"/>
      <c r="V138" s="389"/>
      <c r="W138" s="389"/>
      <c r="X138" s="389"/>
      <c r="Y138" s="389"/>
      <c r="Z138" s="389"/>
      <c r="AA138" s="389"/>
      <c r="AB138" s="389"/>
      <c r="AC138" s="388"/>
      <c r="AD138" s="388"/>
      <c r="AE138" s="388"/>
      <c r="AF138" s="388"/>
      <c r="AG138" s="388"/>
      <c r="AH138" s="388"/>
      <c r="AI138" s="388"/>
      <c r="AJ138" s="388"/>
      <c r="AK138" s="388"/>
      <c r="AL138" s="388"/>
      <c r="AM138" s="388"/>
      <c r="AN138" s="388"/>
      <c r="AO138" s="388"/>
      <c r="AP138" s="388"/>
      <c r="AQ138" s="388"/>
      <c r="AR138" s="388"/>
      <c r="AS138" s="388"/>
      <c r="AT138" s="388"/>
      <c r="AU138" s="388"/>
      <c r="AV138" s="388"/>
      <c r="AW138" s="388"/>
      <c r="AX138" s="388"/>
      <c r="AY138" s="388"/>
      <c r="AZ138" s="388"/>
      <c r="BA138" s="388"/>
      <c r="BB138" s="388"/>
      <c r="BC138" s="388"/>
      <c r="BD138" s="388"/>
      <c r="BE138" s="388"/>
      <c r="BF138" s="388"/>
      <c r="BG138" s="388"/>
      <c r="BH138" s="388"/>
      <c r="BI138" s="388"/>
      <c r="BJ138" s="388"/>
      <c r="BK138" s="388"/>
      <c r="BL138" s="388"/>
      <c r="BM138" s="388"/>
      <c r="BN138" s="388"/>
      <c r="BO138" s="388"/>
    </row>
    <row r="139" spans="4:140" ht="12.75" customHeight="1">
      <c r="D139" s="389"/>
      <c r="E139" s="389"/>
      <c r="F139" s="389"/>
      <c r="G139" s="389"/>
      <c r="H139" s="388"/>
      <c r="I139" s="389"/>
      <c r="J139" s="389"/>
      <c r="K139" s="389"/>
      <c r="L139" s="389"/>
      <c r="M139" s="389"/>
      <c r="N139" s="389"/>
      <c r="O139" s="407"/>
      <c r="P139" s="389"/>
      <c r="Q139" s="407"/>
      <c r="R139" s="389"/>
      <c r="S139" s="389"/>
      <c r="T139" s="389"/>
      <c r="U139" s="389"/>
      <c r="V139" s="389"/>
      <c r="W139" s="389"/>
      <c r="X139" s="389"/>
      <c r="Y139" s="389"/>
      <c r="Z139" s="389"/>
      <c r="AA139" s="389"/>
      <c r="AB139" s="389"/>
      <c r="AC139" s="388"/>
      <c r="AD139" s="388"/>
      <c r="AE139" s="388"/>
      <c r="AF139" s="388"/>
      <c r="AG139" s="388"/>
      <c r="AH139" s="388"/>
      <c r="AI139" s="388"/>
      <c r="AJ139" s="388"/>
      <c r="AK139" s="388"/>
      <c r="AL139" s="388"/>
      <c r="AM139" s="388"/>
      <c r="AN139" s="388"/>
      <c r="AO139" s="388"/>
      <c r="AP139" s="388"/>
      <c r="AQ139" s="388"/>
      <c r="AR139" s="388"/>
      <c r="AS139" s="388"/>
      <c r="AT139" s="388"/>
      <c r="AU139" s="388"/>
      <c r="AV139" s="388"/>
      <c r="AW139" s="388"/>
      <c r="AX139" s="388"/>
      <c r="AY139" s="388"/>
      <c r="AZ139" s="388"/>
      <c r="BA139" s="388"/>
      <c r="BB139" s="388"/>
      <c r="BC139" s="388"/>
      <c r="BD139" s="388"/>
      <c r="BE139" s="388"/>
      <c r="BF139" s="388"/>
      <c r="BG139" s="388"/>
      <c r="BH139" s="388"/>
      <c r="BI139" s="388"/>
      <c r="BJ139" s="388"/>
      <c r="BK139" s="388"/>
      <c r="BL139" s="388"/>
      <c r="BM139" s="388"/>
      <c r="BN139" s="388"/>
      <c r="BO139" s="388"/>
    </row>
    <row r="140" spans="4:140" ht="12.75" customHeight="1">
      <c r="D140" s="389"/>
      <c r="E140" s="389"/>
      <c r="F140" s="389"/>
      <c r="G140" s="389"/>
      <c r="H140" s="388"/>
      <c r="I140" s="389"/>
      <c r="J140" s="389"/>
      <c r="K140" s="389"/>
      <c r="L140" s="389"/>
      <c r="M140" s="389"/>
      <c r="N140" s="389"/>
      <c r="O140" s="407"/>
      <c r="P140" s="389"/>
      <c r="Q140" s="407"/>
      <c r="R140" s="389"/>
      <c r="S140" s="389"/>
      <c r="T140" s="389"/>
      <c r="U140" s="389"/>
      <c r="V140" s="389"/>
      <c r="W140" s="389"/>
      <c r="X140" s="389"/>
      <c r="Y140" s="389"/>
      <c r="Z140" s="389"/>
      <c r="AA140" s="389"/>
      <c r="AB140" s="389"/>
      <c r="AC140" s="388"/>
      <c r="AD140" s="388"/>
      <c r="AE140" s="388"/>
      <c r="AF140" s="388"/>
      <c r="AG140" s="388"/>
      <c r="AH140" s="388"/>
      <c r="AI140" s="388"/>
      <c r="AJ140" s="388"/>
      <c r="AK140" s="388"/>
      <c r="AL140" s="388"/>
      <c r="AM140" s="388"/>
      <c r="AN140" s="388"/>
      <c r="AO140" s="388"/>
      <c r="AP140" s="388"/>
      <c r="AQ140" s="388"/>
      <c r="AR140" s="388"/>
      <c r="AS140" s="388"/>
      <c r="AT140" s="388"/>
      <c r="AU140" s="388"/>
      <c r="AV140" s="388"/>
      <c r="AW140" s="388"/>
      <c r="AX140" s="388"/>
      <c r="AY140" s="388"/>
      <c r="AZ140" s="388"/>
      <c r="BA140" s="388"/>
      <c r="BB140" s="388"/>
      <c r="BC140" s="388"/>
      <c r="BD140" s="388"/>
      <c r="BE140" s="388"/>
      <c r="BF140" s="388"/>
      <c r="BG140" s="388"/>
      <c r="BH140" s="388"/>
      <c r="BI140" s="388"/>
      <c r="BJ140" s="388"/>
      <c r="BK140" s="388"/>
      <c r="BL140" s="388"/>
      <c r="BM140" s="388"/>
      <c r="BN140" s="388"/>
      <c r="BO140" s="388"/>
    </row>
    <row r="141" spans="4:140" ht="12.75" customHeight="1">
      <c r="D141" s="389"/>
      <c r="E141" s="389"/>
      <c r="F141" s="389"/>
      <c r="G141" s="389"/>
      <c r="H141" s="388"/>
      <c r="I141" s="389"/>
      <c r="J141" s="389"/>
      <c r="K141" s="389"/>
      <c r="L141" s="389"/>
      <c r="M141" s="389"/>
      <c r="N141" s="389"/>
      <c r="O141" s="407"/>
      <c r="P141" s="389"/>
      <c r="Q141" s="407"/>
      <c r="R141" s="389"/>
      <c r="S141" s="389"/>
      <c r="T141" s="389"/>
      <c r="U141" s="389"/>
      <c r="V141" s="389"/>
      <c r="W141" s="389"/>
      <c r="X141" s="389"/>
      <c r="Y141" s="389"/>
      <c r="Z141" s="389"/>
      <c r="AA141" s="389"/>
      <c r="AB141" s="389"/>
      <c r="AC141" s="388"/>
      <c r="AD141" s="388"/>
      <c r="AE141" s="388"/>
      <c r="AF141" s="388"/>
      <c r="AG141" s="388"/>
      <c r="AH141" s="388"/>
      <c r="AI141" s="388"/>
      <c r="AJ141" s="388"/>
      <c r="AK141" s="388"/>
      <c r="AL141" s="388"/>
      <c r="AM141" s="388"/>
      <c r="AN141" s="388"/>
      <c r="AO141" s="388"/>
      <c r="AP141" s="388"/>
      <c r="AQ141" s="388"/>
      <c r="AR141" s="388"/>
      <c r="AS141" s="388"/>
      <c r="AT141" s="388"/>
      <c r="AU141" s="388"/>
      <c r="AV141" s="388"/>
      <c r="AW141" s="388"/>
      <c r="AX141" s="388"/>
      <c r="AY141" s="388"/>
      <c r="AZ141" s="388"/>
      <c r="BA141" s="388"/>
      <c r="BB141" s="388"/>
      <c r="BC141" s="388"/>
      <c r="BD141" s="388"/>
      <c r="BE141" s="388"/>
      <c r="BF141" s="388"/>
      <c r="BG141" s="388"/>
      <c r="BH141" s="388"/>
      <c r="BI141" s="388"/>
      <c r="BJ141" s="388"/>
      <c r="BK141" s="388"/>
      <c r="BL141" s="388"/>
      <c r="BM141" s="388"/>
      <c r="BN141" s="388"/>
      <c r="BO141" s="388"/>
    </row>
    <row r="142" spans="4:140" ht="12.75" customHeight="1">
      <c r="D142" s="389"/>
      <c r="E142" s="389"/>
      <c r="F142" s="389"/>
      <c r="G142" s="389"/>
      <c r="H142" s="388"/>
      <c r="I142" s="389"/>
      <c r="J142" s="389"/>
      <c r="K142" s="389"/>
      <c r="L142" s="389"/>
      <c r="M142" s="389"/>
      <c r="N142" s="389"/>
      <c r="O142" s="407"/>
      <c r="P142" s="389"/>
      <c r="Q142" s="407"/>
      <c r="R142" s="389"/>
      <c r="S142" s="389"/>
      <c r="T142" s="389"/>
      <c r="U142" s="389"/>
      <c r="V142" s="389"/>
      <c r="W142" s="389"/>
      <c r="X142" s="389"/>
      <c r="Y142" s="389"/>
      <c r="Z142" s="389"/>
      <c r="AA142" s="389"/>
      <c r="AB142" s="389"/>
      <c r="AC142" s="388"/>
      <c r="AD142" s="388"/>
      <c r="AE142" s="388"/>
      <c r="AF142" s="388"/>
      <c r="AG142" s="388"/>
      <c r="AH142" s="388"/>
      <c r="AI142" s="388"/>
      <c r="AJ142" s="388"/>
      <c r="AK142" s="388"/>
      <c r="AL142" s="388"/>
      <c r="AM142" s="388"/>
      <c r="AN142" s="388"/>
      <c r="AO142" s="388"/>
      <c r="AP142" s="388"/>
      <c r="AQ142" s="388"/>
      <c r="AR142" s="388"/>
      <c r="AS142" s="388"/>
      <c r="AT142" s="388"/>
      <c r="AU142" s="388"/>
      <c r="AV142" s="388"/>
      <c r="AW142" s="388"/>
      <c r="AX142" s="388"/>
      <c r="AY142" s="388"/>
      <c r="AZ142" s="388"/>
      <c r="BA142" s="388"/>
      <c r="BB142" s="388"/>
      <c r="BC142" s="388"/>
      <c r="BD142" s="388"/>
      <c r="BE142" s="388"/>
      <c r="BF142" s="388"/>
      <c r="BG142" s="388"/>
      <c r="BH142" s="388"/>
      <c r="BI142" s="388"/>
      <c r="BJ142" s="388"/>
      <c r="BK142" s="388"/>
      <c r="BL142" s="388"/>
      <c r="BM142" s="388"/>
      <c r="BN142" s="388"/>
      <c r="BO142" s="388"/>
    </row>
    <row r="143" spans="4:140" ht="12.75" customHeight="1">
      <c r="D143" s="389"/>
      <c r="E143" s="389"/>
      <c r="F143" s="389"/>
      <c r="G143" s="389"/>
      <c r="H143" s="388"/>
      <c r="I143" s="389"/>
      <c r="J143" s="389"/>
      <c r="K143" s="389"/>
      <c r="L143" s="389"/>
      <c r="M143" s="389"/>
      <c r="N143" s="389"/>
      <c r="O143" s="407"/>
      <c r="P143" s="389"/>
      <c r="Q143" s="407"/>
      <c r="R143" s="389"/>
      <c r="S143" s="389"/>
      <c r="T143" s="389"/>
      <c r="U143" s="389"/>
      <c r="V143" s="389"/>
      <c r="W143" s="389"/>
      <c r="X143" s="389"/>
      <c r="Y143" s="389"/>
      <c r="Z143" s="389"/>
      <c r="AA143" s="389"/>
      <c r="AB143" s="389"/>
      <c r="AC143" s="388"/>
      <c r="AD143" s="388"/>
      <c r="AE143" s="388"/>
      <c r="AF143" s="388"/>
      <c r="AG143" s="388"/>
      <c r="AH143" s="388"/>
      <c r="AI143" s="388"/>
      <c r="AJ143" s="388"/>
      <c r="AK143" s="388"/>
      <c r="AL143" s="388"/>
      <c r="AM143" s="388"/>
      <c r="AN143" s="388"/>
      <c r="AO143" s="388"/>
      <c r="AP143" s="388"/>
      <c r="AQ143" s="388"/>
      <c r="AR143" s="388"/>
      <c r="AS143" s="388"/>
      <c r="AT143" s="388"/>
      <c r="AU143" s="388"/>
      <c r="AV143" s="388"/>
      <c r="AW143" s="388"/>
      <c r="AX143" s="388"/>
      <c r="AY143" s="388"/>
      <c r="AZ143" s="388"/>
      <c r="BA143" s="388"/>
      <c r="BB143" s="388"/>
      <c r="BC143" s="388"/>
      <c r="BD143" s="388"/>
      <c r="BE143" s="388"/>
      <c r="BF143" s="388"/>
      <c r="BG143" s="388"/>
      <c r="BH143" s="388"/>
      <c r="BI143" s="388"/>
      <c r="BJ143" s="388"/>
      <c r="BK143" s="388"/>
      <c r="BL143" s="388"/>
      <c r="BM143" s="388"/>
      <c r="BN143" s="388"/>
      <c r="BO143" s="388"/>
    </row>
    <row r="144" spans="4:140" ht="12.75" customHeight="1">
      <c r="D144" s="389"/>
      <c r="E144" s="389"/>
      <c r="F144" s="389"/>
      <c r="G144" s="389"/>
      <c r="H144" s="388"/>
      <c r="I144" s="389"/>
      <c r="J144" s="389"/>
      <c r="K144" s="389"/>
      <c r="L144" s="389"/>
      <c r="M144" s="389"/>
      <c r="N144" s="389"/>
      <c r="O144" s="407"/>
      <c r="P144" s="389"/>
      <c r="Q144" s="407"/>
      <c r="R144" s="389"/>
      <c r="S144" s="389"/>
      <c r="T144" s="389"/>
      <c r="U144" s="389"/>
      <c r="V144" s="389"/>
      <c r="W144" s="389"/>
      <c r="X144" s="389"/>
      <c r="Y144" s="389"/>
      <c r="Z144" s="389"/>
      <c r="AA144" s="389"/>
      <c r="AB144" s="389"/>
      <c r="AC144" s="388"/>
      <c r="AD144" s="388"/>
      <c r="AE144" s="388"/>
      <c r="AF144" s="388"/>
      <c r="AG144" s="388"/>
      <c r="AH144" s="388"/>
      <c r="AI144" s="388"/>
      <c r="AJ144" s="388"/>
      <c r="AK144" s="388"/>
      <c r="AL144" s="388"/>
      <c r="AM144" s="388"/>
      <c r="AN144" s="388"/>
      <c r="AO144" s="388"/>
      <c r="AP144" s="388"/>
      <c r="AQ144" s="388"/>
      <c r="AR144" s="388"/>
      <c r="AS144" s="388"/>
      <c r="AT144" s="388"/>
      <c r="AU144" s="388"/>
      <c r="AV144" s="388"/>
      <c r="AW144" s="388"/>
      <c r="AX144" s="388"/>
      <c r="AY144" s="388"/>
      <c r="AZ144" s="388"/>
      <c r="BA144" s="388"/>
      <c r="BB144" s="388"/>
      <c r="BC144" s="388"/>
      <c r="BD144" s="388"/>
      <c r="BE144" s="388"/>
      <c r="BF144" s="388"/>
      <c r="BG144" s="388"/>
      <c r="BH144" s="388"/>
      <c r="BI144" s="388"/>
      <c r="BJ144" s="388"/>
      <c r="BK144" s="388"/>
      <c r="BL144" s="388"/>
      <c r="BM144" s="388"/>
      <c r="BN144" s="388"/>
      <c r="BO144" s="388"/>
    </row>
    <row r="145" spans="4:67" ht="12.75" customHeight="1">
      <c r="D145" s="389"/>
      <c r="E145" s="389"/>
      <c r="F145" s="389"/>
      <c r="G145" s="389"/>
      <c r="H145" s="388"/>
      <c r="I145" s="389"/>
      <c r="J145" s="389"/>
      <c r="K145" s="389"/>
      <c r="L145" s="389"/>
      <c r="M145" s="389"/>
      <c r="N145" s="389"/>
      <c r="O145" s="407"/>
      <c r="P145" s="389"/>
      <c r="Q145" s="407"/>
      <c r="R145" s="389"/>
      <c r="S145" s="389"/>
      <c r="T145" s="389"/>
      <c r="U145" s="389"/>
      <c r="V145" s="389"/>
      <c r="W145" s="389"/>
      <c r="X145" s="389"/>
      <c r="Y145" s="389"/>
      <c r="Z145" s="389"/>
      <c r="AA145" s="389"/>
      <c r="AB145" s="389"/>
      <c r="AC145" s="388"/>
      <c r="AD145" s="388"/>
      <c r="AE145" s="388"/>
      <c r="AF145" s="388"/>
      <c r="AG145" s="388"/>
      <c r="AH145" s="388"/>
      <c r="AI145" s="388"/>
      <c r="AJ145" s="388"/>
      <c r="AK145" s="388"/>
      <c r="AL145" s="388"/>
      <c r="AM145" s="388"/>
      <c r="AN145" s="388"/>
      <c r="AO145" s="388"/>
      <c r="AP145" s="388"/>
      <c r="AQ145" s="388"/>
      <c r="AR145" s="388"/>
      <c r="AS145" s="388"/>
      <c r="AT145" s="388"/>
      <c r="AU145" s="388"/>
      <c r="AV145" s="388"/>
      <c r="AW145" s="388"/>
      <c r="AX145" s="388"/>
      <c r="AY145" s="388"/>
      <c r="AZ145" s="388"/>
      <c r="BA145" s="388"/>
      <c r="BB145" s="388"/>
      <c r="BC145" s="388"/>
      <c r="BD145" s="388"/>
      <c r="BE145" s="388"/>
      <c r="BF145" s="388"/>
      <c r="BG145" s="388"/>
      <c r="BH145" s="388"/>
      <c r="BI145" s="388"/>
      <c r="BJ145" s="388"/>
      <c r="BK145" s="388"/>
      <c r="BL145" s="388"/>
      <c r="BM145" s="388"/>
      <c r="BN145" s="388"/>
      <c r="BO145" s="388"/>
    </row>
    <row r="146" spans="4:67" ht="12.75" customHeight="1">
      <c r="D146" s="389"/>
      <c r="E146" s="389"/>
      <c r="F146" s="389"/>
      <c r="G146" s="389"/>
      <c r="H146" s="388"/>
      <c r="I146" s="389"/>
      <c r="J146" s="389"/>
      <c r="K146" s="389"/>
      <c r="L146" s="389"/>
      <c r="M146" s="389"/>
      <c r="N146" s="389"/>
      <c r="O146" s="407"/>
      <c r="P146" s="389"/>
      <c r="Q146" s="407"/>
      <c r="R146" s="389"/>
      <c r="S146" s="389"/>
      <c r="T146" s="389"/>
      <c r="U146" s="389"/>
      <c r="V146" s="389"/>
      <c r="W146" s="389"/>
      <c r="X146" s="389"/>
      <c r="Y146" s="389"/>
      <c r="Z146" s="389"/>
      <c r="AA146" s="389"/>
      <c r="AB146" s="389"/>
      <c r="AC146" s="388"/>
      <c r="AD146" s="388"/>
      <c r="AE146" s="388"/>
      <c r="AF146" s="388"/>
      <c r="AG146" s="388"/>
      <c r="AH146" s="388"/>
      <c r="AI146" s="388"/>
      <c r="AJ146" s="388"/>
      <c r="AK146" s="388"/>
      <c r="AL146" s="388"/>
      <c r="AM146" s="388"/>
      <c r="AN146" s="388"/>
      <c r="AO146" s="388"/>
      <c r="AP146" s="388"/>
      <c r="AQ146" s="388"/>
      <c r="AR146" s="388"/>
      <c r="AS146" s="388"/>
      <c r="AT146" s="388"/>
      <c r="AU146" s="388"/>
      <c r="AV146" s="388"/>
      <c r="AW146" s="388"/>
      <c r="AX146" s="388"/>
      <c r="AY146" s="388"/>
      <c r="AZ146" s="388"/>
      <c r="BA146" s="388"/>
      <c r="BB146" s="388"/>
      <c r="BC146" s="388"/>
      <c r="BD146" s="388"/>
      <c r="BE146" s="388"/>
      <c r="BF146" s="388"/>
      <c r="BG146" s="388"/>
      <c r="BH146" s="388"/>
      <c r="BI146" s="388"/>
      <c r="BJ146" s="388"/>
      <c r="BK146" s="388"/>
      <c r="BL146" s="388"/>
      <c r="BM146" s="388"/>
      <c r="BN146" s="388"/>
      <c r="BO146" s="388"/>
    </row>
    <row r="147" spans="4:67" ht="12.75" customHeight="1">
      <c r="D147" s="389"/>
      <c r="E147" s="389"/>
      <c r="F147" s="389"/>
      <c r="G147" s="389"/>
      <c r="H147" s="388"/>
      <c r="I147" s="389"/>
      <c r="J147" s="389"/>
      <c r="K147" s="389"/>
      <c r="L147" s="389"/>
      <c r="M147" s="389"/>
      <c r="N147" s="389"/>
      <c r="O147" s="407"/>
      <c r="P147" s="389"/>
      <c r="Q147" s="407"/>
      <c r="R147" s="389"/>
      <c r="S147" s="389"/>
      <c r="T147" s="389"/>
      <c r="U147" s="389"/>
      <c r="V147" s="389"/>
      <c r="W147" s="389"/>
      <c r="X147" s="389"/>
      <c r="Y147" s="389"/>
      <c r="Z147" s="389"/>
      <c r="AA147" s="389"/>
      <c r="AB147" s="389"/>
      <c r="AC147" s="388"/>
      <c r="AD147" s="388"/>
      <c r="AE147" s="388"/>
      <c r="AF147" s="388"/>
      <c r="AG147" s="388"/>
      <c r="AH147" s="388"/>
      <c r="AI147" s="388"/>
      <c r="AJ147" s="388"/>
      <c r="AK147" s="388"/>
      <c r="AL147" s="388"/>
      <c r="AM147" s="388"/>
      <c r="AN147" s="388"/>
      <c r="AO147" s="388"/>
      <c r="AP147" s="388"/>
      <c r="AQ147" s="388"/>
      <c r="AR147" s="388"/>
      <c r="AS147" s="388"/>
      <c r="AT147" s="388"/>
      <c r="AU147" s="388"/>
      <c r="AV147" s="388"/>
      <c r="AW147" s="388"/>
      <c r="AX147" s="388"/>
      <c r="AY147" s="388"/>
      <c r="AZ147" s="388"/>
      <c r="BA147" s="388"/>
      <c r="BB147" s="388"/>
      <c r="BC147" s="388"/>
      <c r="BD147" s="388"/>
      <c r="BE147" s="388"/>
      <c r="BF147" s="388"/>
      <c r="BG147" s="388"/>
      <c r="BH147" s="388"/>
      <c r="BI147" s="388"/>
      <c r="BJ147" s="388"/>
      <c r="BK147" s="388"/>
      <c r="BL147" s="388"/>
      <c r="BM147" s="388"/>
      <c r="BN147" s="388"/>
      <c r="BO147" s="388"/>
    </row>
    <row r="148" spans="4:67" ht="12.75" customHeight="1">
      <c r="D148" s="389"/>
      <c r="E148" s="389"/>
      <c r="F148" s="389"/>
      <c r="G148" s="389"/>
      <c r="H148" s="388"/>
      <c r="I148" s="389"/>
      <c r="J148" s="389"/>
      <c r="K148" s="389"/>
      <c r="L148" s="389"/>
      <c r="M148" s="389"/>
      <c r="N148" s="389"/>
      <c r="O148" s="407"/>
      <c r="P148" s="389"/>
      <c r="Q148" s="407"/>
      <c r="R148" s="389"/>
      <c r="S148" s="389"/>
      <c r="T148" s="389"/>
      <c r="U148" s="389"/>
      <c r="V148" s="389"/>
      <c r="W148" s="389"/>
      <c r="X148" s="389"/>
      <c r="Y148" s="389"/>
      <c r="Z148" s="389"/>
      <c r="AA148" s="389"/>
      <c r="AB148" s="389"/>
      <c r="AC148" s="388"/>
      <c r="AD148" s="388"/>
      <c r="AE148" s="388"/>
      <c r="AF148" s="388"/>
      <c r="AG148" s="388"/>
      <c r="AH148" s="388"/>
      <c r="AI148" s="388"/>
      <c r="AJ148" s="388"/>
      <c r="AK148" s="388"/>
      <c r="AL148" s="388"/>
      <c r="AM148" s="388"/>
      <c r="AN148" s="388"/>
      <c r="AO148" s="388"/>
      <c r="AP148" s="388"/>
      <c r="AQ148" s="388"/>
      <c r="AR148" s="388"/>
      <c r="AS148" s="388"/>
      <c r="AT148" s="388"/>
      <c r="AU148" s="388"/>
      <c r="AV148" s="388"/>
      <c r="AW148" s="388"/>
      <c r="AX148" s="388"/>
      <c r="AY148" s="388"/>
      <c r="AZ148" s="388"/>
      <c r="BA148" s="388"/>
      <c r="BB148" s="388"/>
      <c r="BC148" s="388"/>
      <c r="BD148" s="388"/>
      <c r="BE148" s="388"/>
      <c r="BF148" s="388"/>
      <c r="BG148" s="388"/>
      <c r="BH148" s="388"/>
      <c r="BI148" s="388"/>
      <c r="BJ148" s="388"/>
      <c r="BK148" s="388"/>
      <c r="BL148" s="388"/>
      <c r="BM148" s="388"/>
      <c r="BN148" s="388"/>
      <c r="BO148" s="388"/>
    </row>
    <row r="149" spans="4:67" ht="12.75" customHeight="1">
      <c r="D149" s="389"/>
      <c r="E149" s="389"/>
      <c r="F149" s="389"/>
      <c r="G149" s="389"/>
      <c r="H149" s="388"/>
      <c r="I149" s="389"/>
      <c r="J149" s="389"/>
      <c r="K149" s="389"/>
      <c r="L149" s="389"/>
      <c r="M149" s="389"/>
      <c r="N149" s="389"/>
      <c r="O149" s="407"/>
      <c r="P149" s="389"/>
      <c r="Q149" s="407"/>
      <c r="R149" s="389"/>
      <c r="S149" s="389"/>
      <c r="T149" s="389"/>
      <c r="U149" s="389"/>
      <c r="V149" s="389"/>
      <c r="W149" s="389"/>
      <c r="X149" s="389"/>
      <c r="Y149" s="389"/>
      <c r="Z149" s="389"/>
      <c r="AA149" s="389"/>
      <c r="AB149" s="389"/>
      <c r="AC149" s="388"/>
      <c r="AD149" s="388"/>
      <c r="AE149" s="388"/>
      <c r="AF149" s="388"/>
      <c r="AG149" s="388"/>
      <c r="AH149" s="388"/>
      <c r="AI149" s="388"/>
      <c r="AJ149" s="388"/>
      <c r="AK149" s="388"/>
      <c r="AL149" s="388"/>
      <c r="AM149" s="388"/>
      <c r="AN149" s="388"/>
      <c r="AO149" s="388"/>
      <c r="AP149" s="388"/>
      <c r="AQ149" s="388"/>
      <c r="AR149" s="388"/>
      <c r="AS149" s="388"/>
      <c r="AT149" s="388"/>
      <c r="AU149" s="388"/>
      <c r="AV149" s="388"/>
      <c r="AW149" s="388"/>
      <c r="AX149" s="388"/>
      <c r="AY149" s="388"/>
      <c r="AZ149" s="388"/>
      <c r="BA149" s="388"/>
      <c r="BB149" s="388"/>
      <c r="BC149" s="388"/>
      <c r="BD149" s="388"/>
      <c r="BE149" s="388"/>
      <c r="BF149" s="388"/>
      <c r="BG149" s="388"/>
      <c r="BH149" s="388"/>
      <c r="BI149" s="388"/>
      <c r="BJ149" s="388"/>
      <c r="BK149" s="388"/>
      <c r="BL149" s="388"/>
      <c r="BM149" s="388"/>
      <c r="BN149" s="388"/>
      <c r="BO149" s="388"/>
    </row>
    <row r="150" spans="4:67" ht="12.75" customHeight="1">
      <c r="D150" s="389"/>
      <c r="E150" s="389"/>
      <c r="F150" s="389"/>
      <c r="G150" s="389"/>
      <c r="H150" s="388"/>
      <c r="I150" s="389"/>
      <c r="J150" s="389"/>
      <c r="K150" s="389"/>
      <c r="L150" s="389"/>
      <c r="M150" s="389"/>
      <c r="N150" s="389"/>
      <c r="O150" s="407"/>
      <c r="P150" s="389"/>
      <c r="Q150" s="407"/>
      <c r="R150" s="389"/>
      <c r="S150" s="389"/>
      <c r="T150" s="389"/>
      <c r="U150" s="389"/>
      <c r="V150" s="389"/>
      <c r="W150" s="389"/>
      <c r="X150" s="389"/>
      <c r="Y150" s="389"/>
      <c r="Z150" s="389"/>
      <c r="AA150" s="389"/>
      <c r="AB150" s="389"/>
      <c r="AC150" s="388"/>
      <c r="AD150" s="388"/>
      <c r="AE150" s="388"/>
      <c r="AF150" s="388"/>
      <c r="AG150" s="388"/>
      <c r="AH150" s="388"/>
      <c r="AI150" s="388"/>
      <c r="AJ150" s="388"/>
      <c r="AK150" s="388"/>
      <c r="AL150" s="388"/>
      <c r="AM150" s="388"/>
      <c r="AN150" s="388"/>
      <c r="AO150" s="388"/>
      <c r="AP150" s="388"/>
      <c r="AQ150" s="388"/>
      <c r="AR150" s="388"/>
      <c r="AS150" s="388"/>
      <c r="AT150" s="388"/>
      <c r="AU150" s="388"/>
      <c r="AV150" s="388"/>
      <c r="AW150" s="388"/>
      <c r="AX150" s="388"/>
      <c r="AY150" s="388"/>
      <c r="AZ150" s="388"/>
      <c r="BA150" s="388"/>
      <c r="BB150" s="388"/>
      <c r="BC150" s="388"/>
      <c r="BD150" s="388"/>
      <c r="BE150" s="388"/>
      <c r="BF150" s="388"/>
      <c r="BG150" s="388"/>
      <c r="BH150" s="388"/>
      <c r="BI150" s="388"/>
      <c r="BJ150" s="388"/>
      <c r="BK150" s="388"/>
      <c r="BL150" s="388"/>
      <c r="BM150" s="388"/>
      <c r="BN150" s="388"/>
      <c r="BO150" s="388"/>
    </row>
    <row r="151" spans="4:67" ht="12.75" customHeight="1">
      <c r="D151" s="389"/>
      <c r="E151" s="389"/>
      <c r="F151" s="389"/>
      <c r="G151" s="389"/>
      <c r="H151" s="388"/>
      <c r="I151" s="389"/>
      <c r="J151" s="389"/>
      <c r="K151" s="389"/>
      <c r="L151" s="389"/>
      <c r="M151" s="389"/>
      <c r="N151" s="389"/>
      <c r="O151" s="407"/>
      <c r="P151" s="389"/>
      <c r="Q151" s="407"/>
      <c r="R151" s="389"/>
      <c r="S151" s="389"/>
      <c r="T151" s="389"/>
      <c r="U151" s="389"/>
      <c r="V151" s="389"/>
      <c r="W151" s="389"/>
      <c r="X151" s="389"/>
      <c r="Y151" s="389"/>
      <c r="Z151" s="389"/>
      <c r="AA151" s="389"/>
      <c r="AB151" s="389"/>
      <c r="AC151" s="388"/>
      <c r="AD151" s="388"/>
      <c r="AE151" s="388"/>
      <c r="AF151" s="388"/>
      <c r="AG151" s="388"/>
      <c r="AH151" s="388"/>
      <c r="AI151" s="388"/>
      <c r="AJ151" s="388"/>
      <c r="AK151" s="388"/>
      <c r="AL151" s="388"/>
      <c r="AM151" s="388"/>
      <c r="AN151" s="388"/>
      <c r="AO151" s="388"/>
      <c r="AP151" s="388"/>
      <c r="AQ151" s="388"/>
      <c r="AR151" s="388"/>
      <c r="AS151" s="388"/>
      <c r="AT151" s="388"/>
      <c r="AU151" s="388"/>
      <c r="AV151" s="388"/>
      <c r="AW151" s="388"/>
      <c r="AX151" s="388"/>
      <c r="AY151" s="388"/>
      <c r="AZ151" s="388"/>
      <c r="BA151" s="388"/>
      <c r="BB151" s="388"/>
      <c r="BC151" s="388"/>
      <c r="BD151" s="388"/>
      <c r="BE151" s="388"/>
      <c r="BF151" s="388"/>
      <c r="BG151" s="388"/>
      <c r="BH151" s="388"/>
      <c r="BI151" s="388"/>
      <c r="BJ151" s="388"/>
      <c r="BK151" s="388"/>
      <c r="BL151" s="388"/>
      <c r="BM151" s="388"/>
      <c r="BN151" s="388"/>
      <c r="BO151" s="388"/>
    </row>
    <row r="152" spans="4:67" ht="12.75" customHeight="1">
      <c r="D152" s="389"/>
      <c r="E152" s="389"/>
      <c r="F152" s="389"/>
      <c r="G152" s="389"/>
      <c r="H152" s="388"/>
      <c r="I152" s="389"/>
      <c r="J152" s="389"/>
      <c r="K152" s="389"/>
      <c r="L152" s="389"/>
      <c r="M152" s="389"/>
      <c r="N152" s="389"/>
      <c r="O152" s="407"/>
      <c r="P152" s="389"/>
      <c r="Q152" s="407"/>
      <c r="R152" s="389"/>
      <c r="S152" s="389"/>
      <c r="T152" s="389"/>
      <c r="U152" s="389"/>
      <c r="V152" s="389"/>
      <c r="W152" s="389"/>
      <c r="X152" s="389"/>
      <c r="Y152" s="389"/>
      <c r="Z152" s="389"/>
      <c r="AA152" s="389"/>
      <c r="AB152" s="389"/>
      <c r="AC152" s="388"/>
      <c r="AD152" s="388"/>
      <c r="AE152" s="388"/>
      <c r="AF152" s="388"/>
      <c r="AG152" s="388"/>
      <c r="AH152" s="388"/>
      <c r="AI152" s="388"/>
      <c r="AJ152" s="388"/>
      <c r="AK152" s="388"/>
      <c r="AL152" s="388"/>
      <c r="AM152" s="388"/>
      <c r="AN152" s="388"/>
      <c r="AO152" s="388"/>
      <c r="AP152" s="388"/>
      <c r="AQ152" s="388"/>
      <c r="AR152" s="388"/>
      <c r="AS152" s="388"/>
      <c r="AT152" s="388"/>
      <c r="AU152" s="388"/>
      <c r="AV152" s="388"/>
      <c r="AW152" s="388"/>
      <c r="AX152" s="388"/>
      <c r="AY152" s="388"/>
      <c r="AZ152" s="388"/>
      <c r="BA152" s="388"/>
      <c r="BB152" s="388"/>
      <c r="BC152" s="388"/>
      <c r="BD152" s="388"/>
      <c r="BE152" s="388"/>
      <c r="BF152" s="388"/>
      <c r="BG152" s="388"/>
      <c r="BH152" s="388"/>
      <c r="BI152" s="388"/>
      <c r="BJ152" s="388"/>
      <c r="BK152" s="388"/>
      <c r="BL152" s="388"/>
      <c r="BM152" s="388"/>
      <c r="BN152" s="388"/>
      <c r="BO152" s="388"/>
    </row>
    <row r="153" spans="4:67" ht="12.75" customHeight="1">
      <c r="D153" s="389"/>
      <c r="E153" s="389"/>
      <c r="F153" s="389"/>
      <c r="G153" s="389"/>
      <c r="H153" s="388"/>
      <c r="I153" s="389"/>
      <c r="J153" s="389"/>
      <c r="K153" s="389"/>
      <c r="L153" s="389"/>
      <c r="M153" s="389"/>
      <c r="N153" s="389"/>
      <c r="O153" s="407"/>
      <c r="P153" s="389"/>
      <c r="Q153" s="407"/>
      <c r="R153" s="389"/>
      <c r="S153" s="389"/>
      <c r="T153" s="389"/>
      <c r="U153" s="389"/>
      <c r="V153" s="389"/>
      <c r="W153" s="389"/>
      <c r="X153" s="389"/>
      <c r="Y153" s="389"/>
      <c r="Z153" s="389"/>
      <c r="AA153" s="389"/>
      <c r="AB153" s="389"/>
      <c r="AC153" s="388"/>
      <c r="AD153" s="388"/>
      <c r="AE153" s="388"/>
      <c r="AF153" s="388"/>
      <c r="AG153" s="388"/>
      <c r="AH153" s="388"/>
      <c r="AI153" s="388"/>
      <c r="AJ153" s="388"/>
      <c r="AK153" s="388"/>
      <c r="AL153" s="388"/>
      <c r="AM153" s="388"/>
      <c r="AN153" s="388"/>
      <c r="AO153" s="388"/>
      <c r="AP153" s="388"/>
      <c r="AQ153" s="388"/>
      <c r="AR153" s="388"/>
      <c r="AS153" s="388"/>
      <c r="AT153" s="388"/>
      <c r="AU153" s="388"/>
      <c r="AV153" s="388"/>
      <c r="AW153" s="388"/>
      <c r="AX153" s="388"/>
      <c r="AY153" s="388"/>
      <c r="AZ153" s="388"/>
      <c r="BA153" s="388"/>
      <c r="BB153" s="388"/>
      <c r="BC153" s="388"/>
      <c r="BD153" s="388"/>
      <c r="BE153" s="388"/>
      <c r="BF153" s="388"/>
      <c r="BG153" s="388"/>
      <c r="BH153" s="388"/>
      <c r="BI153" s="388"/>
      <c r="BJ153" s="388"/>
      <c r="BK153" s="388"/>
      <c r="BL153" s="388"/>
      <c r="BM153" s="388"/>
      <c r="BN153" s="388"/>
      <c r="BO153" s="388"/>
    </row>
    <row r="154" spans="4:67" ht="12.75" customHeight="1">
      <c r="D154" s="389"/>
      <c r="E154" s="389"/>
      <c r="F154" s="389"/>
      <c r="G154" s="389"/>
      <c r="H154" s="388"/>
      <c r="I154" s="389"/>
      <c r="J154" s="389"/>
      <c r="K154" s="389"/>
      <c r="L154" s="389"/>
      <c r="M154" s="389"/>
      <c r="N154" s="389"/>
      <c r="O154" s="407"/>
      <c r="P154" s="389"/>
      <c r="Q154" s="407"/>
      <c r="R154" s="389"/>
      <c r="S154" s="389"/>
      <c r="T154" s="389"/>
      <c r="U154" s="389"/>
      <c r="V154" s="389"/>
      <c r="W154" s="389"/>
      <c r="X154" s="389"/>
      <c r="Y154" s="389"/>
      <c r="Z154" s="389"/>
      <c r="AA154" s="389"/>
      <c r="AB154" s="389"/>
      <c r="AC154" s="388"/>
      <c r="AD154" s="388"/>
      <c r="AE154" s="388"/>
      <c r="AF154" s="388"/>
      <c r="AG154" s="388"/>
      <c r="AH154" s="388"/>
      <c r="AI154" s="388"/>
      <c r="AJ154" s="388"/>
      <c r="AK154" s="388"/>
      <c r="AL154" s="388"/>
      <c r="AM154" s="388"/>
      <c r="AN154" s="388"/>
      <c r="AO154" s="388"/>
      <c r="AP154" s="388"/>
      <c r="AQ154" s="388"/>
      <c r="AR154" s="388"/>
      <c r="AS154" s="388"/>
      <c r="AT154" s="388"/>
      <c r="AU154" s="388"/>
      <c r="AV154" s="388"/>
      <c r="AW154" s="388"/>
      <c r="AX154" s="388"/>
      <c r="AY154" s="388"/>
      <c r="AZ154" s="388"/>
      <c r="BA154" s="388"/>
      <c r="BB154" s="388"/>
      <c r="BC154" s="388"/>
      <c r="BD154" s="388"/>
      <c r="BE154" s="388"/>
      <c r="BF154" s="388"/>
      <c r="BG154" s="388"/>
      <c r="BH154" s="388"/>
      <c r="BI154" s="388"/>
      <c r="BJ154" s="388"/>
      <c r="BK154" s="388"/>
      <c r="BL154" s="388"/>
      <c r="BM154" s="388"/>
      <c r="BN154" s="388"/>
      <c r="BO154" s="388"/>
    </row>
    <row r="155" spans="4:67" ht="12.75" customHeight="1">
      <c r="D155" s="389"/>
      <c r="E155" s="389"/>
      <c r="F155" s="389"/>
      <c r="G155" s="389"/>
      <c r="H155" s="388"/>
      <c r="I155" s="389"/>
      <c r="J155" s="389"/>
      <c r="K155" s="389"/>
      <c r="L155" s="389"/>
      <c r="M155" s="389"/>
      <c r="N155" s="389"/>
      <c r="O155" s="407"/>
      <c r="P155" s="389"/>
      <c r="Q155" s="407"/>
      <c r="R155" s="389"/>
      <c r="S155" s="389"/>
      <c r="T155" s="389"/>
      <c r="U155" s="389"/>
      <c r="V155" s="389"/>
      <c r="W155" s="389"/>
      <c r="X155" s="389"/>
      <c r="Y155" s="389"/>
      <c r="Z155" s="389"/>
      <c r="AA155" s="389"/>
      <c r="AB155" s="389"/>
      <c r="AC155" s="388"/>
      <c r="AD155" s="388"/>
      <c r="AE155" s="388"/>
      <c r="AF155" s="388"/>
      <c r="AG155" s="388"/>
      <c r="AH155" s="388"/>
      <c r="AI155" s="388"/>
      <c r="AJ155" s="388"/>
      <c r="AK155" s="388"/>
      <c r="AL155" s="388"/>
      <c r="AM155" s="388"/>
      <c r="AN155" s="388"/>
      <c r="AO155" s="388"/>
      <c r="AP155" s="388"/>
      <c r="AQ155" s="388"/>
      <c r="AR155" s="388"/>
      <c r="AS155" s="388"/>
      <c r="AT155" s="388"/>
      <c r="AU155" s="388"/>
      <c r="AV155" s="388"/>
      <c r="AW155" s="388"/>
      <c r="AX155" s="388"/>
      <c r="AY155" s="388"/>
      <c r="AZ155" s="388"/>
      <c r="BA155" s="388"/>
      <c r="BB155" s="388"/>
      <c r="BC155" s="388"/>
      <c r="BD155" s="388"/>
      <c r="BE155" s="388"/>
      <c r="BF155" s="388"/>
      <c r="BG155" s="388"/>
      <c r="BH155" s="388"/>
      <c r="BI155" s="388"/>
      <c r="BJ155" s="388"/>
      <c r="BK155" s="388"/>
      <c r="BL155" s="388"/>
      <c r="BM155" s="388"/>
      <c r="BN155" s="388"/>
      <c r="BO155" s="388"/>
    </row>
    <row r="156" spans="4:67" ht="12.75" customHeight="1">
      <c r="D156" s="389"/>
      <c r="E156" s="389"/>
      <c r="F156" s="389"/>
      <c r="G156" s="389"/>
      <c r="H156" s="388"/>
      <c r="I156" s="389"/>
      <c r="J156" s="389"/>
      <c r="K156" s="389"/>
      <c r="L156" s="389"/>
      <c r="M156" s="389"/>
      <c r="N156" s="389"/>
      <c r="O156" s="407"/>
      <c r="P156" s="389"/>
      <c r="Q156" s="407"/>
      <c r="R156" s="389"/>
      <c r="S156" s="389"/>
      <c r="T156" s="389"/>
      <c r="U156" s="389"/>
      <c r="V156" s="389"/>
      <c r="W156" s="389"/>
      <c r="X156" s="389"/>
      <c r="Y156" s="389"/>
      <c r="Z156" s="389"/>
      <c r="AA156" s="389"/>
      <c r="AB156" s="389"/>
      <c r="AC156" s="388"/>
      <c r="AD156" s="388"/>
      <c r="AE156" s="388"/>
      <c r="AF156" s="388"/>
      <c r="AG156" s="388"/>
      <c r="AH156" s="388"/>
      <c r="AI156" s="388"/>
      <c r="AJ156" s="388"/>
      <c r="AK156" s="388"/>
      <c r="AL156" s="388"/>
      <c r="AM156" s="388"/>
      <c r="AN156" s="388"/>
      <c r="AO156" s="388"/>
      <c r="AP156" s="388"/>
      <c r="AQ156" s="388"/>
      <c r="AR156" s="388"/>
      <c r="AS156" s="388"/>
      <c r="AT156" s="388"/>
      <c r="AU156" s="388"/>
      <c r="AV156" s="388"/>
      <c r="AW156" s="388"/>
      <c r="AX156" s="388"/>
      <c r="AY156" s="388"/>
      <c r="AZ156" s="388"/>
      <c r="BA156" s="388"/>
      <c r="BB156" s="388"/>
      <c r="BC156" s="388"/>
      <c r="BD156" s="388"/>
      <c r="BE156" s="388"/>
      <c r="BF156" s="388"/>
      <c r="BG156" s="388"/>
      <c r="BH156" s="388"/>
      <c r="BI156" s="388"/>
      <c r="BJ156" s="388"/>
      <c r="BK156" s="388"/>
      <c r="BL156" s="388"/>
      <c r="BM156" s="388"/>
      <c r="BN156" s="388"/>
      <c r="BO156" s="388"/>
    </row>
    <row r="157" spans="4:67" ht="12.75" customHeight="1">
      <c r="D157" s="389"/>
      <c r="E157" s="389"/>
      <c r="F157" s="389"/>
      <c r="G157" s="389"/>
      <c r="H157" s="388"/>
      <c r="I157" s="389"/>
      <c r="J157" s="389"/>
      <c r="K157" s="389"/>
      <c r="L157" s="389"/>
      <c r="M157" s="389"/>
      <c r="N157" s="389"/>
      <c r="O157" s="407"/>
      <c r="P157" s="389"/>
      <c r="Q157" s="407"/>
      <c r="R157" s="389"/>
      <c r="S157" s="389"/>
      <c r="T157" s="389"/>
      <c r="U157" s="389"/>
      <c r="V157" s="389"/>
      <c r="W157" s="389"/>
      <c r="X157" s="389"/>
      <c r="Y157" s="389"/>
      <c r="Z157" s="389"/>
      <c r="AA157" s="389"/>
      <c r="AB157" s="389"/>
      <c r="AC157" s="388"/>
      <c r="AD157" s="388"/>
      <c r="AE157" s="388"/>
      <c r="AF157" s="388"/>
      <c r="AG157" s="388"/>
      <c r="AH157" s="388"/>
      <c r="AI157" s="388"/>
      <c r="AJ157" s="388"/>
      <c r="AK157" s="388"/>
      <c r="AL157" s="388"/>
      <c r="AM157" s="388"/>
      <c r="AN157" s="388"/>
      <c r="AO157" s="388"/>
      <c r="AP157" s="388"/>
      <c r="AQ157" s="388"/>
      <c r="AR157" s="388"/>
      <c r="AS157" s="388"/>
      <c r="AT157" s="388"/>
      <c r="AU157" s="388"/>
      <c r="AV157" s="388"/>
      <c r="AW157" s="388"/>
      <c r="AX157" s="388"/>
      <c r="AY157" s="388"/>
      <c r="AZ157" s="388"/>
      <c r="BA157" s="388"/>
      <c r="BB157" s="388"/>
      <c r="BC157" s="388"/>
      <c r="BD157" s="388"/>
      <c r="BE157" s="388"/>
      <c r="BF157" s="388"/>
      <c r="BG157" s="388"/>
      <c r="BH157" s="388"/>
      <c r="BI157" s="388"/>
      <c r="BJ157" s="388"/>
      <c r="BK157" s="388"/>
      <c r="BL157" s="388"/>
      <c r="BM157" s="388"/>
      <c r="BN157" s="388"/>
      <c r="BO157" s="388"/>
    </row>
    <row r="158" spans="4:67" ht="12.75" customHeight="1">
      <c r="D158" s="389"/>
      <c r="E158" s="389"/>
      <c r="F158" s="389"/>
      <c r="G158" s="389"/>
      <c r="H158" s="388"/>
      <c r="I158" s="389"/>
      <c r="J158" s="389"/>
      <c r="K158" s="389"/>
      <c r="L158" s="389"/>
      <c r="M158" s="389"/>
      <c r="N158" s="389"/>
      <c r="O158" s="407"/>
      <c r="P158" s="389"/>
      <c r="Q158" s="407"/>
      <c r="R158" s="389"/>
      <c r="S158" s="389"/>
      <c r="T158" s="389"/>
      <c r="U158" s="389"/>
      <c r="V158" s="389"/>
      <c r="W158" s="389"/>
      <c r="X158" s="389"/>
      <c r="Y158" s="389"/>
      <c r="Z158" s="389"/>
      <c r="AA158" s="389"/>
      <c r="AB158" s="389"/>
      <c r="AC158" s="388"/>
      <c r="AD158" s="388"/>
      <c r="AE158" s="388"/>
      <c r="AF158" s="388"/>
      <c r="AG158" s="388"/>
      <c r="AH158" s="388"/>
      <c r="AI158" s="388"/>
      <c r="AJ158" s="388"/>
      <c r="AK158" s="388"/>
      <c r="AL158" s="388"/>
      <c r="AM158" s="388"/>
      <c r="AN158" s="388"/>
      <c r="AO158" s="388"/>
      <c r="AP158" s="388"/>
      <c r="AQ158" s="388"/>
      <c r="AR158" s="388"/>
      <c r="AS158" s="388"/>
      <c r="AT158" s="388"/>
      <c r="AU158" s="388"/>
      <c r="AV158" s="388"/>
      <c r="AW158" s="388"/>
      <c r="AX158" s="388"/>
      <c r="AY158" s="388"/>
      <c r="AZ158" s="388"/>
      <c r="BA158" s="388"/>
      <c r="BB158" s="388"/>
      <c r="BC158" s="388"/>
      <c r="BD158" s="388"/>
      <c r="BE158" s="388"/>
      <c r="BF158" s="388"/>
      <c r="BG158" s="388"/>
      <c r="BH158" s="388"/>
      <c r="BI158" s="388"/>
      <c r="BJ158" s="388"/>
      <c r="BK158" s="388"/>
      <c r="BL158" s="388"/>
      <c r="BM158" s="388"/>
      <c r="BN158" s="388"/>
      <c r="BO158" s="388"/>
    </row>
    <row r="159" spans="4:67" ht="12.75" customHeight="1">
      <c r="D159" s="389"/>
      <c r="E159" s="389"/>
      <c r="F159" s="389"/>
      <c r="G159" s="389"/>
      <c r="H159" s="388"/>
      <c r="I159" s="389"/>
      <c r="J159" s="389"/>
      <c r="K159" s="389"/>
      <c r="L159" s="389"/>
      <c r="M159" s="389"/>
      <c r="N159" s="389"/>
      <c r="O159" s="407"/>
      <c r="P159" s="389"/>
      <c r="Q159" s="407"/>
      <c r="R159" s="389"/>
      <c r="S159" s="389"/>
      <c r="T159" s="389"/>
      <c r="U159" s="389"/>
      <c r="V159" s="389"/>
      <c r="W159" s="389"/>
      <c r="X159" s="389"/>
      <c r="Y159" s="389"/>
      <c r="Z159" s="389"/>
      <c r="AA159" s="389"/>
      <c r="AB159" s="389"/>
      <c r="AC159" s="388"/>
      <c r="AD159" s="388"/>
      <c r="AE159" s="388"/>
      <c r="AF159" s="388"/>
      <c r="AG159" s="388"/>
      <c r="AH159" s="388"/>
      <c r="AI159" s="388"/>
      <c r="AJ159" s="388"/>
      <c r="AK159" s="388"/>
      <c r="AL159" s="388"/>
      <c r="AM159" s="388"/>
      <c r="AN159" s="388"/>
      <c r="AO159" s="388"/>
      <c r="AP159" s="388"/>
      <c r="AQ159" s="388"/>
      <c r="AR159" s="388"/>
      <c r="AS159" s="388"/>
      <c r="AT159" s="388"/>
      <c r="AU159" s="388"/>
      <c r="AV159" s="388"/>
      <c r="AW159" s="388"/>
      <c r="AX159" s="388"/>
      <c r="AY159" s="388"/>
      <c r="AZ159" s="388"/>
      <c r="BA159" s="388"/>
      <c r="BB159" s="388"/>
      <c r="BC159" s="388"/>
      <c r="BD159" s="388"/>
      <c r="BE159" s="388"/>
      <c r="BF159" s="388"/>
      <c r="BG159" s="388"/>
      <c r="BH159" s="388"/>
      <c r="BI159" s="388"/>
      <c r="BJ159" s="388"/>
      <c r="BK159" s="388"/>
      <c r="BL159" s="388"/>
      <c r="BM159" s="388"/>
      <c r="BN159" s="388"/>
      <c r="BO159" s="388"/>
    </row>
    <row r="160" spans="4:67" ht="12.75" customHeight="1">
      <c r="D160" s="389"/>
      <c r="E160" s="389"/>
      <c r="F160" s="389"/>
      <c r="G160" s="389"/>
      <c r="H160" s="388"/>
      <c r="I160" s="389"/>
      <c r="J160" s="389"/>
      <c r="K160" s="389"/>
      <c r="L160" s="389"/>
      <c r="M160" s="389"/>
      <c r="N160" s="389"/>
      <c r="O160" s="407"/>
      <c r="P160" s="389"/>
      <c r="Q160" s="407"/>
      <c r="R160" s="389"/>
      <c r="S160" s="389"/>
      <c r="T160" s="389"/>
      <c r="U160" s="389"/>
      <c r="V160" s="389"/>
      <c r="W160" s="389"/>
      <c r="X160" s="389"/>
      <c r="Y160" s="389"/>
      <c r="Z160" s="389"/>
      <c r="AA160" s="389"/>
      <c r="AB160" s="389"/>
      <c r="AC160" s="388"/>
      <c r="AD160" s="388"/>
      <c r="AE160" s="388"/>
      <c r="AF160" s="388"/>
      <c r="AG160" s="388"/>
      <c r="AH160" s="388"/>
      <c r="AI160" s="388"/>
      <c r="AJ160" s="388"/>
      <c r="AK160" s="388"/>
      <c r="AL160" s="388"/>
      <c r="AM160" s="388"/>
      <c r="AN160" s="388"/>
      <c r="AO160" s="388"/>
      <c r="AP160" s="388"/>
      <c r="AQ160" s="388"/>
      <c r="AR160" s="388"/>
      <c r="AS160" s="388"/>
      <c r="AT160" s="388"/>
      <c r="AU160" s="388"/>
      <c r="AV160" s="388"/>
      <c r="AW160" s="388"/>
      <c r="AX160" s="388"/>
      <c r="AY160" s="388"/>
      <c r="AZ160" s="388"/>
      <c r="BA160" s="388"/>
      <c r="BB160" s="388"/>
      <c r="BC160" s="388"/>
      <c r="BD160" s="388"/>
      <c r="BE160" s="388"/>
      <c r="BF160" s="388"/>
      <c r="BG160" s="388"/>
      <c r="BH160" s="388"/>
      <c r="BI160" s="388"/>
      <c r="BJ160" s="388"/>
      <c r="BK160" s="388"/>
      <c r="BL160" s="388"/>
      <c r="BM160" s="388"/>
      <c r="BN160" s="388"/>
      <c r="BO160" s="388"/>
    </row>
    <row r="161" spans="4:67" ht="12.75" customHeight="1">
      <c r="D161" s="389"/>
      <c r="E161" s="389"/>
      <c r="F161" s="389"/>
      <c r="G161" s="389"/>
      <c r="H161" s="388"/>
      <c r="I161" s="389"/>
      <c r="J161" s="389"/>
      <c r="K161" s="389"/>
      <c r="L161" s="389"/>
      <c r="M161" s="389"/>
      <c r="N161" s="389"/>
      <c r="O161" s="407"/>
      <c r="P161" s="389"/>
      <c r="Q161" s="407"/>
      <c r="R161" s="389"/>
      <c r="S161" s="389"/>
      <c r="T161" s="389"/>
      <c r="U161" s="389"/>
      <c r="V161" s="389"/>
      <c r="W161" s="389"/>
      <c r="X161" s="389"/>
      <c r="Y161" s="389"/>
      <c r="Z161" s="389"/>
      <c r="AA161" s="389"/>
      <c r="AB161" s="389"/>
      <c r="AC161" s="388"/>
      <c r="AD161" s="388"/>
      <c r="AE161" s="388"/>
      <c r="AF161" s="388"/>
      <c r="AG161" s="388"/>
      <c r="AH161" s="388"/>
      <c r="AI161" s="388"/>
      <c r="AJ161" s="388"/>
      <c r="AK161" s="388"/>
      <c r="AL161" s="388"/>
      <c r="AM161" s="388"/>
      <c r="AN161" s="388"/>
      <c r="AO161" s="388"/>
      <c r="AP161" s="388"/>
      <c r="AQ161" s="388"/>
      <c r="AR161" s="388"/>
      <c r="AS161" s="388"/>
      <c r="AT161" s="388"/>
      <c r="AU161" s="388"/>
      <c r="AV161" s="388"/>
      <c r="AW161" s="388"/>
      <c r="AX161" s="388"/>
      <c r="AY161" s="388"/>
      <c r="AZ161" s="388"/>
      <c r="BA161" s="388"/>
      <c r="BB161" s="388"/>
      <c r="BC161" s="388"/>
      <c r="BD161" s="388"/>
      <c r="BE161" s="388"/>
      <c r="BF161" s="388"/>
      <c r="BG161" s="388"/>
      <c r="BH161" s="388"/>
      <c r="BI161" s="388"/>
      <c r="BJ161" s="388"/>
      <c r="BK161" s="388"/>
      <c r="BL161" s="388"/>
      <c r="BM161" s="388"/>
      <c r="BN161" s="388"/>
      <c r="BO161" s="388"/>
    </row>
    <row r="162" spans="4:67" ht="12.75" customHeight="1">
      <c r="D162" s="389"/>
      <c r="E162" s="389"/>
      <c r="F162" s="389"/>
      <c r="G162" s="389"/>
      <c r="H162" s="388"/>
      <c r="I162" s="389"/>
      <c r="J162" s="389"/>
      <c r="K162" s="389"/>
      <c r="L162" s="389"/>
      <c r="M162" s="389"/>
      <c r="N162" s="389"/>
      <c r="O162" s="407"/>
      <c r="P162" s="389"/>
      <c r="Q162" s="407"/>
      <c r="R162" s="389"/>
      <c r="S162" s="389"/>
      <c r="T162" s="389"/>
      <c r="U162" s="389"/>
      <c r="V162" s="389"/>
      <c r="W162" s="389"/>
      <c r="X162" s="389"/>
      <c r="Y162" s="389"/>
      <c r="Z162" s="389"/>
      <c r="AA162" s="389"/>
      <c r="AB162" s="389"/>
      <c r="AC162" s="388"/>
      <c r="AD162" s="388"/>
      <c r="AE162" s="388"/>
      <c r="AF162" s="388"/>
      <c r="AG162" s="388"/>
      <c r="AH162" s="388"/>
      <c r="AI162" s="388"/>
      <c r="AJ162" s="388"/>
      <c r="AK162" s="388"/>
      <c r="AL162" s="388"/>
      <c r="AM162" s="388"/>
      <c r="AN162" s="388"/>
      <c r="AO162" s="388"/>
      <c r="AP162" s="388"/>
      <c r="AQ162" s="388"/>
      <c r="AR162" s="388"/>
      <c r="AS162" s="388"/>
      <c r="AT162" s="388"/>
      <c r="AU162" s="388"/>
      <c r="AV162" s="388"/>
      <c r="AW162" s="388"/>
      <c r="AX162" s="388"/>
      <c r="AY162" s="388"/>
      <c r="AZ162" s="388"/>
      <c r="BA162" s="388"/>
      <c r="BB162" s="388"/>
      <c r="BC162" s="388"/>
      <c r="BD162" s="388"/>
      <c r="BE162" s="388"/>
      <c r="BF162" s="388"/>
      <c r="BG162" s="388"/>
      <c r="BH162" s="388"/>
      <c r="BI162" s="388"/>
      <c r="BJ162" s="388"/>
      <c r="BK162" s="388"/>
      <c r="BL162" s="388"/>
      <c r="BM162" s="388"/>
      <c r="BN162" s="388"/>
      <c r="BO162" s="388"/>
    </row>
    <row r="163" spans="4:67" ht="12.75" customHeight="1">
      <c r="D163" s="389"/>
      <c r="E163" s="389"/>
      <c r="F163" s="389"/>
      <c r="G163" s="389"/>
      <c r="H163" s="388"/>
      <c r="I163" s="389"/>
      <c r="J163" s="389"/>
      <c r="K163" s="389"/>
      <c r="L163" s="389"/>
      <c r="M163" s="389"/>
      <c r="N163" s="389"/>
      <c r="O163" s="407"/>
      <c r="P163" s="389"/>
      <c r="Q163" s="407"/>
      <c r="R163" s="389"/>
      <c r="S163" s="389"/>
      <c r="T163" s="389"/>
      <c r="U163" s="389"/>
      <c r="V163" s="389"/>
      <c r="W163" s="389"/>
      <c r="X163" s="389"/>
      <c r="Y163" s="389"/>
      <c r="Z163" s="389"/>
      <c r="AA163" s="389"/>
      <c r="AB163" s="389"/>
      <c r="AC163" s="388"/>
      <c r="AD163" s="388"/>
      <c r="AE163" s="388"/>
      <c r="AF163" s="388"/>
      <c r="AG163" s="388"/>
      <c r="AH163" s="388"/>
      <c r="AI163" s="388"/>
      <c r="AJ163" s="388"/>
      <c r="AK163" s="388"/>
      <c r="AL163" s="388"/>
      <c r="AM163" s="388"/>
      <c r="AN163" s="388"/>
      <c r="AO163" s="388"/>
      <c r="AP163" s="388"/>
      <c r="AQ163" s="388"/>
      <c r="AR163" s="388"/>
      <c r="AS163" s="388"/>
      <c r="AT163" s="388"/>
      <c r="AU163" s="388"/>
      <c r="AV163" s="388"/>
      <c r="AW163" s="388"/>
      <c r="AX163" s="388"/>
      <c r="AY163" s="388"/>
      <c r="AZ163" s="388"/>
      <c r="BA163" s="388"/>
      <c r="BB163" s="388"/>
      <c r="BC163" s="388"/>
      <c r="BD163" s="388"/>
      <c r="BE163" s="388"/>
      <c r="BF163" s="388"/>
      <c r="BG163" s="388"/>
      <c r="BH163" s="388"/>
      <c r="BI163" s="388"/>
      <c r="BJ163" s="388"/>
      <c r="BK163" s="388"/>
      <c r="BL163" s="388"/>
      <c r="BM163" s="388"/>
      <c r="BN163" s="388"/>
      <c r="BO163" s="388"/>
    </row>
    <row r="164" spans="4:67" ht="12.75" customHeight="1">
      <c r="D164" s="389"/>
      <c r="E164" s="389"/>
      <c r="F164" s="389"/>
      <c r="G164" s="389"/>
      <c r="H164" s="388"/>
      <c r="I164" s="389"/>
      <c r="J164" s="389"/>
      <c r="K164" s="389"/>
      <c r="L164" s="389"/>
      <c r="M164" s="389"/>
      <c r="N164" s="389"/>
      <c r="O164" s="407"/>
      <c r="P164" s="389"/>
      <c r="Q164" s="407"/>
      <c r="R164" s="389"/>
      <c r="S164" s="389"/>
      <c r="T164" s="389"/>
      <c r="U164" s="389"/>
      <c r="V164" s="389"/>
      <c r="W164" s="389"/>
      <c r="X164" s="389"/>
      <c r="Y164" s="389"/>
      <c r="Z164" s="389"/>
      <c r="AA164" s="389"/>
      <c r="AB164" s="389"/>
      <c r="AC164" s="388"/>
      <c r="AD164" s="388"/>
      <c r="AE164" s="388"/>
      <c r="AF164" s="388"/>
      <c r="AG164" s="388"/>
      <c r="AH164" s="388"/>
      <c r="AI164" s="388"/>
      <c r="AJ164" s="388"/>
      <c r="AK164" s="388"/>
      <c r="AL164" s="388"/>
      <c r="AM164" s="388"/>
      <c r="AN164" s="388"/>
      <c r="AO164" s="388"/>
      <c r="AP164" s="388"/>
      <c r="AQ164" s="388"/>
      <c r="AR164" s="388"/>
      <c r="AS164" s="388"/>
      <c r="AT164" s="388"/>
      <c r="AU164" s="388"/>
      <c r="AV164" s="388"/>
      <c r="AW164" s="388"/>
      <c r="AX164" s="388"/>
      <c r="AY164" s="388"/>
      <c r="AZ164" s="388"/>
      <c r="BA164" s="388"/>
      <c r="BB164" s="388"/>
      <c r="BC164" s="388"/>
      <c r="BD164" s="388"/>
      <c r="BE164" s="388"/>
      <c r="BF164" s="388"/>
      <c r="BG164" s="388"/>
      <c r="BH164" s="388"/>
      <c r="BI164" s="388"/>
      <c r="BJ164" s="388"/>
      <c r="BK164" s="388"/>
      <c r="BL164" s="388"/>
      <c r="BM164" s="388"/>
      <c r="BN164" s="388"/>
      <c r="BO164" s="388"/>
    </row>
    <row r="165" spans="4:67" ht="12.75" customHeight="1">
      <c r="D165" s="389"/>
      <c r="E165" s="389"/>
      <c r="F165" s="389"/>
      <c r="G165" s="389"/>
      <c r="H165" s="388"/>
      <c r="I165" s="389"/>
      <c r="J165" s="389"/>
      <c r="K165" s="389"/>
      <c r="L165" s="389"/>
      <c r="M165" s="389"/>
      <c r="N165" s="389"/>
      <c r="O165" s="407"/>
      <c r="P165" s="389"/>
      <c r="Q165" s="407"/>
      <c r="R165" s="389"/>
      <c r="S165" s="389"/>
      <c r="T165" s="389"/>
      <c r="U165" s="389"/>
      <c r="V165" s="389"/>
      <c r="W165" s="389"/>
      <c r="X165" s="389"/>
      <c r="Y165" s="389"/>
      <c r="Z165" s="389"/>
      <c r="AA165" s="389"/>
      <c r="AB165" s="389"/>
      <c r="AC165" s="388"/>
      <c r="AD165" s="388"/>
      <c r="AE165" s="388"/>
      <c r="AF165" s="388"/>
      <c r="AG165" s="388"/>
      <c r="AH165" s="388"/>
      <c r="AI165" s="388"/>
      <c r="AJ165" s="388"/>
      <c r="AK165" s="388"/>
      <c r="AL165" s="388"/>
      <c r="AM165" s="388"/>
      <c r="AN165" s="388"/>
      <c r="AO165" s="388"/>
      <c r="AP165" s="388"/>
      <c r="AQ165" s="388"/>
      <c r="AR165" s="388"/>
      <c r="AS165" s="388"/>
      <c r="AT165" s="388"/>
      <c r="AU165" s="388"/>
      <c r="AV165" s="388"/>
      <c r="AW165" s="388"/>
      <c r="AX165" s="388"/>
      <c r="AY165" s="388"/>
      <c r="AZ165" s="388"/>
      <c r="BA165" s="388"/>
      <c r="BB165" s="388"/>
      <c r="BC165" s="388"/>
      <c r="BD165" s="388"/>
      <c r="BE165" s="388"/>
      <c r="BF165" s="388"/>
      <c r="BG165" s="388"/>
      <c r="BH165" s="388"/>
      <c r="BI165" s="388"/>
      <c r="BJ165" s="388"/>
      <c r="BK165" s="388"/>
      <c r="BL165" s="388"/>
      <c r="BM165" s="388"/>
      <c r="BN165" s="388"/>
      <c r="BO165" s="388"/>
    </row>
    <row r="166" spans="4:67" ht="12.75" customHeight="1">
      <c r="D166" s="389"/>
      <c r="E166" s="389"/>
      <c r="F166" s="389"/>
      <c r="G166" s="389"/>
      <c r="H166" s="388"/>
      <c r="I166" s="389"/>
      <c r="J166" s="389"/>
      <c r="K166" s="389"/>
      <c r="L166" s="389"/>
      <c r="M166" s="389"/>
      <c r="N166" s="389"/>
      <c r="O166" s="407"/>
      <c r="P166" s="389"/>
      <c r="Q166" s="407"/>
      <c r="R166" s="389"/>
      <c r="S166" s="389"/>
      <c r="T166" s="389"/>
      <c r="U166" s="389"/>
      <c r="V166" s="389"/>
      <c r="W166" s="389"/>
      <c r="X166" s="389"/>
      <c r="Y166" s="389"/>
      <c r="Z166" s="389"/>
      <c r="AA166" s="389"/>
      <c r="AB166" s="389"/>
      <c r="AC166" s="388"/>
      <c r="AD166" s="388"/>
      <c r="AE166" s="388"/>
      <c r="AF166" s="388"/>
      <c r="AG166" s="388"/>
      <c r="AH166" s="388"/>
      <c r="AI166" s="388"/>
      <c r="AJ166" s="388"/>
      <c r="AK166" s="388"/>
      <c r="AL166" s="388"/>
      <c r="AM166" s="388"/>
      <c r="AN166" s="388"/>
      <c r="AO166" s="388"/>
      <c r="AP166" s="388"/>
      <c r="AQ166" s="388"/>
      <c r="AR166" s="388"/>
      <c r="AS166" s="388"/>
      <c r="AT166" s="388"/>
      <c r="AU166" s="388"/>
      <c r="AV166" s="388"/>
      <c r="AW166" s="388"/>
      <c r="AX166" s="388"/>
      <c r="AY166" s="388"/>
      <c r="AZ166" s="388"/>
      <c r="BA166" s="388"/>
      <c r="BB166" s="388"/>
      <c r="BC166" s="388"/>
      <c r="BD166" s="388"/>
      <c r="BE166" s="388"/>
      <c r="BF166" s="388"/>
      <c r="BG166" s="388"/>
      <c r="BH166" s="388"/>
      <c r="BI166" s="388"/>
      <c r="BJ166" s="388"/>
      <c r="BK166" s="388"/>
      <c r="BL166" s="388"/>
      <c r="BM166" s="388"/>
      <c r="BN166" s="388"/>
      <c r="BO166" s="388"/>
    </row>
    <row r="167" spans="4:67" ht="12.75" customHeight="1">
      <c r="D167" s="389"/>
      <c r="E167" s="389"/>
      <c r="F167" s="389"/>
      <c r="G167" s="389"/>
      <c r="H167" s="388"/>
      <c r="I167" s="389"/>
      <c r="J167" s="389"/>
      <c r="K167" s="389"/>
      <c r="L167" s="389"/>
      <c r="M167" s="389"/>
      <c r="N167" s="389"/>
      <c r="O167" s="407"/>
      <c r="P167" s="389"/>
      <c r="Q167" s="407"/>
      <c r="R167" s="389"/>
      <c r="S167" s="389"/>
      <c r="T167" s="389"/>
      <c r="U167" s="389"/>
      <c r="V167" s="389"/>
      <c r="W167" s="389"/>
      <c r="X167" s="389"/>
      <c r="Y167" s="389"/>
      <c r="Z167" s="389"/>
      <c r="AA167" s="389"/>
      <c r="AB167" s="389"/>
      <c r="AC167" s="388"/>
      <c r="AD167" s="388"/>
      <c r="AE167" s="388"/>
      <c r="AF167" s="388"/>
      <c r="AG167" s="388"/>
      <c r="AH167" s="388"/>
      <c r="AI167" s="388"/>
      <c r="AJ167" s="388"/>
      <c r="AK167" s="388"/>
      <c r="AL167" s="388"/>
      <c r="AM167" s="388"/>
      <c r="AN167" s="388"/>
      <c r="AO167" s="388"/>
      <c r="AP167" s="388"/>
      <c r="AQ167" s="388"/>
      <c r="AR167" s="388"/>
      <c r="AS167" s="388"/>
      <c r="AT167" s="388"/>
      <c r="AU167" s="388"/>
      <c r="AV167" s="388"/>
      <c r="AW167" s="388"/>
      <c r="AX167" s="388"/>
      <c r="AY167" s="388"/>
      <c r="AZ167" s="388"/>
      <c r="BA167" s="388"/>
      <c r="BB167" s="388"/>
      <c r="BC167" s="388"/>
      <c r="BD167" s="388"/>
      <c r="BE167" s="388"/>
      <c r="BF167" s="388"/>
      <c r="BG167" s="388"/>
      <c r="BH167" s="388"/>
      <c r="BI167" s="388"/>
      <c r="BJ167" s="388"/>
      <c r="BK167" s="388"/>
      <c r="BL167" s="388"/>
      <c r="BM167" s="388"/>
      <c r="BN167" s="388"/>
      <c r="BO167" s="388"/>
    </row>
    <row r="168" spans="4:67" ht="12.75" customHeight="1">
      <c r="D168" s="389"/>
      <c r="E168" s="389"/>
      <c r="F168" s="389"/>
      <c r="G168" s="389"/>
      <c r="H168" s="388"/>
      <c r="I168" s="389"/>
      <c r="J168" s="389"/>
      <c r="K168" s="389"/>
      <c r="L168" s="389"/>
      <c r="M168" s="389"/>
      <c r="N168" s="389"/>
      <c r="O168" s="407"/>
      <c r="P168" s="389"/>
      <c r="Q168" s="407"/>
      <c r="R168" s="389"/>
      <c r="S168" s="389"/>
      <c r="T168" s="389"/>
      <c r="U168" s="389"/>
      <c r="V168" s="389"/>
      <c r="W168" s="389"/>
      <c r="X168" s="389"/>
      <c r="Y168" s="389"/>
      <c r="Z168" s="389"/>
      <c r="AA168" s="389"/>
      <c r="AB168" s="389"/>
      <c r="AC168" s="388"/>
      <c r="AD168" s="388"/>
      <c r="AE168" s="388"/>
      <c r="AF168" s="388"/>
      <c r="AG168" s="388"/>
      <c r="AH168" s="388"/>
      <c r="AI168" s="388"/>
      <c r="AJ168" s="388"/>
      <c r="AK168" s="388"/>
      <c r="AL168" s="388"/>
      <c r="AM168" s="388"/>
      <c r="AN168" s="388"/>
      <c r="AO168" s="388"/>
      <c r="AP168" s="388"/>
      <c r="AQ168" s="388"/>
      <c r="AR168" s="388"/>
      <c r="AS168" s="388"/>
      <c r="AT168" s="388"/>
      <c r="AU168" s="388"/>
      <c r="AV168" s="388"/>
      <c r="AW168" s="388"/>
      <c r="AX168" s="388"/>
      <c r="AY168" s="388"/>
      <c r="AZ168" s="388"/>
      <c r="BA168" s="388"/>
      <c r="BB168" s="388"/>
      <c r="BC168" s="388"/>
      <c r="BD168" s="388"/>
      <c r="BE168" s="388"/>
      <c r="BF168" s="388"/>
      <c r="BG168" s="388"/>
      <c r="BH168" s="388"/>
      <c r="BI168" s="388"/>
      <c r="BJ168" s="388"/>
      <c r="BK168" s="388"/>
      <c r="BL168" s="388"/>
      <c r="BM168" s="388"/>
      <c r="BN168" s="388"/>
      <c r="BO168" s="388"/>
    </row>
    <row r="169" spans="4:67" ht="12.75" customHeight="1">
      <c r="D169" s="389"/>
      <c r="E169" s="389"/>
      <c r="F169" s="389"/>
      <c r="G169" s="389"/>
      <c r="H169" s="388"/>
      <c r="I169" s="389"/>
      <c r="J169" s="389"/>
      <c r="K169" s="389"/>
      <c r="L169" s="389"/>
      <c r="M169" s="389"/>
      <c r="N169" s="389"/>
      <c r="O169" s="407"/>
      <c r="P169" s="389"/>
      <c r="Q169" s="407"/>
      <c r="R169" s="389"/>
      <c r="S169" s="389"/>
      <c r="T169" s="389"/>
      <c r="U169" s="389"/>
      <c r="V169" s="389"/>
      <c r="W169" s="389"/>
      <c r="X169" s="389"/>
      <c r="Y169" s="389"/>
      <c r="Z169" s="389"/>
      <c r="AA169" s="389"/>
      <c r="AB169" s="389"/>
      <c r="AC169" s="388"/>
      <c r="AD169" s="388"/>
      <c r="AE169" s="388"/>
      <c r="AF169" s="388"/>
      <c r="AG169" s="388"/>
      <c r="AH169" s="388"/>
      <c r="AI169" s="388"/>
      <c r="AJ169" s="388"/>
      <c r="AK169" s="388"/>
      <c r="AL169" s="388"/>
      <c r="AM169" s="388"/>
      <c r="AN169" s="388"/>
      <c r="AO169" s="388"/>
      <c r="AP169" s="388"/>
      <c r="AQ169" s="388"/>
      <c r="AR169" s="388"/>
      <c r="AS169" s="388"/>
      <c r="AT169" s="388"/>
      <c r="AU169" s="388"/>
      <c r="AV169" s="388"/>
      <c r="AW169" s="388"/>
      <c r="AX169" s="388"/>
      <c r="AY169" s="388"/>
      <c r="AZ169" s="388"/>
      <c r="BA169" s="388"/>
      <c r="BB169" s="388"/>
      <c r="BC169" s="388"/>
      <c r="BD169" s="388"/>
      <c r="BE169" s="388"/>
      <c r="BF169" s="388"/>
      <c r="BG169" s="388"/>
      <c r="BH169" s="388"/>
      <c r="BI169" s="388"/>
      <c r="BJ169" s="388"/>
      <c r="BK169" s="388"/>
      <c r="BL169" s="388"/>
      <c r="BM169" s="388"/>
      <c r="BN169" s="388"/>
      <c r="BO169" s="388"/>
    </row>
    <row r="170" spans="4:67" ht="12.75" customHeight="1">
      <c r="D170" s="389"/>
      <c r="E170" s="389"/>
      <c r="F170" s="389"/>
      <c r="G170" s="389"/>
      <c r="H170" s="388"/>
      <c r="I170" s="389"/>
      <c r="J170" s="389"/>
      <c r="K170" s="389"/>
      <c r="L170" s="389"/>
      <c r="M170" s="389"/>
      <c r="N170" s="389"/>
      <c r="O170" s="407"/>
      <c r="P170" s="389"/>
      <c r="Q170" s="407"/>
      <c r="R170" s="389"/>
      <c r="S170" s="389"/>
      <c r="T170" s="389"/>
      <c r="U170" s="389"/>
      <c r="V170" s="389"/>
      <c r="W170" s="389"/>
      <c r="X170" s="389"/>
      <c r="Y170" s="389"/>
      <c r="Z170" s="389"/>
      <c r="AA170" s="389"/>
      <c r="AB170" s="389"/>
      <c r="AC170" s="388"/>
      <c r="AD170" s="388"/>
      <c r="AE170" s="388"/>
      <c r="AF170" s="388"/>
      <c r="AG170" s="388"/>
      <c r="AH170" s="388"/>
      <c r="AI170" s="388"/>
      <c r="AJ170" s="388"/>
      <c r="AK170" s="388"/>
      <c r="AL170" s="388"/>
      <c r="AM170" s="388"/>
      <c r="AN170" s="388"/>
      <c r="AO170" s="388"/>
      <c r="AP170" s="388"/>
      <c r="AQ170" s="388"/>
      <c r="AR170" s="388"/>
      <c r="AS170" s="388"/>
      <c r="AT170" s="388"/>
      <c r="AU170" s="388"/>
      <c r="AV170" s="388"/>
      <c r="AW170" s="388"/>
      <c r="AX170" s="388"/>
      <c r="AY170" s="388"/>
      <c r="AZ170" s="388"/>
      <c r="BA170" s="388"/>
      <c r="BB170" s="388"/>
      <c r="BC170" s="388"/>
      <c r="BD170" s="388"/>
      <c r="BE170" s="388"/>
      <c r="BF170" s="388"/>
      <c r="BG170" s="388"/>
      <c r="BH170" s="388"/>
      <c r="BI170" s="388"/>
      <c r="BJ170" s="388"/>
      <c r="BK170" s="388"/>
      <c r="BL170" s="388"/>
      <c r="BM170" s="388"/>
      <c r="BN170" s="388"/>
      <c r="BO170" s="388"/>
    </row>
    <row r="171" spans="4:67" ht="12.75" customHeight="1">
      <c r="D171" s="389"/>
      <c r="E171" s="389"/>
      <c r="F171" s="389"/>
      <c r="G171" s="389"/>
      <c r="H171" s="388"/>
      <c r="I171" s="389"/>
      <c r="J171" s="389"/>
      <c r="K171" s="389"/>
      <c r="L171" s="389"/>
      <c r="M171" s="389"/>
      <c r="N171" s="389"/>
      <c r="O171" s="407"/>
      <c r="P171" s="389"/>
      <c r="Q171" s="407"/>
      <c r="R171" s="389"/>
      <c r="S171" s="389"/>
      <c r="T171" s="389"/>
      <c r="U171" s="389"/>
      <c r="V171" s="389"/>
      <c r="W171" s="389"/>
      <c r="X171" s="389"/>
      <c r="Y171" s="389"/>
      <c r="Z171" s="389"/>
      <c r="AA171" s="389"/>
      <c r="AB171" s="389"/>
      <c r="AC171" s="388"/>
      <c r="AD171" s="388"/>
      <c r="AE171" s="388"/>
      <c r="AF171" s="388"/>
      <c r="AG171" s="388"/>
      <c r="AH171" s="388"/>
      <c r="AI171" s="388"/>
      <c r="AJ171" s="388"/>
      <c r="AK171" s="388"/>
      <c r="AL171" s="388"/>
      <c r="AM171" s="388"/>
      <c r="AN171" s="388"/>
      <c r="AO171" s="388"/>
      <c r="AP171" s="388"/>
      <c r="AQ171" s="388"/>
      <c r="AR171" s="388"/>
      <c r="AS171" s="388"/>
      <c r="AT171" s="388"/>
      <c r="AU171" s="388"/>
      <c r="AV171" s="388"/>
      <c r="AW171" s="388"/>
      <c r="AX171" s="388"/>
      <c r="AY171" s="388"/>
      <c r="AZ171" s="388"/>
      <c r="BA171" s="388"/>
      <c r="BB171" s="388"/>
      <c r="BC171" s="388"/>
      <c r="BD171" s="388"/>
      <c r="BE171" s="388"/>
      <c r="BF171" s="388"/>
      <c r="BG171" s="388"/>
      <c r="BH171" s="388"/>
      <c r="BI171" s="388"/>
      <c r="BJ171" s="388"/>
      <c r="BK171" s="388"/>
      <c r="BL171" s="388"/>
      <c r="BM171" s="388"/>
      <c r="BN171" s="388"/>
      <c r="BO171" s="388"/>
    </row>
    <row r="172" spans="4:67" ht="12.75" customHeight="1">
      <c r="D172" s="389"/>
      <c r="E172" s="389"/>
      <c r="F172" s="389"/>
      <c r="G172" s="389"/>
      <c r="H172" s="388"/>
      <c r="I172" s="389"/>
      <c r="J172" s="389"/>
      <c r="K172" s="389"/>
      <c r="L172" s="389"/>
      <c r="M172" s="389"/>
      <c r="N172" s="389"/>
      <c r="O172" s="407"/>
      <c r="P172" s="389"/>
      <c r="Q172" s="407"/>
      <c r="R172" s="389"/>
      <c r="S172" s="389"/>
      <c r="T172" s="389"/>
      <c r="U172" s="389"/>
      <c r="V172" s="389"/>
      <c r="W172" s="389"/>
      <c r="X172" s="389"/>
      <c r="Y172" s="389"/>
      <c r="Z172" s="389"/>
      <c r="AA172" s="389"/>
      <c r="AB172" s="389"/>
      <c r="AC172" s="388"/>
      <c r="AD172" s="388"/>
      <c r="AE172" s="388"/>
      <c r="AF172" s="388"/>
      <c r="AG172" s="388"/>
      <c r="AH172" s="388"/>
      <c r="AI172" s="388"/>
      <c r="AJ172" s="388"/>
      <c r="AK172" s="388"/>
      <c r="AL172" s="388"/>
      <c r="AM172" s="388"/>
      <c r="AN172" s="388"/>
      <c r="AO172" s="388"/>
      <c r="AP172" s="388"/>
      <c r="AQ172" s="388"/>
      <c r="AR172" s="388"/>
      <c r="AS172" s="388"/>
      <c r="AT172" s="388"/>
      <c r="AU172" s="388"/>
      <c r="AV172" s="388"/>
      <c r="AW172" s="388"/>
      <c r="AX172" s="388"/>
      <c r="AY172" s="388"/>
      <c r="AZ172" s="388"/>
      <c r="BA172" s="388"/>
      <c r="BB172" s="388"/>
      <c r="BC172" s="388"/>
      <c r="BD172" s="388"/>
      <c r="BE172" s="388"/>
      <c r="BF172" s="388"/>
      <c r="BG172" s="388"/>
      <c r="BH172" s="388"/>
      <c r="BI172" s="388"/>
      <c r="BJ172" s="388"/>
      <c r="BK172" s="388"/>
      <c r="BL172" s="388"/>
      <c r="BM172" s="388"/>
      <c r="BN172" s="388"/>
      <c r="BO172" s="388"/>
    </row>
    <row r="173" spans="4:67" ht="12.75" customHeight="1">
      <c r="D173" s="389"/>
      <c r="E173" s="389"/>
      <c r="F173" s="389"/>
      <c r="G173" s="389"/>
      <c r="H173" s="388"/>
      <c r="I173" s="389"/>
      <c r="J173" s="389"/>
      <c r="K173" s="389"/>
      <c r="L173" s="389"/>
      <c r="M173" s="389"/>
      <c r="N173" s="389"/>
      <c r="O173" s="407"/>
      <c r="P173" s="389"/>
      <c r="Q173" s="407"/>
      <c r="R173" s="389"/>
      <c r="S173" s="389"/>
      <c r="T173" s="389"/>
      <c r="U173" s="389"/>
      <c r="V173" s="389"/>
      <c r="W173" s="389"/>
      <c r="X173" s="389"/>
      <c r="Y173" s="389"/>
      <c r="Z173" s="389"/>
      <c r="AA173" s="389"/>
      <c r="AB173" s="389"/>
      <c r="AC173" s="388"/>
      <c r="AD173" s="388"/>
      <c r="AE173" s="388"/>
      <c r="AF173" s="388"/>
      <c r="AG173" s="388"/>
      <c r="AH173" s="388"/>
      <c r="AI173" s="388"/>
      <c r="AJ173" s="388"/>
      <c r="AK173" s="388"/>
      <c r="AL173" s="388"/>
      <c r="AM173" s="388"/>
      <c r="AN173" s="388"/>
      <c r="AO173" s="388"/>
      <c r="AP173" s="388"/>
      <c r="AQ173" s="388"/>
      <c r="AR173" s="388"/>
      <c r="AS173" s="388"/>
      <c r="AT173" s="388"/>
      <c r="AU173" s="388"/>
      <c r="AV173" s="388"/>
      <c r="AW173" s="388"/>
      <c r="AX173" s="388"/>
      <c r="AY173" s="388"/>
      <c r="AZ173" s="388"/>
      <c r="BA173" s="388"/>
      <c r="BB173" s="388"/>
      <c r="BC173" s="388"/>
      <c r="BD173" s="388"/>
      <c r="BE173" s="388"/>
      <c r="BF173" s="388"/>
      <c r="BG173" s="388"/>
      <c r="BH173" s="388"/>
      <c r="BI173" s="388"/>
      <c r="BJ173" s="388"/>
      <c r="BK173" s="388"/>
      <c r="BL173" s="388"/>
      <c r="BM173" s="388"/>
      <c r="BN173" s="388"/>
      <c r="BO173" s="388"/>
    </row>
    <row r="174" spans="4:67" ht="12.75" customHeight="1">
      <c r="D174" s="389"/>
      <c r="E174" s="389"/>
      <c r="F174" s="389"/>
      <c r="G174" s="389"/>
      <c r="H174" s="388"/>
      <c r="I174" s="389"/>
      <c r="J174" s="389"/>
      <c r="K174" s="389"/>
      <c r="L174" s="389"/>
      <c r="M174" s="389"/>
      <c r="N174" s="389"/>
      <c r="O174" s="407"/>
      <c r="P174" s="389"/>
      <c r="Q174" s="407"/>
      <c r="R174" s="389"/>
      <c r="S174" s="389"/>
      <c r="T174" s="389"/>
      <c r="U174" s="389"/>
      <c r="V174" s="389"/>
      <c r="W174" s="389"/>
      <c r="X174" s="389"/>
      <c r="Y174" s="389"/>
      <c r="Z174" s="389"/>
      <c r="AA174" s="389"/>
      <c r="AB174" s="389"/>
      <c r="AC174" s="388"/>
      <c r="AD174" s="388"/>
      <c r="AE174" s="388"/>
      <c r="AF174" s="388"/>
      <c r="AG174" s="388"/>
      <c r="AH174" s="388"/>
      <c r="AI174" s="388"/>
      <c r="AJ174" s="388"/>
      <c r="AK174" s="388"/>
      <c r="AL174" s="388"/>
      <c r="AM174" s="388"/>
      <c r="AN174" s="388"/>
      <c r="AO174" s="388"/>
      <c r="AP174" s="388"/>
      <c r="AQ174" s="388"/>
      <c r="AR174" s="388"/>
      <c r="AS174" s="388"/>
      <c r="AT174" s="388"/>
      <c r="AU174" s="388"/>
      <c r="AV174" s="388"/>
      <c r="AW174" s="388"/>
      <c r="AX174" s="388"/>
      <c r="AY174" s="388"/>
      <c r="AZ174" s="388"/>
      <c r="BA174" s="388"/>
      <c r="BB174" s="388"/>
      <c r="BC174" s="388"/>
      <c r="BD174" s="388"/>
      <c r="BE174" s="388"/>
      <c r="BF174" s="388"/>
      <c r="BG174" s="388"/>
      <c r="BH174" s="388"/>
      <c r="BI174" s="388"/>
      <c r="BJ174" s="388"/>
      <c r="BK174" s="388"/>
      <c r="BL174" s="388"/>
      <c r="BM174" s="388"/>
      <c r="BN174" s="388"/>
      <c r="BO174" s="388"/>
    </row>
    <row r="175" spans="4:67" ht="12.75" customHeight="1">
      <c r="D175" s="389"/>
      <c r="E175" s="389"/>
      <c r="F175" s="389"/>
      <c r="G175" s="389"/>
      <c r="H175" s="388"/>
      <c r="I175" s="389"/>
      <c r="J175" s="389"/>
      <c r="K175" s="389"/>
      <c r="L175" s="389"/>
      <c r="M175" s="389"/>
      <c r="N175" s="389"/>
      <c r="O175" s="407"/>
      <c r="P175" s="389"/>
      <c r="Q175" s="407"/>
      <c r="R175" s="389"/>
      <c r="S175" s="389"/>
      <c r="T175" s="389"/>
      <c r="U175" s="389"/>
      <c r="V175" s="389"/>
      <c r="W175" s="389"/>
      <c r="X175" s="389"/>
      <c r="Y175" s="389"/>
      <c r="Z175" s="389"/>
      <c r="AA175" s="389"/>
      <c r="AB175" s="389"/>
      <c r="AC175" s="388"/>
      <c r="AD175" s="388"/>
      <c r="AE175" s="388"/>
      <c r="AF175" s="388"/>
      <c r="AG175" s="388"/>
      <c r="AH175" s="388"/>
      <c r="AI175" s="388"/>
      <c r="AJ175" s="388"/>
      <c r="AK175" s="388"/>
      <c r="AL175" s="388"/>
      <c r="AM175" s="388"/>
      <c r="AN175" s="388"/>
      <c r="AO175" s="388"/>
      <c r="AP175" s="388"/>
      <c r="AQ175" s="388"/>
      <c r="AR175" s="388"/>
      <c r="AS175" s="388"/>
      <c r="AT175" s="388"/>
      <c r="AU175" s="388"/>
      <c r="AV175" s="388"/>
      <c r="AW175" s="388"/>
      <c r="AX175" s="388"/>
      <c r="AY175" s="388"/>
      <c r="AZ175" s="388"/>
      <c r="BA175" s="388"/>
      <c r="BB175" s="388"/>
      <c r="BC175" s="388"/>
      <c r="BD175" s="388"/>
      <c r="BE175" s="388"/>
      <c r="BF175" s="388"/>
      <c r="BG175" s="388"/>
      <c r="BH175" s="388"/>
      <c r="BI175" s="388"/>
      <c r="BJ175" s="388"/>
      <c r="BK175" s="388"/>
      <c r="BL175" s="388"/>
      <c r="BM175" s="388"/>
      <c r="BN175" s="388"/>
      <c r="BO175" s="388"/>
    </row>
    <row r="176" spans="4:67" ht="12.75" customHeight="1">
      <c r="D176" s="389"/>
      <c r="E176" s="389"/>
      <c r="F176" s="389"/>
      <c r="G176" s="389"/>
      <c r="H176" s="388"/>
      <c r="I176" s="389"/>
      <c r="J176" s="389"/>
      <c r="K176" s="389"/>
      <c r="L176" s="389"/>
      <c r="M176" s="389"/>
      <c r="N176" s="389"/>
      <c r="O176" s="407"/>
      <c r="P176" s="389"/>
      <c r="Q176" s="407"/>
      <c r="R176" s="389"/>
      <c r="S176" s="389"/>
      <c r="T176" s="389"/>
      <c r="U176" s="389"/>
      <c r="V176" s="389"/>
      <c r="W176" s="389"/>
      <c r="X176" s="389"/>
      <c r="Y176" s="389"/>
      <c r="Z176" s="389"/>
      <c r="AA176" s="389"/>
      <c r="AB176" s="389"/>
      <c r="AC176" s="388"/>
      <c r="AD176" s="388"/>
      <c r="AE176" s="388"/>
      <c r="AF176" s="388"/>
      <c r="AG176" s="388"/>
      <c r="AH176" s="388"/>
      <c r="AI176" s="388"/>
      <c r="AJ176" s="388"/>
      <c r="AK176" s="388"/>
      <c r="AL176" s="388"/>
      <c r="AM176" s="388"/>
      <c r="AN176" s="388"/>
      <c r="AO176" s="388"/>
      <c r="AP176" s="388"/>
      <c r="AQ176" s="388"/>
      <c r="AR176" s="388"/>
      <c r="AS176" s="388"/>
      <c r="AT176" s="388"/>
      <c r="AU176" s="388"/>
      <c r="AV176" s="388"/>
      <c r="AW176" s="388"/>
      <c r="AX176" s="388"/>
      <c r="AY176" s="388"/>
      <c r="AZ176" s="388"/>
      <c r="BA176" s="388"/>
      <c r="BB176" s="388"/>
      <c r="BC176" s="388"/>
      <c r="BD176" s="388"/>
      <c r="BE176" s="388"/>
      <c r="BF176" s="388"/>
      <c r="BG176" s="388"/>
      <c r="BH176" s="388"/>
      <c r="BI176" s="388"/>
      <c r="BJ176" s="388"/>
      <c r="BK176" s="388"/>
      <c r="BL176" s="388"/>
      <c r="BM176" s="388"/>
      <c r="BN176" s="388"/>
      <c r="BO176" s="388"/>
    </row>
    <row r="177" spans="4:67" ht="12.75" customHeight="1">
      <c r="D177" s="389"/>
      <c r="E177" s="389"/>
      <c r="F177" s="389"/>
      <c r="G177" s="389"/>
      <c r="H177" s="388"/>
      <c r="I177" s="389"/>
      <c r="J177" s="389"/>
      <c r="K177" s="389"/>
      <c r="L177" s="389"/>
      <c r="M177" s="389"/>
      <c r="N177" s="389"/>
      <c r="O177" s="407"/>
      <c r="P177" s="389"/>
      <c r="Q177" s="407"/>
      <c r="R177" s="389"/>
      <c r="S177" s="389"/>
      <c r="T177" s="389"/>
      <c r="U177" s="389"/>
      <c r="V177" s="389"/>
      <c r="W177" s="389"/>
      <c r="X177" s="389"/>
      <c r="Y177" s="389"/>
      <c r="Z177" s="389"/>
      <c r="AA177" s="389"/>
      <c r="AB177" s="389"/>
      <c r="AC177" s="388"/>
      <c r="AD177" s="388"/>
      <c r="AE177" s="388"/>
      <c r="AF177" s="388"/>
      <c r="AG177" s="388"/>
      <c r="AH177" s="388"/>
      <c r="AI177" s="388"/>
      <c r="AJ177" s="388"/>
      <c r="AK177" s="388"/>
      <c r="AL177" s="388"/>
      <c r="AM177" s="388"/>
      <c r="AN177" s="388"/>
      <c r="AO177" s="388"/>
      <c r="AP177" s="388"/>
      <c r="AQ177" s="388"/>
      <c r="AR177" s="388"/>
      <c r="AS177" s="388"/>
      <c r="AT177" s="388"/>
      <c r="AU177" s="388"/>
      <c r="AV177" s="388"/>
      <c r="AW177" s="388"/>
      <c r="AX177" s="388"/>
      <c r="AY177" s="388"/>
      <c r="AZ177" s="388"/>
      <c r="BA177" s="388"/>
      <c r="BB177" s="388"/>
      <c r="BC177" s="388"/>
      <c r="BD177" s="388"/>
      <c r="BE177" s="388"/>
      <c r="BF177" s="388"/>
      <c r="BG177" s="388"/>
      <c r="BH177" s="388"/>
      <c r="BI177" s="388"/>
      <c r="BJ177" s="388"/>
      <c r="BK177" s="388"/>
      <c r="BL177" s="388"/>
      <c r="BM177" s="388"/>
      <c r="BN177" s="388"/>
      <c r="BO177" s="388"/>
    </row>
    <row r="178" spans="4:67" ht="12.75" customHeight="1">
      <c r="D178" s="389"/>
      <c r="E178" s="389"/>
      <c r="F178" s="389"/>
      <c r="G178" s="389"/>
      <c r="H178" s="388"/>
      <c r="I178" s="389"/>
      <c r="J178" s="389"/>
      <c r="K178" s="389"/>
      <c r="L178" s="389"/>
      <c r="M178" s="389"/>
      <c r="N178" s="389"/>
      <c r="O178" s="407"/>
      <c r="P178" s="389"/>
      <c r="Q178" s="407"/>
      <c r="R178" s="389"/>
      <c r="S178" s="389"/>
      <c r="T178" s="389"/>
      <c r="U178" s="389"/>
      <c r="V178" s="389"/>
      <c r="W178" s="389"/>
      <c r="X178" s="389"/>
      <c r="Y178" s="389"/>
      <c r="Z178" s="389"/>
      <c r="AA178" s="389"/>
      <c r="AB178" s="389"/>
      <c r="AC178" s="388"/>
      <c r="AD178" s="388"/>
      <c r="AE178" s="388"/>
      <c r="AF178" s="388"/>
      <c r="AG178" s="388"/>
      <c r="AH178" s="388"/>
      <c r="AI178" s="388"/>
      <c r="AJ178" s="388"/>
      <c r="AK178" s="388"/>
      <c r="AL178" s="388"/>
      <c r="AM178" s="388"/>
      <c r="AN178" s="388"/>
      <c r="AO178" s="388"/>
      <c r="AP178" s="388"/>
      <c r="AQ178" s="388"/>
      <c r="AR178" s="388"/>
      <c r="AS178" s="388"/>
      <c r="AT178" s="388"/>
      <c r="AU178" s="388"/>
      <c r="AV178" s="388"/>
      <c r="AW178" s="388"/>
      <c r="AX178" s="388"/>
      <c r="AY178" s="388"/>
      <c r="AZ178" s="388"/>
      <c r="BA178" s="388"/>
      <c r="BB178" s="388"/>
      <c r="BC178" s="388"/>
      <c r="BD178" s="388"/>
      <c r="BE178" s="388"/>
      <c r="BF178" s="388"/>
      <c r="BG178" s="388"/>
      <c r="BH178" s="388"/>
      <c r="BI178" s="388"/>
      <c r="BJ178" s="388"/>
      <c r="BK178" s="388"/>
      <c r="BL178" s="388"/>
      <c r="BM178" s="388"/>
      <c r="BN178" s="388"/>
      <c r="BO178" s="388"/>
    </row>
    <row r="179" spans="4:67" ht="12.75" customHeight="1">
      <c r="D179" s="389"/>
      <c r="E179" s="389"/>
      <c r="F179" s="389"/>
      <c r="G179" s="389"/>
      <c r="H179" s="388"/>
      <c r="I179" s="389"/>
      <c r="J179" s="389"/>
      <c r="K179" s="389"/>
      <c r="L179" s="389"/>
      <c r="M179" s="389"/>
      <c r="N179" s="389"/>
      <c r="O179" s="407"/>
      <c r="P179" s="389"/>
      <c r="Q179" s="407"/>
      <c r="R179" s="389"/>
      <c r="S179" s="389"/>
      <c r="T179" s="389"/>
      <c r="U179" s="389"/>
      <c r="V179" s="389"/>
      <c r="W179" s="389"/>
      <c r="X179" s="389"/>
      <c r="Y179" s="389"/>
      <c r="Z179" s="389"/>
      <c r="AA179" s="389"/>
      <c r="AB179" s="389"/>
      <c r="AC179" s="388"/>
      <c r="AD179" s="388"/>
      <c r="AE179" s="388"/>
      <c r="AF179" s="388"/>
      <c r="AG179" s="388"/>
      <c r="AH179" s="388"/>
      <c r="AI179" s="388"/>
      <c r="AJ179" s="388"/>
      <c r="AK179" s="388"/>
      <c r="AL179" s="388"/>
      <c r="AM179" s="388"/>
      <c r="AN179" s="388"/>
      <c r="AO179" s="388"/>
      <c r="AP179" s="388"/>
      <c r="AQ179" s="388"/>
      <c r="AR179" s="388"/>
      <c r="AS179" s="388"/>
      <c r="AT179" s="388"/>
      <c r="AU179" s="388"/>
      <c r="AV179" s="388"/>
      <c r="AW179" s="388"/>
      <c r="AX179" s="388"/>
      <c r="AY179" s="388"/>
      <c r="AZ179" s="388"/>
      <c r="BA179" s="388"/>
      <c r="BB179" s="388"/>
      <c r="BC179" s="388"/>
      <c r="BD179" s="388"/>
      <c r="BE179" s="388"/>
      <c r="BF179" s="388"/>
      <c r="BG179" s="388"/>
      <c r="BH179" s="388"/>
      <c r="BI179" s="388"/>
      <c r="BJ179" s="388"/>
      <c r="BK179" s="388"/>
      <c r="BL179" s="388"/>
      <c r="BM179" s="388"/>
      <c r="BN179" s="388"/>
      <c r="BO179" s="388"/>
    </row>
    <row r="180" spans="4:67" ht="12.75" customHeight="1">
      <c r="D180" s="389"/>
      <c r="E180" s="389"/>
      <c r="F180" s="389"/>
      <c r="G180" s="389"/>
      <c r="H180" s="388"/>
      <c r="I180" s="389"/>
      <c r="J180" s="389"/>
      <c r="K180" s="389"/>
      <c r="L180" s="389"/>
      <c r="M180" s="389"/>
      <c r="N180" s="389"/>
      <c r="O180" s="407"/>
      <c r="P180" s="389"/>
      <c r="Q180" s="407"/>
      <c r="R180" s="389"/>
      <c r="S180" s="389"/>
      <c r="T180" s="389"/>
      <c r="U180" s="389"/>
      <c r="V180" s="389"/>
      <c r="W180" s="389"/>
      <c r="X180" s="389"/>
      <c r="Y180" s="389"/>
      <c r="Z180" s="389"/>
      <c r="AA180" s="389"/>
      <c r="AB180" s="389"/>
      <c r="AC180" s="388"/>
      <c r="AD180" s="388"/>
      <c r="AE180" s="388"/>
      <c r="AF180" s="388"/>
      <c r="AG180" s="388"/>
      <c r="AH180" s="388"/>
      <c r="AI180" s="388"/>
      <c r="AJ180" s="388"/>
      <c r="AK180" s="388"/>
      <c r="AL180" s="388"/>
      <c r="AM180" s="388"/>
      <c r="AN180" s="388"/>
      <c r="AO180" s="388"/>
      <c r="AP180" s="388"/>
      <c r="AQ180" s="388"/>
      <c r="AR180" s="388"/>
      <c r="AS180" s="388"/>
      <c r="AT180" s="388"/>
      <c r="AU180" s="388"/>
      <c r="AV180" s="388"/>
      <c r="AW180" s="388"/>
      <c r="AX180" s="388"/>
      <c r="AY180" s="388"/>
      <c r="AZ180" s="388"/>
      <c r="BA180" s="388"/>
      <c r="BB180" s="388"/>
      <c r="BC180" s="388"/>
      <c r="BD180" s="388"/>
      <c r="BE180" s="388"/>
      <c r="BF180" s="388"/>
      <c r="BG180" s="388"/>
      <c r="BH180" s="388"/>
      <c r="BI180" s="388"/>
      <c r="BJ180" s="388"/>
      <c r="BK180" s="388"/>
      <c r="BL180" s="388"/>
      <c r="BM180" s="388"/>
      <c r="BN180" s="388"/>
      <c r="BO180" s="388"/>
    </row>
    <row r="181" spans="4:67" ht="12.75" customHeight="1">
      <c r="D181" s="389"/>
      <c r="E181" s="389"/>
      <c r="F181" s="389"/>
      <c r="G181" s="389"/>
      <c r="H181" s="388"/>
      <c r="I181" s="389"/>
      <c r="J181" s="389"/>
      <c r="K181" s="389"/>
      <c r="L181" s="389"/>
      <c r="M181" s="389"/>
      <c r="N181" s="389"/>
      <c r="O181" s="407"/>
      <c r="P181" s="389"/>
      <c r="Q181" s="407"/>
      <c r="R181" s="389"/>
      <c r="S181" s="389"/>
      <c r="T181" s="389"/>
      <c r="U181" s="389"/>
      <c r="V181" s="389"/>
      <c r="W181" s="389"/>
      <c r="X181" s="389"/>
      <c r="Y181" s="389"/>
      <c r="Z181" s="389"/>
      <c r="AA181" s="389"/>
      <c r="AB181" s="389"/>
      <c r="AC181" s="388"/>
      <c r="AD181" s="388"/>
      <c r="AE181" s="388"/>
      <c r="AF181" s="388"/>
      <c r="AG181" s="388"/>
      <c r="AH181" s="388"/>
      <c r="AI181" s="388"/>
      <c r="AJ181" s="388"/>
      <c r="AK181" s="388"/>
      <c r="AL181" s="388"/>
      <c r="AM181" s="388"/>
      <c r="AN181" s="388"/>
      <c r="AO181" s="388"/>
      <c r="AP181" s="388"/>
      <c r="AQ181" s="388"/>
      <c r="AR181" s="388"/>
      <c r="AS181" s="388"/>
      <c r="AT181" s="388"/>
      <c r="AU181" s="388"/>
      <c r="AV181" s="388"/>
      <c r="AW181" s="388"/>
      <c r="AX181" s="388"/>
      <c r="AY181" s="388"/>
      <c r="AZ181" s="388"/>
      <c r="BA181" s="388"/>
      <c r="BB181" s="388"/>
      <c r="BC181" s="388"/>
      <c r="BD181" s="388"/>
      <c r="BE181" s="388"/>
      <c r="BF181" s="388"/>
      <c r="BG181" s="388"/>
      <c r="BH181" s="388"/>
      <c r="BI181" s="388"/>
      <c r="BJ181" s="388"/>
      <c r="BK181" s="388"/>
      <c r="BL181" s="388"/>
      <c r="BM181" s="388"/>
      <c r="BN181" s="388"/>
      <c r="BO181" s="388"/>
    </row>
    <row r="182" spans="4:67" ht="12.75" customHeight="1">
      <c r="D182" s="389"/>
      <c r="E182" s="389"/>
      <c r="F182" s="389"/>
      <c r="G182" s="389"/>
      <c r="H182" s="388"/>
      <c r="I182" s="389"/>
      <c r="J182" s="389"/>
      <c r="K182" s="389"/>
      <c r="L182" s="389"/>
      <c r="M182" s="389"/>
      <c r="N182" s="389"/>
      <c r="O182" s="407"/>
      <c r="P182" s="389"/>
      <c r="Q182" s="407"/>
      <c r="R182" s="389"/>
      <c r="S182" s="389"/>
      <c r="T182" s="389"/>
      <c r="U182" s="389"/>
      <c r="V182" s="389"/>
      <c r="W182" s="389"/>
      <c r="X182" s="389"/>
      <c r="Y182" s="389"/>
      <c r="Z182" s="389"/>
      <c r="AA182" s="389"/>
      <c r="AB182" s="389"/>
      <c r="AC182" s="388"/>
      <c r="AD182" s="388"/>
      <c r="AE182" s="388"/>
      <c r="AF182" s="388"/>
      <c r="AG182" s="388"/>
      <c r="AH182" s="388"/>
      <c r="AI182" s="388"/>
      <c r="AJ182" s="388"/>
      <c r="AK182" s="388"/>
      <c r="AL182" s="388"/>
      <c r="AM182" s="388"/>
      <c r="AN182" s="388"/>
      <c r="AO182" s="388"/>
      <c r="AP182" s="388"/>
      <c r="AQ182" s="388"/>
      <c r="AR182" s="388"/>
      <c r="AS182" s="388"/>
      <c r="AT182" s="388"/>
      <c r="AU182" s="388"/>
      <c r="AV182" s="388"/>
      <c r="AW182" s="388"/>
      <c r="AX182" s="388"/>
      <c r="AY182" s="388"/>
      <c r="AZ182" s="388"/>
      <c r="BA182" s="388"/>
      <c r="BB182" s="388"/>
      <c r="BC182" s="388"/>
      <c r="BD182" s="388"/>
      <c r="BE182" s="388"/>
      <c r="BF182" s="388"/>
      <c r="BG182" s="388"/>
      <c r="BH182" s="388"/>
      <c r="BI182" s="388"/>
      <c r="BJ182" s="388"/>
      <c r="BK182" s="388"/>
      <c r="BL182" s="388"/>
      <c r="BM182" s="388"/>
      <c r="BN182" s="388"/>
      <c r="BO182" s="388"/>
    </row>
    <row r="183" spans="4:67" ht="12.75" customHeight="1">
      <c r="D183" s="389"/>
      <c r="E183" s="389"/>
      <c r="F183" s="389"/>
      <c r="G183" s="389"/>
      <c r="H183" s="388"/>
      <c r="I183" s="389"/>
      <c r="J183" s="389"/>
      <c r="K183" s="389"/>
      <c r="L183" s="389"/>
      <c r="M183" s="389"/>
      <c r="N183" s="389"/>
      <c r="O183" s="407"/>
      <c r="P183" s="389"/>
      <c r="Q183" s="407"/>
      <c r="R183" s="389"/>
      <c r="S183" s="389"/>
      <c r="T183" s="389"/>
      <c r="U183" s="389"/>
      <c r="V183" s="389"/>
      <c r="W183" s="389"/>
      <c r="X183" s="389"/>
      <c r="Y183" s="389"/>
      <c r="Z183" s="389"/>
      <c r="AA183" s="389"/>
      <c r="AB183" s="389"/>
      <c r="AC183" s="388"/>
      <c r="AD183" s="388"/>
      <c r="AE183" s="388"/>
      <c r="AF183" s="388"/>
      <c r="AG183" s="388"/>
      <c r="AH183" s="388"/>
      <c r="AI183" s="388"/>
      <c r="AJ183" s="388"/>
      <c r="AK183" s="388"/>
      <c r="AL183" s="388"/>
      <c r="AM183" s="388"/>
      <c r="AN183" s="388"/>
      <c r="AO183" s="388"/>
      <c r="AP183" s="388"/>
      <c r="AQ183" s="388"/>
      <c r="AR183" s="388"/>
      <c r="AS183" s="388"/>
      <c r="AT183" s="388"/>
      <c r="AU183" s="388"/>
      <c r="AV183" s="388"/>
      <c r="AW183" s="388"/>
      <c r="AX183" s="388"/>
      <c r="AY183" s="388"/>
      <c r="AZ183" s="388"/>
      <c r="BA183" s="388"/>
      <c r="BB183" s="388"/>
      <c r="BC183" s="388"/>
      <c r="BD183" s="388"/>
      <c r="BE183" s="388"/>
      <c r="BF183" s="388"/>
      <c r="BG183" s="388"/>
      <c r="BH183" s="388"/>
      <c r="BI183" s="388"/>
      <c r="BJ183" s="388"/>
      <c r="BK183" s="388"/>
      <c r="BL183" s="388"/>
      <c r="BM183" s="388"/>
      <c r="BN183" s="388"/>
      <c r="BO183" s="388"/>
    </row>
    <row r="184" spans="4:67" ht="12.75" customHeight="1">
      <c r="D184" s="389"/>
      <c r="E184" s="389"/>
      <c r="F184" s="389"/>
      <c r="G184" s="389"/>
      <c r="H184" s="388"/>
      <c r="I184" s="389"/>
      <c r="J184" s="389"/>
      <c r="K184" s="389"/>
      <c r="L184" s="389"/>
      <c r="M184" s="389"/>
      <c r="N184" s="389"/>
      <c r="O184" s="407"/>
      <c r="P184" s="389"/>
      <c r="Q184" s="407"/>
      <c r="R184" s="389"/>
      <c r="S184" s="389"/>
      <c r="T184" s="389"/>
      <c r="U184" s="389"/>
      <c r="V184" s="389"/>
      <c r="W184" s="389"/>
      <c r="X184" s="389"/>
      <c r="Y184" s="389"/>
      <c r="Z184" s="389"/>
      <c r="AA184" s="389"/>
      <c r="AB184" s="389"/>
      <c r="AC184" s="388"/>
      <c r="AD184" s="388"/>
      <c r="AE184" s="388"/>
      <c r="AF184" s="388"/>
      <c r="AG184" s="388"/>
      <c r="AH184" s="388"/>
      <c r="AI184" s="388"/>
      <c r="AJ184" s="388"/>
      <c r="AK184" s="388"/>
      <c r="AL184" s="388"/>
      <c r="AM184" s="388"/>
      <c r="AN184" s="388"/>
      <c r="AO184" s="388"/>
      <c r="AP184" s="388"/>
      <c r="AQ184" s="388"/>
      <c r="AR184" s="388"/>
      <c r="AS184" s="388"/>
      <c r="AT184" s="388"/>
      <c r="AU184" s="388"/>
      <c r="AV184" s="388"/>
      <c r="AW184" s="388"/>
      <c r="AX184" s="388"/>
      <c r="AY184" s="388"/>
      <c r="AZ184" s="388"/>
      <c r="BA184" s="388"/>
      <c r="BB184" s="388"/>
      <c r="BC184" s="388"/>
      <c r="BD184" s="388"/>
      <c r="BE184" s="388"/>
      <c r="BF184" s="388"/>
      <c r="BG184" s="388"/>
      <c r="BH184" s="388"/>
      <c r="BI184" s="388"/>
      <c r="BJ184" s="388"/>
      <c r="BK184" s="388"/>
      <c r="BL184" s="388"/>
      <c r="BM184" s="388"/>
      <c r="BN184" s="388"/>
      <c r="BO184" s="388"/>
    </row>
    <row r="185" spans="4:67" ht="12.75" customHeight="1">
      <c r="D185" s="389"/>
      <c r="E185" s="389"/>
      <c r="F185" s="389"/>
      <c r="G185" s="389"/>
      <c r="H185" s="388"/>
      <c r="I185" s="389"/>
      <c r="J185" s="389"/>
      <c r="K185" s="389"/>
      <c r="L185" s="389"/>
      <c r="M185" s="389"/>
      <c r="N185" s="389"/>
      <c r="O185" s="407"/>
      <c r="P185" s="389"/>
      <c r="Q185" s="407"/>
      <c r="R185" s="389"/>
      <c r="S185" s="389"/>
      <c r="T185" s="389"/>
      <c r="U185" s="389"/>
      <c r="V185" s="389"/>
      <c r="W185" s="389"/>
      <c r="X185" s="389"/>
      <c r="Y185" s="389"/>
      <c r="Z185" s="389"/>
      <c r="AA185" s="389"/>
      <c r="AB185" s="389"/>
      <c r="AC185" s="388"/>
      <c r="AD185" s="388"/>
      <c r="AE185" s="388"/>
      <c r="AF185" s="388"/>
      <c r="AG185" s="388"/>
      <c r="AH185" s="388"/>
      <c r="AI185" s="388"/>
      <c r="AJ185" s="388"/>
      <c r="AK185" s="388"/>
      <c r="AL185" s="388"/>
      <c r="AM185" s="388"/>
      <c r="AN185" s="388"/>
      <c r="AO185" s="388"/>
      <c r="AP185" s="388"/>
      <c r="AQ185" s="388"/>
      <c r="AR185" s="388"/>
      <c r="AS185" s="388"/>
      <c r="AT185" s="388"/>
      <c r="AU185" s="388"/>
      <c r="AV185" s="388"/>
      <c r="AW185" s="388"/>
      <c r="AX185" s="388"/>
      <c r="AY185" s="388"/>
      <c r="AZ185" s="388"/>
      <c r="BA185" s="388"/>
      <c r="BB185" s="388"/>
      <c r="BC185" s="388"/>
      <c r="BD185" s="388"/>
      <c r="BE185" s="388"/>
      <c r="BF185" s="388"/>
      <c r="BG185" s="388"/>
      <c r="BH185" s="388"/>
      <c r="BI185" s="388"/>
      <c r="BJ185" s="388"/>
      <c r="BK185" s="388"/>
      <c r="BL185" s="388"/>
      <c r="BM185" s="388"/>
      <c r="BN185" s="388"/>
      <c r="BO185" s="388"/>
    </row>
    <row r="186" spans="4:67" ht="12.75" customHeight="1">
      <c r="D186" s="389"/>
      <c r="E186" s="389"/>
      <c r="F186" s="389"/>
      <c r="G186" s="389"/>
      <c r="H186" s="388"/>
      <c r="I186" s="389"/>
      <c r="J186" s="389"/>
      <c r="K186" s="389"/>
      <c r="L186" s="389"/>
      <c r="M186" s="389"/>
      <c r="N186" s="389"/>
      <c r="O186" s="407"/>
      <c r="P186" s="389"/>
      <c r="Q186" s="407"/>
      <c r="R186" s="389"/>
      <c r="S186" s="389"/>
      <c r="T186" s="389"/>
      <c r="U186" s="389"/>
      <c r="V186" s="389"/>
      <c r="W186" s="389"/>
      <c r="X186" s="389"/>
      <c r="Y186" s="389"/>
      <c r="Z186" s="389"/>
      <c r="AA186" s="389"/>
      <c r="AB186" s="389"/>
      <c r="AC186" s="388"/>
      <c r="AD186" s="388"/>
      <c r="AE186" s="388"/>
      <c r="AF186" s="388"/>
      <c r="AG186" s="388"/>
      <c r="AH186" s="388"/>
      <c r="AI186" s="388"/>
      <c r="AJ186" s="388"/>
      <c r="AK186" s="388"/>
      <c r="AL186" s="388"/>
      <c r="AM186" s="388"/>
      <c r="AN186" s="388"/>
      <c r="AO186" s="388"/>
      <c r="AP186" s="388"/>
      <c r="AQ186" s="388"/>
      <c r="AR186" s="388"/>
      <c r="AS186" s="388"/>
      <c r="AT186" s="388"/>
      <c r="AU186" s="388"/>
      <c r="AV186" s="388"/>
      <c r="AW186" s="388"/>
      <c r="AX186" s="388"/>
      <c r="AY186" s="388"/>
      <c r="AZ186" s="388"/>
      <c r="BA186" s="388"/>
      <c r="BB186" s="388"/>
      <c r="BC186" s="388"/>
      <c r="BD186" s="388"/>
      <c r="BE186" s="388"/>
      <c r="BF186" s="388"/>
      <c r="BG186" s="388"/>
      <c r="BH186" s="388"/>
      <c r="BI186" s="388"/>
      <c r="BJ186" s="388"/>
      <c r="BK186" s="388"/>
      <c r="BL186" s="388"/>
      <c r="BM186" s="388"/>
      <c r="BN186" s="388"/>
      <c r="BO186" s="388"/>
    </row>
    <row r="187" spans="4:67" ht="12.75" customHeight="1">
      <c r="D187" s="389"/>
      <c r="E187" s="389"/>
      <c r="F187" s="389"/>
      <c r="G187" s="389"/>
      <c r="H187" s="388"/>
      <c r="I187" s="389"/>
      <c r="J187" s="389"/>
      <c r="K187" s="389"/>
      <c r="L187" s="389"/>
      <c r="M187" s="389"/>
      <c r="N187" s="389"/>
      <c r="O187" s="407"/>
      <c r="P187" s="389"/>
      <c r="Q187" s="407"/>
      <c r="R187" s="389"/>
      <c r="S187" s="389"/>
      <c r="T187" s="389"/>
      <c r="U187" s="389"/>
      <c r="V187" s="389"/>
      <c r="W187" s="389"/>
      <c r="X187" s="389"/>
      <c r="Y187" s="389"/>
      <c r="Z187" s="389"/>
      <c r="AA187" s="389"/>
      <c r="AB187" s="389"/>
      <c r="AC187" s="388"/>
      <c r="AD187" s="388"/>
      <c r="AE187" s="388"/>
      <c r="AF187" s="388"/>
      <c r="AG187" s="388"/>
      <c r="AH187" s="388"/>
      <c r="AI187" s="388"/>
      <c r="AJ187" s="388"/>
      <c r="AK187" s="388"/>
      <c r="AL187" s="388"/>
      <c r="AM187" s="388"/>
      <c r="AN187" s="388"/>
      <c r="AO187" s="388"/>
      <c r="AP187" s="388"/>
      <c r="AQ187" s="388"/>
      <c r="AR187" s="388"/>
      <c r="AS187" s="388"/>
      <c r="AT187" s="388"/>
      <c r="AU187" s="388"/>
      <c r="AV187" s="388"/>
      <c r="AW187" s="388"/>
      <c r="AX187" s="388"/>
      <c r="AY187" s="388"/>
      <c r="AZ187" s="388"/>
      <c r="BA187" s="388"/>
      <c r="BB187" s="388"/>
      <c r="BC187" s="388"/>
      <c r="BD187" s="388"/>
      <c r="BE187" s="388"/>
      <c r="BF187" s="388"/>
      <c r="BG187" s="388"/>
      <c r="BH187" s="388"/>
      <c r="BI187" s="388"/>
      <c r="BJ187" s="388"/>
      <c r="BK187" s="388"/>
      <c r="BL187" s="388"/>
      <c r="BM187" s="388"/>
      <c r="BN187" s="388"/>
      <c r="BO187" s="388"/>
    </row>
    <row r="188" spans="4:67" ht="12.75" customHeight="1">
      <c r="D188" s="389"/>
      <c r="E188" s="389"/>
      <c r="F188" s="389"/>
      <c r="G188" s="389"/>
      <c r="H188" s="388"/>
      <c r="I188" s="389"/>
      <c r="J188" s="389"/>
      <c r="K188" s="389"/>
      <c r="L188" s="389"/>
      <c r="M188" s="389"/>
      <c r="N188" s="389"/>
      <c r="O188" s="407"/>
      <c r="P188" s="389"/>
      <c r="Q188" s="407"/>
      <c r="R188" s="389"/>
      <c r="S188" s="389"/>
      <c r="T188" s="389"/>
      <c r="U188" s="389"/>
      <c r="V188" s="389"/>
      <c r="W188" s="389"/>
      <c r="X188" s="389"/>
      <c r="Y188" s="389"/>
      <c r="Z188" s="389"/>
      <c r="AA188" s="389"/>
      <c r="AB188" s="389"/>
      <c r="AC188" s="388"/>
      <c r="AD188" s="388"/>
      <c r="AE188" s="388"/>
      <c r="AF188" s="388"/>
      <c r="AG188" s="388"/>
      <c r="AH188" s="388"/>
      <c r="AI188" s="388"/>
      <c r="AJ188" s="388"/>
      <c r="AK188" s="388"/>
      <c r="AL188" s="388"/>
      <c r="AM188" s="388"/>
      <c r="AN188" s="388"/>
      <c r="AO188" s="388"/>
      <c r="AP188" s="388"/>
      <c r="AQ188" s="388"/>
      <c r="AR188" s="388"/>
      <c r="AS188" s="388"/>
      <c r="AT188" s="388"/>
      <c r="AU188" s="388"/>
      <c r="AV188" s="388"/>
      <c r="AW188" s="388"/>
      <c r="AX188" s="388"/>
      <c r="AY188" s="388"/>
      <c r="AZ188" s="388"/>
      <c r="BA188" s="388"/>
      <c r="BB188" s="388"/>
      <c r="BC188" s="388"/>
      <c r="BD188" s="388"/>
      <c r="BE188" s="388"/>
      <c r="BF188" s="388"/>
      <c r="BG188" s="388"/>
      <c r="BH188" s="388"/>
      <c r="BI188" s="388"/>
      <c r="BJ188" s="388"/>
      <c r="BK188" s="388"/>
      <c r="BL188" s="388"/>
      <c r="BM188" s="388"/>
      <c r="BN188" s="388"/>
      <c r="BO188" s="388"/>
    </row>
    <row r="189" spans="4:67" ht="12.75" customHeight="1">
      <c r="D189" s="389"/>
      <c r="E189" s="389"/>
      <c r="F189" s="389"/>
      <c r="G189" s="389"/>
      <c r="H189" s="388"/>
      <c r="I189" s="389"/>
      <c r="J189" s="389"/>
      <c r="K189" s="389"/>
      <c r="L189" s="389"/>
      <c r="M189" s="389"/>
      <c r="N189" s="389"/>
      <c r="O189" s="407"/>
      <c r="P189" s="389"/>
      <c r="Q189" s="407"/>
      <c r="R189" s="389"/>
      <c r="S189" s="389"/>
      <c r="T189" s="389"/>
      <c r="U189" s="389"/>
      <c r="V189" s="389"/>
      <c r="W189" s="389"/>
      <c r="X189" s="389"/>
      <c r="Y189" s="389"/>
      <c r="Z189" s="389"/>
      <c r="AA189" s="389"/>
      <c r="AB189" s="389"/>
      <c r="AC189" s="388"/>
      <c r="AD189" s="388"/>
      <c r="AE189" s="388"/>
      <c r="AF189" s="388"/>
      <c r="AG189" s="388"/>
      <c r="AH189" s="388"/>
      <c r="AI189" s="388"/>
      <c r="AJ189" s="388"/>
      <c r="AK189" s="388"/>
      <c r="AL189" s="388"/>
      <c r="AM189" s="388"/>
      <c r="AN189" s="388"/>
      <c r="AO189" s="388"/>
      <c r="AP189" s="388"/>
      <c r="AQ189" s="388"/>
      <c r="AR189" s="388"/>
      <c r="AS189" s="388"/>
      <c r="AT189" s="388"/>
      <c r="AU189" s="388"/>
      <c r="AV189" s="388"/>
      <c r="AW189" s="388"/>
      <c r="AX189" s="388"/>
      <c r="AY189" s="388"/>
      <c r="AZ189" s="388"/>
      <c r="BA189" s="388"/>
      <c r="BB189" s="388"/>
      <c r="BC189" s="388"/>
      <c r="BD189" s="388"/>
      <c r="BE189" s="388"/>
      <c r="BF189" s="388"/>
      <c r="BG189" s="388"/>
      <c r="BH189" s="388"/>
      <c r="BI189" s="388"/>
      <c r="BJ189" s="388"/>
      <c r="BK189" s="388"/>
      <c r="BL189" s="388"/>
      <c r="BM189" s="388"/>
      <c r="BN189" s="388"/>
      <c r="BO189" s="388"/>
    </row>
    <row r="190" spans="4:67" ht="12.75" customHeight="1">
      <c r="D190" s="389"/>
      <c r="E190" s="389"/>
      <c r="F190" s="389"/>
      <c r="G190" s="389"/>
      <c r="H190" s="388"/>
      <c r="I190" s="389"/>
      <c r="J190" s="389"/>
      <c r="K190" s="389"/>
      <c r="L190" s="389"/>
      <c r="M190" s="389"/>
      <c r="N190" s="389"/>
      <c r="O190" s="407"/>
      <c r="P190" s="389"/>
      <c r="Q190" s="407"/>
      <c r="R190" s="389"/>
      <c r="S190" s="389"/>
      <c r="T190" s="389"/>
      <c r="U190" s="389"/>
      <c r="V190" s="389"/>
      <c r="W190" s="389"/>
      <c r="X190" s="389"/>
      <c r="Y190" s="389"/>
      <c r="Z190" s="389"/>
      <c r="AA190" s="389"/>
      <c r="AB190" s="389"/>
      <c r="AC190" s="388"/>
      <c r="AD190" s="388"/>
      <c r="AE190" s="388"/>
      <c r="AF190" s="388"/>
      <c r="AG190" s="388"/>
      <c r="AH190" s="388"/>
      <c r="AI190" s="388"/>
      <c r="AJ190" s="388"/>
      <c r="AK190" s="388"/>
      <c r="AL190" s="388"/>
      <c r="AM190" s="388"/>
      <c r="AN190" s="388"/>
      <c r="AO190" s="388"/>
      <c r="AP190" s="388"/>
      <c r="AQ190" s="388"/>
      <c r="AR190" s="388"/>
      <c r="AS190" s="388"/>
      <c r="AT190" s="388"/>
      <c r="AU190" s="388"/>
      <c r="AV190" s="388"/>
      <c r="AW190" s="388"/>
      <c r="AX190" s="388"/>
      <c r="AY190" s="388"/>
      <c r="AZ190" s="388"/>
      <c r="BA190" s="388"/>
      <c r="BB190" s="388"/>
      <c r="BC190" s="388"/>
      <c r="BD190" s="388"/>
      <c r="BE190" s="388"/>
      <c r="BF190" s="388"/>
      <c r="BG190" s="388"/>
      <c r="BH190" s="388"/>
      <c r="BI190" s="388"/>
      <c r="BJ190" s="388"/>
      <c r="BK190" s="388"/>
      <c r="BL190" s="388"/>
      <c r="BM190" s="388"/>
      <c r="BN190" s="388"/>
      <c r="BO190" s="388"/>
    </row>
    <row r="191" spans="4:67" ht="12.75" customHeight="1">
      <c r="D191" s="389"/>
      <c r="E191" s="389"/>
      <c r="F191" s="389"/>
      <c r="G191" s="389"/>
      <c r="H191" s="388"/>
      <c r="I191" s="389"/>
      <c r="J191" s="389"/>
      <c r="K191" s="389"/>
      <c r="L191" s="389"/>
      <c r="M191" s="389"/>
      <c r="N191" s="389"/>
      <c r="O191" s="407"/>
      <c r="P191" s="389"/>
      <c r="Q191" s="407"/>
      <c r="R191" s="389"/>
      <c r="S191" s="389"/>
      <c r="T191" s="389"/>
      <c r="U191" s="389"/>
      <c r="V191" s="389"/>
      <c r="W191" s="389"/>
      <c r="X191" s="389"/>
      <c r="Y191" s="389"/>
      <c r="Z191" s="389"/>
      <c r="AA191" s="389"/>
      <c r="AB191" s="389"/>
      <c r="AC191" s="388"/>
      <c r="AD191" s="388"/>
      <c r="AE191" s="388"/>
      <c r="AF191" s="388"/>
      <c r="AG191" s="388"/>
      <c r="AH191" s="388"/>
      <c r="AI191" s="388"/>
      <c r="AJ191" s="388"/>
      <c r="AK191" s="388"/>
      <c r="AL191" s="388"/>
      <c r="AM191" s="388"/>
      <c r="AN191" s="388"/>
      <c r="AO191" s="388"/>
      <c r="AP191" s="388"/>
      <c r="AQ191" s="388"/>
      <c r="AR191" s="388"/>
      <c r="AS191" s="388"/>
      <c r="AT191" s="388"/>
      <c r="AU191" s="388"/>
      <c r="AV191" s="388"/>
      <c r="AW191" s="388"/>
      <c r="AX191" s="388"/>
      <c r="AY191" s="388"/>
      <c r="AZ191" s="388"/>
      <c r="BA191" s="388"/>
      <c r="BB191" s="388"/>
      <c r="BC191" s="388"/>
      <c r="BD191" s="388"/>
      <c r="BE191" s="388"/>
      <c r="BF191" s="388"/>
      <c r="BG191" s="388"/>
      <c r="BH191" s="388"/>
      <c r="BI191" s="388"/>
      <c r="BJ191" s="388"/>
      <c r="BK191" s="388"/>
      <c r="BL191" s="388"/>
      <c r="BM191" s="388"/>
      <c r="BN191" s="388"/>
      <c r="BO191" s="388"/>
    </row>
    <row r="192" spans="4:67" ht="12.75" customHeight="1">
      <c r="D192" s="389"/>
      <c r="E192" s="389"/>
      <c r="F192" s="389"/>
      <c r="G192" s="389"/>
      <c r="H192" s="388"/>
      <c r="I192" s="389"/>
      <c r="J192" s="389"/>
      <c r="K192" s="389"/>
      <c r="L192" s="389"/>
      <c r="M192" s="389"/>
      <c r="N192" s="389"/>
      <c r="O192" s="407"/>
      <c r="P192" s="389"/>
      <c r="Q192" s="407"/>
      <c r="R192" s="389"/>
      <c r="S192" s="389"/>
      <c r="T192" s="389"/>
      <c r="U192" s="389"/>
      <c r="V192" s="389"/>
      <c r="W192" s="389"/>
      <c r="X192" s="389"/>
      <c r="Y192" s="389"/>
      <c r="Z192" s="389"/>
      <c r="AA192" s="389"/>
      <c r="AB192" s="389"/>
      <c r="AC192" s="388"/>
      <c r="AD192" s="388"/>
      <c r="AE192" s="388"/>
      <c r="AF192" s="388"/>
      <c r="AG192" s="388"/>
      <c r="AH192" s="388"/>
      <c r="AI192" s="388"/>
      <c r="AJ192" s="388"/>
      <c r="AK192" s="388"/>
      <c r="AL192" s="388"/>
      <c r="AM192" s="388"/>
      <c r="AN192" s="388"/>
      <c r="AO192" s="388"/>
      <c r="AP192" s="388"/>
      <c r="AQ192" s="388"/>
      <c r="AR192" s="388"/>
      <c r="AS192" s="388"/>
      <c r="AT192" s="388"/>
      <c r="AU192" s="388"/>
      <c r="AV192" s="388"/>
      <c r="AW192" s="388"/>
      <c r="AX192" s="388"/>
      <c r="AY192" s="388"/>
      <c r="AZ192" s="388"/>
      <c r="BA192" s="388"/>
      <c r="BB192" s="388"/>
      <c r="BC192" s="388"/>
      <c r="BD192" s="388"/>
      <c r="BE192" s="388"/>
      <c r="BF192" s="388"/>
      <c r="BG192" s="388"/>
      <c r="BH192" s="388"/>
      <c r="BI192" s="388"/>
      <c r="BJ192" s="388"/>
      <c r="BK192" s="388"/>
      <c r="BL192" s="388"/>
      <c r="BM192" s="388"/>
      <c r="BN192" s="388"/>
      <c r="BO192" s="388"/>
    </row>
    <row r="193" spans="4:67" ht="12.75" customHeight="1">
      <c r="D193" s="389"/>
      <c r="E193" s="389"/>
      <c r="F193" s="389"/>
      <c r="G193" s="389"/>
      <c r="H193" s="388"/>
      <c r="I193" s="389"/>
      <c r="J193" s="389"/>
      <c r="K193" s="389"/>
      <c r="L193" s="389"/>
      <c r="M193" s="389"/>
      <c r="N193" s="389"/>
      <c r="O193" s="407"/>
      <c r="P193" s="389"/>
      <c r="Q193" s="407"/>
      <c r="R193" s="389"/>
      <c r="S193" s="389"/>
      <c r="T193" s="389"/>
      <c r="U193" s="389"/>
      <c r="V193" s="389"/>
      <c r="W193" s="389"/>
      <c r="X193" s="389"/>
      <c r="Y193" s="389"/>
      <c r="Z193" s="389"/>
      <c r="AA193" s="389"/>
      <c r="AB193" s="389"/>
      <c r="AC193" s="388"/>
      <c r="AD193" s="388"/>
      <c r="AE193" s="388"/>
      <c r="AF193" s="388"/>
      <c r="AG193" s="388"/>
      <c r="AH193" s="388"/>
      <c r="AI193" s="388"/>
      <c r="AJ193" s="388"/>
      <c r="AK193" s="388"/>
      <c r="AL193" s="388"/>
      <c r="AM193" s="388"/>
      <c r="AN193" s="388"/>
      <c r="AO193" s="388"/>
      <c r="AP193" s="388"/>
      <c r="AQ193" s="388"/>
      <c r="AR193" s="388"/>
      <c r="AS193" s="388"/>
      <c r="AT193" s="388"/>
      <c r="AU193" s="388"/>
      <c r="AV193" s="388"/>
      <c r="AW193" s="388"/>
      <c r="AX193" s="388"/>
      <c r="AY193" s="388"/>
      <c r="AZ193" s="388"/>
      <c r="BA193" s="388"/>
      <c r="BB193" s="388"/>
      <c r="BC193" s="388"/>
      <c r="BD193" s="388"/>
      <c r="BE193" s="388"/>
      <c r="BF193" s="388"/>
      <c r="BG193" s="388"/>
      <c r="BH193" s="388"/>
      <c r="BI193" s="388"/>
      <c r="BJ193" s="388"/>
      <c r="BK193" s="388"/>
      <c r="BL193" s="388"/>
      <c r="BM193" s="388"/>
      <c r="BN193" s="388"/>
      <c r="BO193" s="388"/>
    </row>
    <row r="194" spans="4:67" ht="12.75" customHeight="1">
      <c r="D194" s="389"/>
      <c r="E194" s="389"/>
      <c r="F194" s="389"/>
      <c r="G194" s="389"/>
      <c r="H194" s="388"/>
      <c r="I194" s="389"/>
      <c r="J194" s="389"/>
      <c r="K194" s="389"/>
      <c r="L194" s="389"/>
      <c r="M194" s="389"/>
      <c r="N194" s="389"/>
      <c r="O194" s="407"/>
      <c r="P194" s="389"/>
      <c r="Q194" s="407"/>
      <c r="R194" s="389"/>
      <c r="S194" s="389"/>
      <c r="T194" s="389"/>
      <c r="U194" s="389"/>
      <c r="V194" s="389"/>
      <c r="W194" s="389"/>
      <c r="X194" s="389"/>
      <c r="Y194" s="389"/>
      <c r="Z194" s="389"/>
      <c r="AA194" s="389"/>
      <c r="AB194" s="389"/>
      <c r="AC194" s="388"/>
      <c r="AD194" s="388"/>
      <c r="AE194" s="388"/>
      <c r="AF194" s="388"/>
      <c r="AG194" s="388"/>
      <c r="AH194" s="388"/>
      <c r="AI194" s="388"/>
      <c r="AJ194" s="388"/>
      <c r="AK194" s="388"/>
      <c r="AL194" s="388"/>
      <c r="AM194" s="388"/>
      <c r="AN194" s="388"/>
      <c r="AO194" s="388"/>
      <c r="AP194" s="388"/>
      <c r="AQ194" s="388"/>
      <c r="AR194" s="388"/>
      <c r="AS194" s="388"/>
      <c r="AT194" s="388"/>
      <c r="AU194" s="388"/>
      <c r="AV194" s="388"/>
      <c r="AW194" s="388"/>
      <c r="AX194" s="388"/>
      <c r="AY194" s="388"/>
      <c r="AZ194" s="388"/>
      <c r="BA194" s="388"/>
      <c r="BB194" s="388"/>
      <c r="BC194" s="388"/>
      <c r="BD194" s="388"/>
      <c r="BE194" s="388"/>
      <c r="BF194" s="388"/>
      <c r="BG194" s="388"/>
      <c r="BH194" s="388"/>
      <c r="BI194" s="388"/>
      <c r="BJ194" s="388"/>
      <c r="BK194" s="388"/>
      <c r="BL194" s="388"/>
      <c r="BM194" s="388"/>
      <c r="BN194" s="388"/>
      <c r="BO194" s="388"/>
    </row>
    <row r="195" spans="4:67" ht="12.75" customHeight="1">
      <c r="D195" s="389"/>
      <c r="E195" s="389"/>
      <c r="F195" s="389"/>
      <c r="G195" s="389"/>
      <c r="H195" s="388"/>
      <c r="I195" s="389"/>
      <c r="J195" s="389"/>
      <c r="K195" s="389"/>
      <c r="L195" s="389"/>
      <c r="M195" s="389"/>
      <c r="N195" s="389"/>
      <c r="O195" s="407"/>
      <c r="P195" s="389"/>
      <c r="Q195" s="407"/>
      <c r="R195" s="389"/>
      <c r="S195" s="389"/>
      <c r="T195" s="389"/>
      <c r="U195" s="389"/>
      <c r="V195" s="389"/>
      <c r="W195" s="389"/>
      <c r="X195" s="389"/>
      <c r="Y195" s="389"/>
      <c r="Z195" s="389"/>
      <c r="AA195" s="389"/>
      <c r="AB195" s="389"/>
      <c r="AC195" s="388"/>
      <c r="AD195" s="388"/>
      <c r="AE195" s="388"/>
      <c r="AF195" s="388"/>
      <c r="AG195" s="388"/>
      <c r="AH195" s="388"/>
      <c r="AI195" s="388"/>
      <c r="AJ195" s="388"/>
      <c r="AK195" s="388"/>
      <c r="AL195" s="388"/>
      <c r="AM195" s="388"/>
      <c r="AN195" s="388"/>
      <c r="AO195" s="388"/>
      <c r="AP195" s="388"/>
      <c r="AQ195" s="388"/>
      <c r="AR195" s="388"/>
      <c r="AS195" s="388"/>
      <c r="AT195" s="388"/>
      <c r="AU195" s="388"/>
      <c r="AV195" s="388"/>
      <c r="AW195" s="388"/>
      <c r="AX195" s="388"/>
      <c r="AY195" s="388"/>
      <c r="AZ195" s="388"/>
      <c r="BA195" s="388"/>
      <c r="BB195" s="388"/>
      <c r="BC195" s="388"/>
      <c r="BD195" s="388"/>
      <c r="BE195" s="388"/>
      <c r="BF195" s="388"/>
      <c r="BG195" s="388"/>
      <c r="BH195" s="388"/>
      <c r="BI195" s="388"/>
      <c r="BJ195" s="388"/>
      <c r="BK195" s="388"/>
      <c r="BL195" s="388"/>
      <c r="BM195" s="388"/>
      <c r="BN195" s="388"/>
      <c r="BO195" s="388"/>
    </row>
    <row r="196" spans="4:67" ht="12.75" customHeight="1">
      <c r="D196" s="389"/>
      <c r="E196" s="389"/>
      <c r="F196" s="389"/>
      <c r="G196" s="389"/>
      <c r="H196" s="388"/>
      <c r="I196" s="389"/>
      <c r="J196" s="389"/>
      <c r="K196" s="389"/>
      <c r="L196" s="389"/>
      <c r="M196" s="389"/>
      <c r="N196" s="389"/>
      <c r="O196" s="407"/>
      <c r="P196" s="389"/>
      <c r="Q196" s="407"/>
      <c r="R196" s="389"/>
      <c r="S196" s="389"/>
      <c r="T196" s="389"/>
      <c r="U196" s="389"/>
      <c r="V196" s="389"/>
      <c r="W196" s="389"/>
      <c r="X196" s="389"/>
      <c r="Y196" s="389"/>
      <c r="Z196" s="389"/>
      <c r="AA196" s="389"/>
      <c r="AB196" s="389"/>
      <c r="AC196" s="388"/>
      <c r="AD196" s="388"/>
      <c r="AE196" s="388"/>
      <c r="AF196" s="388"/>
      <c r="AG196" s="388"/>
      <c r="AH196" s="388"/>
      <c r="AI196" s="388"/>
      <c r="AJ196" s="388"/>
      <c r="AK196" s="388"/>
      <c r="AL196" s="388"/>
      <c r="AM196" s="388"/>
      <c r="AN196" s="388"/>
      <c r="AO196" s="388"/>
      <c r="AP196" s="388"/>
      <c r="AQ196" s="388"/>
      <c r="AR196" s="388"/>
      <c r="AS196" s="388"/>
      <c r="AT196" s="388"/>
      <c r="AU196" s="388"/>
      <c r="AV196" s="388"/>
      <c r="AW196" s="388"/>
      <c r="AX196" s="388"/>
      <c r="AY196" s="388"/>
      <c r="AZ196" s="388"/>
      <c r="BA196" s="388"/>
      <c r="BB196" s="388"/>
      <c r="BC196" s="388"/>
      <c r="BD196" s="388"/>
      <c r="BE196" s="388"/>
      <c r="BF196" s="388"/>
      <c r="BG196" s="388"/>
      <c r="BH196" s="388"/>
      <c r="BI196" s="388"/>
      <c r="BJ196" s="388"/>
      <c r="BK196" s="388"/>
      <c r="BL196" s="388"/>
      <c r="BM196" s="388"/>
      <c r="BN196" s="388"/>
      <c r="BO196" s="388"/>
    </row>
    <row r="197" spans="4:67" ht="12.75" customHeight="1">
      <c r="D197" s="389"/>
      <c r="E197" s="389"/>
      <c r="F197" s="389"/>
      <c r="G197" s="389"/>
      <c r="H197" s="388"/>
      <c r="I197" s="389"/>
      <c r="J197" s="389"/>
      <c r="K197" s="389"/>
      <c r="L197" s="389"/>
      <c r="M197" s="389"/>
      <c r="N197" s="389"/>
      <c r="O197" s="407"/>
      <c r="P197" s="389"/>
      <c r="Q197" s="407"/>
      <c r="R197" s="389"/>
      <c r="S197" s="389"/>
      <c r="T197" s="389"/>
      <c r="U197" s="389"/>
      <c r="V197" s="389"/>
      <c r="W197" s="389"/>
      <c r="X197" s="389"/>
      <c r="Y197" s="389"/>
      <c r="Z197" s="389"/>
      <c r="AA197" s="389"/>
      <c r="AB197" s="389"/>
      <c r="AC197" s="388"/>
      <c r="AD197" s="388"/>
      <c r="AE197" s="388"/>
      <c r="AF197" s="388"/>
      <c r="AG197" s="388"/>
      <c r="AH197" s="388"/>
      <c r="AI197" s="388"/>
      <c r="AJ197" s="388"/>
      <c r="AK197" s="388"/>
      <c r="AL197" s="388"/>
      <c r="AM197" s="388"/>
      <c r="AN197" s="388"/>
      <c r="AO197" s="388"/>
      <c r="AP197" s="388"/>
      <c r="AQ197" s="388"/>
      <c r="AR197" s="388"/>
      <c r="AS197" s="388"/>
      <c r="AT197" s="388"/>
      <c r="AU197" s="388"/>
      <c r="AV197" s="388"/>
      <c r="AW197" s="388"/>
      <c r="AX197" s="388"/>
      <c r="AY197" s="388"/>
      <c r="AZ197" s="388"/>
      <c r="BA197" s="388"/>
      <c r="BB197" s="388"/>
      <c r="BC197" s="388"/>
      <c r="BD197" s="388"/>
      <c r="BE197" s="388"/>
      <c r="BF197" s="388"/>
      <c r="BG197" s="388"/>
      <c r="BH197" s="388"/>
      <c r="BI197" s="388"/>
      <c r="BJ197" s="388"/>
      <c r="BK197" s="388"/>
      <c r="BL197" s="388"/>
      <c r="BM197" s="388"/>
      <c r="BN197" s="388"/>
      <c r="BO197" s="388"/>
    </row>
    <row r="198" spans="4:67" ht="12.75" customHeight="1">
      <c r="D198" s="389"/>
      <c r="E198" s="389"/>
      <c r="F198" s="389"/>
      <c r="G198" s="389"/>
      <c r="H198" s="388"/>
      <c r="I198" s="389"/>
      <c r="J198" s="389"/>
      <c r="K198" s="389"/>
      <c r="L198" s="389"/>
      <c r="M198" s="389"/>
      <c r="N198" s="389"/>
      <c r="O198" s="407"/>
      <c r="P198" s="389"/>
      <c r="Q198" s="407"/>
      <c r="R198" s="389"/>
      <c r="S198" s="389"/>
      <c r="T198" s="389"/>
      <c r="U198" s="389"/>
      <c r="V198" s="389"/>
      <c r="W198" s="389"/>
      <c r="X198" s="389"/>
      <c r="Y198" s="389"/>
      <c r="Z198" s="389"/>
      <c r="AA198" s="389"/>
      <c r="AB198" s="389"/>
      <c r="AC198" s="388"/>
      <c r="AD198" s="388"/>
      <c r="AE198" s="388"/>
      <c r="AF198" s="388"/>
      <c r="AG198" s="388"/>
      <c r="AH198" s="388"/>
      <c r="AI198" s="388"/>
      <c r="AJ198" s="388"/>
      <c r="AK198" s="388"/>
      <c r="AL198" s="388"/>
      <c r="AM198" s="388"/>
      <c r="AN198" s="388"/>
      <c r="AO198" s="388"/>
      <c r="AP198" s="388"/>
      <c r="AQ198" s="388"/>
      <c r="AR198" s="388"/>
      <c r="AS198" s="388"/>
      <c r="AT198" s="388"/>
      <c r="AU198" s="388"/>
      <c r="AV198" s="388"/>
      <c r="AW198" s="388"/>
      <c r="AX198" s="388"/>
      <c r="AY198" s="388"/>
      <c r="AZ198" s="388"/>
      <c r="BA198" s="388"/>
      <c r="BB198" s="388"/>
      <c r="BC198" s="388"/>
      <c r="BD198" s="388"/>
      <c r="BE198" s="388"/>
      <c r="BF198" s="388"/>
      <c r="BG198" s="388"/>
      <c r="BH198" s="388"/>
      <c r="BI198" s="388"/>
      <c r="BJ198" s="388"/>
      <c r="BK198" s="388"/>
      <c r="BL198" s="388"/>
      <c r="BM198" s="388"/>
      <c r="BN198" s="388"/>
      <c r="BO198" s="388"/>
    </row>
    <row r="199" spans="4:67" ht="12.75" customHeight="1">
      <c r="D199" s="389"/>
      <c r="E199" s="389"/>
      <c r="F199" s="389"/>
      <c r="G199" s="389"/>
      <c r="H199" s="388"/>
      <c r="I199" s="389"/>
      <c r="J199" s="389"/>
      <c r="K199" s="389"/>
      <c r="L199" s="389"/>
      <c r="M199" s="389"/>
      <c r="N199" s="389"/>
      <c r="O199" s="407"/>
      <c r="P199" s="389"/>
      <c r="Q199" s="407"/>
      <c r="R199" s="389"/>
      <c r="S199" s="389"/>
      <c r="T199" s="389"/>
      <c r="U199" s="389"/>
      <c r="V199" s="389"/>
      <c r="W199" s="389"/>
      <c r="X199" s="389"/>
      <c r="Y199" s="389"/>
      <c r="Z199" s="389"/>
      <c r="AA199" s="389"/>
      <c r="AB199" s="389"/>
      <c r="AC199" s="388"/>
      <c r="AD199" s="388"/>
      <c r="AE199" s="388"/>
      <c r="AF199" s="388"/>
      <c r="AG199" s="388"/>
      <c r="AH199" s="388"/>
      <c r="AI199" s="388"/>
      <c r="AJ199" s="388"/>
      <c r="AK199" s="388"/>
      <c r="AL199" s="388"/>
      <c r="AM199" s="388"/>
      <c r="AN199" s="388"/>
      <c r="AO199" s="388"/>
      <c r="AP199" s="388"/>
      <c r="AQ199" s="388"/>
      <c r="AR199" s="388"/>
      <c r="AS199" s="388"/>
      <c r="AT199" s="388"/>
      <c r="AU199" s="388"/>
      <c r="AV199" s="388"/>
      <c r="AW199" s="388"/>
      <c r="AX199" s="388"/>
      <c r="AY199" s="388"/>
      <c r="AZ199" s="388"/>
      <c r="BA199" s="388"/>
      <c r="BB199" s="388"/>
      <c r="BC199" s="388"/>
      <c r="BD199" s="388"/>
      <c r="BE199" s="388"/>
      <c r="BF199" s="388"/>
      <c r="BG199" s="388"/>
      <c r="BH199" s="388"/>
      <c r="BI199" s="388"/>
      <c r="BJ199" s="388"/>
      <c r="BK199" s="388"/>
      <c r="BL199" s="388"/>
      <c r="BM199" s="388"/>
      <c r="BN199" s="388"/>
      <c r="BO199" s="388"/>
    </row>
    <row r="200" spans="4:67" ht="12.75" customHeight="1">
      <c r="D200" s="389"/>
      <c r="E200" s="389"/>
      <c r="F200" s="389"/>
      <c r="G200" s="389"/>
      <c r="H200" s="388"/>
      <c r="I200" s="389"/>
      <c r="J200" s="389"/>
      <c r="K200" s="389"/>
      <c r="L200" s="389"/>
      <c r="M200" s="389"/>
      <c r="N200" s="389"/>
      <c r="O200" s="407"/>
      <c r="P200" s="389"/>
      <c r="Q200" s="407"/>
      <c r="R200" s="389"/>
      <c r="S200" s="389"/>
      <c r="T200" s="389"/>
      <c r="U200" s="389"/>
      <c r="V200" s="389"/>
      <c r="W200" s="389"/>
      <c r="X200" s="389"/>
      <c r="Y200" s="389"/>
      <c r="Z200" s="389"/>
      <c r="AA200" s="389"/>
      <c r="AB200" s="389"/>
      <c r="AC200" s="388"/>
      <c r="AD200" s="388"/>
      <c r="AE200" s="388"/>
      <c r="AF200" s="388"/>
      <c r="AG200" s="388"/>
      <c r="AH200" s="388"/>
      <c r="AI200" s="388"/>
      <c r="AJ200" s="388"/>
      <c r="AK200" s="388"/>
      <c r="AL200" s="388"/>
      <c r="AM200" s="388"/>
      <c r="AN200" s="388"/>
      <c r="AO200" s="388"/>
      <c r="AP200" s="388"/>
      <c r="AQ200" s="388"/>
      <c r="AR200" s="388"/>
      <c r="AS200" s="388"/>
      <c r="AT200" s="388"/>
      <c r="AU200" s="388"/>
      <c r="AV200" s="388"/>
      <c r="AW200" s="388"/>
      <c r="AX200" s="388"/>
      <c r="AY200" s="388"/>
      <c r="AZ200" s="388"/>
      <c r="BA200" s="388"/>
      <c r="BB200" s="388"/>
      <c r="BC200" s="388"/>
      <c r="BD200" s="388"/>
      <c r="BE200" s="388"/>
      <c r="BF200" s="388"/>
      <c r="BG200" s="388"/>
      <c r="BH200" s="388"/>
      <c r="BI200" s="388"/>
      <c r="BJ200" s="388"/>
      <c r="BK200" s="388"/>
      <c r="BL200" s="388"/>
      <c r="BM200" s="388"/>
      <c r="BN200" s="388"/>
      <c r="BO200" s="388"/>
    </row>
    <row r="201" spans="4:67" ht="12.75" customHeight="1">
      <c r="D201" s="389"/>
      <c r="E201" s="389"/>
      <c r="F201" s="389"/>
      <c r="G201" s="389"/>
      <c r="H201" s="388"/>
      <c r="I201" s="389"/>
      <c r="J201" s="389"/>
      <c r="K201" s="389"/>
      <c r="L201" s="389"/>
      <c r="M201" s="389"/>
      <c r="N201" s="389"/>
      <c r="O201" s="407"/>
      <c r="P201" s="389"/>
      <c r="Q201" s="407"/>
      <c r="R201" s="389"/>
      <c r="S201" s="389"/>
      <c r="T201" s="389"/>
      <c r="U201" s="389"/>
      <c r="V201" s="389"/>
      <c r="W201" s="389"/>
      <c r="X201" s="389"/>
      <c r="Y201" s="389"/>
      <c r="Z201" s="389"/>
      <c r="AA201" s="389"/>
      <c r="AB201" s="389"/>
      <c r="AC201" s="388"/>
      <c r="AD201" s="388"/>
      <c r="AE201" s="388"/>
      <c r="AF201" s="388"/>
      <c r="AG201" s="388"/>
      <c r="AH201" s="388"/>
      <c r="AI201" s="388"/>
      <c r="AJ201" s="388"/>
      <c r="AK201" s="388"/>
      <c r="AL201" s="388"/>
      <c r="AM201" s="388"/>
      <c r="AN201" s="388"/>
      <c r="AO201" s="388"/>
      <c r="AP201" s="388"/>
      <c r="AQ201" s="388"/>
      <c r="AR201" s="388"/>
      <c r="AS201" s="388"/>
      <c r="AT201" s="388"/>
      <c r="AU201" s="388"/>
      <c r="AV201" s="388"/>
      <c r="AW201" s="388"/>
      <c r="AX201" s="388"/>
      <c r="AY201" s="388"/>
      <c r="AZ201" s="388"/>
      <c r="BA201" s="388"/>
      <c r="BB201" s="388"/>
      <c r="BC201" s="388"/>
      <c r="BD201" s="388"/>
      <c r="BE201" s="388"/>
      <c r="BF201" s="388"/>
      <c r="BG201" s="388"/>
      <c r="BH201" s="388"/>
      <c r="BI201" s="388"/>
      <c r="BJ201" s="388"/>
      <c r="BK201" s="388"/>
      <c r="BL201" s="388"/>
      <c r="BM201" s="388"/>
      <c r="BN201" s="388"/>
      <c r="BO201" s="388"/>
    </row>
    <row r="202" spans="4:67" ht="12.75" customHeight="1">
      <c r="D202" s="389"/>
      <c r="E202" s="389"/>
      <c r="F202" s="389"/>
      <c r="G202" s="389"/>
      <c r="H202" s="388"/>
      <c r="I202" s="389"/>
      <c r="J202" s="389"/>
      <c r="K202" s="389"/>
      <c r="L202" s="389"/>
      <c r="M202" s="389"/>
      <c r="N202" s="389"/>
      <c r="O202" s="407"/>
      <c r="P202" s="389"/>
      <c r="Q202" s="407"/>
      <c r="R202" s="389"/>
      <c r="S202" s="389"/>
      <c r="T202" s="389"/>
      <c r="U202" s="389"/>
      <c r="V202" s="389"/>
      <c r="W202" s="389"/>
      <c r="X202" s="389"/>
      <c r="Y202" s="389"/>
      <c r="Z202" s="389"/>
      <c r="AA202" s="389"/>
      <c r="AB202" s="389"/>
      <c r="AC202" s="388"/>
      <c r="AD202" s="388"/>
      <c r="AE202" s="388"/>
      <c r="AF202" s="388"/>
      <c r="AG202" s="388"/>
      <c r="AH202" s="388"/>
      <c r="AI202" s="388"/>
      <c r="AJ202" s="388"/>
      <c r="AK202" s="388"/>
      <c r="AL202" s="388"/>
      <c r="AM202" s="388"/>
      <c r="AN202" s="388"/>
      <c r="AO202" s="388"/>
      <c r="AP202" s="388"/>
      <c r="AQ202" s="388"/>
      <c r="AR202" s="388"/>
      <c r="AS202" s="388"/>
      <c r="AT202" s="388"/>
      <c r="AU202" s="388"/>
      <c r="AV202" s="388"/>
      <c r="AW202" s="388"/>
      <c r="AX202" s="388"/>
      <c r="AY202" s="388"/>
      <c r="AZ202" s="388"/>
      <c r="BA202" s="388"/>
      <c r="BB202" s="388"/>
      <c r="BC202" s="388"/>
      <c r="BD202" s="388"/>
      <c r="BE202" s="388"/>
      <c r="BF202" s="388"/>
      <c r="BG202" s="388"/>
      <c r="BH202" s="388"/>
      <c r="BI202" s="388"/>
      <c r="BJ202" s="388"/>
      <c r="BK202" s="388"/>
      <c r="BL202" s="388"/>
      <c r="BM202" s="388"/>
      <c r="BN202" s="388"/>
      <c r="BO202" s="388"/>
    </row>
    <row r="203" spans="4:67" ht="12.75" customHeight="1">
      <c r="D203" s="389"/>
      <c r="E203" s="389"/>
      <c r="F203" s="389"/>
      <c r="G203" s="389"/>
      <c r="H203" s="388"/>
      <c r="I203" s="389"/>
      <c r="J203" s="389"/>
      <c r="K203" s="389"/>
      <c r="L203" s="389"/>
      <c r="M203" s="389"/>
      <c r="N203" s="389"/>
      <c r="O203" s="407"/>
      <c r="P203" s="389"/>
      <c r="Q203" s="407"/>
      <c r="R203" s="389"/>
      <c r="S203" s="389"/>
      <c r="T203" s="389"/>
      <c r="U203" s="389"/>
      <c r="V203" s="389"/>
      <c r="W203" s="389"/>
      <c r="X203" s="389"/>
      <c r="Y203" s="389"/>
      <c r="Z203" s="389"/>
      <c r="AA203" s="389"/>
      <c r="AB203" s="389"/>
      <c r="AC203" s="388"/>
      <c r="AD203" s="388"/>
      <c r="AE203" s="388"/>
      <c r="AF203" s="388"/>
      <c r="AG203" s="388"/>
      <c r="AH203" s="388"/>
      <c r="AI203" s="388"/>
      <c r="AJ203" s="388"/>
      <c r="AK203" s="388"/>
      <c r="AL203" s="388"/>
      <c r="AM203" s="388"/>
      <c r="AN203" s="388"/>
      <c r="AO203" s="388"/>
      <c r="AP203" s="388"/>
      <c r="AQ203" s="388"/>
      <c r="AR203" s="388"/>
      <c r="AS203" s="388"/>
      <c r="AT203" s="388"/>
      <c r="AU203" s="388"/>
      <c r="AV203" s="388"/>
      <c r="AW203" s="388"/>
      <c r="AX203" s="388"/>
      <c r="AY203" s="388"/>
      <c r="AZ203" s="388"/>
      <c r="BA203" s="388"/>
      <c r="BB203" s="388"/>
      <c r="BC203" s="388"/>
      <c r="BD203" s="388"/>
      <c r="BE203" s="388"/>
      <c r="BF203" s="388"/>
      <c r="BG203" s="388"/>
      <c r="BH203" s="388"/>
      <c r="BI203" s="388"/>
      <c r="BJ203" s="388"/>
      <c r="BK203" s="388"/>
      <c r="BL203" s="388"/>
      <c r="BM203" s="388"/>
      <c r="BN203" s="388"/>
      <c r="BO203" s="388"/>
    </row>
    <row r="204" spans="4:67" ht="12.75" customHeight="1">
      <c r="D204" s="389"/>
      <c r="E204" s="389"/>
      <c r="F204" s="389"/>
      <c r="G204" s="389"/>
      <c r="H204" s="388"/>
      <c r="I204" s="389"/>
      <c r="J204" s="389"/>
      <c r="K204" s="389"/>
      <c r="L204" s="389"/>
      <c r="M204" s="389"/>
      <c r="N204" s="389"/>
      <c r="O204" s="407"/>
      <c r="P204" s="389"/>
      <c r="Q204" s="407"/>
      <c r="R204" s="389"/>
      <c r="S204" s="389"/>
      <c r="T204" s="389"/>
      <c r="U204" s="389"/>
      <c r="V204" s="389"/>
      <c r="W204" s="389"/>
      <c r="X204" s="389"/>
      <c r="Y204" s="389"/>
      <c r="Z204" s="389"/>
      <c r="AA204" s="389"/>
      <c r="AB204" s="389"/>
      <c r="AC204" s="388"/>
      <c r="AD204" s="388"/>
      <c r="AE204" s="388"/>
      <c r="AF204" s="388"/>
      <c r="AG204" s="388"/>
      <c r="AH204" s="388"/>
      <c r="AI204" s="388"/>
      <c r="AJ204" s="388"/>
      <c r="AK204" s="388"/>
      <c r="AL204" s="388"/>
      <c r="AM204" s="388"/>
      <c r="AN204" s="388"/>
      <c r="AO204" s="388"/>
      <c r="AP204" s="388"/>
      <c r="AQ204" s="388"/>
      <c r="AR204" s="388"/>
      <c r="AS204" s="388"/>
      <c r="AT204" s="388"/>
      <c r="AU204" s="388"/>
      <c r="AV204" s="388"/>
      <c r="AW204" s="388"/>
      <c r="AX204" s="388"/>
      <c r="AY204" s="388"/>
      <c r="AZ204" s="388"/>
      <c r="BA204" s="388"/>
      <c r="BB204" s="388"/>
      <c r="BC204" s="388"/>
      <c r="BD204" s="388"/>
      <c r="BE204" s="388"/>
      <c r="BF204" s="388"/>
      <c r="BG204" s="388"/>
      <c r="BH204" s="388"/>
      <c r="BI204" s="388"/>
      <c r="BJ204" s="388"/>
      <c r="BK204" s="388"/>
      <c r="BL204" s="388"/>
      <c r="BM204" s="388"/>
      <c r="BN204" s="388"/>
      <c r="BO204" s="388"/>
    </row>
    <row r="205" spans="4:67" ht="12.75" customHeight="1">
      <c r="D205" s="389"/>
      <c r="E205" s="389"/>
      <c r="F205" s="389"/>
      <c r="G205" s="389"/>
      <c r="H205" s="388"/>
      <c r="I205" s="389"/>
      <c r="J205" s="389"/>
      <c r="K205" s="389"/>
      <c r="L205" s="389"/>
      <c r="M205" s="389"/>
      <c r="N205" s="389"/>
      <c r="O205" s="407"/>
      <c r="P205" s="389"/>
      <c r="Q205" s="407"/>
      <c r="R205" s="389"/>
      <c r="S205" s="389"/>
      <c r="T205" s="389"/>
      <c r="U205" s="389"/>
      <c r="V205" s="389"/>
      <c r="W205" s="389"/>
      <c r="X205" s="389"/>
      <c r="Y205" s="389"/>
      <c r="Z205" s="389"/>
      <c r="AA205" s="389"/>
      <c r="AB205" s="389"/>
      <c r="AC205" s="388"/>
      <c r="AD205" s="388"/>
      <c r="AE205" s="388"/>
      <c r="AF205" s="388"/>
      <c r="AG205" s="388"/>
      <c r="AH205" s="388"/>
      <c r="AI205" s="388"/>
      <c r="AJ205" s="388"/>
      <c r="AK205" s="388"/>
      <c r="AL205" s="388"/>
      <c r="AM205" s="388"/>
      <c r="AN205" s="388"/>
      <c r="AO205" s="388"/>
      <c r="AP205" s="388"/>
      <c r="AQ205" s="388"/>
      <c r="AR205" s="388"/>
      <c r="AS205" s="388"/>
      <c r="AT205" s="388"/>
      <c r="AU205" s="388"/>
      <c r="AV205" s="388"/>
      <c r="AW205" s="388"/>
      <c r="AX205" s="388"/>
      <c r="AY205" s="388"/>
      <c r="AZ205" s="388"/>
      <c r="BA205" s="388"/>
      <c r="BB205" s="388"/>
      <c r="BC205" s="388"/>
      <c r="BD205" s="388"/>
      <c r="BE205" s="388"/>
      <c r="BF205" s="388"/>
      <c r="BG205" s="388"/>
      <c r="BH205" s="388"/>
      <c r="BI205" s="388"/>
      <c r="BJ205" s="388"/>
      <c r="BK205" s="388"/>
      <c r="BL205" s="388"/>
      <c r="BM205" s="388"/>
      <c r="BN205" s="388"/>
      <c r="BO205" s="388"/>
    </row>
    <row r="206" spans="4:67" ht="12.75" customHeight="1">
      <c r="D206" s="389"/>
      <c r="E206" s="389"/>
      <c r="F206" s="389"/>
      <c r="G206" s="389"/>
      <c r="H206" s="388"/>
      <c r="I206" s="389"/>
      <c r="J206" s="389"/>
      <c r="K206" s="389"/>
      <c r="L206" s="389"/>
      <c r="M206" s="389"/>
      <c r="N206" s="389"/>
      <c r="O206" s="407"/>
      <c r="P206" s="389"/>
      <c r="Q206" s="407"/>
      <c r="R206" s="389"/>
      <c r="S206" s="389"/>
      <c r="T206" s="389"/>
      <c r="U206" s="389"/>
      <c r="V206" s="389"/>
      <c r="W206" s="389"/>
      <c r="X206" s="389"/>
      <c r="Y206" s="389"/>
      <c r="Z206" s="389"/>
      <c r="AA206" s="389"/>
      <c r="AB206" s="389"/>
      <c r="AC206" s="388"/>
      <c r="AD206" s="388"/>
      <c r="AE206" s="388"/>
      <c r="AF206" s="388"/>
      <c r="AG206" s="388"/>
      <c r="AH206" s="388"/>
      <c r="AI206" s="388"/>
      <c r="AJ206" s="388"/>
      <c r="AK206" s="388"/>
      <c r="AL206" s="388"/>
      <c r="AM206" s="388"/>
      <c r="AN206" s="388"/>
      <c r="AO206" s="388"/>
      <c r="AP206" s="388"/>
      <c r="AQ206" s="388"/>
      <c r="AR206" s="388"/>
      <c r="AS206" s="388"/>
      <c r="AT206" s="388"/>
      <c r="AU206" s="388"/>
      <c r="AV206" s="388"/>
      <c r="AW206" s="388"/>
      <c r="AX206" s="388"/>
      <c r="AY206" s="388"/>
      <c r="AZ206" s="388"/>
      <c r="BA206" s="388"/>
      <c r="BB206" s="388"/>
      <c r="BC206" s="388"/>
      <c r="BD206" s="388"/>
      <c r="BE206" s="388"/>
      <c r="BF206" s="388"/>
      <c r="BG206" s="388"/>
      <c r="BH206" s="388"/>
      <c r="BI206" s="388"/>
      <c r="BJ206" s="388"/>
      <c r="BK206" s="388"/>
      <c r="BL206" s="388"/>
      <c r="BM206" s="388"/>
      <c r="BN206" s="388"/>
      <c r="BO206" s="388"/>
    </row>
    <row r="207" spans="4:67" ht="12.75" customHeight="1">
      <c r="D207" s="389"/>
      <c r="E207" s="389"/>
      <c r="F207" s="389"/>
      <c r="G207" s="389"/>
      <c r="H207" s="388"/>
      <c r="I207" s="389"/>
      <c r="J207" s="389"/>
      <c r="K207" s="389"/>
      <c r="L207" s="389"/>
      <c r="M207" s="389"/>
      <c r="N207" s="389"/>
      <c r="O207" s="407"/>
      <c r="P207" s="389"/>
      <c r="Q207" s="407"/>
      <c r="R207" s="389"/>
      <c r="S207" s="389"/>
      <c r="T207" s="389"/>
      <c r="U207" s="389"/>
      <c r="V207" s="389"/>
      <c r="W207" s="389"/>
      <c r="X207" s="389"/>
      <c r="Y207" s="389"/>
      <c r="Z207" s="389"/>
      <c r="AA207" s="389"/>
      <c r="AB207" s="389"/>
      <c r="AC207" s="388"/>
      <c r="AD207" s="388"/>
      <c r="AE207" s="388"/>
      <c r="AF207" s="388"/>
      <c r="AG207" s="388"/>
      <c r="AH207" s="388"/>
      <c r="AI207" s="388"/>
      <c r="AJ207" s="388"/>
      <c r="AK207" s="388"/>
      <c r="AL207" s="388"/>
      <c r="AM207" s="388"/>
      <c r="AN207" s="388"/>
      <c r="AO207" s="388"/>
      <c r="AP207" s="388"/>
      <c r="AQ207" s="388"/>
      <c r="AR207" s="388"/>
      <c r="AS207" s="388"/>
      <c r="AT207" s="388"/>
      <c r="AU207" s="388"/>
      <c r="AV207" s="388"/>
      <c r="AW207" s="388"/>
      <c r="AX207" s="388"/>
      <c r="AY207" s="388"/>
      <c r="AZ207" s="388"/>
      <c r="BA207" s="388"/>
      <c r="BB207" s="388"/>
      <c r="BC207" s="388"/>
      <c r="BD207" s="388"/>
      <c r="BE207" s="388"/>
      <c r="BF207" s="388"/>
      <c r="BG207" s="388"/>
      <c r="BH207" s="388"/>
      <c r="BI207" s="388"/>
      <c r="BJ207" s="388"/>
      <c r="BK207" s="388"/>
      <c r="BL207" s="388"/>
      <c r="BM207" s="388"/>
      <c r="BN207" s="388"/>
      <c r="BO207" s="388"/>
    </row>
    <row r="208" spans="4:67" ht="12.75" customHeight="1">
      <c r="D208" s="389"/>
      <c r="E208" s="389"/>
      <c r="F208" s="389"/>
      <c r="G208" s="389"/>
      <c r="H208" s="388"/>
      <c r="I208" s="389"/>
      <c r="J208" s="389"/>
      <c r="K208" s="389"/>
      <c r="L208" s="389"/>
      <c r="M208" s="389"/>
      <c r="N208" s="389"/>
      <c r="O208" s="407"/>
      <c r="P208" s="389"/>
      <c r="Q208" s="407"/>
      <c r="R208" s="389"/>
      <c r="S208" s="389"/>
      <c r="T208" s="389"/>
      <c r="U208" s="389"/>
      <c r="V208" s="389"/>
      <c r="W208" s="389"/>
      <c r="X208" s="389"/>
      <c r="Y208" s="389"/>
      <c r="Z208" s="389"/>
      <c r="AA208" s="389"/>
      <c r="AB208" s="389"/>
      <c r="AC208" s="388"/>
      <c r="AD208" s="388"/>
      <c r="AE208" s="388"/>
      <c r="AF208" s="388"/>
      <c r="AG208" s="388"/>
      <c r="AH208" s="388"/>
      <c r="AI208" s="388"/>
      <c r="AJ208" s="388"/>
      <c r="AK208" s="388"/>
      <c r="AL208" s="388"/>
      <c r="AM208" s="388"/>
      <c r="AN208" s="388"/>
      <c r="AO208" s="388"/>
      <c r="AP208" s="388"/>
      <c r="AQ208" s="388"/>
      <c r="AR208" s="388"/>
      <c r="AS208" s="388"/>
      <c r="AT208" s="388"/>
      <c r="AU208" s="388"/>
      <c r="AV208" s="388"/>
      <c r="AW208" s="388"/>
      <c r="AX208" s="388"/>
      <c r="AY208" s="388"/>
      <c r="AZ208" s="388"/>
      <c r="BA208" s="388"/>
      <c r="BB208" s="388"/>
      <c r="BC208" s="388"/>
      <c r="BD208" s="388"/>
      <c r="BE208" s="388"/>
      <c r="BF208" s="388"/>
      <c r="BG208" s="388"/>
      <c r="BH208" s="388"/>
      <c r="BI208" s="388"/>
      <c r="BJ208" s="388"/>
      <c r="BK208" s="388"/>
      <c r="BL208" s="388"/>
      <c r="BM208" s="388"/>
      <c r="BN208" s="388"/>
      <c r="BO208" s="388"/>
    </row>
    <row r="209" spans="4:67" ht="12.75" customHeight="1">
      <c r="D209" s="389"/>
      <c r="E209" s="389"/>
      <c r="F209" s="389"/>
      <c r="G209" s="389"/>
      <c r="H209" s="388"/>
      <c r="I209" s="389"/>
      <c r="J209" s="389"/>
      <c r="K209" s="389"/>
      <c r="L209" s="389"/>
      <c r="M209" s="389"/>
      <c r="N209" s="389"/>
      <c r="O209" s="407"/>
      <c r="P209" s="389"/>
      <c r="Q209" s="407"/>
      <c r="R209" s="389"/>
      <c r="S209" s="389"/>
      <c r="T209" s="389"/>
      <c r="U209" s="389"/>
      <c r="V209" s="389"/>
      <c r="W209" s="389"/>
      <c r="X209" s="389"/>
      <c r="Y209" s="389"/>
      <c r="Z209" s="389"/>
      <c r="AA209" s="389"/>
      <c r="AB209" s="389"/>
      <c r="AC209" s="388"/>
      <c r="AD209" s="388"/>
      <c r="AE209" s="388"/>
      <c r="AF209" s="388"/>
      <c r="AG209" s="388"/>
      <c r="AH209" s="388"/>
      <c r="AI209" s="388"/>
      <c r="AJ209" s="388"/>
      <c r="AK209" s="388"/>
      <c r="AL209" s="388"/>
      <c r="AM209" s="388"/>
      <c r="AN209" s="388"/>
      <c r="AO209" s="388"/>
      <c r="AP209" s="388"/>
      <c r="AQ209" s="388"/>
      <c r="AR209" s="388"/>
      <c r="AS209" s="388"/>
      <c r="AT209" s="388"/>
      <c r="AU209" s="388"/>
      <c r="AV209" s="388"/>
      <c r="AW209" s="388"/>
      <c r="AX209" s="388"/>
      <c r="AY209" s="388"/>
      <c r="AZ209" s="388"/>
      <c r="BA209" s="388"/>
      <c r="BB209" s="388"/>
      <c r="BC209" s="388"/>
      <c r="BD209" s="388"/>
      <c r="BE209" s="388"/>
      <c r="BF209" s="388"/>
      <c r="BG209" s="388"/>
      <c r="BH209" s="388"/>
      <c r="BI209" s="388"/>
      <c r="BJ209" s="388"/>
      <c r="BK209" s="388"/>
      <c r="BL209" s="388"/>
      <c r="BM209" s="388"/>
      <c r="BN209" s="388"/>
      <c r="BO209" s="388"/>
    </row>
    <row r="210" spans="4:67" ht="12.75" customHeight="1">
      <c r="D210" s="389"/>
      <c r="E210" s="389"/>
      <c r="F210" s="389"/>
      <c r="G210" s="389"/>
      <c r="H210" s="388"/>
      <c r="I210" s="389"/>
      <c r="J210" s="389"/>
      <c r="K210" s="389"/>
      <c r="L210" s="389"/>
      <c r="M210" s="389"/>
      <c r="N210" s="389"/>
      <c r="O210" s="407"/>
      <c r="P210" s="389"/>
      <c r="Q210" s="407"/>
      <c r="R210" s="389"/>
      <c r="S210" s="389"/>
      <c r="T210" s="389"/>
      <c r="U210" s="389"/>
      <c r="V210" s="389"/>
      <c r="W210" s="389"/>
      <c r="X210" s="389"/>
      <c r="Y210" s="389"/>
      <c r="Z210" s="389"/>
      <c r="AA210" s="389"/>
      <c r="AB210" s="389"/>
      <c r="AC210" s="388"/>
      <c r="AD210" s="388"/>
      <c r="AE210" s="388"/>
      <c r="AF210" s="388"/>
      <c r="AG210" s="388"/>
      <c r="AH210" s="388"/>
      <c r="AI210" s="388"/>
      <c r="AJ210" s="388"/>
      <c r="AK210" s="388"/>
      <c r="AL210" s="388"/>
      <c r="AM210" s="388"/>
      <c r="AN210" s="388"/>
      <c r="AO210" s="388"/>
      <c r="AP210" s="388"/>
      <c r="AQ210" s="388"/>
      <c r="AR210" s="388"/>
      <c r="AS210" s="388"/>
      <c r="AT210" s="388"/>
      <c r="AU210" s="388"/>
      <c r="AV210" s="388"/>
      <c r="AW210" s="388"/>
      <c r="AX210" s="388"/>
      <c r="AY210" s="388"/>
      <c r="AZ210" s="388"/>
      <c r="BA210" s="388"/>
      <c r="BB210" s="388"/>
      <c r="BC210" s="388"/>
      <c r="BD210" s="388"/>
      <c r="BE210" s="388"/>
      <c r="BF210" s="388"/>
      <c r="BG210" s="388"/>
      <c r="BH210" s="388"/>
      <c r="BI210" s="388"/>
      <c r="BJ210" s="388"/>
      <c r="BK210" s="388"/>
      <c r="BL210" s="388"/>
      <c r="BM210" s="388"/>
      <c r="BN210" s="388"/>
      <c r="BO210" s="388"/>
    </row>
    <row r="211" spans="4:67" ht="12.75" customHeight="1">
      <c r="D211" s="389"/>
      <c r="E211" s="389"/>
      <c r="F211" s="389"/>
      <c r="G211" s="389"/>
      <c r="H211" s="388"/>
      <c r="I211" s="389"/>
      <c r="J211" s="389"/>
      <c r="K211" s="389"/>
      <c r="L211" s="389"/>
      <c r="M211" s="389"/>
      <c r="N211" s="389"/>
      <c r="O211" s="407"/>
      <c r="P211" s="389"/>
      <c r="Q211" s="407"/>
      <c r="R211" s="389"/>
      <c r="S211" s="389"/>
      <c r="T211" s="389"/>
      <c r="U211" s="389"/>
      <c r="V211" s="389"/>
      <c r="W211" s="389"/>
      <c r="X211" s="389"/>
      <c r="Y211" s="389"/>
      <c r="Z211" s="389"/>
      <c r="AA211" s="389"/>
      <c r="AB211" s="389"/>
      <c r="AC211" s="388"/>
      <c r="AD211" s="388"/>
      <c r="AE211" s="388"/>
      <c r="AF211" s="388"/>
      <c r="AG211" s="388"/>
      <c r="AH211" s="388"/>
      <c r="AI211" s="388"/>
      <c r="AJ211" s="388"/>
      <c r="AK211" s="388"/>
      <c r="AL211" s="388"/>
      <c r="AM211" s="388"/>
      <c r="AN211" s="388"/>
      <c r="AO211" s="388"/>
      <c r="AP211" s="388"/>
      <c r="AQ211" s="388"/>
      <c r="AR211" s="388"/>
      <c r="AS211" s="388"/>
      <c r="AT211" s="388"/>
      <c r="AU211" s="388"/>
      <c r="AV211" s="388"/>
      <c r="AW211" s="388"/>
      <c r="AX211" s="388"/>
      <c r="AY211" s="388"/>
      <c r="AZ211" s="388"/>
      <c r="BA211" s="388"/>
      <c r="BB211" s="388"/>
      <c r="BC211" s="388"/>
      <c r="BD211" s="388"/>
      <c r="BE211" s="388"/>
      <c r="BF211" s="388"/>
      <c r="BG211" s="388"/>
      <c r="BH211" s="388"/>
      <c r="BI211" s="388"/>
      <c r="BJ211" s="388"/>
      <c r="BK211" s="388"/>
      <c r="BL211" s="388"/>
      <c r="BM211" s="388"/>
      <c r="BN211" s="388"/>
      <c r="BO211" s="388"/>
    </row>
    <row r="212" spans="4:67" ht="12.75" customHeight="1">
      <c r="D212" s="389"/>
      <c r="E212" s="389"/>
      <c r="F212" s="389"/>
      <c r="G212" s="389"/>
      <c r="H212" s="388"/>
      <c r="I212" s="389"/>
      <c r="J212" s="389"/>
      <c r="K212" s="389"/>
      <c r="L212" s="389"/>
      <c r="M212" s="389"/>
      <c r="N212" s="389"/>
      <c r="O212" s="407"/>
      <c r="P212" s="389"/>
      <c r="Q212" s="407"/>
      <c r="R212" s="389"/>
      <c r="S212" s="389"/>
      <c r="T212" s="389"/>
      <c r="U212" s="389"/>
      <c r="V212" s="389"/>
      <c r="W212" s="389"/>
      <c r="X212" s="389"/>
      <c r="Y212" s="389"/>
      <c r="Z212" s="389"/>
      <c r="AA212" s="389"/>
      <c r="AB212" s="389"/>
      <c r="AC212" s="388"/>
      <c r="AD212" s="388"/>
      <c r="AE212" s="388"/>
      <c r="AF212" s="388"/>
      <c r="AG212" s="388"/>
      <c r="AH212" s="388"/>
      <c r="AI212" s="388"/>
      <c r="AJ212" s="388"/>
      <c r="AK212" s="388"/>
      <c r="AL212" s="388"/>
      <c r="AM212" s="388"/>
      <c r="AN212" s="388"/>
      <c r="AO212" s="388"/>
      <c r="AP212" s="388"/>
      <c r="AQ212" s="388"/>
      <c r="AR212" s="388"/>
      <c r="AS212" s="388"/>
      <c r="AT212" s="388"/>
      <c r="AU212" s="388"/>
      <c r="AV212" s="388"/>
      <c r="AW212" s="388"/>
      <c r="AX212" s="388"/>
      <c r="AY212" s="388"/>
      <c r="AZ212" s="388"/>
      <c r="BA212" s="388"/>
      <c r="BB212" s="388"/>
      <c r="BC212" s="388"/>
      <c r="BD212" s="388"/>
      <c r="BE212" s="388"/>
      <c r="BF212" s="388"/>
      <c r="BG212" s="388"/>
      <c r="BH212" s="388"/>
      <c r="BI212" s="388"/>
      <c r="BJ212" s="388"/>
      <c r="BK212" s="388"/>
      <c r="BL212" s="388"/>
      <c r="BM212" s="388"/>
      <c r="BN212" s="388"/>
      <c r="BO212" s="388"/>
    </row>
    <row r="213" spans="4:67" ht="12.75" customHeight="1">
      <c r="D213" s="389"/>
      <c r="E213" s="389"/>
      <c r="F213" s="389"/>
      <c r="G213" s="389"/>
      <c r="H213" s="388"/>
      <c r="I213" s="389"/>
      <c r="J213" s="389"/>
      <c r="K213" s="389"/>
      <c r="L213" s="389"/>
      <c r="M213" s="389"/>
      <c r="N213" s="389"/>
      <c r="O213" s="407"/>
      <c r="P213" s="389"/>
      <c r="Q213" s="407"/>
      <c r="R213" s="389"/>
      <c r="S213" s="389"/>
      <c r="T213" s="389"/>
      <c r="U213" s="389"/>
      <c r="V213" s="389"/>
      <c r="W213" s="389"/>
      <c r="X213" s="389"/>
      <c r="Y213" s="389"/>
      <c r="Z213" s="389"/>
      <c r="AA213" s="389"/>
      <c r="AB213" s="389"/>
      <c r="AC213" s="388"/>
      <c r="AD213" s="388"/>
      <c r="AE213" s="388"/>
      <c r="AF213" s="388"/>
      <c r="AG213" s="388"/>
      <c r="AH213" s="388"/>
      <c r="AI213" s="388"/>
      <c r="AJ213" s="388"/>
      <c r="AK213" s="388"/>
      <c r="AL213" s="388"/>
      <c r="AM213" s="388"/>
      <c r="AN213" s="388"/>
      <c r="AO213" s="388"/>
      <c r="AP213" s="388"/>
      <c r="AQ213" s="388"/>
      <c r="AR213" s="388"/>
      <c r="AS213" s="388"/>
      <c r="AT213" s="388"/>
      <c r="AU213" s="388"/>
      <c r="AV213" s="388"/>
      <c r="AW213" s="388"/>
      <c r="AX213" s="388"/>
      <c r="AY213" s="388"/>
      <c r="AZ213" s="388"/>
      <c r="BA213" s="388"/>
      <c r="BB213" s="388"/>
      <c r="BC213" s="388"/>
      <c r="BD213" s="388"/>
      <c r="BE213" s="388"/>
      <c r="BF213" s="388"/>
      <c r="BG213" s="388"/>
      <c r="BH213" s="388"/>
      <c r="BI213" s="388"/>
      <c r="BJ213" s="388"/>
      <c r="BK213" s="388"/>
      <c r="BL213" s="388"/>
      <c r="BM213" s="388"/>
      <c r="BN213" s="388"/>
      <c r="BO213" s="388"/>
    </row>
    <row r="214" spans="4:67" ht="12.75" customHeight="1">
      <c r="D214" s="389"/>
      <c r="E214" s="389"/>
      <c r="F214" s="389"/>
      <c r="G214" s="389"/>
      <c r="H214" s="388"/>
      <c r="I214" s="389"/>
      <c r="J214" s="389"/>
      <c r="K214" s="389"/>
      <c r="L214" s="389"/>
      <c r="M214" s="389"/>
      <c r="N214" s="389"/>
      <c r="O214" s="407"/>
      <c r="P214" s="389"/>
      <c r="Q214" s="407"/>
      <c r="R214" s="389"/>
      <c r="S214" s="389"/>
      <c r="T214" s="389"/>
      <c r="U214" s="389"/>
      <c r="V214" s="389"/>
      <c r="W214" s="389"/>
      <c r="X214" s="389"/>
      <c r="Y214" s="389"/>
      <c r="Z214" s="389"/>
      <c r="AA214" s="389"/>
      <c r="AB214" s="389"/>
      <c r="AC214" s="388"/>
      <c r="AD214" s="388"/>
      <c r="AE214" s="388"/>
      <c r="AF214" s="388"/>
      <c r="AG214" s="388"/>
      <c r="AH214" s="388"/>
      <c r="AI214" s="388"/>
      <c r="AJ214" s="388"/>
      <c r="AK214" s="388"/>
      <c r="AL214" s="388"/>
      <c r="AM214" s="388"/>
      <c r="AN214" s="388"/>
      <c r="AO214" s="388"/>
      <c r="AP214" s="388"/>
      <c r="AQ214" s="388"/>
      <c r="AR214" s="388"/>
      <c r="AS214" s="388"/>
      <c r="AT214" s="388"/>
      <c r="AU214" s="388"/>
      <c r="AV214" s="388"/>
      <c r="AW214" s="388"/>
      <c r="AX214" s="388"/>
      <c r="AY214" s="388"/>
      <c r="AZ214" s="388"/>
      <c r="BA214" s="388"/>
      <c r="BB214" s="388"/>
      <c r="BC214" s="388"/>
      <c r="BD214" s="388"/>
      <c r="BE214" s="388"/>
      <c r="BF214" s="388"/>
      <c r="BG214" s="388"/>
      <c r="BH214" s="388"/>
      <c r="BI214" s="388"/>
      <c r="BJ214" s="388"/>
      <c r="BK214" s="388"/>
      <c r="BL214" s="388"/>
      <c r="BM214" s="388"/>
      <c r="BN214" s="388"/>
      <c r="BO214" s="388"/>
    </row>
    <row r="215" spans="4:67" ht="12.75" customHeight="1">
      <c r="D215" s="389"/>
      <c r="E215" s="389"/>
      <c r="F215" s="389"/>
      <c r="G215" s="389"/>
      <c r="H215" s="388"/>
      <c r="I215" s="389"/>
      <c r="J215" s="389"/>
      <c r="K215" s="389"/>
      <c r="L215" s="389"/>
      <c r="M215" s="389"/>
      <c r="N215" s="389"/>
      <c r="O215" s="407"/>
      <c r="P215" s="389"/>
      <c r="Q215" s="407"/>
      <c r="R215" s="389"/>
      <c r="S215" s="389"/>
      <c r="T215" s="389"/>
      <c r="U215" s="389"/>
      <c r="V215" s="389"/>
      <c r="W215" s="389"/>
      <c r="X215" s="389"/>
      <c r="Y215" s="389"/>
      <c r="Z215" s="389"/>
      <c r="AA215" s="389"/>
      <c r="AB215" s="389"/>
      <c r="AC215" s="388"/>
      <c r="AD215" s="388"/>
      <c r="AE215" s="388"/>
      <c r="AF215" s="388"/>
      <c r="AG215" s="388"/>
      <c r="AH215" s="388"/>
      <c r="AI215" s="388"/>
      <c r="AJ215" s="388"/>
      <c r="AK215" s="388"/>
      <c r="AL215" s="388"/>
      <c r="AM215" s="388"/>
      <c r="AN215" s="388"/>
      <c r="AO215" s="388"/>
      <c r="AP215" s="388"/>
      <c r="AQ215" s="388"/>
      <c r="AR215" s="388"/>
      <c r="AS215" s="388"/>
      <c r="AT215" s="388"/>
      <c r="AU215" s="388"/>
      <c r="AV215" s="388"/>
      <c r="AW215" s="388"/>
      <c r="AX215" s="388"/>
      <c r="AY215" s="388"/>
      <c r="AZ215" s="388"/>
      <c r="BA215" s="388"/>
      <c r="BB215" s="388"/>
      <c r="BC215" s="388"/>
      <c r="BD215" s="388"/>
      <c r="BE215" s="388"/>
      <c r="BF215" s="388"/>
      <c r="BG215" s="388"/>
      <c r="BH215" s="388"/>
      <c r="BI215" s="388"/>
      <c r="BJ215" s="388"/>
      <c r="BK215" s="388"/>
      <c r="BL215" s="388"/>
      <c r="BM215" s="388"/>
      <c r="BN215" s="388"/>
      <c r="BO215" s="388"/>
    </row>
    <row r="216" spans="4:67" ht="12.75" customHeight="1">
      <c r="D216" s="389"/>
      <c r="E216" s="389"/>
      <c r="F216" s="389"/>
      <c r="G216" s="389"/>
      <c r="H216" s="388"/>
      <c r="I216" s="389"/>
      <c r="J216" s="389"/>
      <c r="K216" s="389"/>
      <c r="L216" s="389"/>
      <c r="M216" s="389"/>
      <c r="N216" s="389"/>
      <c r="O216" s="407"/>
      <c r="P216" s="389"/>
      <c r="Q216" s="407"/>
      <c r="R216" s="389"/>
      <c r="S216" s="389"/>
      <c r="T216" s="389"/>
      <c r="U216" s="389"/>
      <c r="V216" s="389"/>
      <c r="W216" s="389"/>
      <c r="X216" s="389"/>
      <c r="Y216" s="389"/>
      <c r="Z216" s="389"/>
      <c r="AA216" s="389"/>
      <c r="AB216" s="389"/>
      <c r="AC216" s="388"/>
      <c r="AD216" s="388"/>
      <c r="AE216" s="388"/>
      <c r="AF216" s="388"/>
      <c r="AG216" s="388"/>
      <c r="AH216" s="388"/>
      <c r="AI216" s="388"/>
      <c r="AJ216" s="388"/>
      <c r="AK216" s="388"/>
      <c r="AL216" s="388"/>
      <c r="AM216" s="388"/>
      <c r="AN216" s="388"/>
      <c r="AO216" s="388"/>
      <c r="AP216" s="388"/>
      <c r="AQ216" s="388"/>
      <c r="AR216" s="388"/>
      <c r="AS216" s="388"/>
      <c r="AT216" s="388"/>
      <c r="AU216" s="388"/>
      <c r="AV216" s="388"/>
      <c r="AW216" s="388"/>
      <c r="AX216" s="388"/>
      <c r="AY216" s="388"/>
      <c r="AZ216" s="388"/>
      <c r="BA216" s="388"/>
      <c r="BB216" s="388"/>
      <c r="BC216" s="388"/>
      <c r="BD216" s="388"/>
      <c r="BE216" s="388"/>
      <c r="BF216" s="388"/>
      <c r="BG216" s="388"/>
      <c r="BH216" s="388"/>
      <c r="BI216" s="388"/>
      <c r="BJ216" s="388"/>
      <c r="BK216" s="388"/>
      <c r="BL216" s="388"/>
      <c r="BM216" s="388"/>
      <c r="BN216" s="388"/>
      <c r="BO216" s="388"/>
    </row>
    <row r="217" spans="4:67" ht="12.75" customHeight="1">
      <c r="D217" s="389"/>
      <c r="E217" s="389"/>
      <c r="F217" s="389"/>
      <c r="G217" s="389"/>
      <c r="H217" s="388"/>
      <c r="I217" s="389"/>
      <c r="J217" s="389"/>
      <c r="K217" s="389"/>
      <c r="L217" s="389"/>
      <c r="M217" s="389"/>
      <c r="N217" s="389"/>
      <c r="O217" s="407"/>
      <c r="P217" s="389"/>
      <c r="Q217" s="407"/>
      <c r="R217" s="389"/>
      <c r="S217" s="389"/>
      <c r="T217" s="389"/>
      <c r="U217" s="389"/>
      <c r="V217" s="389"/>
      <c r="W217" s="389"/>
      <c r="X217" s="389"/>
      <c r="Y217" s="389"/>
      <c r="Z217" s="389"/>
      <c r="AA217" s="389"/>
      <c r="AB217" s="389"/>
      <c r="AC217" s="388"/>
      <c r="AD217" s="388"/>
      <c r="AE217" s="388"/>
      <c r="AF217" s="388"/>
      <c r="AG217" s="388"/>
      <c r="AH217" s="388"/>
      <c r="AI217" s="388"/>
      <c r="AJ217" s="388"/>
      <c r="AK217" s="388"/>
      <c r="AL217" s="388"/>
      <c r="AM217" s="388"/>
      <c r="AN217" s="388"/>
      <c r="AO217" s="388"/>
      <c r="AP217" s="388"/>
      <c r="AQ217" s="388"/>
      <c r="AR217" s="388"/>
      <c r="AS217" s="388"/>
      <c r="AT217" s="388"/>
      <c r="AU217" s="388"/>
      <c r="AV217" s="388"/>
      <c r="AW217" s="388"/>
      <c r="AX217" s="388"/>
      <c r="AY217" s="388"/>
      <c r="AZ217" s="388"/>
      <c r="BA217" s="388"/>
      <c r="BB217" s="388"/>
      <c r="BC217" s="388"/>
      <c r="BD217" s="388"/>
      <c r="BE217" s="388"/>
      <c r="BF217" s="388"/>
      <c r="BG217" s="388"/>
      <c r="BH217" s="388"/>
      <c r="BI217" s="388"/>
      <c r="BJ217" s="388"/>
      <c r="BK217" s="388"/>
      <c r="BL217" s="388"/>
      <c r="BM217" s="388"/>
      <c r="BN217" s="388"/>
      <c r="BO217" s="388"/>
    </row>
    <row r="218" spans="4:67" ht="12.75" customHeight="1">
      <c r="D218" s="389"/>
      <c r="E218" s="389"/>
      <c r="F218" s="389"/>
      <c r="G218" s="389"/>
      <c r="H218" s="388"/>
      <c r="I218" s="389"/>
      <c r="J218" s="389"/>
      <c r="K218" s="389"/>
      <c r="L218" s="389"/>
      <c r="M218" s="389"/>
      <c r="N218" s="389"/>
      <c r="O218" s="407"/>
      <c r="P218" s="389"/>
      <c r="Q218" s="407"/>
      <c r="R218" s="389"/>
      <c r="S218" s="389"/>
      <c r="T218" s="389"/>
      <c r="U218" s="389"/>
      <c r="V218" s="389"/>
      <c r="W218" s="389"/>
      <c r="X218" s="389"/>
      <c r="Y218" s="389"/>
      <c r="Z218" s="389"/>
      <c r="AA218" s="389"/>
      <c r="AB218" s="389"/>
      <c r="AC218" s="388"/>
      <c r="AD218" s="388"/>
      <c r="AE218" s="388"/>
      <c r="AF218" s="388"/>
      <c r="AG218" s="388"/>
      <c r="AH218" s="388"/>
      <c r="AI218" s="388"/>
      <c r="AJ218" s="388"/>
      <c r="AK218" s="388"/>
      <c r="AL218" s="388"/>
      <c r="AM218" s="388"/>
      <c r="AN218" s="388"/>
      <c r="AO218" s="388"/>
      <c r="AP218" s="388"/>
      <c r="AQ218" s="388"/>
      <c r="AR218" s="388"/>
      <c r="AS218" s="388"/>
      <c r="AT218" s="388"/>
      <c r="AU218" s="388"/>
      <c r="AV218" s="388"/>
      <c r="AW218" s="388"/>
      <c r="AX218" s="388"/>
      <c r="AY218" s="388"/>
      <c r="AZ218" s="388"/>
      <c r="BA218" s="388"/>
      <c r="BB218" s="388"/>
      <c r="BC218" s="388"/>
      <c r="BD218" s="388"/>
      <c r="BE218" s="388"/>
      <c r="BF218" s="388"/>
      <c r="BG218" s="388"/>
      <c r="BH218" s="388"/>
      <c r="BI218" s="388"/>
      <c r="BJ218" s="388"/>
      <c r="BK218" s="388"/>
      <c r="BL218" s="388"/>
      <c r="BM218" s="388"/>
      <c r="BN218" s="388"/>
      <c r="BO218" s="388"/>
    </row>
    <row r="219" spans="4:67" ht="12.75" customHeight="1">
      <c r="D219" s="389"/>
      <c r="E219" s="389"/>
      <c r="F219" s="389"/>
      <c r="G219" s="389"/>
      <c r="H219" s="388"/>
      <c r="I219" s="389"/>
      <c r="J219" s="389"/>
      <c r="K219" s="389"/>
      <c r="L219" s="389"/>
      <c r="M219" s="389"/>
      <c r="N219" s="389"/>
      <c r="O219" s="407"/>
      <c r="P219" s="389"/>
      <c r="Q219" s="407"/>
      <c r="R219" s="389"/>
      <c r="S219" s="389"/>
      <c r="T219" s="389"/>
      <c r="U219" s="389"/>
      <c r="V219" s="389"/>
      <c r="W219" s="389"/>
      <c r="X219" s="389"/>
      <c r="Y219" s="389"/>
      <c r="Z219" s="389"/>
      <c r="AA219" s="389"/>
      <c r="AB219" s="389"/>
      <c r="AC219" s="388"/>
      <c r="AD219" s="388"/>
      <c r="AE219" s="388"/>
      <c r="AF219" s="388"/>
      <c r="AG219" s="388"/>
      <c r="AH219" s="388"/>
      <c r="AI219" s="388"/>
      <c r="AJ219" s="388"/>
      <c r="AK219" s="388"/>
      <c r="AL219" s="388"/>
      <c r="AM219" s="388"/>
      <c r="AN219" s="388"/>
      <c r="AO219" s="388"/>
      <c r="AP219" s="388"/>
      <c r="AQ219" s="388"/>
      <c r="AR219" s="388"/>
      <c r="AS219" s="388"/>
      <c r="AT219" s="388"/>
      <c r="AU219" s="388"/>
      <c r="AV219" s="388"/>
      <c r="AW219" s="388"/>
      <c r="AX219" s="388"/>
      <c r="AY219" s="388"/>
      <c r="AZ219" s="388"/>
      <c r="BA219" s="388"/>
      <c r="BB219" s="388"/>
      <c r="BC219" s="388"/>
      <c r="BD219" s="388"/>
      <c r="BE219" s="388"/>
      <c r="BF219" s="388"/>
      <c r="BG219" s="388"/>
      <c r="BH219" s="388"/>
      <c r="BI219" s="388"/>
      <c r="BJ219" s="388"/>
      <c r="BK219" s="388"/>
      <c r="BL219" s="388"/>
      <c r="BM219" s="388"/>
      <c r="BN219" s="388"/>
      <c r="BO219" s="388"/>
    </row>
    <row r="220" spans="4:67" ht="12.75" customHeight="1">
      <c r="D220" s="389"/>
      <c r="E220" s="389"/>
      <c r="F220" s="389"/>
      <c r="G220" s="389"/>
      <c r="H220" s="388"/>
      <c r="I220" s="389"/>
      <c r="J220" s="389"/>
      <c r="K220" s="389"/>
      <c r="L220" s="389"/>
      <c r="M220" s="389"/>
      <c r="N220" s="389"/>
      <c r="O220" s="407"/>
      <c r="P220" s="389"/>
      <c r="Q220" s="407"/>
      <c r="R220" s="389"/>
      <c r="S220" s="389"/>
      <c r="T220" s="389"/>
      <c r="U220" s="389"/>
      <c r="V220" s="389"/>
      <c r="W220" s="389"/>
      <c r="X220" s="389"/>
      <c r="Y220" s="389"/>
      <c r="Z220" s="389"/>
      <c r="AA220" s="389"/>
      <c r="AB220" s="389"/>
      <c r="AC220" s="388"/>
      <c r="AD220" s="388"/>
      <c r="AE220" s="388"/>
      <c r="AF220" s="388"/>
      <c r="AG220" s="388"/>
      <c r="AH220" s="388"/>
      <c r="AI220" s="388"/>
      <c r="AJ220" s="388"/>
      <c r="AK220" s="388"/>
      <c r="AL220" s="388"/>
      <c r="AM220" s="388"/>
      <c r="AN220" s="388"/>
      <c r="AO220" s="388"/>
      <c r="AP220" s="388"/>
      <c r="AQ220" s="388"/>
      <c r="AR220" s="388"/>
      <c r="AS220" s="388"/>
      <c r="AT220" s="388"/>
      <c r="AU220" s="388"/>
      <c r="AV220" s="388"/>
      <c r="AW220" s="388"/>
      <c r="AX220" s="388"/>
      <c r="AY220" s="388"/>
      <c r="AZ220" s="388"/>
      <c r="BA220" s="388"/>
      <c r="BB220" s="388"/>
      <c r="BC220" s="388"/>
      <c r="BD220" s="388"/>
      <c r="BE220" s="388"/>
      <c r="BF220" s="388"/>
      <c r="BG220" s="388"/>
      <c r="BH220" s="388"/>
      <c r="BI220" s="388"/>
      <c r="BJ220" s="388"/>
      <c r="BK220" s="388"/>
      <c r="BL220" s="388"/>
      <c r="BM220" s="388"/>
      <c r="BN220" s="388"/>
      <c r="BO220" s="388"/>
    </row>
    <row r="221" spans="4:67" ht="12.75" customHeight="1">
      <c r="D221" s="389"/>
      <c r="E221" s="389"/>
      <c r="F221" s="389"/>
      <c r="G221" s="389"/>
      <c r="H221" s="388"/>
      <c r="I221" s="389"/>
      <c r="J221" s="389"/>
      <c r="K221" s="389"/>
      <c r="L221" s="389"/>
      <c r="M221" s="389"/>
      <c r="N221" s="389"/>
      <c r="O221" s="407"/>
      <c r="P221" s="389"/>
      <c r="Q221" s="407"/>
      <c r="R221" s="389"/>
      <c r="S221" s="389"/>
      <c r="T221" s="389"/>
      <c r="U221" s="389"/>
      <c r="V221" s="389"/>
      <c r="W221" s="389"/>
      <c r="X221" s="389"/>
      <c r="Y221" s="389"/>
      <c r="Z221" s="389"/>
      <c r="AA221" s="389"/>
      <c r="AB221" s="389"/>
      <c r="AC221" s="388"/>
      <c r="AD221" s="388"/>
      <c r="AE221" s="388"/>
      <c r="AF221" s="388"/>
      <c r="AG221" s="388"/>
      <c r="AH221" s="388"/>
      <c r="AI221" s="388"/>
      <c r="AJ221" s="388"/>
      <c r="AK221" s="388"/>
      <c r="AL221" s="388"/>
      <c r="AM221" s="388"/>
      <c r="AN221" s="388"/>
      <c r="AO221" s="388"/>
      <c r="AP221" s="388"/>
      <c r="AQ221" s="388"/>
      <c r="AR221" s="388"/>
      <c r="AS221" s="388"/>
      <c r="AT221" s="388"/>
      <c r="AU221" s="388"/>
      <c r="AV221" s="388"/>
      <c r="AW221" s="388"/>
      <c r="AX221" s="388"/>
      <c r="AY221" s="388"/>
      <c r="AZ221" s="388"/>
      <c r="BA221" s="388"/>
      <c r="BB221" s="388"/>
      <c r="BC221" s="388"/>
      <c r="BD221" s="388"/>
      <c r="BE221" s="388"/>
      <c r="BF221" s="388"/>
      <c r="BG221" s="388"/>
      <c r="BH221" s="388"/>
      <c r="BI221" s="388"/>
      <c r="BJ221" s="388"/>
      <c r="BK221" s="388"/>
      <c r="BL221" s="388"/>
      <c r="BM221" s="388"/>
      <c r="BN221" s="388"/>
      <c r="BO221" s="388"/>
    </row>
    <row r="222" spans="4:67" ht="12.75" customHeight="1">
      <c r="D222" s="389"/>
      <c r="E222" s="389"/>
      <c r="F222" s="389"/>
      <c r="G222" s="389"/>
      <c r="H222" s="388"/>
      <c r="I222" s="389"/>
      <c r="J222" s="389"/>
      <c r="K222" s="389"/>
      <c r="L222" s="389"/>
      <c r="M222" s="389"/>
      <c r="N222" s="389"/>
      <c r="O222" s="407"/>
      <c r="P222" s="389"/>
      <c r="Q222" s="407"/>
      <c r="R222" s="389"/>
      <c r="S222" s="389"/>
      <c r="T222" s="389"/>
      <c r="U222" s="389"/>
      <c r="V222" s="389"/>
      <c r="W222" s="389"/>
      <c r="X222" s="389"/>
      <c r="Y222" s="389"/>
      <c r="Z222" s="389"/>
      <c r="AA222" s="389"/>
      <c r="AB222" s="389"/>
      <c r="AC222" s="388"/>
      <c r="AD222" s="388"/>
      <c r="AE222" s="388"/>
      <c r="AF222" s="388"/>
      <c r="AG222" s="388"/>
      <c r="AH222" s="388"/>
      <c r="AI222" s="388"/>
      <c r="AJ222" s="388"/>
      <c r="AK222" s="388"/>
      <c r="AL222" s="388"/>
      <c r="AM222" s="388"/>
      <c r="AN222" s="388"/>
      <c r="AO222" s="388"/>
      <c r="AP222" s="388"/>
      <c r="AQ222" s="388"/>
      <c r="AR222" s="388"/>
      <c r="AS222" s="388"/>
      <c r="AT222" s="388"/>
      <c r="AU222" s="388"/>
      <c r="AV222" s="388"/>
      <c r="AW222" s="388"/>
      <c r="AX222" s="388"/>
      <c r="AY222" s="388"/>
      <c r="AZ222" s="388"/>
      <c r="BA222" s="388"/>
      <c r="BB222" s="388"/>
      <c r="BC222" s="388"/>
      <c r="BD222" s="388"/>
      <c r="BE222" s="388"/>
      <c r="BF222" s="388"/>
      <c r="BG222" s="388"/>
      <c r="BH222" s="388"/>
      <c r="BI222" s="388"/>
      <c r="BJ222" s="388"/>
      <c r="BK222" s="388"/>
      <c r="BL222" s="388"/>
      <c r="BM222" s="388"/>
      <c r="BN222" s="388"/>
      <c r="BO222" s="388"/>
    </row>
    <row r="223" spans="4:67" ht="12.75" customHeight="1">
      <c r="D223" s="389"/>
      <c r="E223" s="389"/>
      <c r="F223" s="389"/>
      <c r="G223" s="389"/>
      <c r="H223" s="388"/>
      <c r="I223" s="389"/>
      <c r="J223" s="389"/>
      <c r="K223" s="389"/>
      <c r="L223" s="389"/>
      <c r="M223" s="389"/>
      <c r="N223" s="389"/>
      <c r="O223" s="407"/>
      <c r="P223" s="389"/>
      <c r="Q223" s="407"/>
      <c r="R223" s="389"/>
      <c r="S223" s="389"/>
      <c r="T223" s="389"/>
      <c r="U223" s="389"/>
      <c r="V223" s="389"/>
      <c r="W223" s="389"/>
      <c r="X223" s="389"/>
      <c r="Y223" s="389"/>
      <c r="Z223" s="389"/>
      <c r="AA223" s="389"/>
      <c r="AB223" s="389"/>
      <c r="AC223" s="388"/>
      <c r="AD223" s="388"/>
      <c r="AE223" s="388"/>
      <c r="AF223" s="388"/>
      <c r="AG223" s="388"/>
      <c r="AH223" s="388"/>
      <c r="AI223" s="388"/>
      <c r="AJ223" s="388"/>
      <c r="AK223" s="388"/>
      <c r="AL223" s="388"/>
      <c r="AM223" s="388"/>
      <c r="AN223" s="388"/>
      <c r="AO223" s="388"/>
      <c r="AP223" s="388"/>
      <c r="AQ223" s="388"/>
      <c r="AR223" s="388"/>
      <c r="AS223" s="388"/>
      <c r="AT223" s="388"/>
      <c r="AU223" s="388"/>
      <c r="AV223" s="388"/>
      <c r="AW223" s="388"/>
      <c r="AX223" s="388"/>
      <c r="AY223" s="388"/>
      <c r="AZ223" s="388"/>
      <c r="BA223" s="388"/>
      <c r="BB223" s="388"/>
      <c r="BC223" s="388"/>
      <c r="BD223" s="388"/>
      <c r="BE223" s="388"/>
      <c r="BF223" s="388"/>
      <c r="BG223" s="388"/>
      <c r="BH223" s="388"/>
      <c r="BI223" s="388"/>
      <c r="BJ223" s="388"/>
      <c r="BK223" s="388"/>
      <c r="BL223" s="388"/>
      <c r="BM223" s="388"/>
      <c r="BN223" s="388"/>
      <c r="BO223" s="388"/>
    </row>
    <row r="224" spans="4:67" ht="12.75" customHeight="1">
      <c r="D224" s="389"/>
      <c r="E224" s="389"/>
      <c r="F224" s="389"/>
      <c r="G224" s="389"/>
      <c r="H224" s="388"/>
      <c r="I224" s="389"/>
      <c r="J224" s="389"/>
      <c r="K224" s="389"/>
      <c r="L224" s="389"/>
      <c r="M224" s="389"/>
      <c r="N224" s="389"/>
      <c r="O224" s="407"/>
      <c r="P224" s="389"/>
      <c r="Q224" s="407"/>
      <c r="R224" s="389"/>
      <c r="S224" s="389"/>
      <c r="T224" s="389"/>
      <c r="U224" s="389"/>
      <c r="V224" s="389"/>
      <c r="W224" s="389"/>
      <c r="X224" s="389"/>
      <c r="Y224" s="389"/>
      <c r="Z224" s="389"/>
      <c r="AA224" s="389"/>
      <c r="AB224" s="389"/>
      <c r="AC224" s="388"/>
      <c r="AD224" s="388"/>
      <c r="AE224" s="388"/>
      <c r="AF224" s="388"/>
      <c r="AG224" s="388"/>
      <c r="AH224" s="388"/>
      <c r="AI224" s="388"/>
      <c r="AJ224" s="388"/>
      <c r="AK224" s="388"/>
      <c r="AL224" s="388"/>
      <c r="AM224" s="388"/>
      <c r="AN224" s="388"/>
      <c r="AO224" s="388"/>
      <c r="AP224" s="388"/>
      <c r="AQ224" s="388"/>
      <c r="AR224" s="388"/>
      <c r="AS224" s="388"/>
      <c r="AT224" s="388"/>
      <c r="AU224" s="388"/>
      <c r="AV224" s="388"/>
      <c r="AW224" s="388"/>
      <c r="AX224" s="388"/>
      <c r="AY224" s="388"/>
      <c r="AZ224" s="388"/>
      <c r="BA224" s="388"/>
      <c r="BB224" s="388"/>
      <c r="BC224" s="388"/>
      <c r="BD224" s="388"/>
      <c r="BE224" s="388"/>
      <c r="BF224" s="388"/>
      <c r="BG224" s="388"/>
      <c r="BH224" s="388"/>
      <c r="BI224" s="388"/>
      <c r="BJ224" s="388"/>
      <c r="BK224" s="388"/>
      <c r="BL224" s="388"/>
      <c r="BM224" s="388"/>
      <c r="BN224" s="388"/>
      <c r="BO224" s="388"/>
    </row>
    <row r="225" spans="4:67" ht="12.75" customHeight="1">
      <c r="D225" s="389"/>
      <c r="E225" s="389"/>
      <c r="F225" s="389"/>
      <c r="G225" s="389"/>
      <c r="H225" s="388"/>
      <c r="I225" s="389"/>
      <c r="J225" s="389"/>
      <c r="K225" s="389"/>
      <c r="L225" s="389"/>
      <c r="M225" s="389"/>
      <c r="N225" s="389"/>
      <c r="O225" s="407"/>
      <c r="P225" s="389"/>
      <c r="Q225" s="407"/>
      <c r="R225" s="389"/>
      <c r="S225" s="389"/>
      <c r="T225" s="389"/>
      <c r="U225" s="389"/>
      <c r="V225" s="389"/>
      <c r="W225" s="389"/>
      <c r="X225" s="389"/>
      <c r="Y225" s="389"/>
      <c r="Z225" s="389"/>
      <c r="AA225" s="389"/>
      <c r="AB225" s="389"/>
      <c r="AC225" s="388"/>
      <c r="AD225" s="388"/>
      <c r="AE225" s="388"/>
      <c r="AF225" s="388"/>
      <c r="AG225" s="388"/>
      <c r="AH225" s="388"/>
      <c r="AI225" s="388"/>
      <c r="AJ225" s="388"/>
      <c r="AK225" s="388"/>
      <c r="AL225" s="388"/>
      <c r="AM225" s="388"/>
      <c r="AN225" s="388"/>
      <c r="AO225" s="388"/>
      <c r="AP225" s="388"/>
      <c r="AQ225" s="388"/>
      <c r="AR225" s="388"/>
      <c r="AS225" s="388"/>
      <c r="AT225" s="388"/>
      <c r="AU225" s="388"/>
      <c r="AV225" s="388"/>
      <c r="AW225" s="388"/>
      <c r="AX225" s="388"/>
      <c r="AY225" s="388"/>
      <c r="AZ225" s="388"/>
      <c r="BA225" s="388"/>
      <c r="BB225" s="388"/>
      <c r="BC225" s="388"/>
      <c r="BD225" s="388"/>
      <c r="BE225" s="388"/>
      <c r="BF225" s="388"/>
      <c r="BG225" s="388"/>
      <c r="BH225" s="388"/>
      <c r="BI225" s="388"/>
      <c r="BJ225" s="388"/>
      <c r="BK225" s="388"/>
      <c r="BL225" s="388"/>
      <c r="BM225" s="388"/>
      <c r="BN225" s="388"/>
      <c r="BO225" s="388"/>
    </row>
    <row r="226" spans="4:67" ht="12.75" customHeight="1">
      <c r="D226" s="389"/>
      <c r="E226" s="389"/>
      <c r="F226" s="389"/>
      <c r="G226" s="389"/>
      <c r="H226" s="388"/>
      <c r="I226" s="389"/>
      <c r="J226" s="389"/>
      <c r="K226" s="389"/>
      <c r="L226" s="389"/>
      <c r="M226" s="389"/>
      <c r="N226" s="389"/>
      <c r="O226" s="407"/>
      <c r="P226" s="389"/>
      <c r="Q226" s="407"/>
      <c r="R226" s="389"/>
      <c r="S226" s="389"/>
      <c r="T226" s="389"/>
      <c r="U226" s="389"/>
      <c r="V226" s="389"/>
      <c r="W226" s="389"/>
      <c r="X226" s="389"/>
      <c r="Y226" s="389"/>
      <c r="Z226" s="389"/>
      <c r="AA226" s="389"/>
      <c r="AB226" s="389"/>
      <c r="AC226" s="388"/>
      <c r="AD226" s="388"/>
      <c r="AE226" s="388"/>
      <c r="AF226" s="388"/>
      <c r="AG226" s="388"/>
      <c r="AH226" s="388"/>
      <c r="AI226" s="388"/>
      <c r="AJ226" s="388"/>
      <c r="AK226" s="388"/>
      <c r="AL226" s="388"/>
      <c r="AM226" s="388"/>
      <c r="AN226" s="388"/>
      <c r="AO226" s="388"/>
      <c r="AP226" s="388"/>
      <c r="AQ226" s="388"/>
      <c r="AR226" s="388"/>
      <c r="AS226" s="388"/>
      <c r="AT226" s="388"/>
      <c r="AU226" s="388"/>
      <c r="AV226" s="388"/>
      <c r="AW226" s="388"/>
      <c r="AX226" s="388"/>
      <c r="AY226" s="388"/>
      <c r="AZ226" s="388"/>
      <c r="BA226" s="388"/>
      <c r="BB226" s="388"/>
      <c r="BC226" s="388"/>
      <c r="BD226" s="388"/>
      <c r="BE226" s="388"/>
      <c r="BF226" s="388"/>
      <c r="BG226" s="388"/>
      <c r="BH226" s="388"/>
      <c r="BI226" s="388"/>
      <c r="BJ226" s="388"/>
      <c r="BK226" s="388"/>
      <c r="BL226" s="388"/>
      <c r="BM226" s="388"/>
      <c r="BN226" s="388"/>
      <c r="BO226" s="388"/>
    </row>
    <row r="227" spans="4:67" ht="12.75" customHeight="1">
      <c r="D227" s="389"/>
      <c r="E227" s="389"/>
      <c r="F227" s="389"/>
      <c r="G227" s="389"/>
      <c r="H227" s="388"/>
      <c r="I227" s="389"/>
      <c r="J227" s="389"/>
      <c r="K227" s="389"/>
      <c r="L227" s="389"/>
      <c r="M227" s="389"/>
      <c r="N227" s="389"/>
      <c r="O227" s="407"/>
      <c r="P227" s="389"/>
      <c r="Q227" s="407"/>
      <c r="R227" s="389"/>
      <c r="S227" s="389"/>
      <c r="T227" s="389"/>
      <c r="U227" s="389"/>
      <c r="V227" s="389"/>
      <c r="W227" s="389"/>
      <c r="X227" s="389"/>
      <c r="Y227" s="389"/>
      <c r="Z227" s="389"/>
      <c r="AA227" s="389"/>
      <c r="AB227" s="389"/>
      <c r="AC227" s="388"/>
      <c r="AD227" s="388"/>
      <c r="AE227" s="388"/>
      <c r="AF227" s="388"/>
      <c r="AG227" s="388"/>
      <c r="AH227" s="388"/>
      <c r="AI227" s="388"/>
      <c r="AJ227" s="388"/>
      <c r="AK227" s="388"/>
      <c r="AL227" s="388"/>
      <c r="AM227" s="388"/>
      <c r="AN227" s="388"/>
      <c r="AO227" s="388"/>
      <c r="AP227" s="388"/>
      <c r="AQ227" s="388"/>
      <c r="AR227" s="388"/>
      <c r="AS227" s="388"/>
      <c r="AT227" s="388"/>
      <c r="AU227" s="388"/>
      <c r="AV227" s="388"/>
      <c r="AW227" s="388"/>
      <c r="AX227" s="388"/>
      <c r="AY227" s="388"/>
      <c r="AZ227" s="388"/>
      <c r="BA227" s="388"/>
      <c r="BB227" s="388"/>
      <c r="BC227" s="388"/>
      <c r="BD227" s="388"/>
      <c r="BE227" s="388"/>
      <c r="BF227" s="388"/>
      <c r="BG227" s="388"/>
      <c r="BH227" s="388"/>
      <c r="BI227" s="388"/>
      <c r="BJ227" s="388"/>
      <c r="BK227" s="388"/>
      <c r="BL227" s="388"/>
      <c r="BM227" s="388"/>
      <c r="BN227" s="388"/>
      <c r="BO227" s="388"/>
    </row>
    <row r="228" spans="4:67" ht="12.75" customHeight="1">
      <c r="D228" s="389"/>
      <c r="E228" s="389"/>
      <c r="F228" s="389"/>
      <c r="G228" s="389"/>
      <c r="H228" s="388"/>
      <c r="I228" s="389"/>
      <c r="J228" s="389"/>
      <c r="K228" s="389"/>
      <c r="L228" s="389"/>
      <c r="M228" s="389"/>
      <c r="N228" s="389"/>
      <c r="O228" s="407"/>
      <c r="P228" s="389"/>
      <c r="Q228" s="407"/>
      <c r="R228" s="389"/>
      <c r="S228" s="389"/>
      <c r="T228" s="389"/>
      <c r="U228" s="389"/>
      <c r="V228" s="389"/>
      <c r="W228" s="389"/>
      <c r="X228" s="389"/>
      <c r="Y228" s="389"/>
      <c r="Z228" s="389"/>
      <c r="AA228" s="389"/>
      <c r="AB228" s="389"/>
      <c r="AC228" s="388"/>
      <c r="AD228" s="388"/>
      <c r="AE228" s="388"/>
      <c r="AF228" s="388"/>
      <c r="AG228" s="388"/>
      <c r="AH228" s="388"/>
      <c r="AI228" s="388"/>
      <c r="AJ228" s="388"/>
      <c r="AK228" s="388"/>
      <c r="AL228" s="388"/>
      <c r="AM228" s="388"/>
      <c r="AN228" s="388"/>
      <c r="AO228" s="388"/>
      <c r="AP228" s="388"/>
      <c r="AQ228" s="388"/>
      <c r="AR228" s="388"/>
      <c r="AS228" s="388"/>
      <c r="AT228" s="388"/>
      <c r="AU228" s="388"/>
      <c r="AV228" s="388"/>
      <c r="AW228" s="388"/>
      <c r="AX228" s="388"/>
      <c r="AY228" s="388"/>
      <c r="AZ228" s="388"/>
      <c r="BA228" s="388"/>
      <c r="BB228" s="388"/>
      <c r="BC228" s="388"/>
      <c r="BD228" s="388"/>
      <c r="BE228" s="388"/>
      <c r="BF228" s="388"/>
      <c r="BG228" s="388"/>
      <c r="BH228" s="388"/>
      <c r="BI228" s="388"/>
      <c r="BJ228" s="388"/>
      <c r="BK228" s="388"/>
      <c r="BL228" s="388"/>
      <c r="BM228" s="388"/>
      <c r="BN228" s="388"/>
      <c r="BO228" s="388"/>
    </row>
    <row r="229" spans="4:67" ht="12.75" customHeight="1">
      <c r="D229" s="389"/>
      <c r="E229" s="389"/>
      <c r="F229" s="389"/>
      <c r="G229" s="389"/>
      <c r="H229" s="388"/>
      <c r="I229" s="389"/>
      <c r="J229" s="389"/>
      <c r="K229" s="389"/>
      <c r="L229" s="389"/>
      <c r="M229" s="389"/>
      <c r="N229" s="389"/>
      <c r="O229" s="407"/>
      <c r="P229" s="389"/>
      <c r="Q229" s="407"/>
      <c r="R229" s="389"/>
      <c r="S229" s="389"/>
      <c r="T229" s="389"/>
      <c r="U229" s="389"/>
      <c r="V229" s="389"/>
      <c r="W229" s="389"/>
      <c r="X229" s="389"/>
      <c r="Y229" s="389"/>
      <c r="Z229" s="389"/>
      <c r="AA229" s="389"/>
      <c r="AB229" s="389"/>
      <c r="AC229" s="388"/>
      <c r="AD229" s="388"/>
      <c r="AE229" s="388"/>
      <c r="AF229" s="388"/>
      <c r="AG229" s="388"/>
      <c r="AH229" s="388"/>
      <c r="AI229" s="388"/>
      <c r="AJ229" s="388"/>
      <c r="AK229" s="388"/>
      <c r="AL229" s="388"/>
      <c r="AM229" s="388"/>
      <c r="AN229" s="388"/>
      <c r="AO229" s="388"/>
      <c r="AP229" s="388"/>
      <c r="AQ229" s="388"/>
      <c r="AR229" s="388"/>
      <c r="AS229" s="388"/>
      <c r="AT229" s="388"/>
      <c r="AU229" s="388"/>
      <c r="AV229" s="388"/>
      <c r="AW229" s="388"/>
      <c r="AX229" s="388"/>
      <c r="AY229" s="388"/>
      <c r="AZ229" s="388"/>
      <c r="BA229" s="388"/>
      <c r="BB229" s="388"/>
      <c r="BC229" s="388"/>
      <c r="BD229" s="388"/>
      <c r="BE229" s="388"/>
      <c r="BF229" s="388"/>
      <c r="BG229" s="388"/>
      <c r="BH229" s="388"/>
      <c r="BI229" s="388"/>
      <c r="BJ229" s="388"/>
      <c r="BK229" s="388"/>
      <c r="BL229" s="388"/>
      <c r="BM229" s="388"/>
      <c r="BN229" s="388"/>
      <c r="BO229" s="388"/>
    </row>
    <row r="230" spans="4:67" ht="12.75" customHeight="1">
      <c r="D230" s="389"/>
      <c r="E230" s="389"/>
      <c r="F230" s="389"/>
      <c r="G230" s="389"/>
      <c r="H230" s="388"/>
      <c r="I230" s="389"/>
      <c r="J230" s="389"/>
      <c r="K230" s="389"/>
      <c r="L230" s="389"/>
      <c r="M230" s="389"/>
      <c r="N230" s="389"/>
      <c r="O230" s="407"/>
      <c r="P230" s="389"/>
      <c r="Q230" s="407"/>
      <c r="R230" s="389"/>
      <c r="S230" s="389"/>
      <c r="T230" s="389"/>
      <c r="U230" s="389"/>
      <c r="V230" s="389"/>
      <c r="W230" s="389"/>
      <c r="X230" s="389"/>
      <c r="Y230" s="389"/>
      <c r="Z230" s="389"/>
      <c r="AA230" s="389"/>
      <c r="AB230" s="389"/>
      <c r="AC230" s="388"/>
      <c r="AD230" s="388"/>
      <c r="AE230" s="388"/>
      <c r="AF230" s="388"/>
      <c r="AG230" s="388"/>
      <c r="AH230" s="388"/>
      <c r="AI230" s="388"/>
      <c r="AJ230" s="388"/>
      <c r="AK230" s="388"/>
      <c r="AL230" s="388"/>
      <c r="AM230" s="388"/>
      <c r="AN230" s="388"/>
      <c r="AO230" s="388"/>
      <c r="AP230" s="388"/>
      <c r="AQ230" s="388"/>
      <c r="AR230" s="388"/>
      <c r="AS230" s="388"/>
      <c r="AT230" s="388"/>
      <c r="AU230" s="388"/>
      <c r="AV230" s="388"/>
      <c r="AW230" s="388"/>
      <c r="AX230" s="388"/>
      <c r="AY230" s="388"/>
      <c r="AZ230" s="388"/>
      <c r="BA230" s="388"/>
      <c r="BB230" s="388"/>
      <c r="BC230" s="388"/>
      <c r="BD230" s="388"/>
      <c r="BE230" s="388"/>
      <c r="BF230" s="388"/>
      <c r="BG230" s="388"/>
      <c r="BH230" s="388"/>
      <c r="BI230" s="388"/>
      <c r="BJ230" s="388"/>
      <c r="BK230" s="388"/>
      <c r="BL230" s="388"/>
      <c r="BM230" s="388"/>
      <c r="BN230" s="388"/>
      <c r="BO230" s="388"/>
    </row>
    <row r="231" spans="4:67" ht="12.75" customHeight="1">
      <c r="D231" s="389"/>
      <c r="E231" s="389"/>
      <c r="F231" s="389"/>
      <c r="G231" s="389"/>
      <c r="H231" s="388"/>
      <c r="I231" s="389"/>
      <c r="J231" s="389"/>
      <c r="K231" s="389"/>
      <c r="L231" s="389"/>
      <c r="M231" s="389"/>
      <c r="N231" s="389"/>
      <c r="O231" s="407"/>
      <c r="P231" s="389"/>
      <c r="Q231" s="407"/>
      <c r="R231" s="389"/>
      <c r="S231" s="389"/>
      <c r="T231" s="389"/>
      <c r="U231" s="389"/>
      <c r="V231" s="389"/>
      <c r="W231" s="389"/>
      <c r="X231" s="389"/>
      <c r="Y231" s="389"/>
      <c r="Z231" s="389"/>
      <c r="AA231" s="389"/>
      <c r="AB231" s="389"/>
      <c r="AC231" s="388"/>
      <c r="AD231" s="388"/>
      <c r="AE231" s="388"/>
      <c r="AF231" s="388"/>
      <c r="AG231" s="388"/>
      <c r="AH231" s="388"/>
      <c r="AI231" s="388"/>
      <c r="AJ231" s="388"/>
      <c r="AK231" s="388"/>
      <c r="AL231" s="388"/>
      <c r="AM231" s="388"/>
      <c r="AN231" s="388"/>
      <c r="AO231" s="388"/>
      <c r="AP231" s="388"/>
      <c r="AQ231" s="388"/>
      <c r="AR231" s="388"/>
      <c r="AS231" s="388"/>
      <c r="AT231" s="388"/>
      <c r="AU231" s="388"/>
      <c r="AV231" s="388"/>
      <c r="AW231" s="388"/>
      <c r="AX231" s="388"/>
      <c r="AY231" s="388"/>
      <c r="AZ231" s="388"/>
      <c r="BA231" s="388"/>
      <c r="BB231" s="388"/>
      <c r="BC231" s="388"/>
      <c r="BD231" s="388"/>
      <c r="BE231" s="388"/>
      <c r="BF231" s="388"/>
      <c r="BG231" s="388"/>
      <c r="BH231" s="388"/>
      <c r="BI231" s="388"/>
      <c r="BJ231" s="388"/>
      <c r="BK231" s="388"/>
      <c r="BL231" s="388"/>
      <c r="BM231" s="388"/>
      <c r="BN231" s="388"/>
      <c r="BO231" s="388"/>
    </row>
    <row r="232" spans="4:67" ht="12.75" customHeight="1">
      <c r="D232" s="389"/>
      <c r="E232" s="389"/>
      <c r="F232" s="389"/>
      <c r="G232" s="389"/>
      <c r="H232" s="388"/>
      <c r="I232" s="389"/>
      <c r="J232" s="389"/>
      <c r="K232" s="389"/>
      <c r="L232" s="389"/>
      <c r="M232" s="389"/>
      <c r="N232" s="389"/>
      <c r="O232" s="407"/>
      <c r="P232" s="389"/>
      <c r="Q232" s="407"/>
      <c r="R232" s="389"/>
      <c r="S232" s="389"/>
      <c r="T232" s="389"/>
      <c r="U232" s="389"/>
      <c r="V232" s="389"/>
      <c r="W232" s="389"/>
      <c r="X232" s="389"/>
      <c r="Y232" s="389"/>
      <c r="Z232" s="389"/>
      <c r="AA232" s="389"/>
      <c r="AB232" s="389"/>
      <c r="AC232" s="388"/>
      <c r="AD232" s="388"/>
      <c r="AE232" s="388"/>
      <c r="AF232" s="388"/>
      <c r="AG232" s="388"/>
      <c r="AH232" s="388"/>
      <c r="AI232" s="388"/>
      <c r="AJ232" s="388"/>
      <c r="AK232" s="388"/>
      <c r="AL232" s="388"/>
      <c r="AM232" s="388"/>
      <c r="AN232" s="388"/>
      <c r="AO232" s="388"/>
      <c r="AP232" s="388"/>
      <c r="AQ232" s="388"/>
      <c r="AR232" s="388"/>
      <c r="AS232" s="388"/>
      <c r="AT232" s="388"/>
      <c r="AU232" s="388"/>
      <c r="AV232" s="388"/>
      <c r="AW232" s="388"/>
      <c r="AX232" s="388"/>
      <c r="AY232" s="388"/>
      <c r="AZ232" s="388"/>
      <c r="BA232" s="388"/>
      <c r="BB232" s="388"/>
      <c r="BC232" s="388"/>
      <c r="BD232" s="388"/>
      <c r="BE232" s="388"/>
      <c r="BF232" s="388"/>
      <c r="BG232" s="388"/>
      <c r="BH232" s="388"/>
      <c r="BI232" s="388"/>
      <c r="BJ232" s="388"/>
      <c r="BK232" s="388"/>
      <c r="BL232" s="388"/>
      <c r="BM232" s="388"/>
      <c r="BN232" s="388"/>
      <c r="BO232" s="388"/>
    </row>
    <row r="233" spans="4:67" ht="12.75" customHeight="1">
      <c r="D233" s="389"/>
      <c r="E233" s="389"/>
      <c r="F233" s="389"/>
      <c r="G233" s="389"/>
      <c r="H233" s="388"/>
      <c r="I233" s="389"/>
      <c r="J233" s="389"/>
      <c r="K233" s="389"/>
      <c r="L233" s="389"/>
      <c r="M233" s="389"/>
      <c r="N233" s="389"/>
      <c r="O233" s="407"/>
      <c r="P233" s="389"/>
      <c r="Q233" s="407"/>
      <c r="R233" s="389"/>
      <c r="S233" s="389"/>
      <c r="T233" s="389"/>
      <c r="U233" s="389"/>
      <c r="V233" s="389"/>
      <c r="W233" s="389"/>
      <c r="X233" s="389"/>
      <c r="Y233" s="389"/>
      <c r="Z233" s="389"/>
      <c r="AA233" s="389"/>
      <c r="AB233" s="389"/>
      <c r="AC233" s="388"/>
      <c r="AD233" s="388"/>
      <c r="AE233" s="388"/>
      <c r="AF233" s="388"/>
      <c r="AG233" s="388"/>
      <c r="AH233" s="388"/>
      <c r="AI233" s="388"/>
      <c r="AJ233" s="388"/>
      <c r="AK233" s="388"/>
      <c r="AL233" s="388"/>
      <c r="AM233" s="388"/>
      <c r="AN233" s="388"/>
      <c r="AO233" s="388"/>
      <c r="AP233" s="388"/>
      <c r="AQ233" s="388"/>
      <c r="AR233" s="388"/>
      <c r="AS233" s="388"/>
      <c r="AT233" s="388"/>
      <c r="AU233" s="388"/>
      <c r="AV233" s="388"/>
      <c r="AW233" s="388"/>
      <c r="AX233" s="388"/>
      <c r="AY233" s="388"/>
      <c r="AZ233" s="388"/>
      <c r="BA233" s="388"/>
      <c r="BB233" s="388"/>
      <c r="BC233" s="388"/>
      <c r="BD233" s="388"/>
      <c r="BE233" s="388"/>
      <c r="BF233" s="388"/>
      <c r="BG233" s="388"/>
      <c r="BH233" s="388"/>
      <c r="BI233" s="388"/>
      <c r="BJ233" s="388"/>
      <c r="BK233" s="388"/>
      <c r="BL233" s="388"/>
      <c r="BM233" s="388"/>
      <c r="BN233" s="388"/>
      <c r="BO233" s="388"/>
    </row>
    <row r="234" spans="4:67" ht="12.75" customHeight="1">
      <c r="D234" s="389"/>
      <c r="E234" s="389"/>
      <c r="F234" s="389"/>
      <c r="G234" s="389"/>
      <c r="H234" s="388"/>
      <c r="I234" s="389"/>
      <c r="J234" s="389"/>
      <c r="K234" s="389"/>
      <c r="L234" s="389"/>
      <c r="M234" s="389"/>
      <c r="N234" s="389"/>
      <c r="O234" s="407"/>
      <c r="P234" s="389"/>
      <c r="Q234" s="407"/>
      <c r="R234" s="389"/>
      <c r="S234" s="389"/>
      <c r="T234" s="389"/>
      <c r="U234" s="389"/>
      <c r="V234" s="389"/>
      <c r="W234" s="389"/>
      <c r="X234" s="389"/>
      <c r="Y234" s="389"/>
      <c r="Z234" s="389"/>
      <c r="AA234" s="389"/>
      <c r="AB234" s="389"/>
      <c r="AC234" s="388"/>
      <c r="AD234" s="388"/>
      <c r="AE234" s="388"/>
      <c r="AF234" s="388"/>
      <c r="AG234" s="388"/>
      <c r="AH234" s="388"/>
      <c r="AI234" s="388"/>
      <c r="AJ234" s="388"/>
      <c r="AK234" s="388"/>
      <c r="AL234" s="388"/>
      <c r="AM234" s="388"/>
      <c r="AN234" s="388"/>
      <c r="AO234" s="388"/>
      <c r="AP234" s="388"/>
      <c r="AQ234" s="388"/>
      <c r="AR234" s="388"/>
      <c r="AS234" s="388"/>
      <c r="AT234" s="388"/>
      <c r="AU234" s="388"/>
      <c r="AV234" s="388"/>
      <c r="AW234" s="388"/>
      <c r="AX234" s="388"/>
      <c r="AY234" s="388"/>
      <c r="AZ234" s="388"/>
      <c r="BA234" s="388"/>
      <c r="BB234" s="388"/>
      <c r="BC234" s="388"/>
      <c r="BD234" s="388"/>
      <c r="BE234" s="388"/>
      <c r="BF234" s="388"/>
      <c r="BG234" s="388"/>
      <c r="BH234" s="388"/>
      <c r="BI234" s="388"/>
      <c r="BJ234" s="388"/>
      <c r="BK234" s="388"/>
      <c r="BL234" s="388"/>
      <c r="BM234" s="388"/>
      <c r="BN234" s="388"/>
      <c r="BO234" s="388"/>
    </row>
    <row r="235" spans="4:67" ht="12.75" customHeight="1">
      <c r="D235" s="389"/>
      <c r="E235" s="389"/>
      <c r="F235" s="389"/>
      <c r="G235" s="389"/>
      <c r="H235" s="388"/>
      <c r="I235" s="389"/>
      <c r="J235" s="389"/>
      <c r="K235" s="389"/>
      <c r="L235" s="389"/>
      <c r="M235" s="389"/>
      <c r="N235" s="389"/>
      <c r="O235" s="407"/>
      <c r="P235" s="389"/>
      <c r="Q235" s="407"/>
      <c r="R235" s="389"/>
      <c r="S235" s="389"/>
      <c r="T235" s="389"/>
      <c r="U235" s="389"/>
      <c r="V235" s="389"/>
      <c r="W235" s="389"/>
      <c r="X235" s="389"/>
      <c r="Y235" s="389"/>
      <c r="Z235" s="389"/>
      <c r="AA235" s="389"/>
      <c r="AB235" s="389"/>
      <c r="AC235" s="388"/>
      <c r="AD235" s="388"/>
      <c r="AE235" s="388"/>
      <c r="AF235" s="388"/>
      <c r="AG235" s="388"/>
      <c r="AH235" s="388"/>
      <c r="AI235" s="388"/>
      <c r="AJ235" s="388"/>
      <c r="AK235" s="388"/>
      <c r="AL235" s="388"/>
      <c r="AM235" s="388"/>
      <c r="AN235" s="388"/>
      <c r="AO235" s="388"/>
      <c r="AP235" s="388"/>
      <c r="AQ235" s="388"/>
      <c r="AR235" s="388"/>
      <c r="AS235" s="388"/>
      <c r="AT235" s="388"/>
      <c r="AU235" s="388"/>
      <c r="AV235" s="388"/>
      <c r="AW235" s="388"/>
      <c r="AX235" s="388"/>
      <c r="AY235" s="388"/>
      <c r="AZ235" s="388"/>
      <c r="BA235" s="388"/>
      <c r="BB235" s="388"/>
      <c r="BC235" s="388"/>
      <c r="BD235" s="388"/>
      <c r="BE235" s="388"/>
      <c r="BF235" s="388"/>
      <c r="BG235" s="388"/>
      <c r="BH235" s="388"/>
      <c r="BI235" s="388"/>
      <c r="BJ235" s="388"/>
      <c r="BK235" s="388"/>
      <c r="BL235" s="388"/>
      <c r="BM235" s="388"/>
      <c r="BN235" s="388"/>
      <c r="BO235" s="388"/>
    </row>
    <row r="236" spans="4:67" ht="12.75" customHeight="1">
      <c r="D236" s="389"/>
      <c r="E236" s="389"/>
      <c r="F236" s="389"/>
      <c r="G236" s="389"/>
      <c r="H236" s="388"/>
      <c r="I236" s="389"/>
      <c r="J236" s="389"/>
      <c r="K236" s="389"/>
      <c r="L236" s="389"/>
      <c r="M236" s="389"/>
      <c r="N236" s="389"/>
      <c r="O236" s="407"/>
      <c r="P236" s="389"/>
      <c r="Q236" s="407"/>
      <c r="R236" s="389"/>
      <c r="S236" s="389"/>
      <c r="T236" s="389"/>
      <c r="U236" s="389"/>
      <c r="V236" s="389"/>
      <c r="W236" s="389"/>
      <c r="X236" s="389"/>
      <c r="Y236" s="389"/>
      <c r="Z236" s="389"/>
      <c r="AA236" s="389"/>
      <c r="AB236" s="389"/>
      <c r="AC236" s="388"/>
      <c r="AD236" s="388"/>
      <c r="AE236" s="388"/>
      <c r="AF236" s="388"/>
      <c r="AG236" s="388"/>
      <c r="AH236" s="388"/>
      <c r="AI236" s="388"/>
      <c r="AJ236" s="388"/>
      <c r="AK236" s="388"/>
      <c r="AL236" s="388"/>
      <c r="AM236" s="388"/>
      <c r="AN236" s="388"/>
      <c r="AO236" s="388"/>
      <c r="AP236" s="388"/>
      <c r="AQ236" s="388"/>
      <c r="AR236" s="388"/>
      <c r="AS236" s="388"/>
      <c r="AT236" s="388"/>
      <c r="AU236" s="388"/>
      <c r="AV236" s="388"/>
      <c r="AW236" s="388"/>
      <c r="AX236" s="388"/>
      <c r="AY236" s="388"/>
      <c r="AZ236" s="388"/>
      <c r="BA236" s="388"/>
      <c r="BB236" s="388"/>
      <c r="BC236" s="388"/>
      <c r="BD236" s="388"/>
      <c r="BE236" s="388"/>
      <c r="BF236" s="388"/>
      <c r="BG236" s="388"/>
      <c r="BH236" s="388"/>
      <c r="BI236" s="388"/>
      <c r="BJ236" s="388"/>
      <c r="BK236" s="388"/>
      <c r="BL236" s="388"/>
      <c r="BM236" s="388"/>
      <c r="BN236" s="388"/>
      <c r="BO236" s="388"/>
    </row>
    <row r="237" spans="4:67" ht="12.75" customHeight="1">
      <c r="D237" s="389"/>
      <c r="E237" s="389"/>
      <c r="F237" s="389"/>
      <c r="G237" s="389"/>
      <c r="H237" s="388"/>
      <c r="I237" s="389"/>
      <c r="J237" s="389"/>
      <c r="K237" s="389"/>
      <c r="L237" s="389"/>
      <c r="M237" s="389"/>
      <c r="N237" s="389"/>
      <c r="O237" s="407"/>
      <c r="P237" s="389"/>
      <c r="Q237" s="407"/>
      <c r="R237" s="389"/>
      <c r="S237" s="389"/>
      <c r="T237" s="389"/>
      <c r="U237" s="389"/>
      <c r="V237" s="389"/>
      <c r="W237" s="389"/>
      <c r="X237" s="389"/>
      <c r="Y237" s="389"/>
      <c r="Z237" s="389"/>
      <c r="AA237" s="389"/>
      <c r="AB237" s="389"/>
      <c r="AC237" s="388"/>
      <c r="AD237" s="388"/>
      <c r="AE237" s="388"/>
      <c r="AF237" s="388"/>
      <c r="AG237" s="388"/>
      <c r="AH237" s="388"/>
      <c r="AI237" s="388"/>
      <c r="AJ237" s="388"/>
      <c r="AK237" s="388"/>
      <c r="AL237" s="388"/>
      <c r="AM237" s="388"/>
      <c r="AN237" s="388"/>
      <c r="AO237" s="388"/>
      <c r="AP237" s="388"/>
      <c r="AQ237" s="388"/>
      <c r="AR237" s="388"/>
      <c r="AS237" s="388"/>
      <c r="AT237" s="388"/>
      <c r="AU237" s="388"/>
      <c r="AV237" s="388"/>
      <c r="AW237" s="388"/>
      <c r="AX237" s="388"/>
      <c r="AY237" s="388"/>
      <c r="AZ237" s="388"/>
      <c r="BA237" s="388"/>
      <c r="BB237" s="388"/>
      <c r="BC237" s="388"/>
      <c r="BD237" s="388"/>
      <c r="BE237" s="388"/>
      <c r="BF237" s="388"/>
      <c r="BG237" s="388"/>
      <c r="BH237" s="388"/>
      <c r="BI237" s="388"/>
      <c r="BJ237" s="388"/>
      <c r="BK237" s="388"/>
      <c r="BL237" s="388"/>
      <c r="BM237" s="388"/>
      <c r="BN237" s="388"/>
      <c r="BO237" s="388"/>
    </row>
    <row r="238" spans="4:67" ht="12.75" customHeight="1">
      <c r="D238" s="389"/>
      <c r="E238" s="389"/>
      <c r="F238" s="389"/>
      <c r="G238" s="389"/>
      <c r="H238" s="388"/>
      <c r="I238" s="389"/>
      <c r="J238" s="389"/>
      <c r="K238" s="389"/>
      <c r="L238" s="389"/>
      <c r="M238" s="389"/>
      <c r="N238" s="389"/>
      <c r="O238" s="407"/>
      <c r="P238" s="389"/>
      <c r="Q238" s="407"/>
      <c r="R238" s="389"/>
      <c r="S238" s="389"/>
      <c r="T238" s="389"/>
      <c r="U238" s="389"/>
      <c r="V238" s="389"/>
      <c r="W238" s="389"/>
      <c r="X238" s="389"/>
      <c r="Y238" s="389"/>
      <c r="Z238" s="389"/>
      <c r="AA238" s="389"/>
      <c r="AB238" s="389"/>
      <c r="AC238" s="388"/>
      <c r="AD238" s="388"/>
      <c r="AE238" s="388"/>
      <c r="AF238" s="388"/>
      <c r="AG238" s="388"/>
      <c r="AH238" s="388"/>
      <c r="AI238" s="388"/>
      <c r="AJ238" s="388"/>
      <c r="AK238" s="388"/>
      <c r="AL238" s="388"/>
      <c r="AM238" s="388"/>
      <c r="AN238" s="388"/>
      <c r="AO238" s="388"/>
      <c r="AP238" s="388"/>
      <c r="AQ238" s="388"/>
      <c r="AR238" s="388"/>
      <c r="AS238" s="388"/>
      <c r="AT238" s="388"/>
      <c r="AU238" s="388"/>
      <c r="AV238" s="388"/>
      <c r="AW238" s="388"/>
      <c r="AX238" s="388"/>
      <c r="AY238" s="388"/>
      <c r="AZ238" s="388"/>
      <c r="BA238" s="388"/>
      <c r="BB238" s="388"/>
      <c r="BC238" s="388"/>
      <c r="BD238" s="388"/>
      <c r="BE238" s="388"/>
      <c r="BF238" s="388"/>
      <c r="BG238" s="388"/>
      <c r="BH238" s="388"/>
      <c r="BI238" s="388"/>
      <c r="BJ238" s="388"/>
      <c r="BK238" s="388"/>
      <c r="BL238" s="388"/>
      <c r="BM238" s="388"/>
      <c r="BN238" s="388"/>
      <c r="BO238" s="388"/>
    </row>
    <row r="239" spans="4:67" ht="12.75" customHeight="1">
      <c r="D239" s="389"/>
      <c r="E239" s="389"/>
      <c r="F239" s="389"/>
      <c r="G239" s="389"/>
      <c r="H239" s="388"/>
      <c r="I239" s="389"/>
      <c r="J239" s="389"/>
      <c r="K239" s="389"/>
      <c r="L239" s="389"/>
      <c r="M239" s="389"/>
      <c r="N239" s="389"/>
      <c r="O239" s="407"/>
      <c r="P239" s="389"/>
      <c r="Q239" s="407"/>
      <c r="R239" s="389"/>
      <c r="S239" s="389"/>
      <c r="T239" s="389"/>
      <c r="U239" s="389"/>
      <c r="V239" s="389"/>
      <c r="W239" s="389"/>
      <c r="X239" s="389"/>
      <c r="Y239" s="389"/>
      <c r="Z239" s="389"/>
      <c r="AA239" s="389"/>
      <c r="AB239" s="389"/>
      <c r="AC239" s="388"/>
      <c r="AD239" s="388"/>
      <c r="AE239" s="388"/>
      <c r="AF239" s="388"/>
      <c r="AG239" s="388"/>
      <c r="AH239" s="388"/>
      <c r="AI239" s="388"/>
      <c r="AJ239" s="388"/>
      <c r="AK239" s="388"/>
      <c r="AL239" s="388"/>
      <c r="AM239" s="388"/>
      <c r="AN239" s="388"/>
      <c r="AO239" s="388"/>
      <c r="AP239" s="388"/>
      <c r="AQ239" s="388"/>
      <c r="AR239" s="388"/>
      <c r="AS239" s="388"/>
      <c r="AT239" s="388"/>
      <c r="AU239" s="388"/>
      <c r="AV239" s="388"/>
      <c r="AW239" s="388"/>
      <c r="AX239" s="388"/>
      <c r="AY239" s="388"/>
      <c r="AZ239" s="388"/>
      <c r="BA239" s="388"/>
      <c r="BB239" s="388"/>
      <c r="BC239" s="388"/>
      <c r="BD239" s="388"/>
      <c r="BE239" s="388"/>
      <c r="BF239" s="388"/>
      <c r="BG239" s="388"/>
      <c r="BH239" s="388"/>
      <c r="BI239" s="388"/>
      <c r="BJ239" s="388"/>
      <c r="BK239" s="388"/>
      <c r="BL239" s="388"/>
      <c r="BM239" s="388"/>
      <c r="BN239" s="388"/>
      <c r="BO239" s="388"/>
    </row>
    <row r="240" spans="4:67" ht="12.75" customHeight="1">
      <c r="D240" s="389"/>
      <c r="E240" s="389"/>
      <c r="F240" s="389"/>
      <c r="G240" s="389"/>
      <c r="H240" s="388"/>
      <c r="I240" s="389"/>
      <c r="J240" s="389"/>
      <c r="K240" s="389"/>
      <c r="L240" s="389"/>
      <c r="M240" s="389"/>
      <c r="N240" s="389"/>
      <c r="O240" s="407"/>
      <c r="P240" s="389"/>
      <c r="Q240" s="407"/>
      <c r="R240" s="389"/>
      <c r="S240" s="389"/>
      <c r="T240" s="389"/>
      <c r="U240" s="389"/>
      <c r="V240" s="389"/>
      <c r="W240" s="389"/>
      <c r="X240" s="389"/>
      <c r="Y240" s="389"/>
      <c r="Z240" s="389"/>
      <c r="AA240" s="389"/>
      <c r="AB240" s="389"/>
      <c r="AC240" s="388"/>
      <c r="AD240" s="388"/>
      <c r="AE240" s="388"/>
      <c r="AF240" s="388"/>
      <c r="AG240" s="388"/>
      <c r="AH240" s="388"/>
      <c r="AI240" s="388"/>
      <c r="AJ240" s="388"/>
      <c r="AK240" s="388"/>
      <c r="AL240" s="388"/>
      <c r="AM240" s="388"/>
      <c r="AN240" s="388"/>
      <c r="AO240" s="388"/>
      <c r="AP240" s="388"/>
      <c r="AQ240" s="388"/>
      <c r="AR240" s="388"/>
      <c r="AS240" s="388"/>
      <c r="AT240" s="388"/>
      <c r="AU240" s="388"/>
      <c r="AV240" s="388"/>
      <c r="AW240" s="388"/>
      <c r="AX240" s="388"/>
      <c r="AY240" s="388"/>
      <c r="AZ240" s="388"/>
      <c r="BA240" s="388"/>
      <c r="BB240" s="388"/>
      <c r="BC240" s="388"/>
      <c r="BD240" s="388"/>
      <c r="BE240" s="388"/>
      <c r="BF240" s="388"/>
      <c r="BG240" s="388"/>
      <c r="BH240" s="388"/>
      <c r="BI240" s="388"/>
      <c r="BJ240" s="388"/>
      <c r="BK240" s="388"/>
      <c r="BL240" s="388"/>
      <c r="BM240" s="388"/>
      <c r="BN240" s="388"/>
      <c r="BO240" s="388"/>
    </row>
    <row r="241" spans="4:67" ht="12.75" customHeight="1">
      <c r="D241" s="389"/>
      <c r="E241" s="389"/>
      <c r="F241" s="389"/>
      <c r="G241" s="389"/>
      <c r="H241" s="388"/>
      <c r="I241" s="389"/>
      <c r="J241" s="389"/>
      <c r="K241" s="389"/>
      <c r="L241" s="389"/>
      <c r="M241" s="389"/>
      <c r="N241" s="389"/>
      <c r="O241" s="407"/>
      <c r="P241" s="389"/>
      <c r="Q241" s="407"/>
      <c r="R241" s="389"/>
      <c r="S241" s="389"/>
      <c r="T241" s="389"/>
      <c r="U241" s="389"/>
      <c r="V241" s="389"/>
      <c r="W241" s="389"/>
      <c r="X241" s="389"/>
      <c r="Y241" s="389"/>
      <c r="Z241" s="389"/>
      <c r="AA241" s="389"/>
      <c r="AB241" s="389"/>
      <c r="AC241" s="388"/>
      <c r="AD241" s="388"/>
      <c r="AE241" s="388"/>
      <c r="AF241" s="388"/>
      <c r="AG241" s="388"/>
      <c r="AH241" s="388"/>
      <c r="AI241" s="388"/>
      <c r="AJ241" s="388"/>
      <c r="AK241" s="388"/>
      <c r="AL241" s="388"/>
      <c r="AM241" s="388"/>
      <c r="AN241" s="388"/>
      <c r="AO241" s="388"/>
      <c r="AP241" s="388"/>
      <c r="AQ241" s="388"/>
      <c r="AR241" s="388"/>
      <c r="AS241" s="388"/>
      <c r="AT241" s="388"/>
      <c r="AU241" s="388"/>
      <c r="AV241" s="388"/>
      <c r="AW241" s="388"/>
      <c r="AX241" s="388"/>
      <c r="AY241" s="388"/>
      <c r="AZ241" s="388"/>
      <c r="BA241" s="388"/>
      <c r="BB241" s="388"/>
      <c r="BC241" s="388"/>
      <c r="BD241" s="388"/>
      <c r="BE241" s="388"/>
      <c r="BF241" s="388"/>
      <c r="BG241" s="388"/>
      <c r="BH241" s="388"/>
      <c r="BI241" s="388"/>
      <c r="BJ241" s="388"/>
      <c r="BK241" s="388"/>
      <c r="BL241" s="388"/>
      <c r="BM241" s="388"/>
      <c r="BN241" s="388"/>
      <c r="BO241" s="388"/>
    </row>
    <row r="242" spans="4:67" ht="12.75" customHeight="1">
      <c r="D242" s="389"/>
      <c r="E242" s="389"/>
      <c r="F242" s="389"/>
      <c r="G242" s="389"/>
      <c r="H242" s="388"/>
      <c r="I242" s="389"/>
      <c r="J242" s="389"/>
      <c r="K242" s="389"/>
      <c r="L242" s="389"/>
      <c r="M242" s="389"/>
      <c r="N242" s="389"/>
      <c r="O242" s="407"/>
      <c r="P242" s="389"/>
      <c r="Q242" s="407"/>
      <c r="R242" s="389"/>
      <c r="S242" s="389"/>
      <c r="T242" s="389"/>
      <c r="U242" s="389"/>
      <c r="V242" s="389"/>
      <c r="W242" s="389"/>
      <c r="X242" s="389"/>
      <c r="Y242" s="389"/>
      <c r="Z242" s="389"/>
      <c r="AA242" s="389"/>
      <c r="AB242" s="389"/>
      <c r="AC242" s="388"/>
      <c r="AD242" s="388"/>
      <c r="AE242" s="388"/>
      <c r="AF242" s="388"/>
      <c r="AG242" s="388"/>
      <c r="AH242" s="388"/>
      <c r="AI242" s="388"/>
      <c r="AJ242" s="388"/>
      <c r="AK242" s="388"/>
      <c r="AL242" s="388"/>
      <c r="AM242" s="388"/>
      <c r="AN242" s="388"/>
      <c r="AO242" s="388"/>
      <c r="AP242" s="388"/>
      <c r="AQ242" s="388"/>
      <c r="AR242" s="388"/>
      <c r="AS242" s="388"/>
      <c r="AT242" s="388"/>
      <c r="AU242" s="388"/>
      <c r="AV242" s="388"/>
      <c r="AW242" s="388"/>
      <c r="AX242" s="388"/>
      <c r="AY242" s="388"/>
      <c r="AZ242" s="388"/>
      <c r="BA242" s="388"/>
      <c r="BB242" s="388"/>
      <c r="BC242" s="388"/>
      <c r="BD242" s="388"/>
      <c r="BE242" s="388"/>
      <c r="BF242" s="388"/>
      <c r="BG242" s="388"/>
      <c r="BH242" s="388"/>
      <c r="BI242" s="388"/>
      <c r="BJ242" s="388"/>
      <c r="BK242" s="388"/>
      <c r="BL242" s="388"/>
      <c r="BM242" s="388"/>
      <c r="BN242" s="388"/>
      <c r="BO242" s="388"/>
    </row>
    <row r="243" spans="4:67" ht="12.75" customHeight="1">
      <c r="D243" s="389"/>
      <c r="E243" s="389"/>
      <c r="F243" s="389"/>
      <c r="G243" s="389"/>
      <c r="H243" s="388"/>
      <c r="I243" s="389"/>
      <c r="J243" s="389"/>
      <c r="K243" s="389"/>
      <c r="L243" s="389"/>
      <c r="M243" s="389"/>
      <c r="N243" s="389"/>
      <c r="O243" s="407"/>
      <c r="P243" s="389"/>
      <c r="Q243" s="407"/>
      <c r="R243" s="389"/>
      <c r="S243" s="389"/>
      <c r="T243" s="389"/>
      <c r="U243" s="389"/>
      <c r="V243" s="389"/>
      <c r="W243" s="389"/>
      <c r="X243" s="389"/>
      <c r="Y243" s="389"/>
      <c r="Z243" s="389"/>
      <c r="AA243" s="389"/>
      <c r="AB243" s="389"/>
      <c r="AC243" s="388"/>
      <c r="AD243" s="388"/>
      <c r="AE243" s="388"/>
      <c r="AF243" s="388"/>
      <c r="AG243" s="388"/>
      <c r="AH243" s="388"/>
      <c r="AI243" s="388"/>
      <c r="AJ243" s="388"/>
      <c r="AK243" s="388"/>
      <c r="AL243" s="388"/>
      <c r="AM243" s="388"/>
      <c r="AN243" s="388"/>
      <c r="AO243" s="388"/>
      <c r="AP243" s="388"/>
      <c r="AQ243" s="388"/>
      <c r="AR243" s="388"/>
      <c r="AS243" s="388"/>
      <c r="AT243" s="388"/>
      <c r="AU243" s="388"/>
      <c r="AV243" s="388"/>
      <c r="AW243" s="388"/>
      <c r="AX243" s="388"/>
      <c r="AY243" s="388"/>
      <c r="AZ243" s="388"/>
      <c r="BA243" s="388"/>
      <c r="BB243" s="388"/>
      <c r="BC243" s="388"/>
      <c r="BD243" s="388"/>
      <c r="BE243" s="388"/>
      <c r="BF243" s="388"/>
      <c r="BG243" s="388"/>
      <c r="BH243" s="388"/>
      <c r="BI243" s="388"/>
      <c r="BJ243" s="388"/>
      <c r="BK243" s="388"/>
      <c r="BL243" s="388"/>
      <c r="BM243" s="388"/>
      <c r="BN243" s="388"/>
      <c r="BO243" s="388"/>
    </row>
    <row r="244" spans="4:67" ht="12.75" customHeight="1">
      <c r="D244" s="389"/>
      <c r="E244" s="389"/>
      <c r="F244" s="389"/>
      <c r="G244" s="389"/>
      <c r="H244" s="388"/>
      <c r="I244" s="389"/>
      <c r="J244" s="389"/>
      <c r="K244" s="389"/>
      <c r="L244" s="389"/>
      <c r="M244" s="389"/>
      <c r="N244" s="389"/>
      <c r="O244" s="407"/>
      <c r="P244" s="389"/>
      <c r="Q244" s="407"/>
      <c r="R244" s="389"/>
      <c r="S244" s="389"/>
      <c r="T244" s="389"/>
      <c r="U244" s="389"/>
      <c r="V244" s="389"/>
      <c r="W244" s="389"/>
      <c r="X244" s="389"/>
      <c r="Y244" s="389"/>
      <c r="Z244" s="389"/>
      <c r="AA244" s="389"/>
      <c r="AB244" s="389"/>
      <c r="AC244" s="388"/>
      <c r="AD244" s="388"/>
      <c r="AE244" s="388"/>
      <c r="AF244" s="388"/>
      <c r="AG244" s="388"/>
      <c r="AH244" s="388"/>
      <c r="AI244" s="388"/>
      <c r="AJ244" s="388"/>
      <c r="AK244" s="388"/>
      <c r="AL244" s="388"/>
      <c r="AM244" s="388"/>
      <c r="AN244" s="388"/>
      <c r="AO244" s="388"/>
      <c r="AP244" s="388"/>
      <c r="AQ244" s="388"/>
      <c r="AR244" s="388"/>
      <c r="AS244" s="388"/>
      <c r="AT244" s="388"/>
      <c r="AU244" s="388"/>
      <c r="AV244" s="388"/>
      <c r="AW244" s="388"/>
      <c r="AX244" s="388"/>
      <c r="AY244" s="388"/>
      <c r="AZ244" s="388"/>
      <c r="BA244" s="388"/>
      <c r="BB244" s="388"/>
      <c r="BC244" s="388"/>
      <c r="BD244" s="388"/>
      <c r="BE244" s="388"/>
      <c r="BF244" s="388"/>
      <c r="BG244" s="388"/>
      <c r="BH244" s="388"/>
      <c r="BI244" s="388"/>
      <c r="BJ244" s="388"/>
      <c r="BK244" s="388"/>
      <c r="BL244" s="388"/>
      <c r="BM244" s="388"/>
      <c r="BN244" s="388"/>
      <c r="BO244" s="388"/>
    </row>
    <row r="245" spans="4:67" ht="12.75" customHeight="1">
      <c r="D245" s="389"/>
      <c r="E245" s="389"/>
      <c r="F245" s="389"/>
      <c r="G245" s="389"/>
      <c r="H245" s="388"/>
      <c r="I245" s="389"/>
      <c r="J245" s="389"/>
      <c r="K245" s="389"/>
      <c r="L245" s="389"/>
      <c r="M245" s="389"/>
      <c r="N245" s="389"/>
      <c r="O245" s="407"/>
      <c r="P245" s="389"/>
      <c r="Q245" s="407"/>
      <c r="R245" s="389"/>
      <c r="S245" s="389"/>
      <c r="T245" s="389"/>
      <c r="U245" s="389"/>
      <c r="V245" s="389"/>
      <c r="W245" s="389"/>
      <c r="X245" s="389"/>
      <c r="Y245" s="389"/>
      <c r="Z245" s="389"/>
      <c r="AA245" s="389"/>
      <c r="AB245" s="389"/>
      <c r="AC245" s="388"/>
      <c r="AD245" s="388"/>
      <c r="AE245" s="388"/>
      <c r="AF245" s="388"/>
      <c r="AG245" s="388"/>
      <c r="AH245" s="388"/>
      <c r="AI245" s="388"/>
      <c r="AJ245" s="388"/>
      <c r="AK245" s="388"/>
      <c r="AL245" s="388"/>
      <c r="AM245" s="388"/>
      <c r="AN245" s="388"/>
      <c r="AO245" s="388"/>
      <c r="AP245" s="388"/>
      <c r="AQ245" s="388"/>
      <c r="AR245" s="388"/>
      <c r="AS245" s="388"/>
      <c r="AT245" s="388"/>
      <c r="AU245" s="388"/>
      <c r="AV245" s="388"/>
      <c r="AW245" s="388"/>
      <c r="AX245" s="388"/>
      <c r="AY245" s="388"/>
      <c r="AZ245" s="388"/>
      <c r="BA245" s="388"/>
      <c r="BB245" s="388"/>
      <c r="BC245" s="388"/>
      <c r="BD245" s="388"/>
      <c r="BE245" s="388"/>
      <c r="BF245" s="388"/>
      <c r="BG245" s="388"/>
      <c r="BH245" s="388"/>
      <c r="BI245" s="388"/>
      <c r="BJ245" s="388"/>
      <c r="BK245" s="388"/>
      <c r="BL245" s="388"/>
      <c r="BM245" s="388"/>
      <c r="BN245" s="388"/>
      <c r="BO245" s="388"/>
    </row>
    <row r="246" spans="4:67" ht="12.75" customHeight="1">
      <c r="D246" s="389"/>
      <c r="E246" s="389"/>
      <c r="F246" s="389"/>
      <c r="G246" s="389"/>
      <c r="H246" s="388"/>
      <c r="I246" s="389"/>
      <c r="J246" s="389"/>
      <c r="K246" s="389"/>
      <c r="L246" s="389"/>
      <c r="M246" s="389"/>
      <c r="N246" s="389"/>
      <c r="O246" s="407"/>
      <c r="P246" s="389"/>
      <c r="Q246" s="407"/>
      <c r="R246" s="389"/>
      <c r="S246" s="389"/>
      <c r="T246" s="389"/>
      <c r="U246" s="389"/>
      <c r="V246" s="389"/>
      <c r="W246" s="389"/>
      <c r="X246" s="389"/>
      <c r="Y246" s="389"/>
      <c r="Z246" s="389"/>
      <c r="AA246" s="389"/>
      <c r="AB246" s="389"/>
      <c r="AC246" s="388"/>
      <c r="AD246" s="388"/>
      <c r="AE246" s="388"/>
      <c r="AF246" s="388"/>
      <c r="AG246" s="388"/>
      <c r="AH246" s="388"/>
      <c r="AI246" s="388"/>
      <c r="AJ246" s="388"/>
      <c r="AK246" s="388"/>
      <c r="AL246" s="388"/>
      <c r="AM246" s="388"/>
      <c r="AN246" s="388"/>
      <c r="AO246" s="388"/>
      <c r="AP246" s="388"/>
      <c r="AQ246" s="388"/>
      <c r="AR246" s="388"/>
      <c r="AS246" s="388"/>
      <c r="AT246" s="388"/>
      <c r="AU246" s="388"/>
      <c r="AV246" s="388"/>
      <c r="AW246" s="388"/>
      <c r="AX246" s="388"/>
      <c r="AY246" s="388"/>
      <c r="AZ246" s="388"/>
      <c r="BA246" s="388"/>
      <c r="BB246" s="388"/>
      <c r="BC246" s="388"/>
      <c r="BD246" s="388"/>
      <c r="BE246" s="388"/>
      <c r="BF246" s="388"/>
      <c r="BG246" s="388"/>
      <c r="BH246" s="388"/>
      <c r="BI246" s="388"/>
      <c r="BJ246" s="388"/>
      <c r="BK246" s="388"/>
      <c r="BL246" s="388"/>
      <c r="BM246" s="388"/>
      <c r="BN246" s="388"/>
      <c r="BO246" s="388"/>
    </row>
    <row r="247" spans="4:67" ht="12.75" customHeight="1">
      <c r="D247" s="389"/>
      <c r="E247" s="389"/>
      <c r="F247" s="389"/>
      <c r="G247" s="389"/>
      <c r="H247" s="388"/>
      <c r="I247" s="389"/>
      <c r="J247" s="389"/>
      <c r="K247" s="389"/>
      <c r="L247" s="389"/>
      <c r="M247" s="389"/>
      <c r="N247" s="389"/>
      <c r="O247" s="407"/>
      <c r="P247" s="389"/>
      <c r="Q247" s="407"/>
      <c r="R247" s="389"/>
      <c r="S247" s="389"/>
      <c r="T247" s="389"/>
      <c r="U247" s="389"/>
      <c r="V247" s="389"/>
      <c r="W247" s="389"/>
      <c r="X247" s="389"/>
      <c r="Y247" s="389"/>
      <c r="Z247" s="389"/>
      <c r="AA247" s="389"/>
      <c r="AB247" s="389"/>
      <c r="AC247" s="388"/>
      <c r="AD247" s="388"/>
      <c r="AE247" s="388"/>
      <c r="AF247" s="388"/>
      <c r="AG247" s="388"/>
      <c r="AH247" s="388"/>
      <c r="AI247" s="388"/>
      <c r="AJ247" s="388"/>
      <c r="AK247" s="388"/>
      <c r="AL247" s="388"/>
      <c r="AM247" s="388"/>
      <c r="AN247" s="388"/>
      <c r="AO247" s="388"/>
      <c r="AP247" s="388"/>
      <c r="AQ247" s="388"/>
      <c r="AR247" s="388"/>
      <c r="AS247" s="388"/>
      <c r="AT247" s="388"/>
      <c r="AU247" s="388"/>
      <c r="AV247" s="388"/>
      <c r="AW247" s="388"/>
      <c r="AX247" s="388"/>
      <c r="AY247" s="388"/>
      <c r="AZ247" s="388"/>
      <c r="BA247" s="388"/>
      <c r="BB247" s="388"/>
      <c r="BC247" s="388"/>
      <c r="BD247" s="388"/>
      <c r="BE247" s="388"/>
      <c r="BF247" s="388"/>
      <c r="BG247" s="388"/>
      <c r="BH247" s="388"/>
      <c r="BI247" s="388"/>
      <c r="BJ247" s="388"/>
      <c r="BK247" s="388"/>
      <c r="BL247" s="388"/>
      <c r="BM247" s="388"/>
      <c r="BN247" s="388"/>
      <c r="BO247" s="388"/>
    </row>
    <row r="248" spans="4:67" ht="12.75" customHeight="1">
      <c r="D248" s="389"/>
      <c r="E248" s="389"/>
      <c r="F248" s="389"/>
      <c r="G248" s="389"/>
      <c r="H248" s="388"/>
      <c r="I248" s="389"/>
      <c r="J248" s="389"/>
      <c r="K248" s="389"/>
      <c r="L248" s="389"/>
      <c r="M248" s="389"/>
      <c r="N248" s="389"/>
      <c r="O248" s="407"/>
      <c r="P248" s="389"/>
      <c r="Q248" s="407"/>
      <c r="R248" s="389"/>
      <c r="S248" s="389"/>
      <c r="T248" s="389"/>
      <c r="U248" s="389"/>
      <c r="V248" s="389"/>
      <c r="W248" s="389"/>
      <c r="X248" s="389"/>
      <c r="Y248" s="389"/>
      <c r="Z248" s="389"/>
      <c r="AA248" s="389"/>
      <c r="AB248" s="389"/>
      <c r="AC248" s="388"/>
      <c r="AD248" s="388"/>
      <c r="AE248" s="388"/>
      <c r="AF248" s="388"/>
      <c r="AG248" s="388"/>
      <c r="AH248" s="388"/>
      <c r="AI248" s="388"/>
      <c r="AJ248" s="388"/>
      <c r="AK248" s="388"/>
      <c r="AL248" s="388"/>
      <c r="AM248" s="388"/>
      <c r="AN248" s="388"/>
      <c r="AO248" s="388"/>
      <c r="AP248" s="388"/>
      <c r="AQ248" s="388"/>
      <c r="AR248" s="388"/>
      <c r="AS248" s="388"/>
      <c r="AT248" s="388"/>
      <c r="AU248" s="388"/>
      <c r="AV248" s="388"/>
      <c r="AW248" s="388"/>
      <c r="AX248" s="388"/>
      <c r="AY248" s="388"/>
      <c r="AZ248" s="388"/>
      <c r="BA248" s="388"/>
      <c r="BB248" s="388"/>
      <c r="BC248" s="388"/>
      <c r="BD248" s="388"/>
      <c r="BE248" s="388"/>
      <c r="BF248" s="388"/>
      <c r="BG248" s="388"/>
      <c r="BH248" s="388"/>
      <c r="BI248" s="388"/>
      <c r="BJ248" s="388"/>
      <c r="BK248" s="388"/>
      <c r="BL248" s="388"/>
      <c r="BM248" s="388"/>
      <c r="BN248" s="388"/>
      <c r="BO248" s="388"/>
    </row>
    <row r="249" spans="4:67" ht="12.75" customHeight="1">
      <c r="D249" s="389"/>
      <c r="E249" s="389"/>
      <c r="F249" s="389"/>
      <c r="G249" s="389"/>
      <c r="H249" s="388"/>
      <c r="I249" s="389"/>
      <c r="J249" s="389"/>
      <c r="K249" s="389"/>
      <c r="L249" s="389"/>
      <c r="M249" s="389"/>
      <c r="N249" s="389"/>
      <c r="O249" s="407"/>
      <c r="P249" s="389"/>
      <c r="Q249" s="407"/>
      <c r="R249" s="389"/>
      <c r="S249" s="389"/>
      <c r="T249" s="389"/>
      <c r="U249" s="389"/>
      <c r="V249" s="389"/>
      <c r="W249" s="389"/>
      <c r="X249" s="389"/>
      <c r="Y249" s="389"/>
      <c r="Z249" s="389"/>
      <c r="AA249" s="389"/>
      <c r="AB249" s="389"/>
      <c r="AC249" s="388"/>
      <c r="AD249" s="388"/>
      <c r="AE249" s="388"/>
      <c r="AF249" s="388"/>
      <c r="AG249" s="388"/>
      <c r="AH249" s="388"/>
      <c r="AI249" s="388"/>
      <c r="AJ249" s="388"/>
      <c r="AK249" s="388"/>
      <c r="AL249" s="388"/>
      <c r="AM249" s="388"/>
      <c r="AN249" s="388"/>
      <c r="AO249" s="388"/>
      <c r="AP249" s="388"/>
      <c r="AQ249" s="388"/>
      <c r="AR249" s="388"/>
      <c r="AS249" s="388"/>
      <c r="AT249" s="388"/>
      <c r="AU249" s="388"/>
      <c r="AV249" s="388"/>
      <c r="AW249" s="388"/>
      <c r="AX249" s="388"/>
      <c r="AY249" s="388"/>
      <c r="AZ249" s="388"/>
      <c r="BA249" s="388"/>
      <c r="BB249" s="388"/>
      <c r="BC249" s="388"/>
      <c r="BD249" s="388"/>
      <c r="BE249" s="388"/>
      <c r="BF249" s="388"/>
      <c r="BG249" s="388"/>
      <c r="BH249" s="388"/>
      <c r="BI249" s="388"/>
      <c r="BJ249" s="388"/>
      <c r="BK249" s="388"/>
      <c r="BL249" s="388"/>
      <c r="BM249" s="388"/>
      <c r="BN249" s="388"/>
      <c r="BO249" s="388"/>
    </row>
    <row r="250" spans="4:67" ht="12.75" customHeight="1">
      <c r="D250" s="389"/>
      <c r="E250" s="389"/>
      <c r="F250" s="389"/>
      <c r="G250" s="389"/>
      <c r="H250" s="388"/>
      <c r="I250" s="389"/>
      <c r="J250" s="389"/>
      <c r="K250" s="389"/>
      <c r="L250" s="389"/>
      <c r="M250" s="389"/>
      <c r="N250" s="389"/>
      <c r="O250" s="407"/>
      <c r="P250" s="389"/>
      <c r="Q250" s="407"/>
      <c r="R250" s="389"/>
      <c r="S250" s="389"/>
      <c r="T250" s="389"/>
      <c r="U250" s="389"/>
      <c r="V250" s="389"/>
      <c r="W250" s="389"/>
      <c r="X250" s="389"/>
      <c r="Y250" s="389"/>
      <c r="Z250" s="389"/>
      <c r="AA250" s="389"/>
      <c r="AB250" s="389"/>
      <c r="AC250" s="388"/>
      <c r="AD250" s="388"/>
      <c r="AE250" s="388"/>
      <c r="AF250" s="388"/>
      <c r="AG250" s="388"/>
      <c r="AH250" s="388"/>
      <c r="AI250" s="388"/>
      <c r="AJ250" s="388"/>
      <c r="AK250" s="388"/>
      <c r="AL250" s="388"/>
      <c r="AM250" s="388"/>
      <c r="AN250" s="388"/>
      <c r="AO250" s="388"/>
      <c r="AP250" s="388"/>
      <c r="AQ250" s="388"/>
      <c r="AR250" s="388"/>
      <c r="AS250" s="388"/>
      <c r="AT250" s="388"/>
      <c r="AU250" s="388"/>
      <c r="AV250" s="388"/>
      <c r="AW250" s="388"/>
      <c r="AX250" s="388"/>
      <c r="AY250" s="388"/>
      <c r="AZ250" s="388"/>
      <c r="BA250" s="388"/>
      <c r="BB250" s="388"/>
      <c r="BC250" s="388"/>
      <c r="BD250" s="388"/>
      <c r="BE250" s="388"/>
      <c r="BF250" s="388"/>
      <c r="BG250" s="388"/>
      <c r="BH250" s="388"/>
      <c r="BI250" s="388"/>
      <c r="BJ250" s="388"/>
      <c r="BK250" s="388"/>
      <c r="BL250" s="388"/>
      <c r="BM250" s="388"/>
      <c r="BN250" s="388"/>
      <c r="BO250" s="388"/>
    </row>
    <row r="251" spans="4:67" ht="12.75" customHeight="1">
      <c r="D251" s="389"/>
      <c r="E251" s="389"/>
      <c r="F251" s="389"/>
      <c r="G251" s="389"/>
      <c r="H251" s="388"/>
      <c r="I251" s="389"/>
      <c r="J251" s="389"/>
      <c r="K251" s="389"/>
      <c r="L251" s="389"/>
      <c r="M251" s="389"/>
      <c r="N251" s="389"/>
      <c r="O251" s="407"/>
      <c r="P251" s="389"/>
      <c r="Q251" s="407"/>
      <c r="R251" s="389"/>
      <c r="S251" s="389"/>
      <c r="T251" s="389"/>
      <c r="U251" s="389"/>
      <c r="V251" s="389"/>
      <c r="W251" s="389"/>
      <c r="X251" s="389"/>
      <c r="Y251" s="389"/>
      <c r="Z251" s="389"/>
      <c r="AA251" s="389"/>
      <c r="AB251" s="389"/>
      <c r="AC251" s="388"/>
      <c r="AD251" s="388"/>
      <c r="AE251" s="388"/>
      <c r="AF251" s="388"/>
      <c r="AG251" s="388"/>
      <c r="AH251" s="388"/>
      <c r="AI251" s="388"/>
      <c r="AJ251" s="388"/>
      <c r="AK251" s="388"/>
      <c r="AL251" s="388"/>
      <c r="AM251" s="388"/>
      <c r="AN251" s="388"/>
      <c r="AO251" s="388"/>
      <c r="AP251" s="388"/>
      <c r="AQ251" s="388"/>
      <c r="AR251" s="388"/>
      <c r="AS251" s="388"/>
      <c r="AT251" s="388"/>
      <c r="AU251" s="388"/>
      <c r="AV251" s="388"/>
      <c r="AW251" s="388"/>
      <c r="AX251" s="388"/>
      <c r="AY251" s="388"/>
      <c r="AZ251" s="388"/>
      <c r="BA251" s="388"/>
      <c r="BB251" s="388"/>
      <c r="BC251" s="388"/>
      <c r="BD251" s="388"/>
      <c r="BE251" s="388"/>
      <c r="BF251" s="388"/>
      <c r="BG251" s="388"/>
      <c r="BH251" s="388"/>
      <c r="BI251" s="388"/>
      <c r="BJ251" s="388"/>
      <c r="BK251" s="388"/>
      <c r="BL251" s="388"/>
      <c r="BM251" s="388"/>
      <c r="BN251" s="388"/>
      <c r="BO251" s="388"/>
    </row>
    <row r="252" spans="4:67" ht="12.75" customHeight="1">
      <c r="D252" s="389"/>
      <c r="E252" s="389"/>
      <c r="F252" s="389"/>
      <c r="G252" s="389"/>
      <c r="H252" s="388"/>
      <c r="I252" s="389"/>
      <c r="J252" s="389"/>
      <c r="K252" s="389"/>
      <c r="L252" s="389"/>
      <c r="M252" s="389"/>
      <c r="N252" s="389"/>
      <c r="O252" s="407"/>
      <c r="P252" s="389"/>
      <c r="Q252" s="407"/>
      <c r="R252" s="389"/>
      <c r="S252" s="389"/>
      <c r="T252" s="389"/>
      <c r="U252" s="389"/>
      <c r="V252" s="389"/>
      <c r="W252" s="389"/>
      <c r="X252" s="389"/>
      <c r="Y252" s="389"/>
      <c r="Z252" s="389"/>
      <c r="AA252" s="389"/>
      <c r="AB252" s="389"/>
      <c r="AC252" s="388"/>
      <c r="AD252" s="388"/>
      <c r="AE252" s="388"/>
      <c r="AF252" s="388"/>
      <c r="AG252" s="388"/>
      <c r="AH252" s="388"/>
      <c r="AI252" s="388"/>
      <c r="AJ252" s="388"/>
      <c r="AK252" s="388"/>
      <c r="AL252" s="388"/>
      <c r="AM252" s="388"/>
      <c r="AN252" s="388"/>
      <c r="AO252" s="388"/>
      <c r="AP252" s="388"/>
      <c r="AQ252" s="388"/>
      <c r="AR252" s="388"/>
      <c r="AS252" s="388"/>
      <c r="AT252" s="388"/>
      <c r="AU252" s="388"/>
      <c r="AV252" s="388"/>
      <c r="AW252" s="388"/>
      <c r="AX252" s="388"/>
      <c r="AY252" s="388"/>
      <c r="AZ252" s="388"/>
      <c r="BA252" s="388"/>
      <c r="BB252" s="388"/>
      <c r="BC252" s="388"/>
      <c r="BD252" s="388"/>
      <c r="BE252" s="388"/>
      <c r="BF252" s="388"/>
      <c r="BG252" s="388"/>
      <c r="BH252" s="388"/>
      <c r="BI252" s="388"/>
      <c r="BJ252" s="388"/>
      <c r="BK252" s="388"/>
      <c r="BL252" s="388"/>
      <c r="BM252" s="388"/>
      <c r="BN252" s="388"/>
      <c r="BO252" s="388"/>
    </row>
    <row r="253" spans="4:67" ht="12.75" customHeight="1">
      <c r="D253" s="389"/>
      <c r="E253" s="389"/>
      <c r="F253" s="389"/>
      <c r="G253" s="389"/>
      <c r="H253" s="388"/>
      <c r="I253" s="389"/>
      <c r="J253" s="389"/>
      <c r="K253" s="389"/>
      <c r="L253" s="389"/>
      <c r="M253" s="389"/>
      <c r="N253" s="389"/>
      <c r="O253" s="407"/>
      <c r="P253" s="389"/>
      <c r="Q253" s="407"/>
      <c r="R253" s="389"/>
      <c r="S253" s="389"/>
      <c r="T253" s="389"/>
      <c r="U253" s="389"/>
      <c r="V253" s="389"/>
      <c r="W253" s="389"/>
      <c r="X253" s="389"/>
      <c r="Y253" s="389"/>
      <c r="Z253" s="389"/>
      <c r="AA253" s="389"/>
      <c r="AB253" s="389"/>
      <c r="AC253" s="388"/>
      <c r="AD253" s="388"/>
      <c r="AE253" s="388"/>
      <c r="AF253" s="388"/>
      <c r="AG253" s="388"/>
      <c r="AH253" s="388"/>
      <c r="AI253" s="388"/>
      <c r="AJ253" s="388"/>
      <c r="AK253" s="388"/>
      <c r="AL253" s="388"/>
      <c r="AM253" s="388"/>
      <c r="AN253" s="388"/>
      <c r="AO253" s="388"/>
      <c r="AP253" s="388"/>
      <c r="AQ253" s="388"/>
      <c r="AR253" s="388"/>
      <c r="AS253" s="388"/>
      <c r="AT253" s="388"/>
      <c r="AU253" s="388"/>
      <c r="AV253" s="388"/>
      <c r="AW253" s="388"/>
      <c r="AX253" s="388"/>
      <c r="AY253" s="388"/>
      <c r="AZ253" s="388"/>
      <c r="BA253" s="388"/>
      <c r="BB253" s="388"/>
      <c r="BC253" s="388"/>
      <c r="BD253" s="388"/>
      <c r="BE253" s="388"/>
      <c r="BF253" s="388"/>
      <c r="BG253" s="388"/>
      <c r="BH253" s="388"/>
      <c r="BI253" s="388"/>
      <c r="BJ253" s="388"/>
      <c r="BK253" s="388"/>
      <c r="BL253" s="388"/>
      <c r="BM253" s="388"/>
      <c r="BN253" s="388"/>
      <c r="BO253" s="388"/>
    </row>
    <row r="254" spans="4:67" ht="12.75" customHeight="1">
      <c r="D254" s="389"/>
      <c r="E254" s="389"/>
      <c r="F254" s="389"/>
      <c r="G254" s="389"/>
      <c r="H254" s="388"/>
      <c r="I254" s="389"/>
      <c r="J254" s="389"/>
      <c r="K254" s="389"/>
      <c r="L254" s="389"/>
      <c r="M254" s="389"/>
      <c r="N254" s="389"/>
      <c r="O254" s="407"/>
      <c r="P254" s="389"/>
      <c r="Q254" s="407"/>
      <c r="R254" s="389"/>
      <c r="S254" s="389"/>
      <c r="T254" s="389"/>
      <c r="U254" s="389"/>
      <c r="V254" s="389"/>
      <c r="W254" s="389"/>
      <c r="X254" s="389"/>
      <c r="Y254" s="389"/>
      <c r="Z254" s="389"/>
      <c r="AA254" s="389"/>
      <c r="AB254" s="389"/>
      <c r="AC254" s="388"/>
      <c r="AD254" s="388"/>
      <c r="AE254" s="388"/>
      <c r="AF254" s="388"/>
      <c r="AG254" s="388"/>
      <c r="AH254" s="388"/>
      <c r="AI254" s="388"/>
      <c r="AJ254" s="388"/>
      <c r="AK254" s="388"/>
      <c r="AL254" s="388"/>
      <c r="AM254" s="388"/>
      <c r="AN254" s="388"/>
      <c r="AO254" s="388"/>
      <c r="AP254" s="388"/>
      <c r="AQ254" s="388"/>
      <c r="AR254" s="388"/>
      <c r="AS254" s="388"/>
      <c r="AT254" s="388"/>
      <c r="AU254" s="388"/>
      <c r="AV254" s="388"/>
      <c r="AW254" s="388"/>
      <c r="AX254" s="388"/>
      <c r="AY254" s="388"/>
      <c r="AZ254" s="388"/>
      <c r="BA254" s="388"/>
      <c r="BB254" s="388"/>
      <c r="BC254" s="388"/>
      <c r="BD254" s="388"/>
      <c r="BE254" s="388"/>
      <c r="BF254" s="388"/>
      <c r="BG254" s="388"/>
      <c r="BH254" s="388"/>
      <c r="BI254" s="388"/>
      <c r="BJ254" s="388"/>
      <c r="BK254" s="388"/>
      <c r="BL254" s="388"/>
      <c r="BM254" s="388"/>
      <c r="BN254" s="388"/>
      <c r="BO254" s="388"/>
    </row>
    <row r="255" spans="4:67" ht="12.75" customHeight="1">
      <c r="D255" s="389"/>
      <c r="E255" s="389"/>
      <c r="F255" s="389"/>
      <c r="G255" s="389"/>
      <c r="H255" s="388"/>
      <c r="I255" s="389"/>
      <c r="J255" s="389"/>
      <c r="K255" s="389"/>
      <c r="L255" s="389"/>
      <c r="M255" s="389"/>
      <c r="N255" s="389"/>
      <c r="O255" s="407"/>
      <c r="P255" s="389"/>
      <c r="Q255" s="407"/>
      <c r="R255" s="389"/>
      <c r="S255" s="389"/>
      <c r="T255" s="389"/>
      <c r="U255" s="389"/>
      <c r="V255" s="389"/>
      <c r="W255" s="389"/>
      <c r="X255" s="389"/>
      <c r="Y255" s="389"/>
      <c r="Z255" s="389"/>
      <c r="AA255" s="389"/>
      <c r="AB255" s="389"/>
      <c r="AC255" s="388"/>
      <c r="AD255" s="388"/>
      <c r="AE255" s="388"/>
      <c r="AF255" s="388"/>
      <c r="AG255" s="388"/>
      <c r="AH255" s="388"/>
      <c r="AI255" s="388"/>
      <c r="AJ255" s="388"/>
      <c r="AK255" s="388"/>
      <c r="AL255" s="388"/>
      <c r="AM255" s="388"/>
      <c r="AN255" s="388"/>
      <c r="AO255" s="388"/>
      <c r="AP255" s="388"/>
      <c r="AQ255" s="388"/>
      <c r="AR255" s="388"/>
      <c r="AS255" s="388"/>
      <c r="AT255" s="388"/>
      <c r="AU255" s="388"/>
      <c r="AV255" s="388"/>
      <c r="AW255" s="388"/>
      <c r="AX255" s="388"/>
      <c r="AY255" s="388"/>
      <c r="AZ255" s="388"/>
      <c r="BA255" s="388"/>
      <c r="BB255" s="388"/>
      <c r="BC255" s="388"/>
      <c r="BD255" s="388"/>
      <c r="BE255" s="388"/>
      <c r="BF255" s="388"/>
      <c r="BG255" s="388"/>
      <c r="BH255" s="388"/>
      <c r="BI255" s="388"/>
      <c r="BJ255" s="388"/>
      <c r="BK255" s="388"/>
      <c r="BL255" s="388"/>
      <c r="BM255" s="388"/>
      <c r="BN255" s="388"/>
      <c r="BO255" s="388"/>
    </row>
    <row r="256" spans="4:67" ht="12.75" customHeight="1">
      <c r="D256" s="389"/>
      <c r="E256" s="389"/>
      <c r="F256" s="389"/>
      <c r="G256" s="389"/>
      <c r="H256" s="388"/>
      <c r="I256" s="389"/>
      <c r="J256" s="389"/>
      <c r="K256" s="389"/>
      <c r="L256" s="389"/>
      <c r="M256" s="389"/>
      <c r="N256" s="389"/>
      <c r="O256" s="407"/>
      <c r="P256" s="389"/>
      <c r="Q256" s="407"/>
      <c r="R256" s="389"/>
      <c r="S256" s="389"/>
      <c r="T256" s="389"/>
      <c r="U256" s="389"/>
      <c r="V256" s="389"/>
      <c r="W256" s="389"/>
      <c r="X256" s="389"/>
      <c r="Y256" s="389"/>
      <c r="Z256" s="389"/>
      <c r="AA256" s="389"/>
      <c r="AB256" s="389"/>
      <c r="AC256" s="388"/>
      <c r="AD256" s="388"/>
      <c r="AE256" s="388"/>
      <c r="AF256" s="388"/>
      <c r="AG256" s="388"/>
      <c r="AH256" s="388"/>
      <c r="AI256" s="388"/>
      <c r="AJ256" s="388"/>
      <c r="AK256" s="388"/>
      <c r="AL256" s="388"/>
      <c r="AM256" s="388"/>
      <c r="AN256" s="388"/>
      <c r="AO256" s="388"/>
      <c r="AP256" s="388"/>
      <c r="AQ256" s="388"/>
      <c r="AR256" s="388"/>
      <c r="AS256" s="388"/>
      <c r="AT256" s="388"/>
      <c r="AU256" s="388"/>
      <c r="AV256" s="388"/>
      <c r="AW256" s="388"/>
      <c r="AX256" s="388"/>
      <c r="AY256" s="388"/>
      <c r="AZ256" s="388"/>
      <c r="BA256" s="388"/>
      <c r="BB256" s="388"/>
      <c r="BC256" s="388"/>
      <c r="BD256" s="388"/>
      <c r="BE256" s="388"/>
      <c r="BF256" s="388"/>
      <c r="BG256" s="388"/>
      <c r="BH256" s="388"/>
      <c r="BI256" s="388"/>
      <c r="BJ256" s="388"/>
      <c r="BK256" s="388"/>
      <c r="BL256" s="388"/>
      <c r="BM256" s="388"/>
      <c r="BN256" s="388"/>
      <c r="BO256" s="388"/>
    </row>
    <row r="257" spans="4:67" ht="12.75" customHeight="1">
      <c r="D257" s="389"/>
      <c r="E257" s="389"/>
      <c r="F257" s="389"/>
      <c r="G257" s="389"/>
      <c r="H257" s="388"/>
      <c r="I257" s="389"/>
      <c r="J257" s="389"/>
      <c r="K257" s="389"/>
      <c r="L257" s="389"/>
      <c r="M257" s="389"/>
      <c r="N257" s="389"/>
      <c r="O257" s="407"/>
      <c r="P257" s="389"/>
      <c r="Q257" s="407"/>
      <c r="R257" s="389"/>
      <c r="S257" s="389"/>
      <c r="T257" s="389"/>
      <c r="U257" s="389"/>
      <c r="V257" s="389"/>
      <c r="W257" s="389"/>
      <c r="X257" s="389"/>
      <c r="Y257" s="389"/>
      <c r="Z257" s="389"/>
      <c r="AA257" s="389"/>
      <c r="AB257" s="389"/>
      <c r="AC257" s="388"/>
      <c r="AD257" s="388"/>
      <c r="AE257" s="388"/>
      <c r="AF257" s="388"/>
      <c r="AG257" s="388"/>
      <c r="AH257" s="388"/>
      <c r="AI257" s="388"/>
      <c r="AJ257" s="388"/>
      <c r="AK257" s="388"/>
      <c r="AL257" s="388"/>
      <c r="AM257" s="388"/>
      <c r="AN257" s="388"/>
      <c r="AO257" s="388"/>
      <c r="AP257" s="388"/>
      <c r="AQ257" s="388"/>
      <c r="AR257" s="388"/>
      <c r="AS257" s="388"/>
      <c r="AT257" s="388"/>
      <c r="AU257" s="388"/>
      <c r="AV257" s="388"/>
      <c r="AW257" s="388"/>
      <c r="AX257" s="388"/>
      <c r="AY257" s="388"/>
      <c r="AZ257" s="388"/>
      <c r="BA257" s="388"/>
      <c r="BB257" s="388"/>
      <c r="BC257" s="388"/>
      <c r="BD257" s="388"/>
      <c r="BE257" s="388"/>
      <c r="BF257" s="388"/>
      <c r="BG257" s="388"/>
      <c r="BH257" s="388"/>
      <c r="BI257" s="388"/>
      <c r="BJ257" s="388"/>
      <c r="BK257" s="388"/>
      <c r="BL257" s="388"/>
      <c r="BM257" s="388"/>
      <c r="BN257" s="388"/>
      <c r="BO257" s="388"/>
    </row>
    <row r="258" spans="4:67" ht="12.75" customHeight="1">
      <c r="D258" s="389"/>
      <c r="E258" s="389"/>
      <c r="F258" s="389"/>
      <c r="G258" s="389"/>
      <c r="H258" s="388"/>
      <c r="I258" s="389"/>
      <c r="J258" s="389"/>
      <c r="K258" s="389"/>
      <c r="L258" s="389"/>
      <c r="M258" s="389"/>
      <c r="N258" s="389"/>
      <c r="O258" s="407"/>
      <c r="P258" s="389"/>
      <c r="Q258" s="407"/>
      <c r="R258" s="389"/>
      <c r="S258" s="389"/>
      <c r="T258" s="389"/>
      <c r="U258" s="389"/>
      <c r="V258" s="389"/>
      <c r="W258" s="389"/>
      <c r="X258" s="389"/>
      <c r="Y258" s="389"/>
      <c r="Z258" s="389"/>
      <c r="AA258" s="389"/>
      <c r="AB258" s="389"/>
      <c r="AC258" s="388"/>
      <c r="AD258" s="388"/>
      <c r="AE258" s="388"/>
      <c r="AF258" s="388"/>
      <c r="AG258" s="388"/>
      <c r="AH258" s="388"/>
      <c r="AI258" s="388"/>
      <c r="AJ258" s="388"/>
      <c r="AK258" s="388"/>
      <c r="AL258" s="388"/>
      <c r="AM258" s="388"/>
      <c r="AN258" s="388"/>
      <c r="AO258" s="388"/>
      <c r="AP258" s="388"/>
      <c r="AQ258" s="388"/>
      <c r="AR258" s="388"/>
      <c r="AS258" s="388"/>
      <c r="AT258" s="388"/>
      <c r="AU258" s="388"/>
      <c r="AV258" s="388"/>
      <c r="AW258" s="388"/>
      <c r="AX258" s="388"/>
      <c r="AY258" s="388"/>
      <c r="AZ258" s="388"/>
      <c r="BA258" s="388"/>
      <c r="BB258" s="388"/>
      <c r="BC258" s="388"/>
      <c r="BD258" s="388"/>
      <c r="BE258" s="388"/>
      <c r="BF258" s="388"/>
      <c r="BG258" s="388"/>
      <c r="BH258" s="388"/>
      <c r="BI258" s="388"/>
      <c r="BJ258" s="388"/>
      <c r="BK258" s="388"/>
      <c r="BL258" s="388"/>
      <c r="BM258" s="388"/>
      <c r="BN258" s="388"/>
      <c r="BO258" s="388"/>
    </row>
    <row r="259" spans="4:67" ht="12.75" customHeight="1">
      <c r="D259" s="389"/>
      <c r="E259" s="389"/>
      <c r="F259" s="389"/>
      <c r="G259" s="389"/>
      <c r="H259" s="388"/>
      <c r="I259" s="389"/>
      <c r="J259" s="389"/>
      <c r="K259" s="389"/>
      <c r="L259" s="389"/>
      <c r="M259" s="389"/>
      <c r="N259" s="389"/>
      <c r="O259" s="407"/>
      <c r="P259" s="389"/>
      <c r="Q259" s="407"/>
      <c r="R259" s="389"/>
      <c r="S259" s="389"/>
      <c r="T259" s="389"/>
      <c r="U259" s="389"/>
      <c r="V259" s="389"/>
      <c r="W259" s="389"/>
      <c r="X259" s="389"/>
      <c r="Y259" s="389"/>
      <c r="Z259" s="389"/>
      <c r="AA259" s="389"/>
      <c r="AB259" s="389"/>
      <c r="AC259" s="388"/>
      <c r="AD259" s="388"/>
      <c r="AE259" s="388"/>
      <c r="AF259" s="388"/>
      <c r="AG259" s="388"/>
      <c r="AH259" s="388"/>
      <c r="AI259" s="388"/>
      <c r="AJ259" s="388"/>
      <c r="AK259" s="388"/>
      <c r="AL259" s="388"/>
      <c r="AM259" s="388"/>
      <c r="AN259" s="388"/>
      <c r="AO259" s="388"/>
      <c r="AP259" s="388"/>
      <c r="AQ259" s="388"/>
      <c r="AR259" s="388"/>
      <c r="AS259" s="388"/>
      <c r="AT259" s="388"/>
      <c r="AU259" s="388"/>
      <c r="AV259" s="388"/>
      <c r="AW259" s="388"/>
      <c r="AX259" s="388"/>
      <c r="AY259" s="388"/>
      <c r="AZ259" s="388"/>
      <c r="BA259" s="388"/>
      <c r="BB259" s="388"/>
      <c r="BC259" s="388"/>
      <c r="BD259" s="388"/>
      <c r="BE259" s="388"/>
      <c r="BF259" s="388"/>
      <c r="BG259" s="388"/>
      <c r="BH259" s="388"/>
      <c r="BI259" s="388"/>
      <c r="BJ259" s="388"/>
      <c r="BK259" s="388"/>
      <c r="BL259" s="388"/>
      <c r="BM259" s="388"/>
      <c r="BN259" s="388"/>
      <c r="BO259" s="388"/>
    </row>
    <row r="260" spans="4:67" ht="12.75" customHeight="1">
      <c r="D260" s="389"/>
      <c r="E260" s="389"/>
      <c r="F260" s="389"/>
      <c r="G260" s="389"/>
      <c r="H260" s="388"/>
      <c r="I260" s="389"/>
      <c r="J260" s="389"/>
      <c r="K260" s="389"/>
      <c r="L260" s="389"/>
      <c r="M260" s="389"/>
      <c r="N260" s="389"/>
      <c r="O260" s="407"/>
      <c r="P260" s="389"/>
      <c r="Q260" s="407"/>
      <c r="R260" s="389"/>
      <c r="S260" s="389"/>
      <c r="T260" s="389"/>
      <c r="U260" s="389"/>
      <c r="V260" s="389"/>
      <c r="W260" s="389"/>
      <c r="X260" s="389"/>
      <c r="Y260" s="389"/>
      <c r="Z260" s="389"/>
      <c r="AA260" s="389"/>
      <c r="AB260" s="389"/>
      <c r="AC260" s="388"/>
      <c r="AD260" s="388"/>
      <c r="AE260" s="388"/>
      <c r="AF260" s="388"/>
      <c r="AG260" s="388"/>
      <c r="AH260" s="388"/>
      <c r="AI260" s="388"/>
      <c r="AJ260" s="388"/>
      <c r="AK260" s="388"/>
      <c r="AL260" s="388"/>
      <c r="AM260" s="388"/>
      <c r="AN260" s="388"/>
      <c r="AO260" s="388"/>
      <c r="AP260" s="388"/>
      <c r="AQ260" s="388"/>
      <c r="AR260" s="388"/>
      <c r="AS260" s="388"/>
      <c r="AT260" s="388"/>
      <c r="AU260" s="388"/>
      <c r="AV260" s="388"/>
      <c r="AW260" s="388"/>
      <c r="AX260" s="388"/>
      <c r="AY260" s="388"/>
      <c r="AZ260" s="388"/>
      <c r="BA260" s="388"/>
      <c r="BB260" s="388"/>
      <c r="BC260" s="388"/>
      <c r="BD260" s="388"/>
      <c r="BE260" s="388"/>
      <c r="BF260" s="388"/>
      <c r="BG260" s="388"/>
      <c r="BH260" s="388"/>
      <c r="BI260" s="388"/>
      <c r="BJ260" s="388"/>
      <c r="BK260" s="388"/>
      <c r="BL260" s="388"/>
      <c r="BM260" s="388"/>
      <c r="BN260" s="388"/>
      <c r="BO260" s="388"/>
    </row>
    <row r="261" spans="4:67" ht="12.75" customHeight="1">
      <c r="D261" s="389"/>
      <c r="E261" s="389"/>
      <c r="F261" s="389"/>
      <c r="G261" s="389"/>
      <c r="H261" s="388"/>
      <c r="I261" s="389"/>
      <c r="J261" s="389"/>
      <c r="K261" s="389"/>
      <c r="L261" s="389"/>
      <c r="M261" s="389"/>
      <c r="N261" s="389"/>
      <c r="O261" s="407"/>
      <c r="P261" s="389"/>
      <c r="Q261" s="407"/>
      <c r="R261" s="389"/>
      <c r="S261" s="389"/>
      <c r="T261" s="389"/>
      <c r="U261" s="389"/>
      <c r="V261" s="389"/>
      <c r="W261" s="389"/>
      <c r="X261" s="389"/>
      <c r="Y261" s="389"/>
      <c r="Z261" s="389"/>
      <c r="AA261" s="389"/>
      <c r="AB261" s="389"/>
      <c r="AC261" s="388"/>
      <c r="AD261" s="388"/>
      <c r="AE261" s="388"/>
      <c r="AF261" s="388"/>
      <c r="AG261" s="388"/>
      <c r="AH261" s="388"/>
      <c r="AI261" s="388"/>
      <c r="AJ261" s="388"/>
      <c r="AK261" s="388"/>
      <c r="AL261" s="388"/>
      <c r="AM261" s="388"/>
      <c r="AN261" s="388"/>
      <c r="AO261" s="388"/>
      <c r="AP261" s="388"/>
      <c r="AQ261" s="388"/>
      <c r="AR261" s="388"/>
      <c r="AS261" s="388"/>
      <c r="AT261" s="388"/>
      <c r="AU261" s="388"/>
      <c r="AV261" s="388"/>
      <c r="AW261" s="388"/>
      <c r="AX261" s="388"/>
      <c r="AY261" s="388"/>
      <c r="AZ261" s="388"/>
      <c r="BA261" s="388"/>
      <c r="BB261" s="388"/>
      <c r="BC261" s="388"/>
      <c r="BD261" s="388"/>
      <c r="BE261" s="388"/>
      <c r="BF261" s="388"/>
      <c r="BG261" s="388"/>
      <c r="BH261" s="388"/>
      <c r="BI261" s="388"/>
      <c r="BJ261" s="388"/>
      <c r="BK261" s="388"/>
      <c r="BL261" s="388"/>
      <c r="BM261" s="388"/>
      <c r="BN261" s="388"/>
      <c r="BO261" s="388"/>
    </row>
    <row r="262" spans="4:67" ht="12.75" customHeight="1">
      <c r="D262" s="389"/>
      <c r="E262" s="389"/>
      <c r="F262" s="389"/>
      <c r="G262" s="389"/>
      <c r="H262" s="388"/>
      <c r="I262" s="389"/>
      <c r="J262" s="389"/>
      <c r="K262" s="389"/>
      <c r="L262" s="389"/>
      <c r="M262" s="389"/>
      <c r="N262" s="389"/>
      <c r="O262" s="407"/>
      <c r="P262" s="389"/>
      <c r="Q262" s="407"/>
      <c r="R262" s="389"/>
      <c r="S262" s="389"/>
      <c r="T262" s="389"/>
      <c r="U262" s="389"/>
      <c r="V262" s="389"/>
      <c r="W262" s="389"/>
      <c r="X262" s="389"/>
      <c r="Y262" s="389"/>
      <c r="Z262" s="389"/>
      <c r="AA262" s="389"/>
      <c r="AB262" s="389"/>
      <c r="AC262" s="388"/>
      <c r="AD262" s="388"/>
      <c r="AE262" s="388"/>
      <c r="AF262" s="388"/>
      <c r="AG262" s="388"/>
      <c r="AH262" s="388"/>
      <c r="AI262" s="388"/>
      <c r="AJ262" s="388"/>
      <c r="AK262" s="388"/>
      <c r="AL262" s="388"/>
      <c r="AM262" s="388"/>
      <c r="AN262" s="388"/>
      <c r="AO262" s="388"/>
      <c r="AP262" s="388"/>
      <c r="AQ262" s="388"/>
      <c r="AR262" s="388"/>
      <c r="AS262" s="388"/>
      <c r="AT262" s="388"/>
      <c r="AU262" s="388"/>
      <c r="AV262" s="388"/>
      <c r="AW262" s="388"/>
      <c r="AX262" s="388"/>
      <c r="AY262" s="388"/>
      <c r="AZ262" s="388"/>
      <c r="BA262" s="388"/>
      <c r="BB262" s="388"/>
      <c r="BC262" s="388"/>
      <c r="BD262" s="388"/>
      <c r="BE262" s="388"/>
      <c r="BF262" s="388"/>
      <c r="BG262" s="388"/>
      <c r="BH262" s="388"/>
      <c r="BI262" s="388"/>
      <c r="BJ262" s="388"/>
      <c r="BK262" s="388"/>
      <c r="BL262" s="388"/>
      <c r="BM262" s="388"/>
      <c r="BN262" s="388"/>
      <c r="BO262" s="388"/>
    </row>
    <row r="263" spans="4:67" ht="12.75" customHeight="1">
      <c r="D263" s="389"/>
      <c r="E263" s="389"/>
      <c r="F263" s="389"/>
      <c r="G263" s="389"/>
      <c r="H263" s="388"/>
      <c r="I263" s="389"/>
      <c r="J263" s="389"/>
      <c r="K263" s="389"/>
      <c r="L263" s="389"/>
      <c r="M263" s="389"/>
      <c r="N263" s="389"/>
      <c r="O263" s="407"/>
      <c r="P263" s="389"/>
      <c r="Q263" s="407"/>
      <c r="R263" s="389"/>
      <c r="S263" s="389"/>
      <c r="T263" s="389"/>
      <c r="U263" s="389"/>
      <c r="V263" s="389"/>
      <c r="W263" s="389"/>
      <c r="X263" s="389"/>
      <c r="Y263" s="389"/>
      <c r="Z263" s="389"/>
      <c r="AA263" s="389"/>
      <c r="AB263" s="389"/>
      <c r="AC263" s="388"/>
      <c r="AD263" s="388"/>
      <c r="AE263" s="388"/>
      <c r="AF263" s="388"/>
      <c r="AG263" s="388"/>
      <c r="AH263" s="388"/>
      <c r="AI263" s="388"/>
      <c r="AJ263" s="388"/>
      <c r="AK263" s="388"/>
      <c r="AL263" s="388"/>
      <c r="AM263" s="388"/>
      <c r="AN263" s="388"/>
      <c r="AO263" s="388"/>
      <c r="AP263" s="388"/>
      <c r="AQ263" s="388"/>
      <c r="AR263" s="388"/>
      <c r="AS263" s="388"/>
      <c r="AT263" s="388"/>
      <c r="AU263" s="388"/>
      <c r="AV263" s="388"/>
      <c r="AW263" s="388"/>
      <c r="AX263" s="388"/>
      <c r="AY263" s="388"/>
      <c r="AZ263" s="388"/>
      <c r="BA263" s="388"/>
      <c r="BB263" s="388"/>
      <c r="BC263" s="388"/>
      <c r="BD263" s="388"/>
      <c r="BE263" s="388"/>
      <c r="BF263" s="388"/>
      <c r="BG263" s="388"/>
      <c r="BH263" s="388"/>
      <c r="BI263" s="388"/>
      <c r="BJ263" s="388"/>
      <c r="BK263" s="388"/>
      <c r="BL263" s="388"/>
      <c r="BM263" s="388"/>
      <c r="BN263" s="388"/>
      <c r="BO263" s="388"/>
    </row>
    <row r="264" spans="4:67" ht="12.75" customHeight="1">
      <c r="D264" s="389"/>
      <c r="E264" s="389"/>
      <c r="F264" s="389"/>
      <c r="G264" s="389"/>
      <c r="H264" s="388"/>
      <c r="I264" s="389"/>
      <c r="J264" s="389"/>
      <c r="K264" s="389"/>
      <c r="L264" s="389"/>
      <c r="M264" s="389"/>
      <c r="N264" s="389"/>
      <c r="O264" s="407"/>
      <c r="P264" s="389"/>
      <c r="Q264" s="407"/>
      <c r="R264" s="389"/>
      <c r="S264" s="389"/>
      <c r="T264" s="389"/>
      <c r="U264" s="389"/>
      <c r="V264" s="389"/>
      <c r="W264" s="389"/>
      <c r="X264" s="389"/>
      <c r="Y264" s="389"/>
      <c r="Z264" s="389"/>
      <c r="AA264" s="389"/>
      <c r="AB264" s="389"/>
      <c r="AC264" s="388"/>
      <c r="AD264" s="388"/>
      <c r="AE264" s="388"/>
      <c r="AF264" s="388"/>
      <c r="AG264" s="388"/>
      <c r="AH264" s="388"/>
      <c r="AI264" s="388"/>
      <c r="AJ264" s="388"/>
      <c r="AK264" s="388"/>
      <c r="AL264" s="388"/>
      <c r="AM264" s="388"/>
      <c r="AN264" s="388"/>
      <c r="AO264" s="388"/>
      <c r="AP264" s="388"/>
      <c r="AQ264" s="388"/>
      <c r="AR264" s="388"/>
      <c r="AS264" s="388"/>
      <c r="AT264" s="388"/>
      <c r="AU264" s="388"/>
      <c r="AV264" s="388"/>
      <c r="AW264" s="388"/>
      <c r="AX264" s="388"/>
      <c r="AY264" s="388"/>
      <c r="AZ264" s="388"/>
      <c r="BA264" s="388"/>
      <c r="BB264" s="388"/>
      <c r="BC264" s="388"/>
      <c r="BD264" s="388"/>
      <c r="BE264" s="388"/>
      <c r="BF264" s="388"/>
      <c r="BG264" s="388"/>
      <c r="BH264" s="388"/>
      <c r="BI264" s="388"/>
      <c r="BJ264" s="388"/>
      <c r="BK264" s="388"/>
      <c r="BL264" s="388"/>
      <c r="BM264" s="388"/>
      <c r="BN264" s="388"/>
      <c r="BO264" s="388"/>
    </row>
    <row r="265" spans="4:67" ht="12.75" customHeight="1">
      <c r="D265" s="389"/>
      <c r="E265" s="389"/>
      <c r="F265" s="389"/>
      <c r="G265" s="389"/>
      <c r="H265" s="388"/>
      <c r="I265" s="389"/>
      <c r="J265" s="389"/>
      <c r="K265" s="389"/>
      <c r="L265" s="389"/>
      <c r="M265" s="389"/>
      <c r="N265" s="389"/>
      <c r="O265" s="407"/>
      <c r="P265" s="389"/>
      <c r="Q265" s="407"/>
      <c r="R265" s="389"/>
      <c r="S265" s="389"/>
      <c r="T265" s="389"/>
      <c r="U265" s="389"/>
      <c r="V265" s="389"/>
      <c r="W265" s="389"/>
      <c r="X265" s="389"/>
      <c r="Y265" s="389"/>
      <c r="Z265" s="389"/>
      <c r="AA265" s="389"/>
      <c r="AB265" s="389"/>
      <c r="AC265" s="388"/>
      <c r="AD265" s="388"/>
      <c r="AE265" s="388"/>
      <c r="AF265" s="388"/>
      <c r="AG265" s="388"/>
      <c r="AH265" s="388"/>
      <c r="AI265" s="388"/>
      <c r="AJ265" s="388"/>
      <c r="AK265" s="388"/>
      <c r="AL265" s="388"/>
      <c r="AM265" s="388"/>
      <c r="AN265" s="388"/>
      <c r="AO265" s="388"/>
      <c r="AP265" s="388"/>
      <c r="AQ265" s="388"/>
      <c r="AR265" s="388"/>
      <c r="AS265" s="388"/>
      <c r="AT265" s="388"/>
      <c r="AU265" s="388"/>
      <c r="AV265" s="388"/>
      <c r="AW265" s="388"/>
      <c r="AX265" s="388"/>
      <c r="AY265" s="388"/>
      <c r="AZ265" s="388"/>
      <c r="BA265" s="388"/>
      <c r="BB265" s="388"/>
      <c r="BC265" s="388"/>
      <c r="BD265" s="388"/>
      <c r="BE265" s="388"/>
      <c r="BF265" s="388"/>
      <c r="BG265" s="388"/>
      <c r="BH265" s="388"/>
      <c r="BI265" s="388"/>
      <c r="BJ265" s="388"/>
      <c r="BK265" s="388"/>
      <c r="BL265" s="388"/>
      <c r="BM265" s="388"/>
      <c r="BN265" s="388"/>
      <c r="BO265" s="388"/>
    </row>
    <row r="266" spans="4:67" ht="12.75" customHeight="1">
      <c r="D266" s="389"/>
      <c r="E266" s="389"/>
      <c r="F266" s="389"/>
      <c r="G266" s="389"/>
      <c r="H266" s="388"/>
      <c r="I266" s="389"/>
      <c r="J266" s="389"/>
      <c r="K266" s="389"/>
      <c r="L266" s="389"/>
      <c r="M266" s="389"/>
      <c r="N266" s="389"/>
      <c r="O266" s="407"/>
      <c r="P266" s="389"/>
      <c r="Q266" s="407"/>
      <c r="R266" s="389"/>
      <c r="S266" s="389"/>
      <c r="T266" s="389"/>
      <c r="U266" s="389"/>
      <c r="V266" s="389"/>
      <c r="W266" s="389"/>
      <c r="X266" s="389"/>
      <c r="Y266" s="389"/>
      <c r="Z266" s="389"/>
      <c r="AA266" s="389"/>
      <c r="AB266" s="389"/>
      <c r="AC266" s="388"/>
      <c r="AD266" s="388"/>
      <c r="AE266" s="388"/>
      <c r="AF266" s="388"/>
      <c r="AG266" s="388"/>
      <c r="AH266" s="388"/>
      <c r="AI266" s="388"/>
      <c r="AJ266" s="388"/>
      <c r="AK266" s="388"/>
      <c r="AL266" s="388"/>
      <c r="AM266" s="388"/>
      <c r="AN266" s="388"/>
      <c r="AO266" s="388"/>
      <c r="AP266" s="388"/>
      <c r="AQ266" s="388"/>
      <c r="AR266" s="388"/>
      <c r="AS266" s="388"/>
      <c r="AT266" s="388"/>
      <c r="AU266" s="388"/>
      <c r="AV266" s="388"/>
      <c r="AW266" s="388"/>
      <c r="AX266" s="388"/>
      <c r="AY266" s="388"/>
      <c r="AZ266" s="388"/>
      <c r="BA266" s="388"/>
      <c r="BB266" s="388"/>
      <c r="BC266" s="388"/>
      <c r="BD266" s="388"/>
      <c r="BE266" s="388"/>
      <c r="BF266" s="388"/>
      <c r="BG266" s="388"/>
      <c r="BH266" s="388"/>
      <c r="BI266" s="388"/>
      <c r="BJ266" s="388"/>
      <c r="BK266" s="388"/>
      <c r="BL266" s="388"/>
      <c r="BM266" s="388"/>
      <c r="BN266" s="388"/>
      <c r="BO266" s="388"/>
    </row>
    <row r="267" spans="4:67" ht="12.75" customHeight="1">
      <c r="D267" s="389"/>
      <c r="E267" s="389"/>
      <c r="F267" s="389"/>
      <c r="G267" s="389"/>
      <c r="H267" s="388"/>
      <c r="I267" s="389"/>
      <c r="J267" s="389"/>
      <c r="K267" s="389"/>
      <c r="L267" s="389"/>
      <c r="M267" s="389"/>
      <c r="N267" s="389"/>
      <c r="O267" s="407"/>
      <c r="P267" s="389"/>
      <c r="Q267" s="407"/>
      <c r="R267" s="389"/>
      <c r="S267" s="389"/>
      <c r="T267" s="389"/>
      <c r="U267" s="389"/>
      <c r="V267" s="389"/>
      <c r="W267" s="389"/>
      <c r="X267" s="389"/>
      <c r="Y267" s="389"/>
      <c r="Z267" s="389"/>
      <c r="AA267" s="389"/>
      <c r="AB267" s="389"/>
      <c r="AC267" s="388"/>
      <c r="AD267" s="388"/>
      <c r="AE267" s="388"/>
      <c r="AF267" s="388"/>
      <c r="AG267" s="388"/>
      <c r="AH267" s="388"/>
      <c r="AI267" s="388"/>
      <c r="AJ267" s="388"/>
      <c r="AK267" s="388"/>
      <c r="AL267" s="388"/>
      <c r="AM267" s="388"/>
      <c r="AN267" s="388"/>
      <c r="AO267" s="388"/>
      <c r="AP267" s="388"/>
      <c r="AQ267" s="388"/>
      <c r="AR267" s="388"/>
      <c r="AS267" s="388"/>
      <c r="AT267" s="388"/>
      <c r="AU267" s="388"/>
      <c r="AV267" s="388"/>
      <c r="AW267" s="388"/>
      <c r="AX267" s="388"/>
      <c r="AY267" s="388"/>
      <c r="AZ267" s="388"/>
      <c r="BA267" s="388"/>
      <c r="BB267" s="388"/>
      <c r="BC267" s="388"/>
      <c r="BD267" s="388"/>
      <c r="BE267" s="388"/>
      <c r="BF267" s="388"/>
      <c r="BG267" s="388"/>
      <c r="BH267" s="388"/>
      <c r="BI267" s="388"/>
      <c r="BJ267" s="388"/>
      <c r="BK267" s="388"/>
      <c r="BL267" s="388"/>
      <c r="BM267" s="388"/>
      <c r="BN267" s="388"/>
      <c r="BO267" s="388"/>
    </row>
    <row r="268" spans="4:67" ht="12.75" customHeight="1">
      <c r="D268" s="389"/>
      <c r="E268" s="389"/>
      <c r="F268" s="389"/>
      <c r="G268" s="389"/>
      <c r="H268" s="388"/>
      <c r="I268" s="389"/>
      <c r="J268" s="389"/>
      <c r="K268" s="389"/>
      <c r="L268" s="389"/>
      <c r="M268" s="389"/>
      <c r="N268" s="389"/>
      <c r="O268" s="407"/>
      <c r="P268" s="389"/>
      <c r="Q268" s="407"/>
      <c r="R268" s="389"/>
      <c r="S268" s="389"/>
      <c r="T268" s="389"/>
      <c r="U268" s="389"/>
      <c r="V268" s="389"/>
      <c r="W268" s="389"/>
      <c r="X268" s="389"/>
      <c r="Y268" s="389"/>
      <c r="Z268" s="389"/>
      <c r="AA268" s="389"/>
      <c r="AB268" s="389"/>
      <c r="AC268" s="388"/>
      <c r="AD268" s="388"/>
      <c r="AE268" s="388"/>
      <c r="AF268" s="388"/>
      <c r="AG268" s="388"/>
      <c r="AH268" s="388"/>
      <c r="AI268" s="388"/>
      <c r="AJ268" s="388"/>
      <c r="AK268" s="388"/>
      <c r="AL268" s="388"/>
      <c r="AM268" s="388"/>
      <c r="AN268" s="388"/>
      <c r="AO268" s="388"/>
      <c r="AP268" s="388"/>
      <c r="AQ268" s="388"/>
      <c r="AR268" s="388"/>
      <c r="AS268" s="388"/>
      <c r="AT268" s="388"/>
      <c r="AU268" s="388"/>
      <c r="AV268" s="388"/>
      <c r="AW268" s="388"/>
      <c r="AX268" s="388"/>
      <c r="AY268" s="388"/>
      <c r="AZ268" s="388"/>
      <c r="BA268" s="388"/>
      <c r="BB268" s="388"/>
      <c r="BC268" s="388"/>
      <c r="BD268" s="388"/>
      <c r="BE268" s="388"/>
      <c r="BF268" s="388"/>
      <c r="BG268" s="388"/>
      <c r="BH268" s="388"/>
      <c r="BI268" s="388"/>
      <c r="BJ268" s="388"/>
      <c r="BK268" s="388"/>
      <c r="BL268" s="388"/>
      <c r="BM268" s="388"/>
      <c r="BN268" s="388"/>
      <c r="BO268" s="388"/>
    </row>
    <row r="269" spans="4:67" ht="12.75" customHeight="1">
      <c r="D269" s="389"/>
      <c r="E269" s="389"/>
      <c r="F269" s="389"/>
      <c r="G269" s="389"/>
      <c r="H269" s="388"/>
      <c r="I269" s="389"/>
      <c r="J269" s="389"/>
      <c r="K269" s="389"/>
      <c r="L269" s="389"/>
      <c r="M269" s="389"/>
      <c r="N269" s="389"/>
      <c r="O269" s="407"/>
      <c r="P269" s="389"/>
      <c r="Q269" s="407"/>
      <c r="R269" s="389"/>
      <c r="S269" s="389"/>
      <c r="T269" s="389"/>
      <c r="U269" s="389"/>
      <c r="V269" s="389"/>
      <c r="W269" s="389"/>
      <c r="X269" s="389"/>
      <c r="Y269" s="389"/>
      <c r="Z269" s="389"/>
      <c r="AA269" s="389"/>
      <c r="AB269" s="389"/>
      <c r="AC269" s="388"/>
      <c r="AD269" s="388"/>
      <c r="AE269" s="388"/>
      <c r="AF269" s="388"/>
      <c r="AG269" s="388"/>
      <c r="AH269" s="388"/>
      <c r="AI269" s="388"/>
      <c r="AJ269" s="388"/>
      <c r="AK269" s="388"/>
      <c r="AL269" s="388"/>
      <c r="AM269" s="388"/>
      <c r="AN269" s="388"/>
      <c r="AO269" s="388"/>
      <c r="AP269" s="388"/>
      <c r="AQ269" s="388"/>
      <c r="AR269" s="388"/>
      <c r="AS269" s="388"/>
      <c r="AT269" s="388"/>
      <c r="AU269" s="388"/>
      <c r="AV269" s="388"/>
      <c r="AW269" s="388"/>
      <c r="AX269" s="388"/>
      <c r="AY269" s="388"/>
      <c r="AZ269" s="388"/>
      <c r="BA269" s="388"/>
      <c r="BB269" s="388"/>
      <c r="BC269" s="388"/>
      <c r="BD269" s="388"/>
      <c r="BE269" s="388"/>
      <c r="BF269" s="388"/>
      <c r="BG269" s="388"/>
      <c r="BH269" s="388"/>
      <c r="BI269" s="388"/>
      <c r="BJ269" s="388"/>
      <c r="BK269" s="388"/>
      <c r="BL269" s="388"/>
      <c r="BM269" s="388"/>
      <c r="BN269" s="388"/>
      <c r="BO269" s="388"/>
    </row>
    <row r="270" spans="4:67" ht="12.75" customHeight="1">
      <c r="D270" s="389"/>
      <c r="E270" s="389"/>
      <c r="F270" s="389"/>
      <c r="G270" s="389"/>
      <c r="H270" s="388"/>
      <c r="I270" s="389"/>
      <c r="J270" s="389"/>
      <c r="K270" s="389"/>
      <c r="L270" s="389"/>
      <c r="M270" s="389"/>
      <c r="N270" s="389"/>
      <c r="O270" s="407"/>
      <c r="P270" s="389"/>
      <c r="Q270" s="407"/>
      <c r="R270" s="389"/>
      <c r="S270" s="389"/>
      <c r="T270" s="389"/>
      <c r="U270" s="389"/>
      <c r="V270" s="389"/>
      <c r="W270" s="389"/>
      <c r="X270" s="389"/>
      <c r="Y270" s="389"/>
      <c r="Z270" s="389"/>
      <c r="AA270" s="389"/>
      <c r="AB270" s="389"/>
      <c r="AC270" s="388"/>
      <c r="AD270" s="388"/>
      <c r="AE270" s="388"/>
      <c r="AF270" s="388"/>
      <c r="AG270" s="388"/>
      <c r="AH270" s="388"/>
      <c r="AI270" s="388"/>
      <c r="AJ270" s="388"/>
      <c r="AK270" s="388"/>
      <c r="AL270" s="388"/>
      <c r="AM270" s="388"/>
      <c r="AN270" s="388"/>
      <c r="AO270" s="388"/>
      <c r="AP270" s="388"/>
      <c r="AQ270" s="388"/>
      <c r="AR270" s="388"/>
      <c r="AS270" s="388"/>
      <c r="AT270" s="388"/>
      <c r="AU270" s="388"/>
      <c r="AV270" s="388"/>
      <c r="AW270" s="388"/>
      <c r="AX270" s="388"/>
      <c r="AY270" s="388"/>
      <c r="AZ270" s="388"/>
      <c r="BA270" s="388"/>
      <c r="BB270" s="388"/>
      <c r="BC270" s="388"/>
      <c r="BD270" s="388"/>
      <c r="BE270" s="388"/>
      <c r="BF270" s="388"/>
      <c r="BG270" s="388"/>
      <c r="BH270" s="388"/>
      <c r="BI270" s="388"/>
      <c r="BJ270" s="388"/>
      <c r="BK270" s="388"/>
      <c r="BL270" s="388"/>
      <c r="BM270" s="388"/>
      <c r="BN270" s="388"/>
      <c r="BO270" s="388"/>
    </row>
    <row r="271" spans="4:67" ht="12.75" customHeight="1">
      <c r="D271" s="389"/>
      <c r="E271" s="389"/>
      <c r="F271" s="389"/>
      <c r="G271" s="389"/>
      <c r="H271" s="388"/>
      <c r="I271" s="389"/>
      <c r="J271" s="389"/>
      <c r="K271" s="389"/>
      <c r="L271" s="389"/>
      <c r="M271" s="389"/>
      <c r="N271" s="389"/>
      <c r="O271" s="407"/>
      <c r="P271" s="389"/>
      <c r="Q271" s="407"/>
      <c r="R271" s="389"/>
      <c r="S271" s="389"/>
      <c r="T271" s="389"/>
      <c r="U271" s="389"/>
      <c r="V271" s="389"/>
      <c r="W271" s="389"/>
      <c r="X271" s="389"/>
      <c r="Y271" s="389"/>
      <c r="Z271" s="389"/>
      <c r="AA271" s="389"/>
      <c r="AB271" s="389"/>
      <c r="AC271" s="388"/>
      <c r="AD271" s="388"/>
      <c r="AE271" s="388"/>
      <c r="AF271" s="388"/>
      <c r="AG271" s="388"/>
      <c r="AH271" s="388"/>
      <c r="AI271" s="388"/>
      <c r="AJ271" s="388"/>
      <c r="AK271" s="388"/>
      <c r="AL271" s="388"/>
      <c r="AM271" s="388"/>
      <c r="AN271" s="388"/>
      <c r="AO271" s="388"/>
      <c r="AP271" s="388"/>
      <c r="AQ271" s="388"/>
      <c r="AR271" s="388"/>
      <c r="AS271" s="388"/>
      <c r="AT271" s="388"/>
      <c r="AU271" s="388"/>
      <c r="AV271" s="388"/>
      <c r="AW271" s="388"/>
      <c r="AX271" s="388"/>
      <c r="AY271" s="388"/>
      <c r="AZ271" s="388"/>
      <c r="BA271" s="388"/>
      <c r="BB271" s="388"/>
      <c r="BC271" s="388"/>
      <c r="BD271" s="388"/>
      <c r="BE271" s="388"/>
      <c r="BF271" s="388"/>
      <c r="BG271" s="388"/>
      <c r="BH271" s="388"/>
      <c r="BI271" s="388"/>
      <c r="BJ271" s="388"/>
      <c r="BK271" s="388"/>
      <c r="BL271" s="388"/>
      <c r="BM271" s="388"/>
      <c r="BN271" s="388"/>
      <c r="BO271" s="388"/>
    </row>
    <row r="272" spans="4:67" ht="12.75" customHeight="1">
      <c r="D272" s="389"/>
      <c r="E272" s="389"/>
      <c r="F272" s="389"/>
      <c r="G272" s="389"/>
      <c r="H272" s="388"/>
      <c r="I272" s="389"/>
      <c r="J272" s="389"/>
      <c r="K272" s="389"/>
      <c r="L272" s="389"/>
      <c r="M272" s="389"/>
      <c r="N272" s="389"/>
      <c r="O272" s="407"/>
      <c r="P272" s="389"/>
      <c r="Q272" s="407"/>
      <c r="R272" s="389"/>
      <c r="S272" s="389"/>
      <c r="T272" s="389"/>
      <c r="U272" s="389"/>
      <c r="V272" s="389"/>
      <c r="W272" s="389"/>
      <c r="X272" s="389"/>
      <c r="Y272" s="389"/>
      <c r="Z272" s="389"/>
      <c r="AA272" s="389"/>
      <c r="AB272" s="389"/>
      <c r="AC272" s="388"/>
      <c r="AD272" s="388"/>
      <c r="AE272" s="388"/>
      <c r="AF272" s="388"/>
      <c r="AG272" s="388"/>
      <c r="AH272" s="388"/>
      <c r="AI272" s="388"/>
      <c r="AJ272" s="388"/>
      <c r="AK272" s="388"/>
      <c r="AL272" s="388"/>
      <c r="AM272" s="388"/>
      <c r="AN272" s="388"/>
      <c r="AO272" s="388"/>
      <c r="AP272" s="388"/>
      <c r="AQ272" s="388"/>
      <c r="AR272" s="388"/>
      <c r="AS272" s="388"/>
      <c r="AT272" s="388"/>
      <c r="AU272" s="388"/>
      <c r="AV272" s="388"/>
      <c r="AW272" s="388"/>
      <c r="AX272" s="388"/>
      <c r="AY272" s="388"/>
      <c r="AZ272" s="388"/>
      <c r="BA272" s="388"/>
      <c r="BB272" s="388"/>
      <c r="BC272" s="388"/>
      <c r="BD272" s="388"/>
      <c r="BE272" s="388"/>
      <c r="BF272" s="388"/>
      <c r="BG272" s="388"/>
      <c r="BH272" s="388"/>
      <c r="BI272" s="388"/>
      <c r="BJ272" s="388"/>
      <c r="BK272" s="388"/>
      <c r="BL272" s="388"/>
      <c r="BM272" s="388"/>
      <c r="BN272" s="388"/>
      <c r="BO272" s="388"/>
    </row>
    <row r="273" spans="4:67" ht="12.75" customHeight="1">
      <c r="D273" s="389"/>
      <c r="E273" s="389"/>
      <c r="F273" s="389"/>
      <c r="G273" s="389"/>
      <c r="H273" s="388"/>
      <c r="I273" s="389"/>
      <c r="J273" s="389"/>
      <c r="K273" s="389"/>
      <c r="L273" s="389"/>
      <c r="M273" s="389"/>
      <c r="N273" s="389"/>
      <c r="O273" s="407"/>
      <c r="P273" s="389"/>
      <c r="Q273" s="407"/>
      <c r="R273" s="389"/>
      <c r="S273" s="389"/>
      <c r="T273" s="389"/>
      <c r="U273" s="389"/>
      <c r="V273" s="389"/>
      <c r="W273" s="389"/>
      <c r="X273" s="389"/>
      <c r="Y273" s="389"/>
      <c r="Z273" s="389"/>
      <c r="AA273" s="389"/>
      <c r="AB273" s="389"/>
      <c r="AC273" s="388"/>
      <c r="AD273" s="388"/>
      <c r="AE273" s="388"/>
      <c r="AF273" s="388"/>
      <c r="AG273" s="388"/>
      <c r="AH273" s="388"/>
      <c r="AI273" s="388"/>
      <c r="AJ273" s="388"/>
      <c r="AK273" s="388"/>
      <c r="AL273" s="388"/>
      <c r="AM273" s="388"/>
      <c r="AN273" s="388"/>
      <c r="AO273" s="388"/>
      <c r="AP273" s="388"/>
      <c r="AQ273" s="388"/>
      <c r="AR273" s="388"/>
      <c r="AS273" s="388"/>
      <c r="AT273" s="388"/>
      <c r="AU273" s="388"/>
      <c r="AV273" s="388"/>
      <c r="AW273" s="388"/>
      <c r="AX273" s="388"/>
      <c r="AY273" s="388"/>
      <c r="AZ273" s="388"/>
      <c r="BA273" s="388"/>
      <c r="BB273" s="388"/>
      <c r="BC273" s="388"/>
      <c r="BD273" s="388"/>
      <c r="BE273" s="388"/>
      <c r="BF273" s="388"/>
      <c r="BG273" s="388"/>
      <c r="BH273" s="388"/>
      <c r="BI273" s="388"/>
      <c r="BJ273" s="388"/>
      <c r="BK273" s="388"/>
      <c r="BL273" s="388"/>
      <c r="BM273" s="388"/>
      <c r="BN273" s="388"/>
      <c r="BO273" s="388"/>
    </row>
    <row r="274" spans="4:67" ht="12.75" customHeight="1">
      <c r="D274" s="389"/>
      <c r="E274" s="389"/>
      <c r="F274" s="389"/>
      <c r="G274" s="389"/>
      <c r="H274" s="388"/>
      <c r="I274" s="389"/>
      <c r="J274" s="389"/>
      <c r="K274" s="389"/>
      <c r="L274" s="389"/>
      <c r="M274" s="389"/>
      <c r="N274" s="389"/>
      <c r="O274" s="407"/>
      <c r="P274" s="389"/>
      <c r="Q274" s="407"/>
      <c r="R274" s="389"/>
      <c r="S274" s="389"/>
      <c r="T274" s="389"/>
      <c r="U274" s="389"/>
      <c r="V274" s="389"/>
      <c r="W274" s="389"/>
      <c r="X274" s="389"/>
      <c r="Y274" s="389"/>
      <c r="Z274" s="389"/>
      <c r="AA274" s="389"/>
      <c r="AB274" s="389"/>
      <c r="AC274" s="388"/>
      <c r="AD274" s="388"/>
      <c r="AE274" s="388"/>
      <c r="AF274" s="388"/>
      <c r="AG274" s="388"/>
      <c r="AH274" s="388"/>
      <c r="AI274" s="388"/>
      <c r="AJ274" s="388"/>
      <c r="AK274" s="388"/>
      <c r="AL274" s="388"/>
      <c r="AM274" s="388"/>
      <c r="AN274" s="388"/>
      <c r="AO274" s="388"/>
      <c r="AP274" s="388"/>
      <c r="AQ274" s="388"/>
      <c r="AR274" s="388"/>
      <c r="AS274" s="388"/>
      <c r="AT274" s="388"/>
      <c r="AU274" s="388"/>
      <c r="AV274" s="388"/>
      <c r="AW274" s="388"/>
      <c r="AX274" s="388"/>
      <c r="AY274" s="388"/>
      <c r="AZ274" s="388"/>
      <c r="BA274" s="388"/>
      <c r="BB274" s="388"/>
      <c r="BC274" s="388"/>
      <c r="BD274" s="388"/>
      <c r="BE274" s="388"/>
      <c r="BF274" s="388"/>
      <c r="BG274" s="388"/>
      <c r="BH274" s="388"/>
      <c r="BI274" s="388"/>
      <c r="BJ274" s="388"/>
      <c r="BK274" s="388"/>
      <c r="BL274" s="388"/>
      <c r="BM274" s="388"/>
      <c r="BN274" s="388"/>
      <c r="BO274" s="388"/>
    </row>
    <row r="275" spans="4:67" ht="12.75" customHeight="1">
      <c r="D275" s="389"/>
      <c r="E275" s="389"/>
      <c r="F275" s="389"/>
      <c r="G275" s="389"/>
      <c r="H275" s="388"/>
      <c r="I275" s="389"/>
      <c r="J275" s="389"/>
      <c r="K275" s="389"/>
      <c r="L275" s="389"/>
      <c r="M275" s="389"/>
      <c r="N275" s="389"/>
      <c r="O275" s="407"/>
      <c r="P275" s="389"/>
      <c r="Q275" s="407"/>
      <c r="R275" s="389"/>
      <c r="S275" s="389"/>
      <c r="T275" s="389"/>
      <c r="U275" s="389"/>
      <c r="V275" s="389"/>
      <c r="W275" s="389"/>
      <c r="X275" s="389"/>
      <c r="Y275" s="389"/>
      <c r="Z275" s="389"/>
      <c r="AA275" s="389"/>
      <c r="AB275" s="389"/>
      <c r="AC275" s="388"/>
      <c r="AD275" s="388"/>
      <c r="AE275" s="388"/>
      <c r="AF275" s="388"/>
      <c r="AG275" s="388"/>
      <c r="AH275" s="388"/>
      <c r="AI275" s="388"/>
      <c r="AJ275" s="388"/>
      <c r="AK275" s="388"/>
      <c r="AL275" s="388"/>
      <c r="AM275" s="388"/>
      <c r="AN275" s="388"/>
      <c r="AO275" s="388"/>
      <c r="AP275" s="388"/>
      <c r="AQ275" s="388"/>
      <c r="AR275" s="388"/>
      <c r="AS275" s="388"/>
      <c r="AT275" s="388"/>
      <c r="AU275" s="388"/>
      <c r="AV275" s="388"/>
      <c r="AW275" s="388"/>
      <c r="AX275" s="388"/>
      <c r="AY275" s="388"/>
      <c r="AZ275" s="388"/>
      <c r="BA275" s="388"/>
      <c r="BB275" s="388"/>
      <c r="BC275" s="388"/>
      <c r="BD275" s="388"/>
      <c r="BE275" s="388"/>
      <c r="BF275" s="388"/>
      <c r="BG275" s="388"/>
      <c r="BH275" s="388"/>
      <c r="BI275" s="388"/>
      <c r="BJ275" s="388"/>
      <c r="BK275" s="388"/>
      <c r="BL275" s="388"/>
      <c r="BM275" s="388"/>
      <c r="BN275" s="388"/>
      <c r="BO275" s="388"/>
    </row>
    <row r="276" spans="4:67" ht="12.75" customHeight="1">
      <c r="D276" s="389"/>
      <c r="E276" s="389"/>
      <c r="F276" s="389"/>
      <c r="G276" s="389"/>
      <c r="H276" s="388"/>
      <c r="I276" s="389"/>
      <c r="J276" s="389"/>
      <c r="K276" s="389"/>
      <c r="L276" s="389"/>
      <c r="M276" s="389"/>
      <c r="N276" s="389"/>
      <c r="O276" s="407"/>
      <c r="P276" s="389"/>
      <c r="Q276" s="407"/>
      <c r="R276" s="389"/>
      <c r="S276" s="389"/>
      <c r="T276" s="389"/>
      <c r="U276" s="389"/>
      <c r="V276" s="389"/>
      <c r="W276" s="389"/>
      <c r="X276" s="389"/>
      <c r="Y276" s="389"/>
      <c r="Z276" s="389"/>
      <c r="AA276" s="389"/>
      <c r="AB276" s="389"/>
      <c r="AC276" s="388"/>
      <c r="AD276" s="388"/>
      <c r="AE276" s="388"/>
      <c r="AF276" s="388"/>
      <c r="AG276" s="388"/>
      <c r="AH276" s="388"/>
      <c r="AI276" s="388"/>
      <c r="AJ276" s="388"/>
      <c r="AK276" s="388"/>
      <c r="AL276" s="388"/>
      <c r="AM276" s="388"/>
      <c r="AN276" s="388"/>
      <c r="AO276" s="388"/>
      <c r="AP276" s="388"/>
      <c r="AQ276" s="388"/>
      <c r="AR276" s="388"/>
      <c r="AS276" s="388"/>
      <c r="AT276" s="388"/>
      <c r="AU276" s="388"/>
      <c r="AV276" s="388"/>
      <c r="AW276" s="388"/>
      <c r="AX276" s="388"/>
      <c r="AY276" s="388"/>
      <c r="AZ276" s="388"/>
      <c r="BA276" s="388"/>
      <c r="BB276" s="388"/>
      <c r="BC276" s="388"/>
      <c r="BD276" s="388"/>
      <c r="BE276" s="388"/>
      <c r="BF276" s="388"/>
      <c r="BG276" s="388"/>
      <c r="BH276" s="388"/>
      <c r="BI276" s="388"/>
      <c r="BJ276" s="388"/>
      <c r="BK276" s="388"/>
      <c r="BL276" s="388"/>
      <c r="BM276" s="388"/>
      <c r="BN276" s="388"/>
      <c r="BO276" s="388"/>
    </row>
    <row r="277" spans="4:67" ht="12.75" customHeight="1">
      <c r="D277" s="389"/>
      <c r="E277" s="389"/>
      <c r="F277" s="389"/>
      <c r="G277" s="389"/>
      <c r="H277" s="388"/>
      <c r="I277" s="389"/>
      <c r="J277" s="389"/>
      <c r="K277" s="389"/>
      <c r="L277" s="389"/>
      <c r="M277" s="389"/>
      <c r="N277" s="389"/>
      <c r="O277" s="407"/>
      <c r="P277" s="389"/>
      <c r="Q277" s="407"/>
      <c r="R277" s="389"/>
      <c r="S277" s="389"/>
      <c r="T277" s="389"/>
      <c r="U277" s="389"/>
      <c r="V277" s="389"/>
      <c r="W277" s="389"/>
      <c r="X277" s="389"/>
      <c r="Y277" s="389"/>
      <c r="Z277" s="389"/>
      <c r="AA277" s="389"/>
      <c r="AB277" s="389"/>
      <c r="AC277" s="388"/>
      <c r="AD277" s="388"/>
      <c r="AE277" s="388"/>
      <c r="AF277" s="388"/>
      <c r="AG277" s="388"/>
      <c r="AH277" s="388"/>
      <c r="AI277" s="388"/>
      <c r="AJ277" s="388"/>
      <c r="AK277" s="388"/>
      <c r="AL277" s="388"/>
      <c r="AM277" s="388"/>
      <c r="AN277" s="388"/>
      <c r="AO277" s="388"/>
      <c r="AP277" s="388"/>
      <c r="AQ277" s="388"/>
      <c r="AR277" s="388"/>
      <c r="AS277" s="388"/>
      <c r="AT277" s="388"/>
      <c r="AU277" s="388"/>
      <c r="AV277" s="388"/>
      <c r="AW277" s="388"/>
      <c r="AX277" s="388"/>
      <c r="AY277" s="388"/>
      <c r="AZ277" s="388"/>
      <c r="BA277" s="388"/>
      <c r="BB277" s="388"/>
      <c r="BC277" s="388"/>
      <c r="BD277" s="388"/>
      <c r="BE277" s="388"/>
      <c r="BF277" s="388"/>
      <c r="BG277" s="388"/>
      <c r="BH277" s="388"/>
      <c r="BI277" s="388"/>
      <c r="BJ277" s="388"/>
      <c r="BK277" s="388"/>
      <c r="BL277" s="388"/>
      <c r="BM277" s="388"/>
      <c r="BN277" s="388"/>
      <c r="BO277" s="388"/>
    </row>
    <row r="278" spans="4:67" ht="12.75" customHeight="1">
      <c r="D278" s="389"/>
      <c r="E278" s="389"/>
      <c r="F278" s="389"/>
      <c r="G278" s="389"/>
      <c r="H278" s="388"/>
      <c r="I278" s="389"/>
      <c r="J278" s="389"/>
      <c r="K278" s="389"/>
      <c r="L278" s="389"/>
      <c r="M278" s="389"/>
      <c r="N278" s="389"/>
      <c r="O278" s="407"/>
      <c r="P278" s="389"/>
      <c r="Q278" s="407"/>
      <c r="R278" s="389"/>
      <c r="S278" s="389"/>
      <c r="T278" s="389"/>
      <c r="U278" s="389"/>
      <c r="V278" s="389"/>
      <c r="W278" s="389"/>
      <c r="X278" s="389"/>
      <c r="Y278" s="389"/>
      <c r="Z278" s="389"/>
      <c r="AA278" s="389"/>
      <c r="AB278" s="389"/>
      <c r="AC278" s="388"/>
      <c r="AD278" s="388"/>
      <c r="AE278" s="388"/>
      <c r="AF278" s="388"/>
      <c r="AG278" s="388"/>
      <c r="AH278" s="388"/>
      <c r="AI278" s="388"/>
      <c r="AJ278" s="388"/>
      <c r="AK278" s="388"/>
      <c r="AL278" s="388"/>
      <c r="AM278" s="388"/>
      <c r="AN278" s="388"/>
      <c r="AO278" s="388"/>
      <c r="AP278" s="388"/>
      <c r="AQ278" s="388"/>
      <c r="AR278" s="388"/>
      <c r="AS278" s="388"/>
      <c r="AT278" s="388"/>
      <c r="AU278" s="388"/>
      <c r="AV278" s="388"/>
      <c r="AW278" s="388"/>
      <c r="AX278" s="388"/>
      <c r="AY278" s="388"/>
      <c r="AZ278" s="388"/>
      <c r="BA278" s="388"/>
      <c r="BB278" s="388"/>
      <c r="BC278" s="388"/>
      <c r="BD278" s="388"/>
      <c r="BE278" s="388"/>
      <c r="BF278" s="388"/>
      <c r="BG278" s="388"/>
      <c r="BH278" s="388"/>
      <c r="BI278" s="388"/>
      <c r="BJ278" s="388"/>
      <c r="BK278" s="388"/>
      <c r="BL278" s="388"/>
      <c r="BM278" s="388"/>
      <c r="BN278" s="388"/>
      <c r="BO278" s="388"/>
    </row>
    <row r="279" spans="4:67" ht="12.75" customHeight="1">
      <c r="D279" s="389"/>
      <c r="E279" s="389"/>
      <c r="F279" s="389"/>
      <c r="G279" s="389"/>
      <c r="H279" s="388"/>
      <c r="I279" s="389"/>
      <c r="J279" s="389"/>
      <c r="K279" s="389"/>
      <c r="L279" s="389"/>
      <c r="M279" s="389"/>
      <c r="N279" s="389"/>
      <c r="O279" s="407"/>
      <c r="P279" s="389"/>
      <c r="Q279" s="407"/>
      <c r="R279" s="389"/>
      <c r="S279" s="389"/>
      <c r="T279" s="389"/>
      <c r="U279" s="389"/>
      <c r="V279" s="389"/>
      <c r="W279" s="389"/>
      <c r="X279" s="389"/>
      <c r="Y279" s="389"/>
      <c r="Z279" s="389"/>
      <c r="AA279" s="389"/>
      <c r="AB279" s="389"/>
      <c r="AC279" s="388"/>
      <c r="AD279" s="388"/>
      <c r="AE279" s="388"/>
      <c r="AF279" s="388"/>
      <c r="AG279" s="388"/>
      <c r="AH279" s="388"/>
      <c r="AI279" s="388"/>
      <c r="AJ279" s="388"/>
      <c r="AK279" s="388"/>
      <c r="AL279" s="388"/>
      <c r="AM279" s="388"/>
      <c r="AN279" s="388"/>
      <c r="AO279" s="388"/>
      <c r="AP279" s="388"/>
      <c r="AQ279" s="388"/>
      <c r="AR279" s="388"/>
      <c r="AS279" s="388"/>
      <c r="AT279" s="388"/>
      <c r="AU279" s="388"/>
      <c r="AV279" s="388"/>
      <c r="AW279" s="388"/>
      <c r="AX279" s="388"/>
      <c r="AY279" s="388"/>
      <c r="AZ279" s="388"/>
      <c r="BA279" s="388"/>
      <c r="BB279" s="388"/>
      <c r="BC279" s="388"/>
      <c r="BD279" s="388"/>
      <c r="BE279" s="388"/>
      <c r="BF279" s="388"/>
      <c r="BG279" s="388"/>
      <c r="BH279" s="388"/>
      <c r="BI279" s="388"/>
      <c r="BJ279" s="388"/>
      <c r="BK279" s="388"/>
      <c r="BL279" s="388"/>
      <c r="BM279" s="388"/>
      <c r="BN279" s="388"/>
      <c r="BO279" s="388"/>
    </row>
    <row r="280" spans="4:67" ht="12.75" customHeight="1">
      <c r="D280" s="389"/>
      <c r="E280" s="389"/>
      <c r="F280" s="389"/>
      <c r="G280" s="389"/>
      <c r="H280" s="388"/>
      <c r="I280" s="389"/>
      <c r="J280" s="389"/>
      <c r="K280" s="389"/>
      <c r="L280" s="389"/>
      <c r="M280" s="389"/>
      <c r="N280" s="389"/>
      <c r="O280" s="407"/>
      <c r="P280" s="389"/>
      <c r="Q280" s="407"/>
      <c r="R280" s="389"/>
      <c r="S280" s="389"/>
      <c r="T280" s="389"/>
      <c r="U280" s="389"/>
      <c r="V280" s="389"/>
      <c r="W280" s="389"/>
      <c r="X280" s="389"/>
      <c r="Y280" s="389"/>
      <c r="Z280" s="389"/>
      <c r="AA280" s="389"/>
      <c r="AB280" s="389"/>
      <c r="AC280" s="388"/>
      <c r="AD280" s="388"/>
      <c r="AE280" s="388"/>
      <c r="AF280" s="388"/>
      <c r="AG280" s="388"/>
      <c r="AH280" s="388"/>
      <c r="AI280" s="388"/>
      <c r="AJ280" s="388"/>
      <c r="AK280" s="388"/>
      <c r="AL280" s="388"/>
      <c r="AM280" s="388"/>
      <c r="AN280" s="388"/>
      <c r="AO280" s="388"/>
      <c r="AP280" s="388"/>
      <c r="AQ280" s="388"/>
      <c r="AR280" s="388"/>
      <c r="AS280" s="388"/>
      <c r="AT280" s="388"/>
      <c r="AU280" s="388"/>
      <c r="AV280" s="388"/>
      <c r="AW280" s="388"/>
      <c r="AX280" s="388"/>
      <c r="AY280" s="388"/>
      <c r="AZ280" s="388"/>
      <c r="BA280" s="388"/>
      <c r="BB280" s="388"/>
      <c r="BC280" s="388"/>
      <c r="BD280" s="388"/>
      <c r="BE280" s="388"/>
      <c r="BF280" s="388"/>
      <c r="BG280" s="388"/>
      <c r="BH280" s="388"/>
      <c r="BI280" s="388"/>
      <c r="BJ280" s="388"/>
      <c r="BK280" s="388"/>
      <c r="BL280" s="388"/>
      <c r="BM280" s="388"/>
      <c r="BN280" s="388"/>
      <c r="BO280" s="388"/>
    </row>
    <row r="281" spans="4:67" ht="12.75" customHeight="1">
      <c r="D281" s="389"/>
      <c r="E281" s="389"/>
      <c r="F281" s="389"/>
      <c r="G281" s="389"/>
      <c r="H281" s="388"/>
      <c r="I281" s="389"/>
      <c r="J281" s="389"/>
      <c r="K281" s="389"/>
      <c r="L281" s="389"/>
      <c r="M281" s="389"/>
      <c r="N281" s="389"/>
      <c r="O281" s="407"/>
      <c r="P281" s="389"/>
      <c r="Q281" s="407"/>
      <c r="R281" s="389"/>
      <c r="S281" s="389"/>
      <c r="T281" s="389"/>
      <c r="U281" s="389"/>
      <c r="V281" s="389"/>
      <c r="W281" s="389"/>
      <c r="X281" s="389"/>
      <c r="Y281" s="389"/>
      <c r="Z281" s="389"/>
      <c r="AA281" s="389"/>
      <c r="AB281" s="389"/>
      <c r="AC281" s="388"/>
      <c r="AD281" s="388"/>
      <c r="AE281" s="388"/>
      <c r="AF281" s="388"/>
      <c r="AG281" s="388"/>
      <c r="AH281" s="388"/>
      <c r="AI281" s="388"/>
      <c r="AJ281" s="388"/>
      <c r="AK281" s="388"/>
      <c r="AL281" s="388"/>
      <c r="AM281" s="388"/>
      <c r="AN281" s="388"/>
      <c r="AO281" s="388"/>
      <c r="AP281" s="388"/>
      <c r="AQ281" s="388"/>
      <c r="AR281" s="388"/>
      <c r="AS281" s="388"/>
      <c r="AT281" s="388"/>
      <c r="AU281" s="388"/>
      <c r="AV281" s="388"/>
      <c r="AW281" s="388"/>
      <c r="AX281" s="388"/>
      <c r="AY281" s="388"/>
      <c r="AZ281" s="388"/>
      <c r="BA281" s="388"/>
      <c r="BB281" s="388"/>
      <c r="BC281" s="388"/>
      <c r="BD281" s="388"/>
      <c r="BE281" s="388"/>
      <c r="BF281" s="388"/>
      <c r="BG281" s="388"/>
      <c r="BH281" s="388"/>
      <c r="BI281" s="388"/>
      <c r="BJ281" s="388"/>
      <c r="BK281" s="388"/>
      <c r="BL281" s="388"/>
      <c r="BM281" s="388"/>
      <c r="BN281" s="388"/>
      <c r="BO281" s="388"/>
    </row>
    <row r="282" spans="4:67" ht="12.75" customHeight="1">
      <c r="D282" s="389"/>
      <c r="E282" s="389"/>
      <c r="F282" s="389"/>
      <c r="G282" s="389"/>
    </row>
    <row r="283" spans="4:67" ht="12.75" customHeight="1">
      <c r="D283" s="389"/>
      <c r="E283" s="389"/>
      <c r="F283" s="389"/>
      <c r="G283" s="389"/>
    </row>
    <row r="284" spans="4:67" ht="12.75" customHeight="1">
      <c r="D284" s="389"/>
      <c r="E284" s="389"/>
      <c r="F284" s="389"/>
      <c r="G284" s="389"/>
    </row>
  </sheetData>
  <sheetProtection password="DFE4" sheet="1" objects="1" scenarios="1" formatColumns="0" selectLockedCells="1"/>
  <protectedRanges>
    <protectedRange sqref="E15:F16" name="範圍1_1"/>
  </protectedRanges>
  <mergeCells count="99">
    <mergeCell ref="Y25:Z25"/>
    <mergeCell ref="Y26:Y27"/>
    <mergeCell ref="Z26:Z27"/>
    <mergeCell ref="BV7:BW7"/>
    <mergeCell ref="D23:D24"/>
    <mergeCell ref="X24:AB24"/>
    <mergeCell ref="AB25:AB27"/>
    <mergeCell ref="X25:X27"/>
    <mergeCell ref="AA25:AA27"/>
    <mergeCell ref="D21:D22"/>
    <mergeCell ref="G21:G22"/>
    <mergeCell ref="BR5:BS5"/>
    <mergeCell ref="BS7:BS8"/>
    <mergeCell ref="BR23:BS23"/>
    <mergeCell ref="BR24:BS24"/>
    <mergeCell ref="CH24:CH26"/>
    <mergeCell ref="CI24:CI26"/>
    <mergeCell ref="BR25:BS25"/>
    <mergeCell ref="BV10:BX10"/>
    <mergeCell ref="BV11:BW11"/>
    <mergeCell ref="BZ10:CB10"/>
    <mergeCell ref="BZ11:CA11"/>
    <mergeCell ref="CJ86:DF86"/>
    <mergeCell ref="CH84:CH86"/>
    <mergeCell ref="CH39:CH41"/>
    <mergeCell ref="CH60:CH62"/>
    <mergeCell ref="CH66:CH68"/>
    <mergeCell ref="CH63:CH65"/>
    <mergeCell ref="CJ84:DF84"/>
    <mergeCell ref="CH42:CH44"/>
    <mergeCell ref="CH45:CH47"/>
    <mergeCell ref="CH48:CH50"/>
    <mergeCell ref="CH51:CH53"/>
    <mergeCell ref="CH54:CH56"/>
    <mergeCell ref="CH57:CH59"/>
    <mergeCell ref="CH30:CH32"/>
    <mergeCell ref="CL32:DM32"/>
    <mergeCell ref="BQ7:BQ8"/>
    <mergeCell ref="CH36:CH38"/>
    <mergeCell ref="CH14:CH16"/>
    <mergeCell ref="CI14:CI16"/>
    <mergeCell ref="CH33:CH35"/>
    <mergeCell ref="BR7:BR8"/>
    <mergeCell ref="CL30:DM30"/>
    <mergeCell ref="CK30:CK32"/>
    <mergeCell ref="CJ30:CJ32"/>
    <mergeCell ref="CI30:CI32"/>
    <mergeCell ref="CD11:CE11"/>
    <mergeCell ref="CD10:CF10"/>
    <mergeCell ref="CH19:CH21"/>
    <mergeCell ref="CI19:CI21"/>
    <mergeCell ref="CJ5:CK5"/>
    <mergeCell ref="CJ6:CK6"/>
    <mergeCell ref="CL5:CM5"/>
    <mergeCell ref="CL6:CM6"/>
    <mergeCell ref="DN31:EA31"/>
    <mergeCell ref="AD3:AH3"/>
    <mergeCell ref="AJ3:AL3"/>
    <mergeCell ref="AN3:AP3"/>
    <mergeCell ref="AR3:AT3"/>
    <mergeCell ref="AV3:AX3"/>
    <mergeCell ref="D43:D44"/>
    <mergeCell ref="G43:G44"/>
    <mergeCell ref="D27:D28"/>
    <mergeCell ref="G27:G28"/>
    <mergeCell ref="D34:G34"/>
    <mergeCell ref="D41:D42"/>
    <mergeCell ref="G41:G42"/>
    <mergeCell ref="D35:D36"/>
    <mergeCell ref="D29:D30"/>
    <mergeCell ref="D37:D38"/>
    <mergeCell ref="CH2:EF2"/>
    <mergeCell ref="D5:E6"/>
    <mergeCell ref="BC3:BG3"/>
    <mergeCell ref="J3:L3"/>
    <mergeCell ref="D9:F9"/>
    <mergeCell ref="AV4:AX5"/>
    <mergeCell ref="AD5:AE5"/>
    <mergeCell ref="AA5:AA6"/>
    <mergeCell ref="X4:AA4"/>
    <mergeCell ref="X5:X6"/>
    <mergeCell ref="M4:N5"/>
    <mergeCell ref="O4:O5"/>
    <mergeCell ref="P4:P5"/>
    <mergeCell ref="Q4:S5"/>
    <mergeCell ref="T4:V5"/>
    <mergeCell ref="D4:E4"/>
    <mergeCell ref="AJ4:AL5"/>
    <mergeCell ref="AN4:AP5"/>
    <mergeCell ref="AR4:AT5"/>
    <mergeCell ref="Y5:Z5"/>
    <mergeCell ref="D19:D20"/>
    <mergeCell ref="D13:G13"/>
    <mergeCell ref="D18:G18"/>
    <mergeCell ref="I4:I5"/>
    <mergeCell ref="J4:J5"/>
    <mergeCell ref="K4:K5"/>
    <mergeCell ref="L4:L5"/>
    <mergeCell ref="X17:AB20"/>
  </mergeCells>
  <phoneticPr fontId="45" type="noConversion"/>
  <conditionalFormatting sqref="O7:O39">
    <cfRule type="cellIs" dxfId="126" priority="17" stopIfTrue="1" operator="greaterThanOrEqual">
      <formula>$E$10</formula>
    </cfRule>
  </conditionalFormatting>
  <conditionalFormatting sqref="P7:P39">
    <cfRule type="cellIs" dxfId="125" priority="18" stopIfTrue="1" operator="greaterThanOrEqual">
      <formula>$E$11</formula>
    </cfRule>
  </conditionalFormatting>
  <conditionalFormatting sqref="AK43">
    <cfRule type="cellIs" dxfId="124" priority="16" stopIfTrue="1" operator="greaterThanOrEqual">
      <formula>$E$10</formula>
    </cfRule>
  </conditionalFormatting>
  <conditionalFormatting sqref="AO43">
    <cfRule type="cellIs" dxfId="123" priority="15" stopIfTrue="1" operator="greaterThanOrEqual">
      <formula>$E$10</formula>
    </cfRule>
  </conditionalFormatting>
  <conditionalFormatting sqref="AS43">
    <cfRule type="cellIs" dxfId="122" priority="14" stopIfTrue="1" operator="greaterThanOrEqual">
      <formula>$E$10</formula>
    </cfRule>
  </conditionalFormatting>
  <conditionalFormatting sqref="X7:X15">
    <cfRule type="cellIs" dxfId="121" priority="19" stopIfTrue="1" operator="equal">
      <formula>$AV$22</formula>
    </cfRule>
  </conditionalFormatting>
  <conditionalFormatting sqref="O10:O38">
    <cfRule type="cellIs" dxfId="120" priority="9" stopIfTrue="1" operator="greaterThanOrEqual">
      <formula>$E$10</formula>
    </cfRule>
  </conditionalFormatting>
  <conditionalFormatting sqref="P10:P38">
    <cfRule type="cellIs" dxfId="119" priority="10" stopIfTrue="1" operator="greaterThanOrEqual">
      <formula>$E$11</formula>
    </cfRule>
  </conditionalFormatting>
  <conditionalFormatting sqref="BR14">
    <cfRule type="expression" dxfId="118" priority="198">
      <formula>$BR$5=$EB$59</formula>
    </cfRule>
  </conditionalFormatting>
  <conditionalFormatting sqref="I7:I39">
    <cfRule type="cellIs" dxfId="117" priority="1" operator="equal">
      <formula>$AR$43</formula>
    </cfRule>
    <cfRule type="cellIs" dxfId="116" priority="2" operator="equal">
      <formula>$AN$43</formula>
    </cfRule>
    <cfRule type="cellIs" dxfId="115" priority="3" operator="equal">
      <formula>$AJ$43</formula>
    </cfRule>
  </conditionalFormatting>
  <dataValidations xWindow="400" yWindow="568" count="9">
    <dataValidation type="list" allowBlank="1" showInputMessage="1" showErrorMessage="1" sqref="BR5" xr:uid="{00000000-0002-0000-1200-000000000000}">
      <formula1>$EB$42:$EB$43</formula1>
    </dataValidation>
    <dataValidation allowBlank="1" showInputMessage="1" showErrorMessage="1" prompt="≤90oC" sqref="BR14" xr:uid="{00000000-0002-0000-1200-000001000000}"/>
    <dataValidation type="list" allowBlank="1" showErrorMessage="1" sqref="BR10" xr:uid="{00000000-0002-0000-1200-000002000000}">
      <formula1>$CI$70:$CI$81</formula1>
    </dataValidation>
    <dataValidation type="list" allowBlank="1" showInputMessage="1" showErrorMessage="1" sqref="BR17" xr:uid="{00000000-0002-0000-1200-000003000000}">
      <formula1>$CK$70:$CK$72</formula1>
    </dataValidation>
    <dataValidation type="list" allowBlank="1" showInputMessage="1" showErrorMessage="1" sqref="BS7:BS8" xr:uid="{00000000-0002-0000-1200-000004000000}">
      <formula1>$CL$13:$CL$14</formula1>
    </dataValidation>
    <dataValidation type="list" allowBlank="1" showErrorMessage="1" sqref="F19" xr:uid="{00000000-0002-0000-1200-000005000000}">
      <formula1>$AF$47:$AF$48</formula1>
    </dataValidation>
    <dataValidation type="list" allowBlank="1" showErrorMessage="1" sqref="F35" xr:uid="{00000000-0002-0000-1200-000006000000}">
      <formula1>$AH$47:$AH$48</formula1>
    </dataValidation>
    <dataValidation type="list" allowBlank="1" showErrorMessage="1" sqref="E30 E38 E24" xr:uid="{00000000-0002-0000-1200-000007000000}">
      <formula1>$I$7:$I$39</formula1>
    </dataValidation>
    <dataValidation type="list" allowBlank="1" showInputMessage="1" showErrorMessage="1" sqref="D5:E6" xr:uid="{00000000-0002-0000-1200-000008000000}">
      <formula1>$AF$50:$AF$51</formula1>
    </dataValidation>
  </dataValidations>
  <pageMargins left="0.75" right="0.75" top="1" bottom="1" header="0.5" footer="0.5"/>
  <pageSetup paperSize="9" scale="67"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7893" r:id="rId4" name="Button 5">
              <controlPr defaultSize="0" autoFill="0" autoPict="0" macro="[0]!Pipe_water_clear">
                <anchor moveWithCells="1" sizeWithCells="1">
                  <from>
                    <xdr:col>5</xdr:col>
                    <xdr:colOff>203200</xdr:colOff>
                    <xdr:row>4</xdr:row>
                    <xdr:rowOff>12700</xdr:rowOff>
                  </from>
                  <to>
                    <xdr:col>6</xdr:col>
                    <xdr:colOff>279400</xdr:colOff>
                    <xdr:row>5</xdr:row>
                    <xdr:rowOff>76200</xdr:rowOff>
                  </to>
                </anchor>
              </controlPr>
            </control>
          </mc:Choice>
        </mc:AlternateContent>
        <mc:AlternateContent xmlns:mc="http://schemas.openxmlformats.org/markup-compatibility/2006">
          <mc:Choice Requires="x14">
            <control shapeId="37954" r:id="rId5" name="Button 66">
              <controlPr defaultSize="0" autoFill="0" autoPict="0" macro="[0]!Home">
                <anchor moveWithCells="1">
                  <from>
                    <xdr:col>0</xdr:col>
                    <xdr:colOff>165100</xdr:colOff>
                    <xdr:row>7</xdr:row>
                    <xdr:rowOff>12700</xdr:rowOff>
                  </from>
                  <to>
                    <xdr:col>1</xdr:col>
                    <xdr:colOff>762000</xdr:colOff>
                    <xdr:row>9</xdr:row>
                    <xdr:rowOff>12700</xdr:rowOff>
                  </to>
                </anchor>
              </controlPr>
            </control>
          </mc:Choice>
        </mc:AlternateContent>
        <mc:AlternateContent xmlns:mc="http://schemas.openxmlformats.org/markup-compatibility/2006">
          <mc:Choice Requires="x14">
            <control shapeId="37955" r:id="rId6" name="Button 67">
              <controlPr defaultSize="0" autoFill="0" autoPict="0" macro="[0]!Pipe_all_clear">
                <anchor moveWithCells="1">
                  <from>
                    <xdr:col>0</xdr:col>
                    <xdr:colOff>165100</xdr:colOff>
                    <xdr:row>9</xdr:row>
                    <xdr:rowOff>57150</xdr:rowOff>
                  </from>
                  <to>
                    <xdr:col>1</xdr:col>
                    <xdr:colOff>762000</xdr:colOff>
                    <xdr:row>11</xdr:row>
                    <xdr:rowOff>57150</xdr:rowOff>
                  </to>
                </anchor>
              </controlPr>
            </control>
          </mc:Choice>
        </mc:AlternateContent>
        <mc:AlternateContent xmlns:mc="http://schemas.openxmlformats.org/markup-compatibility/2006">
          <mc:Choice Requires="x14">
            <control shapeId="37958" r:id="rId7" name="Option Button 70">
              <controlPr defaultSize="0" autoFill="0" autoLine="0" autoPict="0" macro="[0]!Pipe_water">
                <anchor moveWithCells="1">
                  <from>
                    <xdr:col>1</xdr:col>
                    <xdr:colOff>12700</xdr:colOff>
                    <xdr:row>2</xdr:row>
                    <xdr:rowOff>38100</xdr:rowOff>
                  </from>
                  <to>
                    <xdr:col>3</xdr:col>
                    <xdr:colOff>0</xdr:colOff>
                    <xdr:row>3</xdr:row>
                    <xdr:rowOff>95250</xdr:rowOff>
                  </to>
                </anchor>
              </controlPr>
            </control>
          </mc:Choice>
        </mc:AlternateContent>
        <mc:AlternateContent xmlns:mc="http://schemas.openxmlformats.org/markup-compatibility/2006">
          <mc:Choice Requires="x14">
            <control shapeId="37959" r:id="rId8" name="Option Button 71">
              <controlPr defaultSize="0" autoFill="0" autoLine="0" autoPict="0" macro="[0]!Pipe_header">
                <anchor moveWithCells="1">
                  <from>
                    <xdr:col>1</xdr:col>
                    <xdr:colOff>12700</xdr:colOff>
                    <xdr:row>3</xdr:row>
                    <xdr:rowOff>38100</xdr:rowOff>
                  </from>
                  <to>
                    <xdr:col>3</xdr:col>
                    <xdr:colOff>0</xdr:colOff>
                    <xdr:row>4</xdr:row>
                    <xdr:rowOff>95250</xdr:rowOff>
                  </to>
                </anchor>
              </controlPr>
            </control>
          </mc:Choice>
        </mc:AlternateContent>
        <mc:AlternateContent xmlns:mc="http://schemas.openxmlformats.org/markup-compatibility/2006">
          <mc:Choice Requires="x14">
            <control shapeId="37960" r:id="rId9" name="Option Button 72">
              <controlPr defaultSize="0" autoFill="0" autoLine="0" autoPict="0" macro="[0]!Pipe_steam">
                <anchor moveWithCells="1">
                  <from>
                    <xdr:col>1</xdr:col>
                    <xdr:colOff>12700</xdr:colOff>
                    <xdr:row>4</xdr:row>
                    <xdr:rowOff>38100</xdr:rowOff>
                  </from>
                  <to>
                    <xdr:col>3</xdr:col>
                    <xdr:colOff>0</xdr:colOff>
                    <xdr:row>5</xdr:row>
                    <xdr:rowOff>95250</xdr:rowOff>
                  </to>
                </anchor>
              </controlPr>
            </control>
          </mc:Choice>
        </mc:AlternateContent>
        <mc:AlternateContent xmlns:mc="http://schemas.openxmlformats.org/markup-compatibility/2006">
          <mc:Choice Requires="x14">
            <control shapeId="37964" r:id="rId10" name="Button 76">
              <controlPr defaultSize="0" autoFill="0" autoPict="0" macro="[0]!Pipe_header_clear">
                <anchor moveWithCells="1" sizeWithCells="1">
                  <from>
                    <xdr:col>63</xdr:col>
                    <xdr:colOff>107950</xdr:colOff>
                    <xdr:row>22</xdr:row>
                    <xdr:rowOff>114300</xdr:rowOff>
                  </from>
                  <to>
                    <xdr:col>65</xdr:col>
                    <xdr:colOff>50800</xdr:colOff>
                    <xdr:row>24</xdr:row>
                    <xdr:rowOff>19050</xdr:rowOff>
                  </to>
                </anchor>
              </controlPr>
            </control>
          </mc:Choice>
        </mc:AlternateContent>
        <mc:AlternateContent xmlns:mc="http://schemas.openxmlformats.org/markup-compatibility/2006">
          <mc:Choice Requires="x14">
            <control shapeId="37966" r:id="rId11" name="Button 78">
              <controlPr defaultSize="0" autoFill="0" autoPict="0" macro="[0]!Pipe_steam_clear">
                <anchor moveWithCells="1" sizeWithCells="1">
                  <from>
                    <xdr:col>68</xdr:col>
                    <xdr:colOff>19050</xdr:colOff>
                    <xdr:row>25</xdr:row>
                    <xdr:rowOff>114300</xdr:rowOff>
                  </from>
                  <to>
                    <xdr:col>68</xdr:col>
                    <xdr:colOff>609600</xdr:colOff>
                    <xdr:row>27</xdr:row>
                    <xdr:rowOff>19050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theme="6" tint="0.39997558519241921"/>
    <pageSetUpPr fitToPage="1"/>
  </sheetPr>
  <dimension ref="B1:CC74"/>
  <sheetViews>
    <sheetView showGridLines="0" showRowColHeaders="0" zoomScaleNormal="100" workbookViewId="0">
      <selection activeCell="AH12" sqref="AH12"/>
    </sheetView>
  </sheetViews>
  <sheetFormatPr defaultColWidth="9.1796875" defaultRowHeight="12.5"/>
  <cols>
    <col min="1" max="1" width="2.7265625" style="165" customWidth="1"/>
    <col min="2" max="2" width="10.1796875" style="165" bestFit="1" customWidth="1"/>
    <col min="3" max="3" width="8.54296875" style="165" bestFit="1" customWidth="1"/>
    <col min="4" max="4" width="4.54296875" style="165" bestFit="1" customWidth="1"/>
    <col min="5" max="5" width="2.7265625" style="165" customWidth="1"/>
    <col min="6" max="6" width="19" style="165" customWidth="1"/>
    <col min="7" max="7" width="3.7265625" style="165" hidden="1" customWidth="1"/>
    <col min="8" max="8" width="19.81640625" style="165" hidden="1" customWidth="1"/>
    <col min="9" max="9" width="4" style="165" hidden="1" customWidth="1"/>
    <col min="10" max="10" width="5.81640625" style="165" hidden="1" customWidth="1"/>
    <col min="11" max="11" width="5.453125" style="165" hidden="1" customWidth="1"/>
    <col min="12" max="12" width="1.7265625" style="165" hidden="1" customWidth="1"/>
    <col min="13" max="13" width="3.7265625" style="165" hidden="1" customWidth="1"/>
    <col min="14" max="14" width="25.81640625" style="165" hidden="1" customWidth="1"/>
    <col min="15" max="15" width="7" style="165" hidden="1" customWidth="1"/>
    <col min="16" max="16" width="5.453125" style="165" hidden="1" customWidth="1"/>
    <col min="17" max="17" width="1.7265625" style="165" hidden="1" customWidth="1"/>
    <col min="18" max="18" width="3.7265625" style="165" hidden="1" customWidth="1"/>
    <col min="19" max="19" width="27.81640625" style="165" hidden="1" customWidth="1"/>
    <col min="20" max="20" width="8.81640625" style="165" hidden="1" customWidth="1"/>
    <col min="21" max="21" width="5.453125" style="165" hidden="1" customWidth="1"/>
    <col min="22" max="22" width="1.7265625" style="165" hidden="1" customWidth="1"/>
    <col min="23" max="23" width="3.7265625" style="165" hidden="1" customWidth="1"/>
    <col min="24" max="24" width="6.26953125" style="165" hidden="1" customWidth="1"/>
    <col min="25" max="25" width="5.54296875" style="165" hidden="1" customWidth="1"/>
    <col min="26" max="26" width="3.453125" style="165" hidden="1" customWidth="1"/>
    <col min="27" max="27" width="7.453125" style="165" hidden="1" customWidth="1"/>
    <col min="28" max="28" width="5.54296875" style="165" hidden="1" customWidth="1"/>
    <col min="29" max="29" width="6.26953125" style="165" hidden="1" customWidth="1"/>
    <col min="30" max="30" width="2.7265625" style="165" hidden="1" customWidth="1"/>
    <col min="31" max="31" width="7.7265625" style="165" hidden="1" customWidth="1"/>
    <col min="32" max="32" width="3.7265625" style="165" customWidth="1"/>
    <col min="33" max="33" width="16.26953125" style="165" customWidth="1"/>
    <col min="34" max="34" width="8.453125" style="165" customWidth="1"/>
    <col min="35" max="35" width="5.453125" style="165" customWidth="1"/>
    <col min="36" max="36" width="1.7265625" style="165" customWidth="1"/>
    <col min="37" max="37" width="3.7265625" style="165" hidden="1" customWidth="1"/>
    <col min="38" max="38" width="16.26953125" style="165" hidden="1" customWidth="1"/>
    <col min="39" max="39" width="8.7265625" style="165" hidden="1" customWidth="1"/>
    <col min="40" max="40" width="5.453125" style="165" hidden="1" customWidth="1"/>
    <col min="41" max="41" width="1.7265625" style="165" hidden="1" customWidth="1"/>
    <col min="42" max="42" width="3.7265625" style="165" hidden="1" customWidth="1"/>
    <col min="43" max="43" width="0.81640625" style="165" hidden="1" customWidth="1"/>
    <col min="44" max="44" width="15.26953125" style="165" hidden="1" customWidth="1"/>
    <col min="45" max="45" width="8.7265625" style="165" hidden="1" customWidth="1"/>
    <col min="46" max="46" width="3.81640625" style="165" hidden="1" customWidth="1"/>
    <col min="47" max="47" width="0.81640625" style="165" hidden="1" customWidth="1"/>
    <col min="48" max="48" width="3.7265625" style="165" hidden="1" customWidth="1"/>
    <col min="49" max="49" width="19.26953125" style="165" hidden="1" customWidth="1"/>
    <col min="50" max="50" width="6.7265625" style="165" hidden="1" customWidth="1"/>
    <col min="51" max="51" width="7.453125" style="165" hidden="1" customWidth="1"/>
    <col min="52" max="52" width="3" style="165" hidden="1" customWidth="1"/>
    <col min="53" max="53" width="0.81640625" style="165" hidden="1" customWidth="1"/>
    <col min="54" max="54" width="4.7265625" style="615" hidden="1" customWidth="1"/>
    <col min="55" max="55" width="5.81640625" style="1362" hidden="1" customWidth="1"/>
    <col min="56" max="58" width="4.54296875" style="1362" hidden="1" customWidth="1"/>
    <col min="59" max="59" width="6" style="1362" hidden="1" customWidth="1"/>
    <col min="60" max="60" width="4.7265625" style="1362" hidden="1" customWidth="1"/>
    <col min="61" max="61" width="14" style="1363" hidden="1" customWidth="1"/>
    <col min="62" max="62" width="5.1796875" style="1363" hidden="1" customWidth="1"/>
    <col min="63" max="64" width="4.54296875" style="1363" hidden="1" customWidth="1"/>
    <col min="65" max="65" width="4.26953125" style="1363" hidden="1" customWidth="1"/>
    <col min="66" max="66" width="5.7265625" style="1363" hidden="1" customWidth="1"/>
    <col min="67" max="67" width="4" style="1363" hidden="1" customWidth="1"/>
    <col min="68" max="68" width="9.1796875" style="1362" hidden="1" customWidth="1"/>
    <col min="69" max="69" width="19.26953125" style="45" hidden="1" customWidth="1"/>
    <col min="70" max="70" width="6.453125" style="45" customWidth="1"/>
    <col min="71" max="71" width="7.453125" style="45" customWidth="1"/>
    <col min="72" max="72" width="6.54296875" style="45" customWidth="1"/>
    <col min="73" max="73" width="2.7265625" style="45" customWidth="1"/>
    <col min="74" max="75" width="5" style="45" customWidth="1"/>
    <col min="76" max="77" width="6" style="290" customWidth="1"/>
    <col min="78" max="79" width="9.1796875" style="290" customWidth="1"/>
    <col min="80" max="81" width="9.1796875" style="290"/>
    <col min="82" max="16384" width="9.1796875" style="165"/>
  </cols>
  <sheetData>
    <row r="1" spans="2:68">
      <c r="BJ1" s="1364"/>
      <c r="BN1" s="1363">
        <v>110</v>
      </c>
      <c r="BO1" s="1363">
        <v>200</v>
      </c>
    </row>
    <row r="2" spans="2:68" ht="14.25" customHeight="1">
      <c r="B2" s="1989" t="s">
        <v>1523</v>
      </c>
      <c r="C2" s="1990"/>
      <c r="D2" s="1991"/>
      <c r="E2" s="1989" t="s">
        <v>1378</v>
      </c>
      <c r="F2" s="1991"/>
      <c r="H2" s="2101" t="s">
        <v>1528</v>
      </c>
      <c r="I2" s="2101"/>
      <c r="J2" s="2101"/>
      <c r="K2" s="2101"/>
      <c r="L2" s="2101"/>
      <c r="M2" s="253"/>
      <c r="N2" s="2101" t="s">
        <v>1537</v>
      </c>
      <c r="O2" s="2101"/>
      <c r="P2" s="2101"/>
      <c r="Q2" s="2101"/>
      <c r="R2" s="253"/>
      <c r="S2" s="2101" t="s">
        <v>1537</v>
      </c>
      <c r="T2" s="2101"/>
      <c r="U2" s="2101"/>
      <c r="V2" s="2101"/>
      <c r="W2" s="253"/>
      <c r="X2" s="2101" t="s">
        <v>125</v>
      </c>
      <c r="Y2" s="2101"/>
      <c r="Z2" s="2101"/>
      <c r="AA2" s="2101"/>
      <c r="AB2" s="2101"/>
      <c r="AC2" s="2101"/>
      <c r="AD2" s="253"/>
      <c r="AE2" s="803" t="s">
        <v>1375</v>
      </c>
      <c r="AF2" s="253"/>
      <c r="AG2" s="1972" t="s">
        <v>1371</v>
      </c>
      <c r="AH2" s="1972"/>
      <c r="AI2" s="1972"/>
      <c r="AJ2" s="1972"/>
      <c r="AL2" s="1972" t="s">
        <v>1372</v>
      </c>
      <c r="AM2" s="1972"/>
      <c r="AN2" s="1972"/>
      <c r="AO2" s="1972"/>
      <c r="AQ2" s="1972" t="s">
        <v>169</v>
      </c>
      <c r="AR2" s="1972"/>
      <c r="AS2" s="1972"/>
      <c r="AT2" s="1972"/>
      <c r="AU2" s="1972"/>
      <c r="AW2" s="921" t="s">
        <v>1567</v>
      </c>
      <c r="AX2" s="921"/>
      <c r="AY2" s="921"/>
      <c r="AZ2" s="921"/>
      <c r="BA2" s="918"/>
      <c r="BI2" s="1364"/>
      <c r="BN2" s="1363">
        <v>220</v>
      </c>
      <c r="BO2" s="1363">
        <v>380</v>
      </c>
    </row>
    <row r="3" spans="2:68" ht="12.75" customHeight="1">
      <c r="B3" s="609">
        <v>4</v>
      </c>
      <c r="C3" s="767"/>
      <c r="D3" s="767"/>
      <c r="E3" s="913">
        <v>5</v>
      </c>
      <c r="F3" s="602"/>
      <c r="H3" s="764"/>
      <c r="I3" s="764"/>
      <c r="J3" s="764"/>
      <c r="K3" s="764"/>
      <c r="L3" s="764"/>
      <c r="M3" s="253"/>
      <c r="R3" s="253"/>
      <c r="W3" s="253"/>
      <c r="AD3" s="253"/>
      <c r="AF3" s="253"/>
      <c r="AG3" s="1973" t="s">
        <v>1379</v>
      </c>
      <c r="AH3" s="1973"/>
      <c r="AI3" s="1973"/>
      <c r="AJ3" s="1973"/>
      <c r="AL3" s="1973" t="s">
        <v>1380</v>
      </c>
      <c r="AM3" s="1973"/>
      <c r="AN3" s="1973"/>
      <c r="AO3" s="1973"/>
      <c r="AQ3" s="1973" t="s">
        <v>1381</v>
      </c>
      <c r="AR3" s="1973"/>
      <c r="AS3" s="1973"/>
      <c r="AT3" s="1973"/>
      <c r="AU3" s="1973"/>
      <c r="BN3" s="1363">
        <v>230</v>
      </c>
      <c r="BO3" s="1363">
        <v>400</v>
      </c>
    </row>
    <row r="4" spans="2:68" ht="13">
      <c r="B4" s="603"/>
      <c r="C4" s="253"/>
      <c r="D4" s="253"/>
      <c r="E4" s="603"/>
      <c r="F4" s="604"/>
      <c r="H4" s="2099" t="s">
        <v>439</v>
      </c>
      <c r="I4" s="2100"/>
      <c r="J4" s="2100"/>
      <c r="K4" s="2100"/>
      <c r="L4" s="2098"/>
      <c r="M4" s="253"/>
      <c r="N4" s="942" t="s">
        <v>1355</v>
      </c>
      <c r="O4" s="943"/>
      <c r="P4" s="943"/>
      <c r="Q4" s="944"/>
      <c r="R4" s="253"/>
      <c r="S4" s="1209" t="s">
        <v>1356</v>
      </c>
      <c r="T4" s="943"/>
      <c r="U4" s="943"/>
      <c r="V4" s="944"/>
      <c r="W4" s="253"/>
      <c r="X4" s="939" t="s">
        <v>171</v>
      </c>
      <c r="Y4" s="2109" t="s">
        <v>1374</v>
      </c>
      <c r="Z4" s="2109"/>
      <c r="AA4" s="2102" t="s">
        <v>239</v>
      </c>
      <c r="AB4" s="2102"/>
      <c r="AC4" s="940" t="s">
        <v>1373</v>
      </c>
      <c r="AD4" s="253"/>
      <c r="AE4" s="594" t="s">
        <v>452</v>
      </c>
      <c r="AF4" s="253"/>
      <c r="AG4" s="1973"/>
      <c r="AH4" s="1973"/>
      <c r="AI4" s="1973"/>
      <c r="AJ4" s="1973"/>
      <c r="AL4" s="1973"/>
      <c r="AM4" s="1973"/>
      <c r="AN4" s="1973"/>
      <c r="AO4" s="1973"/>
      <c r="AQ4" s="1973"/>
      <c r="AR4" s="1973"/>
      <c r="AS4" s="1973"/>
      <c r="AT4" s="1973"/>
      <c r="AU4" s="1973"/>
      <c r="AW4" s="775"/>
      <c r="AX4" s="767"/>
      <c r="AY4" s="767"/>
      <c r="AZ4" s="767"/>
      <c r="BA4" s="602"/>
      <c r="BI4" s="1365">
        <f>IF(AI6=AI7,AH6,0)</f>
        <v>0</v>
      </c>
      <c r="BJ4" s="1365">
        <f>IF(AI6=AI8,AH6*3600,0)</f>
        <v>0</v>
      </c>
      <c r="BK4" s="1365">
        <f>IF(AI6=AI9,AH6*3.6,0)</f>
        <v>3600</v>
      </c>
      <c r="BL4" s="1365">
        <f>IF(AI6=AI10,BL6*3.6,0)</f>
        <v>0</v>
      </c>
      <c r="BM4" s="1366"/>
      <c r="BN4" s="1366"/>
      <c r="BO4" s="1366"/>
    </row>
    <row r="5" spans="2:68">
      <c r="B5" s="603"/>
      <c r="C5" s="253"/>
      <c r="D5" s="253"/>
      <c r="E5" s="603"/>
      <c r="F5" s="604"/>
      <c r="H5" s="775"/>
      <c r="I5" s="767"/>
      <c r="J5" s="767"/>
      <c r="K5" s="767"/>
      <c r="L5" s="602"/>
      <c r="M5" s="253"/>
      <c r="N5" s="775"/>
      <c r="O5" s="767"/>
      <c r="P5" s="767"/>
      <c r="Q5" s="602"/>
      <c r="R5" s="253"/>
      <c r="S5" s="775"/>
      <c r="T5" s="767"/>
      <c r="U5" s="767"/>
      <c r="V5" s="602"/>
      <c r="W5" s="253"/>
      <c r="X5" s="939" t="s">
        <v>6</v>
      </c>
      <c r="Y5" s="941" t="s">
        <v>124</v>
      </c>
      <c r="Z5" s="941" t="s">
        <v>149</v>
      </c>
      <c r="AA5" s="940" t="s">
        <v>240</v>
      </c>
      <c r="AB5" s="940" t="s">
        <v>124</v>
      </c>
      <c r="AC5" s="940" t="s">
        <v>171</v>
      </c>
      <c r="AD5" s="253"/>
      <c r="AE5" s="606">
        <v>16</v>
      </c>
      <c r="AF5" s="253"/>
      <c r="AG5" s="775"/>
      <c r="AH5" s="767"/>
      <c r="AI5" s="767"/>
      <c r="AJ5" s="602"/>
      <c r="AL5" s="775"/>
      <c r="AM5" s="767"/>
      <c r="AN5" s="767"/>
      <c r="AO5" s="602"/>
      <c r="AQ5" s="775"/>
      <c r="AR5" s="767"/>
      <c r="AS5" s="767"/>
      <c r="AT5" s="767"/>
      <c r="AU5" s="602"/>
      <c r="AW5" s="444" t="s">
        <v>734</v>
      </c>
      <c r="AX5" s="2112"/>
      <c r="AY5" s="2113"/>
      <c r="AZ5" s="45"/>
      <c r="BA5" s="445"/>
      <c r="BI5" s="1365">
        <f>IF(AI6=AI7,AH6/3600,0)</f>
        <v>0</v>
      </c>
      <c r="BJ5" s="1365">
        <f>IF(AI6=AI8,AH6,0)</f>
        <v>0</v>
      </c>
      <c r="BK5" s="1365">
        <f>IF(AI6=AI9,AH6/1000,0)</f>
        <v>1</v>
      </c>
      <c r="BL5" s="1365">
        <f>IF(AI6=AI10,BL6/1000,0)</f>
        <v>0</v>
      </c>
      <c r="BN5" s="1378" t="str">
        <f>IF(X6&gt;=$AH$21,X6,"")</f>
        <v/>
      </c>
      <c r="BO5" s="1381" t="str">
        <f>IF(X6&gt;=$AM$17,X6,"")</f>
        <v/>
      </c>
      <c r="BP5" s="1363"/>
    </row>
    <row r="6" spans="2:68" ht="13">
      <c r="B6" s="603"/>
      <c r="C6" s="253"/>
      <c r="D6" s="253"/>
      <c r="E6" s="603"/>
      <c r="F6" s="604"/>
      <c r="H6" s="812" t="s">
        <v>1527</v>
      </c>
      <c r="I6" s="256" t="s">
        <v>162</v>
      </c>
      <c r="J6" s="256" t="s">
        <v>8</v>
      </c>
      <c r="K6" s="787"/>
      <c r="L6" s="792"/>
      <c r="M6" s="253"/>
      <c r="N6" s="753" t="s">
        <v>1526</v>
      </c>
      <c r="O6" s="253"/>
      <c r="P6" s="253"/>
      <c r="Q6" s="604"/>
      <c r="R6" s="253"/>
      <c r="S6" s="753" t="s">
        <v>1526</v>
      </c>
      <c r="T6" s="253"/>
      <c r="U6" s="253"/>
      <c r="V6" s="604"/>
      <c r="W6" s="253"/>
      <c r="X6" s="776">
        <v>0.2</v>
      </c>
      <c r="Y6" s="597">
        <f t="shared" ref="Y6:Y39" si="0">IF(OR(X6&lt;$B$33, X6=$B$33), X6*1000/$C$18/0.85, X6*1000/(3)^0.5/$C$19/0.85)</f>
        <v>1.0695187165775402</v>
      </c>
      <c r="Z6" s="598" t="str">
        <f t="shared" ref="Z6:Z39" si="1">IF(OR(X6&lt;$B$33, X6=$B$33),"1Ø", "3Ø")</f>
        <v>1Ø</v>
      </c>
      <c r="AA6" s="599" t="str">
        <f>IF(OR(AND(X6&gt;$B$34,X6&lt;$B$35),X6=$B$35),"DOL",IF(OR(X6&lt;$B$34,X6=$B$34),"fuse",IF(OR(X6=$B$36,X6&gt;$B$36),"Auto-Tx","Υ/Δ")))</f>
        <v>fuse</v>
      </c>
      <c r="AB6" s="597">
        <f t="shared" ref="AB6:AB39" si="2">IF(AA6="fuse",Y6*$C$27, VLOOKUP(AA6,$B$27:$C$30,2,FALSE)*Y6)</f>
        <v>6.4171122994652414</v>
      </c>
      <c r="AC6" s="777">
        <v>20</v>
      </c>
      <c r="AD6" s="253"/>
      <c r="AE6" s="607" t="s">
        <v>3</v>
      </c>
      <c r="AF6" s="253"/>
      <c r="AG6" s="628" t="s">
        <v>2</v>
      </c>
      <c r="AH6" s="1388">
        <v>1000</v>
      </c>
      <c r="AI6" s="554" t="s">
        <v>3</v>
      </c>
      <c r="AJ6" s="604"/>
      <c r="AL6" s="628" t="s">
        <v>157</v>
      </c>
      <c r="AM6" s="1388"/>
      <c r="AN6" s="554" t="s">
        <v>139</v>
      </c>
      <c r="AO6" s="604"/>
      <c r="AQ6" s="603"/>
      <c r="AR6" s="813" t="s">
        <v>1376</v>
      </c>
      <c r="AS6" s="1388"/>
      <c r="AT6" s="253" t="str">
        <f>VLOOKUP(AR6,BI17:BJ18,2,FALSE)</f>
        <v>kW</v>
      </c>
      <c r="AU6" s="604"/>
      <c r="AW6" s="444" t="s">
        <v>735</v>
      </c>
      <c r="AX6" s="2112"/>
      <c r="AY6" s="2113"/>
      <c r="AZ6" s="45"/>
      <c r="BA6" s="445"/>
      <c r="BC6" s="1367" t="b">
        <v>0</v>
      </c>
      <c r="BI6" s="1365">
        <f>IF(AI6=AI7,AH6/3.6,0)</f>
        <v>0</v>
      </c>
      <c r="BJ6" s="1365">
        <f>IF(AI6=AI8,AH6*1000,0)</f>
        <v>0</v>
      </c>
      <c r="BK6" s="1365">
        <f>IF(AI6=AI9,AH6,0)</f>
        <v>1000</v>
      </c>
      <c r="BL6" s="1365">
        <f>IF(AI6=AI10,AH6*0.472,0)</f>
        <v>0</v>
      </c>
      <c r="BN6" s="1379" t="str">
        <f t="shared" ref="BN6:BN38" si="3">IF(X7&gt;=$AH$21,X7,"")</f>
        <v/>
      </c>
      <c r="BO6" s="1382" t="str">
        <f t="shared" ref="BO6:BO38" si="4">IF(X7&gt;=$AM$17,X7,"")</f>
        <v/>
      </c>
      <c r="BP6" s="1363"/>
    </row>
    <row r="7" spans="2:68" ht="14.5">
      <c r="B7" s="605"/>
      <c r="C7" s="638"/>
      <c r="D7" s="638"/>
      <c r="E7" s="605"/>
      <c r="F7" s="537"/>
      <c r="H7" s="603"/>
      <c r="I7" s="253" t="str">
        <f>IF(BC7=TRUE,1,"-")</f>
        <v>-</v>
      </c>
      <c r="J7" s="786" t="str">
        <f>IF(BC7=TRUE,50*I7,"-")</f>
        <v>-</v>
      </c>
      <c r="K7" s="786" t="s">
        <v>9</v>
      </c>
      <c r="L7" s="793"/>
      <c r="M7" s="253"/>
      <c r="N7" s="800" t="s">
        <v>1529</v>
      </c>
      <c r="O7" s="1417"/>
      <c r="P7" s="786" t="s">
        <v>216</v>
      </c>
      <c r="Q7" s="604"/>
      <c r="R7" s="253"/>
      <c r="S7" s="800" t="s">
        <v>1529</v>
      </c>
      <c r="T7" s="1417"/>
      <c r="U7" s="786" t="s">
        <v>216</v>
      </c>
      <c r="V7" s="604"/>
      <c r="W7" s="253"/>
      <c r="X7" s="778">
        <v>0.25</v>
      </c>
      <c r="Y7" s="595">
        <f t="shared" si="0"/>
        <v>1.3368983957219254</v>
      </c>
      <c r="Z7" s="47" t="str">
        <f t="shared" si="1"/>
        <v>1Ø</v>
      </c>
      <c r="AA7" s="48" t="str">
        <f t="shared" ref="AA7:AA39" si="5">IF(OR(AND(X7&gt;$B$34,X7&lt;$B$35),X7=$B$35),"DOL",IF(OR(X7&lt;$B$34,X7=$B$34),"fuse",IF(OR(X7=$B$36,X7&gt;$B$36),"Auto-Tx","Υ/Δ")))</f>
        <v>fuse</v>
      </c>
      <c r="AB7" s="595">
        <f t="shared" si="2"/>
        <v>8.0213903743315527</v>
      </c>
      <c r="AC7" s="779">
        <v>20</v>
      </c>
      <c r="AD7" s="253"/>
      <c r="AE7" s="607">
        <v>40</v>
      </c>
      <c r="AF7" s="253"/>
      <c r="AG7" s="610" t="s">
        <v>5</v>
      </c>
      <c r="AH7" s="528">
        <f>IF($AH$6=0,"-",SUM(BI4:BL4))</f>
        <v>3600</v>
      </c>
      <c r="AI7" s="548" t="s">
        <v>1339</v>
      </c>
      <c r="AJ7" s="604"/>
      <c r="AL7" s="610" t="s">
        <v>5</v>
      </c>
      <c r="AM7" s="528" t="str">
        <f>IF($AM$6=0,"-",SUM(BD25:BF25))</f>
        <v>-</v>
      </c>
      <c r="AN7" s="548" t="s">
        <v>1339</v>
      </c>
      <c r="AO7" s="604"/>
      <c r="AQ7" s="603"/>
      <c r="AR7" s="767" t="str">
        <f>BI20&amp;BI23</f>
        <v>1Ø Current</v>
      </c>
      <c r="AS7" s="49">
        <f>BJ20+BJ23</f>
        <v>0</v>
      </c>
      <c r="AT7" s="253" t="str">
        <f>IF(AT6=BJ18,BJ17,BJ18)</f>
        <v>A</v>
      </c>
      <c r="AU7" s="604"/>
      <c r="AW7" s="628" t="s">
        <v>725</v>
      </c>
      <c r="AX7" s="2114" t="str">
        <f>IF(BF39+BF40=0,"-",VLOOKUP(BI39,BI48:BJ52,2,FALSE))</f>
        <v>-</v>
      </c>
      <c r="AY7" s="2114"/>
      <c r="AZ7" s="45"/>
      <c r="BA7" s="445"/>
      <c r="BC7" s="1367" t="b">
        <v>0</v>
      </c>
      <c r="BE7" s="1368">
        <v>1</v>
      </c>
      <c r="BI7" s="1365">
        <f>IF(AI6=AI7,BI6/0.472,0)</f>
        <v>0</v>
      </c>
      <c r="BJ7" s="1365">
        <f>IF(AI6=AI8,BJ6/0.472,0)</f>
        <v>0</v>
      </c>
      <c r="BK7" s="1365">
        <f>IF(AI6=AI9,BK6/0.472,0)</f>
        <v>2118.6440677966102</v>
      </c>
      <c r="BL7" s="1365">
        <f>IF(AI6=AI10,AH6,0)</f>
        <v>0</v>
      </c>
      <c r="BN7" s="1379" t="str">
        <f t="shared" si="3"/>
        <v/>
      </c>
      <c r="BO7" s="1382" t="str">
        <f t="shared" si="4"/>
        <v/>
      </c>
      <c r="BP7" s="1363"/>
    </row>
    <row r="8" spans="2:68" ht="14.5">
      <c r="H8" s="603"/>
      <c r="I8" s="253" t="str">
        <f>IF(BC8=TRUE,2,"-")</f>
        <v>-</v>
      </c>
      <c r="J8" s="786" t="str">
        <f>IF(BC8=TRUE,100*I8,"-")</f>
        <v>-</v>
      </c>
      <c r="K8" s="786" t="s">
        <v>9</v>
      </c>
      <c r="L8" s="793"/>
      <c r="N8" s="800" t="s">
        <v>1530</v>
      </c>
      <c r="O8" s="1417"/>
      <c r="P8" s="786" t="s">
        <v>216</v>
      </c>
      <c r="Q8" s="604"/>
      <c r="R8" s="253"/>
      <c r="S8" s="800" t="s">
        <v>1530</v>
      </c>
      <c r="T8" s="1417"/>
      <c r="U8" s="786" t="s">
        <v>216</v>
      </c>
      <c r="V8" s="604"/>
      <c r="X8" s="780">
        <v>0.37</v>
      </c>
      <c r="Y8" s="595">
        <f t="shared" si="0"/>
        <v>1.9786096256684493</v>
      </c>
      <c r="Z8" s="47" t="str">
        <f t="shared" si="1"/>
        <v>1Ø</v>
      </c>
      <c r="AA8" s="48" t="str">
        <f t="shared" si="5"/>
        <v>fuse</v>
      </c>
      <c r="AB8" s="595">
        <f t="shared" si="2"/>
        <v>11.871657754010696</v>
      </c>
      <c r="AC8" s="779">
        <v>20</v>
      </c>
      <c r="AE8" s="607">
        <v>63</v>
      </c>
      <c r="AG8" s="610" t="s">
        <v>5</v>
      </c>
      <c r="AH8" s="538">
        <f>IF($AH$6=0,"-",SUM(BI5:BL5))</f>
        <v>1</v>
      </c>
      <c r="AI8" s="548" t="s">
        <v>1340</v>
      </c>
      <c r="AJ8" s="604"/>
      <c r="AL8" s="610" t="s">
        <v>5</v>
      </c>
      <c r="AM8" s="538" t="str">
        <f>IF($AM$6=0,"-",SUM(BD26:BF26))</f>
        <v>-</v>
      </c>
      <c r="AN8" s="548" t="s">
        <v>1340</v>
      </c>
      <c r="AO8" s="604"/>
      <c r="AQ8" s="603"/>
      <c r="AR8" s="253" t="str">
        <f>BI21&amp;BI24</f>
        <v>3Ø Current</v>
      </c>
      <c r="AS8" s="49">
        <f>BJ21+BJ24</f>
        <v>0</v>
      </c>
      <c r="AT8" s="253" t="str">
        <f>IF(AT6=BJ18,BJ17,BJ18)</f>
        <v>A</v>
      </c>
      <c r="AU8" s="604"/>
      <c r="AW8" s="444"/>
      <c r="AX8" s="45"/>
      <c r="AY8" s="45"/>
      <c r="AZ8" s="45"/>
      <c r="BA8" s="445"/>
      <c r="BC8" s="1367" t="b">
        <v>0</v>
      </c>
      <c r="BE8" s="1368">
        <v>1.1000000000000001</v>
      </c>
      <c r="BI8" s="1364"/>
      <c r="BK8" s="1366"/>
      <c r="BL8" s="1366"/>
      <c r="BN8" s="1379" t="str">
        <f t="shared" si="3"/>
        <v/>
      </c>
      <c r="BO8" s="1382" t="str">
        <f t="shared" si="4"/>
        <v/>
      </c>
      <c r="BP8" s="1363"/>
    </row>
    <row r="9" spans="2:68" ht="13">
      <c r="B9" s="2099" t="s">
        <v>1306</v>
      </c>
      <c r="C9" s="2100"/>
      <c r="D9" s="2100"/>
      <c r="E9" s="2098"/>
      <c r="H9" s="603"/>
      <c r="I9" s="253" t="str">
        <f>IF(BC18=TRUE,1,"-")</f>
        <v>-</v>
      </c>
      <c r="J9" s="786" t="str">
        <f>IF(BC18=TRUE,50*I9,"-")</f>
        <v>-</v>
      </c>
      <c r="K9" s="786" t="s">
        <v>9</v>
      </c>
      <c r="L9" s="793"/>
      <c r="N9" s="753" t="s">
        <v>1531</v>
      </c>
      <c r="O9" s="1406">
        <v>300</v>
      </c>
      <c r="P9" s="786" t="s">
        <v>14</v>
      </c>
      <c r="Q9" s="604"/>
      <c r="R9" s="253"/>
      <c r="S9" s="753" t="s">
        <v>1531</v>
      </c>
      <c r="T9" s="1406">
        <v>300</v>
      </c>
      <c r="U9" s="786" t="s">
        <v>14</v>
      </c>
      <c r="V9" s="604"/>
      <c r="X9" s="780">
        <v>0.55000000000000004</v>
      </c>
      <c r="Y9" s="595">
        <f t="shared" si="0"/>
        <v>2.9411764705882355</v>
      </c>
      <c r="Z9" s="47" t="str">
        <f t="shared" si="1"/>
        <v>1Ø</v>
      </c>
      <c r="AA9" s="48" t="str">
        <f t="shared" si="5"/>
        <v>fuse</v>
      </c>
      <c r="AB9" s="595">
        <f t="shared" si="2"/>
        <v>17.647058823529413</v>
      </c>
      <c r="AC9" s="779">
        <v>20</v>
      </c>
      <c r="AE9" s="607">
        <v>80</v>
      </c>
      <c r="AG9" s="610" t="s">
        <v>5</v>
      </c>
      <c r="AH9" s="528">
        <f>IF($AH$6=0,"-",SUM(BI6:BL6))</f>
        <v>1000</v>
      </c>
      <c r="AI9" s="548" t="s">
        <v>3</v>
      </c>
      <c r="AJ9" s="604"/>
      <c r="AL9" s="610" t="s">
        <v>5</v>
      </c>
      <c r="AM9" s="528" t="str">
        <f>IF($AM$6=0,"-",SUM(BD27:BF27))</f>
        <v>-</v>
      </c>
      <c r="AN9" s="548" t="s">
        <v>139</v>
      </c>
      <c r="AO9" s="604"/>
      <c r="AQ9" s="605"/>
      <c r="AR9" s="638"/>
      <c r="AS9" s="638"/>
      <c r="AT9" s="638"/>
      <c r="AU9" s="537"/>
      <c r="AW9" s="2111" t="s">
        <v>1570</v>
      </c>
      <c r="AX9" s="1973"/>
      <c r="AY9" s="1973"/>
      <c r="AZ9" s="1973"/>
      <c r="BA9" s="604"/>
      <c r="BC9" s="1367" t="b">
        <v>0</v>
      </c>
      <c r="BE9" s="1368">
        <v>1.2</v>
      </c>
      <c r="BK9" s="1366"/>
      <c r="BL9" s="1366"/>
      <c r="BN9" s="1379" t="str">
        <f t="shared" si="3"/>
        <v/>
      </c>
      <c r="BO9" s="1382" t="str">
        <f t="shared" si="4"/>
        <v/>
      </c>
      <c r="BP9" s="1363"/>
    </row>
    <row r="10" spans="2:68" ht="13">
      <c r="B10" s="1796"/>
      <c r="C10" s="1797"/>
      <c r="D10" s="1797"/>
      <c r="E10" s="1798"/>
      <c r="H10" s="603"/>
      <c r="I10" s="253"/>
      <c r="J10" s="253"/>
      <c r="K10" s="771"/>
      <c r="L10" s="793"/>
      <c r="N10" s="794" t="s">
        <v>10</v>
      </c>
      <c r="O10" s="1406"/>
      <c r="P10" s="786"/>
      <c r="Q10" s="604"/>
      <c r="R10" s="253"/>
      <c r="S10" s="794" t="s">
        <v>10</v>
      </c>
      <c r="T10" s="1406"/>
      <c r="U10" s="786"/>
      <c r="V10" s="604"/>
      <c r="X10" s="780">
        <v>0.75</v>
      </c>
      <c r="Y10" s="595">
        <f t="shared" si="0"/>
        <v>4.0106951871657754</v>
      </c>
      <c r="Z10" s="47" t="str">
        <f t="shared" si="1"/>
        <v>1Ø</v>
      </c>
      <c r="AA10" s="48" t="str">
        <f t="shared" si="5"/>
        <v>fuse</v>
      </c>
      <c r="AB10" s="595">
        <f t="shared" si="2"/>
        <v>24.064171122994651</v>
      </c>
      <c r="AC10" s="779">
        <v>20</v>
      </c>
      <c r="AE10" s="607">
        <v>100</v>
      </c>
      <c r="AG10" s="610" t="s">
        <v>5</v>
      </c>
      <c r="AH10" s="528">
        <f>IF($AH$6=0,"-",SUM(BI7:BL7))</f>
        <v>2118.6440677966102</v>
      </c>
      <c r="AI10" s="548" t="s">
        <v>7</v>
      </c>
      <c r="AJ10" s="604"/>
      <c r="AL10" s="603"/>
      <c r="AM10" s="253"/>
      <c r="AN10" s="253"/>
      <c r="AO10" s="604"/>
      <c r="AR10" s="251"/>
      <c r="AS10" s="253"/>
      <c r="AT10" s="253"/>
      <c r="AU10" s="253"/>
      <c r="AW10" s="2111"/>
      <c r="AX10" s="1973"/>
      <c r="AY10" s="1973"/>
      <c r="AZ10" s="1973"/>
      <c r="BA10" s="919"/>
      <c r="BC10" s="1367" t="b">
        <v>0</v>
      </c>
      <c r="BE10" s="1368">
        <v>1.3</v>
      </c>
      <c r="BI10" s="1363">
        <f>IF(AH26="fuse",C27,VLOOKUP(AH26,B27:C30,2,FALSE))</f>
        <v>6</v>
      </c>
      <c r="BJ10" s="1363" t="e">
        <f>IF(AM22="fuse",C27,VLOOKUP(AM22,B27:C30,2,FALSE))</f>
        <v>#N/A</v>
      </c>
      <c r="BK10" s="1366"/>
      <c r="BL10" s="1366"/>
      <c r="BN10" s="1379" t="str">
        <f t="shared" si="3"/>
        <v/>
      </c>
      <c r="BO10" s="1382" t="str">
        <f t="shared" si="4"/>
        <v/>
      </c>
      <c r="BP10" s="1363"/>
    </row>
    <row r="11" spans="2:68" ht="13">
      <c r="B11" s="603" t="s">
        <v>358</v>
      </c>
      <c r="C11" s="1413"/>
      <c r="D11" s="1091" t="s">
        <v>127</v>
      </c>
      <c r="E11" s="616"/>
      <c r="H11" s="794" t="s">
        <v>1526</v>
      </c>
      <c r="I11" s="253"/>
      <c r="J11" s="1417"/>
      <c r="K11" s="786" t="s">
        <v>216</v>
      </c>
      <c r="L11" s="795"/>
      <c r="N11" s="770" t="s">
        <v>1532</v>
      </c>
      <c r="O11" s="569" t="str">
        <f>IF(O7*O8*O9*O10&gt;0,SUM(O7:O8)*O9*O10,"-")</f>
        <v>-</v>
      </c>
      <c r="P11" s="569" t="s">
        <v>9</v>
      </c>
      <c r="Q11" s="604"/>
      <c r="R11" s="253"/>
      <c r="S11" s="770" t="s">
        <v>1532</v>
      </c>
      <c r="T11" s="569" t="str">
        <f>IF(T7*T8*T9*T10&gt;0,SUM(T7:T8)*T9*T10,"-")</f>
        <v>-</v>
      </c>
      <c r="U11" s="569" t="s">
        <v>9</v>
      </c>
      <c r="V11" s="604"/>
      <c r="X11" s="780">
        <v>1.1000000000000001</v>
      </c>
      <c r="Y11" s="595">
        <f t="shared" si="0"/>
        <v>5.882352941176471</v>
      </c>
      <c r="Z11" s="47" t="str">
        <f t="shared" si="1"/>
        <v>1Ø</v>
      </c>
      <c r="AA11" s="48" t="str">
        <f t="shared" si="5"/>
        <v>fuse</v>
      </c>
      <c r="AB11" s="595">
        <f t="shared" si="2"/>
        <v>35.294117647058826</v>
      </c>
      <c r="AC11" s="779">
        <v>20</v>
      </c>
      <c r="AE11" s="607">
        <v>125</v>
      </c>
      <c r="AG11" s="603"/>
      <c r="AH11" s="253"/>
      <c r="AI11" s="253"/>
      <c r="AJ11" s="604"/>
      <c r="AL11" s="753" t="s">
        <v>1363</v>
      </c>
      <c r="AM11" s="1387"/>
      <c r="AN11" s="253" t="s">
        <v>216</v>
      </c>
      <c r="AO11" s="604"/>
      <c r="AR11" s="253"/>
      <c r="AS11" s="253"/>
      <c r="AT11" s="253"/>
      <c r="AU11" s="253"/>
      <c r="AW11" s="444" t="s">
        <v>736</v>
      </c>
      <c r="AX11" s="253" t="s">
        <v>183</v>
      </c>
      <c r="AY11" s="1403"/>
      <c r="AZ11" s="253" t="s">
        <v>216</v>
      </c>
      <c r="BA11" s="604"/>
      <c r="BC11" s="1367" t="b">
        <v>0</v>
      </c>
      <c r="BE11" s="1368">
        <v>1.4</v>
      </c>
      <c r="BI11" s="1363" t="s">
        <v>1250</v>
      </c>
      <c r="BK11" s="1366"/>
      <c r="BL11" s="1366"/>
      <c r="BN11" s="1379" t="str">
        <f t="shared" si="3"/>
        <v/>
      </c>
      <c r="BO11" s="1382" t="str">
        <f t="shared" si="4"/>
        <v/>
      </c>
      <c r="BP11" s="1363"/>
    </row>
    <row r="12" spans="2:68" ht="14.5">
      <c r="B12" s="610" t="s">
        <v>5</v>
      </c>
      <c r="C12" s="614" t="str">
        <f>IF($C$11=0,"-",SUM(BD20:BD23))</f>
        <v>-</v>
      </c>
      <c r="D12" s="548" t="s">
        <v>216</v>
      </c>
      <c r="E12" s="611"/>
      <c r="H12" s="794" t="s">
        <v>10</v>
      </c>
      <c r="I12" s="253"/>
      <c r="J12" s="1406"/>
      <c r="K12" s="786"/>
      <c r="L12" s="795"/>
      <c r="N12" s="603"/>
      <c r="O12" s="253"/>
      <c r="P12" s="253"/>
      <c r="Q12" s="604"/>
      <c r="R12" s="253"/>
      <c r="S12" s="603"/>
      <c r="T12" s="253"/>
      <c r="U12" s="253"/>
      <c r="V12" s="604"/>
      <c r="X12" s="780">
        <v>1.5</v>
      </c>
      <c r="Y12" s="595">
        <f t="shared" si="0"/>
        <v>8.0213903743315509</v>
      </c>
      <c r="Z12" s="47" t="str">
        <f t="shared" si="1"/>
        <v>1Ø</v>
      </c>
      <c r="AA12" s="48" t="str">
        <f t="shared" si="5"/>
        <v>fuse</v>
      </c>
      <c r="AB12" s="595">
        <f t="shared" si="2"/>
        <v>48.128342245989302</v>
      </c>
      <c r="AC12" s="779">
        <v>20</v>
      </c>
      <c r="AE12" s="607">
        <v>160</v>
      </c>
      <c r="AG12" s="753" t="s">
        <v>1357</v>
      </c>
      <c r="AH12" s="1387">
        <v>1000</v>
      </c>
      <c r="AI12" s="253" t="s">
        <v>9</v>
      </c>
      <c r="AJ12" s="604"/>
      <c r="AL12" s="603"/>
      <c r="AM12" s="253"/>
      <c r="AN12" s="253"/>
      <c r="AO12" s="604"/>
      <c r="AR12" s="253"/>
      <c r="AS12" s="253"/>
      <c r="AT12" s="253"/>
      <c r="AU12" s="253"/>
      <c r="AW12" s="444" t="s">
        <v>737</v>
      </c>
      <c r="AX12" s="253" t="s">
        <v>722</v>
      </c>
      <c r="AY12" s="1403"/>
      <c r="AZ12" s="253" t="s">
        <v>1566</v>
      </c>
      <c r="BA12" s="604"/>
      <c r="BC12" s="1367" t="b">
        <v>0</v>
      </c>
      <c r="BE12" s="1368">
        <v>1.5</v>
      </c>
      <c r="BI12" s="1363" t="s">
        <v>1252</v>
      </c>
      <c r="BN12" s="1379" t="str">
        <f t="shared" si="3"/>
        <v/>
      </c>
      <c r="BO12" s="1382" t="str">
        <f t="shared" si="4"/>
        <v/>
      </c>
      <c r="BP12" s="1363"/>
    </row>
    <row r="13" spans="2:68" ht="13">
      <c r="B13" s="610" t="s">
        <v>5</v>
      </c>
      <c r="C13" s="614" t="str">
        <f>IF($C$11=0,"-",SUM(BE20:BE23))</f>
        <v>-</v>
      </c>
      <c r="D13" s="548" t="s">
        <v>128</v>
      </c>
      <c r="E13" s="611"/>
      <c r="H13" s="794" t="s">
        <v>1525</v>
      </c>
      <c r="I13" s="253"/>
      <c r="J13" s="1406"/>
      <c r="K13" s="786" t="s">
        <v>14</v>
      </c>
      <c r="L13" s="795"/>
      <c r="N13" s="753" t="s">
        <v>442</v>
      </c>
      <c r="O13" s="1387">
        <v>30000</v>
      </c>
      <c r="P13" s="253" t="s">
        <v>9</v>
      </c>
      <c r="Q13" s="604"/>
      <c r="R13" s="253"/>
      <c r="S13" s="753" t="s">
        <v>443</v>
      </c>
      <c r="T13" s="1387">
        <v>80000</v>
      </c>
      <c r="U13" s="253" t="s">
        <v>9</v>
      </c>
      <c r="V13" s="604"/>
      <c r="X13" s="780">
        <v>2.2000000000000002</v>
      </c>
      <c r="Y13" s="595">
        <f t="shared" si="0"/>
        <v>11.764705882352942</v>
      </c>
      <c r="Z13" s="47" t="str">
        <f t="shared" si="1"/>
        <v>1Ø</v>
      </c>
      <c r="AA13" s="48" t="str">
        <f t="shared" si="5"/>
        <v>fuse</v>
      </c>
      <c r="AB13" s="595">
        <f t="shared" si="2"/>
        <v>70.588235294117652</v>
      </c>
      <c r="AC13" s="779">
        <v>30</v>
      </c>
      <c r="AE13" s="607">
        <v>200</v>
      </c>
      <c r="AG13" s="753" t="s">
        <v>1358</v>
      </c>
      <c r="AH13" s="1387"/>
      <c r="AI13" s="253" t="s">
        <v>9</v>
      </c>
      <c r="AJ13" s="604"/>
      <c r="AL13" s="753" t="s">
        <v>1360</v>
      </c>
      <c r="AM13" s="1402">
        <v>0.8</v>
      </c>
      <c r="AN13" s="253"/>
      <c r="AO13" s="604"/>
      <c r="AR13" s="253"/>
      <c r="AS13" s="253"/>
      <c r="AT13" s="253"/>
      <c r="AU13" s="253"/>
      <c r="AW13" s="444" t="s">
        <v>738</v>
      </c>
      <c r="AX13" s="630" t="s">
        <v>723</v>
      </c>
      <c r="AY13" s="1402"/>
      <c r="AZ13" s="45"/>
      <c r="BA13" s="445"/>
      <c r="BC13" s="1367" t="b">
        <v>0</v>
      </c>
      <c r="BE13" s="1368">
        <v>1.6</v>
      </c>
      <c r="BN13" s="1379">
        <f t="shared" si="3"/>
        <v>3</v>
      </c>
      <c r="BO13" s="1382" t="str">
        <f t="shared" si="4"/>
        <v/>
      </c>
      <c r="BP13" s="1363"/>
    </row>
    <row r="14" spans="2:68" ht="13">
      <c r="B14" s="610" t="s">
        <v>5</v>
      </c>
      <c r="C14" s="614" t="str">
        <f>IF($C$11=0,"-",SUM(BF20:BF23))</f>
        <v>-</v>
      </c>
      <c r="D14" s="548" t="s">
        <v>127</v>
      </c>
      <c r="E14" s="611"/>
      <c r="H14" s="2107" t="s">
        <v>1524</v>
      </c>
      <c r="I14" s="2108"/>
      <c r="J14" s="786" t="str">
        <f>IF(J11*J12*J13&gt;0,J11*J13*J12,"-")</f>
        <v>-</v>
      </c>
      <c r="K14" s="786" t="s">
        <v>9</v>
      </c>
      <c r="L14" s="604"/>
      <c r="N14" s="603"/>
      <c r="O14" s="253"/>
      <c r="P14" s="253"/>
      <c r="Q14" s="604"/>
      <c r="R14" s="253"/>
      <c r="S14" s="603"/>
      <c r="T14" s="253"/>
      <c r="U14" s="253"/>
      <c r="V14" s="604"/>
      <c r="X14" s="780">
        <v>3</v>
      </c>
      <c r="Y14" s="595">
        <f t="shared" si="0"/>
        <v>5.3623864011420359</v>
      </c>
      <c r="Z14" s="47" t="str">
        <f t="shared" si="1"/>
        <v>3Ø</v>
      </c>
      <c r="AA14" s="48" t="str">
        <f t="shared" si="5"/>
        <v>DOL</v>
      </c>
      <c r="AB14" s="595">
        <f t="shared" si="2"/>
        <v>32.174318406852215</v>
      </c>
      <c r="AC14" s="779">
        <v>20</v>
      </c>
      <c r="AE14" s="607">
        <v>250</v>
      </c>
      <c r="AG14" s="603"/>
      <c r="AH14" s="253"/>
      <c r="AI14" s="253"/>
      <c r="AJ14" s="604"/>
      <c r="AL14" s="753"/>
      <c r="AM14" s="253"/>
      <c r="AN14" s="253"/>
      <c r="AO14" s="604"/>
      <c r="AW14" s="444" t="s">
        <v>739</v>
      </c>
      <c r="AX14" s="630"/>
      <c r="AY14" s="45"/>
      <c r="AZ14" s="45"/>
      <c r="BA14" s="445"/>
      <c r="BC14" s="1367" t="b">
        <v>0</v>
      </c>
      <c r="BE14" s="1368">
        <v>1.7</v>
      </c>
      <c r="BI14" s="1369"/>
      <c r="BJ14" s="1370"/>
      <c r="BN14" s="1379">
        <f t="shared" si="3"/>
        <v>3.7</v>
      </c>
      <c r="BO14" s="1382" t="str">
        <f t="shared" si="4"/>
        <v/>
      </c>
      <c r="BP14" s="1363"/>
    </row>
    <row r="15" spans="2:68" ht="13">
      <c r="B15" s="536" t="s">
        <v>5</v>
      </c>
      <c r="C15" s="613" t="str">
        <f>IF($C$11=0,"-",SUM(BG20:BG23))</f>
        <v>-</v>
      </c>
      <c r="D15" s="553" t="s">
        <v>1448</v>
      </c>
      <c r="E15" s="612"/>
      <c r="H15" s="603"/>
      <c r="I15" s="253"/>
      <c r="J15" s="253"/>
      <c r="K15" s="253"/>
      <c r="L15" s="604"/>
      <c r="N15" s="753" t="s">
        <v>1533</v>
      </c>
      <c r="O15" s="1387">
        <v>80000</v>
      </c>
      <c r="P15" s="253" t="s">
        <v>9</v>
      </c>
      <c r="Q15" s="604"/>
      <c r="R15" s="253"/>
      <c r="S15" s="770" t="s">
        <v>1524</v>
      </c>
      <c r="T15" s="786" t="str">
        <f>IF(T11="-","-",T11+T13)</f>
        <v>-</v>
      </c>
      <c r="U15" s="163" t="s">
        <v>9</v>
      </c>
      <c r="V15" s="604"/>
      <c r="X15" s="778">
        <v>3.7</v>
      </c>
      <c r="Y15" s="595">
        <f t="shared" si="0"/>
        <v>6.6136098947418445</v>
      </c>
      <c r="Z15" s="47" t="str">
        <f t="shared" si="1"/>
        <v>3Ø</v>
      </c>
      <c r="AA15" s="48" t="str">
        <f t="shared" si="5"/>
        <v>Υ/Δ</v>
      </c>
      <c r="AB15" s="595">
        <f t="shared" si="2"/>
        <v>16.534024736854612</v>
      </c>
      <c r="AC15" s="779">
        <v>20</v>
      </c>
      <c r="AE15" s="607">
        <v>315</v>
      </c>
      <c r="AG15" s="753" t="s">
        <v>1360</v>
      </c>
      <c r="AH15" s="587">
        <f>IF(AND(AH8&lt;1,AH8&gt;=0),$C$22,IF(AH8&gt;2,$C$24,IF(OR(AH8&gt;1,AH8&lt;=2),$C$23)))</f>
        <v>0.7</v>
      </c>
      <c r="AI15" s="253"/>
      <c r="AJ15" s="604"/>
      <c r="AL15" s="753" t="s">
        <v>10</v>
      </c>
      <c r="AM15" s="1406">
        <v>1.5</v>
      </c>
      <c r="AN15" s="253"/>
      <c r="AO15" s="604"/>
      <c r="AW15" s="628" t="s">
        <v>1568</v>
      </c>
      <c r="AX15" s="256" t="s">
        <v>724</v>
      </c>
      <c r="AY15" s="916" t="str">
        <f>IF(AY11*AY12*AY13&gt;0,0.002342*AY11/(AY12*AY13),"-")</f>
        <v>-</v>
      </c>
      <c r="AZ15" s="253"/>
      <c r="BA15" s="604"/>
      <c r="BE15" s="1368">
        <v>1.8</v>
      </c>
      <c r="BN15" s="1379">
        <f t="shared" si="3"/>
        <v>4</v>
      </c>
      <c r="BO15" s="1382" t="str">
        <f t="shared" si="4"/>
        <v/>
      </c>
      <c r="BP15" s="1363"/>
    </row>
    <row r="16" spans="2:68" ht="13">
      <c r="H16" s="2105" t="s">
        <v>439</v>
      </c>
      <c r="I16" s="2106"/>
      <c r="J16" s="773" t="str">
        <f>IF(J11*J12*J13&gt;0,SUM(J7:J9,J14),"-")</f>
        <v>-</v>
      </c>
      <c r="K16" s="771" t="s">
        <v>9</v>
      </c>
      <c r="L16" s="793"/>
      <c r="N16" s="603"/>
      <c r="O16" s="253"/>
      <c r="P16" s="253"/>
      <c r="Q16" s="604"/>
      <c r="R16" s="253"/>
      <c r="S16" s="610" t="s">
        <v>1247</v>
      </c>
      <c r="T16" s="802" t="str">
        <f>IF(T15="-","-",T15/9.804139432/1000)</f>
        <v>-</v>
      </c>
      <c r="U16" s="253" t="s">
        <v>216</v>
      </c>
      <c r="V16" s="604"/>
      <c r="X16" s="780">
        <v>4</v>
      </c>
      <c r="Y16" s="595">
        <f t="shared" si="0"/>
        <v>7.1498485348560479</v>
      </c>
      <c r="Z16" s="47" t="str">
        <f t="shared" si="1"/>
        <v>3Ø</v>
      </c>
      <c r="AA16" s="48" t="str">
        <f t="shared" si="5"/>
        <v>Υ/Δ</v>
      </c>
      <c r="AB16" s="595">
        <f t="shared" si="2"/>
        <v>17.87462133714012</v>
      </c>
      <c r="AC16" s="779">
        <v>20</v>
      </c>
      <c r="AE16" s="607">
        <v>400</v>
      </c>
      <c r="AG16" s="753"/>
      <c r="AH16" s="253"/>
      <c r="AI16" s="253"/>
      <c r="AJ16" s="604"/>
      <c r="AL16" s="753"/>
      <c r="AM16" s="253"/>
      <c r="AN16" s="253"/>
      <c r="AO16" s="604"/>
      <c r="AW16" s="444"/>
      <c r="AX16" s="45"/>
      <c r="AY16" s="917" t="str">
        <f>IF(AX7="-","-",IF(AND(AY11*AY12*AY13&gt;0,AY15&gt;=AX7),"不滿足","滿足"))</f>
        <v>-</v>
      </c>
      <c r="AZ16" s="45"/>
      <c r="BA16" s="445"/>
      <c r="BE16" s="1368">
        <v>1.9</v>
      </c>
      <c r="BN16" s="1379">
        <f t="shared" si="3"/>
        <v>5.5</v>
      </c>
      <c r="BO16" s="1382" t="str">
        <f t="shared" si="4"/>
        <v/>
      </c>
      <c r="BP16" s="1363"/>
    </row>
    <row r="17" spans="2:75" ht="13">
      <c r="B17" s="2094" t="s">
        <v>150</v>
      </c>
      <c r="C17" s="2095"/>
      <c r="H17" s="605"/>
      <c r="I17" s="638"/>
      <c r="J17" s="638"/>
      <c r="K17" s="638"/>
      <c r="L17" s="537"/>
      <c r="N17" s="769" t="s">
        <v>1535</v>
      </c>
      <c r="O17" s="774" t="str">
        <f>IF(O11="-","-",O11+O13+O15)</f>
        <v>-</v>
      </c>
      <c r="P17" s="163" t="s">
        <v>9</v>
      </c>
      <c r="Q17" s="604"/>
      <c r="R17" s="253"/>
      <c r="S17" s="603"/>
      <c r="T17" s="253"/>
      <c r="U17" s="253"/>
      <c r="V17" s="604"/>
      <c r="X17" s="780">
        <v>5.5</v>
      </c>
      <c r="Y17" s="595">
        <f t="shared" si="0"/>
        <v>9.8310417354270658</v>
      </c>
      <c r="Z17" s="47" t="str">
        <f t="shared" si="1"/>
        <v>3Ø</v>
      </c>
      <c r="AA17" s="48" t="str">
        <f t="shared" si="5"/>
        <v>Υ/Δ</v>
      </c>
      <c r="AB17" s="595">
        <f t="shared" si="2"/>
        <v>24.577604338567664</v>
      </c>
      <c r="AC17" s="779">
        <v>20</v>
      </c>
      <c r="AD17" s="920"/>
      <c r="AE17" s="607">
        <v>630</v>
      </c>
      <c r="AG17" s="753" t="s">
        <v>1359</v>
      </c>
      <c r="AH17" s="1402">
        <v>0.7</v>
      </c>
      <c r="AI17" s="765"/>
      <c r="AJ17" s="604"/>
      <c r="AL17" s="753" t="s">
        <v>1364</v>
      </c>
      <c r="AM17" s="568" t="str">
        <f>IF(AM8="-","-",AM15*(AM8*(AM11*9.804139432))/(AM13))</f>
        <v>-</v>
      </c>
      <c r="AN17" s="253" t="s">
        <v>6</v>
      </c>
      <c r="AO17" s="604"/>
      <c r="AW17" s="605"/>
      <c r="AX17" s="638"/>
      <c r="AY17" s="638"/>
      <c r="AZ17" s="638"/>
      <c r="BA17" s="537"/>
      <c r="BE17" s="1368">
        <v>2</v>
      </c>
      <c r="BI17" s="1371" t="s">
        <v>1376</v>
      </c>
      <c r="BJ17" s="1363" t="s">
        <v>6</v>
      </c>
      <c r="BN17" s="1379">
        <f t="shared" si="3"/>
        <v>7.5</v>
      </c>
      <c r="BO17" s="1382" t="str">
        <f t="shared" si="4"/>
        <v/>
      </c>
      <c r="BP17" s="1363"/>
    </row>
    <row r="18" spans="2:75" ht="13">
      <c r="B18" s="590" t="s">
        <v>151</v>
      </c>
      <c r="C18" s="1414">
        <v>220</v>
      </c>
      <c r="H18" s="789"/>
      <c r="N18" s="804" t="s">
        <v>1536</v>
      </c>
      <c r="O18" s="802" t="str">
        <f>IF(O17="-","-",O17/9.804139432/1000)</f>
        <v>-</v>
      </c>
      <c r="P18" s="253" t="s">
        <v>216</v>
      </c>
      <c r="Q18" s="604"/>
      <c r="R18" s="253"/>
      <c r="S18" s="753" t="s">
        <v>1534</v>
      </c>
      <c r="T18" s="1387"/>
      <c r="U18" s="253" t="s">
        <v>216</v>
      </c>
      <c r="V18" s="604"/>
      <c r="X18" s="780">
        <v>7.5</v>
      </c>
      <c r="Y18" s="595">
        <f t="shared" si="0"/>
        <v>13.405966002855088</v>
      </c>
      <c r="Z18" s="47" t="str">
        <f t="shared" si="1"/>
        <v>3Ø</v>
      </c>
      <c r="AA18" s="48" t="str">
        <f t="shared" si="5"/>
        <v>Υ/Δ</v>
      </c>
      <c r="AB18" s="595">
        <f t="shared" si="2"/>
        <v>33.514915007137716</v>
      </c>
      <c r="AC18" s="779">
        <v>30</v>
      </c>
      <c r="AD18" s="920"/>
      <c r="AE18" s="607">
        <v>800</v>
      </c>
      <c r="AG18" s="753"/>
      <c r="AH18" s="253"/>
      <c r="AI18" s="253"/>
      <c r="AJ18" s="604"/>
      <c r="AL18" s="753" t="s">
        <v>125</v>
      </c>
      <c r="AM18" s="58" t="str">
        <f>IF(AM17="-","-",MIN(BO5:BO38))</f>
        <v>-</v>
      </c>
      <c r="AN18" s="253" t="s">
        <v>6</v>
      </c>
      <c r="AO18" s="604"/>
      <c r="AW18" s="2110" t="s">
        <v>1558</v>
      </c>
      <c r="AX18" s="2110"/>
      <c r="AY18" s="2110"/>
      <c r="AZ18" s="2110"/>
      <c r="BA18" s="251"/>
      <c r="BC18" s="1367" t="b">
        <v>0</v>
      </c>
      <c r="BI18" s="1371" t="s">
        <v>1377</v>
      </c>
      <c r="BJ18" s="1363" t="s">
        <v>1246</v>
      </c>
      <c r="BN18" s="1379">
        <f t="shared" si="3"/>
        <v>9</v>
      </c>
      <c r="BO18" s="1382" t="str">
        <f t="shared" si="4"/>
        <v/>
      </c>
      <c r="BP18" s="1363"/>
    </row>
    <row r="19" spans="2:75" ht="13">
      <c r="B19" s="591" t="s">
        <v>152</v>
      </c>
      <c r="C19" s="592">
        <f>VLOOKUP(C18,BN1:BO3,2,FALSE)</f>
        <v>380</v>
      </c>
      <c r="H19" s="2099" t="s">
        <v>1711</v>
      </c>
      <c r="I19" s="2100"/>
      <c r="J19" s="2100"/>
      <c r="K19" s="2100"/>
      <c r="L19" s="2098"/>
      <c r="N19" s="605"/>
      <c r="O19" s="638"/>
      <c r="P19" s="638"/>
      <c r="Q19" s="537"/>
      <c r="R19" s="253"/>
      <c r="S19" s="603"/>
      <c r="T19" s="253"/>
      <c r="U19" s="253"/>
      <c r="V19" s="604"/>
      <c r="X19" s="778">
        <v>9</v>
      </c>
      <c r="Y19" s="595">
        <f t="shared" si="0"/>
        <v>16.087159203426104</v>
      </c>
      <c r="Z19" s="47" t="str">
        <f t="shared" si="1"/>
        <v>3Ø</v>
      </c>
      <c r="AA19" s="48" t="str">
        <f t="shared" si="5"/>
        <v>Υ/Δ</v>
      </c>
      <c r="AB19" s="595">
        <f t="shared" si="2"/>
        <v>40.217898008565257</v>
      </c>
      <c r="AC19" s="779">
        <v>40</v>
      </c>
      <c r="AE19" s="607">
        <v>1000</v>
      </c>
      <c r="AG19" s="753" t="s">
        <v>10</v>
      </c>
      <c r="AH19" s="1406">
        <v>1.2</v>
      </c>
      <c r="AI19" s="253"/>
      <c r="AJ19" s="604"/>
      <c r="AL19" s="753" t="s">
        <v>1361</v>
      </c>
      <c r="AM19" s="588" t="str">
        <f>IF(AM18="-", "-",VLOOKUP(AM18,X6:Z39,3,))</f>
        <v>-</v>
      </c>
      <c r="AN19" s="253"/>
      <c r="AO19" s="604"/>
      <c r="AW19" s="923" t="s">
        <v>1569</v>
      </c>
      <c r="AX19" s="923"/>
      <c r="AY19" s="923"/>
      <c r="AZ19" s="923"/>
      <c r="BA19" s="45"/>
      <c r="BC19" s="1367"/>
      <c r="BD19" s="1362" t="s">
        <v>216</v>
      </c>
      <c r="BE19" s="1362" t="s">
        <v>634</v>
      </c>
      <c r="BF19" s="1362" t="s">
        <v>127</v>
      </c>
      <c r="BG19" s="1362" t="s">
        <v>1382</v>
      </c>
      <c r="BN19" s="1379">
        <f t="shared" si="3"/>
        <v>11</v>
      </c>
      <c r="BO19" s="1382" t="str">
        <f t="shared" si="4"/>
        <v/>
      </c>
      <c r="BP19" s="1363"/>
    </row>
    <row r="20" spans="2:75" ht="13">
      <c r="H20" s="775"/>
      <c r="I20" s="767"/>
      <c r="J20" s="767"/>
      <c r="K20" s="767"/>
      <c r="L20" s="602"/>
      <c r="R20" s="253"/>
      <c r="S20" s="769" t="s">
        <v>1535</v>
      </c>
      <c r="T20" s="801" t="str">
        <f>IF(T16="-","-",T16+T18)</f>
        <v>-</v>
      </c>
      <c r="U20" s="163" t="s">
        <v>216</v>
      </c>
      <c r="V20" s="604"/>
      <c r="X20" s="780">
        <v>11</v>
      </c>
      <c r="Y20" s="595">
        <f t="shared" si="0"/>
        <v>19.662083470854132</v>
      </c>
      <c r="Z20" s="47" t="str">
        <f t="shared" si="1"/>
        <v>3Ø</v>
      </c>
      <c r="AA20" s="48" t="str">
        <f t="shared" si="5"/>
        <v>Υ/Δ</v>
      </c>
      <c r="AB20" s="595">
        <f t="shared" si="2"/>
        <v>49.155208677135327</v>
      </c>
      <c r="AC20" s="779">
        <v>40</v>
      </c>
      <c r="AE20" s="607">
        <v>1250</v>
      </c>
      <c r="AG20" s="753"/>
      <c r="AH20" s="253"/>
      <c r="AI20" s="253"/>
      <c r="AJ20" s="604"/>
      <c r="AL20" s="603"/>
      <c r="AM20" s="253"/>
      <c r="AN20" s="253"/>
      <c r="AO20" s="604"/>
      <c r="BC20" s="1362" t="s">
        <v>216</v>
      </c>
      <c r="BD20" s="1372">
        <f>IF($D$11=D12,$C$11,0)</f>
        <v>0</v>
      </c>
      <c r="BE20" s="1373">
        <f>BD20*0.09804139432</f>
        <v>0</v>
      </c>
      <c r="BF20" s="1373">
        <f>BD20*9.804139432</f>
        <v>0</v>
      </c>
      <c r="BG20" s="1362">
        <f>BF20*0.001</f>
        <v>0</v>
      </c>
      <c r="BI20" s="1371" t="str">
        <f>IF(AR6=BI17,"1Ø Current","")</f>
        <v>1Ø Current</v>
      </c>
      <c r="BJ20" s="1363">
        <f>IF(AR6=BI17,AS6*1000/$C$18/0.85,0)</f>
        <v>0</v>
      </c>
      <c r="BN20" s="1379">
        <f t="shared" si="3"/>
        <v>15</v>
      </c>
      <c r="BO20" s="1382" t="str">
        <f t="shared" si="4"/>
        <v/>
      </c>
      <c r="BP20" s="1363"/>
    </row>
    <row r="21" spans="2:75" ht="13">
      <c r="B21" s="2097" t="s">
        <v>1360</v>
      </c>
      <c r="C21" s="2098"/>
      <c r="H21" s="791" t="s">
        <v>1527</v>
      </c>
      <c r="I21" s="253" t="s">
        <v>162</v>
      </c>
      <c r="J21" s="253" t="s">
        <v>8</v>
      </c>
      <c r="K21" s="787"/>
      <c r="L21" s="792"/>
      <c r="S21" s="804" t="s">
        <v>1536</v>
      </c>
      <c r="T21" s="253"/>
      <c r="U21" s="253"/>
      <c r="V21" s="604"/>
      <c r="X21" s="780">
        <v>15</v>
      </c>
      <c r="Y21" s="595">
        <f t="shared" si="0"/>
        <v>26.811932005710176</v>
      </c>
      <c r="Z21" s="47" t="str">
        <f t="shared" si="1"/>
        <v>3Ø</v>
      </c>
      <c r="AA21" s="48" t="str">
        <f t="shared" si="5"/>
        <v>Υ/Δ</v>
      </c>
      <c r="AB21" s="595">
        <f t="shared" si="2"/>
        <v>67.029830014275433</v>
      </c>
      <c r="AC21" s="779">
        <v>50</v>
      </c>
      <c r="AE21" s="607">
        <v>1600</v>
      </c>
      <c r="AG21" s="753" t="s">
        <v>11</v>
      </c>
      <c r="AH21" s="568">
        <f>IF(AH8="-","-",AH19*(AH8*(AH12+AH13))/(1000*AH15*AH17))</f>
        <v>2.4489795918367352</v>
      </c>
      <c r="AI21" s="253" t="s">
        <v>6</v>
      </c>
      <c r="AJ21" s="604"/>
      <c r="AL21" s="753" t="s">
        <v>123</v>
      </c>
      <c r="AM21" s="1377" t="str">
        <f>IF(AM18="-","-",VLOOKUP(AM18,X6:AA39,2,FALSE))</f>
        <v>-</v>
      </c>
      <c r="AN21" s="253" t="s">
        <v>1246</v>
      </c>
      <c r="AO21" s="604"/>
      <c r="BC21" s="1362" t="s">
        <v>128</v>
      </c>
      <c r="BD21" s="1372">
        <f>BE21/0.09804139432</f>
        <v>0</v>
      </c>
      <c r="BE21" s="1372">
        <f>IF($D$11=D13,$C$11,0)</f>
        <v>0</v>
      </c>
      <c r="BF21" s="1373">
        <f>BD21*9.804139432</f>
        <v>0</v>
      </c>
      <c r="BG21" s="1362">
        <f>BF21*0.001</f>
        <v>0</v>
      </c>
      <c r="BI21" s="1371" t="str">
        <f>IF(AR6=BI17,"3Ø Current","")</f>
        <v>3Ø Current</v>
      </c>
      <c r="BJ21" s="1370">
        <f>IF(AR6=BI17,AS6*1000/(3)^0.5/$C$19/0.85,0)</f>
        <v>0</v>
      </c>
      <c r="BN21" s="1379">
        <f t="shared" si="3"/>
        <v>18.5</v>
      </c>
      <c r="BO21" s="1382" t="str">
        <f t="shared" si="4"/>
        <v/>
      </c>
      <c r="BR21" s="165"/>
      <c r="BS21" s="615"/>
      <c r="BT21" s="615"/>
      <c r="BU21" s="922"/>
      <c r="BV21" s="615"/>
      <c r="BW21" s="615"/>
    </row>
    <row r="22" spans="2:75" ht="13">
      <c r="B22" s="596" t="s">
        <v>159</v>
      </c>
      <c r="C22" s="1415">
        <v>0.65</v>
      </c>
      <c r="H22" s="603"/>
      <c r="I22" s="162" t="str">
        <f t="shared" ref="I22:I27" si="6">IF(BC9=TRUE,1,"-")</f>
        <v>-</v>
      </c>
      <c r="J22" s="162" t="str">
        <f>IF(BC9=TRUE,10*I22,"-")</f>
        <v>-</v>
      </c>
      <c r="K22" s="162" t="s">
        <v>9</v>
      </c>
      <c r="L22" s="604"/>
      <c r="S22" s="605"/>
      <c r="T22" s="638"/>
      <c r="U22" s="638"/>
      <c r="V22" s="537"/>
      <c r="X22" s="780">
        <v>18.5</v>
      </c>
      <c r="Y22" s="595">
        <f t="shared" si="0"/>
        <v>33.068049473709216</v>
      </c>
      <c r="Z22" s="47" t="str">
        <f t="shared" si="1"/>
        <v>3Ø</v>
      </c>
      <c r="AA22" s="48" t="str">
        <f t="shared" si="5"/>
        <v>Υ/Δ</v>
      </c>
      <c r="AB22" s="595">
        <f t="shared" si="2"/>
        <v>82.670123684273037</v>
      </c>
      <c r="AC22" s="779">
        <v>80</v>
      </c>
      <c r="AE22" s="607">
        <v>2000</v>
      </c>
      <c r="AG22" s="753" t="s">
        <v>125</v>
      </c>
      <c r="AH22" s="58">
        <f>IF(AH21="-","-",MIN(BN5:BN38))</f>
        <v>3</v>
      </c>
      <c r="AI22" s="253" t="s">
        <v>6</v>
      </c>
      <c r="AJ22" s="604"/>
      <c r="AL22" s="753" t="s">
        <v>1362</v>
      </c>
      <c r="AM22" s="588" t="str">
        <f>IF(AM18="-","-",IF(AM23=BI11,"VSD",VLOOKUP(AM18,X6:AA39,4,FALSE)))</f>
        <v>-</v>
      </c>
      <c r="AN22" s="253"/>
      <c r="AO22" s="604"/>
      <c r="BC22" s="1362" t="s">
        <v>127</v>
      </c>
      <c r="BD22" s="1373">
        <f>BE22/0.09804139432</f>
        <v>0</v>
      </c>
      <c r="BE22" s="1362">
        <f>BF22/100</f>
        <v>0</v>
      </c>
      <c r="BF22" s="1372">
        <f>IF($D$11=D14,$C$11,0)</f>
        <v>0</v>
      </c>
      <c r="BG22" s="1362">
        <f>BF22*0.001</f>
        <v>0</v>
      </c>
      <c r="BN22" s="1379">
        <f t="shared" si="3"/>
        <v>22</v>
      </c>
      <c r="BO22" s="1382" t="str">
        <f t="shared" si="4"/>
        <v/>
      </c>
      <c r="BR22" s="165"/>
      <c r="BS22" s="615"/>
      <c r="BT22" s="615"/>
      <c r="BU22" s="922"/>
      <c r="BV22" s="615"/>
      <c r="BW22" s="615"/>
    </row>
    <row r="23" spans="2:75" ht="13">
      <c r="B23" s="596" t="s">
        <v>1538</v>
      </c>
      <c r="C23" s="1415">
        <v>0.7</v>
      </c>
      <c r="H23" s="796"/>
      <c r="I23" s="162" t="str">
        <f t="shared" si="6"/>
        <v>-</v>
      </c>
      <c r="J23" s="162" t="str">
        <f>IF(BC10=TRUE,50*I23,"-")</f>
        <v>-</v>
      </c>
      <c r="K23" s="162" t="s">
        <v>9</v>
      </c>
      <c r="L23" s="604"/>
      <c r="X23" s="780">
        <v>22</v>
      </c>
      <c r="Y23" s="595">
        <f t="shared" si="0"/>
        <v>39.324166941708263</v>
      </c>
      <c r="Z23" s="47" t="str">
        <f t="shared" si="1"/>
        <v>3Ø</v>
      </c>
      <c r="AA23" s="48" t="str">
        <f t="shared" si="5"/>
        <v>Υ/Δ</v>
      </c>
      <c r="AB23" s="595">
        <f t="shared" si="2"/>
        <v>98.310417354270655</v>
      </c>
      <c r="AC23" s="779">
        <v>80</v>
      </c>
      <c r="AE23" s="607">
        <v>2500</v>
      </c>
      <c r="AG23" s="753" t="s">
        <v>1361</v>
      </c>
      <c r="AH23" s="588" t="str">
        <f>IF(AH22="-", "-",VLOOKUP(AH22,X6:Z39,3,))</f>
        <v>3Ø</v>
      </c>
      <c r="AI23" s="253"/>
      <c r="AJ23" s="604"/>
      <c r="AL23" s="610" t="s">
        <v>1366</v>
      </c>
      <c r="AM23" s="1406"/>
      <c r="AN23" s="253"/>
      <c r="AO23" s="604"/>
      <c r="BC23" s="1362" t="s">
        <v>1382</v>
      </c>
      <c r="BD23" s="1373">
        <f>BE23/0.09804139432</f>
        <v>0</v>
      </c>
      <c r="BE23" s="1362">
        <f>BF23/100</f>
        <v>0</v>
      </c>
      <c r="BF23" s="1373">
        <f>BG23*1000</f>
        <v>0</v>
      </c>
      <c r="BG23" s="1372">
        <f>IF($D$11=D15,$C$11,0)</f>
        <v>0</v>
      </c>
      <c r="BI23" s="1371" t="str">
        <f>IF(AR6=BI18,"1Ø Power","")</f>
        <v/>
      </c>
      <c r="BJ23" s="1370">
        <f>IF(AR6=BI18,AS6/1000*$C$18*0.85,0)</f>
        <v>0</v>
      </c>
      <c r="BN23" s="1379">
        <f t="shared" si="3"/>
        <v>25</v>
      </c>
      <c r="BO23" s="1382" t="str">
        <f t="shared" si="4"/>
        <v/>
      </c>
      <c r="BR23" s="165"/>
      <c r="BS23" s="615"/>
      <c r="BT23" s="615"/>
      <c r="BU23" s="922"/>
      <c r="BV23" s="615"/>
      <c r="BW23" s="615"/>
    </row>
    <row r="24" spans="2:75" ht="13">
      <c r="B24" s="596" t="s">
        <v>126</v>
      </c>
      <c r="C24" s="1415">
        <v>0.75</v>
      </c>
      <c r="H24" s="796"/>
      <c r="I24" s="162" t="str">
        <f t="shared" si="6"/>
        <v>-</v>
      </c>
      <c r="J24" s="162" t="str">
        <f>IF(BC11=TRUE,350*I24,"-")</f>
        <v>-</v>
      </c>
      <c r="K24" s="162" t="s">
        <v>9</v>
      </c>
      <c r="L24" s="604"/>
      <c r="X24" s="778">
        <v>25</v>
      </c>
      <c r="Y24" s="595">
        <f t="shared" si="0"/>
        <v>44.686553342850303</v>
      </c>
      <c r="Z24" s="47" t="str">
        <f t="shared" si="1"/>
        <v>3Ø</v>
      </c>
      <c r="AA24" s="48" t="str">
        <f t="shared" si="5"/>
        <v>Υ/Δ</v>
      </c>
      <c r="AB24" s="595">
        <f t="shared" si="2"/>
        <v>111.71638335712575</v>
      </c>
      <c r="AC24" s="779">
        <v>100</v>
      </c>
      <c r="AE24" s="608">
        <v>3150</v>
      </c>
      <c r="AG24" s="603"/>
      <c r="AH24" s="253"/>
      <c r="AI24" s="253"/>
      <c r="AJ24" s="604"/>
      <c r="AL24" s="753" t="s">
        <v>1365</v>
      </c>
      <c r="AM24" s="600" t="str">
        <f>IF(AM18="-","-",AM21*BJ10)</f>
        <v>-</v>
      </c>
      <c r="AN24" s="253" t="s">
        <v>1246</v>
      </c>
      <c r="AO24" s="604"/>
      <c r="BI24" s="1371" t="str">
        <f>IF(AR6=BI18,"3Ø Power","")</f>
        <v/>
      </c>
      <c r="BJ24" s="1370">
        <f>IF(AR6=BI18,AS6/1000*(3)^0.5*$C$19*0.85,0)</f>
        <v>0</v>
      </c>
      <c r="BN24" s="1379">
        <f t="shared" si="3"/>
        <v>30</v>
      </c>
      <c r="BO24" s="1382" t="str">
        <f t="shared" si="4"/>
        <v/>
      </c>
      <c r="BR24" s="165"/>
      <c r="BS24" s="615"/>
      <c r="BT24" s="615"/>
      <c r="BU24" s="922"/>
      <c r="BV24" s="615"/>
      <c r="BW24" s="615"/>
    </row>
    <row r="25" spans="2:75" ht="13">
      <c r="H25" s="796"/>
      <c r="I25" s="162" t="str">
        <f t="shared" si="6"/>
        <v>-</v>
      </c>
      <c r="J25" s="162" t="str">
        <f>IF(BC12=TRUE,150*I25,"-")</f>
        <v>-</v>
      </c>
      <c r="K25" s="162" t="s">
        <v>9</v>
      </c>
      <c r="L25" s="604"/>
      <c r="M25" s="790"/>
      <c r="X25" s="780">
        <v>30</v>
      </c>
      <c r="Y25" s="595">
        <f t="shared" si="0"/>
        <v>53.623864011420352</v>
      </c>
      <c r="Z25" s="47" t="str">
        <f t="shared" si="1"/>
        <v>3Ø</v>
      </c>
      <c r="AA25" s="48" t="str">
        <f t="shared" si="5"/>
        <v>Υ/Δ</v>
      </c>
      <c r="AB25" s="595">
        <f t="shared" si="2"/>
        <v>134.05966002855087</v>
      </c>
      <c r="AC25" s="779">
        <v>100</v>
      </c>
      <c r="AG25" s="753" t="s">
        <v>123</v>
      </c>
      <c r="AH25" s="1377">
        <f>IF(AH22="-","-",VLOOKUP(AH22,X6:AA39,2,FALSE))</f>
        <v>5.3623864011420359</v>
      </c>
      <c r="AI25" s="253" t="s">
        <v>1246</v>
      </c>
      <c r="AJ25" s="604"/>
      <c r="AL25" s="753"/>
      <c r="AM25" s="588"/>
      <c r="AN25" s="253"/>
      <c r="AO25" s="604"/>
      <c r="AT25" s="615"/>
      <c r="AU25" s="615"/>
      <c r="AV25" s="615"/>
      <c r="BD25" s="1365">
        <f>IF(AN6=AN7,AM6,0)</f>
        <v>0</v>
      </c>
      <c r="BE25" s="1365">
        <f>IF(AN6=AN8,AM6*3600,0)</f>
        <v>0</v>
      </c>
      <c r="BF25" s="1365">
        <f>IF(AN6=AN9,AM6*3.6,0)</f>
        <v>0</v>
      </c>
      <c r="BG25" s="1363"/>
      <c r="BH25" s="1363"/>
      <c r="BK25" s="1362"/>
      <c r="BN25" s="1379">
        <f t="shared" si="3"/>
        <v>33</v>
      </c>
      <c r="BO25" s="1382" t="str">
        <f t="shared" si="4"/>
        <v/>
      </c>
      <c r="BR25" s="165"/>
      <c r="BS25" s="615"/>
      <c r="BT25" s="615"/>
      <c r="BU25" s="922"/>
      <c r="BV25" s="615"/>
      <c r="BW25" s="615"/>
    </row>
    <row r="26" spans="2:75" ht="13">
      <c r="B26" s="2094" t="s">
        <v>1365</v>
      </c>
      <c r="C26" s="2095"/>
      <c r="H26" s="796"/>
      <c r="I26" s="162" t="str">
        <f t="shared" si="6"/>
        <v>-</v>
      </c>
      <c r="J26" s="162" t="str">
        <f>IF(BC13=TRUE,150*I26,"-")</f>
        <v>-</v>
      </c>
      <c r="K26" s="162" t="s">
        <v>9</v>
      </c>
      <c r="L26" s="604"/>
      <c r="X26" s="778">
        <v>33</v>
      </c>
      <c r="Y26" s="595">
        <f t="shared" si="0"/>
        <v>58.986250412562384</v>
      </c>
      <c r="Z26" s="47" t="str">
        <f t="shared" si="1"/>
        <v>3Ø</v>
      </c>
      <c r="AA26" s="48" t="str">
        <f t="shared" si="5"/>
        <v>Υ/Δ</v>
      </c>
      <c r="AB26" s="595">
        <f t="shared" si="2"/>
        <v>147.46562603140598</v>
      </c>
      <c r="AC26" s="779">
        <v>150</v>
      </c>
      <c r="AG26" s="753" t="s">
        <v>1362</v>
      </c>
      <c r="AH26" s="588" t="str">
        <f>IF(AH22="-","-",IF(AH27=BI11,"VSD",VLOOKUP(AH22,X6:AA39,4,FALSE)))</f>
        <v>DOL</v>
      </c>
      <c r="AI26" s="253"/>
      <c r="AJ26" s="604"/>
      <c r="AL26" s="753" t="s">
        <v>1373</v>
      </c>
      <c r="AM26" s="601" t="str">
        <f>IF(AM18="-","-",VLOOKUP(AM18,X6:AC39,6,FALSE))</f>
        <v>-</v>
      </c>
      <c r="AN26" s="253" t="s">
        <v>1246</v>
      </c>
      <c r="AO26" s="604"/>
      <c r="AT26" s="615"/>
      <c r="AU26" s="615"/>
      <c r="AV26" s="615"/>
      <c r="BD26" s="1365">
        <f>IF(AN6=AN7,AM6/3600,0)</f>
        <v>0</v>
      </c>
      <c r="BE26" s="1365">
        <f>IF(AN6=AN8,AM6,0)</f>
        <v>0</v>
      </c>
      <c r="BF26" s="1365">
        <f>IF(AN6=AN9,AM6/1000,0)</f>
        <v>0</v>
      </c>
      <c r="BG26" s="1363"/>
      <c r="BH26" s="1363"/>
      <c r="BK26" s="1362"/>
      <c r="BN26" s="1379">
        <f t="shared" si="3"/>
        <v>37</v>
      </c>
      <c r="BO26" s="1382" t="str">
        <f t="shared" si="4"/>
        <v/>
      </c>
      <c r="BR26" s="165"/>
      <c r="BS26" s="615"/>
      <c r="BT26" s="615"/>
      <c r="BU26" s="922"/>
      <c r="BV26" s="615"/>
      <c r="BW26" s="615"/>
    </row>
    <row r="27" spans="2:75" ht="12.75" customHeight="1">
      <c r="B27" s="589" t="s">
        <v>453</v>
      </c>
      <c r="C27" s="1406">
        <v>6</v>
      </c>
      <c r="H27" s="796"/>
      <c r="I27" s="162" t="str">
        <f t="shared" si="6"/>
        <v>-</v>
      </c>
      <c r="J27" s="162" t="str">
        <f>IF(BC14=TRUE,150*I27,"-")</f>
        <v>-</v>
      </c>
      <c r="K27" s="162" t="s">
        <v>9</v>
      </c>
      <c r="L27" s="604"/>
      <c r="X27" s="780">
        <v>37</v>
      </c>
      <c r="Y27" s="595">
        <f t="shared" si="0"/>
        <v>66.136098947418432</v>
      </c>
      <c r="Z27" s="47" t="str">
        <f t="shared" si="1"/>
        <v>3Ø</v>
      </c>
      <c r="AA27" s="48" t="str">
        <f t="shared" si="5"/>
        <v>Υ/Δ</v>
      </c>
      <c r="AB27" s="595">
        <f t="shared" si="2"/>
        <v>165.34024736854607</v>
      </c>
      <c r="AC27" s="779">
        <v>150</v>
      </c>
      <c r="AG27" s="610" t="s">
        <v>1366</v>
      </c>
      <c r="AH27" s="1406"/>
      <c r="AI27" s="253"/>
      <c r="AJ27" s="604"/>
      <c r="AL27" s="605"/>
      <c r="AM27" s="638"/>
      <c r="AN27" s="638"/>
      <c r="AO27" s="537"/>
      <c r="AT27" s="615"/>
      <c r="AU27" s="615"/>
      <c r="AV27" s="615"/>
      <c r="BD27" s="1365">
        <f>IF(AN6=AN7,AM6/3.6,0)</f>
        <v>0</v>
      </c>
      <c r="BE27" s="1365">
        <f>IF(AN6=AN8,AM6*1000,0)</f>
        <v>0</v>
      </c>
      <c r="BF27" s="1365">
        <f>IF(AN6=AN9,AM6,0)</f>
        <v>0</v>
      </c>
      <c r="BG27" s="1363"/>
      <c r="BH27" s="1363"/>
      <c r="BJ27" s="1369">
        <v>1</v>
      </c>
      <c r="BK27" s="1362"/>
      <c r="BN27" s="1379">
        <f t="shared" si="3"/>
        <v>45</v>
      </c>
      <c r="BO27" s="1382" t="str">
        <f t="shared" si="4"/>
        <v/>
      </c>
      <c r="BP27" s="1374"/>
      <c r="BQ27" s="165"/>
      <c r="BR27" s="165"/>
      <c r="BS27" s="615"/>
      <c r="BT27" s="615"/>
      <c r="BU27" s="922"/>
      <c r="BV27" s="615"/>
      <c r="BW27" s="615"/>
    </row>
    <row r="28" spans="2:75" ht="12.75" customHeight="1">
      <c r="B28" s="589" t="s">
        <v>454</v>
      </c>
      <c r="C28" s="1406">
        <v>2.5</v>
      </c>
      <c r="H28" s="603"/>
      <c r="I28" s="253"/>
      <c r="J28" s="253"/>
      <c r="K28" s="253"/>
      <c r="L28" s="604"/>
      <c r="X28" s="780">
        <v>45</v>
      </c>
      <c r="Y28" s="595">
        <f t="shared" si="0"/>
        <v>80.435796017130542</v>
      </c>
      <c r="Z28" s="47" t="str">
        <f t="shared" si="1"/>
        <v>3Ø</v>
      </c>
      <c r="AA28" s="48" t="str">
        <f t="shared" si="5"/>
        <v>Υ/Δ</v>
      </c>
      <c r="AB28" s="595">
        <f t="shared" si="2"/>
        <v>201.08949004282636</v>
      </c>
      <c r="AC28" s="779">
        <v>150</v>
      </c>
      <c r="AG28" s="753" t="s">
        <v>1365</v>
      </c>
      <c r="AH28" s="600">
        <f>IF(AH22="-","-",AH25*BI10)</f>
        <v>32.174318406852215</v>
      </c>
      <c r="AI28" s="253" t="s">
        <v>1246</v>
      </c>
      <c r="AJ28" s="604"/>
      <c r="AT28" s="914"/>
      <c r="AU28" s="914"/>
      <c r="AV28" s="914"/>
      <c r="BB28" s="914"/>
      <c r="BC28" s="1365"/>
      <c r="BD28" s="1365"/>
      <c r="BE28" s="1365"/>
      <c r="BF28" s="1363"/>
      <c r="BG28" s="1363"/>
      <c r="BH28" s="1363"/>
      <c r="BI28" s="1375">
        <v>0.1</v>
      </c>
      <c r="BJ28" s="1369">
        <v>1.1000000000000001</v>
      </c>
      <c r="BK28" s="1362"/>
      <c r="BN28" s="1379">
        <f t="shared" si="3"/>
        <v>55</v>
      </c>
      <c r="BO28" s="1382" t="str">
        <f t="shared" si="4"/>
        <v/>
      </c>
      <c r="BP28" s="1374"/>
      <c r="BQ28" s="165"/>
      <c r="BR28" s="165"/>
      <c r="BS28" s="615"/>
      <c r="BT28" s="615"/>
      <c r="BU28" s="922"/>
      <c r="BV28" s="615"/>
      <c r="BW28" s="615"/>
    </row>
    <row r="29" spans="2:75" ht="12.75" customHeight="1">
      <c r="B29" s="593" t="s">
        <v>455</v>
      </c>
      <c r="C29" s="1406">
        <v>1.5</v>
      </c>
      <c r="H29" s="2103" t="s">
        <v>440</v>
      </c>
      <c r="I29" s="2104"/>
      <c r="J29" s="772">
        <f>SUM(J22:J27)</f>
        <v>0</v>
      </c>
      <c r="K29" s="569" t="s">
        <v>9</v>
      </c>
      <c r="L29" s="797"/>
      <c r="X29" s="780">
        <v>55</v>
      </c>
      <c r="Y29" s="595">
        <f t="shared" si="0"/>
        <v>98.310417354270655</v>
      </c>
      <c r="Z29" s="47" t="str">
        <f t="shared" si="1"/>
        <v>3Ø</v>
      </c>
      <c r="AA29" s="48" t="str">
        <f t="shared" si="5"/>
        <v>Υ/Δ</v>
      </c>
      <c r="AB29" s="595">
        <f t="shared" si="2"/>
        <v>245.77604338567664</v>
      </c>
      <c r="AC29" s="779">
        <v>200</v>
      </c>
      <c r="AG29" s="603"/>
      <c r="AH29" s="253"/>
      <c r="AI29" s="253"/>
      <c r="AJ29" s="604"/>
      <c r="AT29" s="615"/>
      <c r="AU29" s="615"/>
      <c r="AV29" s="615"/>
      <c r="BD29" s="1363"/>
      <c r="BE29" s="1363"/>
      <c r="BF29" s="1363"/>
      <c r="BG29" s="1363"/>
      <c r="BH29" s="1363"/>
      <c r="BI29" s="1375">
        <v>0.2</v>
      </c>
      <c r="BJ29" s="1369">
        <v>1.2</v>
      </c>
      <c r="BK29" s="1362"/>
      <c r="BN29" s="1379">
        <f t="shared" si="3"/>
        <v>63</v>
      </c>
      <c r="BO29" s="1382" t="str">
        <f t="shared" si="4"/>
        <v/>
      </c>
      <c r="BP29" s="1374"/>
      <c r="BQ29" s="165"/>
      <c r="BR29" s="165"/>
      <c r="BS29" s="615"/>
      <c r="BT29" s="615"/>
      <c r="BU29" s="922"/>
      <c r="BV29" s="615"/>
      <c r="BW29" s="615"/>
    </row>
    <row r="30" spans="2:75" ht="12.75" customHeight="1">
      <c r="B30" s="589" t="s">
        <v>456</v>
      </c>
      <c r="C30" s="1406">
        <v>1.3</v>
      </c>
      <c r="H30" s="605"/>
      <c r="I30" s="638"/>
      <c r="J30" s="638"/>
      <c r="K30" s="638"/>
      <c r="L30" s="537"/>
      <c r="X30" s="778">
        <v>63</v>
      </c>
      <c r="Y30" s="595">
        <f t="shared" si="0"/>
        <v>112.61011442398274</v>
      </c>
      <c r="Z30" s="47" t="str">
        <f t="shared" si="1"/>
        <v>3Ø</v>
      </c>
      <c r="AA30" s="48" t="str">
        <f t="shared" si="5"/>
        <v>Υ/Δ</v>
      </c>
      <c r="AB30" s="595">
        <f t="shared" si="2"/>
        <v>281.52528605995684</v>
      </c>
      <c r="AC30" s="779">
        <v>200</v>
      </c>
      <c r="AG30" s="753" t="s">
        <v>1373</v>
      </c>
      <c r="AH30" s="601">
        <f>IF(AH22="-","-",VLOOKUP(AH22,X6:AC39,6,FALSE))</f>
        <v>20</v>
      </c>
      <c r="AI30" s="253" t="s">
        <v>1246</v>
      </c>
      <c r="AJ30" s="604"/>
      <c r="AT30" s="615"/>
      <c r="AU30" s="615"/>
      <c r="AV30" s="615"/>
      <c r="AW30" s="615"/>
      <c r="AX30" s="615"/>
      <c r="AY30" s="615"/>
      <c r="AZ30" s="615"/>
      <c r="BA30" s="615"/>
      <c r="BD30" s="1363"/>
      <c r="BE30" s="1363"/>
      <c r="BF30" s="1363"/>
      <c r="BG30" s="1363"/>
      <c r="BH30" s="1363"/>
      <c r="BI30" s="1375">
        <v>0.3</v>
      </c>
      <c r="BJ30" s="1369">
        <v>1.3</v>
      </c>
      <c r="BK30" s="1362"/>
      <c r="BN30" s="1379">
        <f t="shared" si="3"/>
        <v>75</v>
      </c>
      <c r="BO30" s="1382" t="str">
        <f t="shared" si="4"/>
        <v/>
      </c>
      <c r="BP30" s="1374"/>
      <c r="BQ30" s="165"/>
      <c r="BR30" s="165"/>
    </row>
    <row r="31" spans="2:75" ht="13">
      <c r="X31" s="780">
        <v>75</v>
      </c>
      <c r="Y31" s="595">
        <f t="shared" si="0"/>
        <v>134.05966002855087</v>
      </c>
      <c r="Z31" s="47" t="str">
        <f t="shared" si="1"/>
        <v>3Ø</v>
      </c>
      <c r="AA31" s="48" t="str">
        <f t="shared" si="5"/>
        <v>Υ/Δ</v>
      </c>
      <c r="AB31" s="595">
        <f t="shared" si="2"/>
        <v>335.14915007137716</v>
      </c>
      <c r="AC31" s="779">
        <v>250</v>
      </c>
      <c r="AG31" s="605"/>
      <c r="AH31" s="638"/>
      <c r="AI31" s="638"/>
      <c r="AJ31" s="537"/>
      <c r="AT31" s="615"/>
      <c r="AU31" s="615"/>
      <c r="AV31" s="615"/>
      <c r="AW31" s="914"/>
      <c r="AX31" s="914"/>
      <c r="AY31" s="914"/>
      <c r="AZ31" s="914"/>
      <c r="BA31" s="914"/>
      <c r="BD31" s="1363"/>
      <c r="BE31" s="1363"/>
      <c r="BF31" s="1363"/>
      <c r="BG31" s="1363"/>
      <c r="BH31" s="1363"/>
      <c r="BI31" s="1375">
        <v>0.4</v>
      </c>
      <c r="BJ31" s="1369">
        <v>1.4</v>
      </c>
      <c r="BK31" s="1362"/>
      <c r="BN31" s="1379">
        <f t="shared" si="3"/>
        <v>90</v>
      </c>
      <c r="BO31" s="1382" t="str">
        <f t="shared" si="4"/>
        <v/>
      </c>
      <c r="BP31" s="1374"/>
      <c r="BQ31" s="165"/>
      <c r="BR31" s="165"/>
    </row>
    <row r="32" spans="2:75" ht="13">
      <c r="B32" s="2096" t="s">
        <v>170</v>
      </c>
      <c r="C32" s="2096"/>
      <c r="D32" s="2096"/>
      <c r="E32" s="2096"/>
      <c r="F32" s="2096"/>
      <c r="H32" s="798" t="s">
        <v>441</v>
      </c>
      <c r="J32" s="774" t="str">
        <f>IF(J16="-","-",J29+J16)</f>
        <v>-</v>
      </c>
      <c r="K32" s="799" t="s">
        <v>9</v>
      </c>
      <c r="X32" s="780">
        <v>90</v>
      </c>
      <c r="Y32" s="595">
        <f t="shared" si="0"/>
        <v>160.87159203426108</v>
      </c>
      <c r="Z32" s="47" t="str">
        <f t="shared" si="1"/>
        <v>3Ø</v>
      </c>
      <c r="AA32" s="48" t="str">
        <f t="shared" si="5"/>
        <v>Υ/Δ</v>
      </c>
      <c r="AB32" s="595">
        <f t="shared" si="2"/>
        <v>402.17898008565271</v>
      </c>
      <c r="AC32" s="779">
        <v>250</v>
      </c>
      <c r="AT32" s="615"/>
      <c r="AU32" s="615"/>
      <c r="AV32" s="615"/>
      <c r="AW32" s="615"/>
      <c r="AX32" s="615"/>
      <c r="AY32" s="615"/>
      <c r="AZ32" s="615"/>
      <c r="BA32" s="615"/>
      <c r="BD32" s="1363"/>
      <c r="BE32" s="1363"/>
      <c r="BF32" s="1363"/>
      <c r="BG32" s="1363"/>
      <c r="BH32" s="1363"/>
      <c r="BI32" s="1375">
        <v>0.5</v>
      </c>
      <c r="BJ32" s="1369">
        <v>1.5</v>
      </c>
      <c r="BK32" s="1362"/>
      <c r="BN32" s="1379">
        <f t="shared" si="3"/>
        <v>110</v>
      </c>
      <c r="BO32" s="1382" t="str">
        <f t="shared" si="4"/>
        <v/>
      </c>
      <c r="BP32" s="1374"/>
      <c r="BQ32" s="165"/>
      <c r="BR32" s="165"/>
    </row>
    <row r="33" spans="2:79" ht="13">
      <c r="B33" s="1416">
        <v>2.2000000000000002</v>
      </c>
      <c r="C33" s="2093" t="s">
        <v>1367</v>
      </c>
      <c r="D33" s="2093"/>
      <c r="E33" s="2093"/>
      <c r="F33" s="2093"/>
      <c r="X33" s="778">
        <v>110</v>
      </c>
      <c r="Y33" s="595">
        <f t="shared" si="0"/>
        <v>196.62083470854131</v>
      </c>
      <c r="Z33" s="47" t="str">
        <f t="shared" si="1"/>
        <v>3Ø</v>
      </c>
      <c r="AA33" s="48" t="str">
        <f t="shared" si="5"/>
        <v>Υ/Δ</v>
      </c>
      <c r="AB33" s="595">
        <f t="shared" si="2"/>
        <v>491.55208677135329</v>
      </c>
      <c r="AC33" s="779">
        <v>400</v>
      </c>
      <c r="AT33" s="615"/>
      <c r="AU33" s="615"/>
      <c r="AV33" s="615"/>
      <c r="AW33" s="615"/>
      <c r="AX33" s="615"/>
      <c r="AY33" s="615"/>
      <c r="AZ33" s="615"/>
      <c r="BA33" s="615"/>
      <c r="BD33" s="1363"/>
      <c r="BE33" s="1363"/>
      <c r="BF33" s="1363"/>
      <c r="BG33" s="1363"/>
      <c r="BH33" s="1363"/>
      <c r="BI33" s="1375">
        <v>0.6</v>
      </c>
      <c r="BJ33" s="1369">
        <v>1.6</v>
      </c>
      <c r="BK33" s="1362"/>
      <c r="BN33" s="1379">
        <f t="shared" si="3"/>
        <v>132</v>
      </c>
      <c r="BO33" s="1382" t="str">
        <f t="shared" si="4"/>
        <v/>
      </c>
      <c r="BP33" s="1374"/>
      <c r="BQ33" s="165"/>
      <c r="BR33" s="165"/>
    </row>
    <row r="34" spans="2:79" ht="13">
      <c r="B34" s="1416">
        <v>2.5</v>
      </c>
      <c r="C34" s="2093" t="s">
        <v>1368</v>
      </c>
      <c r="D34" s="2093"/>
      <c r="E34" s="2093"/>
      <c r="F34" s="2093"/>
      <c r="I34" s="798"/>
      <c r="X34" s="778">
        <v>132</v>
      </c>
      <c r="Y34" s="595">
        <f t="shared" si="0"/>
        <v>235.94500165024954</v>
      </c>
      <c r="Z34" s="47" t="str">
        <f t="shared" si="1"/>
        <v>3Ø</v>
      </c>
      <c r="AA34" s="48" t="str">
        <f t="shared" si="5"/>
        <v>Υ/Δ</v>
      </c>
      <c r="AB34" s="595">
        <f t="shared" si="2"/>
        <v>589.8625041256239</v>
      </c>
      <c r="AC34" s="779">
        <v>630</v>
      </c>
      <c r="AT34" s="615"/>
      <c r="AU34" s="615"/>
      <c r="AV34" s="615"/>
      <c r="AW34" s="615"/>
      <c r="AX34" s="615"/>
      <c r="AY34" s="615"/>
      <c r="AZ34" s="615"/>
      <c r="BA34" s="615"/>
      <c r="BD34" s="1363"/>
      <c r="BE34" s="1363"/>
      <c r="BF34" s="1363"/>
      <c r="BG34" s="1363"/>
      <c r="BH34" s="1363"/>
      <c r="BI34" s="1375">
        <v>0.7</v>
      </c>
      <c r="BJ34" s="1369">
        <v>1.7</v>
      </c>
      <c r="BK34" s="1362"/>
      <c r="BN34" s="1379">
        <f t="shared" si="3"/>
        <v>160</v>
      </c>
      <c r="BO34" s="1382" t="str">
        <f t="shared" si="4"/>
        <v/>
      </c>
      <c r="BP34" s="1374"/>
      <c r="BQ34" s="165"/>
      <c r="BR34" s="165"/>
    </row>
    <row r="35" spans="2:79" ht="13">
      <c r="B35" s="1416">
        <v>3</v>
      </c>
      <c r="C35" s="2093" t="s">
        <v>1369</v>
      </c>
      <c r="D35" s="2093"/>
      <c r="E35" s="2093"/>
      <c r="F35" s="2093"/>
      <c r="X35" s="778">
        <v>160</v>
      </c>
      <c r="Y35" s="595">
        <f t="shared" si="0"/>
        <v>285.99394139424186</v>
      </c>
      <c r="Z35" s="47" t="str">
        <f t="shared" si="1"/>
        <v>3Ø</v>
      </c>
      <c r="AA35" s="48" t="str">
        <f t="shared" si="5"/>
        <v>Auto-Tx</v>
      </c>
      <c r="AB35" s="595">
        <f t="shared" si="2"/>
        <v>428.99091209136282</v>
      </c>
      <c r="AC35" s="779">
        <v>630</v>
      </c>
      <c r="AT35" s="615"/>
      <c r="AU35" s="615"/>
      <c r="AV35" s="615"/>
      <c r="AW35" s="615"/>
      <c r="AX35" s="615"/>
      <c r="AY35" s="615"/>
      <c r="AZ35" s="615"/>
      <c r="BA35" s="615"/>
      <c r="BD35" s="1363"/>
      <c r="BE35" s="1363"/>
      <c r="BF35" s="1363"/>
      <c r="BG35" s="1363"/>
      <c r="BH35" s="1363"/>
      <c r="BI35" s="1375">
        <v>0.8</v>
      </c>
      <c r="BJ35" s="1369">
        <v>1.8</v>
      </c>
      <c r="BK35" s="1362"/>
      <c r="BL35" s="1365"/>
      <c r="BN35" s="1379">
        <f t="shared" si="3"/>
        <v>185</v>
      </c>
      <c r="BO35" s="1382" t="str">
        <f t="shared" si="4"/>
        <v/>
      </c>
      <c r="BP35" s="1363"/>
    </row>
    <row r="36" spans="2:79" ht="12.75" customHeight="1">
      <c r="B36" s="1416">
        <v>160</v>
      </c>
      <c r="C36" s="2093" t="s">
        <v>1370</v>
      </c>
      <c r="D36" s="2093"/>
      <c r="E36" s="2093"/>
      <c r="F36" s="2093"/>
      <c r="X36" s="778">
        <v>185</v>
      </c>
      <c r="Y36" s="595">
        <f t="shared" si="0"/>
        <v>330.6804947370922</v>
      </c>
      <c r="Z36" s="47" t="str">
        <f t="shared" si="1"/>
        <v>3Ø</v>
      </c>
      <c r="AA36" s="48" t="str">
        <f t="shared" si="5"/>
        <v>Auto-Tx</v>
      </c>
      <c r="AB36" s="595">
        <f t="shared" si="2"/>
        <v>496.02074210563831</v>
      </c>
      <c r="AC36" s="779">
        <v>630</v>
      </c>
      <c r="AT36" s="615"/>
      <c r="AU36" s="615"/>
      <c r="AV36" s="615"/>
      <c r="AW36" s="615"/>
      <c r="AX36" s="615"/>
      <c r="AY36" s="615"/>
      <c r="AZ36" s="615"/>
      <c r="BA36" s="615"/>
      <c r="BD36" s="1363"/>
      <c r="BE36" s="1363"/>
      <c r="BF36" s="1363"/>
      <c r="BG36" s="1363"/>
      <c r="BH36" s="1363"/>
      <c r="BI36" s="1375">
        <v>0.9</v>
      </c>
      <c r="BJ36" s="1369">
        <v>1.9</v>
      </c>
      <c r="BK36" s="1362"/>
      <c r="BL36" s="1366"/>
      <c r="BN36" s="1379">
        <f t="shared" si="3"/>
        <v>200</v>
      </c>
      <c r="BO36" s="1382" t="str">
        <f t="shared" si="4"/>
        <v/>
      </c>
      <c r="BP36" s="1363"/>
      <c r="BW36" s="541"/>
      <c r="BX36" s="269"/>
      <c r="BY36" s="269"/>
      <c r="BZ36" s="269"/>
      <c r="CA36" s="269"/>
    </row>
    <row r="37" spans="2:79" ht="13">
      <c r="X37" s="778">
        <v>200</v>
      </c>
      <c r="Y37" s="595">
        <f t="shared" si="0"/>
        <v>357.49242674280242</v>
      </c>
      <c r="Z37" s="47" t="str">
        <f t="shared" si="1"/>
        <v>3Ø</v>
      </c>
      <c r="AA37" s="48" t="str">
        <f t="shared" si="5"/>
        <v>Auto-Tx</v>
      </c>
      <c r="AB37" s="595">
        <f t="shared" si="2"/>
        <v>536.23864011420369</v>
      </c>
      <c r="AC37" s="779">
        <v>630</v>
      </c>
      <c r="AT37" s="615"/>
      <c r="AU37" s="615"/>
      <c r="AV37" s="615"/>
      <c r="AW37" s="615"/>
      <c r="AX37" s="615"/>
      <c r="AY37" s="615"/>
      <c r="AZ37" s="615"/>
      <c r="BA37" s="615"/>
      <c r="BD37" s="1363"/>
      <c r="BE37" s="1363"/>
      <c r="BF37" s="1363"/>
      <c r="BG37" s="1363"/>
      <c r="BH37" s="1363"/>
      <c r="BI37" s="1375">
        <v>1</v>
      </c>
      <c r="BJ37" s="1369">
        <v>2</v>
      </c>
      <c r="BK37" s="1362"/>
      <c r="BN37" s="1379">
        <f t="shared" si="3"/>
        <v>225</v>
      </c>
      <c r="BO37" s="1382" t="str">
        <f t="shared" si="4"/>
        <v/>
      </c>
      <c r="BP37" s="1363"/>
      <c r="BS37" s="1361"/>
      <c r="BT37" s="1361"/>
      <c r="BU37" s="1361"/>
      <c r="BV37" s="615"/>
      <c r="BW37" s="541"/>
      <c r="BX37" s="269"/>
      <c r="BY37" s="269"/>
      <c r="BZ37" s="269"/>
      <c r="CA37" s="269"/>
    </row>
    <row r="38" spans="2:79" ht="12.75" customHeight="1">
      <c r="Q38" s="253"/>
      <c r="X38" s="778">
        <v>225</v>
      </c>
      <c r="Y38" s="595">
        <f t="shared" si="0"/>
        <v>402.17898008565265</v>
      </c>
      <c r="Z38" s="47" t="str">
        <f t="shared" si="1"/>
        <v>3Ø</v>
      </c>
      <c r="AA38" s="48" t="str">
        <f t="shared" si="5"/>
        <v>Auto-Tx</v>
      </c>
      <c r="AB38" s="595">
        <f t="shared" si="2"/>
        <v>603.26847012847895</v>
      </c>
      <c r="AC38" s="779">
        <v>630</v>
      </c>
      <c r="AT38" s="615"/>
      <c r="AU38" s="615"/>
      <c r="AV38" s="615"/>
      <c r="AW38" s="615"/>
      <c r="AX38" s="615"/>
      <c r="AY38" s="615"/>
      <c r="AZ38" s="615"/>
      <c r="BA38" s="615"/>
      <c r="BD38" s="1363"/>
      <c r="BE38" s="1363"/>
      <c r="BF38" s="1363"/>
      <c r="BG38" s="1363"/>
      <c r="BH38" s="1363"/>
      <c r="BK38" s="1362"/>
      <c r="BN38" s="1380">
        <f t="shared" si="3"/>
        <v>315</v>
      </c>
      <c r="BO38" s="1383" t="str">
        <f t="shared" si="4"/>
        <v/>
      </c>
      <c r="BP38" s="1363"/>
      <c r="BS38" s="1361"/>
      <c r="BT38" s="1361"/>
      <c r="BU38" s="1361"/>
      <c r="BV38" s="615"/>
      <c r="BW38" s="541"/>
      <c r="BX38" s="269"/>
      <c r="BY38" s="269"/>
      <c r="BZ38" s="269"/>
      <c r="CA38" s="269"/>
    </row>
    <row r="39" spans="2:79" ht="13">
      <c r="G39" s="788"/>
      <c r="Q39" s="163"/>
      <c r="X39" s="781">
        <v>315</v>
      </c>
      <c r="Y39" s="782">
        <f t="shared" si="0"/>
        <v>563.05057211991368</v>
      </c>
      <c r="Z39" s="783" t="str">
        <f t="shared" si="1"/>
        <v>3Ø</v>
      </c>
      <c r="AA39" s="784" t="str">
        <f t="shared" si="5"/>
        <v>Auto-Tx</v>
      </c>
      <c r="AB39" s="782">
        <f t="shared" si="2"/>
        <v>844.57585817987047</v>
      </c>
      <c r="AC39" s="785">
        <v>1000</v>
      </c>
      <c r="AT39" s="615"/>
      <c r="AU39" s="615"/>
      <c r="AV39" s="615"/>
      <c r="AW39" s="615"/>
      <c r="AX39" s="615"/>
      <c r="AY39" s="615"/>
      <c r="AZ39" s="615"/>
      <c r="BA39" s="615"/>
      <c r="BD39" s="1363"/>
      <c r="BE39" s="1363"/>
      <c r="BF39" s="1366">
        <f>IF(AX5&gt;0,1,0)</f>
        <v>0</v>
      </c>
      <c r="BG39" s="1363"/>
      <c r="BH39" s="1363"/>
      <c r="BI39" s="1365" t="str">
        <f>AX5&amp;"-"&amp;AX6</f>
        <v>-</v>
      </c>
      <c r="BK39" s="1362"/>
      <c r="BS39" s="1361"/>
      <c r="BT39" s="615"/>
      <c r="BU39" s="1361"/>
      <c r="BV39" s="615"/>
      <c r="BW39" s="541"/>
      <c r="BX39" s="269"/>
      <c r="BY39" s="269"/>
      <c r="BZ39" s="269"/>
      <c r="CA39" s="269"/>
    </row>
    <row r="40" spans="2:79" ht="13">
      <c r="Q40" s="256"/>
      <c r="AT40" s="615"/>
      <c r="AU40" s="615"/>
      <c r="AV40" s="615"/>
      <c r="AW40" s="615"/>
      <c r="AX40" s="615"/>
      <c r="AY40" s="615"/>
      <c r="AZ40" s="615"/>
      <c r="BA40" s="615"/>
      <c r="BD40" s="1366"/>
      <c r="BE40" s="1366"/>
      <c r="BF40" s="1366">
        <f>IF(AX6&gt;0,1,0)</f>
        <v>0</v>
      </c>
      <c r="BG40" s="1366"/>
      <c r="BH40" s="1366"/>
      <c r="BI40" s="1366" t="str">
        <f>IF(AX5=BI44,"嚴寒","n/a")</f>
        <v>n/a</v>
      </c>
      <c r="BJ40" s="1366"/>
      <c r="BK40" s="1362"/>
      <c r="BS40" s="1361"/>
      <c r="BT40" s="615"/>
      <c r="BU40" s="1361"/>
      <c r="BV40" s="1361"/>
      <c r="BW40" s="541"/>
      <c r="BX40" s="269"/>
      <c r="BY40" s="269"/>
      <c r="BZ40" s="269"/>
      <c r="CA40" s="269"/>
    </row>
    <row r="41" spans="2:79">
      <c r="N41" s="253"/>
      <c r="O41" s="253"/>
      <c r="P41" s="253"/>
      <c r="Q41" s="253"/>
      <c r="AT41" s="615"/>
      <c r="AU41" s="615"/>
      <c r="AV41" s="615"/>
      <c r="AW41" s="615"/>
      <c r="AX41" s="615"/>
      <c r="AY41" s="615"/>
      <c r="AZ41" s="615"/>
      <c r="BA41" s="615"/>
      <c r="BD41" s="1366"/>
      <c r="BE41" s="1366"/>
      <c r="BF41" s="1366"/>
      <c r="BG41" s="1366"/>
      <c r="BH41" s="1366"/>
      <c r="BI41" s="1366" t="str">
        <f>IF(AX5=BI44,"寒冷/夏熱冬冷","n/a")</f>
        <v>n/a</v>
      </c>
      <c r="BJ41" s="1366"/>
      <c r="BK41" s="1362"/>
    </row>
    <row r="42" spans="2:79">
      <c r="AT42" s="615"/>
      <c r="AU42" s="615"/>
      <c r="AV42" s="615"/>
      <c r="AW42" s="615"/>
      <c r="AX42" s="615"/>
      <c r="AY42" s="615"/>
      <c r="AZ42" s="615"/>
      <c r="BA42" s="615"/>
      <c r="BD42" s="1366"/>
      <c r="BE42" s="1366"/>
      <c r="BF42" s="1366"/>
      <c r="BG42" s="1366"/>
      <c r="BH42" s="1366"/>
      <c r="BI42" s="1366" t="str">
        <f>IF(AX5=BI44,"夏熱冬暖","n/a")</f>
        <v>n/a</v>
      </c>
      <c r="BJ42" s="1366"/>
      <c r="BK42" s="1362"/>
    </row>
    <row r="43" spans="2:79">
      <c r="AT43" s="615"/>
      <c r="AU43" s="615"/>
      <c r="AV43" s="615"/>
      <c r="AW43" s="615"/>
      <c r="AX43" s="615"/>
      <c r="AY43" s="615"/>
      <c r="AZ43" s="615"/>
      <c r="BA43" s="615"/>
      <c r="BD43" s="1366"/>
      <c r="BE43" s="1366"/>
      <c r="BF43" s="1366"/>
      <c r="BG43" s="1366"/>
      <c r="BH43" s="1366"/>
      <c r="BI43" s="1366"/>
      <c r="BJ43" s="1366"/>
      <c r="BK43" s="1362"/>
      <c r="BW43" s="541"/>
      <c r="BX43" s="269"/>
      <c r="BY43" s="269"/>
    </row>
    <row r="44" spans="2:79">
      <c r="AT44" s="615"/>
      <c r="AU44" s="615"/>
      <c r="AV44" s="615"/>
      <c r="AW44" s="615"/>
      <c r="AX44" s="615"/>
      <c r="AY44" s="615"/>
      <c r="AZ44" s="615"/>
      <c r="BA44" s="615"/>
      <c r="BD44" s="1366"/>
      <c r="BE44" s="1366"/>
      <c r="BF44" s="1366"/>
      <c r="BG44" s="1366"/>
      <c r="BH44" s="1366"/>
      <c r="BI44" s="1366" t="s">
        <v>726</v>
      </c>
      <c r="BJ44" s="1366"/>
      <c r="BK44" s="1362"/>
      <c r="BW44" s="541"/>
      <c r="BX44" s="269"/>
      <c r="BY44" s="269"/>
    </row>
    <row r="45" spans="2:79">
      <c r="AT45" s="615"/>
      <c r="AU45" s="615"/>
      <c r="AV45" s="615"/>
      <c r="AW45" s="615"/>
      <c r="AX45" s="615"/>
      <c r="AY45" s="615"/>
      <c r="AZ45" s="615"/>
      <c r="BA45" s="615"/>
      <c r="BD45" s="1366"/>
      <c r="BE45" s="1366"/>
      <c r="BF45" s="1366"/>
      <c r="BG45" s="1366"/>
      <c r="BH45" s="1366"/>
      <c r="BI45" s="1366" t="s">
        <v>727</v>
      </c>
      <c r="BJ45" s="1366"/>
      <c r="BK45" s="1362"/>
      <c r="BW45" s="541"/>
      <c r="BX45" s="269"/>
      <c r="BY45" s="269"/>
    </row>
    <row r="46" spans="2:79">
      <c r="AT46" s="615"/>
      <c r="AU46" s="615"/>
      <c r="AV46" s="615"/>
      <c r="AW46" s="615"/>
      <c r="AX46" s="615"/>
      <c r="AY46" s="615"/>
      <c r="AZ46" s="615"/>
      <c r="BA46" s="615"/>
      <c r="BD46" s="1366"/>
      <c r="BE46" s="1366"/>
      <c r="BF46" s="1366"/>
      <c r="BG46" s="1366"/>
      <c r="BH46" s="1366"/>
      <c r="BI46" s="1366" t="s">
        <v>728</v>
      </c>
      <c r="BJ46" s="1366"/>
      <c r="BK46" s="1362"/>
    </row>
    <row r="47" spans="2:79">
      <c r="AL47" s="570"/>
      <c r="AM47" s="570"/>
      <c r="AN47" s="570"/>
      <c r="AR47" s="570"/>
      <c r="AS47" s="570"/>
      <c r="AT47" s="615"/>
      <c r="AU47" s="615"/>
      <c r="AV47" s="615"/>
      <c r="AW47" s="615"/>
      <c r="AX47" s="615"/>
      <c r="AY47" s="615"/>
      <c r="AZ47" s="615"/>
      <c r="BA47" s="615"/>
      <c r="BD47" s="1366"/>
      <c r="BE47" s="1366"/>
      <c r="BF47" s="1366"/>
      <c r="BG47" s="1366"/>
      <c r="BH47" s="1366"/>
      <c r="BI47" s="1366"/>
      <c r="BJ47" s="1366"/>
      <c r="BK47" s="1362"/>
    </row>
    <row r="48" spans="2:79">
      <c r="AT48" s="615"/>
      <c r="AU48" s="615"/>
      <c r="AV48" s="615"/>
      <c r="AW48" s="615"/>
      <c r="AX48" s="615"/>
      <c r="AY48" s="615"/>
      <c r="AZ48" s="615"/>
      <c r="BA48" s="615"/>
      <c r="BD48" s="1366"/>
      <c r="BE48" s="1366"/>
      <c r="BF48" s="1366"/>
      <c r="BG48" s="1366"/>
      <c r="BH48" s="1366"/>
      <c r="BI48" s="1376" t="s">
        <v>729</v>
      </c>
      <c r="BJ48" s="1366">
        <v>5.77E-3</v>
      </c>
      <c r="BK48" s="1362"/>
    </row>
    <row r="49" spans="10:76">
      <c r="AT49" s="615"/>
      <c r="AU49" s="615"/>
      <c r="AV49" s="615"/>
      <c r="AW49" s="615"/>
      <c r="AX49" s="615"/>
      <c r="AY49" s="615"/>
      <c r="AZ49" s="615"/>
      <c r="BA49" s="615"/>
      <c r="BD49" s="1366"/>
      <c r="BE49" s="1366"/>
      <c r="BF49" s="1366"/>
      <c r="BG49" s="1366"/>
      <c r="BH49" s="1366"/>
      <c r="BI49" s="1376" t="s">
        <v>730</v>
      </c>
      <c r="BJ49" s="1366">
        <v>4.3299999999999996E-3</v>
      </c>
      <c r="BK49" s="1362"/>
    </row>
    <row r="50" spans="10:76" ht="13">
      <c r="J50" s="771"/>
      <c r="K50" s="771"/>
      <c r="L50" s="771"/>
      <c r="AT50" s="615"/>
      <c r="AU50" s="615"/>
      <c r="AV50" s="615"/>
      <c r="AW50" s="615"/>
      <c r="AX50" s="615"/>
      <c r="AY50" s="615"/>
      <c r="AZ50" s="615"/>
      <c r="BA50" s="615"/>
      <c r="BD50" s="1366"/>
      <c r="BE50" s="1366"/>
      <c r="BF50" s="1366"/>
      <c r="BG50" s="1366"/>
      <c r="BH50" s="1366"/>
      <c r="BI50" s="1376" t="s">
        <v>731</v>
      </c>
      <c r="BJ50" s="1366">
        <v>8.6499999999999997E-3</v>
      </c>
      <c r="BK50" s="1362"/>
    </row>
    <row r="51" spans="10:76">
      <c r="AT51" s="615"/>
      <c r="AU51" s="615"/>
      <c r="AV51" s="615"/>
      <c r="AW51" s="615"/>
      <c r="AX51" s="615"/>
      <c r="AY51" s="615"/>
      <c r="AZ51" s="615"/>
      <c r="BA51" s="615"/>
      <c r="BD51" s="1366"/>
      <c r="BE51" s="1366"/>
      <c r="BF51" s="1366"/>
      <c r="BG51" s="1366"/>
      <c r="BH51" s="1366"/>
      <c r="BI51" s="1376" t="s">
        <v>732</v>
      </c>
      <c r="BJ51" s="1366">
        <v>6.7299999999999999E-3</v>
      </c>
      <c r="BK51" s="1362"/>
    </row>
    <row r="52" spans="10:76">
      <c r="AT52" s="615"/>
      <c r="AU52" s="615"/>
      <c r="AV52" s="615"/>
      <c r="AW52" s="615"/>
      <c r="AX52" s="615"/>
      <c r="AY52" s="615"/>
      <c r="AZ52" s="615"/>
      <c r="BA52" s="615"/>
      <c r="BD52" s="1366"/>
      <c r="BE52" s="1366"/>
      <c r="BF52" s="1366"/>
      <c r="BG52" s="1366"/>
      <c r="BH52" s="1366"/>
      <c r="BI52" s="1376" t="s">
        <v>733</v>
      </c>
      <c r="BJ52" s="1366">
        <v>2.41E-2</v>
      </c>
      <c r="BK52" s="1362"/>
      <c r="BX52" s="914"/>
    </row>
    <row r="53" spans="10:76">
      <c r="AW53" s="615"/>
      <c r="AX53" s="615"/>
      <c r="AY53" s="615"/>
      <c r="AZ53" s="615"/>
      <c r="BA53" s="615"/>
    </row>
    <row r="54" spans="10:76">
      <c r="AW54" s="615"/>
      <c r="AX54" s="615"/>
      <c r="AY54" s="615"/>
      <c r="AZ54" s="615"/>
      <c r="BA54" s="615"/>
    </row>
    <row r="55" spans="10:76">
      <c r="AW55" s="615"/>
      <c r="AX55" s="615"/>
      <c r="AY55" s="615"/>
      <c r="AZ55" s="615"/>
      <c r="BA55" s="615"/>
    </row>
    <row r="74" spans="55:56">
      <c r="BC74" s="1365"/>
      <c r="BD74" s="1365"/>
    </row>
  </sheetData>
  <sheetProtection password="DFE4" sheet="1" objects="1" scenarios="1" formatColumns="0" selectLockedCells="1"/>
  <protectedRanges>
    <protectedRange sqref="AM11 BI14 AH12:AH13 AH18:AH19 C22:C24 AG17 AM15" name="範圍1"/>
    <protectedRange sqref="AY11:AY13" name="範圍1_2"/>
    <protectedRange sqref="BW36 BX37 BY38 BZ39 CA40" name="範圍1_1_1"/>
    <protectedRange sqref="BG23 BD21:BE21 BF22 BD20" name="範圍1_1_2"/>
    <protectedRange sqref="BV40 BT37:BT38 BS37:BS40 BF23 BU37:BU40 BF20:BF21 BD22:BD23 BE20" name="範圍1_1_3"/>
  </protectedRanges>
  <mergeCells count="33">
    <mergeCell ref="AW18:AZ18"/>
    <mergeCell ref="AW9:AZ10"/>
    <mergeCell ref="AX5:AY5"/>
    <mergeCell ref="AX6:AY6"/>
    <mergeCell ref="AX7:AY7"/>
    <mergeCell ref="AQ2:AU2"/>
    <mergeCell ref="AQ3:AU4"/>
    <mergeCell ref="AL2:AO2"/>
    <mergeCell ref="AG2:AJ2"/>
    <mergeCell ref="AG3:AJ4"/>
    <mergeCell ref="AL3:AO4"/>
    <mergeCell ref="X2:AC2"/>
    <mergeCell ref="AA4:AB4"/>
    <mergeCell ref="H29:I29"/>
    <mergeCell ref="H16:I16"/>
    <mergeCell ref="B2:D2"/>
    <mergeCell ref="H14:I14"/>
    <mergeCell ref="N2:Q2"/>
    <mergeCell ref="H4:L4"/>
    <mergeCell ref="H19:L19"/>
    <mergeCell ref="S2:V2"/>
    <mergeCell ref="H2:L2"/>
    <mergeCell ref="Y4:Z4"/>
    <mergeCell ref="C35:F35"/>
    <mergeCell ref="C36:F36"/>
    <mergeCell ref="B17:C17"/>
    <mergeCell ref="E2:F2"/>
    <mergeCell ref="C34:F34"/>
    <mergeCell ref="B32:F32"/>
    <mergeCell ref="B21:C21"/>
    <mergeCell ref="B26:C26"/>
    <mergeCell ref="C33:F33"/>
    <mergeCell ref="B9:E9"/>
  </mergeCells>
  <phoneticPr fontId="4" type="noConversion"/>
  <conditionalFormatting sqref="X6:X39">
    <cfRule type="cellIs" dxfId="34" priority="1" operator="equal">
      <formula>$AM$18</formula>
    </cfRule>
    <cfRule type="cellIs" dxfId="33" priority="2" operator="equal">
      <formula>$AH$22</formula>
    </cfRule>
  </conditionalFormatting>
  <dataValidations xWindow="643" yWindow="421" count="12">
    <dataValidation allowBlank="1" showErrorMessage="1" promptTitle="Reminder" prompt="+ Internal static for AHU/PAU" sqref="AH12:AH13" xr:uid="{00000000-0002-0000-1300-000000000000}"/>
    <dataValidation type="list" allowBlank="1" showInputMessage="1" showErrorMessage="1" sqref="C18" xr:uid="{00000000-0002-0000-1300-000001000000}">
      <formula1>$BN$1:$BN$3</formula1>
    </dataValidation>
    <dataValidation type="list" allowBlank="1" showInputMessage="1" showErrorMessage="1" sqref="AI6" xr:uid="{00000000-0002-0000-1300-000002000000}">
      <formula1>$AI$7:$AI$10</formula1>
    </dataValidation>
    <dataValidation type="list" allowBlank="1" showErrorMessage="1" sqref="AN6" xr:uid="{00000000-0002-0000-1300-000003000000}">
      <formula1>$AN$7:$AN$9</formula1>
    </dataValidation>
    <dataValidation type="list" allowBlank="1" showInputMessage="1" showErrorMessage="1" sqref="AH27 AM23" xr:uid="{00000000-0002-0000-1300-000004000000}">
      <formula1>$BI$11:$BI$12</formula1>
    </dataValidation>
    <dataValidation type="list" allowBlank="1" showInputMessage="1" showErrorMessage="1" sqref="AR6" xr:uid="{00000000-0002-0000-1300-000005000000}">
      <formula1>$BI$17:$BI$18</formula1>
    </dataValidation>
    <dataValidation type="list" allowBlank="1" showInputMessage="1" sqref="J12 T10 O10" xr:uid="{00000000-0002-0000-1300-000006000000}">
      <formula1>$BE$7:$BE$17</formula1>
    </dataValidation>
    <dataValidation type="list" allowBlank="1" showInputMessage="1" sqref="AM15 AH19" xr:uid="{00000000-0002-0000-1300-000007000000}">
      <formula1>$BJ$27:$BJ$37</formula1>
    </dataValidation>
    <dataValidation type="list" allowBlank="1" showInputMessage="1" sqref="AM13 AH17" xr:uid="{00000000-0002-0000-1300-000008000000}">
      <formula1>$BI$28:$BI$37</formula1>
    </dataValidation>
    <dataValidation type="list" allowBlank="1" showInputMessage="1" showErrorMessage="1" sqref="AX5:AY5" xr:uid="{00000000-0002-0000-1300-000009000000}">
      <formula1>$BI$44:$BI$46</formula1>
    </dataValidation>
    <dataValidation type="list" allowBlank="1" showInputMessage="1" showErrorMessage="1" sqref="AX6:AY6" xr:uid="{00000000-0002-0000-1300-00000A000000}">
      <formula1>$BI$40:$BI$42</formula1>
    </dataValidation>
    <dataValidation type="list" allowBlank="1" showInputMessage="1" showErrorMessage="1" sqref="D11" xr:uid="{00000000-0002-0000-1300-00000B000000}">
      <formula1>$D$12:$D$15</formula1>
    </dataValidation>
  </dataValidations>
  <pageMargins left="0.75" right="0.75" top="1" bottom="1" header="0.5" footer="0.5"/>
  <pageSetup paperSize="9" fitToHeight="0" orientation="landscape" r:id="rId1"/>
  <headerFooter alignWithMargins="0">
    <oddFooter>&amp;R&amp;8Developed by Benjamin Leung</oddFooter>
  </headerFooter>
  <rowBreaks count="1" manualBreakCount="1">
    <brk id="37" min="1" max="63" man="1"/>
  </rowBreaks>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autoFill="0" autoPict="0" macro="[0]!Motor_reset">
                <anchor moveWithCells="1" sizeWithCells="1">
                  <from>
                    <xdr:col>5</xdr:col>
                    <xdr:colOff>400050</xdr:colOff>
                    <xdr:row>11</xdr:row>
                    <xdr:rowOff>69850</xdr:rowOff>
                  </from>
                  <to>
                    <xdr:col>5</xdr:col>
                    <xdr:colOff>1181100</xdr:colOff>
                    <xdr:row>13</xdr:row>
                    <xdr:rowOff>31750</xdr:rowOff>
                  </to>
                </anchor>
              </controlPr>
            </control>
          </mc:Choice>
        </mc:AlternateContent>
        <mc:AlternateContent xmlns:mc="http://schemas.openxmlformats.org/markup-compatibility/2006">
          <mc:Choice Requires="x14">
            <control shapeId="17418" r:id="rId5" name="Button 10">
              <controlPr defaultSize="0" autoFill="0" autoPict="0" macro="[0]!Home">
                <anchor moveWithCells="1">
                  <from>
                    <xdr:col>5</xdr:col>
                    <xdr:colOff>400050</xdr:colOff>
                    <xdr:row>8</xdr:row>
                    <xdr:rowOff>152400</xdr:rowOff>
                  </from>
                  <to>
                    <xdr:col>5</xdr:col>
                    <xdr:colOff>1181100</xdr:colOff>
                    <xdr:row>10</xdr:row>
                    <xdr:rowOff>152400</xdr:rowOff>
                  </to>
                </anchor>
              </controlPr>
            </control>
          </mc:Choice>
        </mc:AlternateContent>
        <mc:AlternateContent xmlns:mc="http://schemas.openxmlformats.org/markup-compatibility/2006">
          <mc:Choice Requires="x14">
            <control shapeId="17855" r:id="rId6" name="Option Button 447">
              <controlPr defaultSize="0" autoFill="0" autoLine="0" autoPict="0" macro="[0]!Motor_Rating">
                <anchor moveWithCells="1">
                  <from>
                    <xdr:col>4</xdr:col>
                    <xdr:colOff>0</xdr:colOff>
                    <xdr:row>2</xdr:row>
                    <xdr:rowOff>19050</xdr:rowOff>
                  </from>
                  <to>
                    <xdr:col>5</xdr:col>
                    <xdr:colOff>666750</xdr:colOff>
                    <xdr:row>3</xdr:row>
                    <xdr:rowOff>0</xdr:rowOff>
                  </to>
                </anchor>
              </controlPr>
            </control>
          </mc:Choice>
        </mc:AlternateContent>
        <mc:AlternateContent xmlns:mc="http://schemas.openxmlformats.org/markup-compatibility/2006">
          <mc:Choice Requires="x14">
            <control shapeId="17856" r:id="rId7" name="Option Button 448">
              <controlPr defaultSize="0" autoFill="0" autoLine="0" autoPict="0" macro="[0]!Motor_Fan">
                <anchor moveWithCells="1">
                  <from>
                    <xdr:col>4</xdr:col>
                    <xdr:colOff>0</xdr:colOff>
                    <xdr:row>3</xdr:row>
                    <xdr:rowOff>31750</xdr:rowOff>
                  </from>
                  <to>
                    <xdr:col>5</xdr:col>
                    <xdr:colOff>717550</xdr:colOff>
                    <xdr:row>4</xdr:row>
                    <xdr:rowOff>0</xdr:rowOff>
                  </to>
                </anchor>
              </controlPr>
            </control>
          </mc:Choice>
        </mc:AlternateContent>
        <mc:AlternateContent xmlns:mc="http://schemas.openxmlformats.org/markup-compatibility/2006">
          <mc:Choice Requires="x14">
            <control shapeId="17859" r:id="rId8" name="Option Button 451">
              <controlPr defaultSize="0" autoFill="0" autoLine="0" autoPict="0" macro="[0]!motor_conver">
                <anchor moveWithCells="1">
                  <from>
                    <xdr:col>4</xdr:col>
                    <xdr:colOff>0</xdr:colOff>
                    <xdr:row>5</xdr:row>
                    <xdr:rowOff>12700</xdr:rowOff>
                  </from>
                  <to>
                    <xdr:col>31</xdr:col>
                    <xdr:colOff>190500</xdr:colOff>
                    <xdr:row>6</xdr:row>
                    <xdr:rowOff>12700</xdr:rowOff>
                  </to>
                </anchor>
              </controlPr>
            </control>
          </mc:Choice>
        </mc:AlternateContent>
        <mc:AlternateContent xmlns:mc="http://schemas.openxmlformats.org/markup-compatibility/2006">
          <mc:Choice Requires="x14">
            <control shapeId="17860" r:id="rId9" name="Option Button 452">
              <controlPr defaultSize="0" autoFill="0" autoLine="0" autoPict="0" macro="[0]!Motor_Pump">
                <anchor moveWithCells="1">
                  <from>
                    <xdr:col>4</xdr:col>
                    <xdr:colOff>0</xdr:colOff>
                    <xdr:row>4</xdr:row>
                    <xdr:rowOff>31750</xdr:rowOff>
                  </from>
                  <to>
                    <xdr:col>5</xdr:col>
                    <xdr:colOff>717550</xdr:colOff>
                    <xdr:row>5</xdr:row>
                    <xdr:rowOff>0</xdr:rowOff>
                  </to>
                </anchor>
              </controlPr>
            </control>
          </mc:Choice>
        </mc:AlternateContent>
        <mc:AlternateContent xmlns:mc="http://schemas.openxmlformats.org/markup-compatibility/2006">
          <mc:Choice Requires="x14">
            <control shapeId="17862" r:id="rId10" name="Button 454">
              <controlPr defaultSize="0" autoFill="0" autoPict="0" macro="[0]!Motor_fan_clear">
                <anchor moveWithCells="1" sizeWithCells="1">
                  <from>
                    <xdr:col>33</xdr:col>
                    <xdr:colOff>342900</xdr:colOff>
                    <xdr:row>31</xdr:row>
                    <xdr:rowOff>76200</xdr:rowOff>
                  </from>
                  <to>
                    <xdr:col>35</xdr:col>
                    <xdr:colOff>50800</xdr:colOff>
                    <xdr:row>32</xdr:row>
                    <xdr:rowOff>146050</xdr:rowOff>
                  </to>
                </anchor>
              </controlPr>
            </control>
          </mc:Choice>
        </mc:AlternateContent>
        <mc:AlternateContent xmlns:mc="http://schemas.openxmlformats.org/markup-compatibility/2006">
          <mc:Choice Requires="x14">
            <control shapeId="17865" r:id="rId11" name="Button 457">
              <controlPr defaultSize="0" autoFill="0" autoPict="0" macro="[0]!motor_pump_clear">
                <anchor moveWithCells="1" sizeWithCells="1">
                  <from>
                    <xdr:col>38</xdr:col>
                    <xdr:colOff>431800</xdr:colOff>
                    <xdr:row>27</xdr:row>
                    <xdr:rowOff>88900</xdr:rowOff>
                  </from>
                  <to>
                    <xdr:col>40</xdr:col>
                    <xdr:colOff>76200</xdr:colOff>
                    <xdr:row>28</xdr:row>
                    <xdr:rowOff>152400</xdr:rowOff>
                  </to>
                </anchor>
              </controlPr>
            </control>
          </mc:Choice>
        </mc:AlternateContent>
        <mc:AlternateContent xmlns:mc="http://schemas.openxmlformats.org/markup-compatibility/2006">
          <mc:Choice Requires="x14">
            <control shapeId="17867" r:id="rId12" name="Button 459">
              <controlPr defaultSize="0" autoFill="0" autoPict="0" macro="[0]!motor_conver_clear">
                <anchor moveWithCells="1" sizeWithCells="1">
                  <from>
                    <xdr:col>44</xdr:col>
                    <xdr:colOff>209550</xdr:colOff>
                    <xdr:row>9</xdr:row>
                    <xdr:rowOff>95250</xdr:rowOff>
                  </from>
                  <to>
                    <xdr:col>45</xdr:col>
                    <xdr:colOff>222250</xdr:colOff>
                    <xdr:row>11</xdr:row>
                    <xdr:rowOff>0</xdr:rowOff>
                  </to>
                </anchor>
              </controlPr>
            </control>
          </mc:Choice>
        </mc:AlternateContent>
        <mc:AlternateContent xmlns:mc="http://schemas.openxmlformats.org/markup-compatibility/2006">
          <mc:Choice Requires="x14">
            <control shapeId="17869" r:id="rId13" name="Check Box 461">
              <controlPr defaultSize="0" autoFill="0" autoLine="0" autoPict="0">
                <anchor moveWithCells="1" sizeWithCells="1">
                  <from>
                    <xdr:col>7</xdr:col>
                    <xdr:colOff>342900</xdr:colOff>
                    <xdr:row>5</xdr:row>
                    <xdr:rowOff>152400</xdr:rowOff>
                  </from>
                  <to>
                    <xdr:col>8</xdr:col>
                    <xdr:colOff>0</xdr:colOff>
                    <xdr:row>7</xdr:row>
                    <xdr:rowOff>12700</xdr:rowOff>
                  </to>
                </anchor>
              </controlPr>
            </control>
          </mc:Choice>
        </mc:AlternateContent>
        <mc:AlternateContent xmlns:mc="http://schemas.openxmlformats.org/markup-compatibility/2006">
          <mc:Choice Requires="x14">
            <control shapeId="17870" r:id="rId14" name="Check Box 462">
              <controlPr defaultSize="0" autoFill="0" autoLine="0" autoPict="0">
                <anchor moveWithCells="1" sizeWithCells="1">
                  <from>
                    <xdr:col>7</xdr:col>
                    <xdr:colOff>469900</xdr:colOff>
                    <xdr:row>20</xdr:row>
                    <xdr:rowOff>146050</xdr:rowOff>
                  </from>
                  <to>
                    <xdr:col>8</xdr:col>
                    <xdr:colOff>0</xdr:colOff>
                    <xdr:row>22</xdr:row>
                    <xdr:rowOff>19050</xdr:rowOff>
                  </to>
                </anchor>
              </controlPr>
            </control>
          </mc:Choice>
        </mc:AlternateContent>
        <mc:AlternateContent xmlns:mc="http://schemas.openxmlformats.org/markup-compatibility/2006">
          <mc:Choice Requires="x14">
            <control shapeId="17871" r:id="rId15" name="Check Box 463">
              <controlPr defaultSize="0" autoFill="0" autoLine="0" autoPict="0">
                <anchor moveWithCells="1" sizeWithCells="1">
                  <from>
                    <xdr:col>7</xdr:col>
                    <xdr:colOff>469900</xdr:colOff>
                    <xdr:row>22</xdr:row>
                    <xdr:rowOff>0</xdr:rowOff>
                  </from>
                  <to>
                    <xdr:col>8</xdr:col>
                    <xdr:colOff>0</xdr:colOff>
                    <xdr:row>23</xdr:row>
                    <xdr:rowOff>38100</xdr:rowOff>
                  </to>
                </anchor>
              </controlPr>
            </control>
          </mc:Choice>
        </mc:AlternateContent>
        <mc:AlternateContent xmlns:mc="http://schemas.openxmlformats.org/markup-compatibility/2006">
          <mc:Choice Requires="x14">
            <control shapeId="17872" r:id="rId16" name="Check Box 464">
              <controlPr defaultSize="0" autoFill="0" autoLine="0" autoPict="0">
                <anchor moveWithCells="1" sizeWithCells="1">
                  <from>
                    <xdr:col>7</xdr:col>
                    <xdr:colOff>469900</xdr:colOff>
                    <xdr:row>23</xdr:row>
                    <xdr:rowOff>0</xdr:rowOff>
                  </from>
                  <to>
                    <xdr:col>8</xdr:col>
                    <xdr:colOff>0</xdr:colOff>
                    <xdr:row>24</xdr:row>
                    <xdr:rowOff>38100</xdr:rowOff>
                  </to>
                </anchor>
              </controlPr>
            </control>
          </mc:Choice>
        </mc:AlternateContent>
        <mc:AlternateContent xmlns:mc="http://schemas.openxmlformats.org/markup-compatibility/2006">
          <mc:Choice Requires="x14">
            <control shapeId="17873" r:id="rId17" name="Check Box 465">
              <controlPr defaultSize="0" autoFill="0" autoLine="0" autoPict="0">
                <anchor moveWithCells="1" sizeWithCells="1">
                  <from>
                    <xdr:col>7</xdr:col>
                    <xdr:colOff>469900</xdr:colOff>
                    <xdr:row>24</xdr:row>
                    <xdr:rowOff>0</xdr:rowOff>
                  </from>
                  <to>
                    <xdr:col>8</xdr:col>
                    <xdr:colOff>0</xdr:colOff>
                    <xdr:row>25</xdr:row>
                    <xdr:rowOff>38100</xdr:rowOff>
                  </to>
                </anchor>
              </controlPr>
            </control>
          </mc:Choice>
        </mc:AlternateContent>
        <mc:AlternateContent xmlns:mc="http://schemas.openxmlformats.org/markup-compatibility/2006">
          <mc:Choice Requires="x14">
            <control shapeId="17874" r:id="rId18" name="Check Box 466">
              <controlPr defaultSize="0" autoFill="0" autoLine="0" autoPict="0">
                <anchor moveWithCells="1" sizeWithCells="1">
                  <from>
                    <xdr:col>7</xdr:col>
                    <xdr:colOff>469900</xdr:colOff>
                    <xdr:row>25</xdr:row>
                    <xdr:rowOff>0</xdr:rowOff>
                  </from>
                  <to>
                    <xdr:col>8</xdr:col>
                    <xdr:colOff>0</xdr:colOff>
                    <xdr:row>26</xdr:row>
                    <xdr:rowOff>38100</xdr:rowOff>
                  </to>
                </anchor>
              </controlPr>
            </control>
          </mc:Choice>
        </mc:AlternateContent>
        <mc:AlternateContent xmlns:mc="http://schemas.openxmlformats.org/markup-compatibility/2006">
          <mc:Choice Requires="x14">
            <control shapeId="17875" r:id="rId19" name="Check Box 467">
              <controlPr defaultSize="0" autoFill="0" autoLine="0" autoPict="0">
                <anchor moveWithCells="1" sizeWithCells="1">
                  <from>
                    <xdr:col>7</xdr:col>
                    <xdr:colOff>469900</xdr:colOff>
                    <xdr:row>26</xdr:row>
                    <xdr:rowOff>0</xdr:rowOff>
                  </from>
                  <to>
                    <xdr:col>8</xdr:col>
                    <xdr:colOff>0</xdr:colOff>
                    <xdr:row>27</xdr:row>
                    <xdr:rowOff>38100</xdr:rowOff>
                  </to>
                </anchor>
              </controlPr>
            </control>
          </mc:Choice>
        </mc:AlternateContent>
        <mc:AlternateContent xmlns:mc="http://schemas.openxmlformats.org/markup-compatibility/2006">
          <mc:Choice Requires="x14">
            <control shapeId="17876" r:id="rId20" name="Check Box 468">
              <controlPr defaultSize="0" autoFill="0" autoLine="0" autoPict="0">
                <anchor moveWithCells="1" sizeWithCells="1">
                  <from>
                    <xdr:col>7</xdr:col>
                    <xdr:colOff>342900</xdr:colOff>
                    <xdr:row>6</xdr:row>
                    <xdr:rowOff>165100</xdr:rowOff>
                  </from>
                  <to>
                    <xdr:col>8</xdr:col>
                    <xdr:colOff>0</xdr:colOff>
                    <xdr:row>8</xdr:row>
                    <xdr:rowOff>19050</xdr:rowOff>
                  </to>
                </anchor>
              </controlPr>
            </control>
          </mc:Choice>
        </mc:AlternateContent>
        <mc:AlternateContent xmlns:mc="http://schemas.openxmlformats.org/markup-compatibility/2006">
          <mc:Choice Requires="x14">
            <control shapeId="17878" r:id="rId21" name="Check Box 470">
              <controlPr defaultSize="0" autoFill="0" autoLine="0" autoPict="0">
                <anchor moveWithCells="1" sizeWithCells="1">
                  <from>
                    <xdr:col>7</xdr:col>
                    <xdr:colOff>342900</xdr:colOff>
                    <xdr:row>8</xdr:row>
                    <xdr:rowOff>31750</xdr:rowOff>
                  </from>
                  <to>
                    <xdr:col>8</xdr:col>
                    <xdr:colOff>0</xdr:colOff>
                    <xdr:row>9</xdr:row>
                    <xdr:rowOff>19050</xdr:rowOff>
                  </to>
                </anchor>
              </controlPr>
            </control>
          </mc:Choice>
        </mc:AlternateContent>
        <mc:AlternateContent xmlns:mc="http://schemas.openxmlformats.org/markup-compatibility/2006">
          <mc:Choice Requires="x14">
            <control shapeId="17879" r:id="rId22" name="Option Button 471">
              <controlPr defaultSize="0" autoFill="0" autoLine="0" autoPict="0" macro="[0]!static_fan">
                <anchor moveWithCells="1">
                  <from>
                    <xdr:col>1</xdr:col>
                    <xdr:colOff>0</xdr:colOff>
                    <xdr:row>1</xdr:row>
                    <xdr:rowOff>152400</xdr:rowOff>
                  </from>
                  <to>
                    <xdr:col>3</xdr:col>
                    <xdr:colOff>127000</xdr:colOff>
                    <xdr:row>3</xdr:row>
                    <xdr:rowOff>57150</xdr:rowOff>
                  </to>
                </anchor>
              </controlPr>
            </control>
          </mc:Choice>
        </mc:AlternateContent>
        <mc:AlternateContent xmlns:mc="http://schemas.openxmlformats.org/markup-compatibility/2006">
          <mc:Choice Requires="x14">
            <control shapeId="17880" r:id="rId23" name="Option Button 472">
              <controlPr defaultSize="0" autoFill="0" autoLine="0" autoPict="0" macro="[0]!static_closeloop">
                <anchor moveWithCells="1">
                  <from>
                    <xdr:col>1</xdr:col>
                    <xdr:colOff>0</xdr:colOff>
                    <xdr:row>2</xdr:row>
                    <xdr:rowOff>133350</xdr:rowOff>
                  </from>
                  <to>
                    <xdr:col>3</xdr:col>
                    <xdr:colOff>165100</xdr:colOff>
                    <xdr:row>4</xdr:row>
                    <xdr:rowOff>57150</xdr:rowOff>
                  </to>
                </anchor>
              </controlPr>
            </control>
          </mc:Choice>
        </mc:AlternateContent>
        <mc:AlternateContent xmlns:mc="http://schemas.openxmlformats.org/markup-compatibility/2006">
          <mc:Choice Requires="x14">
            <control shapeId="17881" r:id="rId24" name="Option Button 473">
              <controlPr defaultSize="0" autoFill="0" autoLine="0" autoPict="0" macro="[0]!static_openloop">
                <anchor moveWithCells="1">
                  <from>
                    <xdr:col>1</xdr:col>
                    <xdr:colOff>0</xdr:colOff>
                    <xdr:row>3</xdr:row>
                    <xdr:rowOff>133350</xdr:rowOff>
                  </from>
                  <to>
                    <xdr:col>3</xdr:col>
                    <xdr:colOff>146050</xdr:colOff>
                    <xdr:row>5</xdr:row>
                    <xdr:rowOff>57150</xdr:rowOff>
                  </to>
                </anchor>
              </controlPr>
            </control>
          </mc:Choice>
        </mc:AlternateContent>
        <mc:AlternateContent xmlns:mc="http://schemas.openxmlformats.org/markup-compatibility/2006">
          <mc:Choice Requires="x14">
            <control shapeId="17882" r:id="rId25" name="Button 474">
              <controlPr defaultSize="0" autoFill="0" autoPict="0" macro="[0]!Static_closeloop_reset">
                <anchor moveWithCells="1" sizeWithCells="1">
                  <from>
                    <xdr:col>14</xdr:col>
                    <xdr:colOff>298450</xdr:colOff>
                    <xdr:row>19</xdr:row>
                    <xdr:rowOff>76200</xdr:rowOff>
                  </from>
                  <to>
                    <xdr:col>16</xdr:col>
                    <xdr:colOff>57150</xdr:colOff>
                    <xdr:row>20</xdr:row>
                    <xdr:rowOff>146050</xdr:rowOff>
                  </to>
                </anchor>
              </controlPr>
            </control>
          </mc:Choice>
        </mc:AlternateContent>
        <mc:AlternateContent xmlns:mc="http://schemas.openxmlformats.org/markup-compatibility/2006">
          <mc:Choice Requires="x14">
            <control shapeId="17883" r:id="rId26" name="Button 475">
              <controlPr defaultSize="0" autoFill="0" autoPict="0" macro="[0]!static_openloop_reset">
                <anchor moveWithCells="1" sizeWithCells="1">
                  <from>
                    <xdr:col>19</xdr:col>
                    <xdr:colOff>450850</xdr:colOff>
                    <xdr:row>22</xdr:row>
                    <xdr:rowOff>95250</xdr:rowOff>
                  </from>
                  <to>
                    <xdr:col>21</xdr:col>
                    <xdr:colOff>88900</xdr:colOff>
                    <xdr:row>24</xdr:row>
                    <xdr:rowOff>0</xdr:rowOff>
                  </to>
                </anchor>
              </controlPr>
            </control>
          </mc:Choice>
        </mc:AlternateContent>
        <mc:AlternateContent xmlns:mc="http://schemas.openxmlformats.org/markup-compatibility/2006">
          <mc:Choice Requires="x14">
            <control shapeId="17884" r:id="rId27" name="Button 476">
              <controlPr defaultSize="0" autoFill="0" autoPict="0" macro="[0]!static_fan_clear">
                <anchor moveWithCells="1" sizeWithCells="1">
                  <from>
                    <xdr:col>7</xdr:col>
                    <xdr:colOff>31750</xdr:colOff>
                    <xdr:row>32</xdr:row>
                    <xdr:rowOff>50800</xdr:rowOff>
                  </from>
                  <to>
                    <xdr:col>7</xdr:col>
                    <xdr:colOff>622300</xdr:colOff>
                    <xdr:row>33</xdr:row>
                    <xdr:rowOff>114300</xdr:rowOff>
                  </to>
                </anchor>
              </controlPr>
            </control>
          </mc:Choice>
        </mc:AlternateContent>
        <mc:AlternateContent xmlns:mc="http://schemas.openxmlformats.org/markup-compatibility/2006">
          <mc:Choice Requires="x14">
            <control shapeId="17885" r:id="rId28" name="Option Button 477">
              <controlPr defaultSize="0" autoFill="0" autoLine="0" autoPict="0" macro="[0]!Motor_ER">
                <anchor moveWithCells="1">
                  <from>
                    <xdr:col>4</xdr:col>
                    <xdr:colOff>0</xdr:colOff>
                    <xdr:row>6</xdr:row>
                    <xdr:rowOff>12700</xdr:rowOff>
                  </from>
                  <to>
                    <xdr:col>5</xdr:col>
                    <xdr:colOff>1257300</xdr:colOff>
                    <xdr:row>7</xdr:row>
                    <xdr:rowOff>0</xdr:rowOff>
                  </to>
                </anchor>
              </controlPr>
            </control>
          </mc:Choice>
        </mc:AlternateContent>
        <mc:AlternateContent xmlns:mc="http://schemas.openxmlformats.org/markup-compatibility/2006">
          <mc:Choice Requires="x14">
            <control shapeId="17886" r:id="rId29" name="Button 478">
              <controlPr defaultSize="0" autoFill="0" autoPict="0" macro="[0]!Motor_ER_clear">
                <anchor moveWithCells="1" sizeWithCells="1">
                  <from>
                    <xdr:col>50</xdr:col>
                    <xdr:colOff>95250</xdr:colOff>
                    <xdr:row>18</xdr:row>
                    <xdr:rowOff>146050</xdr:rowOff>
                  </from>
                  <to>
                    <xdr:col>51</xdr:col>
                    <xdr:colOff>190500</xdr:colOff>
                    <xdr:row>20</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8">
    <tabColor theme="6" tint="0.39997558519241921"/>
    <pageSetUpPr fitToPage="1"/>
  </sheetPr>
  <dimension ref="A2:AD33"/>
  <sheetViews>
    <sheetView showGridLines="0" showRowColHeaders="0" zoomScaleNormal="100" workbookViewId="0"/>
  </sheetViews>
  <sheetFormatPr defaultColWidth="9.1796875" defaultRowHeight="13"/>
  <cols>
    <col min="1" max="1" width="2.7265625" style="1144" customWidth="1"/>
    <col min="2" max="2" width="24.54296875" style="13" bestFit="1" customWidth="1"/>
    <col min="3" max="3" width="3.7265625" style="13" customWidth="1"/>
    <col min="4" max="4" width="37.54296875" style="12" customWidth="1"/>
    <col min="5" max="5" width="5.1796875" style="12" customWidth="1"/>
    <col min="6" max="6" width="6.7265625" style="13" customWidth="1"/>
    <col min="7" max="7" width="5.7265625" style="12" customWidth="1"/>
    <col min="8" max="8" width="0.81640625" style="13" customWidth="1"/>
    <col min="9" max="9" width="3.7265625" style="13" hidden="1" customWidth="1"/>
    <col min="10" max="10" width="37.54296875" style="13" hidden="1" customWidth="1"/>
    <col min="11" max="11" width="5.1796875" style="13" hidden="1" customWidth="1"/>
    <col min="12" max="12" width="6.7265625" style="13" hidden="1" customWidth="1"/>
    <col min="13" max="13" width="5.7265625" style="13" hidden="1" customWidth="1"/>
    <col min="14" max="14" width="0.81640625" style="13" hidden="1" customWidth="1"/>
    <col min="15" max="15" width="3.7265625" style="13" hidden="1" customWidth="1"/>
    <col min="16" max="16" width="28.453125" style="13" hidden="1" customWidth="1"/>
    <col min="17" max="17" width="5.1796875" style="13" hidden="1" customWidth="1"/>
    <col min="18" max="18" width="6.7265625" style="13" hidden="1" customWidth="1"/>
    <col min="19" max="19" width="5.7265625" style="13" hidden="1" customWidth="1"/>
    <col min="20" max="20" width="0.81640625" style="13" hidden="1" customWidth="1"/>
    <col min="21" max="21" width="3.7265625" style="13" customWidth="1"/>
    <col min="22" max="22" width="3.1796875" style="13" customWidth="1"/>
    <col min="23" max="23" width="28.453125" style="13" customWidth="1"/>
    <col min="24" max="24" width="12.81640625" style="13" customWidth="1"/>
    <col min="25" max="25" width="3.7265625" style="13" customWidth="1"/>
    <col min="26" max="27" width="9.1796875" style="13"/>
    <col min="28" max="28" width="3.1796875" style="13" bestFit="1" customWidth="1"/>
    <col min="29" max="29" width="28.453125" style="13" bestFit="1" customWidth="1"/>
    <col min="30" max="16384" width="9.1796875" style="13"/>
  </cols>
  <sheetData>
    <row r="2" spans="2:30">
      <c r="B2" s="1168" t="s">
        <v>1672</v>
      </c>
      <c r="D2" s="1145" t="s">
        <v>209</v>
      </c>
      <c r="E2" s="1146"/>
      <c r="F2" s="1146"/>
      <c r="G2" s="1146"/>
      <c r="H2" s="1145"/>
      <c r="J2" s="1145" t="s">
        <v>210</v>
      </c>
      <c r="K2" s="1147"/>
      <c r="L2" s="1148"/>
      <c r="M2" s="1147"/>
      <c r="N2" s="1148"/>
      <c r="P2" s="1145" t="s">
        <v>221</v>
      </c>
      <c r="Q2" s="1147"/>
      <c r="R2" s="1148"/>
      <c r="S2" s="1147"/>
      <c r="T2" s="1148"/>
    </row>
    <row r="3" spans="2:30" ht="15.75" customHeight="1">
      <c r="B3" s="1169">
        <v>1</v>
      </c>
      <c r="D3" s="2115" t="s">
        <v>1674</v>
      </c>
      <c r="E3" s="1170"/>
      <c r="F3" s="1170"/>
      <c r="G3" s="1170"/>
      <c r="H3" s="1170"/>
      <c r="J3" s="2115" t="s">
        <v>1675</v>
      </c>
      <c r="K3" s="1170"/>
      <c r="L3" s="1170"/>
      <c r="M3" s="1170"/>
      <c r="N3" s="1170"/>
      <c r="P3" s="2115" t="s">
        <v>1676</v>
      </c>
      <c r="Q3" s="2115"/>
      <c r="R3" s="2115"/>
      <c r="S3" s="2115"/>
      <c r="T3" s="1170"/>
    </row>
    <row r="4" spans="2:30">
      <c r="B4" s="1149"/>
      <c r="D4" s="2116"/>
      <c r="E4" s="1171"/>
      <c r="F4" s="1171"/>
      <c r="G4" s="1171"/>
      <c r="H4" s="1171"/>
      <c r="J4" s="2116"/>
      <c r="K4" s="1171"/>
      <c r="L4" s="1171"/>
      <c r="M4" s="1171"/>
      <c r="N4" s="1171"/>
      <c r="P4" s="2116"/>
      <c r="Q4" s="2116"/>
      <c r="R4" s="2116"/>
      <c r="S4" s="2116"/>
      <c r="T4" s="1171"/>
      <c r="AC4" s="1150"/>
    </row>
    <row r="5" spans="2:30" ht="15">
      <c r="B5" s="1151"/>
      <c r="D5" s="1152"/>
      <c r="E5" s="1153"/>
      <c r="F5" s="1154"/>
      <c r="G5" s="1153"/>
      <c r="H5" s="1155"/>
      <c r="J5" s="1152"/>
      <c r="K5" s="1153"/>
      <c r="L5" s="1154"/>
      <c r="M5" s="1153"/>
      <c r="N5" s="1155"/>
      <c r="P5" s="1152"/>
      <c r="Q5" s="1153"/>
      <c r="R5" s="1154"/>
      <c r="S5" s="1153"/>
      <c r="T5" s="1155"/>
      <c r="V5" s="1156" t="s">
        <v>1673</v>
      </c>
      <c r="W5" s="1157" t="s">
        <v>213</v>
      </c>
    </row>
    <row r="6" spans="2:30" ht="15.5">
      <c r="D6" s="946" t="s">
        <v>210</v>
      </c>
      <c r="E6" s="12" t="s">
        <v>211</v>
      </c>
      <c r="F6" s="1419"/>
      <c r="G6" s="12" t="s">
        <v>212</v>
      </c>
      <c r="H6" s="1158"/>
      <c r="J6" s="946" t="s">
        <v>220</v>
      </c>
      <c r="K6" s="12" t="s">
        <v>228</v>
      </c>
      <c r="L6" s="1420"/>
      <c r="M6" s="12" t="s">
        <v>212</v>
      </c>
      <c r="N6" s="1158"/>
      <c r="P6" s="946" t="s">
        <v>222</v>
      </c>
      <c r="Q6" s="13" t="s">
        <v>229</v>
      </c>
      <c r="R6" s="1420"/>
      <c r="S6" s="12" t="s">
        <v>212</v>
      </c>
      <c r="T6" s="1158"/>
      <c r="V6" s="1159">
        <v>1</v>
      </c>
      <c r="W6" s="1160" t="s">
        <v>217</v>
      </c>
      <c r="X6" s="1161" t="s">
        <v>337</v>
      </c>
    </row>
    <row r="7" spans="2:30" ht="15.5">
      <c r="D7" s="946" t="s">
        <v>214</v>
      </c>
      <c r="E7" s="12" t="s">
        <v>215</v>
      </c>
      <c r="F7" s="1420"/>
      <c r="G7" s="12" t="s">
        <v>216</v>
      </c>
      <c r="H7" s="1158"/>
      <c r="J7" s="946" t="s">
        <v>214</v>
      </c>
      <c r="K7" s="12" t="s">
        <v>215</v>
      </c>
      <c r="L7" s="1420"/>
      <c r="M7" s="12" t="s">
        <v>216</v>
      </c>
      <c r="N7" s="1158"/>
      <c r="P7" s="946" t="s">
        <v>223</v>
      </c>
      <c r="Q7" s="13" t="s">
        <v>230</v>
      </c>
      <c r="R7" s="1420"/>
      <c r="S7" s="12" t="s">
        <v>212</v>
      </c>
      <c r="T7" s="1158"/>
      <c r="V7" s="1159">
        <v>2</v>
      </c>
      <c r="W7" s="1160" t="s">
        <v>218</v>
      </c>
      <c r="X7" s="1161" t="s">
        <v>336</v>
      </c>
    </row>
    <row r="8" spans="2:30" ht="15.5">
      <c r="D8" s="946" t="s">
        <v>235</v>
      </c>
      <c r="E8" s="12" t="s">
        <v>227</v>
      </c>
      <c r="F8" s="1420"/>
      <c r="H8" s="1158"/>
      <c r="J8" s="946" t="s">
        <v>235</v>
      </c>
      <c r="K8" s="12" t="s">
        <v>227</v>
      </c>
      <c r="L8" s="1421"/>
      <c r="M8" s="12"/>
      <c r="N8" s="1158"/>
      <c r="P8" s="946" t="s">
        <v>224</v>
      </c>
      <c r="Q8" s="13" t="s">
        <v>231</v>
      </c>
      <c r="R8" s="1420"/>
      <c r="S8" s="12" t="s">
        <v>212</v>
      </c>
      <c r="T8" s="1158"/>
      <c r="V8" s="1159">
        <v>4</v>
      </c>
      <c r="W8" s="1160" t="s">
        <v>219</v>
      </c>
      <c r="X8" s="1161" t="s">
        <v>334</v>
      </c>
    </row>
    <row r="9" spans="2:30" ht="15.5">
      <c r="D9" s="946"/>
      <c r="H9" s="1158"/>
      <c r="J9" s="946"/>
      <c r="K9" s="12"/>
      <c r="M9" s="12"/>
      <c r="N9" s="1158"/>
      <c r="P9" s="946" t="s">
        <v>225</v>
      </c>
      <c r="Q9" s="13" t="s">
        <v>232</v>
      </c>
      <c r="R9" s="1420"/>
      <c r="S9" s="12" t="s">
        <v>212</v>
      </c>
      <c r="T9" s="1158"/>
      <c r="V9" s="1159">
        <v>8</v>
      </c>
      <c r="W9" s="1160" t="s">
        <v>234</v>
      </c>
      <c r="X9" s="1161" t="s">
        <v>335</v>
      </c>
    </row>
    <row r="10" spans="2:30" ht="15.5">
      <c r="D10" s="946" t="s">
        <v>220</v>
      </c>
      <c r="E10" s="12" t="s">
        <v>228</v>
      </c>
      <c r="F10" s="1162" t="str">
        <f>IF(F6*F7*F8&gt;0,F6-10*LOG(4*PI()*(F7)^2)+10*LOG(F8),"-")</f>
        <v>-</v>
      </c>
      <c r="G10" s="12" t="s">
        <v>212</v>
      </c>
      <c r="H10" s="1158"/>
      <c r="J10" s="946" t="s">
        <v>210</v>
      </c>
      <c r="K10" s="1191" t="s">
        <v>211</v>
      </c>
      <c r="L10" s="1162" t="str">
        <f>IF(L6*L7*L8&gt;0,L6+10*LOG(4*PI()*(L7)^2)-10*LOG(L8),"-")</f>
        <v>-</v>
      </c>
      <c r="M10" s="13" t="s">
        <v>212</v>
      </c>
      <c r="N10" s="1158"/>
      <c r="P10" s="946"/>
      <c r="Q10" s="1163"/>
      <c r="R10" s="1162"/>
      <c r="T10" s="1158"/>
    </row>
    <row r="11" spans="2:30" ht="15.5">
      <c r="D11" s="1164"/>
      <c r="E11" s="1165"/>
      <c r="F11" s="1166"/>
      <c r="G11" s="1165"/>
      <c r="H11" s="1167"/>
      <c r="J11" s="1164"/>
      <c r="K11" s="1165"/>
      <c r="L11" s="1166"/>
      <c r="M11" s="1165"/>
      <c r="N11" s="1167"/>
      <c r="P11" s="946" t="s">
        <v>226</v>
      </c>
      <c r="Q11" s="13" t="s">
        <v>233</v>
      </c>
      <c r="R11" s="1162" t="str">
        <f>IF(R6&gt;0,10*LOG(10^(0.1*R6)+10^(0.1*R7)+10^(0.1*R8)+10^(0.1*R9),10),"-")</f>
        <v>-</v>
      </c>
      <c r="S11" s="13" t="s">
        <v>212</v>
      </c>
      <c r="T11" s="1158"/>
    </row>
    <row r="12" spans="2:30">
      <c r="D12" s="13"/>
      <c r="P12" s="1164"/>
      <c r="Q12" s="1166"/>
      <c r="R12" s="1166"/>
      <c r="S12" s="1166"/>
      <c r="T12" s="1167"/>
    </row>
    <row r="13" spans="2:30">
      <c r="D13" s="13"/>
    </row>
    <row r="14" spans="2:30">
      <c r="D14" s="13"/>
      <c r="E14" s="13"/>
      <c r="G14" s="13"/>
      <c r="AD14" s="12"/>
    </row>
    <row r="15" spans="2:30" ht="15.75" customHeight="1">
      <c r="D15" s="13"/>
      <c r="E15" s="13"/>
      <c r="G15" s="13"/>
      <c r="AD15" s="12"/>
    </row>
    <row r="16" spans="2:30">
      <c r="D16" s="13"/>
      <c r="E16" s="13"/>
      <c r="G16" s="13"/>
      <c r="AD16" s="12"/>
    </row>
    <row r="17" spans="1:30" ht="12.5">
      <c r="A17" s="13"/>
      <c r="D17" s="13"/>
      <c r="E17" s="13"/>
      <c r="G17" s="13"/>
      <c r="AD17" s="12"/>
    </row>
    <row r="18" spans="1:30">
      <c r="D18" s="13"/>
      <c r="E18" s="13"/>
      <c r="G18" s="13"/>
      <c r="AD18" s="12"/>
    </row>
    <row r="19" spans="1:30" ht="12.5">
      <c r="A19" s="13"/>
      <c r="D19" s="13"/>
      <c r="E19" s="13"/>
      <c r="G19" s="13"/>
      <c r="AD19" s="12"/>
    </row>
    <row r="20" spans="1:30" ht="12.5">
      <c r="A20" s="13"/>
      <c r="D20" s="13"/>
      <c r="E20" s="13"/>
      <c r="G20" s="13"/>
      <c r="AD20" s="12"/>
    </row>
    <row r="21" spans="1:30" ht="12.5">
      <c r="A21" s="13"/>
      <c r="D21" s="13"/>
      <c r="E21" s="13"/>
      <c r="G21" s="13"/>
      <c r="AD21" s="12"/>
    </row>
    <row r="22" spans="1:30" ht="12.5">
      <c r="A22" s="13"/>
      <c r="D22" s="13"/>
      <c r="E22" s="13"/>
      <c r="G22" s="13"/>
      <c r="AD22" s="12"/>
    </row>
    <row r="23" spans="1:30" ht="12.5">
      <c r="A23" s="13"/>
      <c r="D23" s="13"/>
      <c r="E23" s="13"/>
      <c r="G23" s="13"/>
      <c r="AD23" s="12"/>
    </row>
    <row r="24" spans="1:30">
      <c r="AD24" s="12"/>
    </row>
    <row r="25" spans="1:30" ht="12.5">
      <c r="A25" s="13"/>
      <c r="D25" s="13"/>
      <c r="AD25" s="12"/>
    </row>
    <row r="26" spans="1:30" ht="12.5">
      <c r="A26" s="13"/>
      <c r="D26" s="13"/>
      <c r="AD26" s="12"/>
    </row>
    <row r="27" spans="1:30">
      <c r="AD27" s="12"/>
    </row>
    <row r="28" spans="1:30">
      <c r="AD28" s="12"/>
    </row>
    <row r="29" spans="1:30">
      <c r="AD29" s="12"/>
    </row>
    <row r="30" spans="1:30">
      <c r="AD30" s="12"/>
    </row>
    <row r="31" spans="1:30">
      <c r="AD31" s="12"/>
    </row>
    <row r="32" spans="1:30">
      <c r="AD32" s="12"/>
    </row>
    <row r="33" spans="30:30">
      <c r="AD33" s="12"/>
    </row>
  </sheetData>
  <sheetProtection password="DFE4" sheet="1" objects="1" scenarios="1" formatColumns="0" selectLockedCells="1"/>
  <mergeCells count="3">
    <mergeCell ref="D3:D4"/>
    <mergeCell ref="J3:J4"/>
    <mergeCell ref="P3:S4"/>
  </mergeCells>
  <phoneticPr fontId="45" type="noConversion"/>
  <dataValidations count="1">
    <dataValidation type="list" allowBlank="1" showInputMessage="1" showErrorMessage="1" sqref="L8 F8" xr:uid="{00000000-0002-0000-1400-000000000000}">
      <formula1>$V$6:$V$9</formula1>
    </dataValidation>
  </dataValidations>
  <pageMargins left="0.75" right="0.75" top="1" bottom="1" header="0.5" footer="0.5"/>
  <pageSetup paperSize="9" scale="96"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autoFill="0" autoPict="0" macro="[0]!Home">
                <anchor moveWithCells="1">
                  <from>
                    <xdr:col>1</xdr:col>
                    <xdr:colOff>19050</xdr:colOff>
                    <xdr:row>6</xdr:row>
                    <xdr:rowOff>88900</xdr:rowOff>
                  </from>
                  <to>
                    <xdr:col>1</xdr:col>
                    <xdr:colOff>800100</xdr:colOff>
                    <xdr:row>8</xdr:row>
                    <xdr:rowOff>12700</xdr:rowOff>
                  </to>
                </anchor>
              </controlPr>
            </control>
          </mc:Choice>
        </mc:AlternateContent>
        <mc:AlternateContent xmlns:mc="http://schemas.openxmlformats.org/markup-compatibility/2006">
          <mc:Choice Requires="x14">
            <control shapeId="27650" r:id="rId5" name="Button 2">
              <controlPr defaultSize="0" autoFill="0" autoPict="0" macro="[0]!Sound_reset">
                <anchor moveWithCells="1">
                  <from>
                    <xdr:col>1</xdr:col>
                    <xdr:colOff>19050</xdr:colOff>
                    <xdr:row>8</xdr:row>
                    <xdr:rowOff>57150</xdr:rowOff>
                  </from>
                  <to>
                    <xdr:col>1</xdr:col>
                    <xdr:colOff>800100</xdr:colOff>
                    <xdr:row>9</xdr:row>
                    <xdr:rowOff>184150</xdr:rowOff>
                  </to>
                </anchor>
              </controlPr>
            </control>
          </mc:Choice>
        </mc:AlternateContent>
        <mc:AlternateContent xmlns:mc="http://schemas.openxmlformats.org/markup-compatibility/2006">
          <mc:Choice Requires="x14">
            <control shapeId="27653" r:id="rId6" name="Option Button 5">
              <controlPr defaultSize="0" autoFill="0" autoLine="0" autoPict="0" macro="[0]!Sound_SPL">
                <anchor moveWithCells="1">
                  <from>
                    <xdr:col>1</xdr:col>
                    <xdr:colOff>0</xdr:colOff>
                    <xdr:row>2</xdr:row>
                    <xdr:rowOff>0</xdr:rowOff>
                  </from>
                  <to>
                    <xdr:col>1</xdr:col>
                    <xdr:colOff>1346200</xdr:colOff>
                    <xdr:row>3</xdr:row>
                    <xdr:rowOff>19050</xdr:rowOff>
                  </to>
                </anchor>
              </controlPr>
            </control>
          </mc:Choice>
        </mc:AlternateContent>
        <mc:AlternateContent xmlns:mc="http://schemas.openxmlformats.org/markup-compatibility/2006">
          <mc:Choice Requires="x14">
            <control shapeId="27654" r:id="rId7" name="Option Button 6">
              <controlPr defaultSize="0" autoFill="0" autoLine="0" autoPict="0" macro="[0]!Sound_SWL">
                <anchor moveWithCells="1">
                  <from>
                    <xdr:col>1</xdr:col>
                    <xdr:colOff>0</xdr:colOff>
                    <xdr:row>2</xdr:row>
                    <xdr:rowOff>165100</xdr:rowOff>
                  </from>
                  <to>
                    <xdr:col>1</xdr:col>
                    <xdr:colOff>1346200</xdr:colOff>
                    <xdr:row>4</xdr:row>
                    <xdr:rowOff>19050</xdr:rowOff>
                  </to>
                </anchor>
              </controlPr>
            </control>
          </mc:Choice>
        </mc:AlternateContent>
        <mc:AlternateContent xmlns:mc="http://schemas.openxmlformats.org/markup-compatibility/2006">
          <mc:Choice Requires="x14">
            <control shapeId="27655" r:id="rId8" name="Option Button 7">
              <controlPr defaultSize="0" autoFill="0" autoLine="0" autoPict="0" macro="[0]!Sound_SLN">
                <anchor moveWithCells="1">
                  <from>
                    <xdr:col>1</xdr:col>
                    <xdr:colOff>0</xdr:colOff>
                    <xdr:row>3</xdr:row>
                    <xdr:rowOff>127000</xdr:rowOff>
                  </from>
                  <to>
                    <xdr:col>1</xdr:col>
                    <xdr:colOff>1346200</xdr:colOff>
                    <xdr:row>5</xdr:row>
                    <xdr:rowOff>0</xdr:rowOff>
                  </to>
                </anchor>
              </controlPr>
            </control>
          </mc:Choice>
        </mc:AlternateContent>
        <mc:AlternateContent xmlns:mc="http://schemas.openxmlformats.org/markup-compatibility/2006">
          <mc:Choice Requires="x14">
            <control shapeId="27656" r:id="rId9" name="Button 8">
              <controlPr defaultSize="0" autoFill="0" autoPict="0" macro="[0]!Sound_SPL_clear">
                <anchor moveWithCells="1" sizeWithCells="1">
                  <from>
                    <xdr:col>3</xdr:col>
                    <xdr:colOff>38100</xdr:colOff>
                    <xdr:row>11</xdr:row>
                    <xdr:rowOff>127000</xdr:rowOff>
                  </from>
                  <to>
                    <xdr:col>3</xdr:col>
                    <xdr:colOff>628650</xdr:colOff>
                    <xdr:row>13</xdr:row>
                    <xdr:rowOff>31750</xdr:rowOff>
                  </to>
                </anchor>
              </controlPr>
            </control>
          </mc:Choice>
        </mc:AlternateContent>
        <mc:AlternateContent xmlns:mc="http://schemas.openxmlformats.org/markup-compatibility/2006">
          <mc:Choice Requires="x14">
            <control shapeId="27657" r:id="rId10" name="Button 9">
              <controlPr defaultSize="0" autoFill="0" autoPict="0" macro="[0]!Sound_SWL_clear">
                <anchor moveWithCells="1" sizeWithCells="1">
                  <from>
                    <xdr:col>9</xdr:col>
                    <xdr:colOff>38100</xdr:colOff>
                    <xdr:row>12</xdr:row>
                    <xdr:rowOff>0</xdr:rowOff>
                  </from>
                  <to>
                    <xdr:col>9</xdr:col>
                    <xdr:colOff>628650</xdr:colOff>
                    <xdr:row>13</xdr:row>
                    <xdr:rowOff>69850</xdr:rowOff>
                  </to>
                </anchor>
              </controlPr>
            </control>
          </mc:Choice>
        </mc:AlternateContent>
        <mc:AlternateContent xmlns:mc="http://schemas.openxmlformats.org/markup-compatibility/2006">
          <mc:Choice Requires="x14">
            <control shapeId="27658" r:id="rId11" name="Button 10">
              <controlPr defaultSize="0" autoFill="0" autoPict="0" macro="[0]!Sound_SLN_clear">
                <anchor moveWithCells="1" sizeWithCells="1">
                  <from>
                    <xdr:col>15</xdr:col>
                    <xdr:colOff>38100</xdr:colOff>
                    <xdr:row>12</xdr:row>
                    <xdr:rowOff>127000</xdr:rowOff>
                  </from>
                  <to>
                    <xdr:col>15</xdr:col>
                    <xdr:colOff>628650</xdr:colOff>
                    <xdr:row>14</xdr:row>
                    <xdr:rowOff>31750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tabColor theme="7"/>
    <pageSetUpPr autoPageBreaks="0" fitToPage="1"/>
  </sheetPr>
  <dimension ref="B1:AV85"/>
  <sheetViews>
    <sheetView showGridLines="0" showRowColHeaders="0" zoomScaleNormal="100" workbookViewId="0"/>
  </sheetViews>
  <sheetFormatPr defaultColWidth="9.1796875" defaultRowHeight="12.5"/>
  <cols>
    <col min="1" max="1" width="2.7265625" style="45" customWidth="1"/>
    <col min="2" max="2" width="8.81640625" style="45" bestFit="1" customWidth="1"/>
    <col min="3" max="3" width="11.54296875" style="45" bestFit="1" customWidth="1"/>
    <col min="4" max="4" width="7.1796875" style="45" bestFit="1" customWidth="1"/>
    <col min="5" max="5" width="1.7265625" style="45" customWidth="1"/>
    <col min="6" max="6" width="3.7265625" style="45" customWidth="1"/>
    <col min="7" max="7" width="11.1796875" style="45" customWidth="1"/>
    <col min="8" max="8" width="8.54296875" style="45" customWidth="1"/>
    <col min="9" max="9" width="7.1796875" style="45" customWidth="1"/>
    <col min="10" max="10" width="1.7265625" style="45" customWidth="1"/>
    <col min="11" max="11" width="2.7265625" style="45" customWidth="1"/>
    <col min="12" max="12" width="3" style="45" customWidth="1"/>
    <col min="13" max="13" width="25.1796875" style="45" customWidth="1"/>
    <col min="14" max="14" width="11.1796875" style="45" customWidth="1"/>
    <col min="15" max="15" width="2.7265625" style="45" hidden="1" customWidth="1"/>
    <col min="16" max="16" width="9" style="45" hidden="1" customWidth="1"/>
    <col min="17" max="17" width="7.7265625" style="45" hidden="1" customWidth="1"/>
    <col min="18" max="18" width="6" style="45" hidden="1" customWidth="1"/>
    <col min="19" max="19" width="7.7265625" style="45" hidden="1" customWidth="1"/>
    <col min="20" max="20" width="5" style="45" hidden="1" customWidth="1"/>
    <col min="21" max="21" width="10" style="45" hidden="1" customWidth="1"/>
    <col min="22" max="22" width="7.26953125" style="45" hidden="1" customWidth="1"/>
    <col min="23" max="23" width="5.81640625" style="45" hidden="1" customWidth="1"/>
    <col min="24" max="24" width="6" style="45" hidden="1" customWidth="1"/>
    <col min="25" max="25" width="6.54296875" style="45" hidden="1" customWidth="1"/>
    <col min="26" max="26" width="2.7265625" style="45" hidden="1" customWidth="1"/>
    <col min="27" max="27" width="9.7265625" style="45" hidden="1" customWidth="1"/>
    <col min="28" max="28" width="10" style="45" hidden="1" customWidth="1"/>
    <col min="29" max="29" width="8.54296875" style="45" hidden="1" customWidth="1"/>
    <col min="30" max="30" width="6.1796875" style="45" hidden="1" customWidth="1"/>
    <col min="31" max="31" width="21" style="45" hidden="1" customWidth="1"/>
    <col min="32" max="32" width="2.7265625" style="45" hidden="1" customWidth="1"/>
    <col min="33" max="33" width="57.26953125" style="45" hidden="1" customWidth="1"/>
    <col min="34" max="34" width="2.7265625" style="45" hidden="1" customWidth="1"/>
    <col min="35" max="35" width="19.26953125" style="290" hidden="1" customWidth="1"/>
    <col min="36" max="36" width="6.453125" style="290" hidden="1" customWidth="1"/>
    <col min="37" max="37" width="7.453125" style="290" hidden="1" customWidth="1"/>
    <col min="38" max="38" width="6.54296875" style="290" hidden="1" customWidth="1"/>
    <col min="39" max="39" width="2.7265625" style="290" hidden="1" customWidth="1"/>
    <col min="40" max="40" width="5" style="290" hidden="1" customWidth="1"/>
    <col min="41" max="41" width="9" style="290" hidden="1" customWidth="1"/>
    <col min="42" max="42" width="8.81640625" style="290" hidden="1" customWidth="1"/>
    <col min="43" max="43" width="8" style="290" hidden="1" customWidth="1"/>
    <col min="44" max="45" width="9.1796875" style="290" hidden="1" customWidth="1"/>
    <col min="46" max="48" width="9.1796875" style="290"/>
    <col min="49" max="16384" width="9.1796875" style="45"/>
  </cols>
  <sheetData>
    <row r="1" spans="2:48">
      <c r="AO1" s="45"/>
      <c r="AP1" s="45"/>
      <c r="AQ1" s="45"/>
      <c r="AR1" s="45"/>
      <c r="AS1" s="45"/>
      <c r="AT1" s="45"/>
      <c r="AU1" s="45"/>
      <c r="AV1" s="45"/>
    </row>
    <row r="2" spans="2:48" ht="13">
      <c r="B2" s="1989" t="s">
        <v>1446</v>
      </c>
      <c r="C2" s="1990"/>
      <c r="D2" s="1991"/>
      <c r="G2" s="1989" t="s">
        <v>153</v>
      </c>
      <c r="H2" s="1990"/>
      <c r="I2" s="1990"/>
      <c r="J2" s="1991"/>
      <c r="L2" s="2117" t="s">
        <v>1571</v>
      </c>
      <c r="M2" s="2117"/>
      <c r="N2" s="2117"/>
      <c r="P2" s="1972" t="s">
        <v>1708</v>
      </c>
      <c r="Q2" s="1972"/>
      <c r="R2" s="1972"/>
      <c r="S2" s="1972"/>
      <c r="T2" s="1972"/>
      <c r="U2" s="1972"/>
      <c r="V2" s="1972"/>
      <c r="W2" s="1972"/>
      <c r="X2" s="1972"/>
      <c r="Y2" s="1972"/>
      <c r="AA2" s="1972" t="s">
        <v>1437</v>
      </c>
      <c r="AB2" s="1972"/>
      <c r="AC2" s="1972"/>
      <c r="AD2" s="1972"/>
      <c r="AE2" s="1972"/>
      <c r="AG2" s="637" t="s">
        <v>1445</v>
      </c>
      <c r="AO2" s="45"/>
      <c r="AP2" s="45"/>
      <c r="AQ2" s="45"/>
      <c r="AR2" s="45"/>
      <c r="AS2" s="45"/>
      <c r="AT2" s="45"/>
      <c r="AU2" s="45"/>
      <c r="AV2" s="45"/>
    </row>
    <row r="3" spans="2:48">
      <c r="B3" s="936">
        <v>1</v>
      </c>
      <c r="C3" s="767"/>
      <c r="D3" s="443"/>
      <c r="G3" s="527"/>
      <c r="H3" s="442"/>
      <c r="I3" s="442"/>
      <c r="J3" s="443"/>
      <c r="AA3" s="2125" t="s">
        <v>1438</v>
      </c>
      <c r="AB3" s="2125"/>
      <c r="AC3" s="2125"/>
      <c r="AD3" s="2125"/>
      <c r="AE3" s="2125"/>
      <c r="AO3" s="45"/>
      <c r="AP3" s="45"/>
      <c r="AQ3" s="45"/>
      <c r="AR3" s="45"/>
      <c r="AS3" s="45"/>
      <c r="AT3" s="45"/>
      <c r="AU3" s="45"/>
      <c r="AV3" s="45"/>
    </row>
    <row r="4" spans="2:48" ht="14.5">
      <c r="B4" s="603"/>
      <c r="C4" s="253"/>
      <c r="D4" s="445"/>
      <c r="G4" s="695" t="s">
        <v>1383</v>
      </c>
      <c r="H4" s="1422"/>
      <c r="I4" s="554" t="s">
        <v>1384</v>
      </c>
      <c r="J4" s="616"/>
      <c r="L4" s="2119" t="s">
        <v>1572</v>
      </c>
      <c r="M4" s="2120"/>
      <c r="N4" s="925" t="s">
        <v>1603</v>
      </c>
      <c r="P4" s="2129" t="s">
        <v>1425</v>
      </c>
      <c r="Q4" s="2121" t="s">
        <v>1705</v>
      </c>
      <c r="R4" s="2121" t="s">
        <v>1430</v>
      </c>
      <c r="S4" s="2121" t="s">
        <v>1442</v>
      </c>
      <c r="T4" s="2121" t="s">
        <v>1704</v>
      </c>
      <c r="U4" s="2121" t="s">
        <v>740</v>
      </c>
      <c r="V4" s="2126" t="s">
        <v>1706</v>
      </c>
      <c r="W4" s="2127"/>
      <c r="X4" s="2127"/>
      <c r="Y4" s="2128"/>
      <c r="AG4" s="618" t="s">
        <v>1242</v>
      </c>
      <c r="AO4" s="45"/>
      <c r="AP4" s="45"/>
      <c r="AQ4" s="45"/>
      <c r="AR4" s="45"/>
      <c r="AS4" s="45"/>
      <c r="AT4" s="45"/>
      <c r="AU4" s="45"/>
      <c r="AV4" s="45"/>
    </row>
    <row r="5" spans="2:48" ht="14.5">
      <c r="B5" s="603"/>
      <c r="C5" s="253"/>
      <c r="D5" s="445"/>
      <c r="G5" s="610" t="s">
        <v>5</v>
      </c>
      <c r="H5" s="614" t="str">
        <f>IF($H$4=0,"-",SUM(AO43:AO46))</f>
        <v>-</v>
      </c>
      <c r="I5" s="617" t="s">
        <v>1388</v>
      </c>
      <c r="J5" s="611"/>
      <c r="L5" s="619">
        <v>1</v>
      </c>
      <c r="M5" s="449" t="s">
        <v>1573</v>
      </c>
      <c r="N5" s="619" t="s">
        <v>1604</v>
      </c>
      <c r="P5" s="2122"/>
      <c r="Q5" s="2122"/>
      <c r="R5" s="2122"/>
      <c r="S5" s="2122"/>
      <c r="T5" s="2122"/>
      <c r="U5" s="2122"/>
      <c r="V5" s="636" t="s">
        <v>1426</v>
      </c>
      <c r="W5" s="620" t="s">
        <v>1427</v>
      </c>
      <c r="X5" s="621" t="s">
        <v>1428</v>
      </c>
      <c r="Y5" s="635" t="s">
        <v>1429</v>
      </c>
      <c r="AA5" s="669" t="s">
        <v>1439</v>
      </c>
      <c r="AB5" s="1387"/>
      <c r="AC5" s="45" t="str">
        <f>VLOOKUP(AA5,$AO$26:$AQ$27,2,FALSE)</f>
        <v>ikW / RT</v>
      </c>
      <c r="AD5" s="2123" t="str">
        <f>VLOOKUP(AA5,$AO$26:$AQ$27,3,FALSE)</f>
        <v>(Input power/ Cooling Capacity)</v>
      </c>
      <c r="AE5" s="2123"/>
      <c r="AG5" s="627" t="s">
        <v>1389</v>
      </c>
      <c r="AO5" s="45"/>
      <c r="AP5" s="45"/>
      <c r="AQ5" s="45"/>
      <c r="AR5" s="45"/>
      <c r="AS5" s="45"/>
      <c r="AT5" s="45"/>
      <c r="AU5" s="45"/>
      <c r="AV5" s="45"/>
    </row>
    <row r="6" spans="2:48" ht="14.5">
      <c r="B6" s="605"/>
      <c r="C6" s="638"/>
      <c r="D6" s="52"/>
      <c r="G6" s="610" t="s">
        <v>5</v>
      </c>
      <c r="H6" s="614" t="str">
        <f>IF($H$4=0,"-",SUM(AQ43:AQ46))</f>
        <v>-</v>
      </c>
      <c r="I6" s="617" t="s">
        <v>1392</v>
      </c>
      <c r="J6" s="611"/>
      <c r="L6" s="619">
        <v>2</v>
      </c>
      <c r="M6" s="449" t="s">
        <v>449</v>
      </c>
      <c r="N6" s="619" t="s">
        <v>1605</v>
      </c>
      <c r="P6" s="596" t="s">
        <v>1574</v>
      </c>
      <c r="Q6" s="622">
        <v>79000</v>
      </c>
      <c r="R6" s="619">
        <v>357</v>
      </c>
      <c r="S6" s="622">
        <v>39500</v>
      </c>
      <c r="T6" s="619">
        <v>2180</v>
      </c>
      <c r="U6" s="619" t="s">
        <v>1273</v>
      </c>
      <c r="V6" s="1243">
        <v>323</v>
      </c>
      <c r="W6" s="624">
        <v>88.4</v>
      </c>
      <c r="X6" s="625">
        <v>177.7</v>
      </c>
      <c r="Y6" s="1245">
        <v>194</v>
      </c>
      <c r="AA6" s="45" t="str">
        <f>IF(AA5=AO26,AO27,AO26)</f>
        <v>COP</v>
      </c>
      <c r="AB6" s="639" t="str">
        <f>IF(AB5=0,"-",IF(AA5=AO26,1/(AB5/3.516),3.516/AB5))</f>
        <v>-</v>
      </c>
      <c r="AC6" s="45" t="str">
        <f>VLOOKUP(AA6,$AO$26:$AQ$27,2,FALSE)</f>
        <v>kW / ikW</v>
      </c>
      <c r="AD6" s="2123" t="str">
        <f>VLOOKUP(AA6,$AO$26:$AQ$27,3,FALSE)</f>
        <v>(Cooling Capacity / input power)</v>
      </c>
      <c r="AE6" s="2123"/>
      <c r="AG6" s="627" t="s">
        <v>1391</v>
      </c>
      <c r="AO6" s="45"/>
      <c r="AP6" s="45"/>
      <c r="AQ6" s="45"/>
      <c r="AR6" s="45"/>
      <c r="AS6" s="45"/>
      <c r="AT6" s="45"/>
      <c r="AU6" s="45"/>
      <c r="AV6" s="45"/>
    </row>
    <row r="7" spans="2:48" ht="14.5">
      <c r="G7" s="610" t="s">
        <v>5</v>
      </c>
      <c r="H7" s="614" t="str">
        <f>IF($H$4=0,"-",SUM(AP43:AP46))</f>
        <v>-</v>
      </c>
      <c r="I7" s="617" t="s">
        <v>1390</v>
      </c>
      <c r="J7" s="611"/>
      <c r="L7" s="619">
        <v>3</v>
      </c>
      <c r="M7" s="449" t="s">
        <v>1575</v>
      </c>
      <c r="N7" s="619" t="s">
        <v>1606</v>
      </c>
      <c r="P7" s="596" t="s">
        <v>1278</v>
      </c>
      <c r="Q7" s="622">
        <v>77100</v>
      </c>
      <c r="R7" s="619">
        <v>480</v>
      </c>
      <c r="S7" s="622" t="s">
        <v>243</v>
      </c>
      <c r="T7" s="619">
        <v>2217</v>
      </c>
      <c r="U7" s="619" t="s">
        <v>1275</v>
      </c>
      <c r="V7" s="623" t="s">
        <v>243</v>
      </c>
      <c r="W7" s="624" t="s">
        <v>243</v>
      </c>
      <c r="X7" s="625" t="s">
        <v>243</v>
      </c>
      <c r="Y7" s="1245" t="s">
        <v>243</v>
      </c>
      <c r="AG7" s="627" t="s">
        <v>1393</v>
      </c>
      <c r="AO7" s="45"/>
      <c r="AP7" s="45"/>
      <c r="AQ7" s="45"/>
      <c r="AR7" s="45"/>
      <c r="AS7" s="45"/>
      <c r="AT7" s="45"/>
      <c r="AU7" s="45"/>
      <c r="AV7" s="45"/>
    </row>
    <row r="8" spans="2:48" ht="14.5">
      <c r="B8" s="1989" t="s">
        <v>1306</v>
      </c>
      <c r="C8" s="1990"/>
      <c r="D8" s="1990"/>
      <c r="E8" s="1991"/>
      <c r="G8" s="610" t="s">
        <v>5</v>
      </c>
      <c r="H8" s="614" t="str">
        <f>IF($H$4=0,"-",SUM(AR43:AR46))</f>
        <v>-</v>
      </c>
      <c r="I8" s="617" t="s">
        <v>1630</v>
      </c>
      <c r="J8" s="445"/>
      <c r="L8" s="619">
        <v>4</v>
      </c>
      <c r="M8" s="449" t="s">
        <v>1576</v>
      </c>
      <c r="N8" s="619" t="s">
        <v>1607</v>
      </c>
      <c r="P8" s="596" t="s">
        <v>1276</v>
      </c>
      <c r="Q8" s="622">
        <v>66901</v>
      </c>
      <c r="R8" s="619">
        <v>352</v>
      </c>
      <c r="S8" s="622">
        <v>32130</v>
      </c>
      <c r="T8" s="619">
        <v>2344</v>
      </c>
      <c r="U8" s="619" t="s">
        <v>1274</v>
      </c>
      <c r="V8" s="623" t="s">
        <v>243</v>
      </c>
      <c r="W8" s="624" t="s">
        <v>243</v>
      </c>
      <c r="X8" s="625" t="s">
        <v>243</v>
      </c>
      <c r="Y8" s="1245">
        <v>256.60000000000002</v>
      </c>
      <c r="AA8" s="1972" t="s">
        <v>1431</v>
      </c>
      <c r="AB8" s="1972"/>
      <c r="AC8" s="1972"/>
      <c r="AD8" s="1972"/>
      <c r="AE8" s="1972"/>
      <c r="AG8" s="627" t="s">
        <v>1394</v>
      </c>
      <c r="AO8" s="45"/>
      <c r="AP8" s="45"/>
      <c r="AQ8" s="45"/>
      <c r="AR8" s="45"/>
      <c r="AS8" s="45"/>
      <c r="AT8" s="45"/>
      <c r="AU8" s="45"/>
      <c r="AV8" s="45"/>
    </row>
    <row r="9" spans="2:48" ht="13">
      <c r="B9" s="527"/>
      <c r="C9" s="442"/>
      <c r="D9" s="442"/>
      <c r="E9" s="443"/>
      <c r="G9" s="444"/>
      <c r="J9" s="445"/>
      <c r="L9" s="619">
        <v>5</v>
      </c>
      <c r="M9" s="449" t="s">
        <v>1577</v>
      </c>
      <c r="N9" s="619" t="s">
        <v>1608</v>
      </c>
      <c r="P9" s="596" t="s">
        <v>1277</v>
      </c>
      <c r="Q9" s="622">
        <v>81260</v>
      </c>
      <c r="R9" s="619">
        <v>420</v>
      </c>
      <c r="S9" s="622">
        <v>41000</v>
      </c>
      <c r="T9" s="619">
        <v>2050</v>
      </c>
      <c r="U9" s="619" t="s">
        <v>1273</v>
      </c>
      <c r="V9" s="1243">
        <v>333</v>
      </c>
      <c r="W9" s="1244">
        <v>98.6</v>
      </c>
      <c r="X9" s="1246">
        <v>155.6</v>
      </c>
      <c r="Y9" s="1245">
        <v>175.5</v>
      </c>
      <c r="AA9" s="2125" t="s">
        <v>1447</v>
      </c>
      <c r="AB9" s="2125"/>
      <c r="AC9" s="2125"/>
      <c r="AD9" s="2125"/>
      <c r="AE9" s="2125"/>
      <c r="AG9" s="629" t="s">
        <v>1395</v>
      </c>
      <c r="AO9" s="45"/>
      <c r="AP9" s="45"/>
      <c r="AQ9" s="45"/>
      <c r="AR9" s="45"/>
      <c r="AS9" s="45"/>
      <c r="AT9" s="45"/>
      <c r="AU9" s="45"/>
      <c r="AV9" s="45"/>
    </row>
    <row r="10" spans="2:48" ht="14.5">
      <c r="B10" s="695" t="s">
        <v>696</v>
      </c>
      <c r="C10" s="1424"/>
      <c r="D10" s="554" t="s">
        <v>6</v>
      </c>
      <c r="E10" s="616"/>
      <c r="G10" s="695" t="s">
        <v>245</v>
      </c>
      <c r="H10" s="1423"/>
      <c r="I10" s="253" t="s">
        <v>178</v>
      </c>
      <c r="J10" s="445"/>
      <c r="L10" s="619">
        <v>6</v>
      </c>
      <c r="M10" s="449" t="s">
        <v>450</v>
      </c>
      <c r="N10" s="619" t="s">
        <v>1609</v>
      </c>
      <c r="P10" s="596" t="s">
        <v>1279</v>
      </c>
      <c r="Q10" s="622">
        <v>71898</v>
      </c>
      <c r="R10" s="619">
        <v>486</v>
      </c>
      <c r="S10" s="622">
        <v>42800</v>
      </c>
      <c r="T10" s="619">
        <v>1900</v>
      </c>
      <c r="U10" s="619" t="s">
        <v>1275</v>
      </c>
      <c r="V10" s="1243">
        <v>293</v>
      </c>
      <c r="W10" s="1244">
        <v>78</v>
      </c>
      <c r="X10" s="1246">
        <v>224</v>
      </c>
      <c r="Y10" s="1245">
        <v>156</v>
      </c>
      <c r="AA10" s="2125" t="s">
        <v>1432</v>
      </c>
      <c r="AB10" s="2125"/>
      <c r="AC10" s="2125"/>
      <c r="AD10" s="2125"/>
      <c r="AE10" s="2125"/>
      <c r="AG10" s="618" t="s">
        <v>1243</v>
      </c>
      <c r="AO10" s="45"/>
      <c r="AP10" s="45"/>
      <c r="AQ10" s="45"/>
      <c r="AR10" s="45"/>
      <c r="AS10" s="45"/>
      <c r="AT10" s="45"/>
      <c r="AU10" s="45"/>
      <c r="AV10" s="45"/>
    </row>
    <row r="11" spans="2:48" ht="13">
      <c r="B11" s="610" t="s">
        <v>5</v>
      </c>
      <c r="C11" s="614" t="str">
        <f>IF($C$10=0,"-",SUM(AO36:AO40))</f>
        <v>-</v>
      </c>
      <c r="D11" s="548" t="s">
        <v>12</v>
      </c>
      <c r="E11" s="611"/>
      <c r="G11" s="444" t="s">
        <v>1387</v>
      </c>
      <c r="H11" s="1056" t="str">
        <f>IF(H6="-","-",H6*H10/1000)</f>
        <v>-</v>
      </c>
      <c r="I11" s="253" t="s">
        <v>6</v>
      </c>
      <c r="J11" s="445"/>
      <c r="L11" s="619">
        <v>7</v>
      </c>
      <c r="M11" s="449" t="s">
        <v>1578</v>
      </c>
      <c r="N11" s="619" t="s">
        <v>1610</v>
      </c>
      <c r="P11" s="596" t="s">
        <v>1732</v>
      </c>
      <c r="Q11" s="622" t="s">
        <v>243</v>
      </c>
      <c r="R11" s="619">
        <v>472</v>
      </c>
      <c r="S11" s="622">
        <v>52763</v>
      </c>
      <c r="T11" s="619">
        <v>2100</v>
      </c>
      <c r="U11" s="619" t="s">
        <v>1274</v>
      </c>
      <c r="V11" s="1243">
        <v>233.35336210192821</v>
      </c>
      <c r="W11" s="1244">
        <v>90.39326657959657</v>
      </c>
      <c r="X11" s="1246" t="s">
        <v>243</v>
      </c>
      <c r="Y11" s="1245">
        <v>139.97877300380949</v>
      </c>
      <c r="AG11" s="627" t="s">
        <v>1396</v>
      </c>
      <c r="AO11" s="45"/>
      <c r="AP11" s="45"/>
      <c r="AQ11" s="45"/>
      <c r="AR11" s="45"/>
      <c r="AS11" s="45"/>
      <c r="AT11" s="45"/>
      <c r="AU11" s="45"/>
      <c r="AV11" s="45"/>
    </row>
    <row r="12" spans="2:48" ht="13">
      <c r="B12" s="610" t="s">
        <v>5</v>
      </c>
      <c r="C12" s="614" t="str">
        <f>IF($C$10=0,"-",SUM(AP36:AP40))</f>
        <v>-</v>
      </c>
      <c r="D12" s="548" t="s">
        <v>6</v>
      </c>
      <c r="E12" s="611"/>
      <c r="G12" s="610" t="s">
        <v>5</v>
      </c>
      <c r="H12" s="270" t="str">
        <f>IF(H6="-","-",H11/3.516)</f>
        <v>-</v>
      </c>
      <c r="I12" s="548" t="s">
        <v>12</v>
      </c>
      <c r="J12" s="445"/>
      <c r="L12" s="619">
        <v>8</v>
      </c>
      <c r="M12" s="449" t="s">
        <v>1579</v>
      </c>
      <c r="N12" s="619" t="s">
        <v>1611</v>
      </c>
      <c r="P12" s="596" t="s">
        <v>1733</v>
      </c>
      <c r="Q12" s="622" t="s">
        <v>243</v>
      </c>
      <c r="R12" s="619">
        <v>350</v>
      </c>
      <c r="S12" s="622">
        <v>32969</v>
      </c>
      <c r="T12" s="619">
        <v>1244</v>
      </c>
      <c r="U12" s="619" t="s">
        <v>1734</v>
      </c>
      <c r="V12" s="1243">
        <v>171.63608562691132</v>
      </c>
      <c r="W12" s="1244">
        <v>83.992903930131007</v>
      </c>
      <c r="X12" s="1246" t="s">
        <v>243</v>
      </c>
      <c r="Y12" s="1245">
        <v>132.70490460735843</v>
      </c>
      <c r="AA12" s="2130" t="s">
        <v>370</v>
      </c>
      <c r="AB12" s="2131" t="s">
        <v>1433</v>
      </c>
      <c r="AC12" s="2130" t="s">
        <v>1635</v>
      </c>
      <c r="AD12" s="2131" t="s">
        <v>1434</v>
      </c>
      <c r="AE12" s="2133" t="s">
        <v>1435</v>
      </c>
      <c r="AG12" s="627" t="s">
        <v>1397</v>
      </c>
      <c r="AO12" s="45"/>
      <c r="AP12" s="45"/>
      <c r="AQ12" s="45"/>
      <c r="AR12" s="45"/>
      <c r="AS12" s="45"/>
      <c r="AT12" s="45"/>
      <c r="AU12" s="45"/>
      <c r="AV12" s="45"/>
    </row>
    <row r="13" spans="2:48" ht="13">
      <c r="B13" s="610" t="s">
        <v>5</v>
      </c>
      <c r="C13" s="614" t="str">
        <f>IF($C$10=0,"-",SUM(AQ36:AQ40))</f>
        <v>-</v>
      </c>
      <c r="D13" s="548" t="s">
        <v>146</v>
      </c>
      <c r="E13" s="611"/>
      <c r="G13" s="610" t="s">
        <v>5</v>
      </c>
      <c r="H13" s="270" t="str">
        <f>IF(H6="-","-",H11/2.6)</f>
        <v>-</v>
      </c>
      <c r="I13" s="548" t="s">
        <v>146</v>
      </c>
      <c r="J13" s="445"/>
      <c r="L13" s="619">
        <v>9</v>
      </c>
      <c r="M13" s="449" t="s">
        <v>1580</v>
      </c>
      <c r="N13" s="619" t="s">
        <v>1612</v>
      </c>
      <c r="P13" s="596" t="s">
        <v>1707</v>
      </c>
      <c r="Q13" s="622" t="s">
        <v>243</v>
      </c>
      <c r="R13" s="619" t="s">
        <v>243</v>
      </c>
      <c r="S13" s="622" t="s">
        <v>243</v>
      </c>
      <c r="T13" s="619" t="s">
        <v>243</v>
      </c>
      <c r="U13" s="619" t="s">
        <v>243</v>
      </c>
      <c r="V13" s="1243">
        <v>312</v>
      </c>
      <c r="W13" s="1244">
        <v>92</v>
      </c>
      <c r="X13" s="1246" t="s">
        <v>243</v>
      </c>
      <c r="Y13" s="1245" t="s">
        <v>243</v>
      </c>
      <c r="AA13" s="2130"/>
      <c r="AB13" s="2130"/>
      <c r="AC13" s="2130"/>
      <c r="AD13" s="2130"/>
      <c r="AE13" s="2134"/>
      <c r="AG13" s="627" t="s">
        <v>1398</v>
      </c>
      <c r="AO13" s="45"/>
      <c r="AP13" s="45"/>
      <c r="AQ13" s="45"/>
      <c r="AR13" s="45"/>
      <c r="AS13" s="45"/>
      <c r="AT13" s="45"/>
      <c r="AU13" s="45"/>
      <c r="AV13" s="45"/>
    </row>
    <row r="14" spans="2:48" ht="14.5">
      <c r="B14" s="610" t="s">
        <v>5</v>
      </c>
      <c r="C14" s="614" t="str">
        <f>IF($C$10=0,"-",SUM(AR36:AR40))</f>
        <v>-</v>
      </c>
      <c r="D14" s="548" t="s">
        <v>147</v>
      </c>
      <c r="E14" s="611"/>
      <c r="G14" s="610" t="s">
        <v>5</v>
      </c>
      <c r="H14" s="270" t="str">
        <f>IF(H6="-","-",H12*12000)</f>
        <v>-</v>
      </c>
      <c r="I14" s="548" t="s">
        <v>147</v>
      </c>
      <c r="J14" s="445"/>
      <c r="L14" s="619">
        <v>10</v>
      </c>
      <c r="M14" s="449" t="s">
        <v>1581</v>
      </c>
      <c r="N14" s="619" t="s">
        <v>1613</v>
      </c>
      <c r="AA14" s="631">
        <v>1</v>
      </c>
      <c r="AB14" s="632">
        <v>0.01</v>
      </c>
      <c r="AC14" s="1437"/>
      <c r="AD14" s="633">
        <f>AB14*AC14</f>
        <v>0</v>
      </c>
      <c r="AE14" s="619" t="s">
        <v>1634</v>
      </c>
      <c r="AG14" s="627" t="s">
        <v>1399</v>
      </c>
    </row>
    <row r="15" spans="2:48" ht="14.5">
      <c r="B15" s="536" t="s">
        <v>5</v>
      </c>
      <c r="C15" s="613" t="str">
        <f>IF($C$10=0,"-",SUM(AS36:AS40))</f>
        <v>-</v>
      </c>
      <c r="D15" s="553" t="s">
        <v>148</v>
      </c>
      <c r="E15" s="612"/>
      <c r="G15" s="536" t="s">
        <v>5</v>
      </c>
      <c r="H15" s="696" t="str">
        <f>IF(H6="-","-",H11*860)</f>
        <v>-</v>
      </c>
      <c r="I15" s="553" t="s">
        <v>148</v>
      </c>
      <c r="J15" s="52"/>
      <c r="L15" s="619">
        <v>11</v>
      </c>
      <c r="M15" s="449" t="s">
        <v>1582</v>
      </c>
      <c r="N15" s="619" t="s">
        <v>1609</v>
      </c>
      <c r="AA15" s="631">
        <v>0.75</v>
      </c>
      <c r="AB15" s="632">
        <v>0.42</v>
      </c>
      <c r="AC15" s="1437"/>
      <c r="AD15" s="633">
        <f>AB15*AC15</f>
        <v>0</v>
      </c>
      <c r="AE15" s="619" t="s">
        <v>1443</v>
      </c>
      <c r="AG15" s="627" t="s">
        <v>1400</v>
      </c>
    </row>
    <row r="16" spans="2:48" ht="14.5">
      <c r="B16" s="548"/>
      <c r="L16" s="619">
        <v>12</v>
      </c>
      <c r="M16" s="449" t="s">
        <v>1583</v>
      </c>
      <c r="N16" s="619" t="s">
        <v>1614</v>
      </c>
      <c r="AA16" s="631">
        <v>0.5</v>
      </c>
      <c r="AB16" s="632">
        <v>0.45</v>
      </c>
      <c r="AC16" s="1437"/>
      <c r="AD16" s="633">
        <f>AB16*AC16</f>
        <v>0</v>
      </c>
      <c r="AE16" s="619" t="s">
        <v>1444</v>
      </c>
      <c r="AG16" s="627" t="s">
        <v>1401</v>
      </c>
    </row>
    <row r="17" spans="2:43" ht="14.5">
      <c r="B17" s="548"/>
      <c r="G17" s="1989" t="s">
        <v>1306</v>
      </c>
      <c r="H17" s="1990"/>
      <c r="I17" s="1990"/>
      <c r="J17" s="1991"/>
      <c r="L17" s="619">
        <v>13</v>
      </c>
      <c r="M17" s="449" t="s">
        <v>1584</v>
      </c>
      <c r="N17" s="619" t="s">
        <v>1615</v>
      </c>
      <c r="AA17" s="631">
        <v>0.25</v>
      </c>
      <c r="AB17" s="632">
        <v>0.12</v>
      </c>
      <c r="AC17" s="1437"/>
      <c r="AD17" s="633">
        <f>AB17*AC17</f>
        <v>0</v>
      </c>
      <c r="AE17" s="619" t="s">
        <v>1444</v>
      </c>
      <c r="AG17" s="627" t="s">
        <v>1402</v>
      </c>
    </row>
    <row r="18" spans="2:43" ht="13">
      <c r="G18" s="527"/>
      <c r="H18" s="442"/>
      <c r="I18" s="442"/>
      <c r="J18" s="443"/>
      <c r="L18" s="619">
        <v>14</v>
      </c>
      <c r="M18" s="449" t="s">
        <v>1585</v>
      </c>
      <c r="N18" s="619" t="s">
        <v>1616</v>
      </c>
      <c r="AG18" s="627" t="s">
        <v>1403</v>
      </c>
    </row>
    <row r="19" spans="2:43" ht="13">
      <c r="G19" s="695" t="s">
        <v>245</v>
      </c>
      <c r="H19" s="1423"/>
      <c r="I19" s="554" t="s">
        <v>2334</v>
      </c>
      <c r="J19" s="445"/>
      <c r="L19" s="619">
        <v>15</v>
      </c>
      <c r="M19" s="449" t="s">
        <v>1586</v>
      </c>
      <c r="N19" s="619" t="s">
        <v>1609</v>
      </c>
      <c r="AA19" s="2132" t="s">
        <v>1431</v>
      </c>
      <c r="AB19" s="2132"/>
      <c r="AC19" s="2118">
        <f>SUM(AD14:AD17)</f>
        <v>0</v>
      </c>
      <c r="AD19" s="2118"/>
      <c r="AE19" s="634" t="s">
        <v>1635</v>
      </c>
      <c r="AG19" s="627" t="s">
        <v>1404</v>
      </c>
    </row>
    <row r="20" spans="2:43" ht="13">
      <c r="G20" s="610" t="s">
        <v>5</v>
      </c>
      <c r="H20" s="614" t="str">
        <f>IF(H19=0,"-",IF(I19="ft2",H19/10.76391,H19*10.76391))</f>
        <v>-</v>
      </c>
      <c r="I20" s="617" t="str">
        <f>IF(I19="ft2","m2","ft2")</f>
        <v>m2</v>
      </c>
      <c r="J20" s="445"/>
      <c r="L20" s="619">
        <v>16</v>
      </c>
      <c r="M20" s="449" t="s">
        <v>1587</v>
      </c>
      <c r="N20" s="619" t="s">
        <v>1604</v>
      </c>
      <c r="AA20" s="2124" t="s">
        <v>1436</v>
      </c>
      <c r="AB20" s="2124"/>
      <c r="AC20" s="2124"/>
      <c r="AD20" s="2124"/>
      <c r="AE20" s="2124"/>
      <c r="AG20" s="627" t="s">
        <v>1405</v>
      </c>
    </row>
    <row r="21" spans="2:43" ht="13">
      <c r="G21" s="51"/>
      <c r="H21" s="446"/>
      <c r="I21" s="446"/>
      <c r="J21" s="52"/>
      <c r="L21" s="619">
        <v>17</v>
      </c>
      <c r="M21" s="449" t="s">
        <v>1588</v>
      </c>
      <c r="N21" s="619" t="s">
        <v>1617</v>
      </c>
      <c r="AG21" s="627" t="s">
        <v>1406</v>
      </c>
    </row>
    <row r="22" spans="2:43" ht="13">
      <c r="D22" s="269"/>
      <c r="L22" s="619">
        <v>18</v>
      </c>
      <c r="M22" s="449" t="s">
        <v>1589</v>
      </c>
      <c r="N22" s="619" t="s">
        <v>1618</v>
      </c>
      <c r="AG22" s="627" t="s">
        <v>1407</v>
      </c>
    </row>
    <row r="23" spans="2:43" ht="13">
      <c r="L23" s="619">
        <v>19</v>
      </c>
      <c r="M23" s="449" t="s">
        <v>1590</v>
      </c>
      <c r="N23" s="619" t="s">
        <v>1619</v>
      </c>
      <c r="AG23" s="627" t="s">
        <v>1408</v>
      </c>
    </row>
    <row r="24" spans="2:43" ht="13">
      <c r="L24" s="619">
        <v>20</v>
      </c>
      <c r="M24" s="449" t="s">
        <v>1591</v>
      </c>
      <c r="N24" s="619" t="s">
        <v>1620</v>
      </c>
      <c r="AG24" s="629" t="s">
        <v>1409</v>
      </c>
    </row>
    <row r="25" spans="2:43" ht="13">
      <c r="L25" s="619">
        <v>21</v>
      </c>
      <c r="M25" s="449" t="s">
        <v>1592</v>
      </c>
      <c r="N25" s="619" t="s">
        <v>1607</v>
      </c>
      <c r="AG25" s="618" t="s">
        <v>1244</v>
      </c>
    </row>
    <row r="26" spans="2:43" ht="13">
      <c r="L26" s="619">
        <v>22</v>
      </c>
      <c r="M26" s="449" t="s">
        <v>1593</v>
      </c>
      <c r="N26" s="619" t="s">
        <v>1621</v>
      </c>
      <c r="AG26" s="627" t="s">
        <v>1410</v>
      </c>
      <c r="AO26" s="290" t="s">
        <v>338</v>
      </c>
      <c r="AP26" s="290" t="s">
        <v>571</v>
      </c>
      <c r="AQ26" s="290" t="s">
        <v>1440</v>
      </c>
    </row>
    <row r="27" spans="2:43" ht="13">
      <c r="L27" s="619">
        <v>23</v>
      </c>
      <c r="M27" s="449" t="s">
        <v>1594</v>
      </c>
      <c r="N27" s="619" t="s">
        <v>1609</v>
      </c>
      <c r="AG27" s="627" t="s">
        <v>1411</v>
      </c>
      <c r="AO27" s="290" t="s">
        <v>1439</v>
      </c>
      <c r="AP27" s="290" t="s">
        <v>594</v>
      </c>
      <c r="AQ27" s="290" t="s">
        <v>1441</v>
      </c>
    </row>
    <row r="28" spans="2:43" ht="13">
      <c r="L28" s="619">
        <v>24</v>
      </c>
      <c r="M28" s="449" t="s">
        <v>1595</v>
      </c>
      <c r="N28" s="619" t="s">
        <v>1622</v>
      </c>
      <c r="AG28" s="627" t="s">
        <v>1412</v>
      </c>
    </row>
    <row r="29" spans="2:43" ht="13">
      <c r="L29" s="619">
        <v>25</v>
      </c>
      <c r="M29" s="449" t="s">
        <v>1596</v>
      </c>
      <c r="N29" s="619" t="s">
        <v>1621</v>
      </c>
      <c r="AG29" s="627" t="s">
        <v>1413</v>
      </c>
    </row>
    <row r="30" spans="2:43" ht="13">
      <c r="L30" s="619">
        <v>26</v>
      </c>
      <c r="M30" s="449" t="s">
        <v>1597</v>
      </c>
      <c r="N30" s="619" t="s">
        <v>1623</v>
      </c>
      <c r="AG30" s="627" t="s">
        <v>1414</v>
      </c>
    </row>
    <row r="31" spans="2:43" ht="13">
      <c r="L31" s="619">
        <v>27</v>
      </c>
      <c r="M31" s="449" t="s">
        <v>1598</v>
      </c>
      <c r="N31" s="619" t="s">
        <v>1624</v>
      </c>
      <c r="AG31" s="627" t="s">
        <v>1415</v>
      </c>
    </row>
    <row r="32" spans="2:43" ht="14.5">
      <c r="L32" s="619">
        <v>28</v>
      </c>
      <c r="M32" s="449" t="s">
        <v>1599</v>
      </c>
      <c r="N32" s="619" t="s">
        <v>1625</v>
      </c>
      <c r="AG32" s="627" t="s">
        <v>1416</v>
      </c>
      <c r="AO32" s="290" t="s">
        <v>1564</v>
      </c>
    </row>
    <row r="33" spans="12:45" ht="14.5">
      <c r="L33" s="619">
        <v>29</v>
      </c>
      <c r="M33" s="449" t="s">
        <v>1600</v>
      </c>
      <c r="N33" s="619" t="s">
        <v>1626</v>
      </c>
      <c r="AG33" s="627" t="s">
        <v>1417</v>
      </c>
      <c r="AO33" s="290" t="s">
        <v>1565</v>
      </c>
    </row>
    <row r="34" spans="12:45" ht="13">
      <c r="L34" s="619">
        <v>30</v>
      </c>
      <c r="M34" s="449" t="s">
        <v>1601</v>
      </c>
      <c r="N34" s="619" t="s">
        <v>1627</v>
      </c>
      <c r="AG34" s="627" t="s">
        <v>1418</v>
      </c>
    </row>
    <row r="35" spans="12:45" ht="13">
      <c r="L35" s="619">
        <v>31</v>
      </c>
      <c r="M35" s="449" t="s">
        <v>451</v>
      </c>
      <c r="N35" s="619" t="s">
        <v>1628</v>
      </c>
      <c r="AG35" s="627" t="s">
        <v>1419</v>
      </c>
      <c r="AO35" s="290" t="s">
        <v>12</v>
      </c>
      <c r="AP35" s="290" t="s">
        <v>6</v>
      </c>
      <c r="AQ35" s="290" t="s">
        <v>146</v>
      </c>
      <c r="AR35" s="290" t="s">
        <v>147</v>
      </c>
      <c r="AS35" s="290" t="s">
        <v>148</v>
      </c>
    </row>
    <row r="36" spans="12:45" ht="13">
      <c r="L36" s="619">
        <v>32</v>
      </c>
      <c r="M36" s="449" t="s">
        <v>1602</v>
      </c>
      <c r="N36" s="619" t="s">
        <v>1614</v>
      </c>
      <c r="AG36" s="627" t="s">
        <v>1420</v>
      </c>
      <c r="AO36" s="269">
        <f>IF($D$10=$D$11,$C$10,0)</f>
        <v>0</v>
      </c>
      <c r="AP36" s="269">
        <f>AO36*3.516</f>
        <v>0</v>
      </c>
      <c r="AQ36" s="269">
        <f>AP36/2.6</f>
        <v>0</v>
      </c>
      <c r="AR36" s="269">
        <f>AO36*12000</f>
        <v>0</v>
      </c>
      <c r="AS36" s="269">
        <f>AP36*860</f>
        <v>0</v>
      </c>
    </row>
    <row r="37" spans="12:45" ht="13">
      <c r="AG37" s="629" t="s">
        <v>1421</v>
      </c>
      <c r="AO37" s="269">
        <f>AP37/3.516</f>
        <v>0</v>
      </c>
      <c r="AP37" s="269">
        <f>IF($D$10=$D$12,$C$10,0)</f>
        <v>0</v>
      </c>
      <c r="AQ37" s="269">
        <f>AP37/2.6</f>
        <v>0</v>
      </c>
      <c r="AR37" s="269">
        <f>AO37*12000</f>
        <v>0</v>
      </c>
      <c r="AS37" s="269">
        <f>AP37*860</f>
        <v>0</v>
      </c>
    </row>
    <row r="38" spans="12:45" ht="13">
      <c r="AG38" s="626" t="s">
        <v>1245</v>
      </c>
      <c r="AO38" s="269">
        <f>AP38/3.516</f>
        <v>0</v>
      </c>
      <c r="AP38" s="269">
        <f>AQ38*2.6</f>
        <v>0</v>
      </c>
      <c r="AQ38" s="269">
        <f>IF($D$10=$D$13,$C$10,0)</f>
        <v>0</v>
      </c>
      <c r="AR38" s="269">
        <f>AO38*12000</f>
        <v>0</v>
      </c>
      <c r="AS38" s="269">
        <f>AP38*860</f>
        <v>0</v>
      </c>
    </row>
    <row r="39" spans="12:45" ht="13">
      <c r="AG39" s="627" t="s">
        <v>1422</v>
      </c>
      <c r="AO39" s="269">
        <f>AP39/3.516</f>
        <v>0</v>
      </c>
      <c r="AP39" s="269">
        <f>AR39/3412</f>
        <v>0</v>
      </c>
      <c r="AQ39" s="269">
        <f>AP39/2.6</f>
        <v>0</v>
      </c>
      <c r="AR39" s="269">
        <f>IF($D$10=$D$14,$C$10,0)</f>
        <v>0</v>
      </c>
      <c r="AS39" s="269">
        <f>AP39*860</f>
        <v>0</v>
      </c>
    </row>
    <row r="40" spans="12:45" ht="13">
      <c r="AG40" s="627" t="s">
        <v>1423</v>
      </c>
      <c r="AO40" s="269">
        <f>AP40/3.516</f>
        <v>0</v>
      </c>
      <c r="AP40" s="269">
        <f>AR40/3412</f>
        <v>0</v>
      </c>
      <c r="AQ40" s="269">
        <f>AP40/2.6</f>
        <v>0</v>
      </c>
      <c r="AR40" s="269">
        <f>AS40/860*3412</f>
        <v>0</v>
      </c>
      <c r="AS40" s="269">
        <f>IF($D$10=$D$15,$C$10,0)</f>
        <v>0</v>
      </c>
    </row>
    <row r="41" spans="12:45" ht="13">
      <c r="AG41" s="629" t="s">
        <v>1424</v>
      </c>
    </row>
    <row r="42" spans="12:45">
      <c r="AO42" s="290" t="s">
        <v>1384</v>
      </c>
      <c r="AP42" s="290" t="s">
        <v>1385</v>
      </c>
      <c r="AQ42" s="290" t="s">
        <v>1386</v>
      </c>
      <c r="AR42" s="290" t="s">
        <v>1629</v>
      </c>
    </row>
    <row r="43" spans="12:45">
      <c r="AO43" s="269">
        <f>IF(I4=I5,H4,0)</f>
        <v>0</v>
      </c>
      <c r="AP43" s="269">
        <f>AO43/(10.7*3.516)</f>
        <v>0</v>
      </c>
      <c r="AQ43" s="269">
        <f>IF(AO43&gt;0,1/AP43*1000,0)</f>
        <v>0</v>
      </c>
      <c r="AR43" s="290">
        <f t="shared" ref="AR43:AR44" si="0">AQ43/2.798708</f>
        <v>0</v>
      </c>
    </row>
    <row r="44" spans="12:45">
      <c r="AO44" s="269">
        <f>AP44*(10.7*3.516)</f>
        <v>0</v>
      </c>
      <c r="AP44" s="269">
        <f>IF(I4=I7,H4,0)</f>
        <v>0</v>
      </c>
      <c r="AQ44" s="269">
        <f>IF(AP44&gt;0,1/AP44*1000,0)</f>
        <v>0</v>
      </c>
      <c r="AR44" s="290">
        <f t="shared" si="0"/>
        <v>0</v>
      </c>
    </row>
    <row r="45" spans="12:45">
      <c r="AO45" s="269">
        <f>AP45/(1/(10.7*3.516))</f>
        <v>0</v>
      </c>
      <c r="AP45" s="269">
        <f>IF(AQ45&gt;0,1000/AQ45,0)</f>
        <v>0</v>
      </c>
      <c r="AQ45" s="269">
        <f>IF(I4=I6,H4,0)</f>
        <v>0</v>
      </c>
      <c r="AR45" s="290">
        <f>AQ45/2.798708</f>
        <v>0</v>
      </c>
    </row>
    <row r="46" spans="12:45">
      <c r="AO46" s="269">
        <f>AP46/(1/(10.7*3.516))</f>
        <v>0</v>
      </c>
      <c r="AP46" s="269">
        <f>IF(AQ46&gt;0,1000/AQ46,0)</f>
        <v>0</v>
      </c>
      <c r="AQ46" s="269">
        <f>AR46*2.798708</f>
        <v>0</v>
      </c>
      <c r="AR46" s="290">
        <f>IF(I4=I8,H4,0)</f>
        <v>0</v>
      </c>
    </row>
    <row r="52" spans="42:42">
      <c r="AP52" s="914"/>
    </row>
    <row r="61" spans="42:42">
      <c r="AP61" s="915"/>
    </row>
    <row r="62" spans="42:42">
      <c r="AP62" s="915"/>
    </row>
    <row r="63" spans="42:42">
      <c r="AP63" s="915"/>
    </row>
    <row r="64" spans="42:42">
      <c r="AP64" s="915"/>
    </row>
    <row r="65" spans="3:42">
      <c r="AP65" s="915"/>
    </row>
    <row r="68" spans="3:42">
      <c r="G68" s="165"/>
      <c r="H68" s="278"/>
      <c r="I68" s="278"/>
      <c r="J68" s="46"/>
    </row>
    <row r="69" spans="3:42">
      <c r="G69" s="165"/>
      <c r="H69" s="278"/>
      <c r="I69" s="278"/>
      <c r="J69" s="46"/>
    </row>
    <row r="70" spans="3:42">
      <c r="G70" s="165"/>
      <c r="H70" s="278"/>
      <c r="I70" s="278"/>
      <c r="J70" s="46"/>
    </row>
    <row r="71" spans="3:42">
      <c r="G71" s="165"/>
      <c r="H71" s="278"/>
      <c r="I71" s="278"/>
      <c r="J71" s="46"/>
    </row>
    <row r="72" spans="3:42">
      <c r="C72" s="165"/>
      <c r="D72" s="165"/>
      <c r="E72" s="165"/>
      <c r="G72" s="165"/>
      <c r="H72" s="278"/>
      <c r="I72" s="278"/>
      <c r="J72" s="46"/>
    </row>
    <row r="73" spans="3:42">
      <c r="C73" s="165"/>
      <c r="D73" s="165"/>
      <c r="E73" s="165"/>
      <c r="F73" s="165"/>
      <c r="G73" s="165"/>
      <c r="H73" s="278"/>
      <c r="I73" s="278"/>
      <c r="J73" s="46"/>
      <c r="K73" s="165"/>
      <c r="L73" s="165"/>
      <c r="M73" s="165"/>
      <c r="N73" s="165"/>
      <c r="O73" s="165"/>
    </row>
    <row r="74" spans="3:42">
      <c r="C74" s="165"/>
      <c r="D74" s="165"/>
      <c r="E74" s="165"/>
      <c r="F74" s="165"/>
      <c r="G74" s="165"/>
      <c r="H74" s="278"/>
      <c r="I74" s="278"/>
      <c r="J74" s="46"/>
      <c r="K74" s="165"/>
      <c r="L74" s="165"/>
      <c r="M74" s="165"/>
      <c r="N74" s="165"/>
      <c r="O74" s="165"/>
      <c r="P74" s="278"/>
    </row>
    <row r="75" spans="3:42">
      <c r="C75" s="165"/>
      <c r="D75" s="165"/>
      <c r="E75" s="165"/>
      <c r="F75" s="165"/>
      <c r="G75" s="165"/>
      <c r="H75" s="278"/>
      <c r="I75" s="278"/>
      <c r="J75" s="46"/>
      <c r="K75" s="165"/>
      <c r="L75" s="165"/>
      <c r="M75" s="165"/>
      <c r="N75" s="165"/>
      <c r="O75" s="165"/>
      <c r="P75" s="278"/>
    </row>
    <row r="76" spans="3:42">
      <c r="C76" s="165"/>
      <c r="D76" s="165"/>
      <c r="E76" s="165"/>
      <c r="F76" s="165"/>
      <c r="G76" s="165"/>
      <c r="H76" s="278"/>
      <c r="I76" s="278"/>
      <c r="J76" s="46"/>
      <c r="K76" s="165"/>
      <c r="L76" s="165"/>
      <c r="M76" s="165"/>
      <c r="N76" s="165"/>
      <c r="O76" s="165"/>
      <c r="P76" s="278"/>
    </row>
    <row r="77" spans="3:42">
      <c r="C77" s="165"/>
      <c r="D77" s="165"/>
      <c r="E77" s="165"/>
      <c r="F77" s="165"/>
      <c r="G77" s="165"/>
      <c r="H77" s="278"/>
      <c r="I77" s="278"/>
      <c r="J77" s="46"/>
      <c r="K77" s="165"/>
      <c r="L77" s="165"/>
      <c r="M77" s="165"/>
      <c r="N77" s="165"/>
      <c r="O77" s="165"/>
      <c r="P77" s="278"/>
    </row>
    <row r="78" spans="3:42">
      <c r="C78" s="165"/>
      <c r="D78" s="165"/>
      <c r="E78" s="165"/>
      <c r="F78" s="165"/>
      <c r="G78" s="165"/>
      <c r="H78" s="278"/>
      <c r="I78" s="278"/>
      <c r="J78" s="278"/>
      <c r="K78" s="165"/>
      <c r="L78" s="165"/>
      <c r="M78" s="165"/>
      <c r="N78" s="165"/>
      <c r="O78" s="165"/>
      <c r="P78" s="615"/>
      <c r="Q78" s="290"/>
    </row>
    <row r="79" spans="3:42">
      <c r="C79" s="165"/>
      <c r="D79" s="165"/>
      <c r="E79" s="165"/>
      <c r="F79" s="165"/>
      <c r="G79" s="165"/>
      <c r="H79" s="615"/>
      <c r="I79" s="615"/>
      <c r="J79" s="615"/>
      <c r="K79" s="165"/>
      <c r="L79" s="165"/>
      <c r="M79" s="165"/>
      <c r="N79" s="165"/>
      <c r="O79" s="165"/>
      <c r="Q79" s="290"/>
    </row>
    <row r="80" spans="3:42">
      <c r="C80" s="165"/>
      <c r="D80" s="165"/>
      <c r="E80" s="165"/>
      <c r="F80" s="165"/>
      <c r="G80" s="165"/>
      <c r="K80" s="165"/>
      <c r="L80" s="165"/>
      <c r="M80" s="165"/>
      <c r="N80" s="165"/>
      <c r="O80" s="165"/>
      <c r="Q80" s="290"/>
    </row>
    <row r="81" spans="3:17">
      <c r="C81" s="165"/>
      <c r="D81" s="165"/>
      <c r="E81" s="165"/>
      <c r="F81" s="165"/>
      <c r="G81" s="165"/>
      <c r="K81" s="165"/>
      <c r="L81" s="165"/>
      <c r="M81" s="165"/>
      <c r="N81" s="165"/>
      <c r="O81" s="165"/>
      <c r="Q81" s="290"/>
    </row>
    <row r="82" spans="3:17">
      <c r="C82" s="165"/>
      <c r="D82" s="165"/>
      <c r="E82" s="165"/>
      <c r="F82" s="165"/>
      <c r="G82" s="165"/>
      <c r="K82" s="165"/>
      <c r="L82" s="165"/>
      <c r="M82" s="165"/>
      <c r="N82" s="165"/>
      <c r="O82" s="165"/>
      <c r="Q82" s="290"/>
    </row>
    <row r="83" spans="3:17">
      <c r="C83" s="165"/>
      <c r="D83" s="165"/>
      <c r="E83" s="165"/>
      <c r="F83" s="165"/>
      <c r="G83" s="165"/>
      <c r="K83" s="165"/>
      <c r="L83" s="165"/>
      <c r="M83" s="165"/>
      <c r="N83" s="165"/>
      <c r="O83" s="165"/>
      <c r="P83" s="615"/>
      <c r="Q83" s="290"/>
    </row>
    <row r="84" spans="3:17">
      <c r="F84" s="165"/>
      <c r="G84" s="165"/>
      <c r="H84" s="615"/>
      <c r="I84" s="615"/>
      <c r="J84" s="615"/>
      <c r="K84" s="165"/>
      <c r="L84" s="165"/>
      <c r="M84" s="165"/>
      <c r="N84" s="165"/>
      <c r="O84" s="165"/>
      <c r="P84" s="615"/>
      <c r="Q84" s="290"/>
    </row>
    <row r="85" spans="3:17">
      <c r="G85" s="165"/>
      <c r="H85" s="615"/>
      <c r="I85" s="615"/>
      <c r="J85" s="615"/>
    </row>
  </sheetData>
  <sheetProtection password="DFE4" sheet="1" objects="1" scenarios="1" formatColumns="0" selectLockedCells="1"/>
  <protectedRanges>
    <protectedRange sqref="AO36 AP37 AQ38 AR39 AS40 D22" name="範圍1_1"/>
  </protectedRanges>
  <mergeCells count="29">
    <mergeCell ref="AA20:AE20"/>
    <mergeCell ref="AA3:AE3"/>
    <mergeCell ref="B8:E8"/>
    <mergeCell ref="R4:R5"/>
    <mergeCell ref="V4:Y4"/>
    <mergeCell ref="U4:U5"/>
    <mergeCell ref="P4:P5"/>
    <mergeCell ref="AA9:AE9"/>
    <mergeCell ref="AA10:AE10"/>
    <mergeCell ref="AA12:AA13"/>
    <mergeCell ref="AB12:AB13"/>
    <mergeCell ref="AA19:AB19"/>
    <mergeCell ref="AC12:AC13"/>
    <mergeCell ref="AD12:AD13"/>
    <mergeCell ref="AE12:AE13"/>
    <mergeCell ref="L2:N2"/>
    <mergeCell ref="B2:D2"/>
    <mergeCell ref="AC19:AD19"/>
    <mergeCell ref="AA2:AE2"/>
    <mergeCell ref="G2:J2"/>
    <mergeCell ref="L4:M4"/>
    <mergeCell ref="P2:Y2"/>
    <mergeCell ref="G17:J17"/>
    <mergeCell ref="T4:T5"/>
    <mergeCell ref="S4:S5"/>
    <mergeCell ref="Q4:Q5"/>
    <mergeCell ref="AD5:AE5"/>
    <mergeCell ref="AD6:AE6"/>
    <mergeCell ref="AA8:AE8"/>
  </mergeCells>
  <phoneticPr fontId="143" type="noConversion"/>
  <conditionalFormatting sqref="I5:I7">
    <cfRule type="cellIs" dxfId="32" priority="3" operator="equal">
      <formula>$I$4</formula>
    </cfRule>
  </conditionalFormatting>
  <conditionalFormatting sqref="D11:D15">
    <cfRule type="cellIs" dxfId="31" priority="2" operator="equal">
      <formula>$D$10</formula>
    </cfRule>
  </conditionalFormatting>
  <conditionalFormatting sqref="I8">
    <cfRule type="cellIs" dxfId="30" priority="1" operator="equal">
      <formula>$I$4</formula>
    </cfRule>
  </conditionalFormatting>
  <dataValidations count="4">
    <dataValidation type="list" allowBlank="1" showInputMessage="1" showErrorMessage="1" sqref="D10" xr:uid="{00000000-0002-0000-1500-000000000000}">
      <formula1>$D$11:$D$15</formula1>
    </dataValidation>
    <dataValidation type="list" allowBlank="1" showInputMessage="1" showErrorMessage="1" sqref="I4" xr:uid="{00000000-0002-0000-1500-000001000000}">
      <formula1>$I$5:$I$8</formula1>
    </dataValidation>
    <dataValidation type="list" allowBlank="1" showInputMessage="1" showErrorMessage="1" sqref="I19" xr:uid="{00000000-0002-0000-1500-000002000000}">
      <formula1>$AO$32:$AO$33</formula1>
    </dataValidation>
    <dataValidation type="list" allowBlank="1" showInputMessage="1" showErrorMessage="1" sqref="AA5" xr:uid="{00000000-0002-0000-1500-000003000000}">
      <formula1>$AO$26:$AO$27</formula1>
    </dataValidation>
  </dataValidations>
  <pageMargins left="0.75" right="0.75" top="1" bottom="1" header="0.5" footer="0.5"/>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autoFill="0" autoPict="0" macro="[0]!Chiller_reset">
                <anchor moveWithCells="1">
                  <from>
                    <xdr:col>1</xdr:col>
                    <xdr:colOff>19050</xdr:colOff>
                    <xdr:row>17</xdr:row>
                    <xdr:rowOff>146050</xdr:rowOff>
                  </from>
                  <to>
                    <xdr:col>2</xdr:col>
                    <xdr:colOff>209550</xdr:colOff>
                    <xdr:row>19</xdr:row>
                    <xdr:rowOff>146050</xdr:rowOff>
                  </to>
                </anchor>
              </controlPr>
            </control>
          </mc:Choice>
        </mc:AlternateContent>
        <mc:AlternateContent xmlns:mc="http://schemas.openxmlformats.org/markup-compatibility/2006">
          <mc:Choice Requires="x14">
            <control shapeId="52226" r:id="rId5" name="Button 2">
              <controlPr defaultSize="0" autoFill="0" autoPict="0" macro="[0]!Home">
                <anchor moveWithCells="1">
                  <from>
                    <xdr:col>1</xdr:col>
                    <xdr:colOff>19050</xdr:colOff>
                    <xdr:row>15</xdr:row>
                    <xdr:rowOff>114300</xdr:rowOff>
                  </from>
                  <to>
                    <xdr:col>2</xdr:col>
                    <xdr:colOff>209550</xdr:colOff>
                    <xdr:row>17</xdr:row>
                    <xdr:rowOff>76200</xdr:rowOff>
                  </to>
                </anchor>
              </controlPr>
            </control>
          </mc:Choice>
        </mc:AlternateContent>
        <mc:AlternateContent xmlns:mc="http://schemas.openxmlformats.org/markup-compatibility/2006">
          <mc:Choice Requires="x14">
            <control shapeId="52228" r:id="rId6" name="Option Button 4">
              <controlPr defaultSize="0" autoFill="0" autoLine="0" autoPict="0" macro="[0]!chiller_loadden">
                <anchor moveWithCells="1">
                  <from>
                    <xdr:col>1</xdr:col>
                    <xdr:colOff>0</xdr:colOff>
                    <xdr:row>2</xdr:row>
                    <xdr:rowOff>31750</xdr:rowOff>
                  </from>
                  <to>
                    <xdr:col>2</xdr:col>
                    <xdr:colOff>31750</xdr:colOff>
                    <xdr:row>3</xdr:row>
                    <xdr:rowOff>12700</xdr:rowOff>
                  </to>
                </anchor>
              </controlPr>
            </control>
          </mc:Choice>
        </mc:AlternateContent>
        <mc:AlternateContent xmlns:mc="http://schemas.openxmlformats.org/markup-compatibility/2006">
          <mc:Choice Requires="x14">
            <control shapeId="52229" r:id="rId7" name="Option Button 5">
              <controlPr defaultSize="0" autoFill="0" autoLine="0" autoPict="0" macro="[0]!Chiller_jobref">
                <anchor moveWithCells="1">
                  <from>
                    <xdr:col>1</xdr:col>
                    <xdr:colOff>0</xdr:colOff>
                    <xdr:row>3</xdr:row>
                    <xdr:rowOff>31750</xdr:rowOff>
                  </from>
                  <to>
                    <xdr:col>3</xdr:col>
                    <xdr:colOff>57150</xdr:colOff>
                    <xdr:row>3</xdr:row>
                    <xdr:rowOff>184150</xdr:rowOff>
                  </to>
                </anchor>
              </controlPr>
            </control>
          </mc:Choice>
        </mc:AlternateContent>
        <mc:AlternateContent xmlns:mc="http://schemas.openxmlformats.org/markup-compatibility/2006">
          <mc:Choice Requires="x14">
            <control shapeId="52230" r:id="rId8" name="Option Button 6">
              <controlPr defaultSize="0" autoFill="0" autoLine="0" autoPict="0" macro="[0]!Chiller_ELheat">
                <anchor moveWithCells="1">
                  <from>
                    <xdr:col>1</xdr:col>
                    <xdr:colOff>0</xdr:colOff>
                    <xdr:row>4</xdr:row>
                    <xdr:rowOff>165100</xdr:rowOff>
                  </from>
                  <to>
                    <xdr:col>3</xdr:col>
                    <xdr:colOff>76200</xdr:colOff>
                    <xdr:row>5</xdr:row>
                    <xdr:rowOff>152400</xdr:rowOff>
                  </to>
                </anchor>
              </controlPr>
            </control>
          </mc:Choice>
        </mc:AlternateContent>
        <mc:AlternateContent xmlns:mc="http://schemas.openxmlformats.org/markup-compatibility/2006">
          <mc:Choice Requires="x14">
            <control shapeId="52231" r:id="rId9" name="Option Button 7">
              <controlPr defaultSize="0" autoFill="0" autoLine="0" autoPict="0" macro="[0]!Chiller_IPLV">
                <anchor moveWithCells="1">
                  <from>
                    <xdr:col>1</xdr:col>
                    <xdr:colOff>0</xdr:colOff>
                    <xdr:row>4</xdr:row>
                    <xdr:rowOff>19050</xdr:rowOff>
                  </from>
                  <to>
                    <xdr:col>3</xdr:col>
                    <xdr:colOff>95250</xdr:colOff>
                    <xdr:row>4</xdr:row>
                    <xdr:rowOff>152400</xdr:rowOff>
                  </to>
                </anchor>
              </controlPr>
            </control>
          </mc:Choice>
        </mc:AlternateContent>
        <mc:AlternateContent xmlns:mc="http://schemas.openxmlformats.org/markup-compatibility/2006">
          <mc:Choice Requires="x14">
            <control shapeId="52233" r:id="rId10" name="Button 9">
              <controlPr defaultSize="0" autoFill="0" autoPict="0" macro="[0]!Chiller_loadden_reset">
                <anchor moveWithCells="1" sizeWithCells="1">
                  <from>
                    <xdr:col>6</xdr:col>
                    <xdr:colOff>19050</xdr:colOff>
                    <xdr:row>21</xdr:row>
                    <xdr:rowOff>114300</xdr:rowOff>
                  </from>
                  <to>
                    <xdr:col>6</xdr:col>
                    <xdr:colOff>609600</xdr:colOff>
                    <xdr:row>23</xdr:row>
                    <xdr:rowOff>19050</xdr:rowOff>
                  </to>
                </anchor>
              </controlPr>
            </control>
          </mc:Choice>
        </mc:AlternateContent>
        <mc:AlternateContent xmlns:mc="http://schemas.openxmlformats.org/markup-compatibility/2006">
          <mc:Choice Requires="x14">
            <control shapeId="52235" r:id="rId11" name="Button 11">
              <controlPr defaultSize="0" autoFill="0" autoPict="0" macro="[0]!Chiller_IPLV_reset">
                <anchor moveWithCells="1" sizeWithCells="1">
                  <from>
                    <xdr:col>30</xdr:col>
                    <xdr:colOff>571500</xdr:colOff>
                    <xdr:row>20</xdr:row>
                    <xdr:rowOff>57150</xdr:rowOff>
                  </from>
                  <to>
                    <xdr:col>30</xdr:col>
                    <xdr:colOff>1162050</xdr:colOff>
                    <xdr:row>21</xdr:row>
                    <xdr:rowOff>127000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0">
    <tabColor theme="7"/>
    <pageSetUpPr autoPageBreaks="0" fitToPage="1"/>
  </sheetPr>
  <dimension ref="B2:AW73"/>
  <sheetViews>
    <sheetView showGridLines="0" showRowColHeaders="0" zoomScaleNormal="100" workbookViewId="0"/>
  </sheetViews>
  <sheetFormatPr defaultColWidth="9.1796875" defaultRowHeight="11.5"/>
  <cols>
    <col min="1" max="1" width="2.7265625" style="1092" customWidth="1"/>
    <col min="2" max="2" width="9.453125" style="1092" bestFit="1" customWidth="1"/>
    <col min="3" max="3" width="9" style="1092" bestFit="1" customWidth="1"/>
    <col min="4" max="4" width="6.54296875" style="1092" bestFit="1" customWidth="1"/>
    <col min="5" max="5" width="1.7265625" style="1092" customWidth="1"/>
    <col min="6" max="6" width="3.7265625" style="1092" customWidth="1"/>
    <col min="7" max="7" width="3.54296875" style="1092" customWidth="1"/>
    <col min="8" max="8" width="16.81640625" style="1092" customWidth="1"/>
    <col min="9" max="9" width="7.453125" style="1092" customWidth="1"/>
    <col min="10" max="10" width="10.81640625" style="1092" customWidth="1"/>
    <col min="11" max="11" width="1.7265625" style="1092" customWidth="1"/>
    <col min="12" max="12" width="2.7265625" style="1092" customWidth="1"/>
    <col min="13" max="13" width="3.54296875" style="1092" customWidth="1"/>
    <col min="14" max="14" width="16.81640625" style="1092" customWidth="1"/>
    <col min="15" max="15" width="7.453125" style="1092" customWidth="1"/>
    <col min="16" max="16" width="10.81640625" style="1092" customWidth="1"/>
    <col min="17" max="17" width="1.7265625" style="1092" customWidth="1"/>
    <col min="18" max="18" width="3.7265625" style="1092" hidden="1" customWidth="1"/>
    <col min="19" max="19" width="3.54296875" style="1092" hidden="1" customWidth="1"/>
    <col min="20" max="20" width="16.81640625" style="1092" hidden="1" customWidth="1"/>
    <col min="21" max="21" width="7.453125" style="1092" hidden="1" customWidth="1"/>
    <col min="22" max="22" width="8.81640625" style="1092" hidden="1" customWidth="1"/>
    <col min="23" max="23" width="1.7265625" style="1092" hidden="1" customWidth="1"/>
    <col min="24" max="24" width="3.7265625" style="1092" hidden="1" customWidth="1"/>
    <col min="25" max="25" width="14.1796875" style="1092" hidden="1" customWidth="1"/>
    <col min="26" max="26" width="6.453125" style="1092" hidden="1" customWidth="1"/>
    <col min="27" max="27" width="12" style="1092" hidden="1" customWidth="1"/>
    <col min="28" max="28" width="1.7265625" style="1092" hidden="1" customWidth="1"/>
    <col min="29" max="29" width="5" style="1092" hidden="1" customWidth="1"/>
    <col min="30" max="30" width="14" style="1133" hidden="1" customWidth="1"/>
    <col min="31" max="31" width="10.453125" style="1133" hidden="1" customWidth="1"/>
    <col min="32" max="32" width="6.453125" style="1133" hidden="1" customWidth="1"/>
    <col min="33" max="33" width="5.7265625" style="1133" hidden="1" customWidth="1"/>
    <col min="34" max="34" width="5.453125" style="1133" hidden="1" customWidth="1"/>
    <col min="35" max="35" width="10.54296875" style="1133" hidden="1" customWidth="1"/>
    <col min="36" max="36" width="8.1796875" style="1133" hidden="1" customWidth="1"/>
    <col min="37" max="37" width="8.54296875" style="1133" hidden="1" customWidth="1"/>
    <col min="38" max="38" width="7.453125" style="1133" hidden="1" customWidth="1"/>
    <col min="39" max="39" width="10.54296875" style="1133" hidden="1" customWidth="1"/>
    <col min="40" max="40" width="8.1796875" style="1133" hidden="1" customWidth="1"/>
    <col min="41" max="41" width="6.453125" style="1133" hidden="1" customWidth="1"/>
    <col min="42" max="44" width="5.453125" style="1133" hidden="1" customWidth="1"/>
    <col min="45" max="45" width="6.1796875" style="284" bestFit="1" customWidth="1"/>
    <col min="46" max="47" width="9.1796875" style="284"/>
    <col min="48" max="48" width="8" style="284" bestFit="1" customWidth="1"/>
    <col min="49" max="49" width="12.453125" style="284" bestFit="1" customWidth="1"/>
    <col min="50" max="51" width="11.453125" style="1092" bestFit="1" customWidth="1"/>
    <col min="52" max="52" width="10.453125" style="1092" bestFit="1" customWidth="1"/>
    <col min="53" max="53" width="9.453125" style="1092" bestFit="1" customWidth="1"/>
    <col min="54" max="16384" width="9.1796875" style="1092"/>
  </cols>
  <sheetData>
    <row r="2" spans="2:37" ht="13">
      <c r="B2" s="2099" t="s">
        <v>1508</v>
      </c>
      <c r="C2" s="2100"/>
      <c r="D2" s="2100"/>
      <c r="E2" s="2098"/>
      <c r="G2" s="1972" t="s">
        <v>1501</v>
      </c>
      <c r="H2" s="1972"/>
      <c r="I2" s="1972"/>
      <c r="J2" s="1972"/>
      <c r="K2" s="1972"/>
      <c r="L2" s="1055"/>
      <c r="M2" s="1055"/>
      <c r="N2" s="1055"/>
      <c r="O2" s="1055"/>
      <c r="P2" s="1055"/>
      <c r="Q2" s="1055"/>
      <c r="S2" s="1972" t="s">
        <v>1512</v>
      </c>
      <c r="T2" s="1972"/>
      <c r="U2" s="1972"/>
      <c r="V2" s="1972"/>
      <c r="W2" s="1972"/>
      <c r="Y2" s="637" t="s">
        <v>1641</v>
      </c>
      <c r="Z2" s="637"/>
      <c r="AA2" s="637"/>
      <c r="AB2" s="637"/>
    </row>
    <row r="3" spans="2:37">
      <c r="B3" s="1139">
        <v>1</v>
      </c>
      <c r="C3" s="1094"/>
      <c r="D3" s="1094"/>
      <c r="E3" s="1095"/>
      <c r="AA3" s="1138" t="s">
        <v>1211</v>
      </c>
    </row>
    <row r="4" spans="2:37">
      <c r="B4" s="1096"/>
      <c r="E4" s="1060"/>
      <c r="G4" s="1093"/>
      <c r="H4" s="1094"/>
      <c r="I4" s="1094"/>
      <c r="J4" s="1094"/>
      <c r="K4" s="1095"/>
      <c r="M4" s="1093"/>
      <c r="N4" s="1094"/>
      <c r="O4" s="1094"/>
      <c r="P4" s="1094"/>
      <c r="Q4" s="1095"/>
      <c r="S4" s="1093"/>
      <c r="T4" s="1094"/>
      <c r="U4" s="1094"/>
      <c r="V4" s="1094"/>
      <c r="W4" s="1095"/>
      <c r="Y4" s="1093"/>
      <c r="Z4" s="1094"/>
      <c r="AA4" s="1094"/>
      <c r="AB4" s="1095"/>
    </row>
    <row r="5" spans="2:37">
      <c r="B5" s="1096"/>
      <c r="E5" s="1060"/>
      <c r="G5" s="1096" t="s">
        <v>600</v>
      </c>
      <c r="I5" s="1425"/>
      <c r="J5" s="1097" t="s">
        <v>599</v>
      </c>
      <c r="K5" s="1060"/>
      <c r="M5" s="1100" t="s">
        <v>602</v>
      </c>
      <c r="N5" s="1101"/>
      <c r="P5" s="1097"/>
      <c r="Q5" s="1102"/>
      <c r="S5" s="1096" t="s">
        <v>600</v>
      </c>
      <c r="U5" s="1425"/>
      <c r="V5" s="1097" t="s">
        <v>599</v>
      </c>
      <c r="W5" s="1060"/>
      <c r="Y5" s="1096" t="s">
        <v>1642</v>
      </c>
      <c r="Z5" s="1428"/>
      <c r="AA5" s="1137">
        <f>(Z5/1000/2)^2*PI()</f>
        <v>0</v>
      </c>
      <c r="AB5" s="1060"/>
    </row>
    <row r="6" spans="2:37">
      <c r="B6" s="1115"/>
      <c r="C6" s="1116"/>
      <c r="D6" s="1116"/>
      <c r="E6" s="1117"/>
      <c r="G6" s="1096" t="s">
        <v>601</v>
      </c>
      <c r="I6" s="1426"/>
      <c r="J6" s="1097" t="s">
        <v>155</v>
      </c>
      <c r="K6" s="1060"/>
      <c r="M6" s="1096"/>
      <c r="N6" s="1092" t="s">
        <v>1509</v>
      </c>
      <c r="O6" s="1425"/>
      <c r="P6" s="1097" t="s">
        <v>598</v>
      </c>
      <c r="Q6" s="1060"/>
      <c r="S6" s="1096" t="s">
        <v>601</v>
      </c>
      <c r="U6" s="1426"/>
      <c r="V6" s="1097" t="s">
        <v>1522</v>
      </c>
      <c r="W6" s="1060"/>
      <c r="Y6" s="1096" t="s">
        <v>1643</v>
      </c>
      <c r="Z6" s="1428"/>
      <c r="AA6" s="1137">
        <f t="shared" ref="AA6:AA9" si="0">(Z6/1000/2)^2*PI()</f>
        <v>0</v>
      </c>
      <c r="AB6" s="1060"/>
      <c r="AD6" s="284"/>
      <c r="AE6" s="284" t="s">
        <v>155</v>
      </c>
      <c r="AF6" s="284"/>
      <c r="AG6" s="284"/>
      <c r="AH6" s="284"/>
      <c r="AI6" s="284"/>
      <c r="AJ6" s="284"/>
      <c r="AK6" s="284"/>
    </row>
    <row r="7" spans="2:37">
      <c r="G7" s="1096" t="s">
        <v>597</v>
      </c>
      <c r="I7" s="1098" t="str">
        <f>IF(I5*I6&gt;0,I5*I6,"-")</f>
        <v>-</v>
      </c>
      <c r="J7" s="1097" t="s">
        <v>155</v>
      </c>
      <c r="K7" s="1060"/>
      <c r="M7" s="1096"/>
      <c r="N7" s="1092" t="s">
        <v>1502</v>
      </c>
      <c r="O7" s="1426"/>
      <c r="P7" s="1097"/>
      <c r="Q7" s="1060"/>
      <c r="S7" s="1096" t="s">
        <v>597</v>
      </c>
      <c r="U7" s="1099" t="str">
        <f>IF(U5*U6&gt;0,ROUND(U5*U6,2),"-")</f>
        <v>-</v>
      </c>
      <c r="V7" s="1097" t="s">
        <v>1522</v>
      </c>
      <c r="W7" s="1060"/>
      <c r="Y7" s="1096" t="s">
        <v>1644</v>
      </c>
      <c r="Z7" s="1428"/>
      <c r="AA7" s="1137">
        <f t="shared" si="0"/>
        <v>0</v>
      </c>
      <c r="AB7" s="1060"/>
      <c r="AD7" s="284"/>
      <c r="AE7" s="284" t="s">
        <v>156</v>
      </c>
      <c r="AF7" s="284"/>
      <c r="AG7" s="284"/>
      <c r="AH7" s="284"/>
      <c r="AI7" s="284"/>
      <c r="AJ7" s="284"/>
      <c r="AK7" s="284"/>
    </row>
    <row r="8" spans="2:37" ht="13">
      <c r="B8" s="2099" t="s">
        <v>1306</v>
      </c>
      <c r="C8" s="2100"/>
      <c r="D8" s="2100"/>
      <c r="E8" s="2098"/>
      <c r="G8" s="1096"/>
      <c r="J8" s="1097"/>
      <c r="K8" s="1060"/>
      <c r="M8" s="1096"/>
      <c r="N8" s="1119" t="s">
        <v>595</v>
      </c>
      <c r="O8" s="1098" t="str">
        <f>IF(I7="-","-",IF(O7=AE23,2,1))</f>
        <v>-</v>
      </c>
      <c r="P8" s="1097" t="s">
        <v>596</v>
      </c>
      <c r="Q8" s="1060"/>
      <c r="S8" s="1096"/>
      <c r="V8" s="1097"/>
      <c r="W8" s="1060"/>
      <c r="Y8" s="1096" t="s">
        <v>1645</v>
      </c>
      <c r="Z8" s="1428"/>
      <c r="AA8" s="1137">
        <f t="shared" si="0"/>
        <v>0</v>
      </c>
      <c r="AB8" s="1060"/>
      <c r="AD8" s="284"/>
      <c r="AE8" s="284" t="s">
        <v>6</v>
      </c>
      <c r="AF8" s="284"/>
      <c r="AG8" s="284"/>
      <c r="AH8" s="284"/>
      <c r="AI8" s="284"/>
      <c r="AJ8" s="284"/>
      <c r="AK8" s="284"/>
    </row>
    <row r="9" spans="2:37" ht="12.75" customHeight="1">
      <c r="B9" s="2139" t="s">
        <v>1649</v>
      </c>
      <c r="C9" s="1094"/>
      <c r="D9" s="1094"/>
      <c r="E9" s="1095"/>
      <c r="G9" s="1100" t="s">
        <v>1636</v>
      </c>
      <c r="J9" s="1097"/>
      <c r="K9" s="1060"/>
      <c r="M9" s="1096"/>
      <c r="N9" s="1119" t="s">
        <v>632</v>
      </c>
      <c r="O9" s="1120" t="str">
        <f>IF(I7="-","-",I7*1000/O8*O6/60)</f>
        <v>-</v>
      </c>
      <c r="P9" s="1097" t="s">
        <v>176</v>
      </c>
      <c r="Q9" s="1060"/>
      <c r="S9" s="1100" t="s">
        <v>695</v>
      </c>
      <c r="T9" s="1101"/>
      <c r="V9" s="1097"/>
      <c r="W9" s="1102"/>
      <c r="X9" s="1103"/>
      <c r="Y9" s="1096" t="s">
        <v>1646</v>
      </c>
      <c r="Z9" s="1428"/>
      <c r="AA9" s="1137">
        <f t="shared" si="0"/>
        <v>0</v>
      </c>
      <c r="AB9" s="1060"/>
      <c r="AD9" s="284"/>
      <c r="AE9" s="284" t="s">
        <v>146</v>
      </c>
      <c r="AF9" s="284"/>
      <c r="AG9" s="284"/>
      <c r="AH9" s="284"/>
      <c r="AI9" s="284"/>
      <c r="AJ9" s="284"/>
      <c r="AK9" s="284"/>
    </row>
    <row r="10" spans="2:37" ht="13.5" customHeight="1">
      <c r="B10" s="2140"/>
      <c r="C10" s="1425"/>
      <c r="D10" s="1140" t="s">
        <v>155</v>
      </c>
      <c r="E10" s="1060"/>
      <c r="G10" s="1096"/>
      <c r="H10" s="1092" t="s">
        <v>478</v>
      </c>
      <c r="I10" s="1104" t="str">
        <f>IF(I7="-","-",VLOOKUP(I6,AD32:AR37,12,FALSE))</f>
        <v>-</v>
      </c>
      <c r="J10" s="1097" t="s">
        <v>176</v>
      </c>
      <c r="K10" s="1060"/>
      <c r="M10" s="1096"/>
      <c r="Q10" s="1060"/>
      <c r="S10" s="1096"/>
      <c r="T10" s="1092" t="s">
        <v>1092</v>
      </c>
      <c r="U10" s="1427"/>
      <c r="V10" s="1097" t="s">
        <v>1517</v>
      </c>
      <c r="W10" s="1060"/>
      <c r="X10" s="1103"/>
      <c r="Y10" s="1122"/>
      <c r="Z10" s="1103"/>
      <c r="AA10" s="1103"/>
      <c r="AB10" s="1102"/>
      <c r="AD10" s="284"/>
      <c r="AE10" s="284" t="s">
        <v>147</v>
      </c>
      <c r="AF10" s="284"/>
      <c r="AG10" s="284"/>
      <c r="AH10" s="284"/>
      <c r="AI10" s="284"/>
      <c r="AJ10" s="284"/>
      <c r="AK10" s="284"/>
    </row>
    <row r="11" spans="2:37" ht="13.5">
      <c r="B11" s="2140"/>
      <c r="C11" s="1125" t="str">
        <f t="shared" ref="C11:C16" si="1">IF($C$10&gt;0,SUM(AE14:AJ14),"-")</f>
        <v>-</v>
      </c>
      <c r="D11" s="1126" t="s">
        <v>155</v>
      </c>
      <c r="E11" s="1060"/>
      <c r="G11" s="1096"/>
      <c r="H11" s="1092" t="s">
        <v>445</v>
      </c>
      <c r="I11" s="1104" t="str">
        <f>IF($I$7="-","-",VLOOKUP($I$6,$AD$32:$AR$37,13,FALSE))</f>
        <v>-</v>
      </c>
      <c r="J11" s="1097" t="s">
        <v>0</v>
      </c>
      <c r="K11" s="1060"/>
      <c r="M11" s="2137" t="s">
        <v>1505</v>
      </c>
      <c r="N11" s="2138"/>
      <c r="O11" s="2138"/>
      <c r="P11" s="2138"/>
      <c r="Q11" s="1060"/>
      <c r="S11" s="1096"/>
      <c r="T11" s="1092" t="s">
        <v>1093</v>
      </c>
      <c r="U11" s="1427"/>
      <c r="V11" s="1097" t="s">
        <v>1517</v>
      </c>
      <c r="W11" s="1060"/>
      <c r="X11" s="1103"/>
      <c r="Y11" s="1096" t="s">
        <v>604</v>
      </c>
      <c r="Z11" s="1109" t="str">
        <f>IF(AA12&gt;0,MROUND(AA12,50),"-")</f>
        <v>-</v>
      </c>
      <c r="AA11" s="1103">
        <f>IF(SUM(AA6:AA9)=0,AA5,IF(SUM(AA5:AA9)&gt;0,SUM(AA5:AA9)*1.2,0))</f>
        <v>0</v>
      </c>
      <c r="AB11" s="1102"/>
      <c r="AD11" s="284"/>
      <c r="AE11" s="284" t="s">
        <v>1647</v>
      </c>
      <c r="AF11" s="284"/>
      <c r="AG11" s="284"/>
      <c r="AH11" s="284"/>
      <c r="AI11" s="284"/>
      <c r="AJ11" s="284"/>
      <c r="AK11" s="284"/>
    </row>
    <row r="12" spans="2:37">
      <c r="B12" s="1132"/>
      <c r="C12" s="1125" t="str">
        <f t="shared" si="1"/>
        <v>-</v>
      </c>
      <c r="D12" s="1126" t="s">
        <v>156</v>
      </c>
      <c r="E12" s="1060"/>
      <c r="G12" s="1096"/>
      <c r="H12" s="1092" t="s">
        <v>446</v>
      </c>
      <c r="I12" s="1104" t="str">
        <f>IF($I$7="-","-",VLOOKUP($I$6,$AD$32:$AR$37,14,FALSE))</f>
        <v>-</v>
      </c>
      <c r="J12" s="1097" t="s">
        <v>0</v>
      </c>
      <c r="K12" s="1060"/>
      <c r="M12" s="1096"/>
      <c r="N12" s="1092" t="s">
        <v>1509</v>
      </c>
      <c r="O12" s="1425"/>
      <c r="P12" s="1097" t="s">
        <v>598</v>
      </c>
      <c r="Q12" s="1060"/>
      <c r="S12" s="1096"/>
      <c r="T12" s="1092" t="s">
        <v>366</v>
      </c>
      <c r="U12" s="1105">
        <f>U10-U11</f>
        <v>0</v>
      </c>
      <c r="V12" s="1097"/>
      <c r="W12" s="1102"/>
      <c r="X12" s="1103"/>
      <c r="Y12" s="1115"/>
      <c r="Z12" s="1116"/>
      <c r="AA12" s="1123">
        <f>(AA11/PI())^0.5*2*1000</f>
        <v>0</v>
      </c>
      <c r="AB12" s="1124"/>
      <c r="AD12" s="284"/>
      <c r="AE12" s="284"/>
      <c r="AF12" s="284"/>
      <c r="AG12" s="284"/>
      <c r="AH12" s="284"/>
      <c r="AI12" s="284"/>
      <c r="AJ12" s="284"/>
      <c r="AK12" s="284"/>
    </row>
    <row r="13" spans="2:37">
      <c r="B13" s="1096"/>
      <c r="C13" s="1125" t="str">
        <f t="shared" si="1"/>
        <v>-</v>
      </c>
      <c r="D13" s="1126" t="s">
        <v>6</v>
      </c>
      <c r="E13" s="1060"/>
      <c r="G13" s="1096"/>
      <c r="H13" s="1092" t="s">
        <v>1311</v>
      </c>
      <c r="I13" s="1104" t="str">
        <f>IF($I$7="-","-",VLOOKUP($I$6,$AD$32:$AR$37,15,FALSE))</f>
        <v>-</v>
      </c>
      <c r="J13" s="1097" t="s">
        <v>0</v>
      </c>
      <c r="K13" s="1102"/>
      <c r="L13" s="1103"/>
      <c r="M13" s="1096"/>
      <c r="N13" s="1119" t="s">
        <v>696</v>
      </c>
      <c r="O13" s="1121" t="str">
        <f>IF(I7="-","-",I7*1000*O12/60)</f>
        <v>-</v>
      </c>
      <c r="P13" s="1097" t="s">
        <v>176</v>
      </c>
      <c r="Q13" s="1060"/>
      <c r="S13" s="1096"/>
      <c r="W13" s="1060"/>
      <c r="X13" s="1103"/>
      <c r="Y13" s="1103"/>
      <c r="Z13" s="1103"/>
      <c r="AA13" s="1103"/>
      <c r="AB13" s="1103"/>
      <c r="AD13" s="284"/>
      <c r="AE13" s="284" t="s">
        <v>155</v>
      </c>
      <c r="AF13" s="284" t="s">
        <v>156</v>
      </c>
      <c r="AG13" s="284" t="s">
        <v>6</v>
      </c>
      <c r="AH13" s="284" t="s">
        <v>146</v>
      </c>
      <c r="AI13" s="284" t="s">
        <v>147</v>
      </c>
      <c r="AJ13" s="284" t="s">
        <v>1647</v>
      </c>
      <c r="AK13" s="284"/>
    </row>
    <row r="14" spans="2:37">
      <c r="B14" s="1096"/>
      <c r="C14" s="1125" t="str">
        <f t="shared" si="1"/>
        <v>-</v>
      </c>
      <c r="D14" s="1126" t="s">
        <v>146</v>
      </c>
      <c r="E14" s="1128"/>
      <c r="G14" s="1096"/>
      <c r="K14" s="1102"/>
      <c r="L14" s="1103"/>
      <c r="M14" s="1096"/>
      <c r="Q14" s="1060"/>
      <c r="S14" s="1100" t="s">
        <v>1636</v>
      </c>
      <c r="V14" s="1097"/>
      <c r="W14" s="1060"/>
      <c r="X14" s="1103"/>
      <c r="AD14" s="284" t="s">
        <v>155</v>
      </c>
      <c r="AE14" s="1795">
        <f>IF($D$10=$D11,$C$10,0)</f>
        <v>0</v>
      </c>
      <c r="AF14" s="1795">
        <f>AF15/1000</f>
        <v>0</v>
      </c>
      <c r="AG14" s="1795">
        <f>AG15/1000</f>
        <v>0</v>
      </c>
      <c r="AH14" s="1795">
        <f>AH15/1000</f>
        <v>0</v>
      </c>
      <c r="AI14" s="1795">
        <f>AI15/1000</f>
        <v>0</v>
      </c>
      <c r="AJ14" s="1795">
        <f>AJ15/1000</f>
        <v>0</v>
      </c>
      <c r="AK14" s="284"/>
    </row>
    <row r="15" spans="2:37">
      <c r="B15" s="1096"/>
      <c r="C15" s="1127" t="str">
        <f t="shared" si="1"/>
        <v>-</v>
      </c>
      <c r="D15" s="1126" t="s">
        <v>147</v>
      </c>
      <c r="E15" s="1129"/>
      <c r="G15" s="1100" t="s">
        <v>605</v>
      </c>
      <c r="K15" s="1060"/>
      <c r="L15" s="1103"/>
      <c r="M15" s="1100" t="s">
        <v>603</v>
      </c>
      <c r="N15" s="1101"/>
      <c r="O15" s="1101"/>
      <c r="P15" s="1101"/>
      <c r="Q15" s="1060"/>
      <c r="S15" s="1096"/>
      <c r="T15" s="1092" t="s">
        <v>478</v>
      </c>
      <c r="U15" s="1104" t="str">
        <f>IF(U7="-","-",VLOOKUP(U6,AD43:AR51,12,FALSE))</f>
        <v>-</v>
      </c>
      <c r="V15" s="1097" t="s">
        <v>176</v>
      </c>
      <c r="W15" s="1060"/>
      <c r="X15" s="1103"/>
      <c r="AD15" s="284" t="s">
        <v>156</v>
      </c>
      <c r="AE15" s="1795">
        <f>AE14*1000</f>
        <v>0</v>
      </c>
      <c r="AF15" s="1795">
        <f>IF($D$10=$D12,$C$10,0)</f>
        <v>0</v>
      </c>
      <c r="AG15" s="1795">
        <f>AG16/668*1000</f>
        <v>0</v>
      </c>
      <c r="AH15" s="1795">
        <f>AH16/668*1000</f>
        <v>0</v>
      </c>
      <c r="AI15" s="1795">
        <f>AI16/668*1000</f>
        <v>0</v>
      </c>
      <c r="AJ15" s="1795">
        <f>AJ16/668*1000</f>
        <v>0</v>
      </c>
      <c r="AK15" s="284"/>
    </row>
    <row r="16" spans="2:37">
      <c r="B16" s="1115"/>
      <c r="C16" s="1141" t="str">
        <f t="shared" si="1"/>
        <v>-</v>
      </c>
      <c r="D16" s="1130" t="s">
        <v>1647</v>
      </c>
      <c r="E16" s="1131"/>
      <c r="G16" s="1096"/>
      <c r="H16" s="1092" t="s">
        <v>1510</v>
      </c>
      <c r="I16" s="1109" t="str">
        <f>IF(I7="-","-",VLOOKUP(I6,AD32:AH37,2,FALSE))</f>
        <v>-</v>
      </c>
      <c r="J16" s="1092" t="s">
        <v>1511</v>
      </c>
      <c r="K16" s="1060"/>
      <c r="M16" s="1096"/>
      <c r="N16" s="1092" t="s">
        <v>1271</v>
      </c>
      <c r="O16" s="1106" t="s">
        <v>1506</v>
      </c>
      <c r="Q16" s="1060"/>
      <c r="S16" s="1096"/>
      <c r="T16" s="1092" t="s">
        <v>445</v>
      </c>
      <c r="U16" s="1104" t="str">
        <f>IF($U$7="-","-",VLOOKUP($U$6,$AD$43:$AR$51,13,FALSE))</f>
        <v>-</v>
      </c>
      <c r="V16" s="1097" t="s">
        <v>0</v>
      </c>
      <c r="W16" s="1060"/>
      <c r="AD16" s="284" t="s">
        <v>6</v>
      </c>
      <c r="AE16" s="1795">
        <f>AE14*668</f>
        <v>0</v>
      </c>
      <c r="AF16" s="1795">
        <f>AF14*668</f>
        <v>0</v>
      </c>
      <c r="AG16" s="1795">
        <f>IF($D$10=$D13,$C$10,0)</f>
        <v>0</v>
      </c>
      <c r="AH16" s="1795">
        <f>AH17*9.83</f>
        <v>0</v>
      </c>
      <c r="AI16" s="1795">
        <f>AI17*9.83</f>
        <v>0</v>
      </c>
      <c r="AJ16" s="1795">
        <f>AJ18/3412</f>
        <v>0</v>
      </c>
      <c r="AK16" s="284"/>
    </row>
    <row r="17" spans="4:49">
      <c r="D17" s="1126"/>
      <c r="E17" s="1126"/>
      <c r="G17" s="1096"/>
      <c r="K17" s="1060"/>
      <c r="M17" s="1096"/>
      <c r="O17" s="1119" t="str">
        <f>IF(I6*I5&gt;0,"= "&amp;I6&amp;" x (1 + 0.13) x 1.1","-")</f>
        <v>-</v>
      </c>
      <c r="Q17" s="1060"/>
      <c r="S17" s="1096"/>
      <c r="T17" s="1092" t="s">
        <v>446</v>
      </c>
      <c r="U17" s="1104" t="str">
        <f>IF($U$7="-","-",VLOOKUP($U$6,$AD$43:$AR$51,14,FALSE))</f>
        <v>-</v>
      </c>
      <c r="V17" s="1097" t="s">
        <v>0</v>
      </c>
      <c r="W17" s="1060"/>
      <c r="AD17" s="284" t="s">
        <v>146</v>
      </c>
      <c r="AE17" s="1795">
        <f>AE16/9.83</f>
        <v>0</v>
      </c>
      <c r="AF17" s="1795">
        <f>AF16/9.83</f>
        <v>0</v>
      </c>
      <c r="AG17" s="1795">
        <f>AG16/9.83</f>
        <v>0</v>
      </c>
      <c r="AH17" s="1795">
        <f>IF($D$10=$D14,$C$10,0)</f>
        <v>0</v>
      </c>
      <c r="AI17" s="1795">
        <f>AI18/33439</f>
        <v>0</v>
      </c>
      <c r="AJ17" s="1795">
        <f>AJ16/2.6</f>
        <v>0</v>
      </c>
      <c r="AK17" s="284"/>
    </row>
    <row r="18" spans="4:49" ht="13.5">
      <c r="D18" s="1126"/>
      <c r="E18" s="1126"/>
      <c r="G18" s="1100" t="s">
        <v>607</v>
      </c>
      <c r="K18" s="1060"/>
      <c r="M18" s="1096"/>
      <c r="O18" s="1107" t="str">
        <f>IF(I7="-","-",(I6+I6*0.13)*1.1)</f>
        <v>-</v>
      </c>
      <c r="P18" s="1097" t="s">
        <v>1190</v>
      </c>
      <c r="Q18" s="1060"/>
      <c r="S18" s="1096"/>
      <c r="T18" s="1092" t="s">
        <v>1311</v>
      </c>
      <c r="U18" s="1104" t="str">
        <f>IF($U$7="-","-",VLOOKUP($U$6,$AD$43:$AR$51,15,FALSE))</f>
        <v>-</v>
      </c>
      <c r="V18" s="1097" t="s">
        <v>0</v>
      </c>
      <c r="W18" s="1060"/>
      <c r="AD18" s="284" t="s">
        <v>147</v>
      </c>
      <c r="AE18" s="1795">
        <f>AE17*33439</f>
        <v>0</v>
      </c>
      <c r="AF18" s="1795">
        <f>AF17*33439</f>
        <v>0</v>
      </c>
      <c r="AG18" s="1795">
        <f>AG17*33439</f>
        <v>0</v>
      </c>
      <c r="AH18" s="1795">
        <f>AH17*33439</f>
        <v>0</v>
      </c>
      <c r="AI18" s="1795">
        <f>IF($D$10=$D15,$C$10,0)</f>
        <v>0</v>
      </c>
      <c r="AJ18" s="1795">
        <f>AJ19/860*3412</f>
        <v>0</v>
      </c>
      <c r="AK18" s="284"/>
    </row>
    <row r="19" spans="4:49">
      <c r="D19" s="1126"/>
      <c r="E19" s="1126"/>
      <c r="G19" s="1096"/>
      <c r="H19" s="1092" t="s">
        <v>612</v>
      </c>
      <c r="I19" s="1104" t="str">
        <f>IF(I7="-","-",VLOOKUP(I6,AD32:AH37,3,FALSE))</f>
        <v>-</v>
      </c>
      <c r="J19" s="1092" t="s">
        <v>156</v>
      </c>
      <c r="K19" s="1060"/>
      <c r="M19" s="1096"/>
      <c r="O19" s="1107" t="str">
        <f>IF(O18="-","-",O18/3.6)</f>
        <v>-</v>
      </c>
      <c r="P19" s="1097" t="s">
        <v>3</v>
      </c>
      <c r="Q19" s="1060"/>
      <c r="S19" s="1096"/>
      <c r="V19" s="1097"/>
      <c r="W19" s="1060"/>
      <c r="AD19" s="284" t="s">
        <v>1648</v>
      </c>
      <c r="AE19" s="1795">
        <f>AE16*860</f>
        <v>0</v>
      </c>
      <c r="AF19" s="1795">
        <f>AF16*860</f>
        <v>0</v>
      </c>
      <c r="AG19" s="1795">
        <f>AG16*860</f>
        <v>0</v>
      </c>
      <c r="AH19" s="1795">
        <f>AH16*860</f>
        <v>0</v>
      </c>
      <c r="AI19" s="1795">
        <f>AI16*860</f>
        <v>0</v>
      </c>
      <c r="AJ19" s="1795">
        <f>IF($D$10=$D16,$C$10,0)</f>
        <v>0</v>
      </c>
      <c r="AK19" s="284"/>
    </row>
    <row r="20" spans="4:49">
      <c r="D20" s="1126"/>
      <c r="E20" s="1126"/>
      <c r="G20" s="1096"/>
      <c r="H20" s="1110" t="s">
        <v>382</v>
      </c>
      <c r="I20" s="1111" t="str">
        <f>IF(I7="-","-",I19*I5)</f>
        <v>-</v>
      </c>
      <c r="J20" s="1101" t="s">
        <v>156</v>
      </c>
      <c r="K20" s="1060"/>
      <c r="M20" s="1096"/>
      <c r="Q20" s="1060"/>
      <c r="S20" s="2137" t="s">
        <v>603</v>
      </c>
      <c r="T20" s="2138"/>
      <c r="U20" s="2138"/>
      <c r="W20" s="1060"/>
      <c r="AD20" s="284"/>
      <c r="AE20" s="284"/>
      <c r="AF20" s="284"/>
      <c r="AG20" s="284"/>
      <c r="AH20" s="284"/>
      <c r="AI20" s="284"/>
      <c r="AJ20" s="284"/>
      <c r="AK20" s="284"/>
    </row>
    <row r="21" spans="4:49" ht="13.5">
      <c r="G21" s="1096"/>
      <c r="H21" s="1092" t="s">
        <v>611</v>
      </c>
      <c r="I21" s="1112" t="str">
        <f>IF(I7="-","-",VLOOKUP(I6,AD32:AH37,5,FALSE))</f>
        <v>-</v>
      </c>
      <c r="J21" s="1092" t="s">
        <v>610</v>
      </c>
      <c r="K21" s="1060"/>
      <c r="M21" s="2137" t="s">
        <v>633</v>
      </c>
      <c r="N21" s="2138"/>
      <c r="O21" s="1101"/>
      <c r="Q21" s="1060"/>
      <c r="S21" s="1096"/>
      <c r="T21" s="1092" t="s">
        <v>1271</v>
      </c>
      <c r="U21" s="1106" t="s">
        <v>1518</v>
      </c>
      <c r="W21" s="1060"/>
    </row>
    <row r="22" spans="4:49">
      <c r="G22" s="1096"/>
      <c r="H22" s="1110" t="s">
        <v>382</v>
      </c>
      <c r="I22" s="1113" t="str">
        <f>IF(I7="-","-",I21*I5)</f>
        <v>-</v>
      </c>
      <c r="J22" s="1101" t="s">
        <v>156</v>
      </c>
      <c r="K22" s="1060"/>
      <c r="M22" s="1096"/>
      <c r="N22" s="1092" t="s">
        <v>1271</v>
      </c>
      <c r="O22" s="1106" t="s">
        <v>1507</v>
      </c>
      <c r="P22" s="1099"/>
      <c r="Q22" s="1060"/>
      <c r="S22" s="1096"/>
      <c r="U22" s="1106" t="str">
        <f>IF(U7="-","-","= "&amp;ROUND(U6,2)*1000&amp;" /4.185 / "&amp;U12)</f>
        <v>-</v>
      </c>
      <c r="W22" s="1060"/>
    </row>
    <row r="23" spans="4:49">
      <c r="G23" s="1096"/>
      <c r="K23" s="1060"/>
      <c r="M23" s="1096"/>
      <c r="O23" s="1092" t="str">
        <f>IF(O18="-","-","= 1.5 x "&amp;ROUND(O18,2))</f>
        <v>-</v>
      </c>
      <c r="P23" s="1099"/>
      <c r="Q23" s="1060"/>
      <c r="S23" s="1096"/>
      <c r="U23" s="1107" t="str">
        <f>IF(U5*U6*U10*U11=0,"-",U6*1000/4.185/U12)</f>
        <v>-</v>
      </c>
      <c r="V23" s="1097" t="s">
        <v>3</v>
      </c>
      <c r="W23" s="1060"/>
      <c r="AE23" s="1135" t="s">
        <v>1503</v>
      </c>
      <c r="AG23" s="1133" t="s">
        <v>3</v>
      </c>
    </row>
    <row r="24" spans="4:49" ht="13.5">
      <c r="G24" s="1100" t="s">
        <v>625</v>
      </c>
      <c r="K24" s="1060"/>
      <c r="M24" s="1096"/>
      <c r="O24" s="1107" t="str">
        <f>IF(I7="-","-",O18*1.5)</f>
        <v>-</v>
      </c>
      <c r="P24" s="1097" t="s">
        <v>1190</v>
      </c>
      <c r="Q24" s="1060"/>
      <c r="S24" s="1096"/>
      <c r="U24" s="1108" t="str">
        <f>IF(U23="-","-",U23*3.6)</f>
        <v>-</v>
      </c>
      <c r="V24" s="1097" t="s">
        <v>1190</v>
      </c>
      <c r="W24" s="1060"/>
      <c r="AE24" s="1135" t="s">
        <v>1504</v>
      </c>
      <c r="AG24" s="1133" t="s">
        <v>1519</v>
      </c>
    </row>
    <row r="25" spans="4:49">
      <c r="G25" s="1096"/>
      <c r="H25" s="1092" t="s">
        <v>608</v>
      </c>
      <c r="I25" s="1114" t="str">
        <f>IF(I7="-","-","ø"&amp;VLOOKUP(I6,AD32:AN37,4,FALSE))</f>
        <v>-</v>
      </c>
      <c r="K25" s="1060"/>
      <c r="M25" s="1096"/>
      <c r="O25" s="1107" t="str">
        <f>IF(O24="-","-",O24/3.6)</f>
        <v>-</v>
      </c>
      <c r="P25" s="1097" t="s">
        <v>3</v>
      </c>
      <c r="Q25" s="1060"/>
      <c r="S25" s="1100" t="s">
        <v>605</v>
      </c>
      <c r="W25" s="1060"/>
    </row>
    <row r="26" spans="4:49">
      <c r="G26" s="1096"/>
      <c r="H26" s="1092" t="s">
        <v>622</v>
      </c>
      <c r="I26" s="1114" t="str">
        <f>IF(I7="-","-","ø"&amp;VLOOKUP(I6,AD32:AN37,6,FALSE))</f>
        <v>-</v>
      </c>
      <c r="K26" s="1060"/>
      <c r="M26" s="1115"/>
      <c r="N26" s="1116"/>
      <c r="O26" s="1116"/>
      <c r="P26" s="1116"/>
      <c r="Q26" s="1117"/>
      <c r="S26" s="1096"/>
      <c r="T26" s="1092" t="s">
        <v>1510</v>
      </c>
      <c r="U26" s="1109" t="str">
        <f>IF(U7="-","-",VLOOKUP(U6,AD43:AH51,2,FALSE))</f>
        <v>-</v>
      </c>
      <c r="V26" s="1092" t="s">
        <v>1511</v>
      </c>
      <c r="W26" s="1060"/>
    </row>
    <row r="27" spans="4:49">
      <c r="G27" s="1096"/>
      <c r="H27" s="1092" t="s">
        <v>623</v>
      </c>
      <c r="I27" s="1114" t="str">
        <f>IF(I7="-","-","ø"&amp;VLOOKUP(I6,AD32:AN37,7,FALSE))</f>
        <v>-</v>
      </c>
      <c r="K27" s="1060"/>
      <c r="S27" s="1096"/>
      <c r="W27" s="1060"/>
    </row>
    <row r="28" spans="4:49">
      <c r="G28" s="1096"/>
      <c r="H28" s="1092" t="s">
        <v>624</v>
      </c>
      <c r="I28" s="1114" t="str">
        <f>IF(I7="-","-","ø"&amp;VLOOKUP(I6,AD32:AN37,9,FALSE))</f>
        <v>-</v>
      </c>
      <c r="K28" s="1060"/>
      <c r="S28" s="1100" t="s">
        <v>607</v>
      </c>
      <c r="W28" s="1060"/>
      <c r="AD28" s="1133" t="s">
        <v>1515</v>
      </c>
    </row>
    <row r="29" spans="4:49">
      <c r="G29" s="1096"/>
      <c r="H29" s="1092" t="s">
        <v>621</v>
      </c>
      <c r="I29" s="1114" t="str">
        <f>IF(I7="-","-","ø"&amp;VLOOKUP(I6,AD32:AN37,9,FALSE))</f>
        <v>-</v>
      </c>
      <c r="K29" s="1060"/>
      <c r="S29" s="1096"/>
      <c r="T29" s="1092" t="s">
        <v>612</v>
      </c>
      <c r="U29" s="1104" t="str">
        <f>IF(U7="-","-",VLOOKUP(U6,AD43:AI51,3,FALSE))</f>
        <v>-</v>
      </c>
      <c r="V29" s="1092" t="s">
        <v>156</v>
      </c>
      <c r="W29" s="1060"/>
      <c r="AD29" s="1133">
        <v>1</v>
      </c>
      <c r="AE29" s="1133">
        <v>2</v>
      </c>
      <c r="AF29" s="1133">
        <v>3</v>
      </c>
      <c r="AG29" s="1133">
        <v>4</v>
      </c>
      <c r="AH29" s="1133">
        <v>5</v>
      </c>
      <c r="AI29" s="1133">
        <v>6</v>
      </c>
      <c r="AJ29" s="1133">
        <v>7</v>
      </c>
      <c r="AK29" s="1133">
        <v>8</v>
      </c>
      <c r="AL29" s="1133">
        <v>9</v>
      </c>
      <c r="AM29" s="1133">
        <v>10</v>
      </c>
      <c r="AN29" s="1133">
        <v>11</v>
      </c>
      <c r="AO29" s="1133">
        <v>12</v>
      </c>
      <c r="AP29" s="1133">
        <v>13</v>
      </c>
      <c r="AQ29" s="1133">
        <v>14</v>
      </c>
      <c r="AR29" s="1133">
        <v>15</v>
      </c>
    </row>
    <row r="30" spans="4:49">
      <c r="G30" s="1096"/>
      <c r="H30" s="1092" t="s">
        <v>158</v>
      </c>
      <c r="I30" s="1112" t="str">
        <f>IF(I7="-","-",VLOOKUP(I6,AD32:AN37,10,FALSE))</f>
        <v>-</v>
      </c>
      <c r="J30" s="1092" t="s">
        <v>6</v>
      </c>
      <c r="K30" s="1060"/>
      <c r="S30" s="1096"/>
      <c r="T30" s="1110" t="s">
        <v>382</v>
      </c>
      <c r="U30" s="1111" t="str">
        <f>IF(U7="-","-",U29*U5)</f>
        <v>-</v>
      </c>
      <c r="V30" s="1101" t="s">
        <v>156</v>
      </c>
      <c r="W30" s="1060"/>
      <c r="AF30" s="2135" t="s">
        <v>608</v>
      </c>
      <c r="AG30" s="2135"/>
      <c r="AH30" s="1133" t="s">
        <v>606</v>
      </c>
    </row>
    <row r="31" spans="4:49" ht="13.5">
      <c r="G31" s="1115"/>
      <c r="H31" s="1116"/>
      <c r="I31" s="1116"/>
      <c r="J31" s="1116"/>
      <c r="K31" s="1117"/>
      <c r="S31" s="1096"/>
      <c r="T31" s="1092" t="s">
        <v>611</v>
      </c>
      <c r="U31" s="1112" t="str">
        <f>IF(U7="-","-",VLOOKUP(U6,AD43:AI51,5,FALSE))</f>
        <v>-</v>
      </c>
      <c r="V31" s="1092" t="s">
        <v>610</v>
      </c>
      <c r="W31" s="1060"/>
      <c r="AE31" s="1133" t="s">
        <v>609</v>
      </c>
      <c r="AG31" s="1133" t="s">
        <v>613</v>
      </c>
      <c r="AI31" s="1133" t="s">
        <v>618</v>
      </c>
      <c r="AJ31" s="1133" t="s">
        <v>619</v>
      </c>
      <c r="AL31" s="1133" t="s">
        <v>620</v>
      </c>
      <c r="AM31" s="1133" t="s">
        <v>621</v>
      </c>
      <c r="AN31" s="1133" t="s">
        <v>158</v>
      </c>
      <c r="AO31" s="1133" t="s">
        <v>176</v>
      </c>
      <c r="AP31" s="1133" t="s">
        <v>182</v>
      </c>
      <c r="AQ31" s="1133" t="s">
        <v>173</v>
      </c>
      <c r="AR31" s="1133" t="s">
        <v>183</v>
      </c>
      <c r="AT31" s="1092"/>
      <c r="AU31" s="1092"/>
      <c r="AV31" s="1092"/>
      <c r="AW31" s="1092"/>
    </row>
    <row r="32" spans="4:49" ht="12">
      <c r="G32" s="762" t="s">
        <v>626</v>
      </c>
      <c r="H32" s="1118"/>
      <c r="S32" s="1096"/>
      <c r="T32" s="1110" t="s">
        <v>382</v>
      </c>
      <c r="U32" s="1113" t="str">
        <f>IF(U7="-","-",U31*U5)</f>
        <v>-</v>
      </c>
      <c r="V32" s="1101" t="s">
        <v>156</v>
      </c>
      <c r="W32" s="1060"/>
      <c r="AD32" s="1133">
        <v>1</v>
      </c>
      <c r="AE32" s="1133">
        <v>300</v>
      </c>
      <c r="AF32" s="1133">
        <v>75</v>
      </c>
      <c r="AG32" s="1136" t="s">
        <v>614</v>
      </c>
      <c r="AH32" s="1133">
        <v>90</v>
      </c>
      <c r="AI32" s="1135">
        <v>40</v>
      </c>
      <c r="AJ32" s="1135">
        <v>40</v>
      </c>
      <c r="AK32" s="1135"/>
      <c r="AL32" s="1133">
        <v>32</v>
      </c>
      <c r="AM32" s="1133">
        <v>65</v>
      </c>
      <c r="AN32" s="1133">
        <v>4</v>
      </c>
      <c r="AO32" s="1133">
        <f t="shared" ref="AO32:AR37" si="2">AK54</f>
        <v>9480</v>
      </c>
      <c r="AP32" s="1133">
        <f t="shared" si="2"/>
        <v>3827</v>
      </c>
      <c r="AQ32" s="1133">
        <f t="shared" si="2"/>
        <v>2410</v>
      </c>
      <c r="AR32" s="1133">
        <f t="shared" si="2"/>
        <v>2475</v>
      </c>
      <c r="AT32" s="1092"/>
      <c r="AU32" s="1092"/>
      <c r="AV32" s="1092"/>
      <c r="AW32" s="1092"/>
    </row>
    <row r="33" spans="7:49" ht="12">
      <c r="G33" s="762" t="s">
        <v>631</v>
      </c>
      <c r="H33" s="1118"/>
      <c r="S33" s="1096"/>
      <c r="W33" s="1060"/>
      <c r="AD33" s="1133">
        <v>1.5</v>
      </c>
      <c r="AE33" s="1133">
        <v>350</v>
      </c>
      <c r="AF33" s="1133">
        <v>110</v>
      </c>
      <c r="AG33" s="1136" t="s">
        <v>614</v>
      </c>
      <c r="AH33" s="1133">
        <v>130</v>
      </c>
      <c r="AI33" s="1135">
        <v>50</v>
      </c>
      <c r="AJ33" s="1135">
        <v>40</v>
      </c>
      <c r="AK33" s="1135"/>
      <c r="AL33" s="1133">
        <v>32</v>
      </c>
      <c r="AM33" s="1133">
        <v>100</v>
      </c>
      <c r="AN33" s="1133">
        <v>5</v>
      </c>
      <c r="AO33" s="1133">
        <f t="shared" si="2"/>
        <v>11354</v>
      </c>
      <c r="AP33" s="1133">
        <f t="shared" si="2"/>
        <v>4327</v>
      </c>
      <c r="AQ33" s="1133">
        <f t="shared" si="2"/>
        <v>2510</v>
      </c>
      <c r="AR33" s="1133">
        <f t="shared" si="2"/>
        <v>2575</v>
      </c>
      <c r="AT33" s="1092"/>
      <c r="AU33" s="1092"/>
      <c r="AV33" s="1092"/>
      <c r="AW33" s="1092"/>
    </row>
    <row r="34" spans="7:49" ht="12">
      <c r="G34" s="762" t="s">
        <v>630</v>
      </c>
      <c r="H34" s="1118"/>
      <c r="S34" s="1100" t="s">
        <v>625</v>
      </c>
      <c r="W34" s="1060"/>
      <c r="AD34" s="1133">
        <v>2</v>
      </c>
      <c r="AE34" s="1133">
        <v>400</v>
      </c>
      <c r="AF34" s="1133">
        <v>150</v>
      </c>
      <c r="AG34" s="1136" t="s">
        <v>614</v>
      </c>
      <c r="AH34" s="1133">
        <v>180</v>
      </c>
      <c r="AI34" s="1135">
        <v>80</v>
      </c>
      <c r="AJ34" s="1135">
        <v>40</v>
      </c>
      <c r="AK34" s="1135"/>
      <c r="AL34" s="1133">
        <v>32</v>
      </c>
      <c r="AM34" s="1133">
        <v>100</v>
      </c>
      <c r="AN34" s="1133">
        <v>7.5</v>
      </c>
      <c r="AO34" s="1133">
        <f t="shared" si="2"/>
        <v>14771</v>
      </c>
      <c r="AP34" s="1133">
        <f t="shared" si="2"/>
        <v>4076</v>
      </c>
      <c r="AQ34" s="1133">
        <f t="shared" si="2"/>
        <v>2826</v>
      </c>
      <c r="AR34" s="1133">
        <f t="shared" si="2"/>
        <v>3096</v>
      </c>
      <c r="AT34" s="1092"/>
      <c r="AU34" s="1092"/>
      <c r="AV34" s="1092"/>
      <c r="AW34" s="1092"/>
    </row>
    <row r="35" spans="7:49" ht="12">
      <c r="G35" s="762" t="s">
        <v>627</v>
      </c>
      <c r="H35" s="1118"/>
      <c r="S35" s="1096"/>
      <c r="T35" s="1092" t="s">
        <v>608</v>
      </c>
      <c r="U35" s="1114" t="str">
        <f>IF(U7="-","-","ø"&amp;VLOOKUP(U6,AD43:AN51,4,FALSE))</f>
        <v>-</v>
      </c>
      <c r="W35" s="1060"/>
      <c r="AD35" s="1133">
        <v>3</v>
      </c>
      <c r="AE35" s="1133">
        <v>450</v>
      </c>
      <c r="AF35" s="1133">
        <v>220</v>
      </c>
      <c r="AG35" s="1136" t="s">
        <v>614</v>
      </c>
      <c r="AH35" s="1133">
        <v>260</v>
      </c>
      <c r="AI35" s="1135" t="s">
        <v>616</v>
      </c>
      <c r="AJ35" s="1135">
        <v>50</v>
      </c>
      <c r="AK35" s="1135"/>
      <c r="AL35" s="1133">
        <v>40</v>
      </c>
      <c r="AM35" s="1133">
        <v>150</v>
      </c>
      <c r="AN35" s="1133">
        <v>9.5</v>
      </c>
      <c r="AO35" s="1133">
        <f t="shared" si="2"/>
        <v>23148</v>
      </c>
      <c r="AP35" s="1133">
        <f t="shared" si="2"/>
        <v>5176</v>
      </c>
      <c r="AQ35" s="1133">
        <f t="shared" si="2"/>
        <v>2725</v>
      </c>
      <c r="AR35" s="1133">
        <f t="shared" si="2"/>
        <v>3195</v>
      </c>
      <c r="AT35" s="1092"/>
      <c r="AU35" s="1092"/>
      <c r="AV35" s="1092"/>
      <c r="AW35" s="1092"/>
    </row>
    <row r="36" spans="7:49" ht="12">
      <c r="G36" s="762" t="s">
        <v>628</v>
      </c>
      <c r="H36" s="1118"/>
      <c r="J36" s="252"/>
      <c r="K36" s="252"/>
      <c r="S36" s="1096"/>
      <c r="T36" s="1092" t="s">
        <v>622</v>
      </c>
      <c r="U36" s="1114" t="str">
        <f>IF(U7="-","-","ø"&amp;VLOOKUP(U6,AD43:AN51,6,FALSE))</f>
        <v>-</v>
      </c>
      <c r="W36" s="1060"/>
      <c r="AD36" s="1133">
        <v>4</v>
      </c>
      <c r="AE36" s="1133">
        <v>500</v>
      </c>
      <c r="AF36" s="1133">
        <v>300</v>
      </c>
      <c r="AG36" s="1136" t="s">
        <v>615</v>
      </c>
      <c r="AH36" s="1133">
        <v>350</v>
      </c>
      <c r="AI36" s="1135" t="s">
        <v>616</v>
      </c>
      <c r="AJ36" s="1135">
        <v>50</v>
      </c>
      <c r="AK36" s="1135"/>
      <c r="AL36" s="1133">
        <v>40</v>
      </c>
      <c r="AM36" s="1133">
        <v>150</v>
      </c>
      <c r="AN36" s="1133">
        <v>13</v>
      </c>
      <c r="AO36" s="1133">
        <f t="shared" si="2"/>
        <v>28616</v>
      </c>
      <c r="AP36" s="1133">
        <f t="shared" si="2"/>
        <v>5876</v>
      </c>
      <c r="AQ36" s="1133">
        <f t="shared" si="2"/>
        <v>3025</v>
      </c>
      <c r="AR36" s="1133">
        <f t="shared" si="2"/>
        <v>3608</v>
      </c>
      <c r="AT36" s="1092"/>
      <c r="AU36" s="1092"/>
      <c r="AV36" s="1092"/>
      <c r="AW36" s="1092"/>
    </row>
    <row r="37" spans="7:49" ht="12">
      <c r="G37" s="762" t="s">
        <v>629</v>
      </c>
      <c r="H37" s="1118"/>
      <c r="J37" s="252"/>
      <c r="K37" s="252"/>
      <c r="S37" s="1096"/>
      <c r="T37" s="1092" t="s">
        <v>623</v>
      </c>
      <c r="U37" s="1114" t="str">
        <f>IF(U7="-","-","ø"&amp;VLOOKUP(U6,AD43:AR51,11,FALSE))</f>
        <v>-</v>
      </c>
      <c r="W37" s="1060"/>
      <c r="AD37" s="1133">
        <v>6</v>
      </c>
      <c r="AE37" s="1133">
        <v>600</v>
      </c>
      <c r="AF37" s="1133">
        <v>420</v>
      </c>
      <c r="AG37" s="1136" t="s">
        <v>615</v>
      </c>
      <c r="AH37" s="1133">
        <v>500</v>
      </c>
      <c r="AI37" s="1135" t="s">
        <v>617</v>
      </c>
      <c r="AJ37" s="1135" t="s">
        <v>616</v>
      </c>
      <c r="AK37" s="1135"/>
      <c r="AL37" s="1133">
        <v>50</v>
      </c>
      <c r="AM37" s="1133">
        <v>150</v>
      </c>
      <c r="AN37" s="1133">
        <v>20</v>
      </c>
      <c r="AO37" s="1133">
        <f t="shared" si="2"/>
        <v>37699</v>
      </c>
      <c r="AP37" s="1133">
        <f t="shared" si="2"/>
        <v>7050</v>
      </c>
      <c r="AQ37" s="1133">
        <f t="shared" si="2"/>
        <v>3392</v>
      </c>
      <c r="AR37" s="1133">
        <f t="shared" si="2"/>
        <v>3790</v>
      </c>
      <c r="AT37" s="1092"/>
      <c r="AU37" s="1092"/>
      <c r="AV37" s="1092"/>
      <c r="AW37" s="1092"/>
    </row>
    <row r="38" spans="7:49">
      <c r="S38" s="1096"/>
      <c r="T38" s="1092" t="s">
        <v>624</v>
      </c>
      <c r="U38" s="1114" t="str">
        <f>IF(U7="-","-","ø"&amp;VLOOKUP(U6,AD43:AR51,7,FALSE))</f>
        <v>-</v>
      </c>
      <c r="W38" s="1060"/>
      <c r="AT38" s="1092"/>
      <c r="AU38" s="1092"/>
      <c r="AV38" s="1092"/>
      <c r="AW38" s="1092"/>
    </row>
    <row r="39" spans="7:49">
      <c r="S39" s="1096"/>
      <c r="T39" s="1092" t="s">
        <v>1520</v>
      </c>
      <c r="U39" s="1114" t="str">
        <f>IF(U7="-","-","ø"&amp;VLOOKUP(U6,AD43:AN51,8,FALSE))</f>
        <v>-</v>
      </c>
      <c r="W39" s="1060"/>
      <c r="AD39" s="1133" t="s">
        <v>1516</v>
      </c>
      <c r="AT39" s="1092"/>
      <c r="AU39" s="1092"/>
      <c r="AV39" s="1092"/>
      <c r="AW39" s="1092"/>
    </row>
    <row r="40" spans="7:49">
      <c r="S40" s="1096"/>
      <c r="T40" s="1092" t="s">
        <v>158</v>
      </c>
      <c r="U40" s="1112" t="str">
        <f>IF(U7="-","-",VLOOKUP(U6,AD43:AN51,9,FALSE))</f>
        <v>-</v>
      </c>
      <c r="V40" s="1092" t="s">
        <v>6</v>
      </c>
      <c r="W40" s="1060"/>
      <c r="AD40" s="1133">
        <v>1</v>
      </c>
      <c r="AE40" s="1133">
        <v>2</v>
      </c>
      <c r="AF40" s="1133">
        <v>3</v>
      </c>
      <c r="AG40" s="1133">
        <v>4</v>
      </c>
      <c r="AH40" s="1133">
        <v>5</v>
      </c>
      <c r="AI40" s="1133">
        <v>6</v>
      </c>
      <c r="AJ40" s="1133">
        <v>7</v>
      </c>
      <c r="AK40" s="1133">
        <v>8</v>
      </c>
      <c r="AL40" s="1133">
        <v>9</v>
      </c>
      <c r="AM40" s="1133">
        <v>10</v>
      </c>
      <c r="AN40" s="1133">
        <v>11</v>
      </c>
      <c r="AO40" s="1133">
        <v>12</v>
      </c>
      <c r="AP40" s="1133">
        <v>13</v>
      </c>
      <c r="AQ40" s="1133">
        <v>14</v>
      </c>
      <c r="AR40" s="1133">
        <v>15</v>
      </c>
      <c r="AT40" s="1092"/>
      <c r="AU40" s="1092"/>
      <c r="AV40" s="1092"/>
      <c r="AW40" s="1092"/>
    </row>
    <row r="41" spans="7:49">
      <c r="S41" s="1115"/>
      <c r="T41" s="1116"/>
      <c r="U41" s="1116"/>
      <c r="V41" s="1116"/>
      <c r="W41" s="1117"/>
      <c r="AF41" s="2135" t="s">
        <v>608</v>
      </c>
      <c r="AG41" s="2135"/>
      <c r="AH41" s="2135" t="s">
        <v>606</v>
      </c>
      <c r="AI41" s="2135"/>
      <c r="AT41" s="1092"/>
      <c r="AU41" s="1092"/>
      <c r="AV41" s="1092"/>
      <c r="AW41" s="1092"/>
    </row>
    <row r="42" spans="7:49" ht="12">
      <c r="S42" s="762" t="s">
        <v>626</v>
      </c>
      <c r="T42" s="1118"/>
      <c r="AE42" s="1133" t="s">
        <v>609</v>
      </c>
      <c r="AG42" s="1133" t="s">
        <v>613</v>
      </c>
      <c r="AI42" s="1133" t="s">
        <v>613</v>
      </c>
      <c r="AJ42" s="1133" t="s">
        <v>620</v>
      </c>
      <c r="AK42" s="1133" t="s">
        <v>1521</v>
      </c>
      <c r="AL42" s="1133" t="s">
        <v>158</v>
      </c>
      <c r="AM42" s="1133" t="s">
        <v>618</v>
      </c>
      <c r="AN42" s="1133" t="s">
        <v>619</v>
      </c>
      <c r="AO42" s="1133" t="s">
        <v>176</v>
      </c>
      <c r="AP42" s="1133" t="s">
        <v>182</v>
      </c>
      <c r="AQ42" s="1133" t="s">
        <v>173</v>
      </c>
      <c r="AR42" s="1133" t="s">
        <v>183</v>
      </c>
      <c r="AT42" s="1092"/>
      <c r="AU42" s="1092"/>
      <c r="AV42" s="1092"/>
      <c r="AW42" s="1092"/>
    </row>
    <row r="43" spans="7:49" ht="12">
      <c r="S43" s="762" t="s">
        <v>631</v>
      </c>
      <c r="T43" s="1118"/>
      <c r="AD43" s="1134">
        <v>0.69767441860465107</v>
      </c>
      <c r="AE43" s="1133">
        <v>350</v>
      </c>
      <c r="AF43" s="1133">
        <v>58.9</v>
      </c>
      <c r="AG43" s="1133">
        <v>50</v>
      </c>
      <c r="AH43" s="1133">
        <v>74.2</v>
      </c>
      <c r="AI43" s="1133">
        <v>25</v>
      </c>
      <c r="AJ43" s="1133">
        <v>80</v>
      </c>
      <c r="AK43" s="1133">
        <v>80</v>
      </c>
      <c r="AL43" s="1133">
        <v>2.2000000000000002</v>
      </c>
      <c r="AM43" s="1133">
        <v>50</v>
      </c>
      <c r="AN43" s="1133">
        <v>40</v>
      </c>
      <c r="AO43" s="1133">
        <v>6180</v>
      </c>
      <c r="AP43" s="1133">
        <v>4654</v>
      </c>
      <c r="AQ43" s="1133">
        <v>2000</v>
      </c>
      <c r="AR43" s="1133">
        <v>2100</v>
      </c>
      <c r="AT43" s="1092"/>
      <c r="AU43" s="1092"/>
      <c r="AV43" s="1092"/>
      <c r="AW43" s="1092"/>
    </row>
    <row r="44" spans="7:49" ht="12">
      <c r="S44" s="762" t="s">
        <v>630</v>
      </c>
      <c r="T44" s="1118"/>
      <c r="AD44" s="1134">
        <v>0.87209302325581395</v>
      </c>
      <c r="AE44" s="1133">
        <v>350</v>
      </c>
      <c r="AF44" s="1133">
        <v>74.2</v>
      </c>
      <c r="AG44" s="1133">
        <v>50</v>
      </c>
      <c r="AH44" s="1133">
        <v>93.1</v>
      </c>
      <c r="AI44" s="1133">
        <v>25</v>
      </c>
      <c r="AJ44" s="1133">
        <v>80</v>
      </c>
      <c r="AK44" s="1133">
        <v>80</v>
      </c>
      <c r="AL44" s="1133">
        <v>2.2000000000000002</v>
      </c>
      <c r="AM44" s="1133">
        <v>50</v>
      </c>
      <c r="AN44" s="1133">
        <v>40</v>
      </c>
      <c r="AO44" s="1133">
        <v>6180</v>
      </c>
      <c r="AP44" s="1133">
        <v>4654</v>
      </c>
      <c r="AQ44" s="1133">
        <v>2000</v>
      </c>
      <c r="AR44" s="1133">
        <v>2100</v>
      </c>
      <c r="AT44" s="1092"/>
      <c r="AU44" s="1092"/>
      <c r="AV44" s="1092"/>
      <c r="AW44" s="1092"/>
    </row>
    <row r="45" spans="7:49" ht="12">
      <c r="S45" s="762" t="s">
        <v>1637</v>
      </c>
      <c r="T45" s="1118"/>
      <c r="AD45" s="1134">
        <v>1.0465116279069768</v>
      </c>
      <c r="AE45" s="1133">
        <v>350</v>
      </c>
      <c r="AF45" s="1133">
        <v>89.7</v>
      </c>
      <c r="AG45" s="1133">
        <v>65</v>
      </c>
      <c r="AH45" s="1133">
        <v>112</v>
      </c>
      <c r="AI45" s="1133">
        <v>50</v>
      </c>
      <c r="AJ45" s="1133">
        <v>80</v>
      </c>
      <c r="AK45" s="1133">
        <v>80</v>
      </c>
      <c r="AL45" s="1133">
        <v>3</v>
      </c>
      <c r="AM45" s="1133">
        <v>50</v>
      </c>
      <c r="AN45" s="1133">
        <v>40</v>
      </c>
      <c r="AO45" s="1133">
        <v>7640</v>
      </c>
      <c r="AP45" s="1133">
        <v>5154</v>
      </c>
      <c r="AQ45" s="1133">
        <v>2000</v>
      </c>
      <c r="AR45" s="1133">
        <v>2100</v>
      </c>
      <c r="AT45" s="1092"/>
      <c r="AU45" s="1092"/>
      <c r="AV45" s="1092"/>
      <c r="AW45" s="1092"/>
    </row>
    <row r="46" spans="7:49">
      <c r="AD46" s="1134">
        <v>1.3953488372093021</v>
      </c>
      <c r="AE46" s="1133">
        <v>350</v>
      </c>
      <c r="AF46" s="1133">
        <v>119</v>
      </c>
      <c r="AG46" s="1133">
        <v>65</v>
      </c>
      <c r="AH46" s="1133">
        <v>150</v>
      </c>
      <c r="AI46" s="1133">
        <v>50</v>
      </c>
      <c r="AJ46" s="1133">
        <v>100</v>
      </c>
      <c r="AK46" s="1133">
        <v>100</v>
      </c>
      <c r="AL46" s="1133">
        <v>4</v>
      </c>
      <c r="AM46" s="1133">
        <v>50</v>
      </c>
      <c r="AN46" s="1133">
        <v>40</v>
      </c>
      <c r="AO46" s="1133">
        <v>10290</v>
      </c>
      <c r="AP46" s="1133">
        <v>5394</v>
      </c>
      <c r="AQ46" s="1133">
        <v>2000</v>
      </c>
      <c r="AR46" s="1133">
        <v>2100</v>
      </c>
      <c r="AT46" s="1092"/>
      <c r="AU46" s="1092"/>
      <c r="AV46" s="1092"/>
      <c r="AW46" s="1092"/>
    </row>
    <row r="47" spans="7:49">
      <c r="AD47" s="1134">
        <v>1.7441860465116279</v>
      </c>
      <c r="AE47" s="1133">
        <v>400</v>
      </c>
      <c r="AF47" s="1133">
        <v>150</v>
      </c>
      <c r="AG47" s="1133">
        <v>65</v>
      </c>
      <c r="AH47" s="1133">
        <v>188</v>
      </c>
      <c r="AI47" s="1133">
        <v>50</v>
      </c>
      <c r="AJ47" s="1133">
        <v>100</v>
      </c>
      <c r="AK47" s="1133">
        <v>100</v>
      </c>
      <c r="AL47" s="1133">
        <v>5.5</v>
      </c>
      <c r="AM47" s="1133">
        <v>50</v>
      </c>
      <c r="AN47" s="1133">
        <v>40</v>
      </c>
      <c r="AO47" s="1133">
        <v>10629.999999999998</v>
      </c>
      <c r="AP47" s="1133">
        <v>5545</v>
      </c>
      <c r="AQ47" s="1133">
        <v>2000</v>
      </c>
      <c r="AR47" s="1133">
        <v>2100</v>
      </c>
      <c r="AT47" s="1092"/>
      <c r="AU47" s="1092"/>
      <c r="AV47" s="1092"/>
      <c r="AW47" s="1092"/>
    </row>
    <row r="48" spans="7:49">
      <c r="AD48" s="1134">
        <v>2.0930232558139537</v>
      </c>
      <c r="AE48" s="1133">
        <v>450</v>
      </c>
      <c r="AF48" s="1133">
        <v>179</v>
      </c>
      <c r="AG48" s="1133">
        <v>80</v>
      </c>
      <c r="AH48" s="1133">
        <v>224</v>
      </c>
      <c r="AI48" s="1133">
        <v>65</v>
      </c>
      <c r="AJ48" s="1133">
        <v>125</v>
      </c>
      <c r="AK48" s="1133">
        <v>125</v>
      </c>
      <c r="AL48" s="1133">
        <v>5.5</v>
      </c>
      <c r="AM48" s="1133">
        <v>50</v>
      </c>
      <c r="AN48" s="1133">
        <v>40</v>
      </c>
      <c r="AO48" s="1133">
        <v>11400</v>
      </c>
      <c r="AP48" s="1133">
        <v>5827</v>
      </c>
      <c r="AQ48" s="1133">
        <v>2200</v>
      </c>
      <c r="AR48" s="1133">
        <v>2300</v>
      </c>
      <c r="AT48" s="1092"/>
      <c r="AU48" s="1092"/>
      <c r="AV48" s="1092"/>
      <c r="AW48" s="1092"/>
    </row>
    <row r="49" spans="12:49">
      <c r="AD49" s="1134">
        <v>2.441860465116279</v>
      </c>
      <c r="AE49" s="1133">
        <v>450</v>
      </c>
      <c r="AF49" s="1133">
        <v>209</v>
      </c>
      <c r="AG49" s="1133">
        <v>80</v>
      </c>
      <c r="AH49" s="1133">
        <v>262</v>
      </c>
      <c r="AI49" s="1133">
        <v>65</v>
      </c>
      <c r="AJ49" s="1133">
        <v>125</v>
      </c>
      <c r="AK49" s="1133">
        <v>125</v>
      </c>
      <c r="AL49" s="1133">
        <v>7.5</v>
      </c>
      <c r="AM49" s="1133">
        <v>50</v>
      </c>
      <c r="AN49" s="1133">
        <v>40</v>
      </c>
      <c r="AO49" s="1133">
        <v>11799.999999999998</v>
      </c>
      <c r="AP49" s="1133">
        <v>5163</v>
      </c>
      <c r="AQ49" s="1133">
        <v>2200</v>
      </c>
      <c r="AR49" s="1133">
        <v>2300</v>
      </c>
      <c r="AU49" s="1092"/>
      <c r="AV49" s="1092"/>
      <c r="AW49" s="1092"/>
    </row>
    <row r="50" spans="12:49">
      <c r="AD50" s="1134">
        <v>2.7906976744186043</v>
      </c>
      <c r="AE50" s="1133">
        <v>500</v>
      </c>
      <c r="AF50" s="1133">
        <v>238</v>
      </c>
      <c r="AG50" s="1133">
        <v>80</v>
      </c>
      <c r="AH50" s="1133">
        <v>300</v>
      </c>
      <c r="AI50" s="1133">
        <v>65</v>
      </c>
      <c r="AJ50" s="1133">
        <v>150</v>
      </c>
      <c r="AK50" s="1133">
        <v>150</v>
      </c>
      <c r="AL50" s="1133">
        <v>11</v>
      </c>
      <c r="AM50" s="1133">
        <v>50</v>
      </c>
      <c r="AN50" s="1133">
        <v>40</v>
      </c>
      <c r="AO50" s="1133">
        <v>13670</v>
      </c>
      <c r="AP50" s="1133">
        <v>5791</v>
      </c>
      <c r="AQ50" s="1133">
        <v>2300</v>
      </c>
      <c r="AR50" s="1133">
        <v>2400</v>
      </c>
      <c r="AU50" s="1092"/>
      <c r="AV50" s="1092"/>
      <c r="AW50" s="1092"/>
    </row>
    <row r="51" spans="12:49">
      <c r="AD51" s="1134">
        <v>3.4883720930232558</v>
      </c>
      <c r="AE51" s="1133">
        <v>550</v>
      </c>
      <c r="AF51" s="1133">
        <v>298</v>
      </c>
      <c r="AG51" s="1133">
        <v>80</v>
      </c>
      <c r="AH51" s="1133">
        <v>375</v>
      </c>
      <c r="AI51" s="1133">
        <v>65</v>
      </c>
      <c r="AJ51" s="1133">
        <v>150</v>
      </c>
      <c r="AK51" s="1133">
        <v>150</v>
      </c>
      <c r="AL51" s="1133">
        <v>11</v>
      </c>
      <c r="AM51" s="1133">
        <v>65</v>
      </c>
      <c r="AN51" s="1133">
        <v>40</v>
      </c>
      <c r="AO51" s="1133">
        <v>13770.000000000002</v>
      </c>
      <c r="AP51" s="1133">
        <v>5791</v>
      </c>
      <c r="AQ51" s="1133">
        <v>2300</v>
      </c>
      <c r="AR51" s="1133">
        <v>2400</v>
      </c>
      <c r="AU51" s="1092"/>
      <c r="AV51" s="1092"/>
      <c r="AW51" s="1092"/>
    </row>
    <row r="52" spans="12:49">
      <c r="AU52" s="1092"/>
      <c r="AV52" s="1092"/>
      <c r="AW52" s="1092"/>
    </row>
    <row r="53" spans="12:49">
      <c r="AU53" s="1092"/>
      <c r="AV53" s="1092"/>
      <c r="AW53" s="1092"/>
    </row>
    <row r="54" spans="12:49">
      <c r="AD54" s="2135" t="s">
        <v>1638</v>
      </c>
      <c r="AE54" s="1133">
        <v>1</v>
      </c>
      <c r="AF54" s="1133">
        <v>6000</v>
      </c>
      <c r="AG54" s="1133">
        <v>3062</v>
      </c>
      <c r="AH54" s="1133">
        <v>2060</v>
      </c>
      <c r="AI54" s="1133">
        <v>1800</v>
      </c>
      <c r="AK54" s="1133">
        <f t="shared" ref="AK54:AK59" si="3">MAX(AF54,AF61,AF68)</f>
        <v>9480</v>
      </c>
      <c r="AL54" s="1133">
        <f t="shared" ref="AL54:AN54" si="4">MAX(AG54,AG61,AG68)</f>
        <v>3827</v>
      </c>
      <c r="AM54" s="1133">
        <f t="shared" si="4"/>
        <v>2410</v>
      </c>
      <c r="AN54" s="1133">
        <f t="shared" si="4"/>
        <v>2475</v>
      </c>
      <c r="AU54" s="1092"/>
      <c r="AV54" s="1092"/>
      <c r="AW54" s="1092"/>
    </row>
    <row r="55" spans="12:49">
      <c r="AD55" s="2135"/>
      <c r="AE55" s="1133">
        <v>1.5</v>
      </c>
      <c r="AK55" s="1133">
        <f t="shared" si="3"/>
        <v>11354</v>
      </c>
      <c r="AL55" s="1133">
        <f t="shared" ref="AL55:AN55" si="5">MAX(AG55,AG62,AG69)</f>
        <v>4327</v>
      </c>
      <c r="AM55" s="1133">
        <f t="shared" si="5"/>
        <v>2510</v>
      </c>
      <c r="AN55" s="1133">
        <f t="shared" si="5"/>
        <v>2575</v>
      </c>
    </row>
    <row r="56" spans="12:49">
      <c r="AD56" s="2135"/>
      <c r="AE56" s="1133">
        <v>2</v>
      </c>
      <c r="AK56" s="1133">
        <f t="shared" si="3"/>
        <v>14771</v>
      </c>
      <c r="AL56" s="1133">
        <f t="shared" ref="AL56:AN56" si="6">MAX(AG56,AG63,AG70)</f>
        <v>4076</v>
      </c>
      <c r="AM56" s="1133">
        <f t="shared" si="6"/>
        <v>2826</v>
      </c>
      <c r="AN56" s="1133">
        <f t="shared" si="6"/>
        <v>3096</v>
      </c>
    </row>
    <row r="57" spans="12:49">
      <c r="AD57" s="2135"/>
      <c r="AE57" s="1133">
        <v>3</v>
      </c>
      <c r="AF57" s="1133">
        <v>1500</v>
      </c>
      <c r="AG57" s="1133">
        <v>5176</v>
      </c>
      <c r="AH57" s="1133">
        <v>2660</v>
      </c>
      <c r="AI57" s="1133">
        <v>2490</v>
      </c>
      <c r="AK57" s="1133">
        <f t="shared" si="3"/>
        <v>23148</v>
      </c>
      <c r="AL57" s="1133">
        <f t="shared" ref="AL57:AN57" si="7">MAX(AG57,AG64,AG71)</f>
        <v>5176</v>
      </c>
      <c r="AM57" s="1133">
        <f t="shared" si="7"/>
        <v>2725</v>
      </c>
      <c r="AN57" s="1133">
        <f t="shared" si="7"/>
        <v>3195</v>
      </c>
    </row>
    <row r="58" spans="12:49" ht="12">
      <c r="L58" s="252"/>
      <c r="M58" s="252"/>
      <c r="N58" s="252"/>
      <c r="O58" s="252"/>
      <c r="P58" s="252"/>
      <c r="Q58" s="252"/>
      <c r="AD58" s="2135"/>
      <c r="AE58" s="1133">
        <v>4</v>
      </c>
      <c r="AF58" s="1133">
        <v>19060</v>
      </c>
      <c r="AG58" s="1133">
        <v>5870</v>
      </c>
      <c r="AH58" s="1133">
        <v>2660</v>
      </c>
      <c r="AI58" s="1133">
        <v>2490</v>
      </c>
      <c r="AK58" s="1133">
        <f t="shared" si="3"/>
        <v>28616</v>
      </c>
      <c r="AL58" s="1133">
        <f t="shared" ref="AL58:AN58" si="8">MAX(AG58,AG65,AG72)</f>
        <v>5876</v>
      </c>
      <c r="AM58" s="1133">
        <f t="shared" si="8"/>
        <v>3025</v>
      </c>
      <c r="AN58" s="1133">
        <f t="shared" si="8"/>
        <v>3608</v>
      </c>
    </row>
    <row r="59" spans="12:49" ht="12">
      <c r="L59" s="252"/>
      <c r="M59" s="252"/>
      <c r="N59" s="252"/>
      <c r="O59" s="252"/>
      <c r="P59" s="252"/>
      <c r="Q59" s="252"/>
      <c r="AD59" s="2135"/>
      <c r="AE59" s="1133">
        <v>6</v>
      </c>
      <c r="AF59" s="1133">
        <v>27740</v>
      </c>
      <c r="AG59" s="1133">
        <v>7050</v>
      </c>
      <c r="AH59" s="1133">
        <v>3020</v>
      </c>
      <c r="AI59" s="1133">
        <v>2870</v>
      </c>
      <c r="AK59" s="1133">
        <f t="shared" si="3"/>
        <v>37699</v>
      </c>
      <c r="AL59" s="1133">
        <f>MAX(AG59,AG66,AG73)</f>
        <v>7050</v>
      </c>
      <c r="AM59" s="1133">
        <f t="shared" ref="AM59:AN59" si="9">MAX(AH59,AH66,AH73)</f>
        <v>3392</v>
      </c>
      <c r="AN59" s="1133">
        <f t="shared" si="9"/>
        <v>3790</v>
      </c>
    </row>
    <row r="61" spans="12:49">
      <c r="AD61" s="2135" t="s">
        <v>1639</v>
      </c>
      <c r="AE61" s="1133">
        <v>1</v>
      </c>
      <c r="AF61" s="1133">
        <v>9480</v>
      </c>
      <c r="AG61" s="1133">
        <v>3324</v>
      </c>
      <c r="AH61" s="1133">
        <v>1705</v>
      </c>
      <c r="AI61" s="1133">
        <v>1955</v>
      </c>
    </row>
    <row r="62" spans="12:49">
      <c r="AD62" s="2135"/>
      <c r="AE62" s="1133">
        <v>1.5</v>
      </c>
      <c r="AF62" s="1133">
        <v>11354</v>
      </c>
      <c r="AG62" s="1133">
        <v>3624</v>
      </c>
      <c r="AH62" s="1133">
        <v>1785</v>
      </c>
      <c r="AI62" s="1133">
        <v>2040</v>
      </c>
    </row>
    <row r="63" spans="12:49">
      <c r="AD63" s="2135"/>
      <c r="AE63" s="1133">
        <v>2</v>
      </c>
      <c r="AF63" s="1133">
        <v>14771</v>
      </c>
      <c r="AG63" s="1133">
        <v>4076</v>
      </c>
      <c r="AH63" s="1133">
        <v>2000</v>
      </c>
      <c r="AI63" s="1133">
        <v>2350</v>
      </c>
    </row>
    <row r="64" spans="12:49">
      <c r="AD64" s="2135"/>
      <c r="AE64" s="1133">
        <v>3</v>
      </c>
      <c r="AF64" s="1133">
        <v>23148</v>
      </c>
      <c r="AG64" s="1133">
        <v>4480</v>
      </c>
      <c r="AH64" s="1133">
        <v>2160</v>
      </c>
      <c r="AI64" s="1133">
        <v>2712</v>
      </c>
    </row>
    <row r="65" spans="30:35">
      <c r="AD65" s="2135"/>
      <c r="AE65" s="1133">
        <v>4</v>
      </c>
      <c r="AF65" s="1133">
        <v>28616</v>
      </c>
      <c r="AG65" s="1133">
        <v>4956</v>
      </c>
      <c r="AH65" s="1133">
        <v>2332</v>
      </c>
      <c r="AI65" s="1133">
        <v>2964</v>
      </c>
    </row>
    <row r="66" spans="30:35">
      <c r="AD66" s="2135"/>
      <c r="AE66" s="1133">
        <v>6</v>
      </c>
      <c r="AF66" s="1133">
        <v>37699</v>
      </c>
      <c r="AG66" s="1133">
        <v>5526</v>
      </c>
      <c r="AH66" s="1133">
        <v>2785</v>
      </c>
      <c r="AI66" s="1133">
        <v>2966</v>
      </c>
    </row>
    <row r="68" spans="30:35">
      <c r="AD68" s="2136" t="s">
        <v>1640</v>
      </c>
      <c r="AE68" s="1133">
        <v>1</v>
      </c>
      <c r="AF68" s="1133">
        <v>8900</v>
      </c>
      <c r="AG68" s="1133">
        <v>3827</v>
      </c>
      <c r="AH68" s="1133">
        <v>2410</v>
      </c>
      <c r="AI68" s="1133">
        <v>2475</v>
      </c>
    </row>
    <row r="69" spans="30:35">
      <c r="AD69" s="2135"/>
      <c r="AE69" s="1133">
        <v>1.5</v>
      </c>
      <c r="AF69" s="1133">
        <v>10200</v>
      </c>
      <c r="AG69" s="1133">
        <v>4327</v>
      </c>
      <c r="AH69" s="1133">
        <v>2510</v>
      </c>
      <c r="AI69" s="1133">
        <v>2575</v>
      </c>
    </row>
    <row r="70" spans="30:35">
      <c r="AD70" s="2135"/>
      <c r="AE70" s="1133">
        <v>2</v>
      </c>
      <c r="AF70" s="1133">
        <v>11300</v>
      </c>
      <c r="AG70" s="1133">
        <v>2788</v>
      </c>
      <c r="AH70" s="1133">
        <v>2826</v>
      </c>
      <c r="AI70" s="1133">
        <v>3096</v>
      </c>
    </row>
    <row r="71" spans="30:35">
      <c r="AD71" s="2135"/>
      <c r="AE71" s="1133">
        <v>3</v>
      </c>
      <c r="AF71" s="1133">
        <v>14800</v>
      </c>
      <c r="AG71" s="1133">
        <v>5130</v>
      </c>
      <c r="AH71" s="1133">
        <v>2725</v>
      </c>
      <c r="AI71" s="1133">
        <v>3195</v>
      </c>
    </row>
    <row r="72" spans="30:35">
      <c r="AD72" s="2135"/>
      <c r="AE72" s="1133">
        <v>4</v>
      </c>
      <c r="AF72" s="1133">
        <v>19560</v>
      </c>
      <c r="AG72" s="1133">
        <v>5876</v>
      </c>
      <c r="AH72" s="1133">
        <v>3025</v>
      </c>
      <c r="AI72" s="1133">
        <v>3608</v>
      </c>
    </row>
    <row r="73" spans="30:35">
      <c r="AD73" s="2135"/>
      <c r="AE73" s="1133">
        <v>6</v>
      </c>
      <c r="AF73" s="1133">
        <v>24600</v>
      </c>
      <c r="AG73" s="1133">
        <v>6223</v>
      </c>
      <c r="AH73" s="1133">
        <v>3392</v>
      </c>
      <c r="AI73" s="1133">
        <v>3790</v>
      </c>
    </row>
  </sheetData>
  <sheetProtection password="DFE4" sheet="1" objects="1" scenarios="1" formatColumns="0" selectLockedCells="1"/>
  <mergeCells count="14">
    <mergeCell ref="M21:N21"/>
    <mergeCell ref="AH41:AI41"/>
    <mergeCell ref="B2:E2"/>
    <mergeCell ref="B8:E8"/>
    <mergeCell ref="B9:B11"/>
    <mergeCell ref="G2:K2"/>
    <mergeCell ref="S2:W2"/>
    <mergeCell ref="M11:P11"/>
    <mergeCell ref="AD54:AD59"/>
    <mergeCell ref="AD61:AD66"/>
    <mergeCell ref="AD68:AD73"/>
    <mergeCell ref="AF41:AG41"/>
    <mergeCell ref="S20:U20"/>
    <mergeCell ref="AF30:AG30"/>
  </mergeCells>
  <phoneticPr fontId="143" type="noConversion"/>
  <conditionalFormatting sqref="D11:D16">
    <cfRule type="cellIs" dxfId="29" priority="1" operator="equal">
      <formula>$D$10</formula>
    </cfRule>
  </conditionalFormatting>
  <dataValidations xWindow="406" yWindow="326" count="6">
    <dataValidation type="decimal" allowBlank="1" showInputMessage="1" showErrorMessage="1" promptTitle="Clause 9.1.6 - GB50041-2008" prompt="20-60 mins" sqref="O6" xr:uid="{00000000-0002-0000-1600-000000000000}">
      <formula1>20</formula1>
      <formula2>60</formula2>
    </dataValidation>
    <dataValidation type="decimal" allowBlank="1" showInputMessage="1" showErrorMessage="1" promptTitle="Clause 8.4.13 - 技術措施2009" prompt="20-40 mins" sqref="O12" xr:uid="{00000000-0002-0000-1600-000001000000}">
      <formula1>20</formula1>
      <formula2>60</formula2>
    </dataValidation>
    <dataValidation type="list" allowBlank="1" showInputMessage="1" showErrorMessage="1" sqref="I6" xr:uid="{00000000-0002-0000-1600-000002000000}">
      <formula1>$AD$32:$AD$37</formula1>
    </dataValidation>
    <dataValidation type="list" allowBlank="1" showInputMessage="1" showErrorMessage="1" sqref="O7" xr:uid="{00000000-0002-0000-1600-000003000000}">
      <formula1>$AE$23:$AE$24</formula1>
    </dataValidation>
    <dataValidation type="list" allowBlank="1" showInputMessage="1" showErrorMessage="1" sqref="U6" xr:uid="{00000000-0002-0000-1600-000004000000}">
      <formula1>$AD$43:$AD$51</formula1>
    </dataValidation>
    <dataValidation type="list" allowBlank="1" showInputMessage="1" showErrorMessage="1" sqref="D10 E14" xr:uid="{00000000-0002-0000-1600-000005000000}">
      <formula1>$AE$6:$AE$11</formula1>
    </dataValidation>
  </dataValidations>
  <pageMargins left="0.75" right="0.75" top="1" bottom="1" header="0.5" footer="0.5"/>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autoFill="0" autoPict="0" macro="[0]!Boiler_Clear">
                <anchor moveWithCells="1">
                  <from>
                    <xdr:col>1</xdr:col>
                    <xdr:colOff>0</xdr:colOff>
                    <xdr:row>19</xdr:row>
                    <xdr:rowOff>114300</xdr:rowOff>
                  </from>
                  <to>
                    <xdr:col>2</xdr:col>
                    <xdr:colOff>146050</xdr:colOff>
                    <xdr:row>21</xdr:row>
                    <xdr:rowOff>114300</xdr:rowOff>
                  </to>
                </anchor>
              </controlPr>
            </control>
          </mc:Choice>
        </mc:AlternateContent>
        <mc:AlternateContent xmlns:mc="http://schemas.openxmlformats.org/markup-compatibility/2006">
          <mc:Choice Requires="x14">
            <control shapeId="91138" r:id="rId5" name="Button 2">
              <controlPr defaultSize="0" autoFill="0" autoPict="0" macro="[0]!Home">
                <anchor moveWithCells="1">
                  <from>
                    <xdr:col>1</xdr:col>
                    <xdr:colOff>0</xdr:colOff>
                    <xdr:row>17</xdr:row>
                    <xdr:rowOff>50800</xdr:rowOff>
                  </from>
                  <to>
                    <xdr:col>2</xdr:col>
                    <xdr:colOff>146050</xdr:colOff>
                    <xdr:row>19</xdr:row>
                    <xdr:rowOff>38100</xdr:rowOff>
                  </to>
                </anchor>
              </controlPr>
            </control>
          </mc:Choice>
        </mc:AlternateContent>
        <mc:AlternateContent xmlns:mc="http://schemas.openxmlformats.org/markup-compatibility/2006">
          <mc:Choice Requires="x14">
            <control shapeId="91163" r:id="rId6" name="Option Button 27">
              <controlPr defaultSize="0" autoFill="0" autoLine="0" autoPict="0" macro="[0]!Boiler_Steam">
                <anchor moveWithCells="1">
                  <from>
                    <xdr:col>1</xdr:col>
                    <xdr:colOff>0</xdr:colOff>
                    <xdr:row>2</xdr:row>
                    <xdr:rowOff>12700</xdr:rowOff>
                  </from>
                  <to>
                    <xdr:col>2</xdr:col>
                    <xdr:colOff>374650</xdr:colOff>
                    <xdr:row>3</xdr:row>
                    <xdr:rowOff>69850</xdr:rowOff>
                  </to>
                </anchor>
              </controlPr>
            </control>
          </mc:Choice>
        </mc:AlternateContent>
        <mc:AlternateContent xmlns:mc="http://schemas.openxmlformats.org/markup-compatibility/2006">
          <mc:Choice Requires="x14">
            <control shapeId="91164" r:id="rId7" name="Option Button 28">
              <controlPr defaultSize="0" autoFill="0" autoLine="0" autoPict="0" macro="[0]!Boiler_HW">
                <anchor moveWithCells="1">
                  <from>
                    <xdr:col>1</xdr:col>
                    <xdr:colOff>0</xdr:colOff>
                    <xdr:row>3</xdr:row>
                    <xdr:rowOff>19050</xdr:rowOff>
                  </from>
                  <to>
                    <xdr:col>2</xdr:col>
                    <xdr:colOff>374650</xdr:colOff>
                    <xdr:row>4</xdr:row>
                    <xdr:rowOff>76200</xdr:rowOff>
                  </to>
                </anchor>
              </controlPr>
            </control>
          </mc:Choice>
        </mc:AlternateContent>
        <mc:AlternateContent xmlns:mc="http://schemas.openxmlformats.org/markup-compatibility/2006">
          <mc:Choice Requires="x14">
            <control shapeId="91182" r:id="rId8" name="Option Button 46">
              <controlPr defaultSize="0" autoFill="0" autoLine="0" autoPict="0" macro="[0]!Boiler_chimney">
                <anchor moveWithCells="1">
                  <from>
                    <xdr:col>1</xdr:col>
                    <xdr:colOff>0</xdr:colOff>
                    <xdr:row>4</xdr:row>
                    <xdr:rowOff>31750</xdr:rowOff>
                  </from>
                  <to>
                    <xdr:col>2</xdr:col>
                    <xdr:colOff>374650</xdr:colOff>
                    <xdr:row>5</xdr:row>
                    <xdr:rowOff>88900</xdr:rowOff>
                  </to>
                </anchor>
              </controlPr>
            </control>
          </mc:Choice>
        </mc:AlternateContent>
        <mc:AlternateContent xmlns:mc="http://schemas.openxmlformats.org/markup-compatibility/2006">
          <mc:Choice Requires="x14">
            <control shapeId="91184" r:id="rId9" name="Button 48">
              <controlPr defaultSize="0" autoFill="0" autoPict="0" macro="[0]!Boiler_steam_clear">
                <anchor moveWithCells="1" sizeWithCells="1">
                  <from>
                    <xdr:col>12</xdr:col>
                    <xdr:colOff>12700</xdr:colOff>
                    <xdr:row>26</xdr:row>
                    <xdr:rowOff>127000</xdr:rowOff>
                  </from>
                  <to>
                    <xdr:col>13</xdr:col>
                    <xdr:colOff>361950</xdr:colOff>
                    <xdr:row>28</xdr:row>
                    <xdr:rowOff>50800</xdr:rowOff>
                  </to>
                </anchor>
              </controlPr>
            </control>
          </mc:Choice>
        </mc:AlternateContent>
        <mc:AlternateContent xmlns:mc="http://schemas.openxmlformats.org/markup-compatibility/2006">
          <mc:Choice Requires="x14">
            <control shapeId="91185" r:id="rId10" name="Button 49">
              <controlPr defaultSize="0" autoFill="0" autoPict="0" macro="[0]!Boiler_HW_clear">
                <anchor moveWithCells="1" sizeWithCells="1">
                  <from>
                    <xdr:col>18</xdr:col>
                    <xdr:colOff>31750</xdr:colOff>
                    <xdr:row>45</xdr:row>
                    <xdr:rowOff>57150</xdr:rowOff>
                  </from>
                  <to>
                    <xdr:col>19</xdr:col>
                    <xdr:colOff>381000</xdr:colOff>
                    <xdr:row>46</xdr:row>
                    <xdr:rowOff>133350</xdr:rowOff>
                  </to>
                </anchor>
              </controlPr>
            </control>
          </mc:Choice>
        </mc:AlternateContent>
        <mc:AlternateContent xmlns:mc="http://schemas.openxmlformats.org/markup-compatibility/2006">
          <mc:Choice Requires="x14">
            <control shapeId="91186" r:id="rId11" name="Button 50">
              <controlPr defaultSize="0" autoFill="0" autoPict="0" macro="[0]!Boiler_chimney_clear">
                <anchor moveWithCells="1" sizeWithCells="1">
                  <from>
                    <xdr:col>24</xdr:col>
                    <xdr:colOff>38100</xdr:colOff>
                    <xdr:row>12</xdr:row>
                    <xdr:rowOff>88900</xdr:rowOff>
                  </from>
                  <to>
                    <xdr:col>24</xdr:col>
                    <xdr:colOff>628650</xdr:colOff>
                    <xdr:row>14</xdr:row>
                    <xdr:rowOff>12700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8">
    <tabColor theme="7"/>
    <pageSetUpPr fitToPage="1"/>
  </sheetPr>
  <dimension ref="B2:AB49"/>
  <sheetViews>
    <sheetView showGridLines="0" showRowColHeaders="0" zoomScaleNormal="100" workbookViewId="0">
      <selection activeCell="C5" sqref="C5"/>
    </sheetView>
  </sheetViews>
  <sheetFormatPr defaultColWidth="9.1796875" defaultRowHeight="12.5"/>
  <cols>
    <col min="1" max="1" width="2.7265625" style="43" customWidth="1"/>
    <col min="2" max="2" width="19.81640625" style="43" bestFit="1" customWidth="1"/>
    <col min="3" max="4" width="8.7265625" style="43" customWidth="1"/>
    <col min="5" max="5" width="1.7265625" style="43" customWidth="1"/>
    <col min="6" max="6" width="2.7265625" style="43" customWidth="1"/>
    <col min="7" max="7" width="10.7265625" style="43" bestFit="1" customWidth="1"/>
    <col min="8" max="8" width="8" style="43" customWidth="1"/>
    <col min="9" max="9" width="20.7265625" style="165" customWidth="1"/>
    <col min="10" max="10" width="7.7265625" style="43" hidden="1" customWidth="1"/>
    <col min="11" max="18" width="6.54296875" style="43" hidden="1" customWidth="1"/>
    <col min="19" max="19" width="6.54296875" style="43" customWidth="1"/>
    <col min="20" max="20" width="17.26953125" style="43" bestFit="1" customWidth="1"/>
    <col min="21" max="21" width="3" style="43" bestFit="1" customWidth="1"/>
    <col min="22" max="16384" width="9.1796875" style="43"/>
  </cols>
  <sheetData>
    <row r="2" spans="2:21" ht="13">
      <c r="B2" s="2142" t="s">
        <v>697</v>
      </c>
      <c r="C2" s="2142"/>
      <c r="D2" s="2142"/>
      <c r="E2" s="2142"/>
    </row>
    <row r="3" spans="2:21" ht="12.75" customHeight="1"/>
    <row r="4" spans="2:21" ht="12.75" customHeight="1">
      <c r="B4" s="527"/>
      <c r="C4" s="442"/>
      <c r="D4" s="442"/>
      <c r="E4" s="443"/>
    </row>
    <row r="5" spans="2:21" ht="12.75" customHeight="1">
      <c r="B5" s="628" t="s">
        <v>696</v>
      </c>
      <c r="C5" s="1406"/>
      <c r="D5" s="652" t="s">
        <v>6</v>
      </c>
      <c r="E5" s="445"/>
      <c r="M5" s="165" t="s">
        <v>6</v>
      </c>
    </row>
    <row r="6" spans="2:21" ht="12.75" customHeight="1">
      <c r="B6" s="444"/>
      <c r="C6" s="653" t="str">
        <f>IF(C5=0,"-",IF(D5=M6,C5*3.516,C5/3.516))</f>
        <v>-</v>
      </c>
      <c r="D6" s="650" t="str">
        <f>IF(D5=M6,M5,M6)</f>
        <v>RT</v>
      </c>
      <c r="E6" s="445"/>
      <c r="M6" s="165" t="s">
        <v>12</v>
      </c>
      <c r="O6" s="654">
        <f>ABS(C16-C11)</f>
        <v>0</v>
      </c>
      <c r="Q6" s="662"/>
    </row>
    <row r="7" spans="2:21" ht="12.75" customHeight="1">
      <c r="B7" s="628"/>
      <c r="C7" s="653"/>
      <c r="D7" s="650"/>
      <c r="E7" s="445"/>
      <c r="M7" s="165" t="str">
        <f>IF(C6="-","-",IF(D5=M5,C5,C6))</f>
        <v>-</v>
      </c>
      <c r="O7" s="654">
        <f>ABS(C15-C12)</f>
        <v>0</v>
      </c>
      <c r="Q7" s="662"/>
    </row>
    <row r="8" spans="2:21" ht="12.75" customHeight="1">
      <c r="B8" s="628" t="s">
        <v>1462</v>
      </c>
      <c r="C8" s="653"/>
      <c r="D8" s="650"/>
      <c r="E8" s="445"/>
      <c r="M8" s="165"/>
      <c r="O8" s="43" t="str">
        <f>IF(OR(C13="-",C17="-",C6="-"),"-",IF(O6-O7=0,(C17+C13)/2,(O6-O7)/LN(O6/O7)))</f>
        <v>-</v>
      </c>
    </row>
    <row r="9" spans="2:21" ht="12.75" customHeight="1">
      <c r="B9" s="444"/>
      <c r="C9" s="45"/>
      <c r="D9" s="253"/>
      <c r="E9" s="445"/>
      <c r="M9" s="660">
        <v>1</v>
      </c>
    </row>
    <row r="10" spans="2:21" ht="12.75" customHeight="1">
      <c r="B10" s="2143" t="s">
        <v>695</v>
      </c>
      <c r="C10" s="2144"/>
      <c r="D10" s="253"/>
      <c r="E10" s="445"/>
      <c r="M10" s="165"/>
    </row>
    <row r="11" spans="2:21" ht="12.75" customHeight="1">
      <c r="B11" s="755" t="s">
        <v>1467</v>
      </c>
      <c r="C11" s="1406"/>
      <c r="D11" s="651" t="s">
        <v>412</v>
      </c>
      <c r="E11" s="445"/>
      <c r="M11" s="165"/>
    </row>
    <row r="12" spans="2:21" ht="12.75" customHeight="1">
      <c r="B12" s="755" t="s">
        <v>1466</v>
      </c>
      <c r="C12" s="1406"/>
      <c r="D12" s="651" t="s">
        <v>412</v>
      </c>
      <c r="E12" s="445"/>
      <c r="M12" s="165"/>
    </row>
    <row r="13" spans="2:21" ht="12.75" customHeight="1">
      <c r="B13" s="610" t="s">
        <v>1451</v>
      </c>
      <c r="C13" s="646" t="str">
        <f>IF(C11*C12*C5&gt;0,ABS(C11-C12),"-")</f>
        <v>-</v>
      </c>
      <c r="D13" s="253"/>
      <c r="E13" s="445"/>
      <c r="G13" s="2141" t="str">
        <f>K31&amp;" "&amp;K39</f>
        <v xml:space="preserve"> </v>
      </c>
      <c r="H13" s="2141"/>
      <c r="I13" s="2141"/>
      <c r="M13" s="165"/>
      <c r="T13" s="273"/>
      <c r="U13" s="666"/>
    </row>
    <row r="14" spans="2:21" ht="12.75" customHeight="1">
      <c r="B14" s="444"/>
      <c r="C14" s="45"/>
      <c r="D14" s="253"/>
      <c r="E14" s="445"/>
      <c r="G14" s="2141"/>
      <c r="H14" s="2141"/>
      <c r="I14" s="2141"/>
      <c r="J14" s="661"/>
      <c r="K14" s="661"/>
      <c r="L14" s="647"/>
      <c r="M14" s="647"/>
      <c r="N14" s="647" t="s">
        <v>178</v>
      </c>
      <c r="O14" s="647" t="s">
        <v>183</v>
      </c>
      <c r="P14" s="647" t="s">
        <v>173</v>
      </c>
      <c r="Q14" s="647" t="s">
        <v>182</v>
      </c>
      <c r="R14" s="647" t="s">
        <v>182</v>
      </c>
      <c r="T14" s="273"/>
      <c r="U14" s="666"/>
    </row>
    <row r="15" spans="2:21" ht="12.75" customHeight="1">
      <c r="B15" s="755" t="s">
        <v>1468</v>
      </c>
      <c r="C15" s="1406"/>
      <c r="D15" s="651" t="s">
        <v>412</v>
      </c>
      <c r="E15" s="445"/>
      <c r="G15" s="2141"/>
      <c r="H15" s="2141"/>
      <c r="I15" s="2141"/>
      <c r="J15" s="661"/>
      <c r="K15" s="661"/>
      <c r="L15" s="647" t="str">
        <f>IF($C$27&lt;=N15,N15,"")</f>
        <v/>
      </c>
      <c r="M15" s="647" t="s">
        <v>1455</v>
      </c>
      <c r="N15" s="647">
        <v>230</v>
      </c>
      <c r="O15" s="647">
        <v>1870</v>
      </c>
      <c r="P15" s="647">
        <v>540</v>
      </c>
      <c r="Q15" s="647">
        <v>760</v>
      </c>
      <c r="R15" s="647">
        <v>2460</v>
      </c>
      <c r="T15" s="273"/>
      <c r="U15" s="666"/>
    </row>
    <row r="16" spans="2:21" ht="12.75" customHeight="1">
      <c r="B16" s="755" t="s">
        <v>1469</v>
      </c>
      <c r="C16" s="1406"/>
      <c r="D16" s="651" t="s">
        <v>412</v>
      </c>
      <c r="E16" s="445"/>
      <c r="G16" s="2141"/>
      <c r="H16" s="2141"/>
      <c r="I16" s="2141"/>
      <c r="J16" s="659"/>
      <c r="K16" s="273"/>
      <c r="L16" s="647" t="str">
        <f t="shared" ref="L16:L20" si="0">IF($C$27&lt;=N16,N16,"")</f>
        <v/>
      </c>
      <c r="M16" s="647" t="s">
        <v>1456</v>
      </c>
      <c r="N16" s="647">
        <v>550</v>
      </c>
      <c r="O16" s="647">
        <v>2190</v>
      </c>
      <c r="P16" s="647">
        <v>810</v>
      </c>
      <c r="Q16" s="647">
        <v>760</v>
      </c>
      <c r="R16" s="647">
        <v>3760</v>
      </c>
      <c r="T16" s="273"/>
      <c r="U16" s="666"/>
    </row>
    <row r="17" spans="2:28" ht="12.75" customHeight="1">
      <c r="B17" s="610" t="s">
        <v>1451</v>
      </c>
      <c r="C17" s="646" t="str">
        <f>IF(C15*C16*C5&gt;0,ABS(C15-C16),"-")</f>
        <v>-</v>
      </c>
      <c r="D17" s="253"/>
      <c r="E17" s="445"/>
      <c r="H17" s="273"/>
      <c r="I17" s="615"/>
      <c r="J17" s="273"/>
      <c r="K17" s="273"/>
      <c r="L17" s="647" t="str">
        <f t="shared" si="0"/>
        <v/>
      </c>
      <c r="M17" s="647" t="s">
        <v>1457</v>
      </c>
      <c r="N17" s="647">
        <v>1030</v>
      </c>
      <c r="O17" s="647">
        <v>2700</v>
      </c>
      <c r="P17" s="647">
        <v>1090</v>
      </c>
      <c r="Q17" s="647">
        <v>1510</v>
      </c>
      <c r="R17" s="647">
        <v>4510</v>
      </c>
      <c r="T17" s="273"/>
      <c r="U17" s="666"/>
    </row>
    <row r="18" spans="2:28" ht="12.75" customHeight="1">
      <c r="B18" s="610"/>
      <c r="C18" s="45"/>
      <c r="D18" s="253"/>
      <c r="E18" s="445"/>
      <c r="H18" s="273"/>
      <c r="I18" s="615"/>
      <c r="J18" s="273"/>
      <c r="K18" s="273"/>
      <c r="L18" s="647" t="str">
        <f t="shared" si="0"/>
        <v/>
      </c>
      <c r="M18" s="647" t="s">
        <v>1458</v>
      </c>
      <c r="N18" s="647">
        <v>1430</v>
      </c>
      <c r="O18" s="647">
        <v>2950</v>
      </c>
      <c r="P18" s="647">
        <v>1390</v>
      </c>
      <c r="Q18" s="647">
        <v>1770</v>
      </c>
      <c r="R18" s="647">
        <v>7430</v>
      </c>
      <c r="T18" s="273"/>
      <c r="U18" s="666"/>
    </row>
    <row r="19" spans="2:28" ht="12.75" customHeight="1">
      <c r="B19" s="628" t="s">
        <v>1452</v>
      </c>
      <c r="C19" s="652" t="s">
        <v>139</v>
      </c>
      <c r="D19" s="253"/>
      <c r="E19" s="445"/>
      <c r="G19" s="273"/>
      <c r="H19" s="273"/>
      <c r="I19" s="615"/>
      <c r="J19" s="273"/>
      <c r="K19" s="273"/>
      <c r="L19" s="647" t="str">
        <f t="shared" si="0"/>
        <v/>
      </c>
      <c r="M19" s="647" t="s">
        <v>1459</v>
      </c>
      <c r="N19" s="647">
        <v>2010</v>
      </c>
      <c r="O19" s="647">
        <v>3550</v>
      </c>
      <c r="P19" s="647">
        <v>1390</v>
      </c>
      <c r="Q19" s="647">
        <v>2070</v>
      </c>
      <c r="R19" s="647">
        <v>7430</v>
      </c>
      <c r="T19" s="273"/>
      <c r="U19" s="666"/>
    </row>
    <row r="20" spans="2:28" ht="12.75" customHeight="1">
      <c r="B20" s="755" t="s">
        <v>1513</v>
      </c>
      <c r="C20" s="655" t="str">
        <f>VLOOKUP(C19,O32:Q33,2,FALSE)</f>
        <v>-</v>
      </c>
      <c r="D20" s="253" t="str">
        <f>C19</f>
        <v>kg/s</v>
      </c>
      <c r="E20" s="445"/>
      <c r="G20" s="273"/>
      <c r="H20" s="273"/>
      <c r="I20" s="615"/>
      <c r="J20" s="273"/>
      <c r="K20" s="273"/>
      <c r="L20" s="647" t="str">
        <f t="shared" si="0"/>
        <v/>
      </c>
      <c r="M20" s="647" t="s">
        <v>1460</v>
      </c>
      <c r="N20" s="647">
        <v>2600</v>
      </c>
      <c r="O20" s="647">
        <v>4150</v>
      </c>
      <c r="P20" s="647">
        <v>1300</v>
      </c>
      <c r="Q20" s="647">
        <v>2070</v>
      </c>
      <c r="R20" s="647">
        <v>7430</v>
      </c>
      <c r="T20" s="273"/>
      <c r="U20" s="666"/>
    </row>
    <row r="21" spans="2:28" ht="12.75" customHeight="1">
      <c r="B21" s="755" t="s">
        <v>1514</v>
      </c>
      <c r="C21" s="655" t="str">
        <f>VLOOKUP(C19,O32:Q33,3,FALSE)</f>
        <v>-</v>
      </c>
      <c r="D21" s="253" t="str">
        <f>C19</f>
        <v>kg/s</v>
      </c>
      <c r="E21" s="445"/>
      <c r="G21" s="273"/>
      <c r="H21" s="273"/>
      <c r="I21" s="615"/>
      <c r="J21" s="273"/>
      <c r="K21" s="273"/>
      <c r="M21" s="165"/>
      <c r="T21" s="273"/>
      <c r="U21" s="666"/>
    </row>
    <row r="22" spans="2:28" ht="12.75" customHeight="1">
      <c r="B22" s="444"/>
      <c r="C22" s="45"/>
      <c r="D22" s="253"/>
      <c r="E22" s="445"/>
      <c r="I22" s="615"/>
      <c r="J22" s="273"/>
      <c r="K22" s="273"/>
      <c r="M22" s="615"/>
      <c r="N22" s="273" t="str">
        <f>IF(M7="-","-",MIN(L15:L20))</f>
        <v>-</v>
      </c>
      <c r="O22" s="648" t="str">
        <f>IF(M7="-","-",VLOOKUP($N$22,$N$15:$R$20,2,FALSE))</f>
        <v>-</v>
      </c>
      <c r="P22" s="648" t="str">
        <f>IF(M7="-","-",VLOOKUP($N$22,$N$15:$R$20,3,FALSE))</f>
        <v>-</v>
      </c>
      <c r="Q22" s="615" t="str">
        <f>IF(M7="-","-",VLOOKUP($N$22,$N$15:$R$20,4,FALSE))</f>
        <v>-</v>
      </c>
      <c r="R22" s="615" t="str">
        <f>IF(M7="-","-",VLOOKUP($N$22,$N$15:$R$20,5,FALSE))</f>
        <v>-</v>
      </c>
      <c r="T22" s="273"/>
      <c r="U22" s="666"/>
    </row>
    <row r="23" spans="2:28" ht="25">
      <c r="B23" s="791" t="s">
        <v>1453</v>
      </c>
      <c r="C23" s="1406">
        <v>5000</v>
      </c>
      <c r="D23" s="253" t="s">
        <v>1450</v>
      </c>
      <c r="E23" s="445"/>
      <c r="I23" s="615"/>
      <c r="J23" s="273"/>
      <c r="K23" s="273"/>
      <c r="M23" s="615"/>
      <c r="N23" s="273"/>
      <c r="O23" s="273"/>
      <c r="P23" s="273"/>
      <c r="Q23" s="273"/>
      <c r="R23" s="615" t="str">
        <f>IF(M7="-","-",R22-900)</f>
        <v>-</v>
      </c>
      <c r="T23" s="273"/>
      <c r="U23" s="666"/>
    </row>
    <row r="24" spans="2:28" ht="14.5">
      <c r="B24" s="791" t="str">
        <f>IF(O6-O7=0,"∆T","Log mean temperature")</f>
        <v>∆T</v>
      </c>
      <c r="C24" s="668" t="str">
        <f>IF(J41="x","-",O8)</f>
        <v>-</v>
      </c>
      <c r="D24" s="651" t="s">
        <v>412</v>
      </c>
      <c r="E24" s="445"/>
      <c r="I24" s="663"/>
      <c r="M24" s="165"/>
      <c r="N24" s="273"/>
      <c r="O24" s="273"/>
      <c r="P24" s="273"/>
      <c r="Q24" s="273"/>
      <c r="R24" s="273" t="str">
        <f>IF(M7="-","-",R23/N22*C27)</f>
        <v>-</v>
      </c>
      <c r="AB24" s="165"/>
    </row>
    <row r="25" spans="2:28" ht="13">
      <c r="B25" s="2147" t="str">
        <f>IF(O6-O7=0,"A = U∆T / Q","A = U x Log mean temperature / Q")</f>
        <v>A = U∆T / Q</v>
      </c>
      <c r="C25" s="2148"/>
      <c r="D25" s="2148"/>
      <c r="E25" s="2149"/>
      <c r="G25" s="664" t="s">
        <v>1470</v>
      </c>
      <c r="H25" s="665" t="s">
        <v>721</v>
      </c>
      <c r="I25" s="663"/>
      <c r="M25" s="165"/>
      <c r="R25" s="649" t="str">
        <f>IF(M7="-","-",MROUND(ROUNDUP(R24+25,1),50)+1000)</f>
        <v>-</v>
      </c>
      <c r="V25" s="165"/>
      <c r="AB25" s="165"/>
    </row>
    <row r="26" spans="2:28" ht="13">
      <c r="B26" s="2147"/>
      <c r="C26" s="2148"/>
      <c r="D26" s="2148"/>
      <c r="E26" s="2149"/>
      <c r="G26" s="666" t="s">
        <v>1471</v>
      </c>
      <c r="H26" s="667" t="str">
        <f>IF(M9=2,H25,"←")</f>
        <v>←</v>
      </c>
      <c r="I26" s="43"/>
      <c r="AB26" s="165"/>
    </row>
    <row r="27" spans="2:28" ht="14.5">
      <c r="B27" s="444" t="s">
        <v>1454</v>
      </c>
      <c r="C27" s="656" t="str">
        <f>IF(OR(C6="-",C13="-",C17="-",J41="x"),"-",M7/C23/O8*1000)</f>
        <v>-</v>
      </c>
      <c r="D27" s="253" t="s">
        <v>178</v>
      </c>
      <c r="E27" s="445"/>
      <c r="I27" s="43"/>
      <c r="AB27" s="165"/>
    </row>
    <row r="28" spans="2:28">
      <c r="B28" s="51"/>
      <c r="C28" s="446"/>
      <c r="D28" s="446"/>
      <c r="E28" s="52"/>
      <c r="I28" s="43"/>
      <c r="J28" s="165"/>
      <c r="K28" s="165"/>
      <c r="Q28" s="165"/>
      <c r="AB28" s="165"/>
    </row>
    <row r="29" spans="2:28">
      <c r="B29" s="45"/>
      <c r="C29" s="45"/>
      <c r="D29" s="45"/>
      <c r="E29" s="45"/>
      <c r="G29" s="279"/>
      <c r="H29" s="279"/>
      <c r="I29" s="43"/>
      <c r="J29" s="165"/>
      <c r="K29" s="165"/>
      <c r="P29" s="43" t="s">
        <v>139</v>
      </c>
    </row>
    <row r="30" spans="2:28" ht="13">
      <c r="B30" s="2150" t="s">
        <v>1461</v>
      </c>
      <c r="C30" s="2151"/>
      <c r="D30" s="2151"/>
      <c r="E30" s="443"/>
      <c r="G30" s="278" t="s">
        <v>1472</v>
      </c>
      <c r="H30" s="278"/>
      <c r="P30" s="43" t="s">
        <v>480</v>
      </c>
    </row>
    <row r="31" spans="2:28" ht="13">
      <c r="B31" s="444" t="s">
        <v>110</v>
      </c>
      <c r="C31" s="2152" t="str">
        <f>IF(OR(J41="x",M7="-"),"-",VLOOKUP(N22,L15:M20,2,FALSE))</f>
        <v>-</v>
      </c>
      <c r="D31" s="2152"/>
      <c r="E31" s="445"/>
      <c r="G31" s="278" t="s">
        <v>1464</v>
      </c>
      <c r="H31" s="644">
        <f>C11</f>
        <v>0</v>
      </c>
      <c r="J31" s="43" t="str">
        <f>IF(C11*C12=0,"",IF(C11-C12&gt;=0,"ok","x"))</f>
        <v/>
      </c>
      <c r="K31" s="43" t="str">
        <f>IF(OR(J31="x",J35="x"),"Error: Inappropriate Temperatures","")</f>
        <v/>
      </c>
    </row>
    <row r="32" spans="2:28" ht="25.5" thickBot="1">
      <c r="B32" s="791" t="s">
        <v>1463</v>
      </c>
      <c r="C32" s="2153" t="str">
        <f>IF(J41="ok",R25&amp;" x "&amp;P22&amp;" x "&amp;O22,"-")</f>
        <v>-</v>
      </c>
      <c r="D32" s="2153"/>
      <c r="E32" s="445"/>
      <c r="G32" s="278" t="s">
        <v>1465</v>
      </c>
      <c r="H32" s="644">
        <f>C12</f>
        <v>0</v>
      </c>
      <c r="O32" s="43" t="s">
        <v>139</v>
      </c>
      <c r="P32" s="655" t="str">
        <f>IF(C13="-","-",M7/4.185/C13)</f>
        <v>-</v>
      </c>
      <c r="Q32" s="655" t="str">
        <f>IF(C17="-","-",M7/4.185/C17)</f>
        <v>-</v>
      </c>
    </row>
    <row r="33" spans="2:17" ht="13.5" thickTop="1">
      <c r="B33" s="51"/>
      <c r="C33" s="446"/>
      <c r="D33" s="446"/>
      <c r="E33" s="52"/>
      <c r="G33" s="278"/>
      <c r="H33" s="278"/>
      <c r="O33" s="43" t="s">
        <v>480</v>
      </c>
      <c r="P33" s="655" t="str">
        <f>IF(P32="-","-",P32*3.6)</f>
        <v>-</v>
      </c>
      <c r="Q33" s="655" t="str">
        <f>IF(Q32="-","-",Q32*3.6)</f>
        <v>-</v>
      </c>
    </row>
    <row r="34" spans="2:17" ht="13">
      <c r="B34" s="2143" t="s">
        <v>1474</v>
      </c>
      <c r="C34" s="2144"/>
      <c r="D34" s="2144"/>
      <c r="E34" s="445"/>
      <c r="G34" s="278" t="s">
        <v>1473</v>
      </c>
      <c r="H34" s="278"/>
      <c r="L34" s="165"/>
    </row>
    <row r="35" spans="2:17">
      <c r="B35" s="2145" t="s">
        <v>1187</v>
      </c>
      <c r="C35" s="2146"/>
      <c r="D35" s="2146"/>
      <c r="E35" s="445"/>
      <c r="G35" s="278" t="str">
        <f>IF(M9=1,"Out","In")</f>
        <v>Out</v>
      </c>
      <c r="H35" s="278">
        <f>IF(M9=1,C16,C15)</f>
        <v>0</v>
      </c>
      <c r="J35" s="43" t="str">
        <f>IF(C15*C16=0,"",IF(C15-C16&lt;=0,"ok","x"))</f>
        <v/>
      </c>
    </row>
    <row r="36" spans="2:17">
      <c r="B36" s="51"/>
      <c r="C36" s="446"/>
      <c r="D36" s="446"/>
      <c r="E36" s="52"/>
      <c r="G36" s="278" t="str">
        <f>IF(M9=2,"Out","In")</f>
        <v>In</v>
      </c>
      <c r="H36" s="644">
        <f>IF(M9=2,C16,C15)</f>
        <v>0</v>
      </c>
    </row>
    <row r="37" spans="2:17">
      <c r="G37" s="278"/>
      <c r="H37" s="279"/>
    </row>
    <row r="38" spans="2:17">
      <c r="G38" s="278"/>
      <c r="H38" s="644">
        <f>H35-H31</f>
        <v>0</v>
      </c>
      <c r="I38" s="43"/>
    </row>
    <row r="39" spans="2:17">
      <c r="G39" s="278"/>
      <c r="H39" s="644">
        <f>H36-H32</f>
        <v>0</v>
      </c>
      <c r="I39" s="43"/>
      <c r="J39" s="43" t="str">
        <f>IF(C11*C12*C15*C16=0,"",IF(H40&lt;=0,"x","ok"))</f>
        <v/>
      </c>
      <c r="K39" s="43" t="str">
        <f>IF(J39="x","Error: Temperature Cross","")</f>
        <v/>
      </c>
    </row>
    <row r="40" spans="2:17">
      <c r="G40" s="278"/>
      <c r="H40" s="279">
        <f>H38*H39</f>
        <v>0</v>
      </c>
      <c r="I40" s="43"/>
    </row>
    <row r="41" spans="2:17">
      <c r="G41" s="165"/>
      <c r="I41" s="43"/>
      <c r="J41" s="43" t="str">
        <f>IF(C5*C11*C12*C15*C16=0,"",IF(AND(J39="ok",J35="ok",J31="ok"),"ok","x"))</f>
        <v/>
      </c>
    </row>
    <row r="43" spans="2:17">
      <c r="I43" s="43"/>
      <c r="J43" s="654"/>
    </row>
    <row r="44" spans="2:17">
      <c r="I44" s="43"/>
      <c r="J44" s="654"/>
    </row>
    <row r="48" spans="2:17">
      <c r="I48" s="43"/>
      <c r="J48" s="654"/>
    </row>
    <row r="49" spans="9:10">
      <c r="I49" s="43"/>
      <c r="J49" s="654"/>
    </row>
  </sheetData>
  <sheetProtection password="DFE4" sheet="1" objects="1" scenarios="1" selectLockedCells="1"/>
  <mergeCells count="9">
    <mergeCell ref="G13:I16"/>
    <mergeCell ref="B2:E2"/>
    <mergeCell ref="B10:C10"/>
    <mergeCell ref="B34:D34"/>
    <mergeCell ref="B35:D35"/>
    <mergeCell ref="B25:E26"/>
    <mergeCell ref="B30:D30"/>
    <mergeCell ref="C31:D31"/>
    <mergeCell ref="C32:D32"/>
  </mergeCells>
  <phoneticPr fontId="143" type="noConversion"/>
  <dataValidations count="2">
    <dataValidation type="list" allowBlank="1" showInputMessage="1" showErrorMessage="1" sqref="D5" xr:uid="{00000000-0002-0000-1700-000000000000}">
      <formula1>$M$5:$M$6</formula1>
    </dataValidation>
    <dataValidation type="list" allowBlank="1" showInputMessage="1" showErrorMessage="1" sqref="C19" xr:uid="{00000000-0002-0000-1700-000001000000}">
      <formula1>$P$29:$P$30</formula1>
    </dataValidation>
  </dataValidations>
  <hyperlinks>
    <hyperlink ref="B35" r:id="rId1" xr:uid="{00000000-0004-0000-1700-000000000000}"/>
  </hyperlinks>
  <pageMargins left="0.75" right="0.75" top="1" bottom="1" header="0.5" footer="0.5"/>
  <pageSetup paperSize="9" fitToHeight="0" orientation="landscape" r:id="rId2"/>
  <headerFooter alignWithMargins="0">
    <oddFooter>&amp;R&amp;8Developed by Benjamin Leung</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35169" r:id="rId5" name="Button 1">
              <controlPr defaultSize="0" autoFill="0" autoPict="0" macro="[0]!Home">
                <anchor moveWithCells="1">
                  <from>
                    <xdr:col>6</xdr:col>
                    <xdr:colOff>31750</xdr:colOff>
                    <xdr:row>3</xdr:row>
                    <xdr:rowOff>38100</xdr:rowOff>
                  </from>
                  <to>
                    <xdr:col>7</xdr:col>
                    <xdr:colOff>95250</xdr:colOff>
                    <xdr:row>5</xdr:row>
                    <xdr:rowOff>38100</xdr:rowOff>
                  </to>
                </anchor>
              </controlPr>
            </control>
          </mc:Choice>
        </mc:AlternateContent>
        <mc:AlternateContent xmlns:mc="http://schemas.openxmlformats.org/markup-compatibility/2006">
          <mc:Choice Requires="x14">
            <control shapeId="135170" r:id="rId6" name="Button 2">
              <controlPr defaultSize="0" autoFill="0" autoPict="0" macro="[0]!Hx_Clear">
                <anchor moveWithCells="1">
                  <from>
                    <xdr:col>6</xdr:col>
                    <xdr:colOff>31750</xdr:colOff>
                    <xdr:row>5</xdr:row>
                    <xdr:rowOff>114300</xdr:rowOff>
                  </from>
                  <to>
                    <xdr:col>7</xdr:col>
                    <xdr:colOff>95250</xdr:colOff>
                    <xdr:row>7</xdr:row>
                    <xdr:rowOff>114300</xdr:rowOff>
                  </to>
                </anchor>
              </controlPr>
            </control>
          </mc:Choice>
        </mc:AlternateContent>
        <mc:AlternateContent xmlns:mc="http://schemas.openxmlformats.org/markup-compatibility/2006">
          <mc:Choice Requires="x14">
            <control shapeId="135180" r:id="rId7" name="Option Button 12">
              <controlPr defaultSize="0" autoFill="0" autoLine="0" autoPict="0">
                <anchor moveWithCells="1">
                  <from>
                    <xdr:col>1</xdr:col>
                    <xdr:colOff>1250950</xdr:colOff>
                    <xdr:row>6</xdr:row>
                    <xdr:rowOff>107950</xdr:rowOff>
                  </from>
                  <to>
                    <xdr:col>3</xdr:col>
                    <xdr:colOff>342900</xdr:colOff>
                    <xdr:row>8</xdr:row>
                    <xdr:rowOff>0</xdr:rowOff>
                  </to>
                </anchor>
              </controlPr>
            </control>
          </mc:Choice>
        </mc:AlternateContent>
        <mc:AlternateContent xmlns:mc="http://schemas.openxmlformats.org/markup-compatibility/2006">
          <mc:Choice Requires="x14">
            <control shapeId="135181" r:id="rId8" name="Option Button 13">
              <controlPr defaultSize="0" autoFill="0" autoLine="0" autoPict="0">
                <anchor moveWithCells="1">
                  <from>
                    <xdr:col>1</xdr:col>
                    <xdr:colOff>1250950</xdr:colOff>
                    <xdr:row>7</xdr:row>
                    <xdr:rowOff>95250</xdr:rowOff>
                  </from>
                  <to>
                    <xdr:col>4</xdr:col>
                    <xdr:colOff>88900</xdr:colOff>
                    <xdr:row>8</xdr:row>
                    <xdr:rowOff>152400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tabColor theme="7"/>
    <pageSetUpPr fitToPage="1"/>
  </sheetPr>
  <dimension ref="A2:CH103"/>
  <sheetViews>
    <sheetView showGridLines="0" showRowColHeaders="0" zoomScaleNormal="100" workbookViewId="0"/>
  </sheetViews>
  <sheetFormatPr defaultColWidth="9.1796875" defaultRowHeight="12.5"/>
  <cols>
    <col min="1" max="1" width="2.7265625" style="1443" customWidth="1"/>
    <col min="2" max="2" width="1.26953125" style="1443" customWidth="1"/>
    <col min="3" max="3" width="12" style="1443" bestFit="1" customWidth="1"/>
    <col min="4" max="4" width="9.1796875" style="1443"/>
    <col min="5" max="5" width="9.1796875" style="1443" customWidth="1"/>
    <col min="6" max="6" width="9.453125" style="1442" bestFit="1" customWidth="1"/>
    <col min="7" max="7" width="1.26953125" style="1442" customWidth="1"/>
    <col min="8" max="8" width="2.7265625" style="1442" customWidth="1"/>
    <col min="9" max="10" width="9.1796875" style="1442"/>
    <col min="11" max="11" width="2.7265625" style="1443" customWidth="1"/>
    <col min="12" max="12" width="10.1796875" style="1443" customWidth="1"/>
    <col min="13" max="13" width="2.81640625" style="1443" customWidth="1"/>
    <col min="14" max="15" width="9.1796875" style="1443" customWidth="1"/>
    <col min="16" max="16" width="2.81640625" style="1443" customWidth="1"/>
    <col min="17" max="21" width="9.1796875" style="1443" customWidth="1"/>
    <col min="22" max="22" width="2.7265625" style="1443" hidden="1" customWidth="1"/>
    <col min="23" max="23" width="15.7265625" style="1443" hidden="1" customWidth="1"/>
    <col min="24" max="24" width="2.81640625" style="1443" hidden="1" customWidth="1"/>
    <col min="25" max="26" width="9.1796875" style="1443" hidden="1" customWidth="1"/>
    <col min="27" max="27" width="2.81640625" style="1443" hidden="1" customWidth="1"/>
    <col min="28" max="32" width="9.1796875" style="1443" hidden="1" customWidth="1"/>
    <col min="33" max="33" width="3.7265625" style="1443" hidden="1" customWidth="1"/>
    <col min="34" max="34" width="11.26953125" style="1445" hidden="1" customWidth="1"/>
    <col min="35" max="38" width="9.1796875" style="1445" hidden="1" customWidth="1"/>
    <col min="39" max="39" width="9.7265625" style="1445" hidden="1" customWidth="1"/>
    <col min="40" max="40" width="9.1796875" style="1445" hidden="1" customWidth="1"/>
    <col min="41" max="41" width="10.54296875" style="1445" hidden="1" customWidth="1"/>
    <col min="42" max="42" width="10.7265625" style="1445" hidden="1" customWidth="1"/>
    <col min="43" max="43" width="8.81640625" style="1445" hidden="1" customWidth="1"/>
    <col min="44" max="45" width="10.54296875" style="1445" hidden="1" customWidth="1"/>
    <col min="46" max="46" width="10.7265625" style="1445" hidden="1" customWidth="1"/>
    <col min="47" max="47" width="8.81640625" style="1445" hidden="1" customWidth="1"/>
    <col min="48" max="53" width="9.1796875" style="1445" hidden="1" customWidth="1"/>
    <col min="54" max="54" width="9.1796875" style="1446" hidden="1" customWidth="1"/>
    <col min="55" max="86" width="9.1796875" style="1446"/>
    <col min="87" max="16384" width="9.1796875" style="1443"/>
  </cols>
  <sheetData>
    <row r="2" spans="2:53" ht="13">
      <c r="B2" s="2156" t="s">
        <v>255</v>
      </c>
      <c r="C2" s="2173"/>
      <c r="D2" s="2173"/>
      <c r="E2" s="2173"/>
      <c r="F2" s="2173"/>
      <c r="G2" s="2157"/>
      <c r="I2" s="2156" t="s">
        <v>289</v>
      </c>
      <c r="J2" s="2157"/>
      <c r="L2" s="2158" t="s">
        <v>259</v>
      </c>
      <c r="M2" s="2159"/>
      <c r="N2" s="2159"/>
      <c r="O2" s="2159"/>
      <c r="P2" s="2159"/>
      <c r="Q2" s="2159"/>
      <c r="R2" s="2159"/>
      <c r="S2" s="2159"/>
      <c r="T2" s="2159"/>
      <c r="U2" s="2160"/>
      <c r="W2" s="2158" t="s">
        <v>259</v>
      </c>
      <c r="X2" s="2159"/>
      <c r="Y2" s="2159"/>
      <c r="Z2" s="2159"/>
      <c r="AA2" s="2159"/>
      <c r="AB2" s="2159"/>
      <c r="AC2" s="2159"/>
      <c r="AD2" s="2159"/>
      <c r="AE2" s="2159"/>
      <c r="AF2" s="2160"/>
      <c r="AH2" s="1444" t="s">
        <v>265</v>
      </c>
    </row>
    <row r="3" spans="2:53" ht="13">
      <c r="B3" s="1511"/>
      <c r="C3" s="1512"/>
      <c r="D3" s="1512"/>
      <c r="E3" s="1512"/>
      <c r="F3" s="1513"/>
      <c r="G3" s="1514"/>
      <c r="I3" s="1449"/>
      <c r="J3" s="1450">
        <v>1</v>
      </c>
      <c r="L3" s="2161" t="s">
        <v>260</v>
      </c>
      <c r="M3" s="2162"/>
      <c r="N3" s="2162"/>
      <c r="O3" s="2162"/>
      <c r="P3" s="2162"/>
      <c r="Q3" s="2162"/>
      <c r="R3" s="2162"/>
      <c r="S3" s="2162"/>
      <c r="T3" s="2162"/>
      <c r="U3" s="2163"/>
      <c r="W3" s="2161" t="s">
        <v>1631</v>
      </c>
      <c r="X3" s="2162"/>
      <c r="Y3" s="2162"/>
      <c r="Z3" s="2162"/>
      <c r="AA3" s="2162"/>
      <c r="AB3" s="2162"/>
      <c r="AC3" s="2162"/>
      <c r="AD3" s="2162"/>
      <c r="AE3" s="2162"/>
      <c r="AF3" s="2163"/>
      <c r="AH3" s="1451"/>
      <c r="AI3" s="1452" t="b">
        <v>0</v>
      </c>
      <c r="AJ3" s="1452" t="b">
        <v>0</v>
      </c>
      <c r="AK3" s="1452" t="b">
        <v>0</v>
      </c>
      <c r="AL3" s="1452" t="b">
        <v>0</v>
      </c>
      <c r="AM3" s="1452"/>
      <c r="AN3" s="1452"/>
      <c r="AO3" s="1452"/>
      <c r="AP3" s="1452" t="b">
        <v>0</v>
      </c>
      <c r="AQ3" s="1452" t="b">
        <v>0</v>
      </c>
      <c r="AR3" s="1452" t="b">
        <v>0</v>
      </c>
      <c r="AS3" s="1452" t="b">
        <v>0</v>
      </c>
      <c r="AT3" s="2169" t="s">
        <v>256</v>
      </c>
      <c r="AU3" s="2169"/>
      <c r="AV3" s="2169"/>
      <c r="AW3" s="2169"/>
      <c r="AX3" s="2169"/>
      <c r="AY3" s="2169"/>
      <c r="AZ3" s="2169"/>
      <c r="BA3" s="2169"/>
    </row>
    <row r="4" spans="2:53" ht="13.5" customHeight="1">
      <c r="B4" s="1447"/>
      <c r="G4" s="1448"/>
      <c r="I4" s="1449"/>
      <c r="J4" s="1453"/>
      <c r="L4" s="2167" t="s">
        <v>179</v>
      </c>
      <c r="M4" s="2164" t="s">
        <v>258</v>
      </c>
      <c r="N4" s="2165"/>
      <c r="O4" s="2166"/>
      <c r="P4" s="2164" t="s">
        <v>257</v>
      </c>
      <c r="Q4" s="2165"/>
      <c r="R4" s="2166"/>
      <c r="S4" s="2167" t="s">
        <v>206</v>
      </c>
      <c r="T4" s="2167"/>
      <c r="U4" s="2167"/>
      <c r="W4" s="2167" t="s">
        <v>179</v>
      </c>
      <c r="X4" s="2164" t="s">
        <v>258</v>
      </c>
      <c r="Y4" s="2165"/>
      <c r="Z4" s="2166"/>
      <c r="AA4" s="2164" t="s">
        <v>257</v>
      </c>
      <c r="AB4" s="2165"/>
      <c r="AC4" s="2166"/>
      <c r="AD4" s="2167" t="s">
        <v>206</v>
      </c>
      <c r="AE4" s="2167"/>
      <c r="AF4" s="2167"/>
      <c r="AH4" s="1451"/>
      <c r="AI4" s="1451"/>
      <c r="AJ4" s="1451"/>
      <c r="AK4" s="1451"/>
      <c r="AL4" s="2169" t="s">
        <v>130</v>
      </c>
      <c r="AM4" s="2169"/>
      <c r="AN4" s="2169"/>
      <c r="AO4" s="2169"/>
      <c r="AP4" s="1451" t="s">
        <v>250</v>
      </c>
      <c r="AQ4" s="1451"/>
      <c r="AR4" s="1451"/>
      <c r="AS4" s="1451"/>
      <c r="AT4" s="2169"/>
      <c r="AU4" s="2169"/>
      <c r="AV4" s="2169"/>
      <c r="AW4" s="2169"/>
      <c r="AX4" s="2169"/>
      <c r="AY4" s="2169"/>
      <c r="AZ4" s="2169"/>
      <c r="BA4" s="2169"/>
    </row>
    <row r="5" spans="2:53" ht="13">
      <c r="B5" s="1447"/>
      <c r="G5" s="1448"/>
      <c r="I5" s="1454"/>
      <c r="J5" s="1455"/>
      <c r="L5" s="2168"/>
      <c r="M5" s="2154" t="s">
        <v>180</v>
      </c>
      <c r="N5" s="2170"/>
      <c r="O5" s="2155"/>
      <c r="P5" s="2154" t="s">
        <v>207</v>
      </c>
      <c r="Q5" s="2170"/>
      <c r="R5" s="2155"/>
      <c r="S5" s="2168"/>
      <c r="T5" s="2168"/>
      <c r="U5" s="2168"/>
      <c r="W5" s="2168"/>
      <c r="X5" s="2154" t="s">
        <v>180</v>
      </c>
      <c r="Y5" s="2170"/>
      <c r="Z5" s="2155"/>
      <c r="AA5" s="2154" t="s">
        <v>207</v>
      </c>
      <c r="AB5" s="2170"/>
      <c r="AC5" s="2155"/>
      <c r="AD5" s="2168"/>
      <c r="AE5" s="2168"/>
      <c r="AF5" s="2168"/>
      <c r="AH5" s="1451" t="s">
        <v>264</v>
      </c>
      <c r="AI5" s="1451" t="s">
        <v>247</v>
      </c>
      <c r="AJ5" s="1451" t="s">
        <v>129</v>
      </c>
      <c r="AK5" s="1451" t="s">
        <v>253</v>
      </c>
      <c r="AL5" s="1451" t="s">
        <v>252</v>
      </c>
      <c r="AM5" s="1451" t="s">
        <v>249</v>
      </c>
      <c r="AN5" s="1451" t="s">
        <v>248</v>
      </c>
      <c r="AO5" s="1451" t="s">
        <v>251</v>
      </c>
      <c r="AP5" s="1451" t="s">
        <v>252</v>
      </c>
      <c r="AQ5" s="1451" t="s">
        <v>254</v>
      </c>
      <c r="AR5" s="1451" t="s">
        <v>208</v>
      </c>
      <c r="AS5" s="1451" t="s">
        <v>263</v>
      </c>
      <c r="AT5" s="2169"/>
      <c r="AU5" s="2169"/>
      <c r="AV5" s="2169"/>
      <c r="AW5" s="2169"/>
      <c r="AX5" s="2169"/>
      <c r="AY5" s="2169"/>
      <c r="AZ5" s="2169"/>
      <c r="BA5" s="2169"/>
    </row>
    <row r="6" spans="2:53" ht="13">
      <c r="B6" s="1447"/>
      <c r="G6" s="1448"/>
      <c r="L6" s="2168"/>
      <c r="M6" s="2154" t="s">
        <v>181</v>
      </c>
      <c r="N6" s="2155"/>
      <c r="O6" s="1456" t="s">
        <v>3</v>
      </c>
      <c r="P6" s="2154" t="s">
        <v>181</v>
      </c>
      <c r="Q6" s="2155"/>
      <c r="R6" s="1456" t="s">
        <v>3</v>
      </c>
      <c r="S6" s="1457" t="s">
        <v>261</v>
      </c>
      <c r="T6" s="1456" t="s">
        <v>173</v>
      </c>
      <c r="U6" s="1456" t="s">
        <v>183</v>
      </c>
      <c r="W6" s="2168"/>
      <c r="X6" s="2154" t="s">
        <v>181</v>
      </c>
      <c r="Y6" s="2155"/>
      <c r="Z6" s="1456" t="s">
        <v>3</v>
      </c>
      <c r="AA6" s="2154" t="s">
        <v>181</v>
      </c>
      <c r="AB6" s="2155"/>
      <c r="AC6" s="1456" t="s">
        <v>3</v>
      </c>
      <c r="AD6" s="1457" t="s">
        <v>261</v>
      </c>
      <c r="AE6" s="1456" t="s">
        <v>173</v>
      </c>
      <c r="AF6" s="1456" t="s">
        <v>183</v>
      </c>
      <c r="AH6" s="1458" t="s">
        <v>184</v>
      </c>
      <c r="AI6" s="1459">
        <v>310</v>
      </c>
      <c r="AJ6" s="1459">
        <v>155</v>
      </c>
      <c r="AK6" s="1459">
        <v>620</v>
      </c>
      <c r="AL6" s="1459">
        <v>310</v>
      </c>
      <c r="AM6" s="1459">
        <v>310</v>
      </c>
      <c r="AN6" s="1459">
        <v>465</v>
      </c>
      <c r="AO6" s="1459">
        <v>620</v>
      </c>
      <c r="AP6" s="1459">
        <v>310</v>
      </c>
      <c r="AQ6" s="1459">
        <v>700</v>
      </c>
      <c r="AR6" s="1459">
        <v>775</v>
      </c>
      <c r="AS6" s="1459">
        <v>300</v>
      </c>
      <c r="AT6" s="1445">
        <f>IF($AI$3=TRUE,AI6,0)</f>
        <v>0</v>
      </c>
      <c r="AU6" s="1445">
        <f>IF($AJ$3=TRUE,AJ6,0)</f>
        <v>0</v>
      </c>
      <c r="AV6" s="1445">
        <f>IF($AK$3=TRUE,AK6,0)</f>
        <v>0</v>
      </c>
      <c r="AW6" s="1445">
        <f>IF($AL$3=TRUE,AN6,0)</f>
        <v>0</v>
      </c>
      <c r="AX6" s="1445">
        <f>IF($AP$3=TRUE,AP6,0)</f>
        <v>0</v>
      </c>
      <c r="AY6" s="1445">
        <f>IF($AQ$3=TRUE,AQ6,0)</f>
        <v>0</v>
      </c>
      <c r="AZ6" s="1445">
        <f>IF($AR$3=TRUE,AR6,0)</f>
        <v>0</v>
      </c>
      <c r="BA6" s="1445">
        <f>IF($AS$3=TRUE,AS6,0)</f>
        <v>0</v>
      </c>
    </row>
    <row r="7" spans="2:53">
      <c r="B7" s="1454"/>
      <c r="C7" s="1460"/>
      <c r="D7" s="1460"/>
      <c r="E7" s="1460"/>
      <c r="F7" s="1515"/>
      <c r="G7" s="1461"/>
      <c r="L7" s="1462" t="s">
        <v>184</v>
      </c>
      <c r="M7" s="1463" t="str">
        <f t="shared" ref="M7:M28" si="0">IF($N$54=O7,"►","")</f>
        <v/>
      </c>
      <c r="N7" s="1464">
        <v>2070</v>
      </c>
      <c r="O7" s="1465">
        <v>575</v>
      </c>
      <c r="P7" s="1466" t="str">
        <f>IF($Q$54=R7,"►","")</f>
        <v/>
      </c>
      <c r="Q7" s="1464">
        <v>1863</v>
      </c>
      <c r="R7" s="1465">
        <f>Q7/3.6</f>
        <v>517.5</v>
      </c>
      <c r="S7" s="1467">
        <f t="shared" ref="S7:S28" si="1">150+SUM(AT6:BA6)</f>
        <v>150</v>
      </c>
      <c r="T7" s="1468">
        <v>700</v>
      </c>
      <c r="U7" s="1468">
        <v>850</v>
      </c>
      <c r="W7" s="1469" t="s">
        <v>267</v>
      </c>
      <c r="X7" s="1463" t="str">
        <f>IF($Y$54=Z7,"►","")</f>
        <v/>
      </c>
      <c r="Y7" s="1464">
        <v>2556</v>
      </c>
      <c r="Z7" s="1465">
        <f t="shared" ref="Z7:Z28" si="2">Y7/3.6</f>
        <v>710</v>
      </c>
      <c r="AA7" s="1466" t="str">
        <f>IF($AB$54=AC7,"►","")</f>
        <v/>
      </c>
      <c r="AB7" s="1464">
        <v>2300</v>
      </c>
      <c r="AC7" s="1465">
        <f>AB7/3.6</f>
        <v>638.88888888888891</v>
      </c>
      <c r="AD7" s="1467">
        <f t="shared" ref="AD7:AD28" si="3">150+SUM(AT35:BA35)</f>
        <v>150</v>
      </c>
      <c r="AE7" s="1468">
        <v>985</v>
      </c>
      <c r="AF7" s="1468">
        <v>680</v>
      </c>
      <c r="AH7" s="1458" t="s">
        <v>185</v>
      </c>
      <c r="AI7" s="1459">
        <v>310</v>
      </c>
      <c r="AJ7" s="1459">
        <v>155</v>
      </c>
      <c r="AK7" s="1459">
        <v>620</v>
      </c>
      <c r="AL7" s="1459">
        <v>310</v>
      </c>
      <c r="AM7" s="1459">
        <v>310</v>
      </c>
      <c r="AN7" s="1459">
        <v>465</v>
      </c>
      <c r="AO7" s="1459">
        <v>620</v>
      </c>
      <c r="AP7" s="1459">
        <v>310</v>
      </c>
      <c r="AQ7" s="1459">
        <v>700</v>
      </c>
      <c r="AR7" s="1459">
        <v>775</v>
      </c>
      <c r="AS7" s="1459">
        <v>300</v>
      </c>
      <c r="AT7" s="1445">
        <f t="shared" ref="AT7:AT26" si="4">IF($AI$3=TRUE,AI7,0)</f>
        <v>0</v>
      </c>
      <c r="AU7" s="1445">
        <f t="shared" ref="AU7:AU27" si="5">IF($AJ$3=TRUE,AJ7,0)</f>
        <v>0</v>
      </c>
      <c r="AV7" s="1445">
        <f t="shared" ref="AV7:AV27" si="6">IF($AK$3=TRUE,AK7,0)</f>
        <v>0</v>
      </c>
      <c r="AW7" s="1445">
        <f t="shared" ref="AW7:AW27" si="7">IF($AL$3=TRUE,AN7,0)</f>
        <v>0</v>
      </c>
      <c r="AX7" s="1445">
        <f t="shared" ref="AX7:AX27" si="8">IF($AP$3=TRUE,AP7,0)</f>
        <v>0</v>
      </c>
      <c r="AY7" s="1445">
        <f t="shared" ref="AY7:AY27" si="9">IF($AQ$3=TRUE,AQ7,0)</f>
        <v>0</v>
      </c>
      <c r="AZ7" s="1445">
        <f t="shared" ref="AZ7:AZ27" si="10">IF($AR$3=TRUE,AR7,0)</f>
        <v>0</v>
      </c>
      <c r="BA7" s="1445">
        <f t="shared" ref="BA7:BA27" si="11">IF($AS$3=TRUE,AS7,0)</f>
        <v>0</v>
      </c>
    </row>
    <row r="8" spans="2:53">
      <c r="L8" s="1470" t="s">
        <v>185</v>
      </c>
      <c r="M8" s="1463" t="str">
        <f t="shared" si="0"/>
        <v/>
      </c>
      <c r="N8" s="1471">
        <v>3600</v>
      </c>
      <c r="O8" s="1472">
        <v>1000</v>
      </c>
      <c r="P8" s="1466" t="str">
        <f t="shared" ref="P8:P28" si="12">IF($Q$54=R8,"►","")</f>
        <v/>
      </c>
      <c r="Q8" s="1471">
        <v>3240</v>
      </c>
      <c r="R8" s="1472">
        <f t="shared" ref="R8:R28" si="13">Q8/3.6</f>
        <v>900</v>
      </c>
      <c r="S8" s="1473">
        <f t="shared" si="1"/>
        <v>150</v>
      </c>
      <c r="T8" s="1474">
        <v>1100</v>
      </c>
      <c r="U8" s="1474">
        <v>850</v>
      </c>
      <c r="W8" s="1475" t="s">
        <v>268</v>
      </c>
      <c r="X8" s="1463" t="str">
        <f t="shared" ref="X8:X28" si="14">IF($Y$54=Z8,"►","")</f>
        <v/>
      </c>
      <c r="Y8" s="1471">
        <v>4428</v>
      </c>
      <c r="Z8" s="1472">
        <f t="shared" si="2"/>
        <v>1230</v>
      </c>
      <c r="AA8" s="1466" t="str">
        <f t="shared" ref="AA8:AA28" si="15">IF($AB$54=AC8,"►","")</f>
        <v/>
      </c>
      <c r="AB8" s="1471">
        <v>3985</v>
      </c>
      <c r="AC8" s="1472">
        <f t="shared" ref="AC8:AC28" si="16">AB8/3.6</f>
        <v>1106.9444444444443</v>
      </c>
      <c r="AD8" s="1473">
        <f t="shared" si="3"/>
        <v>150</v>
      </c>
      <c r="AE8" s="1474">
        <v>985</v>
      </c>
      <c r="AF8" s="1474">
        <v>985</v>
      </c>
      <c r="AH8" s="1458" t="s">
        <v>186</v>
      </c>
      <c r="AI8" s="1459">
        <v>310</v>
      </c>
      <c r="AJ8" s="1459">
        <v>155</v>
      </c>
      <c r="AK8" s="1459">
        <v>620</v>
      </c>
      <c r="AL8" s="1459">
        <v>310</v>
      </c>
      <c r="AM8" s="1459">
        <v>310</v>
      </c>
      <c r="AN8" s="1459">
        <v>465</v>
      </c>
      <c r="AO8" s="1459">
        <v>620</v>
      </c>
      <c r="AP8" s="1459">
        <v>310</v>
      </c>
      <c r="AQ8" s="1459">
        <v>700</v>
      </c>
      <c r="AR8" s="1459">
        <v>930</v>
      </c>
      <c r="AS8" s="1459">
        <v>300</v>
      </c>
      <c r="AT8" s="1445">
        <f t="shared" si="4"/>
        <v>0</v>
      </c>
      <c r="AU8" s="1445">
        <f t="shared" si="5"/>
        <v>0</v>
      </c>
      <c r="AV8" s="1445">
        <f t="shared" si="6"/>
        <v>0</v>
      </c>
      <c r="AW8" s="1445">
        <f t="shared" si="7"/>
        <v>0</v>
      </c>
      <c r="AX8" s="1445">
        <f t="shared" si="8"/>
        <v>0</v>
      </c>
      <c r="AY8" s="1445">
        <f t="shared" si="9"/>
        <v>0</v>
      </c>
      <c r="AZ8" s="1445">
        <f t="shared" si="10"/>
        <v>0</v>
      </c>
      <c r="BA8" s="1445">
        <f t="shared" si="11"/>
        <v>0</v>
      </c>
    </row>
    <row r="9" spans="2:53">
      <c r="L9" s="1462" t="s">
        <v>186</v>
      </c>
      <c r="M9" s="1463" t="str">
        <f t="shared" si="0"/>
        <v/>
      </c>
      <c r="N9" s="1464">
        <v>5040</v>
      </c>
      <c r="O9" s="1465">
        <v>1400</v>
      </c>
      <c r="P9" s="1466" t="str">
        <f t="shared" si="12"/>
        <v/>
      </c>
      <c r="Q9" s="1464">
        <v>4536</v>
      </c>
      <c r="R9" s="1465">
        <f t="shared" si="13"/>
        <v>1260</v>
      </c>
      <c r="S9" s="1467">
        <f t="shared" si="1"/>
        <v>150</v>
      </c>
      <c r="T9" s="1468">
        <v>1350</v>
      </c>
      <c r="U9" s="1468">
        <v>850</v>
      </c>
      <c r="W9" s="1469" t="s">
        <v>269</v>
      </c>
      <c r="X9" s="1463" t="str">
        <f t="shared" si="14"/>
        <v/>
      </c>
      <c r="Y9" s="1464">
        <v>6480</v>
      </c>
      <c r="Z9" s="1465">
        <f t="shared" si="2"/>
        <v>1800</v>
      </c>
      <c r="AA9" s="1466" t="str">
        <f t="shared" si="15"/>
        <v/>
      </c>
      <c r="AB9" s="1464">
        <v>5832</v>
      </c>
      <c r="AC9" s="1465">
        <f t="shared" si="16"/>
        <v>1620</v>
      </c>
      <c r="AD9" s="1467">
        <f t="shared" si="3"/>
        <v>150</v>
      </c>
      <c r="AE9" s="1468">
        <v>1290</v>
      </c>
      <c r="AF9" s="1468">
        <v>985</v>
      </c>
      <c r="AH9" s="1458" t="s">
        <v>187</v>
      </c>
      <c r="AI9" s="1459">
        <v>310</v>
      </c>
      <c r="AJ9" s="1459">
        <v>155</v>
      </c>
      <c r="AK9" s="1459">
        <v>620</v>
      </c>
      <c r="AL9" s="1459">
        <v>310</v>
      </c>
      <c r="AM9" s="1459">
        <v>310</v>
      </c>
      <c r="AN9" s="1459">
        <v>465</v>
      </c>
      <c r="AO9" s="1459">
        <v>620</v>
      </c>
      <c r="AP9" s="1459">
        <v>310</v>
      </c>
      <c r="AQ9" s="1459">
        <v>700</v>
      </c>
      <c r="AR9" s="1459">
        <v>930</v>
      </c>
      <c r="AS9" s="1459">
        <v>300</v>
      </c>
      <c r="AT9" s="1445">
        <f t="shared" si="4"/>
        <v>0</v>
      </c>
      <c r="AU9" s="1445">
        <f t="shared" si="5"/>
        <v>0</v>
      </c>
      <c r="AV9" s="1445">
        <f t="shared" si="6"/>
        <v>0</v>
      </c>
      <c r="AW9" s="1445">
        <f t="shared" si="7"/>
        <v>0</v>
      </c>
      <c r="AX9" s="1445">
        <f t="shared" si="8"/>
        <v>0</v>
      </c>
      <c r="AY9" s="1445">
        <f t="shared" si="9"/>
        <v>0</v>
      </c>
      <c r="AZ9" s="1445">
        <f t="shared" si="10"/>
        <v>0</v>
      </c>
      <c r="BA9" s="1445">
        <f t="shared" si="11"/>
        <v>0</v>
      </c>
    </row>
    <row r="10" spans="2:53">
      <c r="L10" s="1470" t="s">
        <v>187</v>
      </c>
      <c r="M10" s="1463" t="str">
        <f t="shared" si="0"/>
        <v/>
      </c>
      <c r="N10" s="1471">
        <v>6570</v>
      </c>
      <c r="O10" s="1472">
        <v>1825</v>
      </c>
      <c r="P10" s="1466" t="str">
        <f t="shared" si="12"/>
        <v/>
      </c>
      <c r="Q10" s="1471">
        <v>5913</v>
      </c>
      <c r="R10" s="1472">
        <f t="shared" si="13"/>
        <v>1642.5</v>
      </c>
      <c r="S10" s="1473">
        <f t="shared" si="1"/>
        <v>150</v>
      </c>
      <c r="T10" s="1474">
        <v>1650</v>
      </c>
      <c r="U10" s="1474">
        <v>850</v>
      </c>
      <c r="W10" s="1475" t="s">
        <v>270</v>
      </c>
      <c r="X10" s="1463" t="str">
        <f t="shared" si="14"/>
        <v/>
      </c>
      <c r="Y10" s="1471">
        <v>8532</v>
      </c>
      <c r="Z10" s="1472">
        <f t="shared" si="2"/>
        <v>2370</v>
      </c>
      <c r="AA10" s="1466" t="str">
        <f t="shared" si="15"/>
        <v/>
      </c>
      <c r="AB10" s="1471">
        <v>7678</v>
      </c>
      <c r="AC10" s="1472">
        <f t="shared" si="16"/>
        <v>2132.7777777777778</v>
      </c>
      <c r="AD10" s="1473">
        <f t="shared" si="3"/>
        <v>150</v>
      </c>
      <c r="AE10" s="1474">
        <v>1595</v>
      </c>
      <c r="AF10" s="1474">
        <v>985</v>
      </c>
      <c r="AH10" s="1458" t="s">
        <v>188</v>
      </c>
      <c r="AI10" s="1459">
        <v>465</v>
      </c>
      <c r="AJ10" s="1459">
        <v>155</v>
      </c>
      <c r="AK10" s="1459">
        <v>620</v>
      </c>
      <c r="AL10" s="1459">
        <v>310</v>
      </c>
      <c r="AM10" s="1459">
        <v>310</v>
      </c>
      <c r="AN10" s="1459">
        <v>465</v>
      </c>
      <c r="AO10" s="1459">
        <v>620</v>
      </c>
      <c r="AP10" s="1459">
        <v>310</v>
      </c>
      <c r="AQ10" s="1459">
        <v>700</v>
      </c>
      <c r="AR10" s="1459">
        <v>930</v>
      </c>
      <c r="AS10" s="1459">
        <v>300</v>
      </c>
      <c r="AT10" s="1445">
        <f t="shared" si="4"/>
        <v>0</v>
      </c>
      <c r="AU10" s="1445">
        <f t="shared" si="5"/>
        <v>0</v>
      </c>
      <c r="AV10" s="1445">
        <f t="shared" si="6"/>
        <v>0</v>
      </c>
      <c r="AW10" s="1445">
        <f t="shared" si="7"/>
        <v>0</v>
      </c>
      <c r="AX10" s="1445">
        <f t="shared" si="8"/>
        <v>0</v>
      </c>
      <c r="AY10" s="1445">
        <f t="shared" si="9"/>
        <v>0</v>
      </c>
      <c r="AZ10" s="1445">
        <f t="shared" si="10"/>
        <v>0</v>
      </c>
      <c r="BA10" s="1445">
        <f t="shared" si="11"/>
        <v>0</v>
      </c>
    </row>
    <row r="11" spans="2:53">
      <c r="L11" s="1462" t="s">
        <v>188</v>
      </c>
      <c r="M11" s="1463" t="str">
        <f t="shared" si="0"/>
        <v/>
      </c>
      <c r="N11" s="1464">
        <v>8010</v>
      </c>
      <c r="O11" s="1465">
        <v>2225</v>
      </c>
      <c r="P11" s="1466" t="str">
        <f t="shared" si="12"/>
        <v/>
      </c>
      <c r="Q11" s="1464">
        <v>7209</v>
      </c>
      <c r="R11" s="1465">
        <f t="shared" si="13"/>
        <v>2002.5</v>
      </c>
      <c r="S11" s="1467">
        <f t="shared" si="1"/>
        <v>150</v>
      </c>
      <c r="T11" s="1468">
        <v>1350</v>
      </c>
      <c r="U11" s="1468">
        <v>1150</v>
      </c>
      <c r="W11" s="1469" t="s">
        <v>271</v>
      </c>
      <c r="X11" s="1463" t="str">
        <f t="shared" si="14"/>
        <v/>
      </c>
      <c r="Y11" s="1464">
        <v>12132</v>
      </c>
      <c r="Z11" s="1465">
        <f t="shared" si="2"/>
        <v>3370</v>
      </c>
      <c r="AA11" s="1466" t="str">
        <f t="shared" si="15"/>
        <v/>
      </c>
      <c r="AB11" s="1464">
        <v>10919</v>
      </c>
      <c r="AC11" s="1465">
        <f t="shared" si="16"/>
        <v>3033.0555555555557</v>
      </c>
      <c r="AD11" s="1467">
        <f t="shared" si="3"/>
        <v>150</v>
      </c>
      <c r="AE11" s="1468">
        <v>1595</v>
      </c>
      <c r="AF11" s="1468">
        <v>1290</v>
      </c>
      <c r="AH11" s="1458" t="s">
        <v>189</v>
      </c>
      <c r="AI11" s="1459">
        <v>465</v>
      </c>
      <c r="AJ11" s="1459">
        <v>155</v>
      </c>
      <c r="AK11" s="1459">
        <v>620</v>
      </c>
      <c r="AL11" s="1459">
        <v>310</v>
      </c>
      <c r="AM11" s="1459">
        <v>310</v>
      </c>
      <c r="AN11" s="1459">
        <v>465</v>
      </c>
      <c r="AO11" s="1459">
        <v>620</v>
      </c>
      <c r="AP11" s="1459">
        <v>310</v>
      </c>
      <c r="AQ11" s="1459">
        <v>700</v>
      </c>
      <c r="AR11" s="1459">
        <v>1240</v>
      </c>
      <c r="AS11" s="1459">
        <v>300</v>
      </c>
      <c r="AT11" s="1445">
        <f t="shared" si="4"/>
        <v>0</v>
      </c>
      <c r="AU11" s="1445">
        <f t="shared" si="5"/>
        <v>0</v>
      </c>
      <c r="AV11" s="1445">
        <f t="shared" si="6"/>
        <v>0</v>
      </c>
      <c r="AW11" s="1445">
        <f t="shared" si="7"/>
        <v>0</v>
      </c>
      <c r="AX11" s="1445">
        <f t="shared" si="8"/>
        <v>0</v>
      </c>
      <c r="AY11" s="1445">
        <f t="shared" si="9"/>
        <v>0</v>
      </c>
      <c r="AZ11" s="1445">
        <f t="shared" si="10"/>
        <v>0</v>
      </c>
      <c r="BA11" s="1445">
        <f t="shared" si="11"/>
        <v>0</v>
      </c>
    </row>
    <row r="12" spans="2:53">
      <c r="L12" s="1470" t="s">
        <v>189</v>
      </c>
      <c r="M12" s="1463" t="str">
        <f t="shared" si="0"/>
        <v/>
      </c>
      <c r="N12" s="1471">
        <v>10350</v>
      </c>
      <c r="O12" s="1472">
        <v>2875</v>
      </c>
      <c r="P12" s="1466" t="str">
        <f t="shared" si="12"/>
        <v/>
      </c>
      <c r="Q12" s="1471">
        <v>9315</v>
      </c>
      <c r="R12" s="1472">
        <f t="shared" si="13"/>
        <v>2587.5</v>
      </c>
      <c r="S12" s="1473">
        <f t="shared" si="1"/>
        <v>150</v>
      </c>
      <c r="T12" s="1474">
        <v>1650</v>
      </c>
      <c r="U12" s="1474">
        <v>1150</v>
      </c>
      <c r="W12" s="1475" t="s">
        <v>290</v>
      </c>
      <c r="X12" s="1463" t="str">
        <f t="shared" si="14"/>
        <v/>
      </c>
      <c r="Y12" s="1471">
        <v>15300</v>
      </c>
      <c r="Z12" s="1472">
        <f t="shared" si="2"/>
        <v>4250</v>
      </c>
      <c r="AA12" s="1466" t="str">
        <f t="shared" si="15"/>
        <v/>
      </c>
      <c r="AB12" s="1471">
        <v>13770</v>
      </c>
      <c r="AC12" s="1472">
        <f t="shared" si="16"/>
        <v>3825</v>
      </c>
      <c r="AD12" s="1473">
        <f t="shared" si="3"/>
        <v>150</v>
      </c>
      <c r="AE12" s="1474">
        <v>1595</v>
      </c>
      <c r="AF12" s="1474">
        <v>1595</v>
      </c>
      <c r="AH12" s="1458" t="s">
        <v>190</v>
      </c>
      <c r="AI12" s="1459">
        <v>465</v>
      </c>
      <c r="AJ12" s="1459">
        <v>155</v>
      </c>
      <c r="AK12" s="1459">
        <v>620</v>
      </c>
      <c r="AL12" s="1459">
        <v>310</v>
      </c>
      <c r="AM12" s="1459">
        <v>310</v>
      </c>
      <c r="AN12" s="1459">
        <v>465</v>
      </c>
      <c r="AO12" s="1459">
        <v>620</v>
      </c>
      <c r="AP12" s="1459">
        <v>310</v>
      </c>
      <c r="AQ12" s="1459">
        <v>700</v>
      </c>
      <c r="AR12" s="1459">
        <v>1240</v>
      </c>
      <c r="AS12" s="1459">
        <v>300</v>
      </c>
      <c r="AT12" s="1445">
        <f t="shared" si="4"/>
        <v>0</v>
      </c>
      <c r="AU12" s="1445">
        <f t="shared" si="5"/>
        <v>0</v>
      </c>
      <c r="AV12" s="1445">
        <f t="shared" si="6"/>
        <v>0</v>
      </c>
      <c r="AW12" s="1445">
        <f t="shared" si="7"/>
        <v>0</v>
      </c>
      <c r="AX12" s="1445">
        <f t="shared" si="8"/>
        <v>0</v>
      </c>
      <c r="AY12" s="1445">
        <f t="shared" si="9"/>
        <v>0</v>
      </c>
      <c r="AZ12" s="1445">
        <f t="shared" si="10"/>
        <v>0</v>
      </c>
      <c r="BA12" s="1445">
        <f t="shared" si="11"/>
        <v>0</v>
      </c>
    </row>
    <row r="13" spans="2:53">
      <c r="L13" s="1462" t="s">
        <v>190</v>
      </c>
      <c r="M13" s="1463" t="str">
        <f t="shared" si="0"/>
        <v/>
      </c>
      <c r="N13" s="1464">
        <v>12780</v>
      </c>
      <c r="O13" s="1465">
        <v>3550</v>
      </c>
      <c r="P13" s="1466" t="str">
        <f t="shared" si="12"/>
        <v/>
      </c>
      <c r="Q13" s="1464">
        <v>11502</v>
      </c>
      <c r="R13" s="1465">
        <f t="shared" si="13"/>
        <v>3195</v>
      </c>
      <c r="S13" s="1467">
        <f t="shared" si="1"/>
        <v>150</v>
      </c>
      <c r="T13" s="1468">
        <v>1950</v>
      </c>
      <c r="U13" s="1468">
        <v>1150</v>
      </c>
      <c r="W13" s="1469" t="s">
        <v>273</v>
      </c>
      <c r="X13" s="1463" t="str">
        <f t="shared" si="14"/>
        <v/>
      </c>
      <c r="Y13" s="1464">
        <v>18360</v>
      </c>
      <c r="Z13" s="1465">
        <f t="shared" si="2"/>
        <v>5100</v>
      </c>
      <c r="AA13" s="1466" t="str">
        <f t="shared" si="15"/>
        <v/>
      </c>
      <c r="AB13" s="1464">
        <v>16524</v>
      </c>
      <c r="AC13" s="1465">
        <f t="shared" si="16"/>
        <v>4590</v>
      </c>
      <c r="AD13" s="1467">
        <f t="shared" si="3"/>
        <v>150</v>
      </c>
      <c r="AE13" s="1468">
        <v>1900</v>
      </c>
      <c r="AF13" s="1468">
        <v>1595</v>
      </c>
      <c r="AH13" s="1458" t="s">
        <v>191</v>
      </c>
      <c r="AI13" s="1459">
        <v>465</v>
      </c>
      <c r="AJ13" s="1459">
        <v>155</v>
      </c>
      <c r="AK13" s="1459">
        <v>620</v>
      </c>
      <c r="AL13" s="1459">
        <v>310</v>
      </c>
      <c r="AM13" s="1459">
        <v>310</v>
      </c>
      <c r="AN13" s="1459">
        <v>465</v>
      </c>
      <c r="AO13" s="1459">
        <v>620</v>
      </c>
      <c r="AP13" s="1459">
        <v>310</v>
      </c>
      <c r="AQ13" s="1459">
        <v>700</v>
      </c>
      <c r="AR13" s="1459">
        <v>1240</v>
      </c>
      <c r="AS13" s="1459">
        <v>300</v>
      </c>
      <c r="AT13" s="1445">
        <f t="shared" si="4"/>
        <v>0</v>
      </c>
      <c r="AU13" s="1445">
        <f t="shared" si="5"/>
        <v>0</v>
      </c>
      <c r="AV13" s="1445">
        <f t="shared" si="6"/>
        <v>0</v>
      </c>
      <c r="AW13" s="1445">
        <f t="shared" si="7"/>
        <v>0</v>
      </c>
      <c r="AX13" s="1445">
        <f t="shared" si="8"/>
        <v>0</v>
      </c>
      <c r="AY13" s="1445">
        <f t="shared" si="9"/>
        <v>0</v>
      </c>
      <c r="AZ13" s="1445">
        <f t="shared" si="10"/>
        <v>0</v>
      </c>
      <c r="BA13" s="1445">
        <f t="shared" si="11"/>
        <v>0</v>
      </c>
    </row>
    <row r="14" spans="2:53">
      <c r="L14" s="1470" t="s">
        <v>191</v>
      </c>
      <c r="M14" s="1463" t="str">
        <f t="shared" si="0"/>
        <v/>
      </c>
      <c r="N14" s="1471">
        <v>14220</v>
      </c>
      <c r="O14" s="1472">
        <v>3950</v>
      </c>
      <c r="P14" s="1466" t="str">
        <f t="shared" si="12"/>
        <v/>
      </c>
      <c r="Q14" s="1471">
        <v>12798</v>
      </c>
      <c r="R14" s="1472">
        <f t="shared" si="13"/>
        <v>3555</v>
      </c>
      <c r="S14" s="1473">
        <f t="shared" si="1"/>
        <v>150</v>
      </c>
      <c r="T14" s="1474">
        <v>1650</v>
      </c>
      <c r="U14" s="1474">
        <v>1450</v>
      </c>
      <c r="W14" s="1475" t="s">
        <v>274</v>
      </c>
      <c r="X14" s="1463" t="str">
        <f t="shared" si="14"/>
        <v/>
      </c>
      <c r="Y14" s="1471">
        <v>22032</v>
      </c>
      <c r="Z14" s="1472">
        <f t="shared" si="2"/>
        <v>6120</v>
      </c>
      <c r="AA14" s="1466" t="str">
        <f t="shared" si="15"/>
        <v/>
      </c>
      <c r="AB14" s="1471">
        <v>19829</v>
      </c>
      <c r="AC14" s="1472">
        <f t="shared" si="16"/>
        <v>5508.0555555555557</v>
      </c>
      <c r="AD14" s="1473">
        <f t="shared" si="3"/>
        <v>150</v>
      </c>
      <c r="AE14" s="1474">
        <v>2205</v>
      </c>
      <c r="AF14" s="1474">
        <v>1595</v>
      </c>
      <c r="AH14" s="1458" t="s">
        <v>192</v>
      </c>
      <c r="AI14" s="1459">
        <v>465</v>
      </c>
      <c r="AJ14" s="1459">
        <v>155</v>
      </c>
      <c r="AK14" s="1459">
        <v>620</v>
      </c>
      <c r="AL14" s="1459">
        <v>310</v>
      </c>
      <c r="AM14" s="1459">
        <v>310</v>
      </c>
      <c r="AN14" s="1459">
        <v>465</v>
      </c>
      <c r="AO14" s="1459">
        <v>620</v>
      </c>
      <c r="AP14" s="1459">
        <v>310</v>
      </c>
      <c r="AQ14" s="1459">
        <v>700</v>
      </c>
      <c r="AR14" s="1459">
        <v>1395</v>
      </c>
      <c r="AS14" s="1459">
        <v>300</v>
      </c>
      <c r="AT14" s="1445">
        <f t="shared" si="4"/>
        <v>0</v>
      </c>
      <c r="AU14" s="1445">
        <f t="shared" si="5"/>
        <v>0</v>
      </c>
      <c r="AV14" s="1445">
        <f t="shared" si="6"/>
        <v>0</v>
      </c>
      <c r="AW14" s="1445">
        <f t="shared" si="7"/>
        <v>0</v>
      </c>
      <c r="AX14" s="1445">
        <f t="shared" si="8"/>
        <v>0</v>
      </c>
      <c r="AY14" s="1445">
        <f t="shared" si="9"/>
        <v>0</v>
      </c>
      <c r="AZ14" s="1445">
        <f t="shared" si="10"/>
        <v>0</v>
      </c>
      <c r="BA14" s="1445">
        <f t="shared" si="11"/>
        <v>0</v>
      </c>
    </row>
    <row r="15" spans="2:53">
      <c r="L15" s="1462" t="s">
        <v>192</v>
      </c>
      <c r="M15" s="1463" t="str">
        <f t="shared" si="0"/>
        <v/>
      </c>
      <c r="N15" s="1464">
        <v>17460</v>
      </c>
      <c r="O15" s="1465">
        <v>4850</v>
      </c>
      <c r="P15" s="1466" t="str">
        <f t="shared" si="12"/>
        <v/>
      </c>
      <c r="Q15" s="1464">
        <v>15714</v>
      </c>
      <c r="R15" s="1465">
        <f t="shared" si="13"/>
        <v>4365</v>
      </c>
      <c r="S15" s="1467">
        <f t="shared" si="1"/>
        <v>150</v>
      </c>
      <c r="T15" s="1468">
        <v>1950</v>
      </c>
      <c r="U15" s="1468">
        <v>1450</v>
      </c>
      <c r="W15" s="1469" t="s">
        <v>275</v>
      </c>
      <c r="X15" s="1463" t="str">
        <f t="shared" si="14"/>
        <v/>
      </c>
      <c r="Y15" s="1464">
        <v>27216</v>
      </c>
      <c r="Z15" s="1465">
        <f t="shared" si="2"/>
        <v>7560</v>
      </c>
      <c r="AA15" s="1466" t="str">
        <f t="shared" si="15"/>
        <v/>
      </c>
      <c r="AB15" s="1464">
        <v>24494</v>
      </c>
      <c r="AC15" s="1465">
        <f t="shared" si="16"/>
        <v>6803.8888888888887</v>
      </c>
      <c r="AD15" s="1467">
        <f t="shared" si="3"/>
        <v>150</v>
      </c>
      <c r="AE15" s="1468">
        <v>2205</v>
      </c>
      <c r="AF15" s="1468">
        <v>1900</v>
      </c>
      <c r="AH15" s="1458" t="s">
        <v>193</v>
      </c>
      <c r="AI15" s="1459">
        <v>465</v>
      </c>
      <c r="AJ15" s="1459">
        <v>155</v>
      </c>
      <c r="AK15" s="1459">
        <v>620</v>
      </c>
      <c r="AL15" s="1459">
        <v>310</v>
      </c>
      <c r="AM15" s="1459">
        <v>310</v>
      </c>
      <c r="AN15" s="1459">
        <v>465</v>
      </c>
      <c r="AO15" s="1459">
        <v>620</v>
      </c>
      <c r="AP15" s="1459">
        <v>310</v>
      </c>
      <c r="AQ15" s="1459">
        <v>700</v>
      </c>
      <c r="AR15" s="1459">
        <v>1550</v>
      </c>
      <c r="AS15" s="1459">
        <v>300</v>
      </c>
      <c r="AT15" s="1445">
        <f t="shared" si="4"/>
        <v>0</v>
      </c>
      <c r="AU15" s="1445">
        <f t="shared" si="5"/>
        <v>0</v>
      </c>
      <c r="AV15" s="1445">
        <f t="shared" si="6"/>
        <v>0</v>
      </c>
      <c r="AW15" s="1445">
        <f t="shared" si="7"/>
        <v>0</v>
      </c>
      <c r="AX15" s="1445">
        <f t="shared" si="8"/>
        <v>0</v>
      </c>
      <c r="AY15" s="1445">
        <f t="shared" si="9"/>
        <v>0</v>
      </c>
      <c r="AZ15" s="1445">
        <f t="shared" si="10"/>
        <v>0</v>
      </c>
      <c r="BA15" s="1445">
        <f t="shared" si="11"/>
        <v>0</v>
      </c>
    </row>
    <row r="16" spans="2:53">
      <c r="L16" s="1470" t="s">
        <v>193</v>
      </c>
      <c r="M16" s="1463" t="str">
        <f t="shared" si="0"/>
        <v/>
      </c>
      <c r="N16" s="1471">
        <v>20700</v>
      </c>
      <c r="O16" s="1472">
        <v>5750</v>
      </c>
      <c r="P16" s="1466" t="str">
        <f t="shared" si="12"/>
        <v/>
      </c>
      <c r="Q16" s="1471">
        <v>18630</v>
      </c>
      <c r="R16" s="1472">
        <f t="shared" si="13"/>
        <v>5175</v>
      </c>
      <c r="S16" s="1473">
        <f t="shared" si="1"/>
        <v>150</v>
      </c>
      <c r="T16" s="1474">
        <v>1950</v>
      </c>
      <c r="U16" s="1474">
        <v>1750</v>
      </c>
      <c r="W16" s="1475" t="s">
        <v>276</v>
      </c>
      <c r="X16" s="1463" t="str">
        <f t="shared" si="14"/>
        <v/>
      </c>
      <c r="Y16" s="1471">
        <v>32400</v>
      </c>
      <c r="Z16" s="1472">
        <f t="shared" si="2"/>
        <v>9000</v>
      </c>
      <c r="AA16" s="1466" t="str">
        <f t="shared" si="15"/>
        <v/>
      </c>
      <c r="AB16" s="1471">
        <v>29160</v>
      </c>
      <c r="AC16" s="1472">
        <f t="shared" si="16"/>
        <v>8100</v>
      </c>
      <c r="AD16" s="1473">
        <f t="shared" si="3"/>
        <v>150</v>
      </c>
      <c r="AE16" s="1474">
        <v>2205</v>
      </c>
      <c r="AF16" s="1474">
        <v>2205</v>
      </c>
      <c r="AH16" s="1458" t="s">
        <v>194</v>
      </c>
      <c r="AI16" s="1459">
        <v>620</v>
      </c>
      <c r="AJ16" s="1459">
        <v>155</v>
      </c>
      <c r="AK16" s="1459">
        <v>620</v>
      </c>
      <c r="AL16" s="1459">
        <v>310</v>
      </c>
      <c r="AM16" s="1459">
        <v>310</v>
      </c>
      <c r="AN16" s="1459">
        <v>465</v>
      </c>
      <c r="AO16" s="1459">
        <v>620</v>
      </c>
      <c r="AP16" s="1459">
        <v>310</v>
      </c>
      <c r="AQ16" s="1459">
        <v>700</v>
      </c>
      <c r="AR16" s="1459">
        <v>1550</v>
      </c>
      <c r="AS16" s="1459">
        <v>300</v>
      </c>
      <c r="AT16" s="1445">
        <f t="shared" si="4"/>
        <v>0</v>
      </c>
      <c r="AU16" s="1445">
        <f t="shared" si="5"/>
        <v>0</v>
      </c>
      <c r="AV16" s="1445">
        <f t="shared" si="6"/>
        <v>0</v>
      </c>
      <c r="AW16" s="1445">
        <f t="shared" si="7"/>
        <v>0</v>
      </c>
      <c r="AX16" s="1445">
        <f t="shared" si="8"/>
        <v>0</v>
      </c>
      <c r="AY16" s="1445">
        <f t="shared" si="9"/>
        <v>0</v>
      </c>
      <c r="AZ16" s="1445">
        <f t="shared" si="10"/>
        <v>0</v>
      </c>
      <c r="BA16" s="1445">
        <f t="shared" si="11"/>
        <v>0</v>
      </c>
    </row>
    <row r="17" spans="1:53">
      <c r="H17" s="1463"/>
      <c r="I17" s="1463"/>
      <c r="J17" s="1463"/>
      <c r="L17" s="1462" t="s">
        <v>194</v>
      </c>
      <c r="M17" s="1463" t="str">
        <f t="shared" si="0"/>
        <v/>
      </c>
      <c r="N17" s="1464">
        <v>25740</v>
      </c>
      <c r="O17" s="1465">
        <v>7150</v>
      </c>
      <c r="P17" s="1466" t="str">
        <f t="shared" si="12"/>
        <v/>
      </c>
      <c r="Q17" s="1464">
        <v>23166</v>
      </c>
      <c r="R17" s="1465">
        <f t="shared" si="13"/>
        <v>6435</v>
      </c>
      <c r="S17" s="1467">
        <f t="shared" si="1"/>
        <v>150</v>
      </c>
      <c r="T17" s="1468">
        <v>1950</v>
      </c>
      <c r="U17" s="1468">
        <v>2100</v>
      </c>
      <c r="W17" s="1469" t="s">
        <v>277</v>
      </c>
      <c r="X17" s="1463" t="str">
        <f t="shared" si="14"/>
        <v/>
      </c>
      <c r="Y17" s="1464">
        <v>37800</v>
      </c>
      <c r="Z17" s="1465">
        <f t="shared" si="2"/>
        <v>10500</v>
      </c>
      <c r="AA17" s="1466" t="str">
        <f t="shared" si="15"/>
        <v/>
      </c>
      <c r="AB17" s="1464">
        <v>34020</v>
      </c>
      <c r="AC17" s="1465">
        <f t="shared" si="16"/>
        <v>9450</v>
      </c>
      <c r="AD17" s="1467">
        <f t="shared" si="3"/>
        <v>150</v>
      </c>
      <c r="AE17" s="1468">
        <v>2510</v>
      </c>
      <c r="AF17" s="1468">
        <v>2205</v>
      </c>
      <c r="AH17" s="1458" t="s">
        <v>195</v>
      </c>
      <c r="AI17" s="1459">
        <v>620</v>
      </c>
      <c r="AJ17" s="1459">
        <v>155</v>
      </c>
      <c r="AK17" s="1459">
        <v>620</v>
      </c>
      <c r="AL17" s="1459">
        <v>310</v>
      </c>
      <c r="AM17" s="1459">
        <v>310</v>
      </c>
      <c r="AN17" s="1459">
        <v>465</v>
      </c>
      <c r="AO17" s="1459">
        <v>620</v>
      </c>
      <c r="AP17" s="1459">
        <v>310</v>
      </c>
      <c r="AQ17" s="1459">
        <v>700</v>
      </c>
      <c r="AR17" s="1459">
        <v>1705</v>
      </c>
      <c r="AS17" s="1459">
        <v>300</v>
      </c>
      <c r="AT17" s="1445">
        <f t="shared" si="4"/>
        <v>0</v>
      </c>
      <c r="AU17" s="1445">
        <f t="shared" si="5"/>
        <v>0</v>
      </c>
      <c r="AV17" s="1445">
        <f t="shared" si="6"/>
        <v>0</v>
      </c>
      <c r="AW17" s="1445">
        <f t="shared" si="7"/>
        <v>0</v>
      </c>
      <c r="AX17" s="1445">
        <f t="shared" si="8"/>
        <v>0</v>
      </c>
      <c r="AY17" s="1445">
        <f t="shared" si="9"/>
        <v>0</v>
      </c>
      <c r="AZ17" s="1445">
        <f t="shared" si="10"/>
        <v>0</v>
      </c>
      <c r="BA17" s="1445">
        <f t="shared" si="11"/>
        <v>0</v>
      </c>
    </row>
    <row r="18" spans="1:53">
      <c r="H18" s="1463"/>
      <c r="I18" s="1463"/>
      <c r="J18" s="1463"/>
      <c r="L18" s="1470" t="s">
        <v>195</v>
      </c>
      <c r="M18" s="1463" t="str">
        <f t="shared" si="0"/>
        <v/>
      </c>
      <c r="N18" s="1471">
        <v>30780</v>
      </c>
      <c r="O18" s="1472">
        <v>8550</v>
      </c>
      <c r="P18" s="1466" t="str">
        <f t="shared" si="12"/>
        <v/>
      </c>
      <c r="Q18" s="1471">
        <v>27702</v>
      </c>
      <c r="R18" s="1472">
        <f t="shared" si="13"/>
        <v>7695</v>
      </c>
      <c r="S18" s="1473">
        <f t="shared" si="1"/>
        <v>150</v>
      </c>
      <c r="T18" s="1474">
        <v>2250</v>
      </c>
      <c r="U18" s="1474">
        <v>2100</v>
      </c>
      <c r="W18" s="1475" t="s">
        <v>287</v>
      </c>
      <c r="X18" s="1463" t="str">
        <f t="shared" si="14"/>
        <v/>
      </c>
      <c r="Y18" s="1471">
        <v>43920</v>
      </c>
      <c r="Z18" s="1472">
        <f t="shared" si="2"/>
        <v>12200</v>
      </c>
      <c r="AA18" s="1466" t="str">
        <f t="shared" si="15"/>
        <v/>
      </c>
      <c r="AB18" s="1471">
        <v>39528</v>
      </c>
      <c r="AC18" s="1472">
        <f t="shared" si="16"/>
        <v>10980</v>
      </c>
      <c r="AD18" s="1473">
        <f t="shared" si="3"/>
        <v>150</v>
      </c>
      <c r="AE18" s="1474">
        <v>2815</v>
      </c>
      <c r="AF18" s="1474">
        <v>2205</v>
      </c>
      <c r="AH18" s="1458" t="s">
        <v>196</v>
      </c>
      <c r="AI18" s="1459">
        <v>620</v>
      </c>
      <c r="AJ18" s="1459">
        <v>155</v>
      </c>
      <c r="AK18" s="1459">
        <v>620</v>
      </c>
      <c r="AL18" s="1459">
        <v>310</v>
      </c>
      <c r="AM18" s="1459">
        <v>310</v>
      </c>
      <c r="AN18" s="1459">
        <v>465</v>
      </c>
      <c r="AO18" s="1459">
        <v>620</v>
      </c>
      <c r="AP18" s="1459">
        <v>310</v>
      </c>
      <c r="AQ18" s="1459">
        <v>700</v>
      </c>
      <c r="AR18" s="1459">
        <v>1860</v>
      </c>
      <c r="AS18" s="1459">
        <v>300</v>
      </c>
      <c r="AT18" s="1445">
        <f t="shared" si="4"/>
        <v>0</v>
      </c>
      <c r="AU18" s="1445">
        <f t="shared" si="5"/>
        <v>0</v>
      </c>
      <c r="AV18" s="1445">
        <f t="shared" si="6"/>
        <v>0</v>
      </c>
      <c r="AW18" s="1445">
        <f t="shared" si="7"/>
        <v>0</v>
      </c>
      <c r="AX18" s="1445">
        <f t="shared" si="8"/>
        <v>0</v>
      </c>
      <c r="AY18" s="1445">
        <f t="shared" si="9"/>
        <v>0</v>
      </c>
      <c r="AZ18" s="1445">
        <f t="shared" si="10"/>
        <v>0</v>
      </c>
      <c r="BA18" s="1445">
        <f t="shared" si="11"/>
        <v>0</v>
      </c>
    </row>
    <row r="19" spans="1:53" ht="13">
      <c r="B19" s="2156" t="s">
        <v>413</v>
      </c>
      <c r="C19" s="2173"/>
      <c r="D19" s="2173"/>
      <c r="E19" s="2173"/>
      <c r="F19" s="2173"/>
      <c r="G19" s="2157"/>
      <c r="H19" s="1463"/>
      <c r="L19" s="1462" t="s">
        <v>196</v>
      </c>
      <c r="M19" s="1463" t="str">
        <f t="shared" si="0"/>
        <v/>
      </c>
      <c r="N19" s="1464">
        <v>35550</v>
      </c>
      <c r="O19" s="1465">
        <v>9875</v>
      </c>
      <c r="P19" s="1466" t="str">
        <f t="shared" si="12"/>
        <v/>
      </c>
      <c r="Q19" s="1464">
        <v>31995</v>
      </c>
      <c r="R19" s="1465">
        <f t="shared" si="13"/>
        <v>8887.5</v>
      </c>
      <c r="S19" s="1467">
        <f t="shared" si="1"/>
        <v>150</v>
      </c>
      <c r="T19" s="1468">
        <v>2600</v>
      </c>
      <c r="U19" s="1468">
        <v>2100</v>
      </c>
      <c r="W19" s="1469" t="s">
        <v>278</v>
      </c>
      <c r="X19" s="1463" t="str">
        <f t="shared" si="14"/>
        <v/>
      </c>
      <c r="Y19" s="1464">
        <v>54720</v>
      </c>
      <c r="Z19" s="1465">
        <f t="shared" si="2"/>
        <v>15200</v>
      </c>
      <c r="AA19" s="1466" t="str">
        <f t="shared" si="15"/>
        <v/>
      </c>
      <c r="AB19" s="1464">
        <v>49248</v>
      </c>
      <c r="AC19" s="1465">
        <f t="shared" si="16"/>
        <v>13680</v>
      </c>
      <c r="AD19" s="1467">
        <f t="shared" si="3"/>
        <v>150</v>
      </c>
      <c r="AE19" s="1468">
        <v>3425</v>
      </c>
      <c r="AF19" s="1468">
        <v>2205</v>
      </c>
      <c r="AH19" s="1458" t="s">
        <v>197</v>
      </c>
      <c r="AI19" s="1459">
        <v>620</v>
      </c>
      <c r="AJ19" s="1459">
        <v>155</v>
      </c>
      <c r="AK19" s="1459">
        <v>620</v>
      </c>
      <c r="AL19" s="1459">
        <v>310</v>
      </c>
      <c r="AM19" s="1459">
        <v>310</v>
      </c>
      <c r="AN19" s="1459">
        <v>465</v>
      </c>
      <c r="AO19" s="1459">
        <v>620</v>
      </c>
      <c r="AP19" s="1459">
        <v>310</v>
      </c>
      <c r="AQ19" s="1459">
        <v>700</v>
      </c>
      <c r="AR19" s="1459">
        <v>1860</v>
      </c>
      <c r="AS19" s="1459">
        <v>300</v>
      </c>
      <c r="AT19" s="1445">
        <f t="shared" si="4"/>
        <v>0</v>
      </c>
      <c r="AU19" s="1445">
        <f t="shared" si="5"/>
        <v>0</v>
      </c>
      <c r="AV19" s="1445">
        <f t="shared" si="6"/>
        <v>0</v>
      </c>
      <c r="AW19" s="1445">
        <f t="shared" si="7"/>
        <v>0</v>
      </c>
      <c r="AX19" s="1445">
        <f t="shared" si="8"/>
        <v>0</v>
      </c>
      <c r="AY19" s="1445">
        <f t="shared" si="9"/>
        <v>0</v>
      </c>
      <c r="AZ19" s="1445">
        <f t="shared" si="10"/>
        <v>0</v>
      </c>
      <c r="BA19" s="1445">
        <f t="shared" si="11"/>
        <v>0</v>
      </c>
    </row>
    <row r="20" spans="1:53" ht="13">
      <c r="B20" s="1511"/>
      <c r="C20" s="1516"/>
      <c r="D20" s="1516"/>
      <c r="E20" s="1516"/>
      <c r="F20" s="1516"/>
      <c r="G20" s="1517"/>
      <c r="H20" s="1463"/>
      <c r="L20" s="1470" t="s">
        <v>197</v>
      </c>
      <c r="M20" s="1463" t="str">
        <f t="shared" si="0"/>
        <v/>
      </c>
      <c r="N20" s="1471">
        <v>40320</v>
      </c>
      <c r="O20" s="1472">
        <v>11200</v>
      </c>
      <c r="P20" s="1466" t="str">
        <f t="shared" si="12"/>
        <v/>
      </c>
      <c r="Q20" s="1471">
        <v>36288</v>
      </c>
      <c r="R20" s="1472">
        <f t="shared" si="13"/>
        <v>10080</v>
      </c>
      <c r="S20" s="1473">
        <f t="shared" si="1"/>
        <v>150</v>
      </c>
      <c r="T20" s="1474">
        <v>2900</v>
      </c>
      <c r="U20" s="1474">
        <v>2100</v>
      </c>
      <c r="W20" s="1475" t="s">
        <v>279</v>
      </c>
      <c r="X20" s="1463" t="str">
        <f t="shared" si="14"/>
        <v/>
      </c>
      <c r="Y20" s="1471">
        <v>65700</v>
      </c>
      <c r="Z20" s="1472">
        <f t="shared" si="2"/>
        <v>18250</v>
      </c>
      <c r="AA20" s="1466" t="str">
        <f t="shared" si="15"/>
        <v/>
      </c>
      <c r="AB20" s="1471">
        <v>63441</v>
      </c>
      <c r="AC20" s="1472">
        <f t="shared" si="16"/>
        <v>17622.5</v>
      </c>
      <c r="AD20" s="1473">
        <f t="shared" si="3"/>
        <v>150</v>
      </c>
      <c r="AE20" s="1474">
        <v>4035</v>
      </c>
      <c r="AF20" s="1474">
        <v>2205</v>
      </c>
      <c r="AH20" s="1458" t="s">
        <v>198</v>
      </c>
      <c r="AI20" s="1459">
        <v>620</v>
      </c>
      <c r="AJ20" s="1459">
        <v>155</v>
      </c>
      <c r="AK20" s="1459">
        <v>620</v>
      </c>
      <c r="AL20" s="1459">
        <v>310</v>
      </c>
      <c r="AM20" s="1459">
        <v>310</v>
      </c>
      <c r="AN20" s="1459">
        <v>465</v>
      </c>
      <c r="AO20" s="1459">
        <v>620</v>
      </c>
      <c r="AP20" s="1459">
        <v>310</v>
      </c>
      <c r="AQ20" s="1459">
        <v>700</v>
      </c>
      <c r="AR20" s="1459">
        <v>2015</v>
      </c>
      <c r="AS20" s="1459">
        <v>300</v>
      </c>
      <c r="AT20" s="1445">
        <f t="shared" si="4"/>
        <v>0</v>
      </c>
      <c r="AU20" s="1445">
        <f t="shared" si="5"/>
        <v>0</v>
      </c>
      <c r="AV20" s="1445">
        <f t="shared" si="6"/>
        <v>0</v>
      </c>
      <c r="AW20" s="1445">
        <f t="shared" si="7"/>
        <v>0</v>
      </c>
      <c r="AX20" s="1445">
        <f t="shared" si="8"/>
        <v>0</v>
      </c>
      <c r="AY20" s="1445">
        <f t="shared" si="9"/>
        <v>0</v>
      </c>
      <c r="AZ20" s="1445">
        <f t="shared" si="10"/>
        <v>0</v>
      </c>
      <c r="BA20" s="1445">
        <f t="shared" si="11"/>
        <v>0</v>
      </c>
    </row>
    <row r="21" spans="1:53" ht="14.5">
      <c r="B21" s="1447"/>
      <c r="C21" s="1476" t="s">
        <v>1992</v>
      </c>
      <c r="D21" s="1476"/>
      <c r="E21" s="1477"/>
      <c r="F21" s="1478" t="s">
        <v>178</v>
      </c>
      <c r="G21" s="1479"/>
      <c r="H21" s="1445"/>
      <c r="I21" s="1551" t="s">
        <v>1993</v>
      </c>
      <c r="J21" s="1552"/>
      <c r="L21" s="1462" t="s">
        <v>198</v>
      </c>
      <c r="M21" s="1463" t="str">
        <f t="shared" si="0"/>
        <v/>
      </c>
      <c r="N21" s="1464">
        <v>45090</v>
      </c>
      <c r="O21" s="1465">
        <v>12525</v>
      </c>
      <c r="P21" s="1466" t="str">
        <f t="shared" si="12"/>
        <v/>
      </c>
      <c r="Q21" s="1464">
        <v>40581</v>
      </c>
      <c r="R21" s="1465">
        <f t="shared" si="13"/>
        <v>11272.5</v>
      </c>
      <c r="S21" s="1467">
        <f t="shared" si="1"/>
        <v>150</v>
      </c>
      <c r="T21" s="1468">
        <v>3200</v>
      </c>
      <c r="U21" s="1468">
        <v>2100</v>
      </c>
      <c r="W21" s="1469" t="s">
        <v>280</v>
      </c>
      <c r="X21" s="1463" t="str">
        <f t="shared" si="14"/>
        <v/>
      </c>
      <c r="Y21" s="1464">
        <v>74800</v>
      </c>
      <c r="Z21" s="1465">
        <f t="shared" si="2"/>
        <v>20777.777777777777</v>
      </c>
      <c r="AA21" s="1466" t="str">
        <f t="shared" si="15"/>
        <v/>
      </c>
      <c r="AB21" s="1464">
        <v>67320</v>
      </c>
      <c r="AC21" s="1465">
        <f t="shared" si="16"/>
        <v>18700</v>
      </c>
      <c r="AD21" s="1467">
        <f t="shared" si="3"/>
        <v>150</v>
      </c>
      <c r="AE21" s="1468">
        <v>4035</v>
      </c>
      <c r="AF21" s="1468">
        <v>2510</v>
      </c>
      <c r="AH21" s="1458" t="s">
        <v>199</v>
      </c>
      <c r="AI21" s="1459">
        <v>930</v>
      </c>
      <c r="AJ21" s="1459">
        <v>155</v>
      </c>
      <c r="AK21" s="1459">
        <v>620</v>
      </c>
      <c r="AL21" s="1459">
        <v>310</v>
      </c>
      <c r="AM21" s="1459">
        <v>465</v>
      </c>
      <c r="AN21" s="1459">
        <v>465</v>
      </c>
      <c r="AO21" s="1459">
        <v>620</v>
      </c>
      <c r="AP21" s="1459">
        <v>310</v>
      </c>
      <c r="AQ21" s="1459">
        <v>700</v>
      </c>
      <c r="AR21" s="1459">
        <v>2015</v>
      </c>
      <c r="AS21" s="1459">
        <v>300</v>
      </c>
      <c r="AT21" s="1445">
        <f t="shared" si="4"/>
        <v>0</v>
      </c>
      <c r="AU21" s="1445">
        <f t="shared" si="5"/>
        <v>0</v>
      </c>
      <c r="AV21" s="1445">
        <f t="shared" si="6"/>
        <v>0</v>
      </c>
      <c r="AW21" s="1445">
        <f t="shared" si="7"/>
        <v>0</v>
      </c>
      <c r="AX21" s="1445">
        <f t="shared" si="8"/>
        <v>0</v>
      </c>
      <c r="AY21" s="1445">
        <f t="shared" si="9"/>
        <v>0</v>
      </c>
      <c r="AZ21" s="1445">
        <f t="shared" si="10"/>
        <v>0</v>
      </c>
      <c r="BA21" s="1445">
        <f t="shared" si="11"/>
        <v>0</v>
      </c>
    </row>
    <row r="22" spans="1:53" ht="14.5">
      <c r="B22" s="1447"/>
      <c r="C22" s="1476" t="s">
        <v>1994</v>
      </c>
      <c r="D22" s="1476"/>
      <c r="E22" s="1477"/>
      <c r="F22" s="1480" t="s">
        <v>1386</v>
      </c>
      <c r="G22" s="1481"/>
      <c r="H22" s="1463"/>
      <c r="I22" s="1482" t="str">
        <f>IF(E22=0,"-",SUM(AK58:AK61))</f>
        <v>-</v>
      </c>
      <c r="J22" s="1483" t="s">
        <v>1388</v>
      </c>
      <c r="L22" s="1470" t="s">
        <v>199</v>
      </c>
      <c r="M22" s="1463" t="str">
        <f t="shared" si="0"/>
        <v/>
      </c>
      <c r="N22" s="1471">
        <v>53280</v>
      </c>
      <c r="O22" s="1472">
        <v>14800</v>
      </c>
      <c r="P22" s="1466" t="str">
        <f t="shared" si="12"/>
        <v/>
      </c>
      <c r="Q22" s="1471">
        <v>47952</v>
      </c>
      <c r="R22" s="1472">
        <f t="shared" si="13"/>
        <v>13320</v>
      </c>
      <c r="S22" s="1473">
        <f t="shared" si="1"/>
        <v>150</v>
      </c>
      <c r="T22" s="1474">
        <v>3250</v>
      </c>
      <c r="U22" s="1474">
        <v>2450</v>
      </c>
      <c r="W22" s="1475" t="s">
        <v>281</v>
      </c>
      <c r="X22" s="1463" t="str">
        <f t="shared" si="14"/>
        <v/>
      </c>
      <c r="Y22" s="1471">
        <v>89200</v>
      </c>
      <c r="Z22" s="1472">
        <f t="shared" si="2"/>
        <v>24777.777777777777</v>
      </c>
      <c r="AA22" s="1466" t="str">
        <f t="shared" si="15"/>
        <v/>
      </c>
      <c r="AB22" s="1471">
        <v>80280</v>
      </c>
      <c r="AC22" s="1472">
        <f t="shared" si="16"/>
        <v>22300</v>
      </c>
      <c r="AD22" s="1473">
        <f t="shared" si="3"/>
        <v>150</v>
      </c>
      <c r="AE22" s="1474">
        <v>4035</v>
      </c>
      <c r="AF22" s="1474">
        <v>3120</v>
      </c>
      <c r="AH22" s="1458" t="s">
        <v>200</v>
      </c>
      <c r="AI22" s="1459">
        <v>930</v>
      </c>
      <c r="AJ22" s="1459">
        <v>155</v>
      </c>
      <c r="AK22" s="1459">
        <v>620</v>
      </c>
      <c r="AL22" s="1459">
        <v>310</v>
      </c>
      <c r="AM22" s="1459">
        <v>465</v>
      </c>
      <c r="AN22" s="1459">
        <v>465</v>
      </c>
      <c r="AO22" s="1459">
        <v>620</v>
      </c>
      <c r="AP22" s="1459">
        <v>310</v>
      </c>
      <c r="AQ22" s="1459">
        <v>700</v>
      </c>
      <c r="AR22" s="1459">
        <v>2015</v>
      </c>
      <c r="AS22" s="1459">
        <v>300</v>
      </c>
      <c r="AT22" s="1445">
        <f t="shared" si="4"/>
        <v>0</v>
      </c>
      <c r="AU22" s="1445">
        <f t="shared" si="5"/>
        <v>0</v>
      </c>
      <c r="AV22" s="1445">
        <f t="shared" si="6"/>
        <v>0</v>
      </c>
      <c r="AW22" s="1445">
        <f t="shared" si="7"/>
        <v>0</v>
      </c>
      <c r="AX22" s="1445">
        <f t="shared" si="8"/>
        <v>0</v>
      </c>
      <c r="AY22" s="1445">
        <f t="shared" si="9"/>
        <v>0</v>
      </c>
      <c r="AZ22" s="1445">
        <f t="shared" si="10"/>
        <v>0</v>
      </c>
      <c r="BA22" s="1445">
        <f t="shared" si="11"/>
        <v>0</v>
      </c>
    </row>
    <row r="23" spans="1:53" ht="14.5">
      <c r="B23" s="1447"/>
      <c r="C23" s="1476" t="s">
        <v>1995</v>
      </c>
      <c r="D23" s="1476"/>
      <c r="E23" s="1484">
        <v>0.75</v>
      </c>
      <c r="F23" s="1478"/>
      <c r="G23" s="1479"/>
      <c r="H23" s="1485"/>
      <c r="I23" s="1486" t="str">
        <f>IF(E22=0,"-",SUM(AM58:AM61))</f>
        <v>-</v>
      </c>
      <c r="J23" s="1487" t="s">
        <v>1392</v>
      </c>
      <c r="L23" s="1462" t="s">
        <v>200</v>
      </c>
      <c r="M23" s="1463" t="str">
        <f t="shared" si="0"/>
        <v/>
      </c>
      <c r="N23" s="1464">
        <v>58950</v>
      </c>
      <c r="O23" s="1465">
        <v>16375</v>
      </c>
      <c r="P23" s="1466" t="str">
        <f t="shared" si="12"/>
        <v/>
      </c>
      <c r="Q23" s="1464">
        <v>53055</v>
      </c>
      <c r="R23" s="1465">
        <f t="shared" si="13"/>
        <v>14737.5</v>
      </c>
      <c r="S23" s="1467">
        <f t="shared" si="1"/>
        <v>150</v>
      </c>
      <c r="T23" s="1468">
        <v>3550</v>
      </c>
      <c r="U23" s="1468">
        <v>2450</v>
      </c>
      <c r="W23" s="1469" t="s">
        <v>282</v>
      </c>
      <c r="X23" s="1463" t="str">
        <f t="shared" si="14"/>
        <v/>
      </c>
      <c r="Y23" s="1464">
        <v>104040</v>
      </c>
      <c r="Z23" s="1465">
        <f t="shared" si="2"/>
        <v>28900</v>
      </c>
      <c r="AA23" s="1466" t="str">
        <f t="shared" si="15"/>
        <v/>
      </c>
      <c r="AB23" s="1464">
        <v>93636</v>
      </c>
      <c r="AC23" s="1465">
        <f t="shared" si="16"/>
        <v>26010</v>
      </c>
      <c r="AD23" s="1467">
        <f t="shared" si="3"/>
        <v>150</v>
      </c>
      <c r="AE23" s="1468">
        <v>4645</v>
      </c>
      <c r="AF23" s="1468">
        <v>3120</v>
      </c>
      <c r="AH23" s="1458" t="s">
        <v>201</v>
      </c>
      <c r="AI23" s="1459">
        <v>1085</v>
      </c>
      <c r="AJ23" s="1459">
        <v>155</v>
      </c>
      <c r="AK23" s="1459">
        <v>620</v>
      </c>
      <c r="AL23" s="1459">
        <v>310</v>
      </c>
      <c r="AM23" s="1459">
        <v>465</v>
      </c>
      <c r="AN23" s="1459">
        <v>465</v>
      </c>
      <c r="AO23" s="1459">
        <v>620</v>
      </c>
      <c r="AP23" s="1459">
        <v>310</v>
      </c>
      <c r="AQ23" s="1459">
        <v>700</v>
      </c>
      <c r="AR23" s="1459">
        <v>2015</v>
      </c>
      <c r="AS23" s="1459">
        <v>300</v>
      </c>
      <c r="AT23" s="1445">
        <f t="shared" si="4"/>
        <v>0</v>
      </c>
      <c r="AU23" s="1445">
        <f t="shared" si="5"/>
        <v>0</v>
      </c>
      <c r="AV23" s="1445">
        <f t="shared" si="6"/>
        <v>0</v>
      </c>
      <c r="AW23" s="1445">
        <f t="shared" si="7"/>
        <v>0</v>
      </c>
      <c r="AX23" s="1445">
        <f t="shared" si="8"/>
        <v>0</v>
      </c>
      <c r="AY23" s="1445">
        <f t="shared" si="9"/>
        <v>0</v>
      </c>
      <c r="AZ23" s="1445">
        <f t="shared" si="10"/>
        <v>0</v>
      </c>
      <c r="BA23" s="1445">
        <f t="shared" si="11"/>
        <v>0</v>
      </c>
    </row>
    <row r="24" spans="1:53" ht="14.5">
      <c r="B24" s="1447"/>
      <c r="C24" s="1476" t="s">
        <v>414</v>
      </c>
      <c r="D24" s="1476"/>
      <c r="E24" s="1488" t="str">
        <f>IF(AND(E21&gt;0,E22&gt;0),I23*E21*E23/1000,"n/a")</f>
        <v>n/a</v>
      </c>
      <c r="F24" s="1478" t="s">
        <v>6</v>
      </c>
      <c r="G24" s="1479"/>
      <c r="H24" s="1485"/>
      <c r="I24" s="1486" t="str">
        <f>IF(E22=0,"-",SUM(AL58:AL61))</f>
        <v>-</v>
      </c>
      <c r="J24" s="1487" t="s">
        <v>1390</v>
      </c>
      <c r="L24" s="1470" t="s">
        <v>201</v>
      </c>
      <c r="M24" s="1463" t="str">
        <f t="shared" si="0"/>
        <v/>
      </c>
      <c r="N24" s="1471">
        <v>64620</v>
      </c>
      <c r="O24" s="1472">
        <v>17950</v>
      </c>
      <c r="P24" s="1466" t="str">
        <f t="shared" si="12"/>
        <v/>
      </c>
      <c r="Q24" s="1471">
        <v>58158</v>
      </c>
      <c r="R24" s="1472">
        <f t="shared" si="13"/>
        <v>16155</v>
      </c>
      <c r="S24" s="1473">
        <f t="shared" si="1"/>
        <v>150</v>
      </c>
      <c r="T24" s="1474">
        <v>3850</v>
      </c>
      <c r="U24" s="1474">
        <v>2450</v>
      </c>
      <c r="W24" s="1470" t="s">
        <v>283</v>
      </c>
      <c r="X24" s="1463" t="str">
        <f t="shared" si="14"/>
        <v/>
      </c>
      <c r="Y24" s="1471">
        <v>124560</v>
      </c>
      <c r="Z24" s="1472">
        <f t="shared" si="2"/>
        <v>34600</v>
      </c>
      <c r="AA24" s="1466" t="str">
        <f t="shared" si="15"/>
        <v/>
      </c>
      <c r="AB24" s="1471">
        <v>112104</v>
      </c>
      <c r="AC24" s="1472">
        <f t="shared" si="16"/>
        <v>31140</v>
      </c>
      <c r="AD24" s="1473">
        <f t="shared" si="3"/>
        <v>150</v>
      </c>
      <c r="AE24" s="1474">
        <v>5865</v>
      </c>
      <c r="AF24" s="1474">
        <v>3120</v>
      </c>
      <c r="AH24" s="1458" t="s">
        <v>202</v>
      </c>
      <c r="AI24" s="1459">
        <v>1085</v>
      </c>
      <c r="AJ24" s="1459">
        <v>155</v>
      </c>
      <c r="AK24" s="1459">
        <v>620</v>
      </c>
      <c r="AL24" s="1459">
        <v>310</v>
      </c>
      <c r="AM24" s="1459">
        <v>465</v>
      </c>
      <c r="AN24" s="1459">
        <v>465</v>
      </c>
      <c r="AO24" s="1459">
        <v>620</v>
      </c>
      <c r="AP24" s="1459">
        <v>310</v>
      </c>
      <c r="AQ24" s="1459">
        <v>700</v>
      </c>
      <c r="AR24" s="1459">
        <v>2015</v>
      </c>
      <c r="AS24" s="1459">
        <v>300</v>
      </c>
      <c r="AT24" s="1445">
        <f t="shared" si="4"/>
        <v>0</v>
      </c>
      <c r="AU24" s="1445">
        <f t="shared" si="5"/>
        <v>0</v>
      </c>
      <c r="AV24" s="1445">
        <f t="shared" si="6"/>
        <v>0</v>
      </c>
      <c r="AW24" s="1445">
        <f t="shared" si="7"/>
        <v>0</v>
      </c>
      <c r="AX24" s="1445">
        <f t="shared" si="8"/>
        <v>0</v>
      </c>
      <c r="AY24" s="1445">
        <f t="shared" si="9"/>
        <v>0</v>
      </c>
      <c r="AZ24" s="1445">
        <f t="shared" si="10"/>
        <v>0</v>
      </c>
      <c r="BA24" s="1445">
        <f t="shared" si="11"/>
        <v>0</v>
      </c>
    </row>
    <row r="25" spans="1:53" ht="14.5">
      <c r="B25" s="1447"/>
      <c r="C25" s="1518" t="s">
        <v>1343</v>
      </c>
      <c r="D25" s="1476"/>
      <c r="E25" s="1489">
        <v>24</v>
      </c>
      <c r="F25" s="1490" t="s">
        <v>412</v>
      </c>
      <c r="G25" s="1491"/>
      <c r="H25" s="1485"/>
      <c r="I25" s="1492" t="str">
        <f>IF(E22=0,"-",SUM(AN58:AN61))</f>
        <v>-</v>
      </c>
      <c r="J25" s="1493" t="s">
        <v>1630</v>
      </c>
      <c r="L25" s="1462" t="s">
        <v>202</v>
      </c>
      <c r="M25" s="1463" t="str">
        <f t="shared" si="0"/>
        <v/>
      </c>
      <c r="N25" s="1464">
        <v>70290</v>
      </c>
      <c r="O25" s="1465">
        <v>19525</v>
      </c>
      <c r="P25" s="1466" t="str">
        <f t="shared" si="12"/>
        <v/>
      </c>
      <c r="Q25" s="1464">
        <v>63261</v>
      </c>
      <c r="R25" s="1465">
        <f t="shared" si="13"/>
        <v>17572.5</v>
      </c>
      <c r="S25" s="1467">
        <f t="shared" si="1"/>
        <v>150</v>
      </c>
      <c r="T25" s="1468">
        <v>4200</v>
      </c>
      <c r="U25" s="1468">
        <v>2450</v>
      </c>
      <c r="W25" s="1462" t="s">
        <v>284</v>
      </c>
      <c r="X25" s="1463" t="str">
        <f t="shared" si="14"/>
        <v/>
      </c>
      <c r="Y25" s="1464">
        <v>139320</v>
      </c>
      <c r="Z25" s="1465">
        <f t="shared" si="2"/>
        <v>38700</v>
      </c>
      <c r="AA25" s="1466" t="str">
        <f t="shared" si="15"/>
        <v/>
      </c>
      <c r="AB25" s="1464">
        <v>125388</v>
      </c>
      <c r="AC25" s="1465">
        <f t="shared" si="16"/>
        <v>34830</v>
      </c>
      <c r="AD25" s="1467">
        <f t="shared" si="3"/>
        <v>150</v>
      </c>
      <c r="AE25" s="1468">
        <v>6475</v>
      </c>
      <c r="AF25" s="1468">
        <v>3120</v>
      </c>
      <c r="AH25" s="1458" t="s">
        <v>203</v>
      </c>
      <c r="AI25" s="1459">
        <v>1240</v>
      </c>
      <c r="AJ25" s="1459">
        <v>155</v>
      </c>
      <c r="AK25" s="1459">
        <v>620</v>
      </c>
      <c r="AL25" s="1459">
        <v>310</v>
      </c>
      <c r="AM25" s="1459">
        <v>465</v>
      </c>
      <c r="AN25" s="1459">
        <v>465</v>
      </c>
      <c r="AO25" s="1459">
        <v>620</v>
      </c>
      <c r="AP25" s="1459">
        <v>310</v>
      </c>
      <c r="AQ25" s="1459">
        <v>700</v>
      </c>
      <c r="AR25" s="1459">
        <v>2015</v>
      </c>
      <c r="AS25" s="1459">
        <v>300</v>
      </c>
      <c r="AT25" s="1445">
        <f t="shared" si="4"/>
        <v>0</v>
      </c>
      <c r="AU25" s="1445">
        <f t="shared" si="5"/>
        <v>0</v>
      </c>
      <c r="AV25" s="1445">
        <f t="shared" si="6"/>
        <v>0</v>
      </c>
      <c r="AW25" s="1445">
        <f t="shared" si="7"/>
        <v>0</v>
      </c>
      <c r="AX25" s="1445">
        <f t="shared" si="8"/>
        <v>0</v>
      </c>
      <c r="AY25" s="1445">
        <f t="shared" si="9"/>
        <v>0</v>
      </c>
      <c r="AZ25" s="1445">
        <f t="shared" si="10"/>
        <v>0</v>
      </c>
      <c r="BA25" s="1445">
        <f t="shared" si="11"/>
        <v>0</v>
      </c>
    </row>
    <row r="26" spans="1:53" ht="14.5">
      <c r="B26" s="1447"/>
      <c r="C26" s="1476" t="s">
        <v>411</v>
      </c>
      <c r="D26" s="1476"/>
      <c r="E26" s="1489">
        <v>12</v>
      </c>
      <c r="F26" s="1490" t="s">
        <v>412</v>
      </c>
      <c r="G26" s="1491"/>
      <c r="H26" s="1485"/>
      <c r="I26" s="1445"/>
      <c r="J26" s="1463"/>
      <c r="L26" s="1470" t="s">
        <v>203</v>
      </c>
      <c r="M26" s="1463" t="str">
        <f t="shared" si="0"/>
        <v/>
      </c>
      <c r="N26" s="1471">
        <v>75960</v>
      </c>
      <c r="O26" s="1472">
        <v>21100</v>
      </c>
      <c r="P26" s="1466" t="str">
        <f t="shared" si="12"/>
        <v/>
      </c>
      <c r="Q26" s="1471">
        <v>68364</v>
      </c>
      <c r="R26" s="1472">
        <f t="shared" si="13"/>
        <v>18990</v>
      </c>
      <c r="S26" s="1473">
        <f t="shared" si="1"/>
        <v>150</v>
      </c>
      <c r="T26" s="1474">
        <v>4500</v>
      </c>
      <c r="U26" s="1474">
        <v>2450</v>
      </c>
      <c r="W26" s="1470" t="s">
        <v>285</v>
      </c>
      <c r="X26" s="1463" t="str">
        <f t="shared" si="14"/>
        <v/>
      </c>
      <c r="Y26" s="1471">
        <v>151740</v>
      </c>
      <c r="Z26" s="1472">
        <f t="shared" si="2"/>
        <v>42150</v>
      </c>
      <c r="AA26" s="1466" t="str">
        <f t="shared" si="15"/>
        <v/>
      </c>
      <c r="AB26" s="1471">
        <v>136566</v>
      </c>
      <c r="AC26" s="1472">
        <f t="shared" si="16"/>
        <v>37935</v>
      </c>
      <c r="AD26" s="1473">
        <f t="shared" si="3"/>
        <v>150</v>
      </c>
      <c r="AE26" s="1474">
        <v>6475</v>
      </c>
      <c r="AF26" s="1474">
        <v>3425</v>
      </c>
      <c r="AH26" s="1458" t="s">
        <v>204</v>
      </c>
      <c r="AI26" s="1459">
        <v>1240</v>
      </c>
      <c r="AJ26" s="1459">
        <v>155</v>
      </c>
      <c r="AK26" s="1459">
        <v>620</v>
      </c>
      <c r="AL26" s="1459">
        <v>310</v>
      </c>
      <c r="AM26" s="1459">
        <v>465</v>
      </c>
      <c r="AN26" s="1459">
        <v>465</v>
      </c>
      <c r="AO26" s="1459">
        <v>620</v>
      </c>
      <c r="AP26" s="1459">
        <v>310</v>
      </c>
      <c r="AQ26" s="1459">
        <v>700</v>
      </c>
      <c r="AR26" s="1459">
        <v>2015</v>
      </c>
      <c r="AS26" s="1459">
        <v>300</v>
      </c>
      <c r="AT26" s="1445">
        <f t="shared" si="4"/>
        <v>0</v>
      </c>
      <c r="AU26" s="1445">
        <f t="shared" si="5"/>
        <v>0</v>
      </c>
      <c r="AV26" s="1445">
        <f t="shared" si="6"/>
        <v>0</v>
      </c>
      <c r="AW26" s="1445">
        <f t="shared" si="7"/>
        <v>0</v>
      </c>
      <c r="AX26" s="1445">
        <f t="shared" si="8"/>
        <v>0</v>
      </c>
      <c r="AY26" s="1445">
        <f t="shared" si="9"/>
        <v>0</v>
      </c>
      <c r="AZ26" s="1445">
        <f t="shared" si="10"/>
        <v>0</v>
      </c>
      <c r="BA26" s="1445">
        <f t="shared" si="11"/>
        <v>0</v>
      </c>
    </row>
    <row r="27" spans="1:53" ht="13">
      <c r="B27" s="1447"/>
      <c r="C27" s="1519" t="s">
        <v>1344</v>
      </c>
      <c r="D27" s="1494"/>
      <c r="E27" s="1495" t="str">
        <f>IF(E24="n/a","-",E24/1.23/(E25-E26)*1000)</f>
        <v>-</v>
      </c>
      <c r="F27" s="1496" t="s">
        <v>3</v>
      </c>
      <c r="G27" s="1497"/>
      <c r="H27" s="1463"/>
      <c r="I27" s="1445"/>
      <c r="J27" s="1463"/>
      <c r="L27" s="1462" t="s">
        <v>204</v>
      </c>
      <c r="M27" s="1463" t="str">
        <f t="shared" si="0"/>
        <v/>
      </c>
      <c r="N27" s="1464">
        <v>81630</v>
      </c>
      <c r="O27" s="1465">
        <v>22675</v>
      </c>
      <c r="P27" s="1466" t="str">
        <f t="shared" si="12"/>
        <v/>
      </c>
      <c r="Q27" s="1464">
        <v>73467</v>
      </c>
      <c r="R27" s="1465">
        <f t="shared" si="13"/>
        <v>20407.5</v>
      </c>
      <c r="S27" s="1467">
        <f t="shared" si="1"/>
        <v>150</v>
      </c>
      <c r="T27" s="1468">
        <v>4800</v>
      </c>
      <c r="U27" s="1468">
        <v>2450</v>
      </c>
      <c r="W27" s="1462" t="s">
        <v>286</v>
      </c>
      <c r="X27" s="1463" t="str">
        <f t="shared" si="14"/>
        <v/>
      </c>
      <c r="Y27" s="1464">
        <v>172080</v>
      </c>
      <c r="Z27" s="1465">
        <f t="shared" si="2"/>
        <v>47800</v>
      </c>
      <c r="AA27" s="1466" t="str">
        <f t="shared" si="15"/>
        <v/>
      </c>
      <c r="AB27" s="1464">
        <v>154800</v>
      </c>
      <c r="AC27" s="1465">
        <f t="shared" si="16"/>
        <v>43000</v>
      </c>
      <c r="AD27" s="1467">
        <f t="shared" si="3"/>
        <v>150</v>
      </c>
      <c r="AE27" s="1468">
        <v>6475</v>
      </c>
      <c r="AF27" s="1468">
        <v>3800</v>
      </c>
      <c r="AH27" s="1458" t="s">
        <v>205</v>
      </c>
      <c r="AI27" s="1459">
        <v>1240</v>
      </c>
      <c r="AJ27" s="1459">
        <v>155</v>
      </c>
      <c r="AK27" s="1459">
        <v>620</v>
      </c>
      <c r="AL27" s="1459">
        <v>310</v>
      </c>
      <c r="AM27" s="1459">
        <v>465</v>
      </c>
      <c r="AN27" s="1459">
        <v>465</v>
      </c>
      <c r="AO27" s="1459">
        <v>620</v>
      </c>
      <c r="AP27" s="1459">
        <v>310</v>
      </c>
      <c r="AQ27" s="1459">
        <v>700</v>
      </c>
      <c r="AR27" s="1459">
        <v>2015</v>
      </c>
      <c r="AS27" s="1459">
        <v>300</v>
      </c>
      <c r="AT27" s="1445">
        <f>IF($AI$3=TRUE,AI27,0)</f>
        <v>0</v>
      </c>
      <c r="AU27" s="1445">
        <f t="shared" si="5"/>
        <v>0</v>
      </c>
      <c r="AV27" s="1445">
        <f t="shared" si="6"/>
        <v>0</v>
      </c>
      <c r="AW27" s="1445">
        <f t="shared" si="7"/>
        <v>0</v>
      </c>
      <c r="AX27" s="1445">
        <f t="shared" si="8"/>
        <v>0</v>
      </c>
      <c r="AY27" s="1445">
        <f t="shared" si="9"/>
        <v>0</v>
      </c>
      <c r="AZ27" s="1445">
        <f t="shared" si="10"/>
        <v>0</v>
      </c>
      <c r="BA27" s="1445">
        <f t="shared" si="11"/>
        <v>0</v>
      </c>
    </row>
    <row r="28" spans="1:53" ht="13">
      <c r="A28" s="1498"/>
      <c r="B28" s="1520"/>
      <c r="C28" s="1521"/>
      <c r="D28" s="1499"/>
      <c r="E28" s="1500"/>
      <c r="F28" s="1501"/>
      <c r="G28" s="1502"/>
      <c r="H28" s="1445"/>
      <c r="I28" s="1445"/>
      <c r="J28" s="1463"/>
      <c r="L28" s="1470" t="s">
        <v>205</v>
      </c>
      <c r="M28" s="1503" t="str">
        <f t="shared" si="0"/>
        <v/>
      </c>
      <c r="N28" s="1471">
        <v>87300</v>
      </c>
      <c r="O28" s="1472">
        <v>24250</v>
      </c>
      <c r="P28" s="1504" t="str">
        <f t="shared" si="12"/>
        <v/>
      </c>
      <c r="Q28" s="1471">
        <v>78570</v>
      </c>
      <c r="R28" s="1472">
        <f t="shared" si="13"/>
        <v>21825</v>
      </c>
      <c r="S28" s="1473">
        <f t="shared" si="1"/>
        <v>150</v>
      </c>
      <c r="T28" s="1474">
        <v>5100</v>
      </c>
      <c r="U28" s="1474">
        <v>2450</v>
      </c>
      <c r="W28" s="1470" t="s">
        <v>288</v>
      </c>
      <c r="X28" s="1503" t="str">
        <f t="shared" si="14"/>
        <v/>
      </c>
      <c r="Y28" s="1471">
        <v>205200</v>
      </c>
      <c r="Z28" s="1472">
        <f t="shared" si="2"/>
        <v>57000</v>
      </c>
      <c r="AA28" s="1504" t="str">
        <f t="shared" si="15"/>
        <v/>
      </c>
      <c r="AB28" s="1471">
        <v>183600</v>
      </c>
      <c r="AC28" s="1472">
        <f t="shared" si="16"/>
        <v>51000</v>
      </c>
      <c r="AD28" s="1473">
        <f t="shared" si="3"/>
        <v>150</v>
      </c>
      <c r="AE28" s="1474">
        <v>6475</v>
      </c>
      <c r="AF28" s="1474">
        <v>4410</v>
      </c>
    </row>
    <row r="29" spans="1:53" ht="13">
      <c r="H29" s="1463"/>
      <c r="I29" s="1463"/>
      <c r="J29" s="1463"/>
      <c r="L29" s="2174" t="s">
        <v>262</v>
      </c>
      <c r="M29" s="2174"/>
      <c r="N29" s="2174"/>
      <c r="O29" s="2174"/>
      <c r="P29" s="2174"/>
      <c r="Q29" s="2174"/>
      <c r="R29" s="2174"/>
      <c r="S29" s="2174"/>
      <c r="T29" s="2174"/>
      <c r="U29" s="2174"/>
      <c r="W29" s="2174" t="s">
        <v>262</v>
      </c>
      <c r="X29" s="2174"/>
      <c r="Y29" s="2174"/>
      <c r="Z29" s="2174"/>
      <c r="AA29" s="2174"/>
      <c r="AB29" s="2174"/>
      <c r="AC29" s="2174"/>
      <c r="AD29" s="2174"/>
      <c r="AE29" s="2174"/>
      <c r="AF29" s="2174"/>
    </row>
    <row r="30" spans="1:53" ht="13">
      <c r="B30" s="2156" t="s">
        <v>436</v>
      </c>
      <c r="C30" s="2173"/>
      <c r="D30" s="2173"/>
      <c r="E30" s="2173"/>
      <c r="F30" s="2173"/>
      <c r="G30" s="2157"/>
      <c r="H30" s="1463"/>
      <c r="I30" s="1463"/>
      <c r="J30" s="1463"/>
    </row>
    <row r="31" spans="1:53" ht="13">
      <c r="B31" s="1511"/>
      <c r="C31" s="1516"/>
      <c r="D31" s="1516"/>
      <c r="E31" s="1516"/>
      <c r="F31" s="1516"/>
      <c r="G31" s="1517"/>
      <c r="H31" s="1463"/>
      <c r="L31" s="1505"/>
      <c r="M31" s="1505"/>
      <c r="N31" s="1505" t="str">
        <f t="shared" ref="N31:N52" si="17">IF($E$27&lt;=O31,O31,"")</f>
        <v/>
      </c>
      <c r="O31" s="1506">
        <f>O7</f>
        <v>575</v>
      </c>
      <c r="P31" s="1505"/>
      <c r="Q31" s="1505" t="str">
        <f t="shared" ref="Q31:Q52" si="18">IF($E$37&lt;=R31,R31,"")</f>
        <v/>
      </c>
      <c r="R31" s="1506">
        <f>R7</f>
        <v>517.5</v>
      </c>
      <c r="S31" s="1505"/>
      <c r="T31" s="1505"/>
      <c r="U31" s="1505"/>
      <c r="V31" s="1505"/>
      <c r="W31" s="1505"/>
      <c r="X31" s="1505"/>
      <c r="Y31" s="1505" t="str">
        <f t="shared" ref="Y31:Y52" si="19">IF($E$27&lt;=Z31,Z31,"")</f>
        <v/>
      </c>
      <c r="Z31" s="1506">
        <f t="shared" ref="Z31:Z52" si="20">Z7</f>
        <v>710</v>
      </c>
      <c r="AA31" s="1506"/>
      <c r="AB31" s="1505" t="str">
        <f t="shared" ref="AB31:AB52" si="21">IF($E$37&lt;=AC31,AC31,"")</f>
        <v/>
      </c>
      <c r="AC31" s="1506">
        <f t="shared" ref="AC31:AC52" si="22">AC7</f>
        <v>638.88888888888891</v>
      </c>
      <c r="AD31" s="1506"/>
      <c r="AE31" s="1505"/>
      <c r="AF31" s="1505"/>
      <c r="AH31" s="1444" t="s">
        <v>266</v>
      </c>
    </row>
    <row r="32" spans="1:53" ht="14.5">
      <c r="B32" s="1447"/>
      <c r="C32" s="251" t="s">
        <v>140</v>
      </c>
      <c r="E32" s="1477"/>
      <c r="F32" s="253" t="s">
        <v>178</v>
      </c>
      <c r="G32" s="945"/>
      <c r="H32" s="1463"/>
      <c r="L32" s="1505"/>
      <c r="M32" s="1505"/>
      <c r="N32" s="1505" t="str">
        <f t="shared" si="17"/>
        <v/>
      </c>
      <c r="O32" s="1506">
        <f t="shared" ref="O32:R47" si="23">O8</f>
        <v>1000</v>
      </c>
      <c r="P32" s="1505"/>
      <c r="Q32" s="1505" t="str">
        <f t="shared" si="18"/>
        <v/>
      </c>
      <c r="R32" s="1506">
        <f t="shared" si="23"/>
        <v>900</v>
      </c>
      <c r="S32" s="1505"/>
      <c r="T32" s="1505"/>
      <c r="U32" s="1505"/>
      <c r="V32" s="1505"/>
      <c r="W32" s="1505"/>
      <c r="X32" s="1505"/>
      <c r="Y32" s="1505" t="str">
        <f t="shared" si="19"/>
        <v/>
      </c>
      <c r="Z32" s="1506">
        <f t="shared" si="20"/>
        <v>1230</v>
      </c>
      <c r="AA32" s="1506"/>
      <c r="AB32" s="1505" t="str">
        <f t="shared" si="21"/>
        <v/>
      </c>
      <c r="AC32" s="1506">
        <f t="shared" si="22"/>
        <v>1106.9444444444443</v>
      </c>
      <c r="AD32" s="1506"/>
      <c r="AE32" s="1505"/>
      <c r="AF32" s="1505"/>
      <c r="AH32" s="1451"/>
      <c r="AI32" s="1451"/>
      <c r="AJ32" s="1451"/>
      <c r="AK32" s="1451"/>
      <c r="AL32" s="1451"/>
      <c r="AM32" s="1451"/>
      <c r="AN32" s="1451"/>
      <c r="AO32" s="1451"/>
      <c r="AP32" s="1451"/>
      <c r="AQ32" s="1451"/>
      <c r="AR32" s="1451"/>
      <c r="AS32" s="1451"/>
      <c r="AT32" s="2169" t="s">
        <v>256</v>
      </c>
      <c r="AU32" s="2169"/>
      <c r="AV32" s="2169"/>
      <c r="AW32" s="2169"/>
      <c r="AX32" s="2169"/>
      <c r="AY32" s="2169"/>
      <c r="AZ32" s="2169"/>
      <c r="BA32" s="2169"/>
    </row>
    <row r="33" spans="2:53">
      <c r="B33" s="1447"/>
      <c r="C33" s="2171" t="s">
        <v>1345</v>
      </c>
      <c r="D33" s="2172"/>
      <c r="E33" s="1507"/>
      <c r="F33" s="253" t="str">
        <f>VLOOKUP(C33,AK64:AL65,2,FALSE)</f>
        <v>m2/person</v>
      </c>
      <c r="G33" s="945"/>
      <c r="H33" s="1463"/>
      <c r="L33" s="1505"/>
      <c r="M33" s="1505"/>
      <c r="N33" s="1505" t="str">
        <f t="shared" si="17"/>
        <v/>
      </c>
      <c r="O33" s="1506">
        <f t="shared" si="23"/>
        <v>1400</v>
      </c>
      <c r="P33" s="1505"/>
      <c r="Q33" s="1505" t="str">
        <f t="shared" si="18"/>
        <v/>
      </c>
      <c r="R33" s="1506">
        <f t="shared" si="23"/>
        <v>1260</v>
      </c>
      <c r="S33" s="1505"/>
      <c r="T33" s="1505"/>
      <c r="U33" s="1505"/>
      <c r="V33" s="1505"/>
      <c r="W33" s="1505"/>
      <c r="X33" s="1505"/>
      <c r="Y33" s="1505" t="str">
        <f t="shared" si="19"/>
        <v/>
      </c>
      <c r="Z33" s="1506">
        <f t="shared" si="20"/>
        <v>1800</v>
      </c>
      <c r="AA33" s="1506"/>
      <c r="AB33" s="1505" t="str">
        <f t="shared" si="21"/>
        <v/>
      </c>
      <c r="AC33" s="1506">
        <f t="shared" si="22"/>
        <v>1620</v>
      </c>
      <c r="AD33" s="1506"/>
      <c r="AE33" s="1505"/>
      <c r="AF33" s="1505"/>
      <c r="AH33" s="1451"/>
      <c r="AI33" s="1451"/>
      <c r="AJ33" s="1451"/>
      <c r="AK33" s="1451"/>
      <c r="AL33" s="2169" t="s">
        <v>130</v>
      </c>
      <c r="AM33" s="2169"/>
      <c r="AN33" s="2169"/>
      <c r="AO33" s="2169"/>
      <c r="AP33" s="1451" t="s">
        <v>250</v>
      </c>
      <c r="AQ33" s="1451"/>
      <c r="AR33" s="1451"/>
      <c r="AS33" s="1451"/>
      <c r="AT33" s="2169"/>
      <c r="AU33" s="2169"/>
      <c r="AV33" s="2169"/>
      <c r="AW33" s="2169"/>
      <c r="AX33" s="2169"/>
      <c r="AY33" s="2169"/>
      <c r="AZ33" s="2169"/>
      <c r="BA33" s="2169"/>
    </row>
    <row r="34" spans="2:53" ht="13">
      <c r="B34" s="1447"/>
      <c r="C34" s="1498" t="s">
        <v>1346</v>
      </c>
      <c r="D34" s="947"/>
      <c r="E34" s="529" t="str">
        <f>IF(E32*E33=0,"-",IF(C33=AK64,E32/E33,E33))</f>
        <v>-</v>
      </c>
      <c r="F34" s="253" t="s">
        <v>437</v>
      </c>
      <c r="G34" s="945"/>
      <c r="H34" s="1463"/>
      <c r="L34" s="1476"/>
      <c r="M34" s="1476"/>
      <c r="N34" s="1505" t="str">
        <f t="shared" si="17"/>
        <v/>
      </c>
      <c r="O34" s="1506">
        <f t="shared" si="23"/>
        <v>1825</v>
      </c>
      <c r="P34" s="1505"/>
      <c r="Q34" s="1505" t="str">
        <f t="shared" si="18"/>
        <v/>
      </c>
      <c r="R34" s="1506">
        <f t="shared" si="23"/>
        <v>1642.5</v>
      </c>
      <c r="S34" s="1505"/>
      <c r="T34" s="1505"/>
      <c r="U34" s="1505"/>
      <c r="V34" s="1505"/>
      <c r="W34" s="1505"/>
      <c r="X34" s="1505"/>
      <c r="Y34" s="1505" t="str">
        <f t="shared" si="19"/>
        <v/>
      </c>
      <c r="Z34" s="1506">
        <f t="shared" si="20"/>
        <v>2370</v>
      </c>
      <c r="AA34" s="1506"/>
      <c r="AB34" s="1505" t="str">
        <f t="shared" si="21"/>
        <v/>
      </c>
      <c r="AC34" s="1506">
        <f t="shared" si="22"/>
        <v>2132.7777777777778</v>
      </c>
      <c r="AD34" s="1506"/>
      <c r="AE34" s="1505"/>
      <c r="AF34" s="1505"/>
      <c r="AH34" s="1451" t="s">
        <v>264</v>
      </c>
      <c r="AI34" s="1451" t="s">
        <v>247</v>
      </c>
      <c r="AJ34" s="1451" t="s">
        <v>129</v>
      </c>
      <c r="AK34" s="1451" t="s">
        <v>253</v>
      </c>
      <c r="AL34" s="1451" t="s">
        <v>252</v>
      </c>
      <c r="AM34" s="1451" t="s">
        <v>249</v>
      </c>
      <c r="AN34" s="1451" t="s">
        <v>248</v>
      </c>
      <c r="AO34" s="1451" t="s">
        <v>251</v>
      </c>
      <c r="AP34" s="1451" t="s">
        <v>252</v>
      </c>
      <c r="AQ34" s="1451" t="s">
        <v>254</v>
      </c>
      <c r="AR34" s="1451" t="s">
        <v>208</v>
      </c>
      <c r="AS34" s="1451" t="s">
        <v>263</v>
      </c>
      <c r="AT34" s="2169"/>
      <c r="AU34" s="2169"/>
      <c r="AV34" s="2169"/>
      <c r="AW34" s="2169"/>
      <c r="AX34" s="2169"/>
      <c r="AY34" s="2169"/>
      <c r="AZ34" s="2169"/>
      <c r="BA34" s="2169"/>
    </row>
    <row r="35" spans="2:53">
      <c r="B35" s="1447"/>
      <c r="C35" s="251" t="s">
        <v>438</v>
      </c>
      <c r="D35" s="251"/>
      <c r="E35" s="1507"/>
      <c r="F35" s="253" t="s">
        <v>1348</v>
      </c>
      <c r="G35" s="445"/>
      <c r="H35" s="1463"/>
      <c r="J35" s="1508"/>
      <c r="L35" s="1476"/>
      <c r="M35" s="1476"/>
      <c r="N35" s="1505" t="str">
        <f t="shared" si="17"/>
        <v/>
      </c>
      <c r="O35" s="1506">
        <f t="shared" si="23"/>
        <v>2225</v>
      </c>
      <c r="P35" s="1505"/>
      <c r="Q35" s="1505" t="str">
        <f t="shared" si="18"/>
        <v/>
      </c>
      <c r="R35" s="1506">
        <f t="shared" si="23"/>
        <v>2002.5</v>
      </c>
      <c r="S35" s="1505"/>
      <c r="T35" s="1505"/>
      <c r="U35" s="1505"/>
      <c r="V35" s="1505"/>
      <c r="W35" s="1505"/>
      <c r="X35" s="1505"/>
      <c r="Y35" s="1505" t="str">
        <f t="shared" si="19"/>
        <v/>
      </c>
      <c r="Z35" s="1506">
        <f t="shared" si="20"/>
        <v>3370</v>
      </c>
      <c r="AA35" s="1506"/>
      <c r="AB35" s="1505" t="str">
        <f t="shared" si="21"/>
        <v/>
      </c>
      <c r="AC35" s="1506">
        <f t="shared" si="22"/>
        <v>3033.0555555555557</v>
      </c>
      <c r="AD35" s="1506"/>
      <c r="AE35" s="1505"/>
      <c r="AF35" s="1505"/>
      <c r="AH35" s="1509" t="s">
        <v>267</v>
      </c>
      <c r="AI35" s="1459">
        <v>610</v>
      </c>
      <c r="AJ35" s="1459">
        <v>305</v>
      </c>
      <c r="AK35" s="1459">
        <v>610</v>
      </c>
      <c r="AL35" s="1459"/>
      <c r="AM35" s="1459"/>
      <c r="AN35" s="1459">
        <v>610</v>
      </c>
      <c r="AO35" s="1459"/>
      <c r="AP35" s="1459">
        <v>610</v>
      </c>
      <c r="AQ35" s="1459">
        <v>610</v>
      </c>
      <c r="AR35" s="1459">
        <v>985</v>
      </c>
      <c r="AS35" s="1459">
        <v>610</v>
      </c>
      <c r="AT35" s="1445">
        <f>IF($AI$3=TRUE,AI35,0)</f>
        <v>0</v>
      </c>
      <c r="AU35" s="1445">
        <f>IF($AJ$3=TRUE,AJ35,0)</f>
        <v>0</v>
      </c>
      <c r="AV35" s="1445">
        <f>IF($AK$3=TRUE,AK35,0)</f>
        <v>0</v>
      </c>
      <c r="AW35" s="1445">
        <f>IF($AL$3=TRUE,AN35,0)</f>
        <v>0</v>
      </c>
      <c r="AX35" s="1445">
        <f>IF($AP$3=TRUE,AP35,0)</f>
        <v>0</v>
      </c>
      <c r="AY35" s="1445">
        <f>IF($AQ$3=TRUE,AQ35,0)</f>
        <v>0</v>
      </c>
      <c r="AZ35" s="1445">
        <f>IF($AR$3=TRUE,AR35,0)</f>
        <v>0</v>
      </c>
      <c r="BA35" s="1445">
        <f>IF($AS$3=TRUE,AS35,0)</f>
        <v>0</v>
      </c>
    </row>
    <row r="36" spans="2:53">
      <c r="B36" s="1447"/>
      <c r="C36" s="251"/>
      <c r="D36" s="251"/>
      <c r="E36" s="1507"/>
      <c r="F36" s="253" t="s">
        <v>172</v>
      </c>
      <c r="G36" s="445"/>
      <c r="H36" s="1463"/>
      <c r="M36" s="1476"/>
      <c r="N36" s="1505" t="str">
        <f t="shared" si="17"/>
        <v/>
      </c>
      <c r="O36" s="1506">
        <f t="shared" si="23"/>
        <v>2875</v>
      </c>
      <c r="P36" s="1505"/>
      <c r="Q36" s="1505" t="str">
        <f t="shared" si="18"/>
        <v/>
      </c>
      <c r="R36" s="1506">
        <f t="shared" si="23"/>
        <v>2587.5</v>
      </c>
      <c r="S36" s="1505"/>
      <c r="T36" s="1505"/>
      <c r="U36" s="1505"/>
      <c r="V36" s="1505"/>
      <c r="W36" s="1505"/>
      <c r="X36" s="1505"/>
      <c r="Y36" s="1505" t="str">
        <f t="shared" si="19"/>
        <v/>
      </c>
      <c r="Z36" s="1506">
        <f t="shared" si="20"/>
        <v>4250</v>
      </c>
      <c r="AA36" s="1506"/>
      <c r="AB36" s="1505" t="str">
        <f t="shared" si="21"/>
        <v/>
      </c>
      <c r="AC36" s="1506">
        <f t="shared" si="22"/>
        <v>3825</v>
      </c>
      <c r="AD36" s="1506"/>
      <c r="AE36" s="1505"/>
      <c r="AF36" s="1505"/>
      <c r="AH36" s="1509" t="s">
        <v>268</v>
      </c>
      <c r="AI36" s="1459">
        <v>610</v>
      </c>
      <c r="AJ36" s="1459">
        <v>305</v>
      </c>
      <c r="AK36" s="1459">
        <v>610</v>
      </c>
      <c r="AL36" s="1459"/>
      <c r="AM36" s="1459"/>
      <c r="AN36" s="1459">
        <v>610</v>
      </c>
      <c r="AO36" s="1459"/>
      <c r="AP36" s="1459">
        <v>610</v>
      </c>
      <c r="AQ36" s="1459">
        <v>610</v>
      </c>
      <c r="AR36" s="1459">
        <v>985</v>
      </c>
      <c r="AS36" s="1459">
        <v>610</v>
      </c>
      <c r="AT36" s="1445">
        <f t="shared" ref="AT36:AT55" si="24">IF($AI$3=TRUE,AI36,0)</f>
        <v>0</v>
      </c>
      <c r="AU36" s="1445">
        <f t="shared" ref="AU36:AU55" si="25">IF($AJ$3=TRUE,AJ36,0)</f>
        <v>0</v>
      </c>
      <c r="AV36" s="1445">
        <f t="shared" ref="AV36:AV55" si="26">IF($AK$3=TRUE,AK36,0)</f>
        <v>0</v>
      </c>
      <c r="AW36" s="1445">
        <f t="shared" ref="AW36:AW55" si="27">IF($AL$3=TRUE,AN36,0)</f>
        <v>0</v>
      </c>
      <c r="AX36" s="1445">
        <f t="shared" ref="AX36:AX55" si="28">IF($AP$3=TRUE,AP36,0)</f>
        <v>0</v>
      </c>
      <c r="AY36" s="1445">
        <f t="shared" ref="AY36:AY55" si="29">IF($AQ$3=TRUE,AQ36,0)</f>
        <v>0</v>
      </c>
      <c r="AZ36" s="1445">
        <f t="shared" ref="AZ36:AZ55" si="30">IF($AR$3=TRUE,AR36,0)</f>
        <v>0</v>
      </c>
      <c r="BA36" s="1445">
        <f t="shared" ref="BA36:BA55" si="31">IF($AS$3=TRUE,AS36,0)</f>
        <v>0</v>
      </c>
    </row>
    <row r="37" spans="2:53" ht="13">
      <c r="B37" s="1447"/>
      <c r="C37" s="1519" t="s">
        <v>1347</v>
      </c>
      <c r="D37" s="1494"/>
      <c r="E37" s="1495" t="str">
        <f>IF(E32*E35*E33=0,"-",E32*E36+E34*E35)</f>
        <v>-</v>
      </c>
      <c r="F37" s="1496" t="s">
        <v>3</v>
      </c>
      <c r="G37" s="1497"/>
      <c r="H37" s="1463"/>
      <c r="M37" s="1476"/>
      <c r="N37" s="1505" t="str">
        <f t="shared" si="17"/>
        <v/>
      </c>
      <c r="O37" s="1506">
        <f t="shared" si="23"/>
        <v>3550</v>
      </c>
      <c r="P37" s="1505"/>
      <c r="Q37" s="1505" t="str">
        <f t="shared" si="18"/>
        <v/>
      </c>
      <c r="R37" s="1506">
        <f t="shared" si="23"/>
        <v>3195</v>
      </c>
      <c r="S37" s="1505"/>
      <c r="T37" s="1505"/>
      <c r="U37" s="1505"/>
      <c r="V37" s="1505"/>
      <c r="W37" s="1505"/>
      <c r="X37" s="1505"/>
      <c r="Y37" s="1505" t="str">
        <f t="shared" si="19"/>
        <v/>
      </c>
      <c r="Z37" s="1506">
        <f t="shared" si="20"/>
        <v>5100</v>
      </c>
      <c r="AA37" s="1506"/>
      <c r="AB37" s="1505" t="str">
        <f t="shared" si="21"/>
        <v/>
      </c>
      <c r="AC37" s="1506">
        <f t="shared" si="22"/>
        <v>4590</v>
      </c>
      <c r="AD37" s="1506"/>
      <c r="AE37" s="1505"/>
      <c r="AF37" s="1505"/>
      <c r="AH37" s="1509" t="s">
        <v>269</v>
      </c>
      <c r="AI37" s="1459">
        <v>610</v>
      </c>
      <c r="AJ37" s="1459">
        <v>305</v>
      </c>
      <c r="AK37" s="1459">
        <v>610</v>
      </c>
      <c r="AL37" s="1459"/>
      <c r="AM37" s="1459"/>
      <c r="AN37" s="1459">
        <v>610</v>
      </c>
      <c r="AO37" s="1459"/>
      <c r="AP37" s="1459">
        <v>610</v>
      </c>
      <c r="AQ37" s="1459">
        <v>610</v>
      </c>
      <c r="AR37" s="1459">
        <v>985</v>
      </c>
      <c r="AS37" s="1459">
        <v>610</v>
      </c>
      <c r="AT37" s="1445">
        <f t="shared" si="24"/>
        <v>0</v>
      </c>
      <c r="AU37" s="1445">
        <f t="shared" si="25"/>
        <v>0</v>
      </c>
      <c r="AV37" s="1445">
        <f t="shared" si="26"/>
        <v>0</v>
      </c>
      <c r="AW37" s="1445">
        <f t="shared" si="27"/>
        <v>0</v>
      </c>
      <c r="AX37" s="1445">
        <f t="shared" si="28"/>
        <v>0</v>
      </c>
      <c r="AY37" s="1445">
        <f t="shared" si="29"/>
        <v>0</v>
      </c>
      <c r="AZ37" s="1445">
        <f t="shared" si="30"/>
        <v>0</v>
      </c>
      <c r="BA37" s="1445">
        <f t="shared" si="31"/>
        <v>0</v>
      </c>
    </row>
    <row r="38" spans="2:53">
      <c r="B38" s="1454"/>
      <c r="C38" s="1460"/>
      <c r="D38" s="1460"/>
      <c r="E38" s="1460"/>
      <c r="F38" s="1460"/>
      <c r="G38" s="1455"/>
      <c r="H38" s="1463"/>
      <c r="L38" s="1476"/>
      <c r="M38" s="1476"/>
      <c r="N38" s="1505" t="str">
        <f t="shared" si="17"/>
        <v/>
      </c>
      <c r="O38" s="1506">
        <f t="shared" si="23"/>
        <v>3950</v>
      </c>
      <c r="P38" s="1505"/>
      <c r="Q38" s="1505" t="str">
        <f t="shared" si="18"/>
        <v/>
      </c>
      <c r="R38" s="1506">
        <f t="shared" si="23"/>
        <v>3555</v>
      </c>
      <c r="S38" s="1505"/>
      <c r="T38" s="1505"/>
      <c r="U38" s="1505"/>
      <c r="V38" s="1505"/>
      <c r="W38" s="1505"/>
      <c r="X38" s="1505"/>
      <c r="Y38" s="1505" t="str">
        <f t="shared" si="19"/>
        <v/>
      </c>
      <c r="Z38" s="1506">
        <f t="shared" si="20"/>
        <v>6120</v>
      </c>
      <c r="AA38" s="1506"/>
      <c r="AB38" s="1505" t="str">
        <f t="shared" si="21"/>
        <v/>
      </c>
      <c r="AC38" s="1506">
        <f t="shared" si="22"/>
        <v>5508.0555555555557</v>
      </c>
      <c r="AD38" s="1506"/>
      <c r="AE38" s="1505"/>
      <c r="AF38" s="1505"/>
      <c r="AH38" s="1509" t="s">
        <v>270</v>
      </c>
      <c r="AI38" s="1459">
        <v>610</v>
      </c>
      <c r="AJ38" s="1459">
        <v>305</v>
      </c>
      <c r="AK38" s="1459">
        <v>610</v>
      </c>
      <c r="AL38" s="1459"/>
      <c r="AM38" s="1459"/>
      <c r="AN38" s="1459">
        <v>610</v>
      </c>
      <c r="AO38" s="1459"/>
      <c r="AP38" s="1459">
        <v>610</v>
      </c>
      <c r="AQ38" s="1459">
        <v>610</v>
      </c>
      <c r="AR38" s="1459">
        <v>985</v>
      </c>
      <c r="AS38" s="1459">
        <v>610</v>
      </c>
      <c r="AT38" s="1445">
        <f t="shared" si="24"/>
        <v>0</v>
      </c>
      <c r="AU38" s="1445">
        <f t="shared" si="25"/>
        <v>0</v>
      </c>
      <c r="AV38" s="1445">
        <f t="shared" si="26"/>
        <v>0</v>
      </c>
      <c r="AW38" s="1445">
        <f t="shared" si="27"/>
        <v>0</v>
      </c>
      <c r="AX38" s="1445">
        <f t="shared" si="28"/>
        <v>0</v>
      </c>
      <c r="AY38" s="1445">
        <f t="shared" si="29"/>
        <v>0</v>
      </c>
      <c r="AZ38" s="1445">
        <f t="shared" si="30"/>
        <v>0</v>
      </c>
      <c r="BA38" s="1445">
        <f t="shared" si="31"/>
        <v>0</v>
      </c>
    </row>
    <row r="39" spans="2:53">
      <c r="L39" s="1476"/>
      <c r="M39" s="1476"/>
      <c r="N39" s="1505" t="str">
        <f t="shared" si="17"/>
        <v/>
      </c>
      <c r="O39" s="1506">
        <f t="shared" si="23"/>
        <v>4850</v>
      </c>
      <c r="P39" s="1505"/>
      <c r="Q39" s="1505" t="str">
        <f t="shared" si="18"/>
        <v/>
      </c>
      <c r="R39" s="1506">
        <f t="shared" si="23"/>
        <v>4365</v>
      </c>
      <c r="S39" s="1505"/>
      <c r="T39" s="1505"/>
      <c r="U39" s="1505"/>
      <c r="V39" s="1505"/>
      <c r="W39" s="1505"/>
      <c r="X39" s="1505"/>
      <c r="Y39" s="1505" t="str">
        <f t="shared" si="19"/>
        <v/>
      </c>
      <c r="Z39" s="1506">
        <f t="shared" si="20"/>
        <v>7560</v>
      </c>
      <c r="AA39" s="1506"/>
      <c r="AB39" s="1505" t="str">
        <f t="shared" si="21"/>
        <v/>
      </c>
      <c r="AC39" s="1506">
        <f t="shared" si="22"/>
        <v>6803.8888888888887</v>
      </c>
      <c r="AD39" s="1506"/>
      <c r="AE39" s="1505"/>
      <c r="AF39" s="1505"/>
      <c r="AH39" s="1509" t="s">
        <v>271</v>
      </c>
      <c r="AI39" s="1459">
        <v>610</v>
      </c>
      <c r="AJ39" s="1459">
        <v>305</v>
      </c>
      <c r="AK39" s="1459">
        <v>610</v>
      </c>
      <c r="AL39" s="1459"/>
      <c r="AM39" s="1459"/>
      <c r="AN39" s="1459">
        <v>610</v>
      </c>
      <c r="AO39" s="1459"/>
      <c r="AP39" s="1459">
        <v>610</v>
      </c>
      <c r="AQ39" s="1459">
        <v>610</v>
      </c>
      <c r="AR39" s="1459">
        <v>1290</v>
      </c>
      <c r="AS39" s="1459">
        <v>610</v>
      </c>
      <c r="AT39" s="1445">
        <f t="shared" si="24"/>
        <v>0</v>
      </c>
      <c r="AU39" s="1445">
        <f t="shared" si="25"/>
        <v>0</v>
      </c>
      <c r="AV39" s="1445">
        <f t="shared" si="26"/>
        <v>0</v>
      </c>
      <c r="AW39" s="1445">
        <f t="shared" si="27"/>
        <v>0</v>
      </c>
      <c r="AX39" s="1445">
        <f t="shared" si="28"/>
        <v>0</v>
      </c>
      <c r="AY39" s="1445">
        <f t="shared" si="29"/>
        <v>0</v>
      </c>
      <c r="AZ39" s="1445">
        <f t="shared" si="30"/>
        <v>0</v>
      </c>
      <c r="BA39" s="1445">
        <f t="shared" si="31"/>
        <v>0</v>
      </c>
    </row>
    <row r="40" spans="2:53">
      <c r="F40" s="1443"/>
      <c r="G40" s="1443"/>
      <c r="L40" s="1476"/>
      <c r="M40" s="1476"/>
      <c r="N40" s="1505" t="str">
        <f t="shared" si="17"/>
        <v/>
      </c>
      <c r="O40" s="1506">
        <f t="shared" si="23"/>
        <v>5750</v>
      </c>
      <c r="P40" s="1505"/>
      <c r="Q40" s="1505" t="str">
        <f t="shared" si="18"/>
        <v/>
      </c>
      <c r="R40" s="1506">
        <f t="shared" si="23"/>
        <v>5175</v>
      </c>
      <c r="S40" s="1505"/>
      <c r="T40" s="1505"/>
      <c r="U40" s="1505"/>
      <c r="V40" s="1505"/>
      <c r="W40" s="1505"/>
      <c r="X40" s="1505"/>
      <c r="Y40" s="1505" t="str">
        <f t="shared" si="19"/>
        <v/>
      </c>
      <c r="Z40" s="1506">
        <f t="shared" si="20"/>
        <v>9000</v>
      </c>
      <c r="AA40" s="1506"/>
      <c r="AB40" s="1505" t="str">
        <f t="shared" si="21"/>
        <v/>
      </c>
      <c r="AC40" s="1506">
        <f t="shared" si="22"/>
        <v>8100</v>
      </c>
      <c r="AD40" s="1506"/>
      <c r="AE40" s="1505"/>
      <c r="AF40" s="1505"/>
      <c r="AH40" s="1509" t="s">
        <v>272</v>
      </c>
      <c r="AI40" s="1459">
        <v>610</v>
      </c>
      <c r="AJ40" s="1459">
        <v>305</v>
      </c>
      <c r="AK40" s="1459">
        <v>610</v>
      </c>
      <c r="AL40" s="1459"/>
      <c r="AM40" s="1459"/>
      <c r="AN40" s="1459">
        <v>610</v>
      </c>
      <c r="AO40" s="1459"/>
      <c r="AP40" s="1459">
        <v>610</v>
      </c>
      <c r="AQ40" s="1459">
        <v>610</v>
      </c>
      <c r="AR40" s="1459">
        <v>1290</v>
      </c>
      <c r="AS40" s="1459">
        <v>610</v>
      </c>
      <c r="AT40" s="1445">
        <f t="shared" si="24"/>
        <v>0</v>
      </c>
      <c r="AU40" s="1445">
        <f t="shared" si="25"/>
        <v>0</v>
      </c>
      <c r="AV40" s="1445">
        <f t="shared" si="26"/>
        <v>0</v>
      </c>
      <c r="AW40" s="1445">
        <f t="shared" si="27"/>
        <v>0</v>
      </c>
      <c r="AX40" s="1445">
        <f t="shared" si="28"/>
        <v>0</v>
      </c>
      <c r="AY40" s="1445">
        <f t="shared" si="29"/>
        <v>0</v>
      </c>
      <c r="AZ40" s="1445">
        <f t="shared" si="30"/>
        <v>0</v>
      </c>
      <c r="BA40" s="1445">
        <f t="shared" si="31"/>
        <v>0</v>
      </c>
    </row>
    <row r="41" spans="2:53">
      <c r="J41" s="1476"/>
      <c r="K41" s="1476"/>
      <c r="L41" s="1476"/>
      <c r="M41" s="1476"/>
      <c r="N41" s="1505" t="str">
        <f t="shared" si="17"/>
        <v/>
      </c>
      <c r="O41" s="1506">
        <f t="shared" si="23"/>
        <v>7150</v>
      </c>
      <c r="P41" s="1505"/>
      <c r="Q41" s="1505" t="str">
        <f t="shared" si="18"/>
        <v/>
      </c>
      <c r="R41" s="1506">
        <f t="shared" si="23"/>
        <v>6435</v>
      </c>
      <c r="S41" s="1505"/>
      <c r="T41" s="1505"/>
      <c r="U41" s="1505"/>
      <c r="V41" s="1505"/>
      <c r="W41" s="1505"/>
      <c r="X41" s="1505"/>
      <c r="Y41" s="1505" t="str">
        <f t="shared" si="19"/>
        <v/>
      </c>
      <c r="Z41" s="1506">
        <f t="shared" si="20"/>
        <v>10500</v>
      </c>
      <c r="AA41" s="1506"/>
      <c r="AB41" s="1505" t="str">
        <f t="shared" si="21"/>
        <v/>
      </c>
      <c r="AC41" s="1506">
        <f t="shared" si="22"/>
        <v>9450</v>
      </c>
      <c r="AD41" s="1506"/>
      <c r="AE41" s="1505"/>
      <c r="AF41" s="1505"/>
      <c r="AH41" s="1509" t="s">
        <v>273</v>
      </c>
      <c r="AI41" s="1459">
        <v>610</v>
      </c>
      <c r="AJ41" s="1459">
        <v>305</v>
      </c>
      <c r="AK41" s="1459">
        <v>610</v>
      </c>
      <c r="AL41" s="1459"/>
      <c r="AM41" s="1459"/>
      <c r="AN41" s="1459">
        <v>610</v>
      </c>
      <c r="AO41" s="1459"/>
      <c r="AP41" s="1459">
        <v>610</v>
      </c>
      <c r="AQ41" s="1459">
        <v>610</v>
      </c>
      <c r="AR41" s="1459">
        <v>1290</v>
      </c>
      <c r="AS41" s="1459">
        <v>610</v>
      </c>
      <c r="AT41" s="1445">
        <f t="shared" si="24"/>
        <v>0</v>
      </c>
      <c r="AU41" s="1445">
        <f t="shared" si="25"/>
        <v>0</v>
      </c>
      <c r="AV41" s="1445">
        <f t="shared" si="26"/>
        <v>0</v>
      </c>
      <c r="AW41" s="1445">
        <f t="shared" si="27"/>
        <v>0</v>
      </c>
      <c r="AX41" s="1445">
        <f t="shared" si="28"/>
        <v>0</v>
      </c>
      <c r="AY41" s="1445">
        <f t="shared" si="29"/>
        <v>0</v>
      </c>
      <c r="AZ41" s="1445">
        <f t="shared" si="30"/>
        <v>0</v>
      </c>
      <c r="BA41" s="1445">
        <f t="shared" si="31"/>
        <v>0</v>
      </c>
    </row>
    <row r="42" spans="2:53">
      <c r="L42" s="1476"/>
      <c r="M42" s="1476"/>
      <c r="N42" s="1505" t="str">
        <f t="shared" si="17"/>
        <v/>
      </c>
      <c r="O42" s="1506">
        <f t="shared" si="23"/>
        <v>8550</v>
      </c>
      <c r="P42" s="1505"/>
      <c r="Q42" s="1505" t="str">
        <f t="shared" si="18"/>
        <v/>
      </c>
      <c r="R42" s="1506">
        <f t="shared" si="23"/>
        <v>7695</v>
      </c>
      <c r="S42" s="1505"/>
      <c r="T42" s="1505"/>
      <c r="U42" s="1505"/>
      <c r="V42" s="1505"/>
      <c r="W42" s="1505"/>
      <c r="X42" s="1505"/>
      <c r="Y42" s="1505" t="str">
        <f t="shared" si="19"/>
        <v/>
      </c>
      <c r="Z42" s="1506">
        <f t="shared" si="20"/>
        <v>12200</v>
      </c>
      <c r="AA42" s="1506"/>
      <c r="AB42" s="1505" t="str">
        <f t="shared" si="21"/>
        <v/>
      </c>
      <c r="AC42" s="1506">
        <f t="shared" si="22"/>
        <v>10980</v>
      </c>
      <c r="AD42" s="1506"/>
      <c r="AE42" s="1505"/>
      <c r="AF42" s="1505"/>
      <c r="AH42" s="1509" t="s">
        <v>274</v>
      </c>
      <c r="AI42" s="1459">
        <v>610</v>
      </c>
      <c r="AJ42" s="1459">
        <v>305</v>
      </c>
      <c r="AK42" s="1459">
        <v>610</v>
      </c>
      <c r="AL42" s="1459"/>
      <c r="AM42" s="1459"/>
      <c r="AN42" s="1459">
        <v>610</v>
      </c>
      <c r="AO42" s="1459"/>
      <c r="AP42" s="1459">
        <v>610</v>
      </c>
      <c r="AQ42" s="1459">
        <v>610</v>
      </c>
      <c r="AR42" s="1459">
        <v>1595</v>
      </c>
      <c r="AS42" s="1459">
        <v>610</v>
      </c>
      <c r="AT42" s="1445">
        <f t="shared" si="24"/>
        <v>0</v>
      </c>
      <c r="AU42" s="1445">
        <f t="shared" si="25"/>
        <v>0</v>
      </c>
      <c r="AV42" s="1445">
        <f t="shared" si="26"/>
        <v>0</v>
      </c>
      <c r="AW42" s="1445">
        <f t="shared" si="27"/>
        <v>0</v>
      </c>
      <c r="AX42" s="1445">
        <f t="shared" si="28"/>
        <v>0</v>
      </c>
      <c r="AY42" s="1445">
        <f t="shared" si="29"/>
        <v>0</v>
      </c>
      <c r="AZ42" s="1445">
        <f t="shared" si="30"/>
        <v>0</v>
      </c>
      <c r="BA42" s="1445">
        <f t="shared" si="31"/>
        <v>0</v>
      </c>
    </row>
    <row r="43" spans="2:53" ht="13.5" customHeight="1">
      <c r="I43" s="269"/>
      <c r="L43" s="1505"/>
      <c r="M43" s="1505"/>
      <c r="N43" s="1505" t="str">
        <f t="shared" si="17"/>
        <v/>
      </c>
      <c r="O43" s="1506">
        <f t="shared" si="23"/>
        <v>9875</v>
      </c>
      <c r="P43" s="1505"/>
      <c r="Q43" s="1505" t="str">
        <f t="shared" si="18"/>
        <v/>
      </c>
      <c r="R43" s="1506">
        <f t="shared" si="23"/>
        <v>8887.5</v>
      </c>
      <c r="S43" s="1505"/>
      <c r="T43" s="1505"/>
      <c r="U43" s="1505"/>
      <c r="V43" s="1505"/>
      <c r="W43" s="1505"/>
      <c r="X43" s="1505"/>
      <c r="Y43" s="1505" t="str">
        <f t="shared" si="19"/>
        <v/>
      </c>
      <c r="Z43" s="1506">
        <f t="shared" si="20"/>
        <v>15200</v>
      </c>
      <c r="AA43" s="1506"/>
      <c r="AB43" s="1505" t="str">
        <f t="shared" si="21"/>
        <v/>
      </c>
      <c r="AC43" s="1506">
        <f t="shared" si="22"/>
        <v>13680</v>
      </c>
      <c r="AD43" s="1506"/>
      <c r="AE43" s="1505"/>
      <c r="AF43" s="1505"/>
      <c r="AH43" s="1509" t="s">
        <v>275</v>
      </c>
      <c r="AI43" s="1459">
        <v>610</v>
      </c>
      <c r="AJ43" s="1459">
        <v>305</v>
      </c>
      <c r="AK43" s="1459">
        <v>610</v>
      </c>
      <c r="AL43" s="1459"/>
      <c r="AM43" s="1459"/>
      <c r="AN43" s="1459">
        <v>610</v>
      </c>
      <c r="AO43" s="1459"/>
      <c r="AP43" s="1459">
        <v>610</v>
      </c>
      <c r="AQ43" s="1459">
        <v>610</v>
      </c>
      <c r="AR43" s="1459">
        <v>1595</v>
      </c>
      <c r="AS43" s="1459">
        <v>610</v>
      </c>
      <c r="AT43" s="1445">
        <f t="shared" si="24"/>
        <v>0</v>
      </c>
      <c r="AU43" s="1445">
        <f t="shared" si="25"/>
        <v>0</v>
      </c>
      <c r="AV43" s="1445">
        <f t="shared" si="26"/>
        <v>0</v>
      </c>
      <c r="AW43" s="1445">
        <f t="shared" si="27"/>
        <v>0</v>
      </c>
      <c r="AX43" s="1445">
        <f t="shared" si="28"/>
        <v>0</v>
      </c>
      <c r="AY43" s="1445">
        <f t="shared" si="29"/>
        <v>0</v>
      </c>
      <c r="AZ43" s="1445">
        <f t="shared" si="30"/>
        <v>0</v>
      </c>
      <c r="BA43" s="1445">
        <f t="shared" si="31"/>
        <v>0</v>
      </c>
    </row>
    <row r="44" spans="2:53">
      <c r="L44" s="1505"/>
      <c r="M44" s="1505"/>
      <c r="N44" s="1505" t="str">
        <f t="shared" si="17"/>
        <v/>
      </c>
      <c r="O44" s="1506">
        <f t="shared" si="23"/>
        <v>11200</v>
      </c>
      <c r="P44" s="1505"/>
      <c r="Q44" s="1505" t="str">
        <f t="shared" si="18"/>
        <v/>
      </c>
      <c r="R44" s="1506">
        <f t="shared" si="23"/>
        <v>10080</v>
      </c>
      <c r="S44" s="1505"/>
      <c r="T44" s="1505"/>
      <c r="U44" s="1505"/>
      <c r="V44" s="1505"/>
      <c r="W44" s="1505"/>
      <c r="X44" s="1505"/>
      <c r="Y44" s="1505" t="str">
        <f t="shared" si="19"/>
        <v/>
      </c>
      <c r="Z44" s="1506">
        <f t="shared" si="20"/>
        <v>18250</v>
      </c>
      <c r="AA44" s="1506"/>
      <c r="AB44" s="1505" t="str">
        <f t="shared" si="21"/>
        <v/>
      </c>
      <c r="AC44" s="1506">
        <f t="shared" si="22"/>
        <v>17622.5</v>
      </c>
      <c r="AD44" s="1506"/>
      <c r="AE44" s="1505"/>
      <c r="AF44" s="1505"/>
      <c r="AH44" s="1509" t="s">
        <v>276</v>
      </c>
      <c r="AI44" s="1459">
        <v>610</v>
      </c>
      <c r="AJ44" s="1459">
        <v>305</v>
      </c>
      <c r="AK44" s="1459">
        <v>610</v>
      </c>
      <c r="AL44" s="1459"/>
      <c r="AM44" s="1459"/>
      <c r="AN44" s="1459">
        <v>610</v>
      </c>
      <c r="AO44" s="1459"/>
      <c r="AP44" s="1459">
        <v>610</v>
      </c>
      <c r="AQ44" s="1459">
        <v>610</v>
      </c>
      <c r="AR44" s="1459">
        <v>1900</v>
      </c>
      <c r="AS44" s="1459">
        <v>610</v>
      </c>
      <c r="AT44" s="1445">
        <f t="shared" si="24"/>
        <v>0</v>
      </c>
      <c r="AU44" s="1445">
        <f t="shared" si="25"/>
        <v>0</v>
      </c>
      <c r="AV44" s="1445">
        <f t="shared" si="26"/>
        <v>0</v>
      </c>
      <c r="AW44" s="1445">
        <f t="shared" si="27"/>
        <v>0</v>
      </c>
      <c r="AX44" s="1445">
        <f t="shared" si="28"/>
        <v>0</v>
      </c>
      <c r="AY44" s="1445">
        <f t="shared" si="29"/>
        <v>0</v>
      </c>
      <c r="AZ44" s="1445">
        <f t="shared" si="30"/>
        <v>0</v>
      </c>
      <c r="BA44" s="1445">
        <f t="shared" si="31"/>
        <v>0</v>
      </c>
    </row>
    <row r="45" spans="2:53">
      <c r="I45" s="269"/>
      <c r="L45" s="1505"/>
      <c r="M45" s="1505"/>
      <c r="N45" s="1505" t="str">
        <f t="shared" si="17"/>
        <v/>
      </c>
      <c r="O45" s="1506">
        <f t="shared" si="23"/>
        <v>12525</v>
      </c>
      <c r="P45" s="1505"/>
      <c r="Q45" s="1505" t="str">
        <f t="shared" si="18"/>
        <v/>
      </c>
      <c r="R45" s="1506">
        <f t="shared" si="23"/>
        <v>11272.5</v>
      </c>
      <c r="S45" s="1505"/>
      <c r="T45" s="1505"/>
      <c r="U45" s="1505"/>
      <c r="V45" s="1505"/>
      <c r="W45" s="1505"/>
      <c r="X45" s="1505"/>
      <c r="Y45" s="1505" t="str">
        <f t="shared" si="19"/>
        <v/>
      </c>
      <c r="Z45" s="1506">
        <f t="shared" si="20"/>
        <v>20777.777777777777</v>
      </c>
      <c r="AA45" s="1506"/>
      <c r="AB45" s="1505" t="str">
        <f t="shared" si="21"/>
        <v/>
      </c>
      <c r="AC45" s="1506">
        <f t="shared" si="22"/>
        <v>18700</v>
      </c>
      <c r="AD45" s="1506"/>
      <c r="AE45" s="1505"/>
      <c r="AF45" s="1505"/>
      <c r="AH45" s="1509" t="s">
        <v>277</v>
      </c>
      <c r="AI45" s="1459">
        <v>610</v>
      </c>
      <c r="AJ45" s="1459">
        <v>305</v>
      </c>
      <c r="AK45" s="1459">
        <v>610</v>
      </c>
      <c r="AL45" s="1459"/>
      <c r="AM45" s="1459"/>
      <c r="AN45" s="1459">
        <v>610</v>
      </c>
      <c r="AO45" s="1459"/>
      <c r="AP45" s="1459">
        <v>610</v>
      </c>
      <c r="AQ45" s="1459">
        <v>610</v>
      </c>
      <c r="AR45" s="1459">
        <v>1900</v>
      </c>
      <c r="AS45" s="1459">
        <v>610</v>
      </c>
      <c r="AT45" s="1445">
        <f t="shared" si="24"/>
        <v>0</v>
      </c>
      <c r="AU45" s="1445">
        <f t="shared" si="25"/>
        <v>0</v>
      </c>
      <c r="AV45" s="1445">
        <f t="shared" si="26"/>
        <v>0</v>
      </c>
      <c r="AW45" s="1445">
        <f t="shared" si="27"/>
        <v>0</v>
      </c>
      <c r="AX45" s="1445">
        <f t="shared" si="28"/>
        <v>0</v>
      </c>
      <c r="AY45" s="1445">
        <f t="shared" si="29"/>
        <v>0</v>
      </c>
      <c r="AZ45" s="1445">
        <f t="shared" si="30"/>
        <v>0</v>
      </c>
      <c r="BA45" s="1445">
        <f t="shared" si="31"/>
        <v>0</v>
      </c>
    </row>
    <row r="46" spans="2:53">
      <c r="L46" s="1505"/>
      <c r="M46" s="1505"/>
      <c r="N46" s="1505" t="str">
        <f t="shared" si="17"/>
        <v/>
      </c>
      <c r="O46" s="1506">
        <f t="shared" si="23"/>
        <v>14800</v>
      </c>
      <c r="P46" s="1505"/>
      <c r="Q46" s="1505" t="str">
        <f t="shared" si="18"/>
        <v/>
      </c>
      <c r="R46" s="1506">
        <f t="shared" si="23"/>
        <v>13320</v>
      </c>
      <c r="S46" s="1505"/>
      <c r="T46" s="1505"/>
      <c r="U46" s="1505"/>
      <c r="V46" s="1505"/>
      <c r="W46" s="1505"/>
      <c r="X46" s="1505"/>
      <c r="Y46" s="1505" t="str">
        <f t="shared" si="19"/>
        <v/>
      </c>
      <c r="Z46" s="1506">
        <f t="shared" si="20"/>
        <v>24777.777777777777</v>
      </c>
      <c r="AA46" s="1506"/>
      <c r="AB46" s="1505" t="str">
        <f t="shared" si="21"/>
        <v/>
      </c>
      <c r="AC46" s="1506">
        <f t="shared" si="22"/>
        <v>22300</v>
      </c>
      <c r="AD46" s="1506"/>
      <c r="AE46" s="1505"/>
      <c r="AF46" s="1505"/>
      <c r="AH46" s="1509" t="s">
        <v>287</v>
      </c>
      <c r="AI46" s="1459">
        <v>610</v>
      </c>
      <c r="AJ46" s="1459">
        <v>305</v>
      </c>
      <c r="AK46" s="1459">
        <v>610</v>
      </c>
      <c r="AL46" s="1459"/>
      <c r="AM46" s="1459"/>
      <c r="AN46" s="1459">
        <v>915</v>
      </c>
      <c r="AO46" s="1459"/>
      <c r="AP46" s="1459">
        <v>915</v>
      </c>
      <c r="AQ46" s="1459">
        <v>915</v>
      </c>
      <c r="AR46" s="1459">
        <v>1900</v>
      </c>
      <c r="AS46" s="1459">
        <v>610</v>
      </c>
      <c r="AT46" s="1445">
        <f t="shared" si="24"/>
        <v>0</v>
      </c>
      <c r="AU46" s="1445">
        <f t="shared" si="25"/>
        <v>0</v>
      </c>
      <c r="AV46" s="1445">
        <f t="shared" si="26"/>
        <v>0</v>
      </c>
      <c r="AW46" s="1445">
        <f t="shared" si="27"/>
        <v>0</v>
      </c>
      <c r="AX46" s="1445">
        <f t="shared" si="28"/>
        <v>0</v>
      </c>
      <c r="AY46" s="1445">
        <f t="shared" si="29"/>
        <v>0</v>
      </c>
      <c r="AZ46" s="1445">
        <f t="shared" si="30"/>
        <v>0</v>
      </c>
      <c r="BA46" s="1445">
        <f t="shared" si="31"/>
        <v>0</v>
      </c>
    </row>
    <row r="47" spans="2:53">
      <c r="I47" s="269"/>
      <c r="L47" s="1505"/>
      <c r="M47" s="1505"/>
      <c r="N47" s="1505" t="str">
        <f t="shared" si="17"/>
        <v/>
      </c>
      <c r="O47" s="1506">
        <f t="shared" si="23"/>
        <v>16375</v>
      </c>
      <c r="P47" s="1505"/>
      <c r="Q47" s="1505" t="str">
        <f t="shared" si="18"/>
        <v/>
      </c>
      <c r="R47" s="1506">
        <f t="shared" si="23"/>
        <v>14737.5</v>
      </c>
      <c r="S47" s="1505"/>
      <c r="T47" s="1505"/>
      <c r="U47" s="1505"/>
      <c r="V47" s="1505"/>
      <c r="W47" s="1505"/>
      <c r="X47" s="1505"/>
      <c r="Y47" s="1505" t="str">
        <f t="shared" si="19"/>
        <v/>
      </c>
      <c r="Z47" s="1506">
        <f t="shared" si="20"/>
        <v>28900</v>
      </c>
      <c r="AA47" s="1506"/>
      <c r="AB47" s="1505" t="str">
        <f t="shared" si="21"/>
        <v/>
      </c>
      <c r="AC47" s="1506">
        <f t="shared" si="22"/>
        <v>26010</v>
      </c>
      <c r="AD47" s="1506"/>
      <c r="AE47" s="1505"/>
      <c r="AF47" s="1505"/>
      <c r="AH47" s="1509" t="s">
        <v>278</v>
      </c>
      <c r="AI47" s="1459">
        <v>915</v>
      </c>
      <c r="AJ47" s="1459">
        <v>305</v>
      </c>
      <c r="AK47" s="1459">
        <v>610</v>
      </c>
      <c r="AL47" s="1459"/>
      <c r="AM47" s="1459"/>
      <c r="AN47" s="1459">
        <v>915</v>
      </c>
      <c r="AO47" s="1459"/>
      <c r="AP47" s="1459">
        <v>915</v>
      </c>
      <c r="AQ47" s="1459">
        <v>915</v>
      </c>
      <c r="AR47" s="1459">
        <v>2205</v>
      </c>
      <c r="AS47" s="1459">
        <v>610</v>
      </c>
      <c r="AT47" s="1445">
        <f t="shared" si="24"/>
        <v>0</v>
      </c>
      <c r="AU47" s="1445">
        <f t="shared" si="25"/>
        <v>0</v>
      </c>
      <c r="AV47" s="1445">
        <f t="shared" si="26"/>
        <v>0</v>
      </c>
      <c r="AW47" s="1445">
        <f t="shared" si="27"/>
        <v>0</v>
      </c>
      <c r="AX47" s="1445">
        <f t="shared" si="28"/>
        <v>0</v>
      </c>
      <c r="AY47" s="1445">
        <f t="shared" si="29"/>
        <v>0</v>
      </c>
      <c r="AZ47" s="1445">
        <f t="shared" si="30"/>
        <v>0</v>
      </c>
      <c r="BA47" s="1445">
        <f t="shared" si="31"/>
        <v>0</v>
      </c>
    </row>
    <row r="48" spans="2:53">
      <c r="F48" s="1443"/>
      <c r="G48" s="1443"/>
      <c r="L48" s="1505"/>
      <c r="M48" s="1505"/>
      <c r="N48" s="1505" t="str">
        <f t="shared" si="17"/>
        <v/>
      </c>
      <c r="O48" s="1506">
        <f t="shared" ref="O48:R52" si="32">O24</f>
        <v>17950</v>
      </c>
      <c r="P48" s="1505"/>
      <c r="Q48" s="1505" t="str">
        <f t="shared" si="18"/>
        <v/>
      </c>
      <c r="R48" s="1506">
        <f t="shared" si="32"/>
        <v>16155</v>
      </c>
      <c r="S48" s="1505"/>
      <c r="T48" s="1505"/>
      <c r="U48" s="1505"/>
      <c r="V48" s="1505"/>
      <c r="W48" s="1505"/>
      <c r="X48" s="1505"/>
      <c r="Y48" s="1505" t="str">
        <f t="shared" si="19"/>
        <v/>
      </c>
      <c r="Z48" s="1506">
        <f t="shared" si="20"/>
        <v>34600</v>
      </c>
      <c r="AA48" s="1506"/>
      <c r="AB48" s="1505" t="str">
        <f t="shared" si="21"/>
        <v/>
      </c>
      <c r="AC48" s="1506">
        <f t="shared" si="22"/>
        <v>31140</v>
      </c>
      <c r="AD48" s="1506"/>
      <c r="AE48" s="1505"/>
      <c r="AF48" s="1505"/>
      <c r="AH48" s="1509" t="s">
        <v>279</v>
      </c>
      <c r="AI48" s="1459">
        <v>915</v>
      </c>
      <c r="AJ48" s="1459">
        <v>305</v>
      </c>
      <c r="AK48" s="1459">
        <v>610</v>
      </c>
      <c r="AL48" s="1459"/>
      <c r="AM48" s="1459"/>
      <c r="AN48" s="1459">
        <v>915</v>
      </c>
      <c r="AO48" s="1459"/>
      <c r="AP48" s="1459">
        <v>915</v>
      </c>
      <c r="AQ48" s="1459">
        <v>915</v>
      </c>
      <c r="AR48" s="1459">
        <v>2205</v>
      </c>
      <c r="AS48" s="1459">
        <v>610</v>
      </c>
      <c r="AT48" s="1445">
        <f t="shared" si="24"/>
        <v>0</v>
      </c>
      <c r="AU48" s="1445">
        <f t="shared" si="25"/>
        <v>0</v>
      </c>
      <c r="AV48" s="1445">
        <f t="shared" si="26"/>
        <v>0</v>
      </c>
      <c r="AW48" s="1445">
        <f t="shared" si="27"/>
        <v>0</v>
      </c>
      <c r="AX48" s="1445">
        <f t="shared" si="28"/>
        <v>0</v>
      </c>
      <c r="AY48" s="1445">
        <f t="shared" si="29"/>
        <v>0</v>
      </c>
      <c r="AZ48" s="1445">
        <f t="shared" si="30"/>
        <v>0</v>
      </c>
      <c r="BA48" s="1445">
        <f t="shared" si="31"/>
        <v>0</v>
      </c>
    </row>
    <row r="49" spans="6:86">
      <c r="F49" s="1443"/>
      <c r="G49" s="1443"/>
      <c r="I49" s="269"/>
      <c r="L49" s="1505"/>
      <c r="M49" s="1505"/>
      <c r="N49" s="1505" t="str">
        <f t="shared" si="17"/>
        <v/>
      </c>
      <c r="O49" s="1506">
        <f t="shared" si="32"/>
        <v>19525</v>
      </c>
      <c r="P49" s="1505"/>
      <c r="Q49" s="1505" t="str">
        <f t="shared" si="18"/>
        <v/>
      </c>
      <c r="R49" s="1506">
        <f t="shared" si="32"/>
        <v>17572.5</v>
      </c>
      <c r="S49" s="1505"/>
      <c r="T49" s="1505"/>
      <c r="U49" s="1505"/>
      <c r="V49" s="1505"/>
      <c r="W49" s="1505"/>
      <c r="X49" s="1505"/>
      <c r="Y49" s="1505" t="str">
        <f t="shared" si="19"/>
        <v/>
      </c>
      <c r="Z49" s="1506">
        <f t="shared" si="20"/>
        <v>38700</v>
      </c>
      <c r="AA49" s="1506"/>
      <c r="AB49" s="1505" t="str">
        <f t="shared" si="21"/>
        <v/>
      </c>
      <c r="AC49" s="1506">
        <f t="shared" si="22"/>
        <v>34830</v>
      </c>
      <c r="AD49" s="1506"/>
      <c r="AE49" s="1505"/>
      <c r="AF49" s="1505"/>
      <c r="AH49" s="1509" t="s">
        <v>280</v>
      </c>
      <c r="AI49" s="1459">
        <v>915</v>
      </c>
      <c r="AJ49" s="1459">
        <v>305</v>
      </c>
      <c r="AK49" s="1459">
        <v>610</v>
      </c>
      <c r="AL49" s="1459"/>
      <c r="AM49" s="1459"/>
      <c r="AN49" s="1459">
        <v>915</v>
      </c>
      <c r="AO49" s="1459"/>
      <c r="AP49" s="1459">
        <v>915</v>
      </c>
      <c r="AQ49" s="1459">
        <v>915</v>
      </c>
      <c r="AR49" s="1459">
        <v>2205</v>
      </c>
      <c r="AS49" s="1459">
        <v>610</v>
      </c>
      <c r="AT49" s="1445">
        <f t="shared" si="24"/>
        <v>0</v>
      </c>
      <c r="AU49" s="1445">
        <f t="shared" si="25"/>
        <v>0</v>
      </c>
      <c r="AV49" s="1445">
        <f t="shared" si="26"/>
        <v>0</v>
      </c>
      <c r="AW49" s="1445">
        <f t="shared" si="27"/>
        <v>0</v>
      </c>
      <c r="AX49" s="1445">
        <f t="shared" si="28"/>
        <v>0</v>
      </c>
      <c r="AY49" s="1445">
        <f t="shared" si="29"/>
        <v>0</v>
      </c>
      <c r="AZ49" s="1445">
        <f t="shared" si="30"/>
        <v>0</v>
      </c>
      <c r="BA49" s="1445">
        <f t="shared" si="31"/>
        <v>0</v>
      </c>
    </row>
    <row r="50" spans="6:86">
      <c r="F50" s="1443"/>
      <c r="G50" s="1443"/>
      <c r="L50" s="1505"/>
      <c r="M50" s="1505"/>
      <c r="N50" s="1505" t="str">
        <f t="shared" si="17"/>
        <v/>
      </c>
      <c r="O50" s="1506">
        <f t="shared" si="32"/>
        <v>21100</v>
      </c>
      <c r="P50" s="1505"/>
      <c r="Q50" s="1505" t="str">
        <f t="shared" si="18"/>
        <v/>
      </c>
      <c r="R50" s="1506">
        <f t="shared" si="32"/>
        <v>18990</v>
      </c>
      <c r="S50" s="1505"/>
      <c r="T50" s="1505"/>
      <c r="U50" s="1505"/>
      <c r="V50" s="1505"/>
      <c r="W50" s="1505"/>
      <c r="X50" s="1505"/>
      <c r="Y50" s="1505" t="str">
        <f t="shared" si="19"/>
        <v/>
      </c>
      <c r="Z50" s="1506">
        <f t="shared" si="20"/>
        <v>42150</v>
      </c>
      <c r="AA50" s="1506"/>
      <c r="AB50" s="1505" t="str">
        <f t="shared" si="21"/>
        <v/>
      </c>
      <c r="AC50" s="1506">
        <f t="shared" si="22"/>
        <v>37935</v>
      </c>
      <c r="AD50" s="1506"/>
      <c r="AE50" s="1505"/>
      <c r="AF50" s="1505"/>
      <c r="AH50" s="1509" t="s">
        <v>281</v>
      </c>
      <c r="AI50" s="1459">
        <v>915</v>
      </c>
      <c r="AJ50" s="1459">
        <v>305</v>
      </c>
      <c r="AK50" s="1459">
        <v>610</v>
      </c>
      <c r="AL50" s="1459"/>
      <c r="AM50" s="1459"/>
      <c r="AN50" s="1459">
        <v>915</v>
      </c>
      <c r="AO50" s="1459"/>
      <c r="AP50" s="1459">
        <v>915</v>
      </c>
      <c r="AQ50" s="1459">
        <v>915</v>
      </c>
      <c r="AR50" s="1459">
        <v>2205</v>
      </c>
      <c r="AS50" s="1459">
        <v>610</v>
      </c>
      <c r="AT50" s="1445">
        <f t="shared" si="24"/>
        <v>0</v>
      </c>
      <c r="AU50" s="1445">
        <f t="shared" si="25"/>
        <v>0</v>
      </c>
      <c r="AV50" s="1445">
        <f t="shared" si="26"/>
        <v>0</v>
      </c>
      <c r="AW50" s="1445">
        <f t="shared" si="27"/>
        <v>0</v>
      </c>
      <c r="AX50" s="1445">
        <f t="shared" si="28"/>
        <v>0</v>
      </c>
      <c r="AY50" s="1445">
        <f t="shared" si="29"/>
        <v>0</v>
      </c>
      <c r="AZ50" s="1445">
        <f t="shared" si="30"/>
        <v>0</v>
      </c>
      <c r="BA50" s="1445">
        <f t="shared" si="31"/>
        <v>0</v>
      </c>
    </row>
    <row r="51" spans="6:86">
      <c r="F51" s="1443"/>
      <c r="G51" s="1443"/>
      <c r="L51" s="1505"/>
      <c r="M51" s="1505"/>
      <c r="N51" s="1505" t="str">
        <f t="shared" si="17"/>
        <v/>
      </c>
      <c r="O51" s="1506">
        <f t="shared" si="32"/>
        <v>22675</v>
      </c>
      <c r="P51" s="1505"/>
      <c r="Q51" s="1505" t="str">
        <f t="shared" si="18"/>
        <v/>
      </c>
      <c r="R51" s="1506">
        <f t="shared" si="32"/>
        <v>20407.5</v>
      </c>
      <c r="S51" s="1505"/>
      <c r="T51" s="1505"/>
      <c r="U51" s="1505"/>
      <c r="V51" s="1505"/>
      <c r="W51" s="1505"/>
      <c r="X51" s="1505"/>
      <c r="Y51" s="1505" t="str">
        <f t="shared" si="19"/>
        <v/>
      </c>
      <c r="Z51" s="1506">
        <f t="shared" si="20"/>
        <v>47800</v>
      </c>
      <c r="AA51" s="1506"/>
      <c r="AB51" s="1505" t="str">
        <f t="shared" si="21"/>
        <v/>
      </c>
      <c r="AC51" s="1506">
        <f t="shared" si="22"/>
        <v>43000</v>
      </c>
      <c r="AD51" s="1506"/>
      <c r="AE51" s="1505"/>
      <c r="AF51" s="1505"/>
      <c r="AH51" s="1509" t="s">
        <v>282</v>
      </c>
      <c r="AI51" s="1459">
        <v>915</v>
      </c>
      <c r="AJ51" s="1459">
        <v>305</v>
      </c>
      <c r="AK51" s="1459">
        <v>610</v>
      </c>
      <c r="AL51" s="1459"/>
      <c r="AM51" s="1459"/>
      <c r="AN51" s="1459">
        <v>915</v>
      </c>
      <c r="AO51" s="1459"/>
      <c r="AP51" s="1459">
        <v>915</v>
      </c>
      <c r="AQ51" s="1459">
        <v>915</v>
      </c>
      <c r="AR51" s="1459">
        <v>2205</v>
      </c>
      <c r="AS51" s="1459">
        <v>610</v>
      </c>
      <c r="AT51" s="1445">
        <f t="shared" si="24"/>
        <v>0</v>
      </c>
      <c r="AU51" s="1445">
        <f t="shared" si="25"/>
        <v>0</v>
      </c>
      <c r="AV51" s="1445">
        <f t="shared" si="26"/>
        <v>0</v>
      </c>
      <c r="AW51" s="1445">
        <f t="shared" si="27"/>
        <v>0</v>
      </c>
      <c r="AX51" s="1445">
        <f t="shared" si="28"/>
        <v>0</v>
      </c>
      <c r="AY51" s="1445">
        <f t="shared" si="29"/>
        <v>0</v>
      </c>
      <c r="AZ51" s="1445">
        <f t="shared" si="30"/>
        <v>0</v>
      </c>
      <c r="BA51" s="1445">
        <f t="shared" si="31"/>
        <v>0</v>
      </c>
    </row>
    <row r="52" spans="6:86">
      <c r="F52" s="1443"/>
      <c r="G52" s="1443"/>
      <c r="L52" s="1505"/>
      <c r="M52" s="1505"/>
      <c r="N52" s="1505" t="str">
        <f t="shared" si="17"/>
        <v/>
      </c>
      <c r="O52" s="1506">
        <f t="shared" si="32"/>
        <v>24250</v>
      </c>
      <c r="P52" s="1505"/>
      <c r="Q52" s="1505" t="str">
        <f t="shared" si="18"/>
        <v/>
      </c>
      <c r="R52" s="1506">
        <f t="shared" si="32"/>
        <v>21825</v>
      </c>
      <c r="S52" s="1505"/>
      <c r="T52" s="1505"/>
      <c r="U52" s="1505"/>
      <c r="V52" s="1505"/>
      <c r="W52" s="1505"/>
      <c r="X52" s="1505"/>
      <c r="Y52" s="1505" t="str">
        <f t="shared" si="19"/>
        <v/>
      </c>
      <c r="Z52" s="1506">
        <f t="shared" si="20"/>
        <v>57000</v>
      </c>
      <c r="AA52" s="1506"/>
      <c r="AB52" s="1505" t="str">
        <f t="shared" si="21"/>
        <v/>
      </c>
      <c r="AC52" s="1506">
        <f t="shared" si="22"/>
        <v>51000</v>
      </c>
      <c r="AD52" s="1506"/>
      <c r="AE52" s="1505"/>
      <c r="AF52" s="1505"/>
      <c r="AH52" s="1509" t="s">
        <v>283</v>
      </c>
      <c r="AI52" s="1459">
        <v>915</v>
      </c>
      <c r="AJ52" s="1459">
        <v>305</v>
      </c>
      <c r="AK52" s="1459">
        <v>610</v>
      </c>
      <c r="AL52" s="1459"/>
      <c r="AM52" s="1459"/>
      <c r="AN52" s="1459">
        <v>915</v>
      </c>
      <c r="AO52" s="1459"/>
      <c r="AP52" s="1459">
        <v>915</v>
      </c>
      <c r="AQ52" s="1459">
        <v>915</v>
      </c>
      <c r="AR52" s="1459">
        <v>2510</v>
      </c>
      <c r="AS52" s="1459">
        <v>610</v>
      </c>
      <c r="AT52" s="1445">
        <f t="shared" si="24"/>
        <v>0</v>
      </c>
      <c r="AU52" s="1445">
        <f t="shared" si="25"/>
        <v>0</v>
      </c>
      <c r="AV52" s="1445">
        <f t="shared" si="26"/>
        <v>0</v>
      </c>
      <c r="AW52" s="1445">
        <f t="shared" si="27"/>
        <v>0</v>
      </c>
      <c r="AX52" s="1445">
        <f t="shared" si="28"/>
        <v>0</v>
      </c>
      <c r="AY52" s="1445">
        <f t="shared" si="29"/>
        <v>0</v>
      </c>
      <c r="AZ52" s="1445">
        <f t="shared" si="30"/>
        <v>0</v>
      </c>
      <c r="BA52" s="1445">
        <f t="shared" si="31"/>
        <v>0</v>
      </c>
    </row>
    <row r="53" spans="6:86">
      <c r="F53" s="1443"/>
      <c r="G53" s="1443"/>
      <c r="L53" s="1505"/>
      <c r="M53" s="1505"/>
      <c r="N53" s="1505"/>
      <c r="O53" s="1505"/>
      <c r="P53" s="1505"/>
      <c r="Q53" s="1505"/>
      <c r="R53" s="1505"/>
      <c r="S53" s="1505"/>
      <c r="T53" s="1505"/>
      <c r="U53" s="1505"/>
      <c r="V53" s="1505"/>
      <c r="W53" s="1505"/>
      <c r="X53" s="1505"/>
      <c r="Y53" s="1505"/>
      <c r="Z53" s="1505"/>
      <c r="AA53" s="1505"/>
      <c r="AB53" s="1505"/>
      <c r="AC53" s="1505"/>
      <c r="AD53" s="1505"/>
      <c r="AE53" s="1505"/>
      <c r="AF53" s="1505"/>
      <c r="AH53" s="1509" t="s">
        <v>284</v>
      </c>
      <c r="AI53" s="1459">
        <v>915</v>
      </c>
      <c r="AJ53" s="1459">
        <v>305</v>
      </c>
      <c r="AK53" s="1459">
        <v>610</v>
      </c>
      <c r="AL53" s="1459"/>
      <c r="AM53" s="1459"/>
      <c r="AN53" s="1459">
        <v>915</v>
      </c>
      <c r="AO53" s="1459"/>
      <c r="AP53" s="1459">
        <v>915</v>
      </c>
      <c r="AQ53" s="1459">
        <v>915</v>
      </c>
      <c r="AR53" s="1459">
        <v>2510</v>
      </c>
      <c r="AS53" s="1459">
        <v>610</v>
      </c>
      <c r="AT53" s="1445">
        <f t="shared" si="24"/>
        <v>0</v>
      </c>
      <c r="AU53" s="1445">
        <f t="shared" si="25"/>
        <v>0</v>
      </c>
      <c r="AV53" s="1445">
        <f t="shared" si="26"/>
        <v>0</v>
      </c>
      <c r="AW53" s="1445">
        <f t="shared" si="27"/>
        <v>0</v>
      </c>
      <c r="AX53" s="1445">
        <f t="shared" si="28"/>
        <v>0</v>
      </c>
      <c r="AY53" s="1445">
        <f t="shared" si="29"/>
        <v>0</v>
      </c>
      <c r="AZ53" s="1445">
        <f t="shared" si="30"/>
        <v>0</v>
      </c>
      <c r="BA53" s="1445">
        <f t="shared" si="31"/>
        <v>0</v>
      </c>
    </row>
    <row r="54" spans="6:86" ht="13">
      <c r="F54" s="1443"/>
      <c r="G54" s="1443"/>
      <c r="L54" s="1505"/>
      <c r="M54" s="1505"/>
      <c r="N54" s="1510">
        <f>MIN(N31:N52)</f>
        <v>0</v>
      </c>
      <c r="O54" s="1505"/>
      <c r="P54" s="1505"/>
      <c r="Q54" s="1510">
        <f>MIN(Q31:Q52)</f>
        <v>0</v>
      </c>
      <c r="R54" s="1505"/>
      <c r="S54" s="1505"/>
      <c r="T54" s="1505"/>
      <c r="U54" s="1505"/>
      <c r="V54" s="1505"/>
      <c r="W54" s="1505"/>
      <c r="X54" s="1505"/>
      <c r="Y54" s="1510">
        <f>MIN(Y31:Y52)</f>
        <v>0</v>
      </c>
      <c r="Z54" s="1505"/>
      <c r="AA54" s="1505"/>
      <c r="AB54" s="1510">
        <f>MIN(AB31:AB52)</f>
        <v>0</v>
      </c>
      <c r="AC54" s="1505"/>
      <c r="AD54" s="1505"/>
      <c r="AE54" s="1505"/>
      <c r="AF54" s="1505"/>
      <c r="AH54" s="1509" t="s">
        <v>285</v>
      </c>
      <c r="AI54" s="1459">
        <v>915</v>
      </c>
      <c r="AJ54" s="1459">
        <v>305</v>
      </c>
      <c r="AK54" s="1459">
        <v>610</v>
      </c>
      <c r="AL54" s="1459"/>
      <c r="AM54" s="1459"/>
      <c r="AN54" s="1459">
        <v>915</v>
      </c>
      <c r="AO54" s="1459"/>
      <c r="AP54" s="1459">
        <v>915</v>
      </c>
      <c r="AQ54" s="1459">
        <v>915</v>
      </c>
      <c r="AR54" s="1459">
        <v>2510</v>
      </c>
      <c r="AS54" s="1459">
        <v>610</v>
      </c>
      <c r="AT54" s="1445">
        <f t="shared" si="24"/>
        <v>0</v>
      </c>
      <c r="AU54" s="1445">
        <f t="shared" si="25"/>
        <v>0</v>
      </c>
      <c r="AV54" s="1445">
        <f t="shared" si="26"/>
        <v>0</v>
      </c>
      <c r="AW54" s="1445">
        <f t="shared" si="27"/>
        <v>0</v>
      </c>
      <c r="AX54" s="1445">
        <f t="shared" si="28"/>
        <v>0</v>
      </c>
      <c r="AY54" s="1445">
        <f t="shared" si="29"/>
        <v>0</v>
      </c>
      <c r="AZ54" s="1445">
        <f t="shared" si="30"/>
        <v>0</v>
      </c>
      <c r="BA54" s="1445">
        <f t="shared" si="31"/>
        <v>0</v>
      </c>
    </row>
    <row r="55" spans="6:86">
      <c r="F55" s="1443"/>
      <c r="G55" s="1443"/>
      <c r="L55" s="1505"/>
      <c r="M55" s="1505"/>
      <c r="N55" s="1505"/>
      <c r="O55" s="1505"/>
      <c r="P55" s="1505"/>
      <c r="Q55" s="1505"/>
      <c r="R55" s="1505"/>
      <c r="S55" s="1505"/>
      <c r="T55" s="1505"/>
      <c r="U55" s="1505"/>
      <c r="V55" s="1505"/>
      <c r="W55" s="1505"/>
      <c r="X55" s="1505"/>
      <c r="Y55" s="1505"/>
      <c r="Z55" s="1505"/>
      <c r="AA55" s="1505"/>
      <c r="AB55" s="1505"/>
      <c r="AC55" s="1505"/>
      <c r="AD55" s="1505"/>
      <c r="AE55" s="1505"/>
      <c r="AF55" s="1505"/>
      <c r="AH55" s="1509" t="s">
        <v>286</v>
      </c>
      <c r="AI55" s="1459">
        <v>915</v>
      </c>
      <c r="AJ55" s="1459">
        <v>305</v>
      </c>
      <c r="AK55" s="1459">
        <v>610</v>
      </c>
      <c r="AL55" s="1459"/>
      <c r="AM55" s="1459"/>
      <c r="AN55" s="1459">
        <v>915</v>
      </c>
      <c r="AO55" s="1459"/>
      <c r="AP55" s="1459">
        <v>915</v>
      </c>
      <c r="AQ55" s="1459">
        <v>915</v>
      </c>
      <c r="AR55" s="1459">
        <v>2510</v>
      </c>
      <c r="AS55" s="1459">
        <v>610</v>
      </c>
      <c r="AT55" s="1445">
        <f t="shared" si="24"/>
        <v>0</v>
      </c>
      <c r="AU55" s="1445">
        <f t="shared" si="25"/>
        <v>0</v>
      </c>
      <c r="AV55" s="1445">
        <f t="shared" si="26"/>
        <v>0</v>
      </c>
      <c r="AW55" s="1445">
        <f t="shared" si="27"/>
        <v>0</v>
      </c>
      <c r="AX55" s="1445">
        <f t="shared" si="28"/>
        <v>0</v>
      </c>
      <c r="AY55" s="1445">
        <f t="shared" si="29"/>
        <v>0</v>
      </c>
      <c r="AZ55" s="1445">
        <f t="shared" si="30"/>
        <v>0</v>
      </c>
      <c r="BA55" s="1445">
        <f t="shared" si="31"/>
        <v>0</v>
      </c>
    </row>
    <row r="56" spans="6:86">
      <c r="F56" s="1443"/>
      <c r="G56" s="1443"/>
      <c r="AH56" s="1509" t="s">
        <v>288</v>
      </c>
      <c r="AI56" s="1459">
        <v>915</v>
      </c>
      <c r="AJ56" s="1459">
        <v>305</v>
      </c>
      <c r="AK56" s="1459">
        <v>610</v>
      </c>
      <c r="AL56" s="1459"/>
      <c r="AM56" s="1459"/>
      <c r="AN56" s="1459">
        <v>915</v>
      </c>
      <c r="AO56" s="1459"/>
      <c r="AP56" s="1459">
        <v>915</v>
      </c>
      <c r="AQ56" s="1459">
        <v>915</v>
      </c>
      <c r="AR56" s="1459">
        <v>2510</v>
      </c>
      <c r="AS56" s="1459">
        <v>610</v>
      </c>
      <c r="AT56" s="1445">
        <f>IF($AI$3=TRUE,AI56,0)</f>
        <v>0</v>
      </c>
      <c r="AU56" s="1445">
        <f>IF($AJ$3=TRUE,AJ56,0)</f>
        <v>0</v>
      </c>
      <c r="AV56" s="1445">
        <f>IF($AK$3=TRUE,AK56,0)</f>
        <v>0</v>
      </c>
      <c r="AW56" s="1445">
        <f>IF($AL$3=TRUE,AN56,0)</f>
        <v>0</v>
      </c>
      <c r="AX56" s="1445">
        <f>IF($AP$3=TRUE,AP56,0)</f>
        <v>0</v>
      </c>
      <c r="AY56" s="1445">
        <f>IF($AQ$3=TRUE,AQ56,0)</f>
        <v>0</v>
      </c>
      <c r="AZ56" s="1445">
        <f>IF($AR$3=TRUE,AR56,0)</f>
        <v>0</v>
      </c>
      <c r="BA56" s="1445">
        <f>IF($AS$3=TRUE,AS56,0)</f>
        <v>0</v>
      </c>
    </row>
    <row r="57" spans="6:86">
      <c r="F57" s="1443"/>
      <c r="G57" s="1443"/>
      <c r="AK57" s="290" t="s">
        <v>1384</v>
      </c>
      <c r="AL57" s="290" t="s">
        <v>1385</v>
      </c>
      <c r="AM57" s="290" t="s">
        <v>1386</v>
      </c>
      <c r="AN57" s="290" t="s">
        <v>1629</v>
      </c>
    </row>
    <row r="58" spans="6:86">
      <c r="F58" s="1443"/>
      <c r="G58" s="1443"/>
      <c r="AK58" s="269">
        <f>IF(F22=J22,E22,0)</f>
        <v>0</v>
      </c>
      <c r="AL58" s="269">
        <f>AK58/(10.7*3.516)</f>
        <v>0</v>
      </c>
      <c r="AM58" s="269">
        <f>IF(AK58&gt;0,1/AL58*1000,0)</f>
        <v>0</v>
      </c>
      <c r="AN58" s="290">
        <f t="shared" ref="AN58:AN59" si="33">AM58*0.413845619</f>
        <v>0</v>
      </c>
    </row>
    <row r="59" spans="6:86">
      <c r="F59" s="1443"/>
      <c r="G59" s="1443"/>
      <c r="AK59" s="269">
        <f>AL59*(10.7*3.516)</f>
        <v>0</v>
      </c>
      <c r="AL59" s="269">
        <f>IF(F22=J24,E22,0)</f>
        <v>0</v>
      </c>
      <c r="AM59" s="269">
        <f>IF(AL59&gt;0,1/AL59*1000,0)</f>
        <v>0</v>
      </c>
      <c r="AN59" s="290">
        <f t="shared" si="33"/>
        <v>0</v>
      </c>
    </row>
    <row r="60" spans="6:86">
      <c r="F60" s="1443"/>
      <c r="G60" s="1443"/>
      <c r="AK60" s="269">
        <f>AL60/(1/(10.7*3.516))</f>
        <v>0</v>
      </c>
      <c r="AL60" s="269">
        <f>IF(AM60&gt;0,1000/AM60,0)</f>
        <v>0</v>
      </c>
      <c r="AM60" s="269">
        <f>IF(F22=J23,E22,0)</f>
        <v>0</v>
      </c>
      <c r="AN60" s="290">
        <f>AM60*0.413845619</f>
        <v>0</v>
      </c>
    </row>
    <row r="61" spans="6:86" ht="27" customHeight="1">
      <c r="N61" s="45"/>
      <c r="O61" s="45"/>
      <c r="P61" s="45"/>
      <c r="Q61" s="45"/>
      <c r="R61" s="45"/>
      <c r="S61" s="45"/>
      <c r="T61" s="1505"/>
      <c r="U61" s="1505"/>
      <c r="V61" s="1505"/>
      <c r="W61" s="1505"/>
      <c r="X61" s="1505"/>
      <c r="Y61" s="1446"/>
      <c r="Z61" s="1446"/>
      <c r="AA61" s="1446"/>
      <c r="AB61" s="1446"/>
      <c r="AC61" s="1446"/>
      <c r="AD61" s="1446"/>
      <c r="AE61" s="1446"/>
      <c r="AF61" s="1446"/>
      <c r="AG61" s="1446"/>
      <c r="AH61" s="1485"/>
      <c r="AI61" s="1485"/>
      <c r="AJ61" s="1485"/>
      <c r="AK61" s="269">
        <f>AL61/(1/(10.7*3.516))</f>
        <v>0</v>
      </c>
      <c r="AL61" s="269">
        <f>IF(AM61&gt;0,1000/AM61,0)</f>
        <v>0</v>
      </c>
      <c r="AM61" s="269">
        <f>AN61/0.413845619</f>
        <v>0</v>
      </c>
      <c r="AN61" s="290">
        <f>IF(F22=J25,E22,0)</f>
        <v>0</v>
      </c>
      <c r="AO61" s="1485"/>
      <c r="AP61" s="1485"/>
      <c r="AQ61" s="1485"/>
      <c r="AR61" s="1485"/>
      <c r="AS61" s="1485"/>
      <c r="AT61" s="1485"/>
      <c r="AU61" s="1485"/>
      <c r="AV61" s="1485"/>
      <c r="AW61" s="1485"/>
      <c r="AX61" s="1485"/>
      <c r="AY61" s="1485"/>
      <c r="AZ61" s="1485"/>
      <c r="BA61" s="1485"/>
      <c r="BF61" s="1443"/>
      <c r="BG61" s="1443"/>
      <c r="BH61" s="1443"/>
      <c r="BI61" s="1443"/>
      <c r="BJ61" s="1443"/>
      <c r="BK61" s="1443"/>
      <c r="BL61" s="1443"/>
      <c r="BM61" s="1443"/>
      <c r="BN61" s="1443"/>
      <c r="BO61" s="1443"/>
      <c r="BP61" s="1443"/>
      <c r="BQ61" s="1443"/>
      <c r="BR61" s="1443"/>
      <c r="BS61" s="1443"/>
      <c r="BT61" s="1443"/>
      <c r="BU61" s="1443"/>
      <c r="BV61" s="1443"/>
      <c r="BW61" s="1443"/>
      <c r="BX61" s="1443"/>
      <c r="BY61" s="1443"/>
      <c r="BZ61" s="1443"/>
      <c r="CA61" s="1443"/>
      <c r="CB61" s="1443"/>
      <c r="CC61" s="1443"/>
      <c r="CD61" s="1443"/>
      <c r="CE61" s="1443"/>
      <c r="CF61" s="1443"/>
      <c r="CG61" s="1443"/>
      <c r="CH61" s="1443"/>
    </row>
    <row r="62" spans="6:86">
      <c r="N62" s="45"/>
      <c r="O62" s="45"/>
      <c r="P62" s="45"/>
      <c r="Q62" s="45"/>
      <c r="R62" s="45"/>
      <c r="S62" s="45"/>
      <c r="T62" s="1505"/>
      <c r="U62" s="1505"/>
      <c r="V62" s="1505"/>
      <c r="W62" s="1505"/>
      <c r="X62" s="1505"/>
      <c r="Y62" s="1446"/>
      <c r="Z62" s="1446"/>
      <c r="AA62" s="1446"/>
      <c r="AB62" s="1446"/>
      <c r="AC62" s="1446"/>
      <c r="AD62" s="1446"/>
      <c r="AE62" s="1446"/>
      <c r="AF62" s="1446"/>
      <c r="AG62" s="1446"/>
      <c r="AH62" s="1485"/>
      <c r="AI62" s="1485"/>
      <c r="AJ62" s="1485"/>
      <c r="AK62" s="1485"/>
      <c r="AL62" s="1485"/>
      <c r="AM62" s="1485"/>
      <c r="AN62" s="1485"/>
      <c r="AO62" s="1485"/>
      <c r="AP62" s="1485"/>
      <c r="AQ62" s="1485"/>
      <c r="AR62" s="1485"/>
      <c r="AS62" s="1485"/>
      <c r="AT62" s="1485"/>
      <c r="AU62" s="1485"/>
      <c r="AV62" s="1485"/>
      <c r="AW62" s="1485"/>
      <c r="AX62" s="1485"/>
      <c r="AY62" s="1485"/>
      <c r="AZ62" s="1485"/>
      <c r="BA62" s="1485"/>
      <c r="BF62" s="1443"/>
      <c r="BG62" s="1443"/>
      <c r="BH62" s="1443"/>
      <c r="BI62" s="1443"/>
      <c r="BJ62" s="1443"/>
      <c r="BK62" s="1443"/>
      <c r="BL62" s="1443"/>
      <c r="BM62" s="1443"/>
      <c r="BN62" s="1443"/>
      <c r="BO62" s="1443"/>
      <c r="BP62" s="1443"/>
      <c r="BQ62" s="1443"/>
      <c r="BR62" s="1443"/>
      <c r="BS62" s="1443"/>
      <c r="BT62" s="1443"/>
      <c r="BU62" s="1443"/>
      <c r="BV62" s="1443"/>
      <c r="BW62" s="1443"/>
      <c r="BX62" s="1443"/>
      <c r="BY62" s="1443"/>
      <c r="BZ62" s="1443"/>
      <c r="CA62" s="1443"/>
      <c r="CB62" s="1443"/>
      <c r="CC62" s="1443"/>
      <c r="CD62" s="1443"/>
      <c r="CE62" s="1443"/>
      <c r="CF62" s="1443"/>
      <c r="CG62" s="1443"/>
      <c r="CH62" s="1443"/>
    </row>
    <row r="63" spans="6:86">
      <c r="N63" s="45"/>
      <c r="O63" s="45"/>
      <c r="P63" s="45"/>
      <c r="Q63" s="45"/>
      <c r="R63" s="45"/>
      <c r="S63" s="45"/>
      <c r="T63" s="1505"/>
      <c r="U63" s="1505"/>
      <c r="V63" s="1505"/>
      <c r="W63" s="1505"/>
      <c r="X63" s="1505"/>
      <c r="Y63" s="1446"/>
      <c r="Z63" s="1446"/>
      <c r="AA63" s="1446"/>
      <c r="AB63" s="1446"/>
      <c r="AC63" s="1446"/>
      <c r="AD63" s="1446"/>
      <c r="AE63" s="1446"/>
      <c r="AF63" s="1446"/>
      <c r="AG63" s="1446"/>
      <c r="AH63" s="1485"/>
      <c r="AI63" s="1485"/>
      <c r="AJ63" s="1485"/>
      <c r="AK63" s="1485"/>
      <c r="AL63" s="1485"/>
      <c r="AM63" s="1485"/>
      <c r="AN63" s="1485"/>
      <c r="AO63" s="1485"/>
      <c r="AP63" s="1485"/>
      <c r="AQ63" s="1485"/>
      <c r="AR63" s="1485"/>
      <c r="AS63" s="1485"/>
      <c r="AT63" s="1485"/>
      <c r="AU63" s="1485"/>
      <c r="AV63" s="1485"/>
      <c r="AW63" s="1485"/>
      <c r="AX63" s="1485"/>
      <c r="AY63" s="1485"/>
      <c r="AZ63" s="1485"/>
      <c r="BA63" s="1485"/>
      <c r="BF63" s="1443"/>
      <c r="BG63" s="1443"/>
      <c r="BH63" s="1443"/>
      <c r="BI63" s="1443"/>
      <c r="BJ63" s="1443"/>
      <c r="BK63" s="1443"/>
      <c r="BL63" s="1443"/>
      <c r="BM63" s="1443"/>
      <c r="BN63" s="1443"/>
      <c r="BO63" s="1443"/>
      <c r="BP63" s="1443"/>
      <c r="BQ63" s="1443"/>
      <c r="BR63" s="1443"/>
      <c r="BS63" s="1443"/>
      <c r="BT63" s="1443"/>
      <c r="BU63" s="1443"/>
      <c r="BV63" s="1443"/>
      <c r="BW63" s="1443"/>
      <c r="BX63" s="1443"/>
      <c r="BY63" s="1443"/>
      <c r="BZ63" s="1443"/>
      <c r="CA63" s="1443"/>
      <c r="CB63" s="1443"/>
      <c r="CC63" s="1443"/>
      <c r="CD63" s="1443"/>
      <c r="CE63" s="1443"/>
      <c r="CF63" s="1443"/>
      <c r="CG63" s="1443"/>
      <c r="CH63" s="1443"/>
    </row>
    <row r="64" spans="6:86" ht="14.5">
      <c r="N64" s="45"/>
      <c r="O64" s="45"/>
      <c r="P64" s="45"/>
      <c r="Q64" s="45"/>
      <c r="R64" s="45"/>
      <c r="S64" s="45"/>
      <c r="T64" s="1505"/>
      <c r="U64" s="1505"/>
      <c r="V64" s="1505"/>
      <c r="W64" s="1505"/>
      <c r="X64" s="1505"/>
      <c r="Y64" s="1446"/>
      <c r="Z64" s="1446"/>
      <c r="AA64" s="1446"/>
      <c r="AB64" s="1446"/>
      <c r="AC64" s="1446"/>
      <c r="AD64" s="1446"/>
      <c r="AE64" s="1446"/>
      <c r="AF64" s="1446"/>
      <c r="AG64" s="1446"/>
      <c r="AH64" s="1485"/>
      <c r="AI64" s="1485"/>
      <c r="AJ64" s="1485"/>
      <c r="AK64" s="768" t="s">
        <v>1345</v>
      </c>
      <c r="AL64" s="254" t="s">
        <v>1977</v>
      </c>
      <c r="AM64" s="1485"/>
      <c r="AN64" s="1485"/>
      <c r="AO64" s="1485"/>
      <c r="AP64" s="1485"/>
      <c r="AQ64" s="1485"/>
      <c r="AR64" s="1485"/>
      <c r="AS64" s="1485"/>
      <c r="AT64" s="1485"/>
      <c r="AU64" s="1485"/>
      <c r="AV64" s="1485"/>
      <c r="AW64" s="1485"/>
      <c r="AX64" s="1485"/>
      <c r="AY64" s="1485"/>
      <c r="AZ64" s="1485"/>
      <c r="BA64" s="1485"/>
      <c r="BF64" s="1443"/>
      <c r="BG64" s="1443"/>
      <c r="BH64" s="1443"/>
      <c r="BI64" s="1443"/>
      <c r="BJ64" s="1443"/>
      <c r="BK64" s="1443"/>
      <c r="BL64" s="1443"/>
      <c r="BM64" s="1443"/>
      <c r="BN64" s="1443"/>
      <c r="BO64" s="1443"/>
      <c r="BP64" s="1443"/>
      <c r="BQ64" s="1443"/>
      <c r="BR64" s="1443"/>
      <c r="BS64" s="1443"/>
      <c r="BT64" s="1443"/>
      <c r="BU64" s="1443"/>
      <c r="BV64" s="1443"/>
      <c r="BW64" s="1443"/>
      <c r="BX64" s="1443"/>
      <c r="BY64" s="1443"/>
      <c r="BZ64" s="1443"/>
      <c r="CA64" s="1443"/>
      <c r="CB64" s="1443"/>
      <c r="CC64" s="1443"/>
      <c r="CD64" s="1443"/>
      <c r="CE64" s="1443"/>
      <c r="CF64" s="1443"/>
      <c r="CG64" s="1443"/>
      <c r="CH64" s="1443"/>
    </row>
    <row r="65" spans="10:86">
      <c r="N65" s="45"/>
      <c r="O65" s="45"/>
      <c r="P65" s="45"/>
      <c r="Q65" s="45"/>
      <c r="R65" s="45"/>
      <c r="S65" s="45"/>
      <c r="T65" s="1505"/>
      <c r="U65" s="1505"/>
      <c r="V65" s="1505"/>
      <c r="W65" s="1505"/>
      <c r="X65" s="1505"/>
      <c r="Y65" s="1446"/>
      <c r="Z65" s="1446"/>
      <c r="AA65" s="1446"/>
      <c r="AB65" s="1446"/>
      <c r="AC65" s="1446"/>
      <c r="AD65" s="1446"/>
      <c r="AE65" s="1446"/>
      <c r="AF65" s="1446"/>
      <c r="AG65" s="1446"/>
      <c r="AH65" s="1485"/>
      <c r="AI65" s="1485"/>
      <c r="AJ65" s="1485"/>
      <c r="AK65" s="1485" t="s">
        <v>1349</v>
      </c>
      <c r="AL65" s="254" t="s">
        <v>599</v>
      </c>
      <c r="AM65" s="1485"/>
      <c r="AN65" s="1485"/>
      <c r="AO65" s="1485"/>
      <c r="AP65" s="1485"/>
      <c r="AQ65" s="1485"/>
      <c r="AR65" s="1485"/>
      <c r="AS65" s="1485"/>
      <c r="AT65" s="1485"/>
      <c r="AU65" s="1485"/>
      <c r="AV65" s="1485"/>
      <c r="AW65" s="1485"/>
      <c r="AX65" s="1485"/>
      <c r="AY65" s="1485"/>
      <c r="AZ65" s="1485"/>
      <c r="BA65" s="1485"/>
      <c r="BF65" s="1443"/>
      <c r="BG65" s="1443"/>
      <c r="BH65" s="1443"/>
      <c r="BI65" s="1443"/>
      <c r="BJ65" s="1443"/>
      <c r="BK65" s="1443"/>
      <c r="BL65" s="1443"/>
      <c r="BM65" s="1443"/>
      <c r="BN65" s="1443"/>
      <c r="BO65" s="1443"/>
      <c r="BP65" s="1443"/>
      <c r="BQ65" s="1443"/>
      <c r="BR65" s="1443"/>
      <c r="BS65" s="1443"/>
      <c r="BT65" s="1443"/>
      <c r="BU65" s="1443"/>
      <c r="BV65" s="1443"/>
      <c r="BW65" s="1443"/>
      <c r="BX65" s="1443"/>
      <c r="BY65" s="1443"/>
      <c r="BZ65" s="1443"/>
      <c r="CA65" s="1443"/>
      <c r="CB65" s="1443"/>
      <c r="CC65" s="1443"/>
      <c r="CD65" s="1443"/>
      <c r="CE65" s="1443"/>
      <c r="CF65" s="1443"/>
      <c r="CG65" s="1443"/>
      <c r="CH65" s="1443"/>
    </row>
    <row r="66" spans="10:86">
      <c r="N66" s="45"/>
      <c r="O66" s="45"/>
      <c r="P66" s="45"/>
      <c r="Q66" s="45"/>
      <c r="R66" s="45"/>
      <c r="S66" s="45"/>
      <c r="T66" s="1505"/>
      <c r="U66" s="1505"/>
      <c r="V66" s="1505"/>
      <c r="W66" s="1505"/>
      <c r="X66" s="1505"/>
      <c r="Y66" s="1446"/>
      <c r="Z66" s="1446"/>
      <c r="AA66" s="1446"/>
      <c r="AB66" s="1446"/>
      <c r="AC66" s="1446"/>
      <c r="AD66" s="1446"/>
      <c r="AE66" s="1446"/>
      <c r="AF66" s="1446"/>
      <c r="AG66" s="1446"/>
      <c r="AH66" s="1485"/>
      <c r="AI66" s="1485"/>
      <c r="AJ66" s="1485"/>
      <c r="AK66" s="1485"/>
      <c r="AL66" s="1485"/>
      <c r="AM66" s="1485"/>
      <c r="AN66" s="1485"/>
      <c r="AO66" s="1485"/>
      <c r="AP66" s="1485"/>
      <c r="AQ66" s="1485"/>
      <c r="AR66" s="1485"/>
      <c r="AS66" s="1485"/>
      <c r="AT66" s="1485"/>
      <c r="AU66" s="1485"/>
      <c r="AV66" s="1485"/>
      <c r="AW66" s="1485"/>
      <c r="AX66" s="1485"/>
      <c r="AY66" s="1485"/>
      <c r="AZ66" s="1485"/>
      <c r="BA66" s="1485"/>
      <c r="BF66" s="1443"/>
      <c r="BG66" s="1443"/>
      <c r="BH66" s="1443"/>
      <c r="BI66" s="1443"/>
      <c r="BJ66" s="1443"/>
      <c r="BK66" s="1443"/>
      <c r="BL66" s="1443"/>
      <c r="BM66" s="1443"/>
      <c r="BN66" s="1443"/>
      <c r="BO66" s="1443"/>
      <c r="BP66" s="1443"/>
      <c r="BQ66" s="1443"/>
      <c r="BR66" s="1443"/>
      <c r="BS66" s="1443"/>
      <c r="BT66" s="1443"/>
      <c r="BU66" s="1443"/>
      <c r="BV66" s="1443"/>
      <c r="BW66" s="1443"/>
      <c r="BX66" s="1443"/>
      <c r="BY66" s="1443"/>
      <c r="BZ66" s="1443"/>
      <c r="CA66" s="1443"/>
      <c r="CB66" s="1443"/>
      <c r="CC66" s="1443"/>
      <c r="CD66" s="1443"/>
      <c r="CE66" s="1443"/>
      <c r="CF66" s="1443"/>
      <c r="CG66" s="1443"/>
      <c r="CH66" s="1443"/>
    </row>
    <row r="67" spans="10:86">
      <c r="N67" s="45"/>
      <c r="O67" s="45"/>
      <c r="P67" s="45"/>
      <c r="Q67" s="45"/>
      <c r="R67" s="45"/>
      <c r="S67" s="45"/>
      <c r="T67" s="1505"/>
      <c r="U67" s="1505"/>
      <c r="V67" s="1505"/>
      <c r="W67" s="1505"/>
      <c r="X67" s="1505"/>
      <c r="Y67" s="1446"/>
      <c r="Z67" s="1446"/>
      <c r="AA67" s="1446"/>
      <c r="AB67" s="1446"/>
      <c r="AC67" s="1446"/>
      <c r="AD67" s="1446"/>
      <c r="AE67" s="1446"/>
      <c r="AF67" s="1446"/>
      <c r="AG67" s="1446"/>
      <c r="AH67" s="1485"/>
      <c r="AI67" s="1485"/>
      <c r="AJ67" s="1485"/>
      <c r="AK67" s="1485"/>
      <c r="AL67" s="1485"/>
      <c r="AM67" s="1485"/>
      <c r="AN67" s="1485"/>
      <c r="AO67" s="1485"/>
      <c r="AP67" s="1485"/>
      <c r="AQ67" s="1485"/>
      <c r="AR67" s="1485"/>
      <c r="AS67" s="1485"/>
      <c r="AT67" s="1485"/>
      <c r="AU67" s="1485"/>
      <c r="AV67" s="1485"/>
      <c r="AW67" s="1485"/>
      <c r="AX67" s="1485"/>
      <c r="AY67" s="1485"/>
      <c r="AZ67" s="1485"/>
      <c r="BA67" s="1485"/>
      <c r="BF67" s="1443"/>
      <c r="BG67" s="1443"/>
      <c r="BH67" s="1443"/>
      <c r="BI67" s="1443"/>
      <c r="BJ67" s="1443"/>
      <c r="BK67" s="1443"/>
      <c r="BL67" s="1443"/>
      <c r="BM67" s="1443"/>
      <c r="BN67" s="1443"/>
      <c r="BO67" s="1443"/>
      <c r="BP67" s="1443"/>
      <c r="BQ67" s="1443"/>
      <c r="BR67" s="1443"/>
      <c r="BS67" s="1443"/>
      <c r="BT67" s="1443"/>
      <c r="BU67" s="1443"/>
      <c r="BV67" s="1443"/>
      <c r="BW67" s="1443"/>
      <c r="BX67" s="1443"/>
      <c r="BY67" s="1443"/>
      <c r="BZ67" s="1443"/>
      <c r="CA67" s="1443"/>
      <c r="CB67" s="1443"/>
      <c r="CC67" s="1443"/>
      <c r="CD67" s="1443"/>
      <c r="CE67" s="1443"/>
      <c r="CF67" s="1443"/>
      <c r="CG67" s="1443"/>
      <c r="CH67" s="1443"/>
    </row>
    <row r="68" spans="10:86">
      <c r="N68" s="45"/>
      <c r="O68" s="45"/>
      <c r="P68" s="45"/>
      <c r="Q68" s="45"/>
      <c r="R68" s="45"/>
      <c r="S68" s="45"/>
      <c r="T68" s="1505"/>
      <c r="U68" s="1505"/>
      <c r="V68" s="1505"/>
      <c r="W68" s="1505"/>
      <c r="X68" s="1505"/>
      <c r="Y68" s="1446"/>
      <c r="Z68" s="1446"/>
      <c r="AA68" s="1446"/>
      <c r="AB68" s="1446"/>
      <c r="AC68" s="1446"/>
      <c r="AD68" s="1446"/>
      <c r="AE68" s="1446"/>
      <c r="AF68" s="1446"/>
      <c r="AG68" s="1446"/>
      <c r="AH68" s="1485"/>
      <c r="AI68" s="1485"/>
      <c r="AJ68" s="1485"/>
      <c r="AK68" s="1485"/>
      <c r="AL68" s="1485"/>
      <c r="AM68" s="1485"/>
      <c r="AN68" s="1485"/>
      <c r="AO68" s="1485"/>
      <c r="AP68" s="1485"/>
      <c r="AQ68" s="1485"/>
      <c r="AR68" s="1485"/>
      <c r="AS68" s="1485"/>
      <c r="AT68" s="1485"/>
      <c r="AU68" s="1485"/>
      <c r="AV68" s="1485"/>
      <c r="AW68" s="1485"/>
      <c r="AX68" s="1485"/>
      <c r="AY68" s="1485"/>
      <c r="AZ68" s="1485"/>
      <c r="BA68" s="1485"/>
      <c r="BF68" s="1443"/>
      <c r="BG68" s="1443"/>
      <c r="BH68" s="1443"/>
      <c r="BI68" s="1443"/>
      <c r="BJ68" s="1443"/>
      <c r="BK68" s="1443"/>
      <c r="BL68" s="1443"/>
      <c r="BM68" s="1443"/>
      <c r="BN68" s="1443"/>
      <c r="BO68" s="1443"/>
      <c r="BP68" s="1443"/>
      <c r="BQ68" s="1443"/>
      <c r="BR68" s="1443"/>
      <c r="BS68" s="1443"/>
      <c r="BT68" s="1443"/>
      <c r="BU68" s="1443"/>
      <c r="BV68" s="1443"/>
      <c r="BW68" s="1443"/>
      <c r="BX68" s="1443"/>
      <c r="BY68" s="1443"/>
      <c r="BZ68" s="1443"/>
      <c r="CA68" s="1443"/>
      <c r="CB68" s="1443"/>
      <c r="CC68" s="1443"/>
      <c r="CD68" s="1443"/>
      <c r="CE68" s="1443"/>
      <c r="CF68" s="1443"/>
      <c r="CG68" s="1443"/>
      <c r="CH68" s="1443"/>
    </row>
    <row r="69" spans="10:86" ht="12.75" customHeight="1">
      <c r="N69" s="45"/>
      <c r="O69" s="45"/>
      <c r="P69" s="45"/>
      <c r="Q69" s="45"/>
      <c r="R69" s="45"/>
      <c r="S69" s="45"/>
      <c r="T69" s="1505"/>
      <c r="U69" s="1505"/>
      <c r="V69" s="1505"/>
      <c r="W69" s="1505"/>
      <c r="X69" s="1505"/>
      <c r="Y69" s="1446"/>
      <c r="Z69" s="1446"/>
      <c r="AA69" s="1446"/>
      <c r="AB69" s="1446"/>
      <c r="AC69" s="1446"/>
      <c r="AD69" s="1446"/>
      <c r="AE69" s="1446"/>
      <c r="AF69" s="1446"/>
      <c r="AG69" s="1446"/>
      <c r="AH69" s="1485"/>
      <c r="AI69" s="1485"/>
      <c r="AJ69" s="1485"/>
      <c r="AK69" s="1485"/>
      <c r="AL69" s="1485"/>
      <c r="AM69" s="1485"/>
      <c r="AN69" s="1485"/>
      <c r="AO69" s="1485"/>
      <c r="AP69" s="1485"/>
      <c r="AQ69" s="1485"/>
      <c r="AR69" s="1485"/>
      <c r="AS69" s="1485"/>
      <c r="AT69" s="1485"/>
      <c r="AU69" s="1485"/>
      <c r="AV69" s="1485"/>
      <c r="AW69" s="1485"/>
      <c r="AX69" s="1485"/>
      <c r="AY69" s="1485"/>
      <c r="AZ69" s="1485"/>
      <c r="BA69" s="1485"/>
      <c r="BF69" s="1443"/>
      <c r="BG69" s="1443"/>
      <c r="BH69" s="1443"/>
      <c r="BI69" s="1443"/>
      <c r="BJ69" s="1443"/>
      <c r="BK69" s="1443"/>
      <c r="BL69" s="1443"/>
      <c r="BM69" s="1443"/>
      <c r="BN69" s="1443"/>
      <c r="BO69" s="1443"/>
      <c r="BP69" s="1443"/>
      <c r="BQ69" s="1443"/>
      <c r="BR69" s="1443"/>
      <c r="BS69" s="1443"/>
      <c r="BT69" s="1443"/>
      <c r="BU69" s="1443"/>
      <c r="BV69" s="1443"/>
      <c r="BW69" s="1443"/>
      <c r="BX69" s="1443"/>
      <c r="BY69" s="1443"/>
      <c r="BZ69" s="1443"/>
      <c r="CA69" s="1443"/>
      <c r="CB69" s="1443"/>
      <c r="CC69" s="1443"/>
      <c r="CD69" s="1443"/>
      <c r="CE69" s="1443"/>
      <c r="CF69" s="1443"/>
      <c r="CG69" s="1443"/>
      <c r="CH69" s="1443"/>
    </row>
    <row r="70" spans="10:86">
      <c r="N70" s="45"/>
      <c r="O70" s="45"/>
      <c r="P70" s="45"/>
      <c r="Q70" s="45"/>
      <c r="R70" s="45"/>
      <c r="S70" s="45"/>
      <c r="T70" s="1505"/>
      <c r="U70" s="1505"/>
      <c r="V70" s="1505"/>
      <c r="W70" s="1505"/>
      <c r="X70" s="1505"/>
      <c r="Y70" s="1446"/>
      <c r="Z70" s="1446"/>
      <c r="AA70" s="1446"/>
      <c r="AB70" s="1446"/>
      <c r="AC70" s="1446"/>
      <c r="AD70" s="1446"/>
      <c r="AE70" s="1446"/>
      <c r="AF70" s="1446"/>
      <c r="AG70" s="1446"/>
      <c r="AH70" s="1485"/>
      <c r="AI70" s="1485"/>
      <c r="AJ70" s="1485"/>
      <c r="AK70" s="1485"/>
      <c r="AL70" s="1485"/>
      <c r="AM70" s="1485"/>
      <c r="AN70" s="1485"/>
      <c r="AO70" s="1485"/>
      <c r="AP70" s="1485"/>
      <c r="AQ70" s="1485"/>
      <c r="AR70" s="1485"/>
      <c r="AS70" s="1485"/>
      <c r="AT70" s="1485"/>
      <c r="AU70" s="1485"/>
      <c r="AV70" s="1485"/>
      <c r="AW70" s="1485"/>
      <c r="AX70" s="1485"/>
      <c r="AY70" s="1485"/>
      <c r="AZ70" s="1485"/>
      <c r="BA70" s="1485"/>
      <c r="BF70" s="1443"/>
      <c r="BG70" s="1443"/>
      <c r="BH70" s="1443"/>
      <c r="BI70" s="1443"/>
      <c r="BJ70" s="1443"/>
      <c r="BK70" s="1443"/>
      <c r="BL70" s="1443"/>
      <c r="BM70" s="1443"/>
      <c r="BN70" s="1443"/>
      <c r="BO70" s="1443"/>
      <c r="BP70" s="1443"/>
      <c r="BQ70" s="1443"/>
      <c r="BR70" s="1443"/>
      <c r="BS70" s="1443"/>
      <c r="BT70" s="1443"/>
      <c r="BU70" s="1443"/>
      <c r="BV70" s="1443"/>
      <c r="BW70" s="1443"/>
      <c r="BX70" s="1443"/>
      <c r="BY70" s="1443"/>
      <c r="BZ70" s="1443"/>
      <c r="CA70" s="1443"/>
      <c r="CB70" s="1443"/>
      <c r="CC70" s="1443"/>
      <c r="CD70" s="1443"/>
      <c r="CE70" s="1443"/>
      <c r="CF70" s="1443"/>
      <c r="CG70" s="1443"/>
      <c r="CH70" s="1443"/>
    </row>
    <row r="71" spans="10:86">
      <c r="N71" s="45"/>
      <c r="O71" s="290"/>
      <c r="P71" s="290"/>
      <c r="Q71" s="290"/>
      <c r="R71" s="290"/>
      <c r="S71" s="290"/>
      <c r="T71" s="1505"/>
      <c r="U71" s="1505"/>
      <c r="V71" s="1505"/>
      <c r="W71" s="1505"/>
      <c r="X71" s="1505"/>
      <c r="Y71" s="1446"/>
      <c r="Z71" s="1446"/>
      <c r="AA71" s="1446"/>
      <c r="AB71" s="1446"/>
      <c r="AC71" s="1446"/>
      <c r="AD71" s="1446"/>
      <c r="AE71" s="1446"/>
      <c r="AF71" s="1446"/>
      <c r="AG71" s="1446"/>
      <c r="AH71" s="1485"/>
      <c r="AI71" s="1485"/>
      <c r="AJ71" s="1485"/>
      <c r="AK71" s="1485"/>
      <c r="AL71" s="1485"/>
      <c r="AM71" s="1485"/>
      <c r="AN71" s="1485"/>
      <c r="AO71" s="1485"/>
      <c r="AP71" s="1485"/>
      <c r="AQ71" s="1485"/>
      <c r="AR71" s="1485"/>
      <c r="AS71" s="1485"/>
      <c r="AT71" s="1485"/>
      <c r="AU71" s="1485"/>
      <c r="AV71" s="1485"/>
      <c r="AW71" s="1485"/>
      <c r="AX71" s="1485"/>
      <c r="AY71" s="1485"/>
      <c r="AZ71" s="1485"/>
      <c r="BA71" s="1485"/>
      <c r="BF71" s="1443"/>
      <c r="BG71" s="1443"/>
      <c r="BH71" s="1443"/>
      <c r="BI71" s="1443"/>
      <c r="BJ71" s="1443"/>
      <c r="BK71" s="1443"/>
      <c r="BL71" s="1443"/>
      <c r="BM71" s="1443"/>
      <c r="BN71" s="1443"/>
      <c r="BO71" s="1443"/>
      <c r="BP71" s="1443"/>
      <c r="BQ71" s="1443"/>
      <c r="BR71" s="1443"/>
      <c r="BS71" s="1443"/>
      <c r="BT71" s="1443"/>
      <c r="BU71" s="1443"/>
      <c r="BV71" s="1443"/>
      <c r="BW71" s="1443"/>
      <c r="BX71" s="1443"/>
      <c r="BY71" s="1443"/>
      <c r="BZ71" s="1443"/>
      <c r="CA71" s="1443"/>
      <c r="CB71" s="1443"/>
      <c r="CC71" s="1443"/>
      <c r="CD71" s="1443"/>
      <c r="CE71" s="1443"/>
      <c r="CF71" s="1443"/>
      <c r="CG71" s="1443"/>
      <c r="CH71" s="1443"/>
    </row>
    <row r="72" spans="10:86">
      <c r="N72" s="45"/>
      <c r="O72" s="290"/>
      <c r="P72" s="290"/>
      <c r="Q72" s="290"/>
      <c r="R72" s="290"/>
      <c r="S72" s="290"/>
      <c r="T72" s="1505"/>
      <c r="U72" s="1505"/>
      <c r="V72" s="1505"/>
      <c r="W72" s="1505"/>
      <c r="X72" s="1505"/>
      <c r="Y72" s="1446"/>
      <c r="Z72" s="1446"/>
      <c r="AA72" s="1446"/>
      <c r="AB72" s="1446"/>
      <c r="AC72" s="1446"/>
      <c r="AD72" s="1446"/>
      <c r="AE72" s="1446"/>
      <c r="AF72" s="1446"/>
      <c r="AG72" s="1446"/>
      <c r="AH72" s="1485"/>
      <c r="AI72" s="1485"/>
      <c r="AJ72" s="1485"/>
      <c r="AK72" s="1485"/>
      <c r="AL72" s="1485"/>
      <c r="AM72" s="1485"/>
      <c r="AN72" s="1485"/>
      <c r="AO72" s="1485"/>
      <c r="AP72" s="1485"/>
      <c r="AQ72" s="1485"/>
      <c r="AR72" s="1485"/>
      <c r="AS72" s="1485"/>
      <c r="AT72" s="1485"/>
      <c r="AU72" s="1485"/>
      <c r="AV72" s="1485"/>
      <c r="AW72" s="1485"/>
      <c r="AX72" s="1485"/>
      <c r="AY72" s="1485"/>
      <c r="AZ72" s="1485"/>
      <c r="BA72" s="1485"/>
      <c r="BF72" s="1443"/>
      <c r="BG72" s="1443"/>
      <c r="BH72" s="1443"/>
      <c r="BI72" s="1443"/>
      <c r="BJ72" s="1443"/>
      <c r="BK72" s="1443"/>
      <c r="BL72" s="1443"/>
      <c r="BM72" s="1443"/>
      <c r="BN72" s="1443"/>
      <c r="BO72" s="1443"/>
      <c r="BP72" s="1443"/>
      <c r="BQ72" s="1443"/>
      <c r="BR72" s="1443"/>
      <c r="BS72" s="1443"/>
      <c r="BT72" s="1443"/>
      <c r="BU72" s="1443"/>
      <c r="BV72" s="1443"/>
      <c r="BW72" s="1443"/>
      <c r="BX72" s="1443"/>
      <c r="BY72" s="1443"/>
      <c r="BZ72" s="1443"/>
      <c r="CA72" s="1443"/>
      <c r="CB72" s="1443"/>
      <c r="CC72" s="1443"/>
      <c r="CD72" s="1443"/>
      <c r="CE72" s="1443"/>
      <c r="CF72" s="1443"/>
      <c r="CG72" s="1443"/>
      <c r="CH72" s="1443"/>
    </row>
    <row r="73" spans="10:86">
      <c r="J73" s="45"/>
      <c r="K73" s="45"/>
      <c r="L73" s="45"/>
      <c r="M73" s="45"/>
      <c r="N73" s="45"/>
      <c r="O73" s="290"/>
      <c r="P73" s="290"/>
      <c r="Q73" s="290"/>
      <c r="R73" s="290"/>
      <c r="S73" s="290"/>
      <c r="T73" s="1505"/>
      <c r="U73" s="1505"/>
      <c r="V73" s="1505"/>
      <c r="W73" s="1505"/>
      <c r="X73" s="1505"/>
      <c r="Y73" s="1446"/>
      <c r="Z73" s="1446"/>
      <c r="AA73" s="1446"/>
      <c r="AB73" s="1446"/>
      <c r="AC73" s="1446"/>
      <c r="AD73" s="1446"/>
      <c r="AE73" s="1446"/>
      <c r="AF73" s="1446"/>
      <c r="AG73" s="1446"/>
      <c r="AH73" s="1485"/>
      <c r="AI73" s="1485"/>
      <c r="AJ73" s="1485"/>
      <c r="AK73" s="1485"/>
      <c r="AL73" s="1485"/>
      <c r="AM73" s="1485"/>
      <c r="AN73" s="1485"/>
      <c r="AO73" s="1485"/>
      <c r="AP73" s="1485"/>
      <c r="AQ73" s="1485"/>
      <c r="AR73" s="1485"/>
      <c r="AS73" s="1485"/>
      <c r="AT73" s="1485"/>
      <c r="AU73" s="1485"/>
      <c r="AV73" s="1485"/>
      <c r="AW73" s="1485"/>
      <c r="AX73" s="1485"/>
      <c r="AY73" s="1485"/>
      <c r="AZ73" s="1485"/>
      <c r="BA73" s="1485"/>
      <c r="BF73" s="1443"/>
      <c r="BG73" s="1443"/>
      <c r="BH73" s="1443"/>
      <c r="BI73" s="1443"/>
      <c r="BJ73" s="1443"/>
      <c r="BK73" s="1443"/>
      <c r="BL73" s="1443"/>
      <c r="BM73" s="1443"/>
      <c r="BN73" s="1443"/>
      <c r="BO73" s="1443"/>
      <c r="BP73" s="1443"/>
      <c r="BQ73" s="1443"/>
      <c r="BR73" s="1443"/>
      <c r="BS73" s="1443"/>
      <c r="BT73" s="1443"/>
      <c r="BU73" s="1443"/>
      <c r="BV73" s="1443"/>
      <c r="BW73" s="1443"/>
      <c r="BX73" s="1443"/>
      <c r="BY73" s="1443"/>
      <c r="BZ73" s="1443"/>
      <c r="CA73" s="1443"/>
      <c r="CB73" s="1443"/>
      <c r="CC73" s="1443"/>
      <c r="CD73" s="1443"/>
      <c r="CE73" s="1443"/>
      <c r="CF73" s="1443"/>
      <c r="CG73" s="1443"/>
      <c r="CH73" s="1443"/>
    </row>
    <row r="74" spans="10:86">
      <c r="J74" s="45"/>
      <c r="K74" s="45"/>
      <c r="L74" s="45"/>
      <c r="M74" s="45"/>
      <c r="N74" s="45"/>
      <c r="O74" s="290"/>
      <c r="P74" s="290"/>
      <c r="Q74" s="290"/>
      <c r="R74" s="290"/>
      <c r="S74" s="290"/>
      <c r="T74" s="1505"/>
      <c r="U74" s="1505"/>
      <c r="V74" s="1505"/>
      <c r="W74" s="1505"/>
      <c r="X74" s="1505"/>
      <c r="Y74" s="1446"/>
      <c r="Z74" s="1446"/>
      <c r="AA74" s="1446"/>
      <c r="AB74" s="1446"/>
      <c r="AC74" s="1446"/>
      <c r="AD74" s="1446"/>
      <c r="AE74" s="1446"/>
      <c r="AF74" s="1446"/>
      <c r="AG74" s="1446"/>
      <c r="AH74" s="1485"/>
      <c r="AI74" s="1485"/>
      <c r="AJ74" s="1485"/>
      <c r="AK74" s="1485"/>
      <c r="AL74" s="1485"/>
      <c r="AM74" s="1485"/>
      <c r="AN74" s="1485"/>
      <c r="AO74" s="1485"/>
      <c r="AP74" s="1485"/>
      <c r="AQ74" s="1485"/>
      <c r="AR74" s="1485"/>
      <c r="AS74" s="1485"/>
      <c r="AT74" s="1485"/>
      <c r="AU74" s="1485"/>
      <c r="AV74" s="1485"/>
      <c r="AW74" s="1485"/>
      <c r="AX74" s="1485"/>
      <c r="AY74" s="1485"/>
      <c r="AZ74" s="1485"/>
      <c r="BA74" s="1485"/>
      <c r="BF74" s="1443"/>
      <c r="BG74" s="1443"/>
      <c r="BH74" s="1443"/>
      <c r="BI74" s="1443"/>
      <c r="BJ74" s="1443"/>
      <c r="BK74" s="1443"/>
      <c r="BL74" s="1443"/>
      <c r="BM74" s="1443"/>
      <c r="BN74" s="1443"/>
      <c r="BO74" s="1443"/>
      <c r="BP74" s="1443"/>
      <c r="BQ74" s="1443"/>
      <c r="BR74" s="1443"/>
      <c r="BS74" s="1443"/>
      <c r="BT74" s="1443"/>
      <c r="BU74" s="1443"/>
      <c r="BV74" s="1443"/>
      <c r="BW74" s="1443"/>
      <c r="BX74" s="1443"/>
      <c r="BY74" s="1443"/>
      <c r="BZ74" s="1443"/>
      <c r="CA74" s="1443"/>
      <c r="CB74" s="1443"/>
      <c r="CC74" s="1443"/>
      <c r="CD74" s="1443"/>
      <c r="CE74" s="1443"/>
      <c r="CF74" s="1443"/>
      <c r="CG74" s="1443"/>
      <c r="CH74" s="1443"/>
    </row>
    <row r="75" spans="10:86">
      <c r="J75" s="45"/>
      <c r="K75" s="45"/>
      <c r="L75" s="45"/>
      <c r="M75" s="45"/>
      <c r="N75" s="45"/>
      <c r="O75" s="290"/>
      <c r="P75" s="290"/>
      <c r="Q75" s="290"/>
      <c r="R75" s="290"/>
      <c r="S75" s="290"/>
      <c r="T75" s="1505"/>
      <c r="U75" s="1505"/>
      <c r="V75" s="1505"/>
      <c r="W75" s="1505"/>
      <c r="X75" s="1505"/>
      <c r="Y75" s="1446"/>
      <c r="Z75" s="1446"/>
      <c r="AA75" s="1446"/>
      <c r="AB75" s="1446"/>
      <c r="AC75" s="1446"/>
      <c r="AD75" s="1446"/>
      <c r="AE75" s="1446"/>
      <c r="AF75" s="1446"/>
      <c r="AG75" s="1446"/>
      <c r="AH75" s="1485"/>
      <c r="AI75" s="1485"/>
      <c r="AJ75" s="1485"/>
      <c r="AK75" s="1485"/>
      <c r="AL75" s="1485"/>
      <c r="AM75" s="1485"/>
      <c r="AN75" s="1485"/>
      <c r="AO75" s="1485"/>
      <c r="AP75" s="1485"/>
      <c r="AQ75" s="1485"/>
      <c r="AR75" s="1485"/>
      <c r="AS75" s="1485"/>
      <c r="AT75" s="1485"/>
      <c r="AU75" s="1485"/>
      <c r="AV75" s="1485"/>
      <c r="AW75" s="1485"/>
      <c r="AX75" s="1485"/>
      <c r="AY75" s="1485"/>
      <c r="AZ75" s="1485"/>
      <c r="BA75" s="1485"/>
      <c r="BF75" s="1443"/>
      <c r="BG75" s="1443"/>
      <c r="BH75" s="1443"/>
      <c r="BI75" s="1443"/>
      <c r="BJ75" s="1443"/>
      <c r="BK75" s="1443"/>
      <c r="BL75" s="1443"/>
      <c r="BM75" s="1443"/>
      <c r="BN75" s="1443"/>
      <c r="BO75" s="1443"/>
      <c r="BP75" s="1443"/>
      <c r="BQ75" s="1443"/>
      <c r="BR75" s="1443"/>
      <c r="BS75" s="1443"/>
      <c r="BT75" s="1443"/>
      <c r="BU75" s="1443"/>
      <c r="BV75" s="1443"/>
      <c r="BW75" s="1443"/>
      <c r="BX75" s="1443"/>
      <c r="BY75" s="1443"/>
      <c r="BZ75" s="1443"/>
      <c r="CA75" s="1443"/>
      <c r="CB75" s="1443"/>
      <c r="CC75" s="1443"/>
      <c r="CD75" s="1443"/>
      <c r="CE75" s="1443"/>
      <c r="CF75" s="1443"/>
      <c r="CG75" s="1443"/>
      <c r="CH75" s="1443"/>
    </row>
    <row r="76" spans="10:86">
      <c r="J76" s="45"/>
      <c r="K76" s="45"/>
      <c r="L76" s="45"/>
      <c r="M76" s="45"/>
      <c r="N76" s="45"/>
      <c r="O76" s="290"/>
      <c r="P76" s="290"/>
      <c r="Q76" s="290"/>
      <c r="R76" s="290"/>
      <c r="S76" s="290"/>
      <c r="T76" s="1505"/>
      <c r="U76" s="1505"/>
      <c r="V76" s="1505"/>
      <c r="W76" s="1505"/>
      <c r="X76" s="1505"/>
      <c r="Y76" s="1446"/>
      <c r="Z76" s="1446"/>
      <c r="AA76" s="1446"/>
      <c r="AB76" s="1446"/>
      <c r="AC76" s="1446"/>
      <c r="AD76" s="1446"/>
      <c r="AE76" s="1446"/>
      <c r="AF76" s="1446"/>
      <c r="AG76" s="1446"/>
      <c r="AH76" s="1485"/>
      <c r="AI76" s="1485"/>
      <c r="AJ76" s="1485"/>
      <c r="AK76" s="1485"/>
      <c r="AL76" s="1485"/>
      <c r="AM76" s="1485"/>
      <c r="AN76" s="1485"/>
      <c r="AO76" s="1485"/>
      <c r="AP76" s="1485"/>
      <c r="AQ76" s="1485"/>
      <c r="AR76" s="1485"/>
      <c r="AS76" s="1485"/>
      <c r="AT76" s="1485"/>
      <c r="AU76" s="1485"/>
      <c r="AV76" s="1485"/>
      <c r="AW76" s="1485"/>
      <c r="AX76" s="1485"/>
      <c r="AY76" s="1485"/>
      <c r="AZ76" s="1485"/>
      <c r="BA76" s="1485"/>
      <c r="BF76" s="1443"/>
      <c r="BG76" s="1443"/>
      <c r="BH76" s="1443"/>
      <c r="BI76" s="1443"/>
      <c r="BJ76" s="1443"/>
      <c r="BK76" s="1443"/>
      <c r="BL76" s="1443"/>
      <c r="BM76" s="1443"/>
      <c r="BN76" s="1443"/>
      <c r="BO76" s="1443"/>
      <c r="BP76" s="1443"/>
      <c r="BQ76" s="1443"/>
      <c r="BR76" s="1443"/>
      <c r="BS76" s="1443"/>
      <c r="BT76" s="1443"/>
      <c r="BU76" s="1443"/>
      <c r="BV76" s="1443"/>
      <c r="BW76" s="1443"/>
      <c r="BX76" s="1443"/>
      <c r="BY76" s="1443"/>
      <c r="BZ76" s="1443"/>
      <c r="CA76" s="1443"/>
      <c r="CB76" s="1443"/>
      <c r="CC76" s="1443"/>
      <c r="CD76" s="1443"/>
      <c r="CE76" s="1443"/>
      <c r="CF76" s="1443"/>
      <c r="CG76" s="1443"/>
      <c r="CH76" s="1443"/>
    </row>
    <row r="77" spans="10:86">
      <c r="J77" s="45"/>
      <c r="K77" s="45"/>
      <c r="L77" s="45"/>
      <c r="M77" s="45"/>
      <c r="N77" s="45"/>
      <c r="O77" s="290"/>
      <c r="P77" s="290"/>
      <c r="Q77" s="290"/>
      <c r="R77" s="290"/>
      <c r="S77" s="290"/>
      <c r="T77" s="1505"/>
      <c r="U77" s="1505"/>
      <c r="V77" s="1505"/>
      <c r="W77" s="1505"/>
      <c r="X77" s="1505"/>
      <c r="Y77" s="1446"/>
      <c r="Z77" s="1446"/>
      <c r="AA77" s="1446"/>
      <c r="AB77" s="1446"/>
      <c r="AC77" s="1446"/>
      <c r="AD77" s="1446"/>
      <c r="AE77" s="1446"/>
      <c r="AF77" s="1446"/>
      <c r="AG77" s="1446"/>
      <c r="AH77" s="1485"/>
      <c r="AI77" s="1485"/>
      <c r="AJ77" s="1485"/>
      <c r="AK77" s="1485"/>
      <c r="AL77" s="1485"/>
      <c r="AM77" s="1485"/>
      <c r="AN77" s="1485"/>
      <c r="AO77" s="1485"/>
      <c r="AP77" s="1485"/>
      <c r="AQ77" s="1485"/>
      <c r="AR77" s="1485"/>
      <c r="AS77" s="1485"/>
      <c r="AT77" s="1485"/>
      <c r="AU77" s="1485"/>
      <c r="AV77" s="1485"/>
      <c r="AW77" s="1485"/>
      <c r="AX77" s="1485"/>
      <c r="AY77" s="1485"/>
      <c r="AZ77" s="1485"/>
      <c r="BA77" s="1485"/>
      <c r="BF77" s="1443"/>
      <c r="BG77" s="1443"/>
      <c r="BH77" s="1443"/>
      <c r="BI77" s="1443"/>
      <c r="BJ77" s="1443"/>
      <c r="BK77" s="1443"/>
      <c r="BL77" s="1443"/>
      <c r="BM77" s="1443"/>
      <c r="BN77" s="1443"/>
      <c r="BO77" s="1443"/>
      <c r="BP77" s="1443"/>
      <c r="BQ77" s="1443"/>
      <c r="BR77" s="1443"/>
      <c r="BS77" s="1443"/>
      <c r="BT77" s="1443"/>
      <c r="BU77" s="1443"/>
      <c r="BV77" s="1443"/>
      <c r="BW77" s="1443"/>
      <c r="BX77" s="1443"/>
      <c r="BY77" s="1443"/>
      <c r="BZ77" s="1443"/>
      <c r="CA77" s="1443"/>
      <c r="CB77" s="1443"/>
      <c r="CC77" s="1443"/>
      <c r="CD77" s="1443"/>
      <c r="CE77" s="1443"/>
      <c r="CF77" s="1443"/>
      <c r="CG77" s="1443"/>
      <c r="CH77" s="1443"/>
    </row>
    <row r="78" spans="10:86">
      <c r="J78" s="45"/>
      <c r="K78" s="45"/>
      <c r="L78" s="45"/>
      <c r="M78" s="45"/>
      <c r="N78" s="45"/>
      <c r="O78" s="290"/>
      <c r="P78" s="290"/>
      <c r="Q78" s="290"/>
      <c r="R78" s="290"/>
      <c r="S78" s="290"/>
      <c r="T78" s="1505"/>
      <c r="U78" s="1505"/>
      <c r="V78" s="1505"/>
      <c r="W78" s="1505"/>
      <c r="X78" s="1505"/>
      <c r="Y78" s="1446"/>
      <c r="Z78" s="1446"/>
      <c r="AA78" s="1446"/>
      <c r="AB78" s="1446"/>
      <c r="AC78" s="1446"/>
      <c r="AD78" s="1446"/>
      <c r="AE78" s="1446"/>
      <c r="AF78" s="1446"/>
      <c r="AG78" s="1446"/>
      <c r="AH78" s="1485"/>
      <c r="AI78" s="1485"/>
      <c r="AJ78" s="1485"/>
      <c r="AK78" s="1485"/>
      <c r="AL78" s="1485"/>
      <c r="AM78" s="1485"/>
      <c r="AN78" s="1485"/>
      <c r="AO78" s="1485"/>
      <c r="AP78" s="1485"/>
      <c r="AQ78" s="1485"/>
      <c r="AR78" s="1485"/>
      <c r="AS78" s="1485"/>
      <c r="AT78" s="1485"/>
      <c r="AU78" s="1485"/>
      <c r="AV78" s="1485"/>
      <c r="AW78" s="1485"/>
      <c r="AX78" s="1485"/>
      <c r="AY78" s="1485"/>
      <c r="AZ78" s="1485"/>
      <c r="BA78" s="1485"/>
      <c r="BF78" s="1443"/>
      <c r="BG78" s="1443"/>
      <c r="BH78" s="1443"/>
      <c r="BI78" s="1443"/>
      <c r="BJ78" s="1443"/>
      <c r="BK78" s="1443"/>
      <c r="BL78" s="1443"/>
      <c r="BM78" s="1443"/>
      <c r="BN78" s="1443"/>
      <c r="BO78" s="1443"/>
      <c r="BP78" s="1443"/>
      <c r="BQ78" s="1443"/>
      <c r="BR78" s="1443"/>
      <c r="BS78" s="1443"/>
      <c r="BT78" s="1443"/>
      <c r="BU78" s="1443"/>
      <c r="BV78" s="1443"/>
      <c r="BW78" s="1443"/>
      <c r="BX78" s="1443"/>
      <c r="BY78" s="1443"/>
      <c r="BZ78" s="1443"/>
      <c r="CA78" s="1443"/>
      <c r="CB78" s="1443"/>
      <c r="CC78" s="1443"/>
      <c r="CD78" s="1443"/>
      <c r="CE78" s="1443"/>
      <c r="CF78" s="1443"/>
      <c r="CG78" s="1443"/>
      <c r="CH78" s="1443"/>
    </row>
    <row r="79" spans="10:86">
      <c r="J79" s="45"/>
      <c r="K79" s="45"/>
      <c r="L79" s="45"/>
      <c r="M79" s="45"/>
      <c r="N79" s="45"/>
      <c r="O79" s="290"/>
      <c r="P79" s="290"/>
      <c r="Q79" s="290"/>
      <c r="R79" s="290"/>
      <c r="S79" s="290"/>
      <c r="T79" s="1505"/>
      <c r="U79" s="1505"/>
      <c r="V79" s="1505"/>
      <c r="W79" s="1505"/>
      <c r="X79" s="1505"/>
      <c r="Y79" s="1446"/>
      <c r="Z79" s="1446"/>
      <c r="AA79" s="1446"/>
      <c r="AB79" s="1446"/>
      <c r="AC79" s="1446"/>
      <c r="AD79" s="1446"/>
      <c r="AE79" s="1446"/>
      <c r="AF79" s="1446"/>
      <c r="AG79" s="1446"/>
      <c r="AH79" s="1485"/>
      <c r="AI79" s="1485"/>
      <c r="AJ79" s="1485"/>
      <c r="AK79" s="1485"/>
      <c r="AL79" s="1485"/>
      <c r="AM79" s="1485"/>
      <c r="AN79" s="1485"/>
      <c r="AO79" s="1485"/>
      <c r="AP79" s="1485"/>
      <c r="AQ79" s="1485"/>
      <c r="AR79" s="1485"/>
      <c r="AS79" s="1485"/>
      <c r="AT79" s="1485"/>
      <c r="AU79" s="1485"/>
      <c r="AV79" s="1485"/>
      <c r="AW79" s="1485"/>
      <c r="AX79" s="1485"/>
      <c r="AY79" s="1485"/>
      <c r="AZ79" s="1485"/>
      <c r="BA79" s="1485"/>
      <c r="BF79" s="1443"/>
      <c r="BG79" s="1443"/>
      <c r="BH79" s="1443"/>
      <c r="BI79" s="1443"/>
      <c r="BJ79" s="1443"/>
      <c r="BK79" s="1443"/>
      <c r="BL79" s="1443"/>
      <c r="BM79" s="1443"/>
      <c r="BN79" s="1443"/>
      <c r="BO79" s="1443"/>
      <c r="BP79" s="1443"/>
      <c r="BQ79" s="1443"/>
      <c r="BR79" s="1443"/>
      <c r="BS79" s="1443"/>
      <c r="BT79" s="1443"/>
      <c r="BU79" s="1443"/>
      <c r="BV79" s="1443"/>
      <c r="BW79" s="1443"/>
      <c r="BX79" s="1443"/>
      <c r="BY79" s="1443"/>
      <c r="BZ79" s="1443"/>
      <c r="CA79" s="1443"/>
      <c r="CB79" s="1443"/>
      <c r="CC79" s="1443"/>
      <c r="CD79" s="1443"/>
      <c r="CE79" s="1443"/>
      <c r="CF79" s="1443"/>
      <c r="CG79" s="1443"/>
      <c r="CH79" s="1443"/>
    </row>
    <row r="80" spans="10:86">
      <c r="J80" s="45"/>
      <c r="K80" s="45"/>
      <c r="L80" s="45"/>
      <c r="M80" s="45"/>
      <c r="N80" s="45"/>
      <c r="O80" s="290"/>
      <c r="P80" s="290"/>
      <c r="Q80" s="290"/>
      <c r="R80" s="290"/>
      <c r="S80" s="290"/>
      <c r="T80" s="1505"/>
      <c r="U80" s="1505"/>
      <c r="V80" s="1505"/>
      <c r="W80" s="1505"/>
      <c r="X80" s="1505"/>
      <c r="Y80" s="1446"/>
      <c r="Z80" s="1446"/>
      <c r="AA80" s="1446"/>
      <c r="AB80" s="1446"/>
      <c r="AC80" s="1446"/>
      <c r="AD80" s="1446"/>
      <c r="AE80" s="1446"/>
      <c r="AF80" s="1446"/>
      <c r="AG80" s="1446"/>
      <c r="AH80" s="1485"/>
      <c r="AI80" s="1485"/>
      <c r="AJ80" s="1485"/>
      <c r="AK80" s="1485"/>
      <c r="AL80" s="1485"/>
      <c r="AM80" s="1485"/>
      <c r="AN80" s="1485"/>
      <c r="AO80" s="1485"/>
      <c r="AP80" s="1485"/>
      <c r="AQ80" s="1485"/>
      <c r="AR80" s="1485"/>
      <c r="AS80" s="1485"/>
      <c r="AT80" s="1485"/>
      <c r="AU80" s="1485"/>
      <c r="AV80" s="1485"/>
      <c r="AW80" s="1485"/>
      <c r="AX80" s="1485"/>
      <c r="AY80" s="1485"/>
      <c r="AZ80" s="1485"/>
      <c r="BA80" s="1485"/>
      <c r="BF80" s="1443"/>
      <c r="BG80" s="1443"/>
      <c r="BH80" s="1443"/>
      <c r="BI80" s="1443"/>
      <c r="BJ80" s="1443"/>
      <c r="BK80" s="1443"/>
      <c r="BL80" s="1443"/>
      <c r="BM80" s="1443"/>
      <c r="BN80" s="1443"/>
      <c r="BO80" s="1443"/>
      <c r="BP80" s="1443"/>
      <c r="BQ80" s="1443"/>
      <c r="BR80" s="1443"/>
      <c r="BS80" s="1443"/>
      <c r="BT80" s="1443"/>
      <c r="BU80" s="1443"/>
      <c r="BV80" s="1443"/>
      <c r="BW80" s="1443"/>
      <c r="BX80" s="1443"/>
      <c r="BY80" s="1443"/>
      <c r="BZ80" s="1443"/>
      <c r="CA80" s="1443"/>
      <c r="CB80" s="1443"/>
      <c r="CC80" s="1443"/>
      <c r="CD80" s="1443"/>
      <c r="CE80" s="1443"/>
      <c r="CF80" s="1443"/>
      <c r="CG80" s="1443"/>
      <c r="CH80" s="1443"/>
    </row>
    <row r="81" spans="10:86">
      <c r="J81" s="45"/>
      <c r="K81" s="45"/>
      <c r="L81" s="45"/>
      <c r="M81" s="45"/>
      <c r="N81" s="45"/>
      <c r="O81" s="290"/>
      <c r="P81" s="290"/>
      <c r="Q81" s="290"/>
      <c r="R81" s="290"/>
      <c r="S81" s="290"/>
      <c r="T81" s="1505"/>
      <c r="U81" s="1505"/>
      <c r="V81" s="1505"/>
      <c r="W81" s="1505"/>
      <c r="X81" s="1505"/>
      <c r="Y81" s="1446"/>
      <c r="Z81" s="1446"/>
      <c r="AA81" s="1446"/>
      <c r="AB81" s="1446"/>
      <c r="AC81" s="1446"/>
      <c r="AD81" s="1446"/>
      <c r="AE81" s="1446"/>
      <c r="AF81" s="1446"/>
      <c r="AG81" s="1446"/>
      <c r="AH81" s="1485"/>
      <c r="AI81" s="1485"/>
      <c r="AJ81" s="1485"/>
      <c r="AK81" s="1485"/>
      <c r="AL81" s="1485"/>
      <c r="AM81" s="1485"/>
      <c r="AN81" s="1485"/>
      <c r="AO81" s="1485"/>
      <c r="AP81" s="1485"/>
      <c r="AQ81" s="1485"/>
      <c r="AR81" s="1485"/>
      <c r="AS81" s="1485"/>
      <c r="AT81" s="1485"/>
      <c r="AU81" s="1485"/>
      <c r="AV81" s="1485"/>
      <c r="AW81" s="1485"/>
      <c r="AX81" s="1485"/>
      <c r="AY81" s="1485"/>
      <c r="AZ81" s="1485"/>
      <c r="BA81" s="1485"/>
      <c r="BF81" s="1443"/>
      <c r="BG81" s="1443"/>
      <c r="BH81" s="1443"/>
      <c r="BI81" s="1443"/>
      <c r="BJ81" s="1443"/>
      <c r="BK81" s="1443"/>
      <c r="BL81" s="1443"/>
      <c r="BM81" s="1443"/>
      <c r="BN81" s="1443"/>
      <c r="BO81" s="1443"/>
      <c r="BP81" s="1443"/>
      <c r="BQ81" s="1443"/>
      <c r="BR81" s="1443"/>
      <c r="BS81" s="1443"/>
      <c r="BT81" s="1443"/>
      <c r="BU81" s="1443"/>
      <c r="BV81" s="1443"/>
      <c r="BW81" s="1443"/>
      <c r="BX81" s="1443"/>
      <c r="BY81" s="1443"/>
      <c r="BZ81" s="1443"/>
      <c r="CA81" s="1443"/>
      <c r="CB81" s="1443"/>
      <c r="CC81" s="1443"/>
      <c r="CD81" s="1443"/>
      <c r="CE81" s="1443"/>
      <c r="CF81" s="1443"/>
      <c r="CG81" s="1443"/>
      <c r="CH81" s="1443"/>
    </row>
    <row r="82" spans="10:86">
      <c r="J82" s="45"/>
      <c r="K82" s="45"/>
      <c r="L82" s="45"/>
      <c r="M82" s="45"/>
      <c r="N82" s="45"/>
      <c r="O82" s="290"/>
      <c r="P82" s="290"/>
      <c r="Q82" s="290"/>
      <c r="R82" s="290"/>
      <c r="S82" s="290"/>
      <c r="T82" s="1505"/>
      <c r="U82" s="1505"/>
      <c r="V82" s="1505"/>
      <c r="W82" s="1505"/>
      <c r="X82" s="1505"/>
      <c r="Y82" s="1446"/>
      <c r="Z82" s="1446"/>
      <c r="AA82" s="1446"/>
      <c r="AB82" s="1446"/>
      <c r="AC82" s="1446"/>
      <c r="AD82" s="1446"/>
      <c r="AE82" s="1446"/>
      <c r="AF82" s="1446"/>
      <c r="AG82" s="1446"/>
      <c r="AH82" s="1485"/>
      <c r="AI82" s="1485"/>
      <c r="AJ82" s="1485"/>
      <c r="AK82" s="1485"/>
      <c r="AL82" s="1485"/>
      <c r="AM82" s="1485"/>
      <c r="AN82" s="1485"/>
      <c r="AO82" s="1485"/>
      <c r="AP82" s="1485"/>
      <c r="AQ82" s="1485"/>
      <c r="AR82" s="1485"/>
      <c r="AS82" s="1485"/>
      <c r="AT82" s="1485"/>
      <c r="AU82" s="1485"/>
      <c r="AV82" s="1485"/>
      <c r="AW82" s="1485"/>
      <c r="AX82" s="1485"/>
      <c r="AY82" s="1485"/>
      <c r="AZ82" s="1485"/>
      <c r="BA82" s="1485"/>
      <c r="BF82" s="1443"/>
      <c r="BG82" s="1443"/>
      <c r="BH82" s="1443"/>
      <c r="BI82" s="1443"/>
      <c r="BJ82" s="1443"/>
      <c r="BK82" s="1443"/>
      <c r="BL82" s="1443"/>
      <c r="BM82" s="1443"/>
      <c r="BN82" s="1443"/>
      <c r="BO82" s="1443"/>
      <c r="BP82" s="1443"/>
      <c r="BQ82" s="1443"/>
      <c r="BR82" s="1443"/>
      <c r="BS82" s="1443"/>
      <c r="BT82" s="1443"/>
      <c r="BU82" s="1443"/>
      <c r="BV82" s="1443"/>
      <c r="BW82" s="1443"/>
      <c r="BX82" s="1443"/>
      <c r="BY82" s="1443"/>
      <c r="BZ82" s="1443"/>
      <c r="CA82" s="1443"/>
      <c r="CB82" s="1443"/>
      <c r="CC82" s="1443"/>
      <c r="CD82" s="1443"/>
      <c r="CE82" s="1443"/>
      <c r="CF82" s="1443"/>
      <c r="CG82" s="1443"/>
      <c r="CH82" s="1443"/>
    </row>
    <row r="83" spans="10:86">
      <c r="J83" s="45"/>
      <c r="K83" s="45"/>
      <c r="L83" s="45"/>
      <c r="M83" s="45"/>
      <c r="N83" s="45"/>
      <c r="O83" s="290"/>
      <c r="P83" s="290"/>
      <c r="Q83" s="290"/>
      <c r="R83" s="290"/>
      <c r="S83" s="290"/>
      <c r="T83" s="1505"/>
      <c r="U83" s="1505"/>
      <c r="V83" s="1505"/>
      <c r="W83" s="1505"/>
      <c r="X83" s="1505"/>
      <c r="Y83" s="1446"/>
      <c r="Z83" s="1446"/>
      <c r="AA83" s="1446"/>
      <c r="AB83" s="1446"/>
      <c r="AC83" s="1446"/>
      <c r="AD83" s="1446"/>
      <c r="AE83" s="1446"/>
      <c r="AF83" s="1446"/>
      <c r="AG83" s="1446"/>
      <c r="AH83" s="1485"/>
      <c r="AI83" s="1485"/>
      <c r="AJ83" s="1485"/>
      <c r="AK83" s="1485"/>
      <c r="AL83" s="1485"/>
      <c r="AM83" s="1485"/>
      <c r="AN83" s="1485"/>
      <c r="AO83" s="1485"/>
      <c r="AP83" s="1485"/>
      <c r="AQ83" s="1485"/>
      <c r="AR83" s="1485"/>
      <c r="AS83" s="1485"/>
      <c r="AT83" s="1485"/>
      <c r="AU83" s="1485"/>
      <c r="AV83" s="1485"/>
      <c r="AW83" s="1485"/>
      <c r="AX83" s="1485"/>
      <c r="AY83" s="1485"/>
      <c r="AZ83" s="1485"/>
      <c r="BA83" s="1485"/>
      <c r="BF83" s="1443"/>
      <c r="BG83" s="1443"/>
      <c r="BH83" s="1443"/>
      <c r="BI83" s="1443"/>
      <c r="BJ83" s="1443"/>
      <c r="BK83" s="1443"/>
      <c r="BL83" s="1443"/>
      <c r="BM83" s="1443"/>
      <c r="BN83" s="1443"/>
      <c r="BO83" s="1443"/>
      <c r="BP83" s="1443"/>
      <c r="BQ83" s="1443"/>
      <c r="BR83" s="1443"/>
      <c r="BS83" s="1443"/>
      <c r="BT83" s="1443"/>
      <c r="BU83" s="1443"/>
      <c r="BV83" s="1443"/>
      <c r="BW83" s="1443"/>
      <c r="BX83" s="1443"/>
      <c r="BY83" s="1443"/>
      <c r="BZ83" s="1443"/>
      <c r="CA83" s="1443"/>
      <c r="CB83" s="1443"/>
      <c r="CC83" s="1443"/>
      <c r="CD83" s="1443"/>
      <c r="CE83" s="1443"/>
      <c r="CF83" s="1443"/>
      <c r="CG83" s="1443"/>
      <c r="CH83" s="1443"/>
    </row>
    <row r="84" spans="10:86">
      <c r="J84" s="45"/>
      <c r="K84" s="45"/>
      <c r="L84" s="45"/>
      <c r="M84" s="45"/>
      <c r="N84" s="45"/>
      <c r="O84" s="290"/>
      <c r="P84" s="290"/>
      <c r="Q84" s="290"/>
      <c r="R84" s="290"/>
      <c r="S84" s="290"/>
      <c r="T84" s="1505"/>
      <c r="U84" s="1505"/>
      <c r="V84" s="1505"/>
      <c r="W84" s="1505"/>
      <c r="X84" s="1505"/>
      <c r="Y84" s="1446"/>
      <c r="Z84" s="1446"/>
      <c r="AA84" s="1446"/>
      <c r="AB84" s="1446"/>
      <c r="AC84" s="1446"/>
      <c r="AD84" s="1446"/>
      <c r="AE84" s="1446"/>
      <c r="AF84" s="1446"/>
      <c r="AG84" s="1446"/>
      <c r="AH84" s="1485"/>
      <c r="AI84" s="1485"/>
      <c r="AJ84" s="1485"/>
      <c r="AK84" s="1485"/>
      <c r="AL84" s="1485"/>
      <c r="AM84" s="1485"/>
      <c r="AN84" s="1485"/>
      <c r="AO84" s="1485"/>
      <c r="AP84" s="1485"/>
      <c r="AQ84" s="1485"/>
      <c r="AR84" s="1485"/>
      <c r="AS84" s="1485"/>
      <c r="AT84" s="1485"/>
      <c r="AU84" s="1485"/>
      <c r="AV84" s="1485"/>
      <c r="AW84" s="1485"/>
      <c r="AX84" s="1485"/>
      <c r="AY84" s="1485"/>
      <c r="AZ84" s="1485"/>
      <c r="BA84" s="1485"/>
      <c r="BF84" s="1443"/>
      <c r="BG84" s="1443"/>
      <c r="BH84" s="1443"/>
      <c r="BI84" s="1443"/>
      <c r="BJ84" s="1443"/>
      <c r="BK84" s="1443"/>
      <c r="BL84" s="1443"/>
      <c r="BM84" s="1443"/>
      <c r="BN84" s="1443"/>
      <c r="BO84" s="1443"/>
      <c r="BP84" s="1443"/>
      <c r="BQ84" s="1443"/>
      <c r="BR84" s="1443"/>
      <c r="BS84" s="1443"/>
      <c r="BT84" s="1443"/>
      <c r="BU84" s="1443"/>
      <c r="BV84" s="1443"/>
      <c r="BW84" s="1443"/>
      <c r="BX84" s="1443"/>
      <c r="BY84" s="1443"/>
      <c r="BZ84" s="1443"/>
      <c r="CA84" s="1443"/>
      <c r="CB84" s="1443"/>
      <c r="CC84" s="1443"/>
      <c r="CD84" s="1443"/>
      <c r="CE84" s="1443"/>
      <c r="CF84" s="1443"/>
      <c r="CG84" s="1443"/>
      <c r="CH84" s="1443"/>
    </row>
    <row r="85" spans="10:86">
      <c r="J85" s="45"/>
      <c r="K85" s="45"/>
      <c r="L85" s="45"/>
      <c r="M85" s="45"/>
      <c r="N85" s="45"/>
      <c r="O85" s="290"/>
      <c r="P85" s="290"/>
      <c r="Q85" s="290"/>
      <c r="R85" s="290"/>
      <c r="S85" s="290"/>
      <c r="T85" s="1505"/>
      <c r="U85" s="1505"/>
      <c r="V85" s="1505"/>
      <c r="W85" s="1505"/>
      <c r="X85" s="1505"/>
      <c r="Y85" s="1446"/>
      <c r="Z85" s="1446"/>
      <c r="AA85" s="1446"/>
      <c r="AB85" s="1446"/>
      <c r="AC85" s="1446"/>
      <c r="AD85" s="1446"/>
      <c r="AE85" s="1446"/>
      <c r="AF85" s="1446"/>
      <c r="AG85" s="1446"/>
      <c r="AH85" s="1485"/>
      <c r="AI85" s="1485"/>
      <c r="AJ85" s="1485"/>
      <c r="AK85" s="1485"/>
      <c r="AL85" s="1485"/>
      <c r="AM85" s="1485"/>
      <c r="AN85" s="1485"/>
      <c r="AO85" s="1485"/>
      <c r="AP85" s="1485"/>
      <c r="AQ85" s="1485"/>
      <c r="AR85" s="1485"/>
      <c r="AS85" s="1485"/>
      <c r="AT85" s="1485"/>
      <c r="AU85" s="1485"/>
      <c r="AV85" s="1485"/>
      <c r="AW85" s="1485"/>
      <c r="AX85" s="1485"/>
      <c r="AY85" s="1485"/>
      <c r="AZ85" s="1485"/>
      <c r="BA85" s="1485"/>
      <c r="BF85" s="1443"/>
      <c r="BG85" s="1443"/>
      <c r="BH85" s="1443"/>
      <c r="BI85" s="1443"/>
      <c r="BJ85" s="1443"/>
      <c r="BK85" s="1443"/>
      <c r="BL85" s="1443"/>
      <c r="BM85" s="1443"/>
      <c r="BN85" s="1443"/>
      <c r="BO85" s="1443"/>
      <c r="BP85" s="1443"/>
      <c r="BQ85" s="1443"/>
      <c r="BR85" s="1443"/>
      <c r="BS85" s="1443"/>
      <c r="BT85" s="1443"/>
      <c r="BU85" s="1443"/>
      <c r="BV85" s="1443"/>
      <c r="BW85" s="1443"/>
      <c r="BX85" s="1443"/>
      <c r="BY85" s="1443"/>
      <c r="BZ85" s="1443"/>
      <c r="CA85" s="1443"/>
      <c r="CB85" s="1443"/>
      <c r="CC85" s="1443"/>
      <c r="CD85" s="1443"/>
      <c r="CE85" s="1443"/>
      <c r="CF85" s="1443"/>
      <c r="CG85" s="1443"/>
      <c r="CH85" s="1443"/>
    </row>
    <row r="86" spans="10:86">
      <c r="J86" s="45"/>
      <c r="K86" s="45"/>
      <c r="L86" s="45"/>
      <c r="M86" s="45"/>
      <c r="N86" s="45"/>
      <c r="O86" s="290"/>
      <c r="P86" s="290"/>
      <c r="Q86" s="290"/>
      <c r="R86" s="290"/>
      <c r="S86" s="290"/>
      <c r="T86" s="1505"/>
      <c r="U86" s="1505"/>
      <c r="V86" s="1505"/>
      <c r="W86" s="1505"/>
      <c r="X86" s="1505"/>
      <c r="Y86" s="1446"/>
      <c r="Z86" s="1446"/>
      <c r="AA86" s="1446"/>
      <c r="AB86" s="1446"/>
      <c r="AC86" s="1446"/>
      <c r="AD86" s="1446"/>
      <c r="AE86" s="1446"/>
      <c r="AF86" s="1446"/>
      <c r="AG86" s="1446"/>
      <c r="AH86" s="1485"/>
      <c r="AI86" s="1485"/>
      <c r="AJ86" s="1485"/>
      <c r="AK86" s="1485"/>
      <c r="AL86" s="1485"/>
      <c r="AM86" s="1485"/>
      <c r="AN86" s="1485"/>
      <c r="AO86" s="1485"/>
      <c r="AP86" s="1485"/>
      <c r="AQ86" s="1485"/>
      <c r="AR86" s="1485"/>
      <c r="AS86" s="1485"/>
      <c r="AT86" s="1485"/>
      <c r="AU86" s="1485"/>
      <c r="AV86" s="1485"/>
      <c r="AW86" s="1485"/>
      <c r="AX86" s="1485"/>
      <c r="AY86" s="1485"/>
      <c r="AZ86" s="1485"/>
      <c r="BA86" s="1485"/>
      <c r="BF86" s="1443"/>
      <c r="BG86" s="1443"/>
      <c r="BH86" s="1443"/>
      <c r="BI86" s="1443"/>
      <c r="BJ86" s="1443"/>
      <c r="BK86" s="1443"/>
      <c r="BL86" s="1443"/>
      <c r="BM86" s="1443"/>
      <c r="BN86" s="1443"/>
      <c r="BO86" s="1443"/>
      <c r="BP86" s="1443"/>
      <c r="BQ86" s="1443"/>
      <c r="BR86" s="1443"/>
      <c r="BS86" s="1443"/>
      <c r="BT86" s="1443"/>
      <c r="BU86" s="1443"/>
      <c r="BV86" s="1443"/>
      <c r="BW86" s="1443"/>
      <c r="BX86" s="1443"/>
      <c r="BY86" s="1443"/>
      <c r="BZ86" s="1443"/>
      <c r="CA86" s="1443"/>
      <c r="CB86" s="1443"/>
      <c r="CC86" s="1443"/>
      <c r="CD86" s="1443"/>
      <c r="CE86" s="1443"/>
      <c r="CF86" s="1443"/>
      <c r="CG86" s="1443"/>
      <c r="CH86" s="1443"/>
    </row>
    <row r="87" spans="10:86">
      <c r="J87" s="45"/>
      <c r="K87" s="45"/>
      <c r="L87" s="45"/>
      <c r="M87" s="45"/>
      <c r="N87" s="45"/>
      <c r="O87" s="290"/>
      <c r="P87" s="290"/>
      <c r="Q87" s="290"/>
      <c r="R87" s="290"/>
      <c r="S87" s="290"/>
      <c r="T87" s="1505"/>
      <c r="U87" s="1505"/>
      <c r="V87" s="1505"/>
      <c r="W87" s="1505"/>
      <c r="X87" s="1505"/>
      <c r="Y87" s="1446"/>
      <c r="Z87" s="1446"/>
      <c r="AA87" s="1446"/>
      <c r="AB87" s="1446"/>
      <c r="AC87" s="1446"/>
      <c r="AD87" s="1446"/>
      <c r="AE87" s="1446"/>
      <c r="AF87" s="1446"/>
      <c r="AG87" s="1446"/>
      <c r="AH87" s="1485"/>
      <c r="AI87" s="1485"/>
      <c r="AJ87" s="1485"/>
      <c r="AK87" s="1485"/>
      <c r="AL87" s="1485"/>
      <c r="AM87" s="1485"/>
      <c r="AN87" s="1485"/>
      <c r="AO87" s="1485"/>
      <c r="AP87" s="1485"/>
      <c r="AQ87" s="1485"/>
      <c r="AR87" s="1485"/>
      <c r="AS87" s="1485"/>
      <c r="AT87" s="1485"/>
      <c r="AU87" s="1485"/>
      <c r="AV87" s="1485"/>
      <c r="AW87" s="1485"/>
      <c r="AX87" s="1485"/>
      <c r="AY87" s="1485"/>
      <c r="AZ87" s="1485"/>
      <c r="BA87" s="1485"/>
      <c r="BF87" s="1443"/>
      <c r="BG87" s="1443"/>
      <c r="BH87" s="1443"/>
      <c r="BI87" s="1443"/>
      <c r="BJ87" s="1443"/>
      <c r="BK87" s="1443"/>
      <c r="BL87" s="1443"/>
      <c r="BM87" s="1443"/>
      <c r="BN87" s="1443"/>
      <c r="BO87" s="1443"/>
      <c r="BP87" s="1443"/>
      <c r="BQ87" s="1443"/>
      <c r="BR87" s="1443"/>
      <c r="BS87" s="1443"/>
      <c r="BT87" s="1443"/>
      <c r="BU87" s="1443"/>
      <c r="BV87" s="1443"/>
      <c r="BW87" s="1443"/>
      <c r="BX87" s="1443"/>
      <c r="BY87" s="1443"/>
      <c r="BZ87" s="1443"/>
      <c r="CA87" s="1443"/>
      <c r="CB87" s="1443"/>
      <c r="CC87" s="1443"/>
      <c r="CD87" s="1443"/>
      <c r="CE87" s="1443"/>
      <c r="CF87" s="1443"/>
      <c r="CG87" s="1443"/>
      <c r="CH87" s="1443"/>
    </row>
    <row r="88" spans="10:86">
      <c r="J88" s="45"/>
      <c r="K88" s="45"/>
      <c r="L88" s="45"/>
      <c r="M88" s="45"/>
      <c r="N88" s="45"/>
      <c r="O88" s="290"/>
      <c r="P88" s="290"/>
      <c r="Q88" s="290"/>
      <c r="R88" s="290"/>
      <c r="S88" s="290"/>
      <c r="T88" s="1505"/>
      <c r="U88" s="1505"/>
      <c r="V88" s="1505"/>
      <c r="W88" s="1505"/>
      <c r="X88" s="1505"/>
      <c r="Y88" s="1446"/>
      <c r="Z88" s="1446"/>
      <c r="AA88" s="1446"/>
      <c r="AB88" s="1446"/>
      <c r="AC88" s="1446"/>
      <c r="AD88" s="1446"/>
      <c r="AE88" s="1446"/>
      <c r="AF88" s="1446"/>
      <c r="AG88" s="1446"/>
      <c r="AH88" s="1485"/>
      <c r="AI88" s="1485"/>
      <c r="AJ88" s="1485"/>
      <c r="AK88" s="1485"/>
      <c r="AL88" s="1485"/>
      <c r="AM88" s="1485"/>
      <c r="AN88" s="1485"/>
      <c r="AO88" s="1485"/>
      <c r="AP88" s="1485"/>
      <c r="AQ88" s="1485"/>
      <c r="AR88" s="1485"/>
      <c r="AS88" s="1485"/>
      <c r="AT88" s="1485"/>
      <c r="AU88" s="1485"/>
      <c r="AV88" s="1485"/>
      <c r="AW88" s="1485"/>
      <c r="AX88" s="1485"/>
      <c r="AY88" s="1485"/>
      <c r="AZ88" s="1485"/>
      <c r="BA88" s="1485"/>
      <c r="BF88" s="1443"/>
      <c r="BG88" s="1443"/>
      <c r="BH88" s="1443"/>
      <c r="BI88" s="1443"/>
      <c r="BJ88" s="1443"/>
      <c r="BK88" s="1443"/>
      <c r="BL88" s="1443"/>
      <c r="BM88" s="1443"/>
      <c r="BN88" s="1443"/>
      <c r="BO88" s="1443"/>
      <c r="BP88" s="1443"/>
      <c r="BQ88" s="1443"/>
      <c r="BR88" s="1443"/>
      <c r="BS88" s="1443"/>
      <c r="BT88" s="1443"/>
      <c r="BU88" s="1443"/>
      <c r="BV88" s="1443"/>
      <c r="BW88" s="1443"/>
      <c r="BX88" s="1443"/>
      <c r="BY88" s="1443"/>
      <c r="BZ88" s="1443"/>
      <c r="CA88" s="1443"/>
      <c r="CB88" s="1443"/>
      <c r="CC88" s="1443"/>
      <c r="CD88" s="1443"/>
      <c r="CE88" s="1443"/>
      <c r="CF88" s="1443"/>
      <c r="CG88" s="1443"/>
      <c r="CH88" s="1443"/>
    </row>
    <row r="89" spans="10:86">
      <c r="J89" s="45"/>
      <c r="K89" s="45"/>
      <c r="L89" s="45"/>
      <c r="M89" s="45"/>
      <c r="N89" s="45"/>
      <c r="O89" s="290"/>
      <c r="P89" s="290"/>
      <c r="Q89" s="290"/>
      <c r="R89" s="290"/>
      <c r="S89" s="290"/>
      <c r="T89" s="1505"/>
      <c r="U89" s="1505"/>
      <c r="V89" s="1505"/>
      <c r="W89" s="1505"/>
      <c r="X89" s="1505"/>
      <c r="Y89" s="1446"/>
      <c r="Z89" s="1446"/>
      <c r="AA89" s="1446"/>
      <c r="AB89" s="1446"/>
      <c r="AC89" s="1446"/>
      <c r="AD89" s="1446"/>
      <c r="AE89" s="1446"/>
      <c r="AF89" s="1446"/>
      <c r="AG89" s="1446"/>
      <c r="AH89" s="1485"/>
      <c r="AI89" s="1485"/>
      <c r="AJ89" s="1485"/>
      <c r="AK89" s="1485"/>
      <c r="AL89" s="1485"/>
      <c r="AM89" s="1485"/>
      <c r="AN89" s="1485"/>
      <c r="AO89" s="1485"/>
      <c r="AP89" s="1485"/>
      <c r="AQ89" s="1485"/>
      <c r="AR89" s="1485"/>
      <c r="AS89" s="1485"/>
      <c r="AT89" s="1485"/>
      <c r="AU89" s="1485"/>
      <c r="AV89" s="1485"/>
      <c r="AW89" s="1485"/>
      <c r="AX89" s="1485"/>
      <c r="AY89" s="1485"/>
      <c r="AZ89" s="1485"/>
      <c r="BA89" s="1485"/>
      <c r="BF89" s="1443"/>
      <c r="BG89" s="1443"/>
      <c r="BH89" s="1443"/>
      <c r="BI89" s="1443"/>
      <c r="BJ89" s="1443"/>
      <c r="BK89" s="1443"/>
      <c r="BL89" s="1443"/>
      <c r="BM89" s="1443"/>
      <c r="BN89" s="1443"/>
      <c r="BO89" s="1443"/>
      <c r="BP89" s="1443"/>
      <c r="BQ89" s="1443"/>
      <c r="BR89" s="1443"/>
      <c r="BS89" s="1443"/>
      <c r="BT89" s="1443"/>
      <c r="BU89" s="1443"/>
      <c r="BV89" s="1443"/>
      <c r="BW89" s="1443"/>
      <c r="BX89" s="1443"/>
      <c r="BY89" s="1443"/>
      <c r="BZ89" s="1443"/>
      <c r="CA89" s="1443"/>
      <c r="CB89" s="1443"/>
      <c r="CC89" s="1443"/>
      <c r="CD89" s="1443"/>
      <c r="CE89" s="1443"/>
      <c r="CF89" s="1443"/>
      <c r="CG89" s="1443"/>
      <c r="CH89" s="1443"/>
    </row>
    <row r="90" spans="10:86">
      <c r="J90" s="45"/>
      <c r="K90" s="45"/>
      <c r="L90" s="45"/>
      <c r="M90" s="45"/>
      <c r="N90" s="45"/>
      <c r="O90" s="290"/>
      <c r="P90" s="290"/>
      <c r="Q90" s="290"/>
      <c r="R90" s="290"/>
      <c r="S90" s="290"/>
      <c r="T90" s="1505"/>
      <c r="U90" s="1505"/>
      <c r="V90" s="1505"/>
      <c r="W90" s="1505"/>
      <c r="X90" s="1505"/>
      <c r="Y90" s="1446"/>
      <c r="Z90" s="1446"/>
      <c r="AA90" s="1446"/>
      <c r="AB90" s="1446"/>
      <c r="AC90" s="1446"/>
      <c r="AD90" s="1446"/>
      <c r="AE90" s="1446"/>
      <c r="AF90" s="1446"/>
      <c r="AG90" s="1446"/>
      <c r="AH90" s="1485"/>
      <c r="AI90" s="1485"/>
      <c r="AJ90" s="1485"/>
      <c r="AK90" s="1485"/>
      <c r="AL90" s="1485"/>
      <c r="AM90" s="1485"/>
      <c r="AN90" s="1485"/>
      <c r="AO90" s="1485"/>
      <c r="AP90" s="1485"/>
      <c r="AQ90" s="1485"/>
      <c r="AR90" s="1485"/>
      <c r="AS90" s="1485"/>
      <c r="AT90" s="1485"/>
      <c r="AU90" s="1485"/>
      <c r="AV90" s="1485"/>
      <c r="AW90" s="1485"/>
      <c r="AX90" s="1485"/>
      <c r="AY90" s="1485"/>
      <c r="AZ90" s="1485"/>
      <c r="BA90" s="1485"/>
      <c r="BF90" s="1443"/>
      <c r="BG90" s="1443"/>
      <c r="BH90" s="1443"/>
      <c r="BI90" s="1443"/>
      <c r="BJ90" s="1443"/>
      <c r="BK90" s="1443"/>
      <c r="BL90" s="1443"/>
      <c r="BM90" s="1443"/>
      <c r="BN90" s="1443"/>
      <c r="BO90" s="1443"/>
      <c r="BP90" s="1443"/>
      <c r="BQ90" s="1443"/>
      <c r="BR90" s="1443"/>
      <c r="BS90" s="1443"/>
      <c r="BT90" s="1443"/>
      <c r="BU90" s="1443"/>
      <c r="BV90" s="1443"/>
      <c r="BW90" s="1443"/>
      <c r="BX90" s="1443"/>
      <c r="BY90" s="1443"/>
      <c r="BZ90" s="1443"/>
      <c r="CA90" s="1443"/>
      <c r="CB90" s="1443"/>
      <c r="CC90" s="1443"/>
      <c r="CD90" s="1443"/>
      <c r="CE90" s="1443"/>
      <c r="CF90" s="1443"/>
      <c r="CG90" s="1443"/>
      <c r="CH90" s="1443"/>
    </row>
    <row r="91" spans="10:86">
      <c r="J91" s="45"/>
      <c r="K91" s="45"/>
      <c r="L91" s="45"/>
      <c r="M91" s="45"/>
      <c r="N91" s="45"/>
      <c r="O91" s="290"/>
      <c r="P91" s="290"/>
      <c r="Q91" s="290"/>
      <c r="R91" s="290"/>
      <c r="S91" s="290"/>
      <c r="T91" s="1505"/>
      <c r="U91" s="1505"/>
      <c r="V91" s="1505"/>
      <c r="W91" s="1505"/>
      <c r="X91" s="1505"/>
      <c r="Y91" s="1446"/>
      <c r="Z91" s="1446"/>
      <c r="AA91" s="1446"/>
      <c r="AB91" s="1446"/>
      <c r="AC91" s="1446"/>
      <c r="AD91" s="1446"/>
      <c r="AE91" s="1446"/>
      <c r="AF91" s="1446"/>
      <c r="AG91" s="1446"/>
      <c r="AH91" s="1485"/>
      <c r="AI91" s="1485"/>
      <c r="AJ91" s="1485"/>
      <c r="AK91" s="1485"/>
      <c r="AL91" s="1485"/>
      <c r="AM91" s="1485"/>
      <c r="AN91" s="1485"/>
      <c r="AO91" s="1485"/>
      <c r="AP91" s="1485"/>
      <c r="AQ91" s="1485"/>
      <c r="AR91" s="1485"/>
      <c r="AS91" s="1485"/>
      <c r="AT91" s="1485"/>
      <c r="AU91" s="1485"/>
      <c r="AV91" s="1485"/>
      <c r="AW91" s="1485"/>
      <c r="AX91" s="1485"/>
      <c r="AY91" s="1485"/>
      <c r="AZ91" s="1485"/>
      <c r="BA91" s="1485"/>
      <c r="BF91" s="1443"/>
      <c r="BG91" s="1443"/>
      <c r="BH91" s="1443"/>
      <c r="BI91" s="1443"/>
      <c r="BJ91" s="1443"/>
      <c r="BK91" s="1443"/>
      <c r="BL91" s="1443"/>
      <c r="BM91" s="1443"/>
      <c r="BN91" s="1443"/>
      <c r="BO91" s="1443"/>
      <c r="BP91" s="1443"/>
      <c r="BQ91" s="1443"/>
      <c r="BR91" s="1443"/>
      <c r="BS91" s="1443"/>
      <c r="BT91" s="1443"/>
      <c r="BU91" s="1443"/>
      <c r="BV91" s="1443"/>
      <c r="BW91" s="1443"/>
      <c r="BX91" s="1443"/>
      <c r="BY91" s="1443"/>
      <c r="BZ91" s="1443"/>
      <c r="CA91" s="1443"/>
      <c r="CB91" s="1443"/>
      <c r="CC91" s="1443"/>
      <c r="CD91" s="1443"/>
      <c r="CE91" s="1443"/>
      <c r="CF91" s="1443"/>
      <c r="CG91" s="1443"/>
      <c r="CH91" s="1443"/>
    </row>
    <row r="92" spans="10:86">
      <c r="J92" s="45"/>
      <c r="K92" s="45"/>
      <c r="L92" s="45"/>
      <c r="M92" s="45"/>
      <c r="N92" s="45"/>
      <c r="O92" s="290"/>
      <c r="P92" s="290"/>
      <c r="Q92" s="290"/>
      <c r="R92" s="290"/>
      <c r="S92" s="290"/>
      <c r="T92" s="1505"/>
      <c r="U92" s="1505"/>
      <c r="V92" s="1505"/>
      <c r="W92" s="1505"/>
      <c r="X92" s="1505"/>
      <c r="Y92" s="1446"/>
      <c r="Z92" s="1446"/>
      <c r="AA92" s="1446"/>
      <c r="AB92" s="1446"/>
      <c r="AC92" s="1446"/>
      <c r="AD92" s="1446"/>
      <c r="AE92" s="1446"/>
      <c r="AF92" s="1446"/>
      <c r="AG92" s="1446"/>
      <c r="AH92" s="1485"/>
      <c r="AI92" s="1485"/>
      <c r="AJ92" s="1485"/>
      <c r="AK92" s="1485"/>
      <c r="AL92" s="1485"/>
      <c r="AM92" s="1485"/>
      <c r="AN92" s="1485"/>
      <c r="AO92" s="1485"/>
      <c r="AP92" s="1485"/>
      <c r="AQ92" s="1485"/>
      <c r="AR92" s="1485"/>
      <c r="AS92" s="1485"/>
      <c r="AT92" s="1485"/>
      <c r="AU92" s="1485"/>
      <c r="AV92" s="1485"/>
      <c r="AW92" s="1485"/>
      <c r="AX92" s="1485"/>
      <c r="AY92" s="1485"/>
      <c r="AZ92" s="1485"/>
      <c r="BA92" s="1485"/>
      <c r="BF92" s="1443"/>
      <c r="BG92" s="1443"/>
      <c r="BH92" s="1443"/>
      <c r="BI92" s="1443"/>
      <c r="BJ92" s="1443"/>
      <c r="BK92" s="1443"/>
      <c r="BL92" s="1443"/>
      <c r="BM92" s="1443"/>
      <c r="BN92" s="1443"/>
      <c r="BO92" s="1443"/>
      <c r="BP92" s="1443"/>
      <c r="BQ92" s="1443"/>
      <c r="BR92" s="1443"/>
      <c r="BS92" s="1443"/>
      <c r="BT92" s="1443"/>
      <c r="BU92" s="1443"/>
      <c r="BV92" s="1443"/>
      <c r="BW92" s="1443"/>
      <c r="BX92" s="1443"/>
      <c r="BY92" s="1443"/>
      <c r="BZ92" s="1443"/>
      <c r="CA92" s="1443"/>
      <c r="CB92" s="1443"/>
      <c r="CC92" s="1443"/>
      <c r="CD92" s="1443"/>
      <c r="CE92" s="1443"/>
      <c r="CF92" s="1443"/>
      <c r="CG92" s="1443"/>
      <c r="CH92" s="1443"/>
    </row>
    <row r="93" spans="10:86">
      <c r="J93" s="45"/>
      <c r="K93" s="45"/>
      <c r="L93" s="45"/>
      <c r="M93" s="45"/>
      <c r="N93" s="45"/>
      <c r="O93" s="269"/>
      <c r="P93" s="269"/>
      <c r="Q93" s="269"/>
      <c r="R93" s="269"/>
      <c r="S93" s="269"/>
      <c r="T93" s="1505"/>
      <c r="U93" s="1505"/>
      <c r="V93" s="1505"/>
      <c r="W93" s="1505"/>
      <c r="X93" s="1505"/>
      <c r="Y93" s="1446"/>
      <c r="Z93" s="1446"/>
      <c r="AA93" s="1446"/>
      <c r="AB93" s="1446"/>
      <c r="AC93" s="1446"/>
      <c r="AD93" s="1446"/>
      <c r="AE93" s="1446"/>
      <c r="AF93" s="1446"/>
      <c r="AG93" s="1446"/>
      <c r="AH93" s="1485"/>
      <c r="AI93" s="1485"/>
      <c r="AJ93" s="1485"/>
      <c r="AK93" s="1485"/>
      <c r="AL93" s="1485"/>
      <c r="AM93" s="1485"/>
      <c r="AN93" s="1485"/>
      <c r="AO93" s="1485"/>
      <c r="AP93" s="1485"/>
      <c r="AQ93" s="1485"/>
      <c r="AR93" s="1485"/>
      <c r="AS93" s="1485"/>
      <c r="AT93" s="1485"/>
      <c r="AU93" s="1485"/>
      <c r="AV93" s="1485"/>
      <c r="AW93" s="1485"/>
      <c r="AX93" s="1485"/>
      <c r="AY93" s="1485"/>
      <c r="AZ93" s="1485"/>
      <c r="BA93" s="1485"/>
      <c r="BF93" s="1443"/>
      <c r="BG93" s="1443"/>
      <c r="BH93" s="1443"/>
      <c r="BI93" s="1443"/>
      <c r="BJ93" s="1443"/>
      <c r="BK93" s="1443"/>
      <c r="BL93" s="1443"/>
      <c r="BM93" s="1443"/>
      <c r="BN93" s="1443"/>
      <c r="BO93" s="1443"/>
      <c r="BP93" s="1443"/>
      <c r="BQ93" s="1443"/>
      <c r="BR93" s="1443"/>
      <c r="BS93" s="1443"/>
      <c r="BT93" s="1443"/>
      <c r="BU93" s="1443"/>
      <c r="BV93" s="1443"/>
      <c r="BW93" s="1443"/>
      <c r="BX93" s="1443"/>
      <c r="BY93" s="1443"/>
      <c r="BZ93" s="1443"/>
      <c r="CA93" s="1443"/>
      <c r="CB93" s="1443"/>
      <c r="CC93" s="1443"/>
      <c r="CD93" s="1443"/>
      <c r="CE93" s="1443"/>
      <c r="CF93" s="1443"/>
      <c r="CG93" s="1443"/>
      <c r="CH93" s="1443"/>
    </row>
    <row r="94" spans="10:86">
      <c r="J94" s="45"/>
      <c r="K94" s="45"/>
      <c r="L94" s="45"/>
      <c r="M94" s="45"/>
      <c r="N94" s="45"/>
      <c r="O94" s="269"/>
      <c r="P94" s="269"/>
      <c r="Q94" s="269"/>
      <c r="R94" s="269"/>
      <c r="S94" s="269"/>
      <c r="T94" s="1505"/>
      <c r="U94" s="1505"/>
      <c r="V94" s="1505"/>
      <c r="W94" s="1505"/>
      <c r="X94" s="1505"/>
      <c r="Y94" s="1446"/>
      <c r="Z94" s="1446"/>
      <c r="AA94" s="1446"/>
      <c r="AB94" s="1446"/>
      <c r="AC94" s="1446"/>
      <c r="AD94" s="1446"/>
      <c r="AE94" s="1446"/>
      <c r="AF94" s="1446"/>
      <c r="AG94" s="1446"/>
      <c r="AH94" s="1485"/>
      <c r="AI94" s="1485"/>
      <c r="AJ94" s="1485"/>
      <c r="AK94" s="1485"/>
      <c r="AL94" s="1485"/>
      <c r="AM94" s="1485"/>
      <c r="AN94" s="1485"/>
      <c r="AO94" s="1485"/>
      <c r="AP94" s="1485"/>
      <c r="AQ94" s="1485"/>
      <c r="AR94" s="1485"/>
      <c r="AS94" s="1485"/>
      <c r="AT94" s="1485"/>
      <c r="AU94" s="1485"/>
      <c r="AV94" s="1485"/>
      <c r="AW94" s="1485"/>
      <c r="AX94" s="1485"/>
      <c r="AY94" s="1485"/>
      <c r="AZ94" s="1485"/>
      <c r="BA94" s="1485"/>
      <c r="BF94" s="1443"/>
      <c r="BG94" s="1443"/>
      <c r="BH94" s="1443"/>
      <c r="BI94" s="1443"/>
      <c r="BJ94" s="1443"/>
      <c r="BK94" s="1443"/>
      <c r="BL94" s="1443"/>
      <c r="BM94" s="1443"/>
      <c r="BN94" s="1443"/>
      <c r="BO94" s="1443"/>
      <c r="BP94" s="1443"/>
      <c r="BQ94" s="1443"/>
      <c r="BR94" s="1443"/>
      <c r="BS94" s="1443"/>
      <c r="BT94" s="1443"/>
      <c r="BU94" s="1443"/>
      <c r="BV94" s="1443"/>
      <c r="BW94" s="1443"/>
      <c r="BX94" s="1443"/>
      <c r="BY94" s="1443"/>
      <c r="BZ94" s="1443"/>
      <c r="CA94" s="1443"/>
      <c r="CB94" s="1443"/>
      <c r="CC94" s="1443"/>
      <c r="CD94" s="1443"/>
      <c r="CE94" s="1443"/>
      <c r="CF94" s="1443"/>
      <c r="CG94" s="1443"/>
      <c r="CH94" s="1443"/>
    </row>
    <row r="95" spans="10:86">
      <c r="J95" s="45"/>
      <c r="K95" s="45"/>
      <c r="L95" s="45"/>
      <c r="M95" s="45"/>
      <c r="N95" s="45"/>
      <c r="O95" s="269"/>
      <c r="P95" s="269"/>
      <c r="Q95" s="269"/>
      <c r="R95" s="269"/>
      <c r="S95" s="269"/>
      <c r="T95" s="1505"/>
      <c r="U95" s="1505"/>
      <c r="V95" s="1505"/>
      <c r="W95" s="1505"/>
      <c r="X95" s="1505"/>
      <c r="Y95" s="1446"/>
      <c r="Z95" s="1446"/>
      <c r="AA95" s="1446"/>
      <c r="AB95" s="1446"/>
      <c r="AC95" s="1446"/>
      <c r="AD95" s="1446"/>
      <c r="AE95" s="1446"/>
      <c r="AF95" s="1446"/>
      <c r="AG95" s="1446"/>
      <c r="AH95" s="1485"/>
      <c r="AI95" s="1485"/>
      <c r="AJ95" s="1485"/>
      <c r="AK95" s="1485"/>
      <c r="AL95" s="1485"/>
      <c r="AM95" s="1485"/>
      <c r="AN95" s="1485"/>
      <c r="AO95" s="1485"/>
      <c r="AP95" s="1485"/>
      <c r="AQ95" s="1485"/>
      <c r="AR95" s="1485"/>
      <c r="AS95" s="1485"/>
      <c r="AT95" s="1485"/>
      <c r="AU95" s="1485"/>
      <c r="AV95" s="1485"/>
      <c r="AW95" s="1485"/>
      <c r="AX95" s="1485"/>
      <c r="AY95" s="1485"/>
      <c r="AZ95" s="1485"/>
      <c r="BA95" s="1485"/>
      <c r="BF95" s="1443"/>
      <c r="BG95" s="1443"/>
      <c r="BH95" s="1443"/>
      <c r="BI95" s="1443"/>
      <c r="BJ95" s="1443"/>
      <c r="BK95" s="1443"/>
      <c r="BL95" s="1443"/>
      <c r="BM95" s="1443"/>
      <c r="BN95" s="1443"/>
      <c r="BO95" s="1443"/>
      <c r="BP95" s="1443"/>
      <c r="BQ95" s="1443"/>
      <c r="BR95" s="1443"/>
      <c r="BS95" s="1443"/>
      <c r="BT95" s="1443"/>
      <c r="BU95" s="1443"/>
      <c r="BV95" s="1443"/>
      <c r="BW95" s="1443"/>
      <c r="BX95" s="1443"/>
      <c r="BY95" s="1443"/>
      <c r="BZ95" s="1443"/>
      <c r="CA95" s="1443"/>
      <c r="CB95" s="1443"/>
      <c r="CC95" s="1443"/>
      <c r="CD95" s="1443"/>
      <c r="CE95" s="1443"/>
      <c r="CF95" s="1443"/>
      <c r="CG95" s="1443"/>
      <c r="CH95" s="1443"/>
    </row>
    <row r="96" spans="10:86">
      <c r="J96" s="45"/>
      <c r="K96" s="45"/>
      <c r="L96" s="45"/>
      <c r="M96" s="45"/>
      <c r="N96" s="45"/>
      <c r="O96" s="269"/>
      <c r="P96" s="269"/>
      <c r="Q96" s="269"/>
      <c r="R96" s="269"/>
      <c r="S96" s="269"/>
      <c r="T96" s="1505"/>
      <c r="U96" s="1505"/>
      <c r="V96" s="1505"/>
      <c r="W96" s="1505"/>
      <c r="X96" s="1505"/>
      <c r="Y96" s="1446"/>
      <c r="Z96" s="1446"/>
      <c r="AA96" s="1446"/>
      <c r="AB96" s="1446"/>
      <c r="AC96" s="1446"/>
      <c r="AD96" s="1446"/>
      <c r="AE96" s="1446"/>
      <c r="AF96" s="1446"/>
      <c r="AG96" s="1446"/>
      <c r="AH96" s="1485"/>
      <c r="AI96" s="1485"/>
      <c r="AJ96" s="1485"/>
      <c r="AK96" s="1485"/>
      <c r="AL96" s="1485"/>
      <c r="AM96" s="1485"/>
      <c r="AN96" s="1485"/>
      <c r="AO96" s="1485"/>
      <c r="AP96" s="1485"/>
      <c r="AQ96" s="1485"/>
      <c r="AR96" s="1485"/>
      <c r="AS96" s="1485"/>
      <c r="AT96" s="1485"/>
      <c r="AU96" s="1485"/>
      <c r="AV96" s="1485"/>
      <c r="AW96" s="1485"/>
      <c r="AX96" s="1485"/>
      <c r="AY96" s="1485"/>
      <c r="AZ96" s="1485"/>
      <c r="BA96" s="1485"/>
      <c r="BF96" s="1443"/>
      <c r="BG96" s="1443"/>
      <c r="BH96" s="1443"/>
      <c r="BI96" s="1443"/>
      <c r="BJ96" s="1443"/>
      <c r="BK96" s="1443"/>
      <c r="BL96" s="1443"/>
      <c r="BM96" s="1443"/>
      <c r="BN96" s="1443"/>
      <c r="BO96" s="1443"/>
      <c r="BP96" s="1443"/>
      <c r="BQ96" s="1443"/>
      <c r="BR96" s="1443"/>
      <c r="BS96" s="1443"/>
      <c r="BT96" s="1443"/>
      <c r="BU96" s="1443"/>
      <c r="BV96" s="1443"/>
      <c r="BW96" s="1443"/>
      <c r="BX96" s="1443"/>
      <c r="BY96" s="1443"/>
      <c r="BZ96" s="1443"/>
      <c r="CA96" s="1443"/>
      <c r="CB96" s="1443"/>
      <c r="CC96" s="1443"/>
      <c r="CD96" s="1443"/>
      <c r="CE96" s="1443"/>
      <c r="CF96" s="1443"/>
      <c r="CG96" s="1443"/>
      <c r="CH96" s="1443"/>
    </row>
    <row r="97" spans="10:86">
      <c r="J97" s="45"/>
      <c r="K97" s="45"/>
      <c r="L97" s="45"/>
      <c r="M97" s="45"/>
      <c r="N97" s="45"/>
      <c r="O97" s="269"/>
      <c r="P97" s="269"/>
      <c r="Q97" s="269"/>
      <c r="R97" s="269"/>
      <c r="S97" s="269"/>
      <c r="T97" s="1505"/>
      <c r="U97" s="1505"/>
      <c r="V97" s="1505"/>
      <c r="W97" s="1505"/>
      <c r="X97" s="1505"/>
      <c r="Y97" s="1446"/>
      <c r="Z97" s="1446"/>
      <c r="AA97" s="1446"/>
      <c r="AB97" s="1446"/>
      <c r="AC97" s="1446"/>
      <c r="AD97" s="1446"/>
      <c r="AE97" s="1446"/>
      <c r="AF97" s="1446"/>
      <c r="AG97" s="1446"/>
      <c r="AH97" s="1485"/>
      <c r="AI97" s="1485"/>
      <c r="AJ97" s="1485"/>
      <c r="AK97" s="1485"/>
      <c r="AL97" s="1485"/>
      <c r="AM97" s="1485"/>
      <c r="AN97" s="1485"/>
      <c r="AO97" s="1485"/>
      <c r="AP97" s="1485"/>
      <c r="AQ97" s="1485"/>
      <c r="AR97" s="1485"/>
      <c r="AS97" s="1485"/>
      <c r="AT97" s="1485"/>
      <c r="AU97" s="1485"/>
      <c r="AV97" s="1485"/>
      <c r="AW97" s="1485"/>
      <c r="AX97" s="1485"/>
      <c r="AY97" s="1485"/>
      <c r="AZ97" s="1485"/>
      <c r="BA97" s="1485"/>
      <c r="BF97" s="1443"/>
      <c r="BG97" s="1443"/>
      <c r="BH97" s="1443"/>
      <c r="BI97" s="1443"/>
      <c r="BJ97" s="1443"/>
      <c r="BK97" s="1443"/>
      <c r="BL97" s="1443"/>
      <c r="BM97" s="1443"/>
      <c r="BN97" s="1443"/>
      <c r="BO97" s="1443"/>
      <c r="BP97" s="1443"/>
      <c r="BQ97" s="1443"/>
      <c r="BR97" s="1443"/>
      <c r="BS97" s="1443"/>
      <c r="BT97" s="1443"/>
      <c r="BU97" s="1443"/>
      <c r="BV97" s="1443"/>
      <c r="BW97" s="1443"/>
      <c r="BX97" s="1443"/>
      <c r="BY97" s="1443"/>
      <c r="BZ97" s="1443"/>
      <c r="CA97" s="1443"/>
      <c r="CB97" s="1443"/>
      <c r="CC97" s="1443"/>
      <c r="CD97" s="1443"/>
      <c r="CE97" s="1443"/>
      <c r="CF97" s="1443"/>
      <c r="CG97" s="1443"/>
      <c r="CH97" s="1443"/>
    </row>
    <row r="98" spans="10:86">
      <c r="J98" s="45"/>
      <c r="K98" s="45"/>
      <c r="L98" s="45"/>
      <c r="M98" s="45"/>
      <c r="N98" s="45"/>
      <c r="O98" s="290"/>
      <c r="P98" s="290"/>
      <c r="Q98" s="290"/>
      <c r="R98" s="290"/>
      <c r="S98" s="290"/>
      <c r="T98" s="1505"/>
      <c r="U98" s="1505"/>
      <c r="V98" s="1505"/>
      <c r="W98" s="1505"/>
      <c r="X98" s="1505"/>
      <c r="Y98" s="1446"/>
      <c r="Z98" s="1446"/>
      <c r="AA98" s="1446"/>
      <c r="AB98" s="1446"/>
      <c r="AC98" s="1446"/>
      <c r="AD98" s="1446"/>
      <c r="AE98" s="1446"/>
      <c r="AF98" s="1446"/>
      <c r="AG98" s="1446"/>
      <c r="AH98" s="1485"/>
      <c r="AI98" s="1485"/>
      <c r="AJ98" s="1485"/>
      <c r="AK98" s="1485"/>
      <c r="AL98" s="1485"/>
      <c r="AM98" s="1485"/>
      <c r="AN98" s="1485"/>
      <c r="AO98" s="1485"/>
      <c r="AP98" s="1485"/>
      <c r="AQ98" s="1485"/>
      <c r="AR98" s="1485"/>
      <c r="AS98" s="1485"/>
      <c r="AT98" s="1485"/>
      <c r="AU98" s="1485"/>
      <c r="AV98" s="1485"/>
      <c r="AW98" s="1485"/>
      <c r="AX98" s="1485"/>
      <c r="AY98" s="1485"/>
      <c r="AZ98" s="1485"/>
      <c r="BA98" s="1485"/>
      <c r="BF98" s="1443"/>
      <c r="BG98" s="1443"/>
      <c r="BH98" s="1443"/>
      <c r="BI98" s="1443"/>
      <c r="BJ98" s="1443"/>
      <c r="BK98" s="1443"/>
      <c r="BL98" s="1443"/>
      <c r="BM98" s="1443"/>
      <c r="BN98" s="1443"/>
      <c r="BO98" s="1443"/>
      <c r="BP98" s="1443"/>
      <c r="BQ98" s="1443"/>
      <c r="BR98" s="1443"/>
      <c r="BS98" s="1443"/>
      <c r="BT98" s="1443"/>
      <c r="BU98" s="1443"/>
      <c r="BV98" s="1443"/>
      <c r="BW98" s="1443"/>
      <c r="BX98" s="1443"/>
      <c r="BY98" s="1443"/>
      <c r="BZ98" s="1443"/>
      <c r="CA98" s="1443"/>
      <c r="CB98" s="1443"/>
      <c r="CC98" s="1443"/>
      <c r="CD98" s="1443"/>
      <c r="CE98" s="1443"/>
      <c r="CF98" s="1443"/>
      <c r="CG98" s="1443"/>
      <c r="CH98" s="1443"/>
    </row>
    <row r="99" spans="10:86">
      <c r="J99" s="45"/>
      <c r="K99" s="45"/>
      <c r="L99" s="45"/>
      <c r="M99" s="45"/>
      <c r="N99" s="45"/>
      <c r="S99" s="290"/>
      <c r="T99" s="1505"/>
      <c r="U99" s="1505"/>
      <c r="V99" s="1505"/>
      <c r="W99" s="1505"/>
      <c r="X99" s="1505"/>
      <c r="Y99" s="1446"/>
      <c r="Z99" s="1446"/>
      <c r="AA99" s="1446"/>
      <c r="AB99" s="1446"/>
      <c r="AC99" s="1446"/>
      <c r="AD99" s="1446"/>
      <c r="AE99" s="1446"/>
      <c r="AF99" s="1446"/>
      <c r="AG99" s="1446"/>
      <c r="AH99" s="1485"/>
      <c r="AI99" s="1485"/>
      <c r="AJ99" s="1485"/>
      <c r="AK99" s="1485"/>
      <c r="AL99" s="1485"/>
      <c r="AM99" s="1485"/>
      <c r="AN99" s="1485"/>
      <c r="AO99" s="1485"/>
      <c r="AP99" s="1485"/>
      <c r="AQ99" s="1485"/>
      <c r="AR99" s="1485"/>
      <c r="AS99" s="1485"/>
      <c r="AT99" s="1485"/>
      <c r="AU99" s="1485"/>
      <c r="AV99" s="1485"/>
      <c r="AW99" s="1485"/>
      <c r="AX99" s="1485"/>
      <c r="AY99" s="1485"/>
      <c r="AZ99" s="1485"/>
      <c r="BA99" s="1485"/>
      <c r="BF99" s="1443"/>
      <c r="BG99" s="1443"/>
      <c r="BH99" s="1443"/>
      <c r="BI99" s="1443"/>
      <c r="BJ99" s="1443"/>
      <c r="BK99" s="1443"/>
      <c r="BL99" s="1443"/>
      <c r="BM99" s="1443"/>
      <c r="BN99" s="1443"/>
      <c r="BO99" s="1443"/>
      <c r="BP99" s="1443"/>
      <c r="BQ99" s="1443"/>
      <c r="BR99" s="1443"/>
      <c r="BS99" s="1443"/>
      <c r="BT99" s="1443"/>
      <c r="BU99" s="1443"/>
      <c r="BV99" s="1443"/>
      <c r="BW99" s="1443"/>
      <c r="BX99" s="1443"/>
      <c r="BY99" s="1443"/>
      <c r="BZ99" s="1443"/>
      <c r="CA99" s="1443"/>
      <c r="CB99" s="1443"/>
      <c r="CC99" s="1443"/>
      <c r="CD99" s="1443"/>
      <c r="CE99" s="1443"/>
      <c r="CF99" s="1443"/>
      <c r="CG99" s="1443"/>
      <c r="CH99" s="1443"/>
    </row>
    <row r="100" spans="10:86">
      <c r="J100" s="45"/>
      <c r="K100" s="45"/>
      <c r="L100" s="45"/>
      <c r="M100" s="45"/>
      <c r="N100" s="45"/>
      <c r="S100" s="290"/>
      <c r="T100" s="1505"/>
      <c r="U100" s="1505"/>
      <c r="V100" s="1505"/>
      <c r="W100" s="1505"/>
      <c r="X100" s="1505"/>
      <c r="Y100" s="1446"/>
      <c r="Z100" s="1446"/>
      <c r="AA100" s="1446"/>
      <c r="AB100" s="1446"/>
      <c r="AC100" s="1446"/>
      <c r="AD100" s="1446"/>
      <c r="AE100" s="1446"/>
      <c r="AF100" s="1446"/>
      <c r="AG100" s="1446"/>
      <c r="AH100" s="1485"/>
      <c r="AI100" s="1485"/>
      <c r="AJ100" s="1485"/>
      <c r="AK100" s="1485"/>
      <c r="AL100" s="1485"/>
      <c r="AM100" s="1485"/>
      <c r="AN100" s="1485"/>
      <c r="AO100" s="1485"/>
      <c r="AP100" s="1485"/>
      <c r="AQ100" s="1485"/>
      <c r="AR100" s="1485"/>
      <c r="AS100" s="1485"/>
      <c r="AT100" s="1485"/>
      <c r="AU100" s="1485"/>
      <c r="AV100" s="1485"/>
      <c r="AW100" s="1485"/>
      <c r="AX100" s="1485"/>
      <c r="AY100" s="1485"/>
      <c r="AZ100" s="1485"/>
      <c r="BA100" s="1485"/>
      <c r="BF100" s="1443"/>
      <c r="BG100" s="1443"/>
      <c r="BH100" s="1443"/>
      <c r="BI100" s="1443"/>
      <c r="BJ100" s="1443"/>
      <c r="BK100" s="1443"/>
      <c r="BL100" s="1443"/>
      <c r="BM100" s="1443"/>
      <c r="BN100" s="1443"/>
      <c r="BO100" s="1443"/>
      <c r="BP100" s="1443"/>
      <c r="BQ100" s="1443"/>
      <c r="BR100" s="1443"/>
      <c r="BS100" s="1443"/>
      <c r="BT100" s="1443"/>
      <c r="BU100" s="1443"/>
      <c r="BV100" s="1443"/>
      <c r="BW100" s="1443"/>
      <c r="BX100" s="1443"/>
      <c r="BY100" s="1443"/>
      <c r="BZ100" s="1443"/>
      <c r="CA100" s="1443"/>
      <c r="CB100" s="1443"/>
      <c r="CC100" s="1443"/>
      <c r="CD100" s="1443"/>
      <c r="CE100" s="1443"/>
      <c r="CF100" s="1443"/>
      <c r="CG100" s="1443"/>
      <c r="CH100" s="1443"/>
    </row>
    <row r="101" spans="10:86">
      <c r="J101" s="45"/>
      <c r="K101" s="45"/>
      <c r="L101" s="45"/>
      <c r="M101" s="45"/>
      <c r="N101" s="45"/>
      <c r="S101" s="290"/>
      <c r="T101" s="1505"/>
      <c r="U101" s="1505"/>
      <c r="V101" s="1505"/>
      <c r="W101" s="1505"/>
      <c r="X101" s="1505"/>
      <c r="Y101" s="1446"/>
      <c r="Z101" s="1446"/>
      <c r="AA101" s="1446"/>
      <c r="AB101" s="1446"/>
      <c r="AC101" s="1446"/>
      <c r="AD101" s="1446"/>
      <c r="AE101" s="1446"/>
      <c r="AF101" s="1446"/>
      <c r="AG101" s="1446"/>
      <c r="AH101" s="1485"/>
      <c r="AI101" s="1485"/>
      <c r="AJ101" s="1485"/>
      <c r="AK101" s="1485"/>
      <c r="AL101" s="1485"/>
      <c r="AM101" s="1485"/>
      <c r="AN101" s="1485"/>
      <c r="AO101" s="1485"/>
      <c r="AP101" s="1485"/>
      <c r="AQ101" s="1485"/>
      <c r="AR101" s="1485"/>
      <c r="AS101" s="1485"/>
      <c r="AT101" s="1485"/>
      <c r="AU101" s="1485"/>
      <c r="AV101" s="1485"/>
      <c r="AW101" s="1485"/>
      <c r="AX101" s="1485"/>
      <c r="AY101" s="1485"/>
      <c r="AZ101" s="1485"/>
      <c r="BA101" s="1485"/>
      <c r="BF101" s="1443"/>
      <c r="BG101" s="1443"/>
      <c r="BH101" s="1443"/>
      <c r="BI101" s="1443"/>
      <c r="BJ101" s="1443"/>
      <c r="BK101" s="1443"/>
      <c r="BL101" s="1443"/>
      <c r="BM101" s="1443"/>
      <c r="BN101" s="1443"/>
      <c r="BO101" s="1443"/>
      <c r="BP101" s="1443"/>
      <c r="BQ101" s="1443"/>
      <c r="BR101" s="1443"/>
      <c r="BS101" s="1443"/>
      <c r="BT101" s="1443"/>
      <c r="BU101" s="1443"/>
      <c r="BV101" s="1443"/>
      <c r="BW101" s="1443"/>
      <c r="BX101" s="1443"/>
      <c r="BY101" s="1443"/>
      <c r="BZ101" s="1443"/>
      <c r="CA101" s="1443"/>
      <c r="CB101" s="1443"/>
      <c r="CC101" s="1443"/>
      <c r="CD101" s="1443"/>
      <c r="CE101" s="1443"/>
      <c r="CF101" s="1443"/>
      <c r="CG101" s="1443"/>
      <c r="CH101" s="1443"/>
    </row>
    <row r="102" spans="10:86">
      <c r="J102" s="45"/>
      <c r="K102" s="45"/>
      <c r="L102" s="45"/>
      <c r="M102" s="45"/>
      <c r="N102" s="45"/>
      <c r="S102" s="290"/>
      <c r="T102" s="1505"/>
      <c r="U102" s="1505"/>
      <c r="V102" s="1505"/>
      <c r="W102" s="1505"/>
      <c r="X102" s="1505"/>
      <c r="Y102" s="1446"/>
      <c r="Z102" s="1446"/>
      <c r="AA102" s="1446"/>
      <c r="AB102" s="1446"/>
      <c r="AC102" s="1446"/>
      <c r="AD102" s="1446"/>
      <c r="AE102" s="1446"/>
      <c r="AF102" s="1446"/>
      <c r="AG102" s="1446"/>
      <c r="AH102" s="1485"/>
      <c r="AI102" s="1485"/>
      <c r="AJ102" s="1485"/>
      <c r="AK102" s="1485"/>
      <c r="AL102" s="1485"/>
      <c r="AM102" s="1485"/>
      <c r="AN102" s="1485"/>
      <c r="AO102" s="1485"/>
      <c r="AP102" s="1485"/>
      <c r="AQ102" s="1485"/>
      <c r="AR102" s="1485"/>
      <c r="AS102" s="1485"/>
      <c r="AT102" s="1485"/>
      <c r="AU102" s="1485"/>
      <c r="AV102" s="1485"/>
      <c r="AW102" s="1485"/>
      <c r="AX102" s="1485"/>
      <c r="AY102" s="1485"/>
      <c r="AZ102" s="1485"/>
      <c r="BA102" s="1485"/>
      <c r="BF102" s="1443"/>
      <c r="BG102" s="1443"/>
      <c r="BH102" s="1443"/>
      <c r="BI102" s="1443"/>
      <c r="BJ102" s="1443"/>
      <c r="BK102" s="1443"/>
      <c r="BL102" s="1443"/>
      <c r="BM102" s="1443"/>
      <c r="BN102" s="1443"/>
      <c r="BO102" s="1443"/>
      <c r="BP102" s="1443"/>
      <c r="BQ102" s="1443"/>
      <c r="BR102" s="1443"/>
      <c r="BS102" s="1443"/>
      <c r="BT102" s="1443"/>
      <c r="BU102" s="1443"/>
      <c r="BV102" s="1443"/>
      <c r="BW102" s="1443"/>
      <c r="BX102" s="1443"/>
      <c r="BY102" s="1443"/>
      <c r="BZ102" s="1443"/>
      <c r="CA102" s="1443"/>
      <c r="CB102" s="1443"/>
      <c r="CC102" s="1443"/>
      <c r="CD102" s="1443"/>
      <c r="CE102" s="1443"/>
      <c r="CF102" s="1443"/>
      <c r="CG102" s="1443"/>
      <c r="CH102" s="1443"/>
    </row>
    <row r="103" spans="10:86">
      <c r="J103" s="45"/>
      <c r="K103" s="45"/>
      <c r="L103" s="45"/>
      <c r="M103" s="45"/>
      <c r="N103" s="45"/>
      <c r="S103" s="290"/>
      <c r="T103" s="1505"/>
      <c r="U103" s="1505"/>
      <c r="V103" s="1505"/>
      <c r="W103" s="1505"/>
      <c r="X103" s="1505"/>
      <c r="Y103" s="1446"/>
      <c r="Z103" s="1446"/>
      <c r="AA103" s="1446"/>
      <c r="AB103" s="1446"/>
      <c r="AC103" s="1446"/>
      <c r="AD103" s="1446"/>
      <c r="AE103" s="1446"/>
      <c r="AF103" s="1446"/>
      <c r="AG103" s="1446"/>
      <c r="AH103" s="1485"/>
      <c r="AI103" s="1485"/>
      <c r="AJ103" s="1485"/>
      <c r="AK103" s="1485"/>
      <c r="AL103" s="1485"/>
      <c r="AM103" s="1485"/>
      <c r="AN103" s="1485"/>
      <c r="AO103" s="1485"/>
      <c r="AP103" s="1485"/>
      <c r="AQ103" s="1485"/>
      <c r="AR103" s="1485"/>
      <c r="AS103" s="1485"/>
      <c r="AT103" s="1485"/>
      <c r="AU103" s="1485"/>
      <c r="AV103" s="1485"/>
      <c r="AW103" s="1485"/>
      <c r="AX103" s="1485"/>
      <c r="AY103" s="1485"/>
      <c r="AZ103" s="1485"/>
      <c r="BA103" s="1485"/>
      <c r="BF103" s="1443"/>
      <c r="BG103" s="1443"/>
      <c r="BH103" s="1443"/>
      <c r="BI103" s="1443"/>
      <c r="BJ103" s="1443"/>
      <c r="BK103" s="1443"/>
      <c r="BL103" s="1443"/>
      <c r="BM103" s="1443"/>
      <c r="BN103" s="1443"/>
      <c r="BO103" s="1443"/>
      <c r="BP103" s="1443"/>
      <c r="BQ103" s="1443"/>
      <c r="BR103" s="1443"/>
      <c r="BS103" s="1443"/>
      <c r="BT103" s="1443"/>
      <c r="BU103" s="1443"/>
      <c r="BV103" s="1443"/>
      <c r="BW103" s="1443"/>
      <c r="BX103" s="1443"/>
      <c r="BY103" s="1443"/>
      <c r="BZ103" s="1443"/>
      <c r="CA103" s="1443"/>
      <c r="CB103" s="1443"/>
      <c r="CC103" s="1443"/>
      <c r="CD103" s="1443"/>
      <c r="CE103" s="1443"/>
      <c r="CF103" s="1443"/>
      <c r="CG103" s="1443"/>
      <c r="CH103" s="1443"/>
    </row>
  </sheetData>
  <sheetProtection password="DFE4" sheet="1" objects="1" scenarios="1" formatColumns="0"/>
  <protectedRanges>
    <protectedRange sqref="E35:E36 E32:E33" name="範圍1"/>
    <protectedRange sqref="O93 P94 Q95 R96 S97" name="範圍1_1"/>
  </protectedRanges>
  <mergeCells count="31">
    <mergeCell ref="AT32:BA34"/>
    <mergeCell ref="C33:D33"/>
    <mergeCell ref="AL33:AO33"/>
    <mergeCell ref="B2:G2"/>
    <mergeCell ref="B19:G19"/>
    <mergeCell ref="B30:G30"/>
    <mergeCell ref="X6:Y6"/>
    <mergeCell ref="AA6:AB6"/>
    <mergeCell ref="L29:U29"/>
    <mergeCell ref="W29:AF29"/>
    <mergeCell ref="AT3:BA5"/>
    <mergeCell ref="L4:L6"/>
    <mergeCell ref="M4:O4"/>
    <mergeCell ref="P4:R4"/>
    <mergeCell ref="S4:U5"/>
    <mergeCell ref="W4:W6"/>
    <mergeCell ref="AL4:AO4"/>
    <mergeCell ref="M5:O5"/>
    <mergeCell ref="P5:R5"/>
    <mergeCell ref="X5:Z5"/>
    <mergeCell ref="AA5:AC5"/>
    <mergeCell ref="M6:N6"/>
    <mergeCell ref="P6:Q6"/>
    <mergeCell ref="I2:J2"/>
    <mergeCell ref="L2:U2"/>
    <mergeCell ref="W2:AF2"/>
    <mergeCell ref="L3:U3"/>
    <mergeCell ref="W3:AF3"/>
    <mergeCell ref="X4:Z4"/>
    <mergeCell ref="AA4:AC4"/>
    <mergeCell ref="AD4:AF5"/>
  </mergeCells>
  <phoneticPr fontId="143" type="noConversion"/>
  <conditionalFormatting sqref="J22:J25">
    <cfRule type="cellIs" dxfId="28" priority="2" operator="equal">
      <formula>$K$4</formula>
    </cfRule>
  </conditionalFormatting>
  <dataValidations count="2">
    <dataValidation type="list" allowBlank="1" showInputMessage="1" showErrorMessage="1" sqref="C33" xr:uid="{00000000-0002-0000-1800-000000000000}">
      <formula1>$AK$64:$AK$65</formula1>
    </dataValidation>
    <dataValidation type="list" allowBlank="1" showInputMessage="1" showErrorMessage="1" sqref="F22:G22" xr:uid="{00000000-0002-0000-1800-000001000000}">
      <formula1>$J$22:$J$25</formula1>
    </dataValidation>
  </dataValidations>
  <pageMargins left="0.75" right="0.75" top="1" bottom="1" header="0.5" footer="0.5"/>
  <pageSetup paperSize="9" scale="8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autoFill="0" autoPict="0" macro="[0]!Home">
                <anchor>
                  <from>
                    <xdr:col>8</xdr:col>
                    <xdr:colOff>12700</xdr:colOff>
                    <xdr:row>7</xdr:row>
                    <xdr:rowOff>69850</xdr:rowOff>
                  </from>
                  <to>
                    <xdr:col>9</xdr:col>
                    <xdr:colOff>184150</xdr:colOff>
                    <xdr:row>9</xdr:row>
                    <xdr:rowOff>69850</xdr:rowOff>
                  </to>
                </anchor>
              </controlPr>
            </control>
          </mc:Choice>
        </mc:AlternateContent>
        <mc:AlternateContent xmlns:mc="http://schemas.openxmlformats.org/markup-compatibility/2006">
          <mc:Choice Requires="x14">
            <control shapeId="363522" r:id="rId5" name="Check Box 2">
              <controlPr defaultSize="0" autoFill="0" autoLine="0" autoPict="0">
                <anchor moveWithCells="1">
                  <from>
                    <xdr:col>3</xdr:col>
                    <xdr:colOff>508000</xdr:colOff>
                    <xdr:row>3</xdr:row>
                    <xdr:rowOff>69850</xdr:rowOff>
                  </from>
                  <to>
                    <xdr:col>5</xdr:col>
                    <xdr:colOff>527050</xdr:colOff>
                    <xdr:row>4</xdr:row>
                    <xdr:rowOff>95250</xdr:rowOff>
                  </to>
                </anchor>
              </controlPr>
            </control>
          </mc:Choice>
        </mc:AlternateContent>
        <mc:AlternateContent xmlns:mc="http://schemas.openxmlformats.org/markup-compatibility/2006">
          <mc:Choice Requires="x14">
            <control shapeId="363523" r:id="rId6" name="Check Box 3">
              <controlPr defaultSize="0" autoFill="0" autoLine="0" autoPict="0">
                <anchor moveWithCells="1">
                  <from>
                    <xdr:col>1</xdr:col>
                    <xdr:colOff>76200</xdr:colOff>
                    <xdr:row>4</xdr:row>
                    <xdr:rowOff>76200</xdr:rowOff>
                  </from>
                  <to>
                    <xdr:col>3</xdr:col>
                    <xdr:colOff>228600</xdr:colOff>
                    <xdr:row>5</xdr:row>
                    <xdr:rowOff>146050</xdr:rowOff>
                  </to>
                </anchor>
              </controlPr>
            </control>
          </mc:Choice>
        </mc:AlternateContent>
        <mc:AlternateContent xmlns:mc="http://schemas.openxmlformats.org/markup-compatibility/2006">
          <mc:Choice Requires="x14">
            <control shapeId="363524" r:id="rId7" name="Check Box 4">
              <controlPr defaultSize="0" autoFill="0" autoLine="0" autoPict="0">
                <anchor moveWithCells="1">
                  <from>
                    <xdr:col>1</xdr:col>
                    <xdr:colOff>76200</xdr:colOff>
                    <xdr:row>5</xdr:row>
                    <xdr:rowOff>107950</xdr:rowOff>
                  </from>
                  <to>
                    <xdr:col>2</xdr:col>
                    <xdr:colOff>762000</xdr:colOff>
                    <xdr:row>6</xdr:row>
                    <xdr:rowOff>152400</xdr:rowOff>
                  </to>
                </anchor>
              </controlPr>
            </control>
          </mc:Choice>
        </mc:AlternateContent>
        <mc:AlternateContent xmlns:mc="http://schemas.openxmlformats.org/markup-compatibility/2006">
          <mc:Choice Requires="x14">
            <control shapeId="363525" r:id="rId8" name="Check Box 5">
              <controlPr defaultSize="0" autoFill="0" autoLine="0" autoPict="0">
                <anchor moveWithCells="1">
                  <from>
                    <xdr:col>3</xdr:col>
                    <xdr:colOff>508000</xdr:colOff>
                    <xdr:row>2</xdr:row>
                    <xdr:rowOff>38100</xdr:rowOff>
                  </from>
                  <to>
                    <xdr:col>7</xdr:col>
                    <xdr:colOff>133350</xdr:colOff>
                    <xdr:row>3</xdr:row>
                    <xdr:rowOff>95250</xdr:rowOff>
                  </to>
                </anchor>
              </controlPr>
            </control>
          </mc:Choice>
        </mc:AlternateContent>
        <mc:AlternateContent xmlns:mc="http://schemas.openxmlformats.org/markup-compatibility/2006">
          <mc:Choice Requires="x14">
            <control shapeId="363526" r:id="rId9" name="Check Box 6">
              <controlPr defaultSize="0" autoFill="0" autoLine="0" autoPict="0">
                <anchor moveWithCells="1">
                  <from>
                    <xdr:col>3</xdr:col>
                    <xdr:colOff>508000</xdr:colOff>
                    <xdr:row>4</xdr:row>
                    <xdr:rowOff>88900</xdr:rowOff>
                  </from>
                  <to>
                    <xdr:col>5</xdr:col>
                    <xdr:colOff>76200</xdr:colOff>
                    <xdr:row>5</xdr:row>
                    <xdr:rowOff>133350</xdr:rowOff>
                  </to>
                </anchor>
              </controlPr>
            </control>
          </mc:Choice>
        </mc:AlternateContent>
        <mc:AlternateContent xmlns:mc="http://schemas.openxmlformats.org/markup-compatibility/2006">
          <mc:Choice Requires="x14">
            <control shapeId="363527" r:id="rId10" name="Check Box 7">
              <controlPr defaultSize="0" autoFill="0" autoLine="0" autoPict="0">
                <anchor moveWithCells="1">
                  <from>
                    <xdr:col>3</xdr:col>
                    <xdr:colOff>508000</xdr:colOff>
                    <xdr:row>5</xdr:row>
                    <xdr:rowOff>95250</xdr:rowOff>
                  </from>
                  <to>
                    <xdr:col>5</xdr:col>
                    <xdr:colOff>50800</xdr:colOff>
                    <xdr:row>6</xdr:row>
                    <xdr:rowOff>152400</xdr:rowOff>
                  </to>
                </anchor>
              </controlPr>
            </control>
          </mc:Choice>
        </mc:AlternateContent>
        <mc:AlternateContent xmlns:mc="http://schemas.openxmlformats.org/markup-compatibility/2006">
          <mc:Choice Requires="x14">
            <control shapeId="363528" r:id="rId11" name="Check Box 8">
              <controlPr defaultSize="0" autoFill="0" autoLine="0" autoPict="0">
                <anchor moveWithCells="1">
                  <from>
                    <xdr:col>1</xdr:col>
                    <xdr:colOff>76200</xdr:colOff>
                    <xdr:row>2</xdr:row>
                    <xdr:rowOff>38100</xdr:rowOff>
                  </from>
                  <to>
                    <xdr:col>3</xdr:col>
                    <xdr:colOff>488950</xdr:colOff>
                    <xdr:row>3</xdr:row>
                    <xdr:rowOff>95250</xdr:rowOff>
                  </to>
                </anchor>
              </controlPr>
            </control>
          </mc:Choice>
        </mc:AlternateContent>
        <mc:AlternateContent xmlns:mc="http://schemas.openxmlformats.org/markup-compatibility/2006">
          <mc:Choice Requires="x14">
            <control shapeId="363529" r:id="rId12" name="Check Box 9">
              <controlPr defaultSize="0" autoFill="0" autoLine="0" autoPict="0">
                <anchor moveWithCells="1">
                  <from>
                    <xdr:col>1</xdr:col>
                    <xdr:colOff>76200</xdr:colOff>
                    <xdr:row>3</xdr:row>
                    <xdr:rowOff>69850</xdr:rowOff>
                  </from>
                  <to>
                    <xdr:col>3</xdr:col>
                    <xdr:colOff>374650</xdr:colOff>
                    <xdr:row>4</xdr:row>
                    <xdr:rowOff>95250</xdr:rowOff>
                  </to>
                </anchor>
              </controlPr>
            </control>
          </mc:Choice>
        </mc:AlternateContent>
        <mc:AlternateContent xmlns:mc="http://schemas.openxmlformats.org/markup-compatibility/2006">
          <mc:Choice Requires="x14">
            <control shapeId="363530" r:id="rId13" name="Option Button 10">
              <controlPr defaultSize="0" autoFill="0" autoLine="0" autoPict="0" macro="[0]!AHU_Trane">
                <anchor moveWithCells="1">
                  <from>
                    <xdr:col>8</xdr:col>
                    <xdr:colOff>0</xdr:colOff>
                    <xdr:row>1</xdr:row>
                    <xdr:rowOff>152400</xdr:rowOff>
                  </from>
                  <to>
                    <xdr:col>9</xdr:col>
                    <xdr:colOff>590550</xdr:colOff>
                    <xdr:row>3</xdr:row>
                    <xdr:rowOff>57150</xdr:rowOff>
                  </to>
                </anchor>
              </controlPr>
            </control>
          </mc:Choice>
        </mc:AlternateContent>
        <mc:AlternateContent xmlns:mc="http://schemas.openxmlformats.org/markup-compatibility/2006">
          <mc:Choice Requires="x14">
            <control shapeId="363531" r:id="rId14" name="Option Button 11">
              <controlPr defaultSize="0" autoFill="0" autoLine="0" autoPict="0" macro="[0]!AHU_Saiver">
                <anchor moveWithCells="1">
                  <from>
                    <xdr:col>8</xdr:col>
                    <xdr:colOff>0</xdr:colOff>
                    <xdr:row>2</xdr:row>
                    <xdr:rowOff>146050</xdr:rowOff>
                  </from>
                  <to>
                    <xdr:col>9</xdr:col>
                    <xdr:colOff>603250</xdr:colOff>
                    <xdr:row>4</xdr:row>
                    <xdr:rowOff>38100</xdr:rowOff>
                  </to>
                </anchor>
              </controlPr>
            </control>
          </mc:Choice>
        </mc:AlternateContent>
        <mc:AlternateContent xmlns:mc="http://schemas.openxmlformats.org/markup-compatibility/2006">
          <mc:Choice Requires="x14">
            <control shapeId="363532" r:id="rId15" name="Option Button 12">
              <controlPr defaultSize="0" autoFill="0" autoLine="0" autoPict="0" macro="[0]!ahu_both">
                <anchor moveWithCells="1">
                  <from>
                    <xdr:col>8</xdr:col>
                    <xdr:colOff>0</xdr:colOff>
                    <xdr:row>3</xdr:row>
                    <xdr:rowOff>133350</xdr:rowOff>
                  </from>
                  <to>
                    <xdr:col>9</xdr:col>
                    <xdr:colOff>603250</xdr:colOff>
                    <xdr:row>5</xdr:row>
                    <xdr:rowOff>31750</xdr:rowOff>
                  </to>
                </anchor>
              </controlPr>
            </control>
          </mc:Choice>
        </mc:AlternateContent>
        <mc:AlternateContent xmlns:mc="http://schemas.openxmlformats.org/markup-compatibility/2006">
          <mc:Choice Requires="x14">
            <control shapeId="363533" r:id="rId16" name="Button 13">
              <controlPr defaultSize="0" autoFill="0" autoPict="0" macro="[0]!clear_ahu_dimension">
                <anchor>
                  <from>
                    <xdr:col>8</xdr:col>
                    <xdr:colOff>12700</xdr:colOff>
                    <xdr:row>9</xdr:row>
                    <xdr:rowOff>133350</xdr:rowOff>
                  </from>
                  <to>
                    <xdr:col>9</xdr:col>
                    <xdr:colOff>184150</xdr:colOff>
                    <xdr:row>11</xdr:row>
                    <xdr:rowOff>133350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tabColor theme="7"/>
    <pageSetUpPr fitToPage="1"/>
  </sheetPr>
  <dimension ref="B2:CU152"/>
  <sheetViews>
    <sheetView showGridLines="0" showRowColHeaders="0" zoomScaleNormal="100" workbookViewId="0"/>
  </sheetViews>
  <sheetFormatPr defaultColWidth="9.1796875" defaultRowHeight="11.5"/>
  <cols>
    <col min="1" max="1" width="2.7265625" style="174" customWidth="1"/>
    <col min="2" max="2" width="8.81640625" style="174" customWidth="1"/>
    <col min="3" max="3" width="9.453125" style="174" customWidth="1"/>
    <col min="4" max="4" width="9.81640625" style="174" hidden="1" customWidth="1"/>
    <col min="5" max="5" width="16.81640625" style="174" hidden="1" customWidth="1"/>
    <col min="6" max="6" width="6.453125" style="174" hidden="1" customWidth="1"/>
    <col min="7" max="7" width="5.26953125" style="175" hidden="1" customWidth="1"/>
    <col min="8" max="8" width="9.81640625" style="174" hidden="1" customWidth="1"/>
    <col min="9" max="9" width="16.81640625" style="174" hidden="1" customWidth="1"/>
    <col min="10" max="10" width="6.453125" style="174" hidden="1" customWidth="1"/>
    <col min="11" max="11" width="5.26953125" style="175" hidden="1" customWidth="1"/>
    <col min="12" max="12" width="9.81640625" style="174" hidden="1" customWidth="1"/>
    <col min="13" max="13" width="16.81640625" style="174" hidden="1" customWidth="1"/>
    <col min="14" max="14" width="6.453125" style="174" hidden="1" customWidth="1"/>
    <col min="15" max="15" width="5.26953125" style="175" hidden="1" customWidth="1"/>
    <col min="16" max="16" width="9.81640625" style="174" hidden="1" customWidth="1"/>
    <col min="17" max="17" width="16.81640625" style="174" hidden="1" customWidth="1"/>
    <col min="18" max="18" width="6.453125" style="174" hidden="1" customWidth="1"/>
    <col min="19" max="19" width="5.26953125" style="175" hidden="1" customWidth="1"/>
    <col min="20" max="20" width="11.7265625" style="174" hidden="1" customWidth="1"/>
    <col min="21" max="21" width="16.81640625" style="174" hidden="1" customWidth="1"/>
    <col min="22" max="22" width="6.453125" style="174" hidden="1" customWidth="1"/>
    <col min="23" max="23" width="5.26953125" style="175" hidden="1" customWidth="1"/>
    <col min="24" max="24" width="11.7265625" style="174" hidden="1" customWidth="1"/>
    <col min="25" max="25" width="16.81640625" style="174" hidden="1" customWidth="1"/>
    <col min="26" max="26" width="6.453125" style="174" hidden="1" customWidth="1"/>
    <col min="27" max="27" width="5.26953125" style="175" hidden="1" customWidth="1"/>
    <col min="28" max="28" width="11.7265625" style="174" hidden="1" customWidth="1"/>
    <col min="29" max="29" width="16.81640625" style="174" hidden="1" customWidth="1"/>
    <col min="30" max="30" width="6.453125" style="174" hidden="1" customWidth="1"/>
    <col min="31" max="31" width="5.26953125" style="175" hidden="1" customWidth="1"/>
    <col min="32" max="32" width="11.7265625" style="174" hidden="1" customWidth="1"/>
    <col min="33" max="33" width="16.81640625" style="174" hidden="1" customWidth="1"/>
    <col min="34" max="34" width="6.453125" style="174" hidden="1" customWidth="1"/>
    <col min="35" max="35" width="5.26953125" style="175" hidden="1" customWidth="1"/>
    <col min="36" max="36" width="11.7265625" style="174" hidden="1" customWidth="1"/>
    <col min="37" max="37" width="16.81640625" style="174" hidden="1" customWidth="1"/>
    <col min="38" max="38" width="6.453125" style="174" hidden="1" customWidth="1"/>
    <col min="39" max="39" width="5.26953125" style="175" hidden="1" customWidth="1"/>
    <col min="40" max="40" width="11.7265625" style="174" hidden="1" customWidth="1"/>
    <col min="41" max="41" width="16.81640625" style="174" hidden="1" customWidth="1"/>
    <col min="42" max="42" width="6.453125" style="174" hidden="1" customWidth="1"/>
    <col min="43" max="43" width="5.26953125" style="175" hidden="1" customWidth="1"/>
    <col min="44" max="44" width="11.7265625" style="174" hidden="1" customWidth="1"/>
    <col min="45" max="45" width="16.81640625" style="174" hidden="1" customWidth="1"/>
    <col min="46" max="46" width="6.453125" style="174" hidden="1" customWidth="1"/>
    <col min="47" max="47" width="5.26953125" style="175" hidden="1" customWidth="1"/>
    <col min="48" max="48" width="11.7265625" style="174" hidden="1" customWidth="1"/>
    <col min="49" max="49" width="16.81640625" style="174" hidden="1" customWidth="1"/>
    <col min="50" max="50" width="6.453125" style="174" hidden="1" customWidth="1"/>
    <col min="51" max="51" width="5.26953125" style="175" hidden="1" customWidth="1"/>
    <col min="52" max="52" width="11.7265625" style="174" hidden="1" customWidth="1"/>
    <col min="53" max="53" width="16.81640625" style="174" hidden="1" customWidth="1"/>
    <col min="54" max="54" width="6.453125" style="174" hidden="1" customWidth="1"/>
    <col min="55" max="55" width="5.26953125" style="175" hidden="1" customWidth="1"/>
    <col min="56" max="56" width="11.7265625" style="174" hidden="1" customWidth="1"/>
    <col min="57" max="57" width="16.81640625" style="174" hidden="1" customWidth="1"/>
    <col min="58" max="58" width="6.453125" style="174" hidden="1" customWidth="1"/>
    <col min="59" max="59" width="5.26953125" style="175" hidden="1" customWidth="1"/>
    <col min="60" max="61" width="15.81640625" style="175" hidden="1" customWidth="1"/>
    <col min="62" max="62" width="6.453125" style="175" hidden="1" customWidth="1"/>
    <col min="63" max="63" width="5.26953125" style="175" hidden="1" customWidth="1"/>
    <col min="64" max="65" width="15.81640625" style="175" hidden="1" customWidth="1"/>
    <col min="66" max="66" width="6.453125" style="175" hidden="1" customWidth="1"/>
    <col min="67" max="67" width="5.26953125" style="175" hidden="1" customWidth="1"/>
    <col min="68" max="69" width="15.81640625" style="175" hidden="1" customWidth="1"/>
    <col min="70" max="70" width="6.453125" style="175" hidden="1" customWidth="1"/>
    <col min="71" max="71" width="5.26953125" style="175" hidden="1" customWidth="1"/>
    <col min="72" max="73" width="15.81640625" style="175" hidden="1" customWidth="1"/>
    <col min="74" max="74" width="6.453125" style="175" hidden="1" customWidth="1"/>
    <col min="75" max="75" width="5.26953125" style="175" hidden="1" customWidth="1"/>
    <col min="76" max="77" width="15.81640625" style="175" hidden="1" customWidth="1"/>
    <col min="78" max="78" width="6.453125" style="175" hidden="1" customWidth="1"/>
    <col min="79" max="79" width="5.26953125" style="175" hidden="1" customWidth="1"/>
    <col min="80" max="80" width="8.81640625" style="174" customWidth="1"/>
    <col min="81" max="81" width="16.81640625" style="174" customWidth="1"/>
    <col min="82" max="82" width="6.453125" style="174" customWidth="1"/>
    <col min="83" max="83" width="5.26953125" style="174" customWidth="1"/>
    <col min="84" max="84" width="8.81640625" style="174" customWidth="1"/>
    <col min="85" max="85" width="16.81640625" style="174" customWidth="1"/>
    <col min="86" max="86" width="6.453125" style="174" customWidth="1"/>
    <col min="87" max="87" width="5.26953125" style="174" customWidth="1"/>
    <col min="88" max="88" width="8.81640625" style="174" customWidth="1"/>
    <col min="89" max="89" width="16.81640625" style="174" customWidth="1"/>
    <col min="90" max="90" width="6.453125" style="174" customWidth="1"/>
    <col min="91" max="91" width="5.26953125" style="174" customWidth="1"/>
    <col min="92" max="92" width="8.81640625" style="174" customWidth="1"/>
    <col min="93" max="93" width="16.81640625" style="174" customWidth="1"/>
    <col min="94" max="94" width="6.453125" style="174" customWidth="1"/>
    <col min="95" max="95" width="5.26953125" style="174" customWidth="1"/>
    <col min="96" max="96" width="8.81640625" style="174" customWidth="1"/>
    <col min="97" max="97" width="16.81640625" style="174" customWidth="1"/>
    <col min="98" max="98" width="6.453125" style="174" customWidth="1"/>
    <col min="99" max="99" width="5.26953125" style="174" customWidth="1"/>
    <col min="100" max="16384" width="9.1796875" style="174"/>
  </cols>
  <sheetData>
    <row r="2" spans="2:99" ht="13">
      <c r="B2" s="1172" t="s">
        <v>570</v>
      </c>
      <c r="C2" s="1046"/>
      <c r="D2" s="1046"/>
      <c r="E2" s="1046"/>
      <c r="F2" s="1046"/>
      <c r="G2" s="1047"/>
      <c r="H2" s="1046"/>
      <c r="I2" s="1046"/>
      <c r="J2" s="1046"/>
      <c r="K2" s="1048"/>
      <c r="L2" s="1046"/>
      <c r="M2" s="1046"/>
      <c r="N2" s="1046"/>
      <c r="O2" s="1048"/>
      <c r="P2" s="1046"/>
      <c r="Q2" s="1046"/>
      <c r="R2" s="1046"/>
      <c r="S2" s="1048"/>
      <c r="T2" s="1046"/>
      <c r="U2" s="1046"/>
      <c r="V2" s="1046"/>
      <c r="W2" s="1048"/>
      <c r="X2" s="1046"/>
      <c r="Y2" s="1046"/>
      <c r="Z2" s="1046"/>
      <c r="AA2" s="1048"/>
      <c r="AB2" s="1046"/>
      <c r="AC2" s="1046"/>
      <c r="AD2" s="1046"/>
      <c r="AE2" s="1048"/>
      <c r="AF2" s="1046"/>
      <c r="AG2" s="1046"/>
      <c r="AH2" s="1046"/>
      <c r="AI2" s="1048"/>
      <c r="AJ2" s="1046"/>
      <c r="AK2" s="1046"/>
      <c r="AL2" s="1046"/>
      <c r="AM2" s="1048"/>
      <c r="AN2" s="1046"/>
      <c r="AO2" s="1046"/>
      <c r="AP2" s="1046"/>
      <c r="AQ2" s="1048"/>
      <c r="AR2" s="1046"/>
      <c r="AS2" s="1046"/>
      <c r="AT2" s="1046"/>
      <c r="AU2" s="1048"/>
      <c r="AV2" s="1046"/>
      <c r="AW2" s="1046"/>
      <c r="AX2" s="1046"/>
      <c r="AY2" s="1048"/>
      <c r="AZ2" s="1046"/>
      <c r="BA2" s="1046"/>
      <c r="BB2" s="1046"/>
      <c r="BC2" s="1048"/>
      <c r="BD2" s="1046"/>
      <c r="BE2" s="1046"/>
      <c r="BF2" s="1046"/>
      <c r="BG2" s="1048"/>
      <c r="BH2" s="1048"/>
      <c r="BI2" s="1048"/>
      <c r="BJ2" s="1048"/>
      <c r="BK2" s="1048"/>
      <c r="BL2" s="1048"/>
      <c r="BM2" s="1048"/>
      <c r="BN2" s="1048"/>
      <c r="BO2" s="1048"/>
      <c r="BP2" s="1048"/>
      <c r="BQ2" s="1048"/>
      <c r="BR2" s="1048"/>
      <c r="BS2" s="1048"/>
      <c r="BT2" s="1048"/>
      <c r="BU2" s="1048"/>
      <c r="BV2" s="1048"/>
      <c r="BW2" s="1048"/>
      <c r="BX2" s="1048"/>
      <c r="BY2" s="1048"/>
      <c r="BZ2" s="1048"/>
      <c r="CA2" s="1048"/>
      <c r="CB2" s="1046"/>
      <c r="CC2" s="1046"/>
      <c r="CD2" s="1046"/>
      <c r="CE2" s="1046"/>
      <c r="CF2" s="1046"/>
      <c r="CG2" s="1046"/>
      <c r="CH2" s="1046"/>
      <c r="CI2" s="1046"/>
      <c r="CJ2" s="1046"/>
      <c r="CK2" s="1046"/>
      <c r="CL2" s="1046"/>
      <c r="CM2" s="1046"/>
      <c r="CN2" s="1046"/>
      <c r="CO2" s="1046"/>
      <c r="CP2" s="1046"/>
      <c r="CQ2" s="1046"/>
      <c r="CR2" s="1046"/>
      <c r="CS2" s="1046"/>
      <c r="CT2" s="1046"/>
      <c r="CU2" s="1046"/>
    </row>
    <row r="3" spans="2:99">
      <c r="B3" s="176"/>
      <c r="C3" s="176"/>
      <c r="D3" s="176"/>
      <c r="E3" s="177">
        <v>3</v>
      </c>
      <c r="G3" s="178" t="s">
        <v>464</v>
      </c>
    </row>
    <row r="4" spans="2:99">
      <c r="B4" s="176"/>
      <c r="C4" s="176"/>
      <c r="D4" s="176"/>
      <c r="E4" s="176"/>
    </row>
    <row r="5" spans="2:99">
      <c r="B5" s="176"/>
      <c r="C5" s="176"/>
      <c r="D5" s="176"/>
      <c r="E5" s="176"/>
    </row>
    <row r="6" spans="2:99">
      <c r="B6" s="176"/>
      <c r="C6" s="176"/>
      <c r="D6" s="176"/>
      <c r="E6" s="176"/>
    </row>
    <row r="7" spans="2:99">
      <c r="B7" s="176"/>
      <c r="C7" s="176"/>
      <c r="D7" s="176"/>
      <c r="E7" s="176"/>
    </row>
    <row r="8" spans="2:99">
      <c r="B8" s="176"/>
      <c r="C8" s="176"/>
      <c r="D8" s="176"/>
      <c r="E8" s="176"/>
    </row>
    <row r="11" spans="2:99">
      <c r="B11" s="179" t="s">
        <v>465</v>
      </c>
      <c r="D11" s="2217" t="s">
        <v>466</v>
      </c>
      <c r="E11" s="2217"/>
      <c r="F11" s="2217"/>
      <c r="G11" s="174"/>
      <c r="K11" s="174"/>
      <c r="O11" s="174"/>
      <c r="S11" s="174"/>
      <c r="T11" s="2217" t="s">
        <v>467</v>
      </c>
      <c r="U11" s="2217"/>
      <c r="V11" s="2217"/>
      <c r="W11" s="180"/>
      <c r="X11" s="179"/>
      <c r="Y11" s="179"/>
      <c r="Z11" s="179"/>
      <c r="AA11" s="179"/>
      <c r="AB11" s="179"/>
      <c r="AC11" s="179"/>
      <c r="AD11" s="179"/>
      <c r="AE11" s="179"/>
      <c r="AF11" s="179"/>
      <c r="AG11" s="179"/>
      <c r="AH11" s="179"/>
      <c r="AI11" s="179"/>
      <c r="AJ11" s="179"/>
      <c r="AK11" s="179"/>
      <c r="AL11" s="179"/>
      <c r="AM11" s="180"/>
      <c r="AN11" s="2217" t="s">
        <v>467</v>
      </c>
      <c r="AO11" s="2217"/>
      <c r="AP11" s="2217"/>
      <c r="AQ11" s="180"/>
      <c r="AR11" s="2217"/>
      <c r="AS11" s="2217"/>
      <c r="AT11" s="2217"/>
      <c r="AU11" s="180"/>
      <c r="AV11" s="2217"/>
      <c r="AW11" s="2217"/>
      <c r="AX11" s="2217"/>
      <c r="AY11" s="180"/>
      <c r="AZ11" s="2217"/>
      <c r="BA11" s="2217"/>
      <c r="BB11" s="2217"/>
      <c r="BC11" s="180"/>
      <c r="BD11" s="2217"/>
      <c r="BE11" s="2217"/>
      <c r="BF11" s="2217"/>
      <c r="BG11" s="180"/>
      <c r="BH11" s="2217" t="s">
        <v>593</v>
      </c>
      <c r="BI11" s="2217"/>
      <c r="BJ11" s="2217"/>
      <c r="BK11" s="180"/>
      <c r="BL11" s="179"/>
      <c r="BM11" s="179"/>
      <c r="BN11" s="179"/>
      <c r="BO11" s="179"/>
      <c r="BP11" s="179"/>
      <c r="BQ11" s="179"/>
      <c r="BR11" s="179"/>
      <c r="BS11" s="179"/>
      <c r="BT11" s="179"/>
      <c r="BU11" s="179"/>
      <c r="BV11" s="179"/>
      <c r="BW11" s="179"/>
      <c r="BX11" s="179"/>
      <c r="BY11" s="179"/>
      <c r="BZ11" s="179"/>
      <c r="CA11" s="179"/>
      <c r="CB11" s="2218" t="s">
        <v>466</v>
      </c>
      <c r="CC11" s="2218"/>
      <c r="CD11" s="2218"/>
      <c r="CE11" s="2218"/>
      <c r="CF11" s="2218"/>
      <c r="CG11" s="2218"/>
      <c r="CH11" s="2218"/>
      <c r="CI11" s="2218"/>
      <c r="CJ11" s="2218"/>
      <c r="CK11" s="2218"/>
      <c r="CL11" s="2218"/>
      <c r="CM11" s="2218"/>
      <c r="CN11" s="2218"/>
      <c r="CO11" s="2218"/>
      <c r="CP11" s="181"/>
      <c r="CQ11" s="181"/>
      <c r="CR11" s="181"/>
      <c r="CS11" s="181"/>
      <c r="CT11" s="181"/>
      <c r="CU11" s="181"/>
    </row>
    <row r="12" spans="2:99">
      <c r="B12" s="179" t="s">
        <v>468</v>
      </c>
      <c r="D12" s="2216" t="s">
        <v>469</v>
      </c>
      <c r="E12" s="2216"/>
      <c r="F12" s="2216"/>
      <c r="G12" s="174"/>
      <c r="K12" s="174"/>
      <c r="O12" s="174"/>
      <c r="S12" s="174"/>
      <c r="T12" s="2216" t="s">
        <v>469</v>
      </c>
      <c r="U12" s="2216"/>
      <c r="V12" s="2216"/>
      <c r="W12" s="180"/>
      <c r="X12" s="179"/>
      <c r="Y12" s="179"/>
      <c r="Z12" s="179"/>
      <c r="AA12" s="179"/>
      <c r="AB12" s="179"/>
      <c r="AC12" s="179"/>
      <c r="AD12" s="179"/>
      <c r="AE12" s="179"/>
      <c r="AF12" s="179"/>
      <c r="AG12" s="179"/>
      <c r="AH12" s="179"/>
      <c r="AI12" s="179"/>
      <c r="AJ12" s="179"/>
      <c r="AK12" s="179"/>
      <c r="AL12" s="179"/>
      <c r="AM12" s="180"/>
      <c r="AN12" s="2216" t="s">
        <v>469</v>
      </c>
      <c r="AO12" s="2216"/>
      <c r="AP12" s="2216"/>
      <c r="AQ12" s="180"/>
      <c r="AR12" s="2217"/>
      <c r="AS12" s="2217"/>
      <c r="AT12" s="2217"/>
      <c r="AU12" s="180"/>
      <c r="AV12" s="2217"/>
      <c r="AW12" s="2217"/>
      <c r="AX12" s="2217"/>
      <c r="AY12" s="180"/>
      <c r="AZ12" s="2217"/>
      <c r="BA12" s="2217"/>
      <c r="BB12" s="2217"/>
      <c r="BC12" s="180"/>
      <c r="BD12" s="2217"/>
      <c r="BE12" s="2217"/>
      <c r="BF12" s="2217"/>
      <c r="BG12" s="180"/>
      <c r="BH12" s="2216" t="s">
        <v>469</v>
      </c>
      <c r="BI12" s="2216"/>
      <c r="BJ12" s="2216"/>
      <c r="BK12" s="180"/>
      <c r="BL12" s="179"/>
      <c r="BM12" s="179"/>
      <c r="BN12" s="179"/>
      <c r="BO12" s="179"/>
      <c r="BP12" s="179"/>
      <c r="BQ12" s="179"/>
      <c r="BR12" s="179"/>
      <c r="BS12" s="179"/>
      <c r="BT12" s="179"/>
      <c r="BU12" s="179"/>
      <c r="BV12" s="179"/>
      <c r="BW12" s="179"/>
      <c r="BX12" s="179"/>
      <c r="BY12" s="179"/>
      <c r="BZ12" s="179"/>
      <c r="CA12" s="179"/>
      <c r="CB12" s="2216" t="s">
        <v>470</v>
      </c>
      <c r="CC12" s="2216"/>
      <c r="CD12" s="2216"/>
      <c r="CE12" s="2216"/>
      <c r="CF12" s="2216"/>
      <c r="CG12" s="2216"/>
      <c r="CH12" s="2216"/>
      <c r="CI12" s="2216"/>
      <c r="CJ12" s="2216"/>
      <c r="CK12" s="2216"/>
      <c r="CL12" s="2216"/>
      <c r="CM12" s="2216"/>
      <c r="CN12" s="2216"/>
      <c r="CO12" s="2216"/>
      <c r="CP12" s="181"/>
      <c r="CQ12" s="181"/>
      <c r="CR12" s="181"/>
      <c r="CS12" s="181"/>
      <c r="CT12" s="181"/>
      <c r="CU12" s="181"/>
    </row>
    <row r="13" spans="2:99">
      <c r="G13" s="174"/>
      <c r="K13" s="174"/>
      <c r="O13" s="174"/>
      <c r="S13" s="174"/>
      <c r="W13" s="180"/>
      <c r="X13" s="179"/>
      <c r="Y13" s="179"/>
      <c r="Z13" s="179"/>
      <c r="AA13" s="179"/>
      <c r="AB13" s="179"/>
      <c r="AC13" s="179"/>
      <c r="AD13" s="179"/>
      <c r="AE13" s="179"/>
      <c r="AF13" s="179"/>
      <c r="AG13" s="179"/>
      <c r="AH13" s="179"/>
      <c r="AI13" s="179"/>
      <c r="AJ13" s="179"/>
      <c r="AK13" s="179"/>
      <c r="AL13" s="179"/>
      <c r="AM13" s="180"/>
      <c r="AQ13" s="180"/>
      <c r="AR13" s="2217"/>
      <c r="AS13" s="2217"/>
      <c r="AT13" s="2217"/>
      <c r="AU13" s="180"/>
      <c r="AV13" s="2217"/>
      <c r="AW13" s="2217"/>
      <c r="AX13" s="2217"/>
      <c r="AY13" s="180"/>
      <c r="AZ13" s="2217"/>
      <c r="BA13" s="2217"/>
      <c r="BB13" s="2217"/>
      <c r="BC13" s="180"/>
      <c r="BD13" s="2217"/>
      <c r="BE13" s="2217"/>
      <c r="BF13" s="2217"/>
      <c r="BG13" s="180"/>
      <c r="BH13" s="174"/>
      <c r="BI13" s="174"/>
      <c r="BJ13" s="174"/>
      <c r="BK13" s="180"/>
      <c r="BL13" s="179"/>
      <c r="BM13" s="179"/>
      <c r="BN13" s="179"/>
      <c r="BO13" s="179"/>
      <c r="BP13" s="179"/>
      <c r="BQ13" s="179"/>
      <c r="BR13" s="179"/>
      <c r="BS13" s="179"/>
      <c r="BT13" s="179"/>
      <c r="BU13" s="179"/>
      <c r="BV13" s="179"/>
      <c r="BW13" s="179"/>
      <c r="BX13" s="179"/>
      <c r="BY13" s="179"/>
      <c r="BZ13" s="179"/>
      <c r="CA13" s="179"/>
    </row>
    <row r="14" spans="2:99" s="236" customFormat="1" ht="16.5">
      <c r="B14" s="2203" t="s">
        <v>471</v>
      </c>
      <c r="C14" s="2204"/>
      <c r="D14" s="2205" t="s">
        <v>472</v>
      </c>
      <c r="E14" s="2206"/>
      <c r="F14" s="2206"/>
      <c r="G14" s="2207"/>
      <c r="H14" s="2202" t="s">
        <v>473</v>
      </c>
      <c r="I14" s="2208"/>
      <c r="J14" s="2208"/>
      <c r="K14" s="2209"/>
      <c r="L14" s="2210" t="s">
        <v>474</v>
      </c>
      <c r="M14" s="2211"/>
      <c r="N14" s="2211"/>
      <c r="O14" s="2212"/>
      <c r="P14" s="2213" t="s">
        <v>475</v>
      </c>
      <c r="Q14" s="2214"/>
      <c r="R14" s="2214"/>
      <c r="S14" s="2215"/>
      <c r="T14" s="2195" t="s">
        <v>472</v>
      </c>
      <c r="U14" s="2195"/>
      <c r="V14" s="2195"/>
      <c r="W14" s="2195"/>
      <c r="X14" s="2196" t="s">
        <v>473</v>
      </c>
      <c r="Y14" s="2196"/>
      <c r="Z14" s="2196"/>
      <c r="AA14" s="2202"/>
      <c r="AB14" s="2197" t="s">
        <v>474</v>
      </c>
      <c r="AC14" s="2197"/>
      <c r="AD14" s="2197"/>
      <c r="AE14" s="2197"/>
      <c r="AF14" s="2198" t="s">
        <v>475</v>
      </c>
      <c r="AG14" s="2198"/>
      <c r="AH14" s="2198"/>
      <c r="AI14" s="2198"/>
      <c r="AJ14" s="2199" t="s">
        <v>476</v>
      </c>
      <c r="AK14" s="2199"/>
      <c r="AL14" s="2199"/>
      <c r="AM14" s="2199"/>
      <c r="AN14" s="2195" t="s">
        <v>472</v>
      </c>
      <c r="AO14" s="2195"/>
      <c r="AP14" s="2195"/>
      <c r="AQ14" s="2195"/>
      <c r="AR14" s="2196" t="s">
        <v>473</v>
      </c>
      <c r="AS14" s="2196"/>
      <c r="AT14" s="2196"/>
      <c r="AU14" s="2196"/>
      <c r="AV14" s="2197" t="s">
        <v>474</v>
      </c>
      <c r="AW14" s="2197"/>
      <c r="AX14" s="2197"/>
      <c r="AY14" s="2197"/>
      <c r="AZ14" s="2198" t="s">
        <v>475</v>
      </c>
      <c r="BA14" s="2198"/>
      <c r="BB14" s="2198"/>
      <c r="BC14" s="2198"/>
      <c r="BD14" s="2199" t="s">
        <v>476</v>
      </c>
      <c r="BE14" s="2199"/>
      <c r="BF14" s="2199"/>
      <c r="BG14" s="2199"/>
      <c r="BH14" s="2195" t="s">
        <v>568</v>
      </c>
      <c r="BI14" s="2195"/>
      <c r="BJ14" s="2195"/>
      <c r="BK14" s="2195"/>
      <c r="BL14" s="2196" t="s">
        <v>569</v>
      </c>
      <c r="BM14" s="2196"/>
      <c r="BN14" s="2196"/>
      <c r="BO14" s="2196"/>
      <c r="BP14" s="2197" t="s">
        <v>472</v>
      </c>
      <c r="BQ14" s="2197"/>
      <c r="BR14" s="2197"/>
      <c r="BS14" s="2197"/>
      <c r="BT14" s="2198" t="s">
        <v>573</v>
      </c>
      <c r="BU14" s="2198"/>
      <c r="BV14" s="2198"/>
      <c r="BW14" s="2198"/>
      <c r="BX14" s="2199" t="s">
        <v>574</v>
      </c>
      <c r="BY14" s="2199"/>
      <c r="BZ14" s="2199"/>
      <c r="CA14" s="2199"/>
      <c r="CB14" s="2195" t="s">
        <v>472</v>
      </c>
      <c r="CC14" s="2195"/>
      <c r="CD14" s="2195"/>
      <c r="CE14" s="2195"/>
      <c r="CF14" s="2196" t="s">
        <v>473</v>
      </c>
      <c r="CG14" s="2196"/>
      <c r="CH14" s="2196"/>
      <c r="CI14" s="2196"/>
      <c r="CJ14" s="2197" t="s">
        <v>474</v>
      </c>
      <c r="CK14" s="2197"/>
      <c r="CL14" s="2197"/>
      <c r="CM14" s="2197"/>
      <c r="CN14" s="2198" t="s">
        <v>475</v>
      </c>
      <c r="CO14" s="2198"/>
      <c r="CP14" s="2198"/>
      <c r="CQ14" s="2198"/>
      <c r="CR14" s="2199" t="s">
        <v>476</v>
      </c>
      <c r="CS14" s="2199"/>
      <c r="CT14" s="2199"/>
      <c r="CU14" s="2199"/>
    </row>
    <row r="15" spans="2:99" ht="15" customHeight="1">
      <c r="B15" s="2200" t="s">
        <v>2</v>
      </c>
      <c r="C15" s="2201"/>
      <c r="D15" s="2193" t="s">
        <v>179</v>
      </c>
      <c r="E15" s="2191" t="s">
        <v>477</v>
      </c>
      <c r="F15" s="182" t="s">
        <v>478</v>
      </c>
      <c r="G15" s="958" t="s">
        <v>160</v>
      </c>
      <c r="H15" s="2179" t="s">
        <v>179</v>
      </c>
      <c r="I15" s="2181" t="s">
        <v>477</v>
      </c>
      <c r="J15" s="183" t="s">
        <v>478</v>
      </c>
      <c r="K15" s="988" t="s">
        <v>160</v>
      </c>
      <c r="L15" s="2183" t="s">
        <v>179</v>
      </c>
      <c r="M15" s="2185" t="s">
        <v>477</v>
      </c>
      <c r="N15" s="184" t="s">
        <v>478</v>
      </c>
      <c r="O15" s="990" t="s">
        <v>160</v>
      </c>
      <c r="P15" s="2187" t="s">
        <v>179</v>
      </c>
      <c r="Q15" s="2189" t="s">
        <v>477</v>
      </c>
      <c r="R15" s="185" t="s">
        <v>478</v>
      </c>
      <c r="S15" s="996" t="s">
        <v>160</v>
      </c>
      <c r="T15" s="2193" t="s">
        <v>179</v>
      </c>
      <c r="U15" s="926" t="s">
        <v>479</v>
      </c>
      <c r="V15" s="182" t="s">
        <v>478</v>
      </c>
      <c r="W15" s="958" t="s">
        <v>160</v>
      </c>
      <c r="X15" s="2179" t="s">
        <v>179</v>
      </c>
      <c r="Y15" s="928" t="s">
        <v>479</v>
      </c>
      <c r="Z15" s="183" t="s">
        <v>478</v>
      </c>
      <c r="AA15" s="948" t="s">
        <v>160</v>
      </c>
      <c r="AB15" s="2183" t="s">
        <v>179</v>
      </c>
      <c r="AC15" s="930" t="s">
        <v>479</v>
      </c>
      <c r="AD15" s="184" t="s">
        <v>478</v>
      </c>
      <c r="AE15" s="990" t="s">
        <v>160</v>
      </c>
      <c r="AF15" s="2187" t="s">
        <v>179</v>
      </c>
      <c r="AG15" s="932" t="s">
        <v>479</v>
      </c>
      <c r="AH15" s="185" t="s">
        <v>478</v>
      </c>
      <c r="AI15" s="996" t="s">
        <v>160</v>
      </c>
      <c r="AJ15" s="2175" t="s">
        <v>179</v>
      </c>
      <c r="AK15" s="934" t="s">
        <v>479</v>
      </c>
      <c r="AL15" s="186" t="s">
        <v>478</v>
      </c>
      <c r="AM15" s="1009" t="s">
        <v>160</v>
      </c>
      <c r="AN15" s="2193" t="s">
        <v>179</v>
      </c>
      <c r="AO15" s="926" t="s">
        <v>479</v>
      </c>
      <c r="AP15" s="182" t="s">
        <v>478</v>
      </c>
      <c r="AQ15" s="958" t="s">
        <v>160</v>
      </c>
      <c r="AR15" s="2179" t="s">
        <v>179</v>
      </c>
      <c r="AS15" s="928" t="s">
        <v>479</v>
      </c>
      <c r="AT15" s="183" t="s">
        <v>478</v>
      </c>
      <c r="AU15" s="988" t="s">
        <v>160</v>
      </c>
      <c r="AV15" s="2183" t="s">
        <v>179</v>
      </c>
      <c r="AW15" s="930" t="s">
        <v>479</v>
      </c>
      <c r="AX15" s="184" t="s">
        <v>478</v>
      </c>
      <c r="AY15" s="990" t="s">
        <v>160</v>
      </c>
      <c r="AZ15" s="2187" t="s">
        <v>179</v>
      </c>
      <c r="BA15" s="932" t="s">
        <v>479</v>
      </c>
      <c r="BB15" s="185" t="s">
        <v>478</v>
      </c>
      <c r="BC15" s="996" t="s">
        <v>160</v>
      </c>
      <c r="BD15" s="2175" t="s">
        <v>179</v>
      </c>
      <c r="BE15" s="934" t="s">
        <v>479</v>
      </c>
      <c r="BF15" s="186" t="s">
        <v>478</v>
      </c>
      <c r="BG15" s="1009" t="s">
        <v>160</v>
      </c>
      <c r="BH15" s="2193" t="s">
        <v>179</v>
      </c>
      <c r="BI15" s="926" t="s">
        <v>479</v>
      </c>
      <c r="BJ15" s="182" t="s">
        <v>478</v>
      </c>
      <c r="BK15" s="958" t="s">
        <v>160</v>
      </c>
      <c r="BL15" s="2179" t="s">
        <v>179</v>
      </c>
      <c r="BM15" s="928" t="s">
        <v>479</v>
      </c>
      <c r="BN15" s="183" t="s">
        <v>478</v>
      </c>
      <c r="BO15" s="988" t="s">
        <v>160</v>
      </c>
      <c r="BP15" s="2183" t="s">
        <v>179</v>
      </c>
      <c r="BQ15" s="930" t="s">
        <v>479</v>
      </c>
      <c r="BR15" s="184" t="s">
        <v>478</v>
      </c>
      <c r="BS15" s="990" t="s">
        <v>160</v>
      </c>
      <c r="BT15" s="2187" t="s">
        <v>179</v>
      </c>
      <c r="BU15" s="932" t="s">
        <v>479</v>
      </c>
      <c r="BV15" s="185" t="s">
        <v>478</v>
      </c>
      <c r="BW15" s="996" t="s">
        <v>160</v>
      </c>
      <c r="BX15" s="2175" t="s">
        <v>179</v>
      </c>
      <c r="BY15" s="934" t="s">
        <v>479</v>
      </c>
      <c r="BZ15" s="186" t="s">
        <v>478</v>
      </c>
      <c r="CA15" s="1009" t="s">
        <v>160</v>
      </c>
      <c r="CB15" s="2193" t="s">
        <v>179</v>
      </c>
      <c r="CC15" s="2191" t="s">
        <v>477</v>
      </c>
      <c r="CD15" s="182" t="s">
        <v>478</v>
      </c>
      <c r="CE15" s="958" t="s">
        <v>160</v>
      </c>
      <c r="CF15" s="2179" t="s">
        <v>179</v>
      </c>
      <c r="CG15" s="2181" t="s">
        <v>477</v>
      </c>
      <c r="CH15" s="183" t="s">
        <v>478</v>
      </c>
      <c r="CI15" s="988" t="s">
        <v>160</v>
      </c>
      <c r="CJ15" s="2183" t="s">
        <v>179</v>
      </c>
      <c r="CK15" s="2185" t="s">
        <v>477</v>
      </c>
      <c r="CL15" s="184" t="s">
        <v>478</v>
      </c>
      <c r="CM15" s="990" t="s">
        <v>160</v>
      </c>
      <c r="CN15" s="2187" t="s">
        <v>179</v>
      </c>
      <c r="CO15" s="2189" t="s">
        <v>477</v>
      </c>
      <c r="CP15" s="185" t="s">
        <v>478</v>
      </c>
      <c r="CQ15" s="996" t="s">
        <v>160</v>
      </c>
      <c r="CR15" s="2175" t="s">
        <v>179</v>
      </c>
      <c r="CS15" s="2177" t="s">
        <v>477</v>
      </c>
      <c r="CT15" s="186" t="s">
        <v>478</v>
      </c>
      <c r="CU15" s="1009" t="s">
        <v>160</v>
      </c>
    </row>
    <row r="16" spans="2:99" ht="15" customHeight="1">
      <c r="B16" s="949" t="s">
        <v>480</v>
      </c>
      <c r="C16" s="949" t="s">
        <v>3</v>
      </c>
      <c r="D16" s="2194"/>
      <c r="E16" s="2192"/>
      <c r="F16" s="187" t="s">
        <v>176</v>
      </c>
      <c r="G16" s="959" t="s">
        <v>6</v>
      </c>
      <c r="H16" s="2180"/>
      <c r="I16" s="2182"/>
      <c r="J16" s="188" t="s">
        <v>176</v>
      </c>
      <c r="K16" s="989" t="s">
        <v>6</v>
      </c>
      <c r="L16" s="2184"/>
      <c r="M16" s="2186"/>
      <c r="N16" s="189" t="s">
        <v>176</v>
      </c>
      <c r="O16" s="991" t="s">
        <v>6</v>
      </c>
      <c r="P16" s="2188"/>
      <c r="Q16" s="2190"/>
      <c r="R16" s="190" t="s">
        <v>176</v>
      </c>
      <c r="S16" s="997" t="s">
        <v>6</v>
      </c>
      <c r="T16" s="2194"/>
      <c r="U16" s="927" t="s">
        <v>481</v>
      </c>
      <c r="V16" s="187" t="s">
        <v>176</v>
      </c>
      <c r="W16" s="959" t="s">
        <v>6</v>
      </c>
      <c r="X16" s="2180"/>
      <c r="Y16" s="929" t="s">
        <v>481</v>
      </c>
      <c r="Z16" s="188" t="s">
        <v>176</v>
      </c>
      <c r="AA16" s="188" t="s">
        <v>6</v>
      </c>
      <c r="AB16" s="2184"/>
      <c r="AC16" s="931" t="s">
        <v>481</v>
      </c>
      <c r="AD16" s="189" t="s">
        <v>176</v>
      </c>
      <c r="AE16" s="991" t="s">
        <v>6</v>
      </c>
      <c r="AF16" s="2188"/>
      <c r="AG16" s="933" t="s">
        <v>481</v>
      </c>
      <c r="AH16" s="190" t="s">
        <v>176</v>
      </c>
      <c r="AI16" s="997" t="s">
        <v>6</v>
      </c>
      <c r="AJ16" s="2176"/>
      <c r="AK16" s="935" t="s">
        <v>481</v>
      </c>
      <c r="AL16" s="191" t="s">
        <v>176</v>
      </c>
      <c r="AM16" s="1010" t="s">
        <v>6</v>
      </c>
      <c r="AN16" s="2194"/>
      <c r="AO16" s="927" t="s">
        <v>481</v>
      </c>
      <c r="AP16" s="187" t="s">
        <v>176</v>
      </c>
      <c r="AQ16" s="959" t="s">
        <v>6</v>
      </c>
      <c r="AR16" s="2180"/>
      <c r="AS16" s="929" t="s">
        <v>481</v>
      </c>
      <c r="AT16" s="188" t="s">
        <v>176</v>
      </c>
      <c r="AU16" s="989" t="s">
        <v>6</v>
      </c>
      <c r="AV16" s="2184"/>
      <c r="AW16" s="931" t="s">
        <v>481</v>
      </c>
      <c r="AX16" s="189" t="s">
        <v>176</v>
      </c>
      <c r="AY16" s="991" t="s">
        <v>6</v>
      </c>
      <c r="AZ16" s="2188"/>
      <c r="BA16" s="933" t="s">
        <v>481</v>
      </c>
      <c r="BB16" s="190" t="s">
        <v>176</v>
      </c>
      <c r="BC16" s="997" t="s">
        <v>6</v>
      </c>
      <c r="BD16" s="2176"/>
      <c r="BE16" s="935" t="s">
        <v>481</v>
      </c>
      <c r="BF16" s="191" t="s">
        <v>176</v>
      </c>
      <c r="BG16" s="1010" t="s">
        <v>6</v>
      </c>
      <c r="BH16" s="2194"/>
      <c r="BI16" s="927" t="s">
        <v>481</v>
      </c>
      <c r="BJ16" s="187" t="s">
        <v>176</v>
      </c>
      <c r="BK16" s="959" t="s">
        <v>6</v>
      </c>
      <c r="BL16" s="2180"/>
      <c r="BM16" s="929" t="s">
        <v>481</v>
      </c>
      <c r="BN16" s="188" t="s">
        <v>176</v>
      </c>
      <c r="BO16" s="989" t="s">
        <v>6</v>
      </c>
      <c r="BP16" s="2184"/>
      <c r="BQ16" s="931" t="s">
        <v>481</v>
      </c>
      <c r="BR16" s="189" t="s">
        <v>176</v>
      </c>
      <c r="BS16" s="991" t="s">
        <v>6</v>
      </c>
      <c r="BT16" s="2188"/>
      <c r="BU16" s="933" t="s">
        <v>481</v>
      </c>
      <c r="BV16" s="190" t="s">
        <v>176</v>
      </c>
      <c r="BW16" s="997" t="s">
        <v>6</v>
      </c>
      <c r="BX16" s="2176"/>
      <c r="BY16" s="935" t="s">
        <v>481</v>
      </c>
      <c r="BZ16" s="191" t="s">
        <v>176</v>
      </c>
      <c r="CA16" s="1010" t="s">
        <v>6</v>
      </c>
      <c r="CB16" s="2194"/>
      <c r="CC16" s="2192"/>
      <c r="CD16" s="187" t="s">
        <v>176</v>
      </c>
      <c r="CE16" s="959" t="s">
        <v>6</v>
      </c>
      <c r="CF16" s="2180"/>
      <c r="CG16" s="2182"/>
      <c r="CH16" s="188" t="s">
        <v>176</v>
      </c>
      <c r="CI16" s="989" t="s">
        <v>6</v>
      </c>
      <c r="CJ16" s="2184"/>
      <c r="CK16" s="2186"/>
      <c r="CL16" s="189" t="s">
        <v>176</v>
      </c>
      <c r="CM16" s="991" t="s">
        <v>6</v>
      </c>
      <c r="CN16" s="2188"/>
      <c r="CO16" s="2190"/>
      <c r="CP16" s="190" t="s">
        <v>176</v>
      </c>
      <c r="CQ16" s="997" t="s">
        <v>6</v>
      </c>
      <c r="CR16" s="2176"/>
      <c r="CS16" s="2178"/>
      <c r="CT16" s="191" t="s">
        <v>176</v>
      </c>
      <c r="CU16" s="1010" t="s">
        <v>6</v>
      </c>
    </row>
    <row r="17" spans="2:99">
      <c r="B17" s="950">
        <v>1000</v>
      </c>
      <c r="C17" s="951">
        <v>277.77777777777777</v>
      </c>
      <c r="D17" s="960" t="s">
        <v>243</v>
      </c>
      <c r="E17" s="192" t="s">
        <v>243</v>
      </c>
      <c r="F17" s="193" t="s">
        <v>243</v>
      </c>
      <c r="G17" s="961" t="s">
        <v>243</v>
      </c>
      <c r="H17" s="960" t="s">
        <v>243</v>
      </c>
      <c r="I17" s="192" t="s">
        <v>243</v>
      </c>
      <c r="J17" s="193" t="s">
        <v>243</v>
      </c>
      <c r="K17" s="961" t="s">
        <v>243</v>
      </c>
      <c r="L17" s="960" t="s">
        <v>243</v>
      </c>
      <c r="M17" s="192" t="s">
        <v>243</v>
      </c>
      <c r="N17" s="193" t="s">
        <v>243</v>
      </c>
      <c r="O17" s="961" t="s">
        <v>243</v>
      </c>
      <c r="P17" s="960" t="s">
        <v>243</v>
      </c>
      <c r="Q17" s="192" t="s">
        <v>243</v>
      </c>
      <c r="R17" s="193" t="s">
        <v>243</v>
      </c>
      <c r="S17" s="961" t="s">
        <v>243</v>
      </c>
      <c r="T17" s="960" t="s">
        <v>243</v>
      </c>
      <c r="U17" s="192" t="s">
        <v>243</v>
      </c>
      <c r="V17" s="193" t="s">
        <v>243</v>
      </c>
      <c r="W17" s="961" t="s">
        <v>243</v>
      </c>
      <c r="X17" s="1002" t="s">
        <v>243</v>
      </c>
      <c r="Y17" s="194" t="s">
        <v>243</v>
      </c>
      <c r="Z17" s="195" t="s">
        <v>243</v>
      </c>
      <c r="AA17" s="195" t="s">
        <v>243</v>
      </c>
      <c r="AB17" s="1002" t="s">
        <v>243</v>
      </c>
      <c r="AC17" s="194" t="s">
        <v>243</v>
      </c>
      <c r="AD17" s="195" t="s">
        <v>243</v>
      </c>
      <c r="AE17" s="1004" t="s">
        <v>243</v>
      </c>
      <c r="AF17" s="1002" t="s">
        <v>243</v>
      </c>
      <c r="AG17" s="194" t="s">
        <v>243</v>
      </c>
      <c r="AH17" s="195" t="s">
        <v>243</v>
      </c>
      <c r="AI17" s="1004" t="s">
        <v>243</v>
      </c>
      <c r="AJ17" s="1002" t="s">
        <v>243</v>
      </c>
      <c r="AK17" s="194" t="s">
        <v>243</v>
      </c>
      <c r="AL17" s="195" t="s">
        <v>243</v>
      </c>
      <c r="AM17" s="1004" t="s">
        <v>243</v>
      </c>
      <c r="AN17" s="963" t="s">
        <v>482</v>
      </c>
      <c r="AO17" s="196" t="s">
        <v>483</v>
      </c>
      <c r="AP17" s="197">
        <v>75</v>
      </c>
      <c r="AQ17" s="964">
        <v>0.25</v>
      </c>
      <c r="AR17" s="960" t="s">
        <v>243</v>
      </c>
      <c r="AS17" s="192" t="s">
        <v>243</v>
      </c>
      <c r="AT17" s="193" t="s">
        <v>243</v>
      </c>
      <c r="AU17" s="961" t="s">
        <v>243</v>
      </c>
      <c r="AV17" s="960" t="s">
        <v>243</v>
      </c>
      <c r="AW17" s="192" t="s">
        <v>243</v>
      </c>
      <c r="AX17" s="193" t="s">
        <v>243</v>
      </c>
      <c r="AY17" s="961" t="s">
        <v>243</v>
      </c>
      <c r="AZ17" s="960" t="s">
        <v>243</v>
      </c>
      <c r="BA17" s="192" t="s">
        <v>243</v>
      </c>
      <c r="BB17" s="193" t="s">
        <v>243</v>
      </c>
      <c r="BC17" s="961" t="s">
        <v>243</v>
      </c>
      <c r="BD17" s="960" t="s">
        <v>243</v>
      </c>
      <c r="BE17" s="192" t="s">
        <v>243</v>
      </c>
      <c r="BF17" s="193" t="s">
        <v>243</v>
      </c>
      <c r="BG17" s="961" t="s">
        <v>243</v>
      </c>
      <c r="BH17" s="963" t="s">
        <v>575</v>
      </c>
      <c r="BI17" s="196" t="s">
        <v>576</v>
      </c>
      <c r="BJ17" s="197">
        <v>13</v>
      </c>
      <c r="BK17" s="964">
        <v>0.55000000000000004</v>
      </c>
      <c r="BL17" s="963" t="s">
        <v>575</v>
      </c>
      <c r="BM17" s="196" t="s">
        <v>576</v>
      </c>
      <c r="BN17" s="197">
        <v>13</v>
      </c>
      <c r="BO17" s="964">
        <v>0.55000000000000004</v>
      </c>
      <c r="BP17" s="1020" t="s">
        <v>577</v>
      </c>
      <c r="BQ17" s="241" t="s">
        <v>578</v>
      </c>
      <c r="BR17" s="242">
        <v>21</v>
      </c>
      <c r="BS17" s="1021">
        <v>0.75</v>
      </c>
      <c r="BT17" s="1035" t="s">
        <v>579</v>
      </c>
      <c r="BU17" s="243" t="s">
        <v>580</v>
      </c>
      <c r="BV17" s="243">
        <v>32</v>
      </c>
      <c r="BW17" s="1036">
        <v>1.5</v>
      </c>
      <c r="BX17" s="1040" t="s">
        <v>581</v>
      </c>
      <c r="BY17" s="244" t="s">
        <v>582</v>
      </c>
      <c r="BZ17" s="244">
        <v>42</v>
      </c>
      <c r="CA17" s="1041">
        <v>2.2000000000000002</v>
      </c>
      <c r="CB17" s="1002" t="s">
        <v>243</v>
      </c>
      <c r="CC17" s="194" t="s">
        <v>243</v>
      </c>
      <c r="CD17" s="195" t="s">
        <v>243</v>
      </c>
      <c r="CE17" s="1004" t="s">
        <v>243</v>
      </c>
      <c r="CF17" s="1002" t="s">
        <v>243</v>
      </c>
      <c r="CG17" s="194" t="s">
        <v>243</v>
      </c>
      <c r="CH17" s="195" t="s">
        <v>243</v>
      </c>
      <c r="CI17" s="1004" t="s">
        <v>243</v>
      </c>
      <c r="CJ17" s="1002" t="s">
        <v>243</v>
      </c>
      <c r="CK17" s="194" t="s">
        <v>243</v>
      </c>
      <c r="CL17" s="195" t="s">
        <v>243</v>
      </c>
      <c r="CM17" s="1004" t="s">
        <v>243</v>
      </c>
      <c r="CN17" s="1002" t="s">
        <v>243</v>
      </c>
      <c r="CO17" s="194" t="s">
        <v>243</v>
      </c>
      <c r="CP17" s="195" t="s">
        <v>243</v>
      </c>
      <c r="CQ17" s="1004" t="s">
        <v>243</v>
      </c>
      <c r="CR17" s="1002" t="s">
        <v>243</v>
      </c>
      <c r="CS17" s="194" t="s">
        <v>243</v>
      </c>
      <c r="CT17" s="195" t="s">
        <v>243</v>
      </c>
      <c r="CU17" s="1004" t="s">
        <v>243</v>
      </c>
    </row>
    <row r="18" spans="2:99">
      <c r="B18" s="952">
        <v>1500</v>
      </c>
      <c r="C18" s="953">
        <v>416.66666666666663</v>
      </c>
      <c r="D18" s="960" t="s">
        <v>243</v>
      </c>
      <c r="E18" s="198" t="s">
        <v>243</v>
      </c>
      <c r="F18" s="199" t="s">
        <v>243</v>
      </c>
      <c r="G18" s="962" t="s">
        <v>243</v>
      </c>
      <c r="H18" s="960" t="s">
        <v>243</v>
      </c>
      <c r="I18" s="198" t="s">
        <v>243</v>
      </c>
      <c r="J18" s="199" t="s">
        <v>243</v>
      </c>
      <c r="K18" s="962" t="s">
        <v>243</v>
      </c>
      <c r="L18" s="960" t="s">
        <v>243</v>
      </c>
      <c r="M18" s="198" t="s">
        <v>243</v>
      </c>
      <c r="N18" s="199" t="s">
        <v>243</v>
      </c>
      <c r="O18" s="962" t="s">
        <v>243</v>
      </c>
      <c r="P18" s="960" t="s">
        <v>243</v>
      </c>
      <c r="Q18" s="198" t="s">
        <v>243</v>
      </c>
      <c r="R18" s="199" t="s">
        <v>243</v>
      </c>
      <c r="S18" s="962" t="s">
        <v>243</v>
      </c>
      <c r="T18" s="960" t="s">
        <v>243</v>
      </c>
      <c r="U18" s="198" t="s">
        <v>243</v>
      </c>
      <c r="V18" s="199" t="s">
        <v>243</v>
      </c>
      <c r="W18" s="962" t="s">
        <v>243</v>
      </c>
      <c r="X18" s="1002" t="s">
        <v>243</v>
      </c>
      <c r="Y18" s="200" t="s">
        <v>243</v>
      </c>
      <c r="Z18" s="201" t="s">
        <v>243</v>
      </c>
      <c r="AA18" s="201" t="s">
        <v>243</v>
      </c>
      <c r="AB18" s="1002" t="s">
        <v>243</v>
      </c>
      <c r="AC18" s="200" t="s">
        <v>243</v>
      </c>
      <c r="AD18" s="201" t="s">
        <v>243</v>
      </c>
      <c r="AE18" s="1003" t="s">
        <v>243</v>
      </c>
      <c r="AF18" s="1002" t="s">
        <v>243</v>
      </c>
      <c r="AG18" s="200" t="s">
        <v>243</v>
      </c>
      <c r="AH18" s="201" t="s">
        <v>243</v>
      </c>
      <c r="AI18" s="1003" t="s">
        <v>243</v>
      </c>
      <c r="AJ18" s="1002" t="s">
        <v>243</v>
      </c>
      <c r="AK18" s="200" t="s">
        <v>243</v>
      </c>
      <c r="AL18" s="201" t="s">
        <v>243</v>
      </c>
      <c r="AM18" s="1003" t="s">
        <v>243</v>
      </c>
      <c r="AN18" s="966" t="s">
        <v>484</v>
      </c>
      <c r="AO18" s="202" t="s">
        <v>485</v>
      </c>
      <c r="AP18" s="203">
        <v>90</v>
      </c>
      <c r="AQ18" s="968">
        <v>0.37</v>
      </c>
      <c r="AR18" s="960" t="s">
        <v>243</v>
      </c>
      <c r="AS18" s="198" t="s">
        <v>243</v>
      </c>
      <c r="AT18" s="199" t="s">
        <v>243</v>
      </c>
      <c r="AU18" s="962" t="s">
        <v>243</v>
      </c>
      <c r="AV18" s="960" t="s">
        <v>243</v>
      </c>
      <c r="AW18" s="198" t="s">
        <v>243</v>
      </c>
      <c r="AX18" s="199" t="s">
        <v>243</v>
      </c>
      <c r="AY18" s="962" t="s">
        <v>243</v>
      </c>
      <c r="AZ18" s="960" t="s">
        <v>243</v>
      </c>
      <c r="BA18" s="198" t="s">
        <v>243</v>
      </c>
      <c r="BB18" s="199" t="s">
        <v>243</v>
      </c>
      <c r="BC18" s="962" t="s">
        <v>243</v>
      </c>
      <c r="BD18" s="960" t="s">
        <v>243</v>
      </c>
      <c r="BE18" s="198" t="s">
        <v>243</v>
      </c>
      <c r="BF18" s="199" t="s">
        <v>243</v>
      </c>
      <c r="BG18" s="962" t="s">
        <v>243</v>
      </c>
      <c r="BH18" s="1018" t="s">
        <v>583</v>
      </c>
      <c r="BI18" s="230" t="s">
        <v>584</v>
      </c>
      <c r="BJ18" s="231">
        <v>17</v>
      </c>
      <c r="BK18" s="1019">
        <v>0.55000000000000004</v>
      </c>
      <c r="BL18" s="1020" t="s">
        <v>577</v>
      </c>
      <c r="BM18" s="232" t="s">
        <v>578</v>
      </c>
      <c r="BN18" s="233">
        <v>21</v>
      </c>
      <c r="BO18" s="1022">
        <v>0.75</v>
      </c>
      <c r="BP18" s="1020" t="s">
        <v>577</v>
      </c>
      <c r="BQ18" s="232" t="s">
        <v>578</v>
      </c>
      <c r="BR18" s="233">
        <v>21</v>
      </c>
      <c r="BS18" s="1022">
        <v>0.75</v>
      </c>
      <c r="BT18" s="969" t="s">
        <v>579</v>
      </c>
      <c r="BU18" s="204" t="s">
        <v>580</v>
      </c>
      <c r="BV18" s="204">
        <v>32</v>
      </c>
      <c r="BW18" s="970">
        <v>1.5</v>
      </c>
      <c r="BX18" s="1030" t="s">
        <v>581</v>
      </c>
      <c r="BY18" s="234" t="s">
        <v>582</v>
      </c>
      <c r="BZ18" s="234">
        <v>42</v>
      </c>
      <c r="CA18" s="1031">
        <v>2.2000000000000002</v>
      </c>
      <c r="CB18" s="1002" t="s">
        <v>243</v>
      </c>
      <c r="CC18" s="200" t="s">
        <v>243</v>
      </c>
      <c r="CD18" s="201" t="s">
        <v>243</v>
      </c>
      <c r="CE18" s="1003" t="s">
        <v>243</v>
      </c>
      <c r="CF18" s="1002" t="s">
        <v>243</v>
      </c>
      <c r="CG18" s="200" t="s">
        <v>243</v>
      </c>
      <c r="CH18" s="201" t="s">
        <v>243</v>
      </c>
      <c r="CI18" s="1003" t="s">
        <v>243</v>
      </c>
      <c r="CJ18" s="1002" t="s">
        <v>243</v>
      </c>
      <c r="CK18" s="200" t="s">
        <v>243</v>
      </c>
      <c r="CL18" s="201" t="s">
        <v>243</v>
      </c>
      <c r="CM18" s="1003" t="s">
        <v>243</v>
      </c>
      <c r="CN18" s="1002" t="s">
        <v>243</v>
      </c>
      <c r="CO18" s="200" t="s">
        <v>243</v>
      </c>
      <c r="CP18" s="201" t="s">
        <v>243</v>
      </c>
      <c r="CQ18" s="1003" t="s">
        <v>243</v>
      </c>
      <c r="CR18" s="1002" t="s">
        <v>243</v>
      </c>
      <c r="CS18" s="200" t="s">
        <v>243</v>
      </c>
      <c r="CT18" s="201" t="s">
        <v>243</v>
      </c>
      <c r="CU18" s="1003" t="s">
        <v>243</v>
      </c>
    </row>
    <row r="19" spans="2:99">
      <c r="B19" s="954">
        <v>2000</v>
      </c>
      <c r="C19" s="955">
        <v>555.55555555555554</v>
      </c>
      <c r="D19" s="960" t="s">
        <v>243</v>
      </c>
      <c r="E19" s="192" t="s">
        <v>243</v>
      </c>
      <c r="F19" s="193" t="s">
        <v>243</v>
      </c>
      <c r="G19" s="961" t="s">
        <v>243</v>
      </c>
      <c r="H19" s="960" t="s">
        <v>243</v>
      </c>
      <c r="I19" s="192" t="s">
        <v>243</v>
      </c>
      <c r="J19" s="193" t="s">
        <v>243</v>
      </c>
      <c r="K19" s="961" t="s">
        <v>243</v>
      </c>
      <c r="L19" s="960" t="s">
        <v>243</v>
      </c>
      <c r="M19" s="192" t="s">
        <v>243</v>
      </c>
      <c r="N19" s="193" t="s">
        <v>243</v>
      </c>
      <c r="O19" s="961" t="s">
        <v>243</v>
      </c>
      <c r="P19" s="960" t="s">
        <v>243</v>
      </c>
      <c r="Q19" s="192" t="s">
        <v>243</v>
      </c>
      <c r="R19" s="193" t="s">
        <v>243</v>
      </c>
      <c r="S19" s="961" t="s">
        <v>243</v>
      </c>
      <c r="T19" s="960" t="s">
        <v>243</v>
      </c>
      <c r="U19" s="192" t="s">
        <v>243</v>
      </c>
      <c r="V19" s="193" t="s">
        <v>243</v>
      </c>
      <c r="W19" s="961" t="s">
        <v>243</v>
      </c>
      <c r="X19" s="1002" t="s">
        <v>243</v>
      </c>
      <c r="Y19" s="194" t="s">
        <v>243</v>
      </c>
      <c r="Z19" s="195" t="s">
        <v>243</v>
      </c>
      <c r="AA19" s="195" t="s">
        <v>243</v>
      </c>
      <c r="AB19" s="1002" t="s">
        <v>243</v>
      </c>
      <c r="AC19" s="194" t="s">
        <v>243</v>
      </c>
      <c r="AD19" s="195" t="s">
        <v>243</v>
      </c>
      <c r="AE19" s="1004" t="s">
        <v>243</v>
      </c>
      <c r="AF19" s="1002" t="s">
        <v>243</v>
      </c>
      <c r="AG19" s="194" t="s">
        <v>243</v>
      </c>
      <c r="AH19" s="195" t="s">
        <v>243</v>
      </c>
      <c r="AI19" s="1004" t="s">
        <v>243</v>
      </c>
      <c r="AJ19" s="1002" t="s">
        <v>243</v>
      </c>
      <c r="AK19" s="194" t="s">
        <v>243</v>
      </c>
      <c r="AL19" s="195" t="s">
        <v>243</v>
      </c>
      <c r="AM19" s="1004" t="s">
        <v>243</v>
      </c>
      <c r="AN19" s="966" t="s">
        <v>484</v>
      </c>
      <c r="AO19" s="208" t="s">
        <v>485</v>
      </c>
      <c r="AP19" s="209">
        <v>90</v>
      </c>
      <c r="AQ19" s="967">
        <v>0.55000000000000004</v>
      </c>
      <c r="AR19" s="960" t="s">
        <v>243</v>
      </c>
      <c r="AS19" s="192" t="s">
        <v>243</v>
      </c>
      <c r="AT19" s="193" t="s">
        <v>243</v>
      </c>
      <c r="AU19" s="961" t="s">
        <v>243</v>
      </c>
      <c r="AV19" s="960" t="s">
        <v>243</v>
      </c>
      <c r="AW19" s="192" t="s">
        <v>243</v>
      </c>
      <c r="AX19" s="193" t="s">
        <v>243</v>
      </c>
      <c r="AY19" s="961" t="s">
        <v>243</v>
      </c>
      <c r="AZ19" s="960" t="s">
        <v>243</v>
      </c>
      <c r="BA19" s="192" t="s">
        <v>243</v>
      </c>
      <c r="BB19" s="193" t="s">
        <v>243</v>
      </c>
      <c r="BC19" s="961" t="s">
        <v>243</v>
      </c>
      <c r="BD19" s="960" t="s">
        <v>243</v>
      </c>
      <c r="BE19" s="192" t="s">
        <v>243</v>
      </c>
      <c r="BF19" s="193" t="s">
        <v>243</v>
      </c>
      <c r="BG19" s="961" t="s">
        <v>243</v>
      </c>
      <c r="BH19" s="1020" t="s">
        <v>577</v>
      </c>
      <c r="BI19" s="241" t="s">
        <v>578</v>
      </c>
      <c r="BJ19" s="242">
        <v>21</v>
      </c>
      <c r="BK19" s="1021">
        <v>0.75</v>
      </c>
      <c r="BL19" s="1020" t="s">
        <v>577</v>
      </c>
      <c r="BM19" s="241" t="s">
        <v>578</v>
      </c>
      <c r="BN19" s="242">
        <v>21</v>
      </c>
      <c r="BO19" s="1021">
        <v>0.75</v>
      </c>
      <c r="BP19" s="969" t="s">
        <v>579</v>
      </c>
      <c r="BQ19" s="210" t="s">
        <v>580</v>
      </c>
      <c r="BR19" s="211">
        <v>32</v>
      </c>
      <c r="BS19" s="971">
        <v>1.5</v>
      </c>
      <c r="BT19" s="1037" t="s">
        <v>585</v>
      </c>
      <c r="BU19" s="246" t="s">
        <v>580</v>
      </c>
      <c r="BV19" s="246">
        <v>32</v>
      </c>
      <c r="BW19" s="1038">
        <v>1.5</v>
      </c>
      <c r="BX19" s="1030" t="s">
        <v>581</v>
      </c>
      <c r="BY19" s="245" t="s">
        <v>582</v>
      </c>
      <c r="BZ19" s="245">
        <v>42</v>
      </c>
      <c r="CA19" s="1034">
        <v>2.2000000000000002</v>
      </c>
      <c r="CB19" s="1002" t="s">
        <v>243</v>
      </c>
      <c r="CC19" s="194" t="s">
        <v>243</v>
      </c>
      <c r="CD19" s="195" t="s">
        <v>243</v>
      </c>
      <c r="CE19" s="1004" t="s">
        <v>243</v>
      </c>
      <c r="CF19" s="1002" t="s">
        <v>243</v>
      </c>
      <c r="CG19" s="194" t="s">
        <v>243</v>
      </c>
      <c r="CH19" s="195" t="s">
        <v>243</v>
      </c>
      <c r="CI19" s="1004" t="s">
        <v>243</v>
      </c>
      <c r="CJ19" s="1002" t="s">
        <v>243</v>
      </c>
      <c r="CK19" s="194" t="s">
        <v>243</v>
      </c>
      <c r="CL19" s="195" t="s">
        <v>243</v>
      </c>
      <c r="CM19" s="1004" t="s">
        <v>243</v>
      </c>
      <c r="CN19" s="1002" t="s">
        <v>243</v>
      </c>
      <c r="CO19" s="194" t="s">
        <v>243</v>
      </c>
      <c r="CP19" s="195" t="s">
        <v>243</v>
      </c>
      <c r="CQ19" s="1004" t="s">
        <v>243</v>
      </c>
      <c r="CR19" s="1002" t="s">
        <v>243</v>
      </c>
      <c r="CS19" s="194" t="s">
        <v>243</v>
      </c>
      <c r="CT19" s="195" t="s">
        <v>243</v>
      </c>
      <c r="CU19" s="1004" t="s">
        <v>243</v>
      </c>
    </row>
    <row r="20" spans="2:99">
      <c r="B20" s="952">
        <v>2500</v>
      </c>
      <c r="C20" s="953">
        <v>694.44444444444446</v>
      </c>
      <c r="D20" s="960" t="s">
        <v>243</v>
      </c>
      <c r="E20" s="198" t="s">
        <v>243</v>
      </c>
      <c r="F20" s="199" t="s">
        <v>243</v>
      </c>
      <c r="G20" s="962" t="s">
        <v>243</v>
      </c>
      <c r="H20" s="960" t="s">
        <v>243</v>
      </c>
      <c r="I20" s="198" t="s">
        <v>243</v>
      </c>
      <c r="J20" s="199" t="s">
        <v>243</v>
      </c>
      <c r="K20" s="962" t="s">
        <v>243</v>
      </c>
      <c r="L20" s="960" t="s">
        <v>243</v>
      </c>
      <c r="M20" s="198" t="s">
        <v>243</v>
      </c>
      <c r="N20" s="199" t="s">
        <v>243</v>
      </c>
      <c r="O20" s="962" t="s">
        <v>243</v>
      </c>
      <c r="P20" s="960" t="s">
        <v>243</v>
      </c>
      <c r="Q20" s="198" t="s">
        <v>243</v>
      </c>
      <c r="R20" s="199" t="s">
        <v>243</v>
      </c>
      <c r="S20" s="962" t="s">
        <v>243</v>
      </c>
      <c r="T20" s="960" t="s">
        <v>243</v>
      </c>
      <c r="U20" s="198" t="s">
        <v>243</v>
      </c>
      <c r="V20" s="199" t="s">
        <v>243</v>
      </c>
      <c r="W20" s="962" t="s">
        <v>243</v>
      </c>
      <c r="X20" s="1002" t="s">
        <v>243</v>
      </c>
      <c r="Y20" s="200" t="s">
        <v>243</v>
      </c>
      <c r="Z20" s="201" t="s">
        <v>243</v>
      </c>
      <c r="AA20" s="201" t="s">
        <v>243</v>
      </c>
      <c r="AB20" s="1002" t="s">
        <v>243</v>
      </c>
      <c r="AC20" s="200" t="s">
        <v>243</v>
      </c>
      <c r="AD20" s="201" t="s">
        <v>243</v>
      </c>
      <c r="AE20" s="1003" t="s">
        <v>243</v>
      </c>
      <c r="AF20" s="1002" t="s">
        <v>243</v>
      </c>
      <c r="AG20" s="200" t="s">
        <v>243</v>
      </c>
      <c r="AH20" s="201" t="s">
        <v>243</v>
      </c>
      <c r="AI20" s="1003" t="s">
        <v>243</v>
      </c>
      <c r="AJ20" s="1002" t="s">
        <v>243</v>
      </c>
      <c r="AK20" s="200" t="s">
        <v>243</v>
      </c>
      <c r="AL20" s="201" t="s">
        <v>243</v>
      </c>
      <c r="AM20" s="1003" t="s">
        <v>243</v>
      </c>
      <c r="AN20" s="966" t="s">
        <v>484</v>
      </c>
      <c r="AO20" s="202" t="s">
        <v>485</v>
      </c>
      <c r="AP20" s="203">
        <v>90</v>
      </c>
      <c r="AQ20" s="968">
        <v>0.55000000000000004</v>
      </c>
      <c r="AR20" s="960" t="s">
        <v>243</v>
      </c>
      <c r="AS20" s="198" t="s">
        <v>243</v>
      </c>
      <c r="AT20" s="199" t="s">
        <v>243</v>
      </c>
      <c r="AU20" s="962" t="s">
        <v>243</v>
      </c>
      <c r="AV20" s="960" t="s">
        <v>243</v>
      </c>
      <c r="AW20" s="198" t="s">
        <v>243</v>
      </c>
      <c r="AX20" s="199" t="s">
        <v>243</v>
      </c>
      <c r="AY20" s="962" t="s">
        <v>243</v>
      </c>
      <c r="AZ20" s="960" t="s">
        <v>243</v>
      </c>
      <c r="BA20" s="198" t="s">
        <v>243</v>
      </c>
      <c r="BB20" s="199" t="s">
        <v>243</v>
      </c>
      <c r="BC20" s="962" t="s">
        <v>243</v>
      </c>
      <c r="BD20" s="960" t="s">
        <v>243</v>
      </c>
      <c r="BE20" s="198" t="s">
        <v>243</v>
      </c>
      <c r="BF20" s="199" t="s">
        <v>243</v>
      </c>
      <c r="BG20" s="962" t="s">
        <v>243</v>
      </c>
      <c r="BH20" s="969" t="s">
        <v>579</v>
      </c>
      <c r="BI20" s="204" t="s">
        <v>580</v>
      </c>
      <c r="BJ20" s="205">
        <v>32</v>
      </c>
      <c r="BK20" s="970">
        <v>1.5</v>
      </c>
      <c r="BL20" s="969" t="s">
        <v>579</v>
      </c>
      <c r="BM20" s="204" t="s">
        <v>580</v>
      </c>
      <c r="BN20" s="205">
        <v>32</v>
      </c>
      <c r="BO20" s="970">
        <v>1.5</v>
      </c>
      <c r="BP20" s="972" t="s">
        <v>585</v>
      </c>
      <c r="BQ20" s="206" t="s">
        <v>580</v>
      </c>
      <c r="BR20" s="206">
        <v>32</v>
      </c>
      <c r="BS20" s="974">
        <v>1.5</v>
      </c>
      <c r="BT20" s="1030" t="s">
        <v>581</v>
      </c>
      <c r="BU20" s="234" t="s">
        <v>582</v>
      </c>
      <c r="BV20" s="234">
        <v>42</v>
      </c>
      <c r="BW20" s="1031">
        <v>2.2000000000000002</v>
      </c>
      <c r="BX20" s="1030" t="s">
        <v>581</v>
      </c>
      <c r="BY20" s="234" t="s">
        <v>582</v>
      </c>
      <c r="BZ20" s="234">
        <v>42</v>
      </c>
      <c r="CA20" s="1031">
        <v>2.2000000000000002</v>
      </c>
      <c r="CB20" s="1002" t="s">
        <v>243</v>
      </c>
      <c r="CC20" s="200" t="s">
        <v>243</v>
      </c>
      <c r="CD20" s="201" t="s">
        <v>243</v>
      </c>
      <c r="CE20" s="1003" t="s">
        <v>243</v>
      </c>
      <c r="CF20" s="1002" t="s">
        <v>243</v>
      </c>
      <c r="CG20" s="200" t="s">
        <v>243</v>
      </c>
      <c r="CH20" s="201" t="s">
        <v>243</v>
      </c>
      <c r="CI20" s="1003" t="s">
        <v>243</v>
      </c>
      <c r="CJ20" s="1002" t="s">
        <v>243</v>
      </c>
      <c r="CK20" s="200" t="s">
        <v>243</v>
      </c>
      <c r="CL20" s="201" t="s">
        <v>243</v>
      </c>
      <c r="CM20" s="1003" t="s">
        <v>243</v>
      </c>
      <c r="CN20" s="1002" t="s">
        <v>243</v>
      </c>
      <c r="CO20" s="200" t="s">
        <v>243</v>
      </c>
      <c r="CP20" s="201" t="s">
        <v>243</v>
      </c>
      <c r="CQ20" s="1003" t="s">
        <v>243</v>
      </c>
      <c r="CR20" s="1002" t="s">
        <v>243</v>
      </c>
      <c r="CS20" s="200" t="s">
        <v>243</v>
      </c>
      <c r="CT20" s="201" t="s">
        <v>243</v>
      </c>
      <c r="CU20" s="1003" t="s">
        <v>243</v>
      </c>
    </row>
    <row r="21" spans="2:99">
      <c r="B21" s="954">
        <v>3000</v>
      </c>
      <c r="C21" s="955">
        <v>833.33333333333326</v>
      </c>
      <c r="D21" s="960" t="s">
        <v>243</v>
      </c>
      <c r="E21" s="192" t="s">
        <v>243</v>
      </c>
      <c r="F21" s="193" t="s">
        <v>243</v>
      </c>
      <c r="G21" s="961" t="s">
        <v>243</v>
      </c>
      <c r="H21" s="960" t="s">
        <v>243</v>
      </c>
      <c r="I21" s="192" t="s">
        <v>243</v>
      </c>
      <c r="J21" s="193" t="s">
        <v>243</v>
      </c>
      <c r="K21" s="961" t="s">
        <v>243</v>
      </c>
      <c r="L21" s="960" t="s">
        <v>243</v>
      </c>
      <c r="M21" s="192" t="s">
        <v>243</v>
      </c>
      <c r="N21" s="193" t="s">
        <v>243</v>
      </c>
      <c r="O21" s="961" t="s">
        <v>243</v>
      </c>
      <c r="P21" s="960" t="s">
        <v>243</v>
      </c>
      <c r="Q21" s="192" t="s">
        <v>243</v>
      </c>
      <c r="R21" s="193" t="s">
        <v>243</v>
      </c>
      <c r="S21" s="961" t="s">
        <v>243</v>
      </c>
      <c r="T21" s="963" t="s">
        <v>486</v>
      </c>
      <c r="U21" s="196" t="s">
        <v>487</v>
      </c>
      <c r="V21" s="197">
        <v>115</v>
      </c>
      <c r="W21" s="964">
        <v>0.75</v>
      </c>
      <c r="X21" s="1002" t="s">
        <v>243</v>
      </c>
      <c r="Y21" s="194" t="s">
        <v>243</v>
      </c>
      <c r="Z21" s="195" t="s">
        <v>243</v>
      </c>
      <c r="AA21" s="195" t="s">
        <v>243</v>
      </c>
      <c r="AB21" s="1002" t="s">
        <v>243</v>
      </c>
      <c r="AC21" s="194" t="s">
        <v>243</v>
      </c>
      <c r="AD21" s="195" t="s">
        <v>243</v>
      </c>
      <c r="AE21" s="1004" t="s">
        <v>243</v>
      </c>
      <c r="AF21" s="1002" t="s">
        <v>243</v>
      </c>
      <c r="AG21" s="194" t="s">
        <v>243</v>
      </c>
      <c r="AH21" s="195" t="s">
        <v>243</v>
      </c>
      <c r="AI21" s="1004" t="s">
        <v>243</v>
      </c>
      <c r="AJ21" s="1002" t="s">
        <v>243</v>
      </c>
      <c r="AK21" s="194" t="s">
        <v>243</v>
      </c>
      <c r="AL21" s="195" t="s">
        <v>243</v>
      </c>
      <c r="AM21" s="1004" t="s">
        <v>243</v>
      </c>
      <c r="AN21" s="966" t="s">
        <v>484</v>
      </c>
      <c r="AO21" s="208" t="s">
        <v>485</v>
      </c>
      <c r="AP21" s="209">
        <v>90</v>
      </c>
      <c r="AQ21" s="967">
        <v>0.75</v>
      </c>
      <c r="AR21" s="960" t="s">
        <v>488</v>
      </c>
      <c r="AS21" s="192" t="s">
        <v>489</v>
      </c>
      <c r="AT21" s="193">
        <v>115</v>
      </c>
      <c r="AU21" s="961">
        <v>1.5</v>
      </c>
      <c r="AV21" s="960" t="s">
        <v>243</v>
      </c>
      <c r="AW21" s="192" t="s">
        <v>243</v>
      </c>
      <c r="AX21" s="193" t="s">
        <v>243</v>
      </c>
      <c r="AY21" s="961" t="s">
        <v>243</v>
      </c>
      <c r="AZ21" s="960" t="s">
        <v>243</v>
      </c>
      <c r="BA21" s="192" t="s">
        <v>243</v>
      </c>
      <c r="BB21" s="193" t="s">
        <v>243</v>
      </c>
      <c r="BC21" s="961" t="s">
        <v>243</v>
      </c>
      <c r="BD21" s="960" t="s">
        <v>243</v>
      </c>
      <c r="BE21" s="192" t="s">
        <v>243</v>
      </c>
      <c r="BF21" s="193" t="s">
        <v>243</v>
      </c>
      <c r="BG21" s="961" t="s">
        <v>243</v>
      </c>
      <c r="BH21" s="972" t="s">
        <v>585</v>
      </c>
      <c r="BI21" s="212" t="s">
        <v>580</v>
      </c>
      <c r="BJ21" s="213">
        <v>32</v>
      </c>
      <c r="BK21" s="1021">
        <v>1.5</v>
      </c>
      <c r="BL21" s="972" t="s">
        <v>585</v>
      </c>
      <c r="BM21" s="212" t="s">
        <v>580</v>
      </c>
      <c r="BN21" s="212">
        <v>32</v>
      </c>
      <c r="BO21" s="973">
        <v>1.5</v>
      </c>
      <c r="BP21" s="1030" t="s">
        <v>581</v>
      </c>
      <c r="BQ21" s="245" t="s">
        <v>582</v>
      </c>
      <c r="BR21" s="247">
        <v>42</v>
      </c>
      <c r="BS21" s="1034">
        <v>2.2000000000000002</v>
      </c>
      <c r="BT21" s="1030" t="s">
        <v>581</v>
      </c>
      <c r="BU21" s="245" t="s">
        <v>582</v>
      </c>
      <c r="BV21" s="245">
        <v>42</v>
      </c>
      <c r="BW21" s="1034">
        <v>2.2000000000000002</v>
      </c>
      <c r="BX21" s="1030" t="s">
        <v>581</v>
      </c>
      <c r="BY21" s="245" t="s">
        <v>582</v>
      </c>
      <c r="BZ21" s="245">
        <v>42</v>
      </c>
      <c r="CA21" s="1034">
        <v>2.2000000000000002</v>
      </c>
      <c r="CB21" s="1002" t="s">
        <v>243</v>
      </c>
      <c r="CC21" s="194" t="s">
        <v>243</v>
      </c>
      <c r="CD21" s="195" t="s">
        <v>243</v>
      </c>
      <c r="CE21" s="1004" t="s">
        <v>243</v>
      </c>
      <c r="CF21" s="1002" t="s">
        <v>243</v>
      </c>
      <c r="CG21" s="194" t="s">
        <v>243</v>
      </c>
      <c r="CH21" s="195" t="s">
        <v>243</v>
      </c>
      <c r="CI21" s="1004" t="s">
        <v>243</v>
      </c>
      <c r="CJ21" s="1002" t="s">
        <v>243</v>
      </c>
      <c r="CK21" s="194" t="s">
        <v>243</v>
      </c>
      <c r="CL21" s="195" t="s">
        <v>243</v>
      </c>
      <c r="CM21" s="1004" t="s">
        <v>243</v>
      </c>
      <c r="CN21" s="1002" t="s">
        <v>243</v>
      </c>
      <c r="CO21" s="194" t="s">
        <v>243</v>
      </c>
      <c r="CP21" s="195" t="s">
        <v>243</v>
      </c>
      <c r="CQ21" s="1004" t="s">
        <v>243</v>
      </c>
      <c r="CR21" s="1002" t="s">
        <v>243</v>
      </c>
      <c r="CS21" s="194" t="s">
        <v>243</v>
      </c>
      <c r="CT21" s="195" t="s">
        <v>243</v>
      </c>
      <c r="CU21" s="1004" t="s">
        <v>243</v>
      </c>
    </row>
    <row r="22" spans="2:99">
      <c r="B22" s="952">
        <v>3500</v>
      </c>
      <c r="C22" s="953">
        <v>972.22222222222217</v>
      </c>
      <c r="D22" s="960" t="s">
        <v>243</v>
      </c>
      <c r="E22" s="198" t="s">
        <v>243</v>
      </c>
      <c r="F22" s="199" t="s">
        <v>243</v>
      </c>
      <c r="G22" s="962" t="s">
        <v>243</v>
      </c>
      <c r="H22" s="960" t="s">
        <v>243</v>
      </c>
      <c r="I22" s="198" t="s">
        <v>243</v>
      </c>
      <c r="J22" s="199" t="s">
        <v>243</v>
      </c>
      <c r="K22" s="962" t="s">
        <v>243</v>
      </c>
      <c r="L22" s="960" t="s">
        <v>243</v>
      </c>
      <c r="M22" s="198" t="s">
        <v>243</v>
      </c>
      <c r="N22" s="199" t="s">
        <v>243</v>
      </c>
      <c r="O22" s="962" t="s">
        <v>243</v>
      </c>
      <c r="P22" s="960" t="s">
        <v>243</v>
      </c>
      <c r="Q22" s="198" t="s">
        <v>243</v>
      </c>
      <c r="R22" s="199" t="s">
        <v>243</v>
      </c>
      <c r="S22" s="962" t="s">
        <v>243</v>
      </c>
      <c r="T22" s="963" t="s">
        <v>486</v>
      </c>
      <c r="U22" s="214" t="s">
        <v>487</v>
      </c>
      <c r="V22" s="215">
        <v>115</v>
      </c>
      <c r="W22" s="965">
        <v>1.1000000000000001</v>
      </c>
      <c r="X22" s="1002" t="s">
        <v>243</v>
      </c>
      <c r="Y22" s="200" t="s">
        <v>243</v>
      </c>
      <c r="Z22" s="201" t="s">
        <v>243</v>
      </c>
      <c r="AA22" s="201" t="s">
        <v>243</v>
      </c>
      <c r="AB22" s="1002" t="s">
        <v>243</v>
      </c>
      <c r="AC22" s="200" t="s">
        <v>243</v>
      </c>
      <c r="AD22" s="201" t="s">
        <v>243</v>
      </c>
      <c r="AE22" s="1003" t="s">
        <v>243</v>
      </c>
      <c r="AF22" s="1002" t="s">
        <v>243</v>
      </c>
      <c r="AG22" s="200" t="s">
        <v>243</v>
      </c>
      <c r="AH22" s="201" t="s">
        <v>243</v>
      </c>
      <c r="AI22" s="1003" t="s">
        <v>243</v>
      </c>
      <c r="AJ22" s="1002" t="s">
        <v>243</v>
      </c>
      <c r="AK22" s="200" t="s">
        <v>243</v>
      </c>
      <c r="AL22" s="201" t="s">
        <v>243</v>
      </c>
      <c r="AM22" s="1003" t="s">
        <v>243</v>
      </c>
      <c r="AN22" s="960" t="s">
        <v>488</v>
      </c>
      <c r="AO22" s="198" t="s">
        <v>489</v>
      </c>
      <c r="AP22" s="199">
        <v>115</v>
      </c>
      <c r="AQ22" s="962">
        <v>1.1000000000000001</v>
      </c>
      <c r="AR22" s="960" t="s">
        <v>488</v>
      </c>
      <c r="AS22" s="198" t="s">
        <v>489</v>
      </c>
      <c r="AT22" s="199">
        <v>115</v>
      </c>
      <c r="AU22" s="962">
        <v>2.2000000000000002</v>
      </c>
      <c r="AV22" s="960" t="s">
        <v>243</v>
      </c>
      <c r="AW22" s="198" t="s">
        <v>243</v>
      </c>
      <c r="AX22" s="199" t="s">
        <v>243</v>
      </c>
      <c r="AY22" s="962" t="s">
        <v>243</v>
      </c>
      <c r="AZ22" s="960" t="s">
        <v>243</v>
      </c>
      <c r="BA22" s="198" t="s">
        <v>243</v>
      </c>
      <c r="BB22" s="199" t="s">
        <v>243</v>
      </c>
      <c r="BC22" s="962" t="s">
        <v>243</v>
      </c>
      <c r="BD22" s="960" t="s">
        <v>243</v>
      </c>
      <c r="BE22" s="198" t="s">
        <v>243</v>
      </c>
      <c r="BF22" s="199" t="s">
        <v>243</v>
      </c>
      <c r="BG22" s="962" t="s">
        <v>243</v>
      </c>
      <c r="BH22" s="972" t="s">
        <v>585</v>
      </c>
      <c r="BI22" s="206" t="s">
        <v>580</v>
      </c>
      <c r="BJ22" s="207">
        <v>32</v>
      </c>
      <c r="BK22" s="1022">
        <v>1.5</v>
      </c>
      <c r="BL22" s="1030" t="s">
        <v>581</v>
      </c>
      <c r="BM22" s="234" t="s">
        <v>582</v>
      </c>
      <c r="BN22" s="235">
        <v>42</v>
      </c>
      <c r="BO22" s="1031">
        <v>2.2000000000000002</v>
      </c>
      <c r="BP22" s="1030" t="s">
        <v>581</v>
      </c>
      <c r="BQ22" s="234" t="s">
        <v>582</v>
      </c>
      <c r="BR22" s="235">
        <v>42</v>
      </c>
      <c r="BS22" s="1031">
        <v>2.2000000000000002</v>
      </c>
      <c r="BT22" s="1023" t="s">
        <v>586</v>
      </c>
      <c r="BU22" s="237" t="s">
        <v>582</v>
      </c>
      <c r="BV22" s="237">
        <v>42</v>
      </c>
      <c r="BW22" s="1025">
        <v>2.2000000000000002</v>
      </c>
      <c r="BX22" s="1032" t="s">
        <v>587</v>
      </c>
      <c r="BY22" s="239" t="s">
        <v>588</v>
      </c>
      <c r="BZ22" s="239">
        <v>60</v>
      </c>
      <c r="CA22" s="1033">
        <v>5.5</v>
      </c>
      <c r="CB22" s="1002" t="s">
        <v>243</v>
      </c>
      <c r="CC22" s="200" t="s">
        <v>243</v>
      </c>
      <c r="CD22" s="201" t="s">
        <v>243</v>
      </c>
      <c r="CE22" s="1003" t="s">
        <v>243</v>
      </c>
      <c r="CF22" s="1002" t="s">
        <v>243</v>
      </c>
      <c r="CG22" s="200" t="s">
        <v>243</v>
      </c>
      <c r="CH22" s="201" t="s">
        <v>243</v>
      </c>
      <c r="CI22" s="1003" t="s">
        <v>243</v>
      </c>
      <c r="CJ22" s="1002" t="s">
        <v>243</v>
      </c>
      <c r="CK22" s="200" t="s">
        <v>243</v>
      </c>
      <c r="CL22" s="201" t="s">
        <v>243</v>
      </c>
      <c r="CM22" s="1003" t="s">
        <v>243</v>
      </c>
      <c r="CN22" s="1002" t="s">
        <v>243</v>
      </c>
      <c r="CO22" s="200" t="s">
        <v>243</v>
      </c>
      <c r="CP22" s="201" t="s">
        <v>243</v>
      </c>
      <c r="CQ22" s="1003" t="s">
        <v>243</v>
      </c>
      <c r="CR22" s="1002" t="s">
        <v>243</v>
      </c>
      <c r="CS22" s="200" t="s">
        <v>243</v>
      </c>
      <c r="CT22" s="201" t="s">
        <v>243</v>
      </c>
      <c r="CU22" s="1003" t="s">
        <v>243</v>
      </c>
    </row>
    <row r="23" spans="2:99">
      <c r="B23" s="954">
        <v>4000</v>
      </c>
      <c r="C23" s="955">
        <v>1111.1111111111111</v>
      </c>
      <c r="D23" s="960" t="s">
        <v>243</v>
      </c>
      <c r="E23" s="192" t="s">
        <v>243</v>
      </c>
      <c r="F23" s="193" t="s">
        <v>243</v>
      </c>
      <c r="G23" s="961" t="s">
        <v>243</v>
      </c>
      <c r="H23" s="960" t="s">
        <v>243</v>
      </c>
      <c r="I23" s="192" t="s">
        <v>243</v>
      </c>
      <c r="J23" s="193" t="s">
        <v>243</v>
      </c>
      <c r="K23" s="961" t="s">
        <v>243</v>
      </c>
      <c r="L23" s="960" t="s">
        <v>243</v>
      </c>
      <c r="M23" s="192" t="s">
        <v>243</v>
      </c>
      <c r="N23" s="193" t="s">
        <v>243</v>
      </c>
      <c r="O23" s="961" t="s">
        <v>243</v>
      </c>
      <c r="P23" s="960" t="s">
        <v>243</v>
      </c>
      <c r="Q23" s="192" t="s">
        <v>243</v>
      </c>
      <c r="R23" s="193" t="s">
        <v>243</v>
      </c>
      <c r="S23" s="961" t="s">
        <v>243</v>
      </c>
      <c r="T23" s="963" t="s">
        <v>486</v>
      </c>
      <c r="U23" s="196" t="s">
        <v>487</v>
      </c>
      <c r="V23" s="197">
        <v>115</v>
      </c>
      <c r="W23" s="964">
        <v>1.1000000000000001</v>
      </c>
      <c r="X23" s="1002" t="s">
        <v>243</v>
      </c>
      <c r="Y23" s="194" t="s">
        <v>243</v>
      </c>
      <c r="Z23" s="195" t="s">
        <v>243</v>
      </c>
      <c r="AA23" s="195" t="s">
        <v>243</v>
      </c>
      <c r="AB23" s="1002" t="s">
        <v>243</v>
      </c>
      <c r="AC23" s="194" t="s">
        <v>243</v>
      </c>
      <c r="AD23" s="195" t="s">
        <v>243</v>
      </c>
      <c r="AE23" s="1004" t="s">
        <v>243</v>
      </c>
      <c r="AF23" s="1002" t="s">
        <v>243</v>
      </c>
      <c r="AG23" s="194" t="s">
        <v>243</v>
      </c>
      <c r="AH23" s="195" t="s">
        <v>243</v>
      </c>
      <c r="AI23" s="1004" t="s">
        <v>243</v>
      </c>
      <c r="AJ23" s="1002" t="s">
        <v>243</v>
      </c>
      <c r="AK23" s="194" t="s">
        <v>243</v>
      </c>
      <c r="AL23" s="195" t="s">
        <v>243</v>
      </c>
      <c r="AM23" s="1004" t="s">
        <v>243</v>
      </c>
      <c r="AN23" s="960" t="s">
        <v>488</v>
      </c>
      <c r="AO23" s="192" t="s">
        <v>489</v>
      </c>
      <c r="AP23" s="193">
        <v>115</v>
      </c>
      <c r="AQ23" s="961">
        <v>1.1000000000000001</v>
      </c>
      <c r="AR23" s="960" t="s">
        <v>488</v>
      </c>
      <c r="AS23" s="192" t="s">
        <v>489</v>
      </c>
      <c r="AT23" s="193">
        <v>115</v>
      </c>
      <c r="AU23" s="961">
        <v>2.2000000000000002</v>
      </c>
      <c r="AV23" s="960" t="s">
        <v>243</v>
      </c>
      <c r="AW23" s="192" t="s">
        <v>243</v>
      </c>
      <c r="AX23" s="193" t="s">
        <v>243</v>
      </c>
      <c r="AY23" s="961" t="s">
        <v>243</v>
      </c>
      <c r="AZ23" s="960" t="s">
        <v>243</v>
      </c>
      <c r="BA23" s="192" t="s">
        <v>243</v>
      </c>
      <c r="BB23" s="193" t="s">
        <v>243</v>
      </c>
      <c r="BC23" s="961" t="s">
        <v>243</v>
      </c>
      <c r="BD23" s="960" t="s">
        <v>243</v>
      </c>
      <c r="BE23" s="192" t="s">
        <v>243</v>
      </c>
      <c r="BF23" s="193" t="s">
        <v>243</v>
      </c>
      <c r="BG23" s="961" t="s">
        <v>243</v>
      </c>
      <c r="BH23" s="1023" t="s">
        <v>586</v>
      </c>
      <c r="BI23" s="248" t="s">
        <v>582</v>
      </c>
      <c r="BJ23" s="250">
        <v>42</v>
      </c>
      <c r="BK23" s="1024">
        <v>2.2000000000000002</v>
      </c>
      <c r="BL23" s="1023" t="s">
        <v>586</v>
      </c>
      <c r="BM23" s="248" t="s">
        <v>582</v>
      </c>
      <c r="BN23" s="250">
        <v>42</v>
      </c>
      <c r="BO23" s="1024">
        <v>2.2000000000000002</v>
      </c>
      <c r="BP23" s="1023" t="s">
        <v>586</v>
      </c>
      <c r="BQ23" s="248" t="s">
        <v>582</v>
      </c>
      <c r="BR23" s="250">
        <v>42</v>
      </c>
      <c r="BS23" s="1024">
        <v>2.2000000000000002</v>
      </c>
      <c r="BT23" s="1032" t="s">
        <v>587</v>
      </c>
      <c r="BU23" s="249" t="s">
        <v>588</v>
      </c>
      <c r="BV23" s="249">
        <v>60</v>
      </c>
      <c r="BW23" s="1039">
        <v>5.5</v>
      </c>
      <c r="BX23" s="1032" t="s">
        <v>587</v>
      </c>
      <c r="BY23" s="249" t="s">
        <v>588</v>
      </c>
      <c r="BZ23" s="249">
        <v>60</v>
      </c>
      <c r="CA23" s="1039">
        <v>5.5</v>
      </c>
      <c r="CB23" s="1002" t="s">
        <v>243</v>
      </c>
      <c r="CC23" s="194" t="s">
        <v>243</v>
      </c>
      <c r="CD23" s="195" t="s">
        <v>243</v>
      </c>
      <c r="CE23" s="1004" t="s">
        <v>243</v>
      </c>
      <c r="CF23" s="1002" t="s">
        <v>243</v>
      </c>
      <c r="CG23" s="194" t="s">
        <v>243</v>
      </c>
      <c r="CH23" s="195" t="s">
        <v>243</v>
      </c>
      <c r="CI23" s="1004" t="s">
        <v>243</v>
      </c>
      <c r="CJ23" s="1002" t="s">
        <v>243</v>
      </c>
      <c r="CK23" s="194" t="s">
        <v>243</v>
      </c>
      <c r="CL23" s="195" t="s">
        <v>243</v>
      </c>
      <c r="CM23" s="1004" t="s">
        <v>243</v>
      </c>
      <c r="CN23" s="1002" t="s">
        <v>243</v>
      </c>
      <c r="CO23" s="194" t="s">
        <v>243</v>
      </c>
      <c r="CP23" s="195" t="s">
        <v>243</v>
      </c>
      <c r="CQ23" s="1004" t="s">
        <v>243</v>
      </c>
      <c r="CR23" s="1002" t="s">
        <v>243</v>
      </c>
      <c r="CS23" s="194" t="s">
        <v>243</v>
      </c>
      <c r="CT23" s="195" t="s">
        <v>243</v>
      </c>
      <c r="CU23" s="1004" t="s">
        <v>243</v>
      </c>
    </row>
    <row r="24" spans="2:99">
      <c r="B24" s="952">
        <v>4500</v>
      </c>
      <c r="C24" s="953">
        <v>1250</v>
      </c>
      <c r="D24" s="960" t="s">
        <v>243</v>
      </c>
      <c r="E24" s="198" t="s">
        <v>243</v>
      </c>
      <c r="F24" s="199" t="s">
        <v>243</v>
      </c>
      <c r="G24" s="962" t="s">
        <v>243</v>
      </c>
      <c r="H24" s="960" t="s">
        <v>243</v>
      </c>
      <c r="I24" s="198" t="s">
        <v>243</v>
      </c>
      <c r="J24" s="199" t="s">
        <v>243</v>
      </c>
      <c r="K24" s="962" t="s">
        <v>243</v>
      </c>
      <c r="L24" s="960" t="s">
        <v>243</v>
      </c>
      <c r="M24" s="198" t="s">
        <v>243</v>
      </c>
      <c r="N24" s="199" t="s">
        <v>243</v>
      </c>
      <c r="O24" s="962" t="s">
        <v>243</v>
      </c>
      <c r="P24" s="960" t="s">
        <v>243</v>
      </c>
      <c r="Q24" s="198" t="s">
        <v>243</v>
      </c>
      <c r="R24" s="199" t="s">
        <v>243</v>
      </c>
      <c r="S24" s="962" t="s">
        <v>243</v>
      </c>
      <c r="T24" s="963" t="s">
        <v>486</v>
      </c>
      <c r="U24" s="214" t="s">
        <v>487</v>
      </c>
      <c r="V24" s="215">
        <v>115</v>
      </c>
      <c r="W24" s="965">
        <v>1.1000000000000001</v>
      </c>
      <c r="X24" s="1002" t="s">
        <v>243</v>
      </c>
      <c r="Y24" s="200" t="s">
        <v>243</v>
      </c>
      <c r="Z24" s="201" t="s">
        <v>243</v>
      </c>
      <c r="AA24" s="201" t="s">
        <v>243</v>
      </c>
      <c r="AB24" s="1002" t="s">
        <v>243</v>
      </c>
      <c r="AC24" s="200" t="s">
        <v>243</v>
      </c>
      <c r="AD24" s="201" t="s">
        <v>243</v>
      </c>
      <c r="AE24" s="1003" t="s">
        <v>243</v>
      </c>
      <c r="AF24" s="1002" t="s">
        <v>243</v>
      </c>
      <c r="AG24" s="200" t="s">
        <v>243</v>
      </c>
      <c r="AH24" s="201" t="s">
        <v>243</v>
      </c>
      <c r="AI24" s="1003" t="s">
        <v>243</v>
      </c>
      <c r="AJ24" s="1002" t="s">
        <v>243</v>
      </c>
      <c r="AK24" s="200" t="s">
        <v>243</v>
      </c>
      <c r="AL24" s="201" t="s">
        <v>243</v>
      </c>
      <c r="AM24" s="1003" t="s">
        <v>243</v>
      </c>
      <c r="AN24" s="960" t="s">
        <v>488</v>
      </c>
      <c r="AO24" s="198" t="s">
        <v>489</v>
      </c>
      <c r="AP24" s="199">
        <v>115</v>
      </c>
      <c r="AQ24" s="962">
        <v>1.1000000000000001</v>
      </c>
      <c r="AR24" s="960" t="s">
        <v>488</v>
      </c>
      <c r="AS24" s="198" t="s">
        <v>489</v>
      </c>
      <c r="AT24" s="199">
        <v>115</v>
      </c>
      <c r="AU24" s="962">
        <v>2.2000000000000002</v>
      </c>
      <c r="AV24" s="960" t="s">
        <v>243</v>
      </c>
      <c r="AW24" s="198" t="s">
        <v>243</v>
      </c>
      <c r="AX24" s="199" t="s">
        <v>243</v>
      </c>
      <c r="AY24" s="962" t="s">
        <v>243</v>
      </c>
      <c r="AZ24" s="960" t="s">
        <v>243</v>
      </c>
      <c r="BA24" s="198" t="s">
        <v>243</v>
      </c>
      <c r="BB24" s="199" t="s">
        <v>243</v>
      </c>
      <c r="BC24" s="962" t="s">
        <v>243</v>
      </c>
      <c r="BD24" s="960" t="s">
        <v>243</v>
      </c>
      <c r="BE24" s="198" t="s">
        <v>243</v>
      </c>
      <c r="BF24" s="199" t="s">
        <v>243</v>
      </c>
      <c r="BG24" s="962" t="s">
        <v>243</v>
      </c>
      <c r="BH24" s="1023" t="s">
        <v>586</v>
      </c>
      <c r="BI24" s="237" t="s">
        <v>582</v>
      </c>
      <c r="BJ24" s="238">
        <v>42</v>
      </c>
      <c r="BK24" s="1025">
        <v>2.2000000000000002</v>
      </c>
      <c r="BL24" s="1032" t="s">
        <v>587</v>
      </c>
      <c r="BM24" s="239" t="s">
        <v>588</v>
      </c>
      <c r="BN24" s="240">
        <v>60</v>
      </c>
      <c r="BO24" s="1033">
        <v>5.5</v>
      </c>
      <c r="BP24" s="1032" t="s">
        <v>587</v>
      </c>
      <c r="BQ24" s="239" t="s">
        <v>588</v>
      </c>
      <c r="BR24" s="240">
        <v>60</v>
      </c>
      <c r="BS24" s="1033">
        <v>5.5</v>
      </c>
      <c r="BT24" s="1032" t="s">
        <v>587</v>
      </c>
      <c r="BU24" s="239" t="s">
        <v>588</v>
      </c>
      <c r="BV24" s="239">
        <v>60</v>
      </c>
      <c r="BW24" s="1033">
        <v>5.5</v>
      </c>
      <c r="BX24" s="1032" t="s">
        <v>587</v>
      </c>
      <c r="BY24" s="239" t="s">
        <v>588</v>
      </c>
      <c r="BZ24" s="239">
        <v>60</v>
      </c>
      <c r="CA24" s="1033">
        <v>5.5</v>
      </c>
      <c r="CB24" s="1002" t="s">
        <v>243</v>
      </c>
      <c r="CC24" s="200" t="s">
        <v>243</v>
      </c>
      <c r="CD24" s="201" t="s">
        <v>243</v>
      </c>
      <c r="CE24" s="1003" t="s">
        <v>243</v>
      </c>
      <c r="CF24" s="1002" t="s">
        <v>243</v>
      </c>
      <c r="CG24" s="200" t="s">
        <v>243</v>
      </c>
      <c r="CH24" s="201" t="s">
        <v>243</v>
      </c>
      <c r="CI24" s="1003" t="s">
        <v>243</v>
      </c>
      <c r="CJ24" s="1002" t="s">
        <v>243</v>
      </c>
      <c r="CK24" s="200" t="s">
        <v>243</v>
      </c>
      <c r="CL24" s="201" t="s">
        <v>243</v>
      </c>
      <c r="CM24" s="1003" t="s">
        <v>243</v>
      </c>
      <c r="CN24" s="1002" t="s">
        <v>243</v>
      </c>
      <c r="CO24" s="200" t="s">
        <v>243</v>
      </c>
      <c r="CP24" s="201" t="s">
        <v>243</v>
      </c>
      <c r="CQ24" s="1003" t="s">
        <v>243</v>
      </c>
      <c r="CR24" s="1002" t="s">
        <v>243</v>
      </c>
      <c r="CS24" s="200" t="s">
        <v>243</v>
      </c>
      <c r="CT24" s="201" t="s">
        <v>243</v>
      </c>
      <c r="CU24" s="1003" t="s">
        <v>243</v>
      </c>
    </row>
    <row r="25" spans="2:99">
      <c r="B25" s="954">
        <v>5000</v>
      </c>
      <c r="C25" s="955">
        <v>1388.8888888888889</v>
      </c>
      <c r="D25" s="960" t="s">
        <v>243</v>
      </c>
      <c r="E25" s="192" t="s">
        <v>243</v>
      </c>
      <c r="F25" s="193" t="s">
        <v>243</v>
      </c>
      <c r="G25" s="961" t="s">
        <v>243</v>
      </c>
      <c r="H25" s="960" t="s">
        <v>243</v>
      </c>
      <c r="I25" s="192" t="s">
        <v>243</v>
      </c>
      <c r="J25" s="193" t="s">
        <v>243</v>
      </c>
      <c r="K25" s="961" t="s">
        <v>243</v>
      </c>
      <c r="L25" s="960" t="s">
        <v>243</v>
      </c>
      <c r="M25" s="192" t="s">
        <v>243</v>
      </c>
      <c r="N25" s="193" t="s">
        <v>243</v>
      </c>
      <c r="O25" s="961" t="s">
        <v>243</v>
      </c>
      <c r="P25" s="960" t="s">
        <v>243</v>
      </c>
      <c r="Q25" s="192" t="s">
        <v>243</v>
      </c>
      <c r="R25" s="193" t="s">
        <v>243</v>
      </c>
      <c r="S25" s="961" t="s">
        <v>243</v>
      </c>
      <c r="T25" s="963" t="s">
        <v>486</v>
      </c>
      <c r="U25" s="196" t="s">
        <v>487</v>
      </c>
      <c r="V25" s="197">
        <v>115</v>
      </c>
      <c r="W25" s="964">
        <v>1.1000000000000001</v>
      </c>
      <c r="X25" s="1002" t="s">
        <v>243</v>
      </c>
      <c r="Y25" s="194" t="s">
        <v>243</v>
      </c>
      <c r="Z25" s="195" t="s">
        <v>243</v>
      </c>
      <c r="AA25" s="195" t="s">
        <v>243</v>
      </c>
      <c r="AB25" s="1002" t="s">
        <v>243</v>
      </c>
      <c r="AC25" s="194" t="s">
        <v>243</v>
      </c>
      <c r="AD25" s="195" t="s">
        <v>243</v>
      </c>
      <c r="AE25" s="1004" t="s">
        <v>243</v>
      </c>
      <c r="AF25" s="1002" t="s">
        <v>243</v>
      </c>
      <c r="AG25" s="194" t="s">
        <v>243</v>
      </c>
      <c r="AH25" s="195" t="s">
        <v>243</v>
      </c>
      <c r="AI25" s="1004" t="s">
        <v>243</v>
      </c>
      <c r="AJ25" s="1002" t="s">
        <v>243</v>
      </c>
      <c r="AK25" s="194" t="s">
        <v>243</v>
      </c>
      <c r="AL25" s="195" t="s">
        <v>243</v>
      </c>
      <c r="AM25" s="1004" t="s">
        <v>243</v>
      </c>
      <c r="AN25" s="960" t="s">
        <v>488</v>
      </c>
      <c r="AO25" s="192" t="s">
        <v>489</v>
      </c>
      <c r="AP25" s="193">
        <v>115</v>
      </c>
      <c r="AQ25" s="961">
        <v>1.1000000000000001</v>
      </c>
      <c r="AR25" s="960" t="s">
        <v>488</v>
      </c>
      <c r="AS25" s="192" t="s">
        <v>489</v>
      </c>
      <c r="AT25" s="193">
        <v>115</v>
      </c>
      <c r="AU25" s="961">
        <v>2.2000000000000002</v>
      </c>
      <c r="AV25" s="969" t="s">
        <v>490</v>
      </c>
      <c r="AW25" s="210" t="s">
        <v>491</v>
      </c>
      <c r="AX25" s="211">
        <v>160</v>
      </c>
      <c r="AY25" s="971">
        <v>3</v>
      </c>
      <c r="AZ25" s="960" t="s">
        <v>243</v>
      </c>
      <c r="BA25" s="192" t="s">
        <v>243</v>
      </c>
      <c r="BB25" s="193" t="s">
        <v>243</v>
      </c>
      <c r="BC25" s="961" t="s">
        <v>243</v>
      </c>
      <c r="BD25" s="960" t="s">
        <v>243</v>
      </c>
      <c r="BE25" s="192" t="s">
        <v>243</v>
      </c>
      <c r="BF25" s="193" t="s">
        <v>243</v>
      </c>
      <c r="BG25" s="961" t="s">
        <v>243</v>
      </c>
      <c r="BH25" s="981" t="s">
        <v>587</v>
      </c>
      <c r="BI25" s="226" t="s">
        <v>588</v>
      </c>
      <c r="BJ25" s="227">
        <v>60</v>
      </c>
      <c r="BK25" s="982">
        <v>5.5</v>
      </c>
      <c r="BL25" s="981" t="s">
        <v>587</v>
      </c>
      <c r="BM25" s="226" t="s">
        <v>588</v>
      </c>
      <c r="BN25" s="226">
        <v>60</v>
      </c>
      <c r="BO25" s="982">
        <v>5.5</v>
      </c>
      <c r="BP25" s="981" t="s">
        <v>587</v>
      </c>
      <c r="BQ25" s="226" t="s">
        <v>588</v>
      </c>
      <c r="BR25" s="227">
        <v>60</v>
      </c>
      <c r="BS25" s="982">
        <v>5.5</v>
      </c>
      <c r="BT25" s="981" t="s">
        <v>587</v>
      </c>
      <c r="BU25" s="226" t="s">
        <v>588</v>
      </c>
      <c r="BV25" s="226">
        <v>60</v>
      </c>
      <c r="BW25" s="982">
        <v>5.5</v>
      </c>
      <c r="BX25" s="963" t="s">
        <v>589</v>
      </c>
      <c r="BY25" s="196" t="s">
        <v>590</v>
      </c>
      <c r="BZ25" s="196">
        <v>81</v>
      </c>
      <c r="CA25" s="964">
        <v>5.5</v>
      </c>
      <c r="CB25" s="1002" t="s">
        <v>243</v>
      </c>
      <c r="CC25" s="194" t="s">
        <v>243</v>
      </c>
      <c r="CD25" s="195" t="s">
        <v>243</v>
      </c>
      <c r="CE25" s="1004" t="s">
        <v>243</v>
      </c>
      <c r="CF25" s="1002" t="s">
        <v>243</v>
      </c>
      <c r="CG25" s="194" t="s">
        <v>243</v>
      </c>
      <c r="CH25" s="195" t="s">
        <v>243</v>
      </c>
      <c r="CI25" s="1004" t="s">
        <v>243</v>
      </c>
      <c r="CJ25" s="1002" t="s">
        <v>243</v>
      </c>
      <c r="CK25" s="194" t="s">
        <v>243</v>
      </c>
      <c r="CL25" s="195" t="s">
        <v>243</v>
      </c>
      <c r="CM25" s="1004" t="s">
        <v>243</v>
      </c>
      <c r="CN25" s="1002" t="s">
        <v>243</v>
      </c>
      <c r="CO25" s="194" t="s">
        <v>243</v>
      </c>
      <c r="CP25" s="195" t="s">
        <v>243</v>
      </c>
      <c r="CQ25" s="1004" t="s">
        <v>243</v>
      </c>
      <c r="CR25" s="1002" t="s">
        <v>243</v>
      </c>
      <c r="CS25" s="194" t="s">
        <v>243</v>
      </c>
      <c r="CT25" s="195" t="s">
        <v>243</v>
      </c>
      <c r="CU25" s="1004" t="s">
        <v>243</v>
      </c>
    </row>
    <row r="26" spans="2:99">
      <c r="B26" s="952">
        <v>6000</v>
      </c>
      <c r="C26" s="953">
        <v>1666.6666666666665</v>
      </c>
      <c r="D26" s="960" t="s">
        <v>243</v>
      </c>
      <c r="E26" s="198" t="s">
        <v>243</v>
      </c>
      <c r="F26" s="199" t="s">
        <v>243</v>
      </c>
      <c r="G26" s="962" t="s">
        <v>243</v>
      </c>
      <c r="H26" s="960" t="s">
        <v>243</v>
      </c>
      <c r="I26" s="198" t="s">
        <v>243</v>
      </c>
      <c r="J26" s="199" t="s">
        <v>243</v>
      </c>
      <c r="K26" s="962" t="s">
        <v>243</v>
      </c>
      <c r="L26" s="960" t="s">
        <v>243</v>
      </c>
      <c r="M26" s="198" t="s">
        <v>243</v>
      </c>
      <c r="N26" s="199" t="s">
        <v>243</v>
      </c>
      <c r="O26" s="962" t="s">
        <v>243</v>
      </c>
      <c r="P26" s="960" t="s">
        <v>243</v>
      </c>
      <c r="Q26" s="198" t="s">
        <v>243</v>
      </c>
      <c r="R26" s="199" t="s">
        <v>243</v>
      </c>
      <c r="S26" s="962" t="s">
        <v>243</v>
      </c>
      <c r="T26" s="963" t="s">
        <v>486</v>
      </c>
      <c r="U26" s="214" t="s">
        <v>487</v>
      </c>
      <c r="V26" s="215">
        <v>115</v>
      </c>
      <c r="W26" s="965">
        <v>1.5</v>
      </c>
      <c r="X26" s="966" t="s">
        <v>492</v>
      </c>
      <c r="Y26" s="202" t="s">
        <v>493</v>
      </c>
      <c r="Z26" s="203">
        <v>170</v>
      </c>
      <c r="AA26" s="203">
        <v>3</v>
      </c>
      <c r="AB26" s="1002" t="s">
        <v>243</v>
      </c>
      <c r="AC26" s="200" t="s">
        <v>243</v>
      </c>
      <c r="AD26" s="201" t="s">
        <v>243</v>
      </c>
      <c r="AE26" s="1003" t="s">
        <v>243</v>
      </c>
      <c r="AF26" s="1002" t="s">
        <v>243</v>
      </c>
      <c r="AG26" s="200" t="s">
        <v>243</v>
      </c>
      <c r="AH26" s="201" t="s">
        <v>243</v>
      </c>
      <c r="AI26" s="1003" t="s">
        <v>243</v>
      </c>
      <c r="AJ26" s="1002" t="s">
        <v>243</v>
      </c>
      <c r="AK26" s="200" t="s">
        <v>243</v>
      </c>
      <c r="AL26" s="201" t="s">
        <v>243</v>
      </c>
      <c r="AM26" s="1003" t="s">
        <v>243</v>
      </c>
      <c r="AN26" s="960" t="s">
        <v>488</v>
      </c>
      <c r="AO26" s="198" t="s">
        <v>489</v>
      </c>
      <c r="AP26" s="199">
        <v>115</v>
      </c>
      <c r="AQ26" s="962">
        <v>1.5</v>
      </c>
      <c r="AR26" s="969" t="s">
        <v>490</v>
      </c>
      <c r="AS26" s="204" t="s">
        <v>491</v>
      </c>
      <c r="AT26" s="205">
        <v>160</v>
      </c>
      <c r="AU26" s="970">
        <v>3</v>
      </c>
      <c r="AV26" s="969" t="s">
        <v>490</v>
      </c>
      <c r="AW26" s="204" t="s">
        <v>491</v>
      </c>
      <c r="AX26" s="205">
        <v>160</v>
      </c>
      <c r="AY26" s="970">
        <v>3.7</v>
      </c>
      <c r="AZ26" s="960" t="s">
        <v>243</v>
      </c>
      <c r="BA26" s="198" t="s">
        <v>243</v>
      </c>
      <c r="BB26" s="199" t="s">
        <v>243</v>
      </c>
      <c r="BC26" s="962" t="s">
        <v>243</v>
      </c>
      <c r="BD26" s="960" t="s">
        <v>243</v>
      </c>
      <c r="BE26" s="198" t="s">
        <v>243</v>
      </c>
      <c r="BF26" s="199" t="s">
        <v>243</v>
      </c>
      <c r="BG26" s="962" t="s">
        <v>243</v>
      </c>
      <c r="BH26" s="981" t="s">
        <v>587</v>
      </c>
      <c r="BI26" s="224" t="s">
        <v>588</v>
      </c>
      <c r="BJ26" s="225">
        <v>60</v>
      </c>
      <c r="BK26" s="983">
        <v>5.5</v>
      </c>
      <c r="BL26" s="963" t="s">
        <v>589</v>
      </c>
      <c r="BM26" s="214" t="s">
        <v>590</v>
      </c>
      <c r="BN26" s="214">
        <v>81</v>
      </c>
      <c r="BO26" s="965">
        <v>5.5</v>
      </c>
      <c r="BP26" s="963" t="s">
        <v>589</v>
      </c>
      <c r="BQ26" s="214" t="s">
        <v>590</v>
      </c>
      <c r="BR26" s="215">
        <v>81</v>
      </c>
      <c r="BS26" s="965">
        <v>5.5</v>
      </c>
      <c r="BT26" s="963" t="s">
        <v>589</v>
      </c>
      <c r="BU26" s="214" t="s">
        <v>590</v>
      </c>
      <c r="BV26" s="214">
        <v>81</v>
      </c>
      <c r="BW26" s="965">
        <v>5.5</v>
      </c>
      <c r="BX26" s="963" t="s">
        <v>589</v>
      </c>
      <c r="BY26" s="214" t="s">
        <v>590</v>
      </c>
      <c r="BZ26" s="214">
        <v>81</v>
      </c>
      <c r="CA26" s="965">
        <v>5.5</v>
      </c>
      <c r="CB26" s="1002" t="s">
        <v>243</v>
      </c>
      <c r="CC26" s="200" t="s">
        <v>243</v>
      </c>
      <c r="CD26" s="201" t="s">
        <v>243</v>
      </c>
      <c r="CE26" s="1003" t="s">
        <v>243</v>
      </c>
      <c r="CF26" s="1002" t="s">
        <v>243</v>
      </c>
      <c r="CG26" s="200" t="s">
        <v>243</v>
      </c>
      <c r="CH26" s="201" t="s">
        <v>243</v>
      </c>
      <c r="CI26" s="1003" t="s">
        <v>243</v>
      </c>
      <c r="CJ26" s="1002" t="s">
        <v>243</v>
      </c>
      <c r="CK26" s="200" t="s">
        <v>243</v>
      </c>
      <c r="CL26" s="201" t="s">
        <v>243</v>
      </c>
      <c r="CM26" s="1003" t="s">
        <v>243</v>
      </c>
      <c r="CN26" s="1002" t="s">
        <v>243</v>
      </c>
      <c r="CO26" s="200" t="s">
        <v>243</v>
      </c>
      <c r="CP26" s="201" t="s">
        <v>243</v>
      </c>
      <c r="CQ26" s="1003" t="s">
        <v>243</v>
      </c>
      <c r="CR26" s="1002" t="s">
        <v>243</v>
      </c>
      <c r="CS26" s="200" t="s">
        <v>243</v>
      </c>
      <c r="CT26" s="201" t="s">
        <v>243</v>
      </c>
      <c r="CU26" s="1003" t="s">
        <v>243</v>
      </c>
    </row>
    <row r="27" spans="2:99">
      <c r="B27" s="954">
        <v>7000</v>
      </c>
      <c r="C27" s="955">
        <v>1944.4444444444443</v>
      </c>
      <c r="D27" s="960" t="s">
        <v>243</v>
      </c>
      <c r="E27" s="192" t="s">
        <v>243</v>
      </c>
      <c r="F27" s="193" t="s">
        <v>243</v>
      </c>
      <c r="G27" s="961" t="s">
        <v>243</v>
      </c>
      <c r="H27" s="960" t="s">
        <v>243</v>
      </c>
      <c r="I27" s="192" t="s">
        <v>243</v>
      </c>
      <c r="J27" s="193" t="s">
        <v>243</v>
      </c>
      <c r="K27" s="961" t="s">
        <v>243</v>
      </c>
      <c r="L27" s="960" t="s">
        <v>243</v>
      </c>
      <c r="M27" s="192" t="s">
        <v>243</v>
      </c>
      <c r="N27" s="193" t="s">
        <v>243</v>
      </c>
      <c r="O27" s="961" t="s">
        <v>243</v>
      </c>
      <c r="P27" s="960" t="s">
        <v>243</v>
      </c>
      <c r="Q27" s="192" t="s">
        <v>243</v>
      </c>
      <c r="R27" s="193" t="s">
        <v>243</v>
      </c>
      <c r="S27" s="961" t="s">
        <v>243</v>
      </c>
      <c r="T27" s="966" t="s">
        <v>492</v>
      </c>
      <c r="U27" s="208" t="s">
        <v>493</v>
      </c>
      <c r="V27" s="209">
        <v>170</v>
      </c>
      <c r="W27" s="967">
        <v>1.5</v>
      </c>
      <c r="X27" s="966" t="s">
        <v>492</v>
      </c>
      <c r="Y27" s="208" t="s">
        <v>493</v>
      </c>
      <c r="Z27" s="209">
        <v>170</v>
      </c>
      <c r="AA27" s="209">
        <v>3</v>
      </c>
      <c r="AB27" s="1002" t="s">
        <v>243</v>
      </c>
      <c r="AC27" s="194" t="s">
        <v>243</v>
      </c>
      <c r="AD27" s="195" t="s">
        <v>243</v>
      </c>
      <c r="AE27" s="1004" t="s">
        <v>243</v>
      </c>
      <c r="AF27" s="1002" t="s">
        <v>243</v>
      </c>
      <c r="AG27" s="194" t="s">
        <v>243</v>
      </c>
      <c r="AH27" s="195" t="s">
        <v>243</v>
      </c>
      <c r="AI27" s="1004" t="s">
        <v>243</v>
      </c>
      <c r="AJ27" s="1002" t="s">
        <v>243</v>
      </c>
      <c r="AK27" s="194" t="s">
        <v>243</v>
      </c>
      <c r="AL27" s="195" t="s">
        <v>243</v>
      </c>
      <c r="AM27" s="1004" t="s">
        <v>243</v>
      </c>
      <c r="AN27" s="969" t="s">
        <v>490</v>
      </c>
      <c r="AO27" s="210" t="s">
        <v>491</v>
      </c>
      <c r="AP27" s="211">
        <v>160</v>
      </c>
      <c r="AQ27" s="971">
        <v>1.5</v>
      </c>
      <c r="AR27" s="969" t="s">
        <v>490</v>
      </c>
      <c r="AS27" s="210" t="s">
        <v>491</v>
      </c>
      <c r="AT27" s="211">
        <v>160</v>
      </c>
      <c r="AU27" s="971">
        <v>3</v>
      </c>
      <c r="AV27" s="969" t="s">
        <v>490</v>
      </c>
      <c r="AW27" s="210" t="s">
        <v>491</v>
      </c>
      <c r="AX27" s="211">
        <v>160</v>
      </c>
      <c r="AY27" s="971">
        <v>4</v>
      </c>
      <c r="AZ27" s="960" t="s">
        <v>243</v>
      </c>
      <c r="BA27" s="192" t="s">
        <v>243</v>
      </c>
      <c r="BB27" s="193" t="s">
        <v>243</v>
      </c>
      <c r="BC27" s="961" t="s">
        <v>243</v>
      </c>
      <c r="BD27" s="960" t="s">
        <v>243</v>
      </c>
      <c r="BE27" s="192" t="s">
        <v>243</v>
      </c>
      <c r="BF27" s="193" t="s">
        <v>243</v>
      </c>
      <c r="BG27" s="961" t="s">
        <v>243</v>
      </c>
      <c r="BH27" s="963" t="s">
        <v>589</v>
      </c>
      <c r="BI27" s="196" t="s">
        <v>590</v>
      </c>
      <c r="BJ27" s="197">
        <v>81</v>
      </c>
      <c r="BK27" s="964">
        <v>5.5</v>
      </c>
      <c r="BL27" s="963" t="s">
        <v>589</v>
      </c>
      <c r="BM27" s="196" t="s">
        <v>590</v>
      </c>
      <c r="BN27" s="196">
        <v>81</v>
      </c>
      <c r="BO27" s="964">
        <v>5.5</v>
      </c>
      <c r="BP27" s="963" t="s">
        <v>589</v>
      </c>
      <c r="BQ27" s="196" t="s">
        <v>590</v>
      </c>
      <c r="BR27" s="197">
        <v>81</v>
      </c>
      <c r="BS27" s="964">
        <v>5.5</v>
      </c>
      <c r="BT27" s="963" t="s">
        <v>589</v>
      </c>
      <c r="BU27" s="196" t="s">
        <v>590</v>
      </c>
      <c r="BV27" s="196">
        <v>81</v>
      </c>
      <c r="BW27" s="964">
        <v>5.5</v>
      </c>
      <c r="BX27" s="963" t="s">
        <v>589</v>
      </c>
      <c r="BY27" s="196" t="s">
        <v>590</v>
      </c>
      <c r="BZ27" s="196">
        <v>81</v>
      </c>
      <c r="CA27" s="964">
        <v>5.5</v>
      </c>
      <c r="CB27" s="963" t="s">
        <v>494</v>
      </c>
      <c r="CC27" s="196" t="s">
        <v>495</v>
      </c>
      <c r="CD27" s="197">
        <v>40</v>
      </c>
      <c r="CE27" s="964">
        <v>1.5</v>
      </c>
      <c r="CF27" s="1002" t="s">
        <v>243</v>
      </c>
      <c r="CG27" s="194" t="s">
        <v>243</v>
      </c>
      <c r="CH27" s="195" t="s">
        <v>243</v>
      </c>
      <c r="CI27" s="1004" t="s">
        <v>243</v>
      </c>
      <c r="CJ27" s="1002" t="s">
        <v>243</v>
      </c>
      <c r="CK27" s="194" t="s">
        <v>243</v>
      </c>
      <c r="CL27" s="195" t="s">
        <v>243</v>
      </c>
      <c r="CM27" s="1004" t="s">
        <v>243</v>
      </c>
      <c r="CN27" s="1002" t="s">
        <v>243</v>
      </c>
      <c r="CO27" s="194" t="s">
        <v>243</v>
      </c>
      <c r="CP27" s="195" t="s">
        <v>243</v>
      </c>
      <c r="CQ27" s="1004" t="s">
        <v>243</v>
      </c>
      <c r="CR27" s="1002" t="s">
        <v>243</v>
      </c>
      <c r="CS27" s="194" t="s">
        <v>243</v>
      </c>
      <c r="CT27" s="195" t="s">
        <v>243</v>
      </c>
      <c r="CU27" s="1004" t="s">
        <v>243</v>
      </c>
    </row>
    <row r="28" spans="2:99">
      <c r="B28" s="952">
        <v>8000</v>
      </c>
      <c r="C28" s="953">
        <v>2222.2222222222222</v>
      </c>
      <c r="D28" s="960" t="s">
        <v>243</v>
      </c>
      <c r="E28" s="198" t="s">
        <v>243</v>
      </c>
      <c r="F28" s="199" t="s">
        <v>243</v>
      </c>
      <c r="G28" s="962" t="s">
        <v>243</v>
      </c>
      <c r="H28" s="960" t="s">
        <v>243</v>
      </c>
      <c r="I28" s="198" t="s">
        <v>243</v>
      </c>
      <c r="J28" s="199" t="s">
        <v>243</v>
      </c>
      <c r="K28" s="962" t="s">
        <v>243</v>
      </c>
      <c r="L28" s="960" t="s">
        <v>243</v>
      </c>
      <c r="M28" s="198" t="s">
        <v>243</v>
      </c>
      <c r="N28" s="199" t="s">
        <v>243</v>
      </c>
      <c r="O28" s="962" t="s">
        <v>243</v>
      </c>
      <c r="P28" s="960" t="s">
        <v>243</v>
      </c>
      <c r="Q28" s="198" t="s">
        <v>243</v>
      </c>
      <c r="R28" s="199" t="s">
        <v>243</v>
      </c>
      <c r="S28" s="962" t="s">
        <v>243</v>
      </c>
      <c r="T28" s="966" t="s">
        <v>492</v>
      </c>
      <c r="U28" s="202" t="s">
        <v>493</v>
      </c>
      <c r="V28" s="203">
        <v>170</v>
      </c>
      <c r="W28" s="968">
        <v>2.2000000000000002</v>
      </c>
      <c r="X28" s="966" t="s">
        <v>492</v>
      </c>
      <c r="Y28" s="202" t="s">
        <v>493</v>
      </c>
      <c r="Z28" s="203">
        <v>170</v>
      </c>
      <c r="AA28" s="203">
        <v>3.7</v>
      </c>
      <c r="AB28" s="1002" t="s">
        <v>243</v>
      </c>
      <c r="AC28" s="200" t="s">
        <v>243</v>
      </c>
      <c r="AD28" s="201" t="s">
        <v>243</v>
      </c>
      <c r="AE28" s="1003" t="s">
        <v>243</v>
      </c>
      <c r="AF28" s="1002" t="s">
        <v>243</v>
      </c>
      <c r="AG28" s="200" t="s">
        <v>243</v>
      </c>
      <c r="AH28" s="201" t="s">
        <v>243</v>
      </c>
      <c r="AI28" s="1003" t="s">
        <v>243</v>
      </c>
      <c r="AJ28" s="1002" t="s">
        <v>243</v>
      </c>
      <c r="AK28" s="200" t="s">
        <v>243</v>
      </c>
      <c r="AL28" s="201" t="s">
        <v>243</v>
      </c>
      <c r="AM28" s="1003" t="s">
        <v>243</v>
      </c>
      <c r="AN28" s="969" t="s">
        <v>490</v>
      </c>
      <c r="AO28" s="204" t="s">
        <v>491</v>
      </c>
      <c r="AP28" s="205">
        <v>160</v>
      </c>
      <c r="AQ28" s="970">
        <v>2.2000000000000002</v>
      </c>
      <c r="AR28" s="969" t="s">
        <v>490</v>
      </c>
      <c r="AS28" s="204" t="s">
        <v>491</v>
      </c>
      <c r="AT28" s="205">
        <v>160</v>
      </c>
      <c r="AU28" s="970">
        <v>3.7</v>
      </c>
      <c r="AV28" s="972" t="s">
        <v>496</v>
      </c>
      <c r="AW28" s="206" t="s">
        <v>497</v>
      </c>
      <c r="AX28" s="207">
        <v>205</v>
      </c>
      <c r="AY28" s="974">
        <v>5.5</v>
      </c>
      <c r="AZ28" s="972" t="s">
        <v>496</v>
      </c>
      <c r="BA28" s="206" t="s">
        <v>497</v>
      </c>
      <c r="BB28" s="207">
        <v>205</v>
      </c>
      <c r="BC28" s="974">
        <v>5.5</v>
      </c>
      <c r="BD28" s="960" t="s">
        <v>243</v>
      </c>
      <c r="BE28" s="198" t="s">
        <v>243</v>
      </c>
      <c r="BF28" s="199" t="s">
        <v>243</v>
      </c>
      <c r="BG28" s="962" t="s">
        <v>243</v>
      </c>
      <c r="BH28" s="1002" t="s">
        <v>591</v>
      </c>
      <c r="BI28" s="200" t="s">
        <v>592</v>
      </c>
      <c r="BJ28" s="201">
        <v>90</v>
      </c>
      <c r="BK28" s="1003">
        <v>5.5</v>
      </c>
      <c r="BL28" s="963" t="s">
        <v>589</v>
      </c>
      <c r="BM28" s="214" t="s">
        <v>590</v>
      </c>
      <c r="BN28" s="214">
        <v>81</v>
      </c>
      <c r="BO28" s="965">
        <v>5.5</v>
      </c>
      <c r="BP28" s="963" t="s">
        <v>589</v>
      </c>
      <c r="BQ28" s="214" t="s">
        <v>590</v>
      </c>
      <c r="BR28" s="215">
        <v>81</v>
      </c>
      <c r="BS28" s="965">
        <v>5.5</v>
      </c>
      <c r="BT28" s="963" t="s">
        <v>589</v>
      </c>
      <c r="BU28" s="214" t="s">
        <v>590</v>
      </c>
      <c r="BV28" s="214">
        <v>81</v>
      </c>
      <c r="BW28" s="965">
        <v>5.5</v>
      </c>
      <c r="BX28" s="1002" t="s">
        <v>591</v>
      </c>
      <c r="BY28" s="200" t="s">
        <v>592</v>
      </c>
      <c r="BZ28" s="201">
        <v>90</v>
      </c>
      <c r="CA28" s="1003">
        <v>5.5</v>
      </c>
      <c r="CB28" s="963" t="s">
        <v>494</v>
      </c>
      <c r="CC28" s="214" t="s">
        <v>495</v>
      </c>
      <c r="CD28" s="215">
        <v>40</v>
      </c>
      <c r="CE28" s="965">
        <v>2.2000000000000002</v>
      </c>
      <c r="CF28" s="1002" t="s">
        <v>243</v>
      </c>
      <c r="CG28" s="200" t="s">
        <v>243</v>
      </c>
      <c r="CH28" s="201" t="s">
        <v>243</v>
      </c>
      <c r="CI28" s="1003" t="s">
        <v>243</v>
      </c>
      <c r="CJ28" s="1002" t="s">
        <v>243</v>
      </c>
      <c r="CK28" s="200" t="s">
        <v>243</v>
      </c>
      <c r="CL28" s="201" t="s">
        <v>243</v>
      </c>
      <c r="CM28" s="1003" t="s">
        <v>243</v>
      </c>
      <c r="CN28" s="1002" t="s">
        <v>243</v>
      </c>
      <c r="CO28" s="200" t="s">
        <v>243</v>
      </c>
      <c r="CP28" s="201" t="s">
        <v>243</v>
      </c>
      <c r="CQ28" s="1003" t="s">
        <v>243</v>
      </c>
      <c r="CR28" s="1002" t="s">
        <v>243</v>
      </c>
      <c r="CS28" s="200" t="s">
        <v>243</v>
      </c>
      <c r="CT28" s="201" t="s">
        <v>243</v>
      </c>
      <c r="CU28" s="1003" t="s">
        <v>243</v>
      </c>
    </row>
    <row r="29" spans="2:99">
      <c r="B29" s="954">
        <v>9000</v>
      </c>
      <c r="C29" s="955">
        <v>2500</v>
      </c>
      <c r="D29" s="963" t="s">
        <v>498</v>
      </c>
      <c r="E29" s="196" t="s">
        <v>499</v>
      </c>
      <c r="F29" s="197">
        <v>24</v>
      </c>
      <c r="G29" s="964">
        <v>2.2000000000000002</v>
      </c>
      <c r="H29" s="960" t="s">
        <v>243</v>
      </c>
      <c r="I29" s="192" t="s">
        <v>243</v>
      </c>
      <c r="J29" s="193" t="s">
        <v>243</v>
      </c>
      <c r="K29" s="961" t="s">
        <v>243</v>
      </c>
      <c r="L29" s="960" t="s">
        <v>243</v>
      </c>
      <c r="M29" s="192" t="s">
        <v>243</v>
      </c>
      <c r="N29" s="193" t="s">
        <v>243</v>
      </c>
      <c r="O29" s="961" t="s">
        <v>243</v>
      </c>
      <c r="P29" s="960" t="s">
        <v>243</v>
      </c>
      <c r="Q29" s="192" t="s">
        <v>243</v>
      </c>
      <c r="R29" s="193" t="s">
        <v>243</v>
      </c>
      <c r="S29" s="961" t="s">
        <v>243</v>
      </c>
      <c r="T29" s="966" t="s">
        <v>492</v>
      </c>
      <c r="U29" s="208" t="s">
        <v>493</v>
      </c>
      <c r="V29" s="209">
        <v>170</v>
      </c>
      <c r="W29" s="967">
        <v>2.2000000000000002</v>
      </c>
      <c r="X29" s="1002" t="s">
        <v>500</v>
      </c>
      <c r="Y29" s="194" t="s">
        <v>501</v>
      </c>
      <c r="Z29" s="195">
        <v>235</v>
      </c>
      <c r="AA29" s="195">
        <v>3.7</v>
      </c>
      <c r="AB29" s="1002" t="s">
        <v>500</v>
      </c>
      <c r="AC29" s="194" t="s">
        <v>501</v>
      </c>
      <c r="AD29" s="195">
        <v>235</v>
      </c>
      <c r="AE29" s="1004">
        <v>5.5</v>
      </c>
      <c r="AF29" s="1002" t="s">
        <v>243</v>
      </c>
      <c r="AG29" s="194" t="s">
        <v>243</v>
      </c>
      <c r="AH29" s="195" t="s">
        <v>243</v>
      </c>
      <c r="AI29" s="1004" t="s">
        <v>243</v>
      </c>
      <c r="AJ29" s="1002" t="s">
        <v>243</v>
      </c>
      <c r="AK29" s="194" t="s">
        <v>243</v>
      </c>
      <c r="AL29" s="195" t="s">
        <v>243</v>
      </c>
      <c r="AM29" s="1004" t="s">
        <v>243</v>
      </c>
      <c r="AN29" s="969" t="s">
        <v>490</v>
      </c>
      <c r="AO29" s="210" t="s">
        <v>491</v>
      </c>
      <c r="AP29" s="211">
        <v>160</v>
      </c>
      <c r="AQ29" s="971">
        <v>2.2000000000000002</v>
      </c>
      <c r="AR29" s="969" t="s">
        <v>490</v>
      </c>
      <c r="AS29" s="210" t="s">
        <v>491</v>
      </c>
      <c r="AT29" s="211">
        <v>160</v>
      </c>
      <c r="AU29" s="971">
        <v>3.7</v>
      </c>
      <c r="AV29" s="972" t="s">
        <v>496</v>
      </c>
      <c r="AW29" s="212" t="s">
        <v>497</v>
      </c>
      <c r="AX29" s="213">
        <v>205</v>
      </c>
      <c r="AY29" s="973">
        <v>5.5</v>
      </c>
      <c r="AZ29" s="972" t="s">
        <v>496</v>
      </c>
      <c r="BA29" s="212" t="s">
        <v>497</v>
      </c>
      <c r="BB29" s="213">
        <v>205</v>
      </c>
      <c r="BC29" s="973">
        <v>7.5</v>
      </c>
      <c r="BD29" s="960" t="s">
        <v>243</v>
      </c>
      <c r="BE29" s="192" t="s">
        <v>243</v>
      </c>
      <c r="BF29" s="193" t="s">
        <v>243</v>
      </c>
      <c r="BG29" s="961" t="s">
        <v>243</v>
      </c>
      <c r="BH29" s="1002" t="s">
        <v>591</v>
      </c>
      <c r="BI29" s="194" t="s">
        <v>592</v>
      </c>
      <c r="BJ29" s="195">
        <v>90</v>
      </c>
      <c r="BK29" s="1004">
        <v>5.5</v>
      </c>
      <c r="BL29" s="963" t="s">
        <v>589</v>
      </c>
      <c r="BM29" s="196" t="s">
        <v>590</v>
      </c>
      <c r="BN29" s="196">
        <v>81</v>
      </c>
      <c r="BO29" s="964">
        <v>5.5</v>
      </c>
      <c r="BP29" s="1002" t="s">
        <v>591</v>
      </c>
      <c r="BQ29" s="194" t="s">
        <v>592</v>
      </c>
      <c r="BR29" s="195">
        <v>90</v>
      </c>
      <c r="BS29" s="1004">
        <v>5.5</v>
      </c>
      <c r="BT29" s="1002" t="s">
        <v>591</v>
      </c>
      <c r="BU29" s="194" t="s">
        <v>592</v>
      </c>
      <c r="BV29" s="195">
        <v>90</v>
      </c>
      <c r="BW29" s="1004">
        <v>5.5</v>
      </c>
      <c r="BX29" s="1002" t="s">
        <v>243</v>
      </c>
      <c r="BY29" s="194" t="s">
        <v>243</v>
      </c>
      <c r="BZ29" s="194" t="s">
        <v>243</v>
      </c>
      <c r="CA29" s="1004" t="s">
        <v>243</v>
      </c>
      <c r="CB29" s="966" t="s">
        <v>502</v>
      </c>
      <c r="CC29" s="208" t="s">
        <v>503</v>
      </c>
      <c r="CD29" s="209">
        <v>50</v>
      </c>
      <c r="CE29" s="967">
        <v>2.2000000000000002</v>
      </c>
      <c r="CF29" s="1002" t="s">
        <v>243</v>
      </c>
      <c r="CG29" s="194" t="s">
        <v>243</v>
      </c>
      <c r="CH29" s="195" t="s">
        <v>243</v>
      </c>
      <c r="CI29" s="1004" t="s">
        <v>243</v>
      </c>
      <c r="CJ29" s="1002" t="s">
        <v>243</v>
      </c>
      <c r="CK29" s="194" t="s">
        <v>243</v>
      </c>
      <c r="CL29" s="195" t="s">
        <v>243</v>
      </c>
      <c r="CM29" s="1004" t="s">
        <v>243</v>
      </c>
      <c r="CN29" s="1002" t="s">
        <v>243</v>
      </c>
      <c r="CO29" s="194" t="s">
        <v>243</v>
      </c>
      <c r="CP29" s="195" t="s">
        <v>243</v>
      </c>
      <c r="CQ29" s="1004" t="s">
        <v>243</v>
      </c>
      <c r="CR29" s="1002" t="s">
        <v>243</v>
      </c>
      <c r="CS29" s="194" t="s">
        <v>243</v>
      </c>
      <c r="CT29" s="195" t="s">
        <v>243</v>
      </c>
      <c r="CU29" s="1004" t="s">
        <v>243</v>
      </c>
    </row>
    <row r="30" spans="2:99">
      <c r="B30" s="952">
        <v>10000</v>
      </c>
      <c r="C30" s="953">
        <v>2777.7777777777778</v>
      </c>
      <c r="D30" s="963" t="s">
        <v>498</v>
      </c>
      <c r="E30" s="214" t="s">
        <v>499</v>
      </c>
      <c r="F30" s="215">
        <v>24</v>
      </c>
      <c r="G30" s="965">
        <v>2.2000000000000002</v>
      </c>
      <c r="H30" s="960" t="s">
        <v>243</v>
      </c>
      <c r="I30" s="198" t="s">
        <v>243</v>
      </c>
      <c r="J30" s="199" t="s">
        <v>243</v>
      </c>
      <c r="K30" s="962" t="s">
        <v>243</v>
      </c>
      <c r="L30" s="960" t="s">
        <v>243</v>
      </c>
      <c r="M30" s="198" t="s">
        <v>243</v>
      </c>
      <c r="N30" s="199" t="s">
        <v>243</v>
      </c>
      <c r="O30" s="962" t="s">
        <v>243</v>
      </c>
      <c r="P30" s="960" t="s">
        <v>243</v>
      </c>
      <c r="Q30" s="198" t="s">
        <v>243</v>
      </c>
      <c r="R30" s="199" t="s">
        <v>243</v>
      </c>
      <c r="S30" s="962" t="s">
        <v>243</v>
      </c>
      <c r="T30" s="1002" t="s">
        <v>500</v>
      </c>
      <c r="U30" s="200" t="s">
        <v>501</v>
      </c>
      <c r="V30" s="201">
        <v>235</v>
      </c>
      <c r="W30" s="1003">
        <v>2.2000000000000002</v>
      </c>
      <c r="X30" s="1002" t="s">
        <v>500</v>
      </c>
      <c r="Y30" s="200" t="s">
        <v>501</v>
      </c>
      <c r="Z30" s="201">
        <v>235</v>
      </c>
      <c r="AA30" s="201">
        <v>4</v>
      </c>
      <c r="AB30" s="1002" t="s">
        <v>500</v>
      </c>
      <c r="AC30" s="200" t="s">
        <v>501</v>
      </c>
      <c r="AD30" s="201">
        <v>235</v>
      </c>
      <c r="AE30" s="1003">
        <v>5.5</v>
      </c>
      <c r="AF30" s="1002" t="s">
        <v>243</v>
      </c>
      <c r="AG30" s="200" t="s">
        <v>243</v>
      </c>
      <c r="AH30" s="201" t="s">
        <v>243</v>
      </c>
      <c r="AI30" s="1003" t="s">
        <v>243</v>
      </c>
      <c r="AJ30" s="1002" t="s">
        <v>243</v>
      </c>
      <c r="AK30" s="200" t="s">
        <v>243</v>
      </c>
      <c r="AL30" s="201" t="s">
        <v>243</v>
      </c>
      <c r="AM30" s="1003" t="s">
        <v>243</v>
      </c>
      <c r="AN30" s="969" t="s">
        <v>490</v>
      </c>
      <c r="AO30" s="204" t="s">
        <v>491</v>
      </c>
      <c r="AP30" s="205">
        <v>160</v>
      </c>
      <c r="AQ30" s="970">
        <v>2.2000000000000002</v>
      </c>
      <c r="AR30" s="972" t="s">
        <v>496</v>
      </c>
      <c r="AS30" s="206" t="s">
        <v>497</v>
      </c>
      <c r="AT30" s="207">
        <v>205</v>
      </c>
      <c r="AU30" s="974">
        <v>4</v>
      </c>
      <c r="AV30" s="972" t="s">
        <v>496</v>
      </c>
      <c r="AW30" s="206" t="s">
        <v>497</v>
      </c>
      <c r="AX30" s="207">
        <v>205</v>
      </c>
      <c r="AY30" s="974">
        <v>5.5</v>
      </c>
      <c r="AZ30" s="972" t="s">
        <v>496</v>
      </c>
      <c r="BA30" s="206" t="s">
        <v>497</v>
      </c>
      <c r="BB30" s="207">
        <v>205</v>
      </c>
      <c r="BC30" s="974">
        <v>7.5</v>
      </c>
      <c r="BD30" s="960" t="s">
        <v>243</v>
      </c>
      <c r="BE30" s="198" t="s">
        <v>243</v>
      </c>
      <c r="BF30" s="199" t="s">
        <v>243</v>
      </c>
      <c r="BG30" s="962" t="s">
        <v>243</v>
      </c>
      <c r="BH30" s="1002" t="s">
        <v>591</v>
      </c>
      <c r="BI30" s="200" t="s">
        <v>592</v>
      </c>
      <c r="BJ30" s="201">
        <v>90</v>
      </c>
      <c r="BK30" s="1003">
        <v>5.5</v>
      </c>
      <c r="BL30" s="1002" t="s">
        <v>591</v>
      </c>
      <c r="BM30" s="200" t="s">
        <v>592</v>
      </c>
      <c r="BN30" s="201">
        <v>90</v>
      </c>
      <c r="BO30" s="1003">
        <v>5.5</v>
      </c>
      <c r="BP30" s="1002" t="s">
        <v>591</v>
      </c>
      <c r="BQ30" s="200" t="s">
        <v>592</v>
      </c>
      <c r="BR30" s="201">
        <v>90</v>
      </c>
      <c r="BS30" s="1003">
        <v>5.5</v>
      </c>
      <c r="BT30" s="1002" t="s">
        <v>591</v>
      </c>
      <c r="BU30" s="200" t="s">
        <v>592</v>
      </c>
      <c r="BV30" s="201">
        <v>90</v>
      </c>
      <c r="BW30" s="1003">
        <v>5.5</v>
      </c>
      <c r="BX30" s="1002" t="s">
        <v>243</v>
      </c>
      <c r="BY30" s="200" t="s">
        <v>243</v>
      </c>
      <c r="BZ30" s="200" t="s">
        <v>243</v>
      </c>
      <c r="CA30" s="1003" t="s">
        <v>243</v>
      </c>
      <c r="CB30" s="966" t="s">
        <v>502</v>
      </c>
      <c r="CC30" s="202" t="s">
        <v>503</v>
      </c>
      <c r="CD30" s="203">
        <v>50</v>
      </c>
      <c r="CE30" s="968">
        <v>2.2000000000000002</v>
      </c>
      <c r="CF30" s="1002" t="s">
        <v>243</v>
      </c>
      <c r="CG30" s="200" t="s">
        <v>243</v>
      </c>
      <c r="CH30" s="201" t="s">
        <v>243</v>
      </c>
      <c r="CI30" s="1003" t="s">
        <v>243</v>
      </c>
      <c r="CJ30" s="1002" t="s">
        <v>243</v>
      </c>
      <c r="CK30" s="200" t="s">
        <v>243</v>
      </c>
      <c r="CL30" s="201" t="s">
        <v>243</v>
      </c>
      <c r="CM30" s="1003" t="s">
        <v>243</v>
      </c>
      <c r="CN30" s="1002" t="s">
        <v>243</v>
      </c>
      <c r="CO30" s="200" t="s">
        <v>243</v>
      </c>
      <c r="CP30" s="201" t="s">
        <v>243</v>
      </c>
      <c r="CQ30" s="1003" t="s">
        <v>243</v>
      </c>
      <c r="CR30" s="1002" t="s">
        <v>243</v>
      </c>
      <c r="CS30" s="200" t="s">
        <v>243</v>
      </c>
      <c r="CT30" s="201" t="s">
        <v>243</v>
      </c>
      <c r="CU30" s="1003" t="s">
        <v>243</v>
      </c>
    </row>
    <row r="31" spans="2:99">
      <c r="B31" s="954">
        <v>12000</v>
      </c>
      <c r="C31" s="955">
        <v>3333.333333333333</v>
      </c>
      <c r="D31" s="966" t="s">
        <v>504</v>
      </c>
      <c r="E31" s="208" t="s">
        <v>505</v>
      </c>
      <c r="F31" s="209">
        <v>40</v>
      </c>
      <c r="G31" s="967">
        <v>3</v>
      </c>
      <c r="H31" s="960" t="s">
        <v>243</v>
      </c>
      <c r="I31" s="192" t="s">
        <v>243</v>
      </c>
      <c r="J31" s="193" t="s">
        <v>243</v>
      </c>
      <c r="K31" s="961" t="s">
        <v>243</v>
      </c>
      <c r="L31" s="960" t="s">
        <v>243</v>
      </c>
      <c r="M31" s="192" t="s">
        <v>243</v>
      </c>
      <c r="N31" s="193" t="s">
        <v>243</v>
      </c>
      <c r="O31" s="961" t="s">
        <v>243</v>
      </c>
      <c r="P31" s="960" t="s">
        <v>243</v>
      </c>
      <c r="Q31" s="192" t="s">
        <v>243</v>
      </c>
      <c r="R31" s="193" t="s">
        <v>243</v>
      </c>
      <c r="S31" s="961" t="s">
        <v>243</v>
      </c>
      <c r="T31" s="1002" t="s">
        <v>500</v>
      </c>
      <c r="U31" s="194" t="s">
        <v>501</v>
      </c>
      <c r="V31" s="195">
        <v>235</v>
      </c>
      <c r="W31" s="1004">
        <v>3</v>
      </c>
      <c r="X31" s="1002" t="s">
        <v>500</v>
      </c>
      <c r="Y31" s="194" t="s">
        <v>501</v>
      </c>
      <c r="Z31" s="195">
        <v>235</v>
      </c>
      <c r="AA31" s="195">
        <v>5.5</v>
      </c>
      <c r="AB31" s="1002" t="s">
        <v>500</v>
      </c>
      <c r="AC31" s="194" t="s">
        <v>501</v>
      </c>
      <c r="AD31" s="195">
        <v>235</v>
      </c>
      <c r="AE31" s="1004">
        <v>7.5</v>
      </c>
      <c r="AF31" s="1002" t="s">
        <v>243</v>
      </c>
      <c r="AG31" s="194" t="s">
        <v>243</v>
      </c>
      <c r="AH31" s="195" t="s">
        <v>243</v>
      </c>
      <c r="AI31" s="1004" t="s">
        <v>243</v>
      </c>
      <c r="AJ31" s="1002" t="s">
        <v>243</v>
      </c>
      <c r="AK31" s="194" t="s">
        <v>243</v>
      </c>
      <c r="AL31" s="195" t="s">
        <v>243</v>
      </c>
      <c r="AM31" s="1004" t="s">
        <v>243</v>
      </c>
      <c r="AN31" s="972" t="s">
        <v>496</v>
      </c>
      <c r="AO31" s="212" t="s">
        <v>497</v>
      </c>
      <c r="AP31" s="213">
        <v>205</v>
      </c>
      <c r="AQ31" s="973">
        <v>3</v>
      </c>
      <c r="AR31" s="972" t="s">
        <v>496</v>
      </c>
      <c r="AS31" s="212" t="s">
        <v>497</v>
      </c>
      <c r="AT31" s="213">
        <v>205</v>
      </c>
      <c r="AU31" s="973">
        <v>5.5</v>
      </c>
      <c r="AV31" s="972" t="s">
        <v>496</v>
      </c>
      <c r="AW31" s="212" t="s">
        <v>497</v>
      </c>
      <c r="AX31" s="213">
        <v>205</v>
      </c>
      <c r="AY31" s="973">
        <v>7.5</v>
      </c>
      <c r="AZ31" s="975" t="s">
        <v>506</v>
      </c>
      <c r="BA31" s="218" t="s">
        <v>507</v>
      </c>
      <c r="BB31" s="219">
        <v>310</v>
      </c>
      <c r="BC31" s="976">
        <v>9</v>
      </c>
      <c r="BD31" s="975" t="s">
        <v>506</v>
      </c>
      <c r="BE31" s="218" t="s">
        <v>507</v>
      </c>
      <c r="BF31" s="219">
        <v>310</v>
      </c>
      <c r="BG31" s="976">
        <v>11</v>
      </c>
      <c r="BH31" s="1002" t="s">
        <v>243</v>
      </c>
      <c r="BI31" s="194" t="s">
        <v>243</v>
      </c>
      <c r="BJ31" s="195" t="s">
        <v>243</v>
      </c>
      <c r="BK31" s="1004" t="s">
        <v>243</v>
      </c>
      <c r="BL31" s="1002" t="s">
        <v>243</v>
      </c>
      <c r="BM31" s="194" t="s">
        <v>243</v>
      </c>
      <c r="BN31" s="194" t="s">
        <v>243</v>
      </c>
      <c r="BO31" s="1004" t="s">
        <v>243</v>
      </c>
      <c r="BP31" s="1002" t="s">
        <v>243</v>
      </c>
      <c r="BQ31" s="194" t="s">
        <v>243</v>
      </c>
      <c r="BR31" s="195" t="s">
        <v>243</v>
      </c>
      <c r="BS31" s="1004" t="s">
        <v>243</v>
      </c>
      <c r="BT31" s="1002" t="s">
        <v>243</v>
      </c>
      <c r="BU31" s="194" t="s">
        <v>243</v>
      </c>
      <c r="BV31" s="195" t="s">
        <v>243</v>
      </c>
      <c r="BW31" s="1004" t="s">
        <v>243</v>
      </c>
      <c r="BX31" s="1002" t="s">
        <v>243</v>
      </c>
      <c r="BY31" s="194" t="s">
        <v>243</v>
      </c>
      <c r="BZ31" s="195" t="s">
        <v>243</v>
      </c>
      <c r="CA31" s="1004" t="s">
        <v>243</v>
      </c>
      <c r="CB31" s="966" t="s">
        <v>502</v>
      </c>
      <c r="CC31" s="208" t="s">
        <v>503</v>
      </c>
      <c r="CD31" s="209">
        <v>50</v>
      </c>
      <c r="CE31" s="967">
        <v>3</v>
      </c>
      <c r="CF31" s="1002" t="s">
        <v>243</v>
      </c>
      <c r="CG31" s="194" t="s">
        <v>243</v>
      </c>
      <c r="CH31" s="195" t="s">
        <v>243</v>
      </c>
      <c r="CI31" s="1004" t="s">
        <v>243</v>
      </c>
      <c r="CJ31" s="1002" t="s">
        <v>243</v>
      </c>
      <c r="CK31" s="194" t="s">
        <v>243</v>
      </c>
      <c r="CL31" s="195" t="s">
        <v>243</v>
      </c>
      <c r="CM31" s="1004" t="s">
        <v>243</v>
      </c>
      <c r="CN31" s="1002" t="s">
        <v>243</v>
      </c>
      <c r="CO31" s="194" t="s">
        <v>243</v>
      </c>
      <c r="CP31" s="195" t="s">
        <v>243</v>
      </c>
      <c r="CQ31" s="1004" t="s">
        <v>243</v>
      </c>
      <c r="CR31" s="1002" t="s">
        <v>243</v>
      </c>
      <c r="CS31" s="194" t="s">
        <v>243</v>
      </c>
      <c r="CT31" s="195" t="s">
        <v>243</v>
      </c>
      <c r="CU31" s="1004" t="s">
        <v>243</v>
      </c>
    </row>
    <row r="32" spans="2:99">
      <c r="B32" s="952">
        <v>14000</v>
      </c>
      <c r="C32" s="953">
        <v>3888.8888888888887</v>
      </c>
      <c r="D32" s="966" t="s">
        <v>504</v>
      </c>
      <c r="E32" s="202" t="s">
        <v>505</v>
      </c>
      <c r="F32" s="203">
        <v>40</v>
      </c>
      <c r="G32" s="968">
        <v>3</v>
      </c>
      <c r="H32" s="960" t="s">
        <v>243</v>
      </c>
      <c r="I32" s="198" t="s">
        <v>243</v>
      </c>
      <c r="J32" s="199" t="s">
        <v>243</v>
      </c>
      <c r="K32" s="962" t="s">
        <v>243</v>
      </c>
      <c r="L32" s="960" t="s">
        <v>243</v>
      </c>
      <c r="M32" s="198" t="s">
        <v>243</v>
      </c>
      <c r="N32" s="199" t="s">
        <v>243</v>
      </c>
      <c r="O32" s="962" t="s">
        <v>243</v>
      </c>
      <c r="P32" s="960" t="s">
        <v>243</v>
      </c>
      <c r="Q32" s="198" t="s">
        <v>243</v>
      </c>
      <c r="R32" s="199" t="s">
        <v>243</v>
      </c>
      <c r="S32" s="962" t="s">
        <v>243</v>
      </c>
      <c r="T32" s="1002" t="s">
        <v>500</v>
      </c>
      <c r="U32" s="200" t="s">
        <v>501</v>
      </c>
      <c r="V32" s="201">
        <v>235</v>
      </c>
      <c r="W32" s="1003">
        <v>3</v>
      </c>
      <c r="X32" s="1002" t="s">
        <v>500</v>
      </c>
      <c r="Y32" s="200" t="s">
        <v>501</v>
      </c>
      <c r="Z32" s="201">
        <v>235</v>
      </c>
      <c r="AA32" s="201">
        <v>5.5</v>
      </c>
      <c r="AB32" s="969" t="s">
        <v>508</v>
      </c>
      <c r="AC32" s="204" t="s">
        <v>509</v>
      </c>
      <c r="AD32" s="205">
        <v>300</v>
      </c>
      <c r="AE32" s="970">
        <v>7.5</v>
      </c>
      <c r="AF32" s="969" t="s">
        <v>508</v>
      </c>
      <c r="AG32" s="204" t="s">
        <v>509</v>
      </c>
      <c r="AH32" s="205">
        <v>300</v>
      </c>
      <c r="AI32" s="970">
        <v>9</v>
      </c>
      <c r="AJ32" s="1002" t="s">
        <v>243</v>
      </c>
      <c r="AK32" s="200" t="s">
        <v>243</v>
      </c>
      <c r="AL32" s="201" t="s">
        <v>243</v>
      </c>
      <c r="AM32" s="1003" t="s">
        <v>243</v>
      </c>
      <c r="AN32" s="972" t="s">
        <v>496</v>
      </c>
      <c r="AO32" s="206" t="s">
        <v>497</v>
      </c>
      <c r="AP32" s="207">
        <v>205</v>
      </c>
      <c r="AQ32" s="974">
        <v>3</v>
      </c>
      <c r="AR32" s="972" t="s">
        <v>496</v>
      </c>
      <c r="AS32" s="206" t="s">
        <v>497</v>
      </c>
      <c r="AT32" s="207">
        <v>205</v>
      </c>
      <c r="AU32" s="974">
        <v>5.5</v>
      </c>
      <c r="AV32" s="975" t="s">
        <v>506</v>
      </c>
      <c r="AW32" s="216" t="s">
        <v>507</v>
      </c>
      <c r="AX32" s="217">
        <v>310</v>
      </c>
      <c r="AY32" s="977">
        <v>7.5</v>
      </c>
      <c r="AZ32" s="975" t="s">
        <v>506</v>
      </c>
      <c r="BA32" s="216" t="s">
        <v>507</v>
      </c>
      <c r="BB32" s="217">
        <v>310</v>
      </c>
      <c r="BC32" s="977">
        <v>9</v>
      </c>
      <c r="BD32" s="975" t="s">
        <v>506</v>
      </c>
      <c r="BE32" s="216" t="s">
        <v>507</v>
      </c>
      <c r="BF32" s="217">
        <v>310</v>
      </c>
      <c r="BG32" s="977">
        <v>11</v>
      </c>
      <c r="BH32" s="1002" t="s">
        <v>243</v>
      </c>
      <c r="BI32" s="200" t="s">
        <v>243</v>
      </c>
      <c r="BJ32" s="201" t="s">
        <v>243</v>
      </c>
      <c r="BK32" s="1003" t="s">
        <v>243</v>
      </c>
      <c r="BL32" s="1002" t="s">
        <v>243</v>
      </c>
      <c r="BM32" s="200" t="s">
        <v>243</v>
      </c>
      <c r="BN32" s="200" t="s">
        <v>243</v>
      </c>
      <c r="BO32" s="1003" t="s">
        <v>243</v>
      </c>
      <c r="BP32" s="1002" t="s">
        <v>243</v>
      </c>
      <c r="BQ32" s="200" t="s">
        <v>243</v>
      </c>
      <c r="BR32" s="201" t="s">
        <v>243</v>
      </c>
      <c r="BS32" s="1003" t="s">
        <v>243</v>
      </c>
      <c r="BT32" s="1002" t="s">
        <v>243</v>
      </c>
      <c r="BU32" s="200" t="s">
        <v>243</v>
      </c>
      <c r="BV32" s="201" t="s">
        <v>243</v>
      </c>
      <c r="BW32" s="1003" t="s">
        <v>243</v>
      </c>
      <c r="BX32" s="1002" t="s">
        <v>243</v>
      </c>
      <c r="BY32" s="200" t="s">
        <v>243</v>
      </c>
      <c r="BZ32" s="201" t="s">
        <v>243</v>
      </c>
      <c r="CA32" s="1003" t="s">
        <v>243</v>
      </c>
      <c r="CB32" s="966" t="s">
        <v>502</v>
      </c>
      <c r="CC32" s="202" t="s">
        <v>503</v>
      </c>
      <c r="CD32" s="203">
        <v>50</v>
      </c>
      <c r="CE32" s="968">
        <v>3</v>
      </c>
      <c r="CF32" s="969" t="s">
        <v>510</v>
      </c>
      <c r="CG32" s="204" t="s">
        <v>511</v>
      </c>
      <c r="CH32" s="205">
        <v>96</v>
      </c>
      <c r="CI32" s="970">
        <v>5.5</v>
      </c>
      <c r="CJ32" s="1002" t="s">
        <v>243</v>
      </c>
      <c r="CK32" s="200" t="s">
        <v>243</v>
      </c>
      <c r="CL32" s="201" t="s">
        <v>243</v>
      </c>
      <c r="CM32" s="1003" t="s">
        <v>243</v>
      </c>
      <c r="CN32" s="1002" t="s">
        <v>243</v>
      </c>
      <c r="CO32" s="200" t="s">
        <v>243</v>
      </c>
      <c r="CP32" s="201" t="s">
        <v>243</v>
      </c>
      <c r="CQ32" s="1003" t="s">
        <v>243</v>
      </c>
      <c r="CR32" s="1002" t="s">
        <v>243</v>
      </c>
      <c r="CS32" s="200" t="s">
        <v>243</v>
      </c>
      <c r="CT32" s="201" t="s">
        <v>243</v>
      </c>
      <c r="CU32" s="1003" t="s">
        <v>243</v>
      </c>
    </row>
    <row r="33" spans="2:99">
      <c r="B33" s="954">
        <v>16000</v>
      </c>
      <c r="C33" s="955">
        <v>4444.4444444444443</v>
      </c>
      <c r="D33" s="960" t="s">
        <v>512</v>
      </c>
      <c r="E33" s="192" t="s">
        <v>513</v>
      </c>
      <c r="F33" s="193">
        <v>49</v>
      </c>
      <c r="G33" s="961">
        <v>3.7</v>
      </c>
      <c r="H33" s="960" t="s">
        <v>243</v>
      </c>
      <c r="I33" s="192" t="s">
        <v>243</v>
      </c>
      <c r="J33" s="193" t="s">
        <v>243</v>
      </c>
      <c r="K33" s="961" t="s">
        <v>243</v>
      </c>
      <c r="L33" s="960" t="s">
        <v>243</v>
      </c>
      <c r="M33" s="192" t="s">
        <v>243</v>
      </c>
      <c r="N33" s="193" t="s">
        <v>243</v>
      </c>
      <c r="O33" s="961" t="s">
        <v>243</v>
      </c>
      <c r="P33" s="960" t="s">
        <v>243</v>
      </c>
      <c r="Q33" s="192" t="s">
        <v>243</v>
      </c>
      <c r="R33" s="193" t="s">
        <v>243</v>
      </c>
      <c r="S33" s="961" t="s">
        <v>243</v>
      </c>
      <c r="T33" s="969" t="s">
        <v>508</v>
      </c>
      <c r="U33" s="210" t="s">
        <v>509</v>
      </c>
      <c r="V33" s="211">
        <v>300</v>
      </c>
      <c r="W33" s="971">
        <v>3.7</v>
      </c>
      <c r="X33" s="969" t="s">
        <v>508</v>
      </c>
      <c r="Y33" s="210" t="s">
        <v>509</v>
      </c>
      <c r="Z33" s="211">
        <v>300</v>
      </c>
      <c r="AA33" s="211">
        <v>7.5</v>
      </c>
      <c r="AB33" s="969" t="s">
        <v>508</v>
      </c>
      <c r="AC33" s="210" t="s">
        <v>509</v>
      </c>
      <c r="AD33" s="211">
        <v>300</v>
      </c>
      <c r="AE33" s="971">
        <v>9</v>
      </c>
      <c r="AF33" s="969" t="s">
        <v>508</v>
      </c>
      <c r="AG33" s="210" t="s">
        <v>509</v>
      </c>
      <c r="AH33" s="211">
        <v>300</v>
      </c>
      <c r="AI33" s="971">
        <v>11</v>
      </c>
      <c r="AJ33" s="1002" t="s">
        <v>243</v>
      </c>
      <c r="AK33" s="194" t="s">
        <v>243</v>
      </c>
      <c r="AL33" s="195" t="s">
        <v>243</v>
      </c>
      <c r="AM33" s="1004" t="s">
        <v>243</v>
      </c>
      <c r="AN33" s="975" t="s">
        <v>506</v>
      </c>
      <c r="AO33" s="218" t="s">
        <v>507</v>
      </c>
      <c r="AP33" s="219">
        <v>310</v>
      </c>
      <c r="AQ33" s="976">
        <v>3.7</v>
      </c>
      <c r="AR33" s="975" t="s">
        <v>506</v>
      </c>
      <c r="AS33" s="218" t="s">
        <v>507</v>
      </c>
      <c r="AT33" s="219">
        <v>310</v>
      </c>
      <c r="AU33" s="976">
        <v>7.5</v>
      </c>
      <c r="AV33" s="975" t="s">
        <v>506</v>
      </c>
      <c r="AW33" s="218" t="s">
        <v>507</v>
      </c>
      <c r="AX33" s="219">
        <v>310</v>
      </c>
      <c r="AY33" s="976">
        <v>9</v>
      </c>
      <c r="AZ33" s="975" t="s">
        <v>506</v>
      </c>
      <c r="BA33" s="218" t="s">
        <v>507</v>
      </c>
      <c r="BB33" s="219">
        <v>310</v>
      </c>
      <c r="BC33" s="976">
        <v>11</v>
      </c>
      <c r="BD33" s="975" t="s">
        <v>506</v>
      </c>
      <c r="BE33" s="218" t="s">
        <v>507</v>
      </c>
      <c r="BF33" s="219">
        <v>310</v>
      </c>
      <c r="BG33" s="976">
        <v>15</v>
      </c>
      <c r="BH33" s="1002" t="s">
        <v>243</v>
      </c>
      <c r="BI33" s="194" t="s">
        <v>243</v>
      </c>
      <c r="BJ33" s="195" t="s">
        <v>243</v>
      </c>
      <c r="BK33" s="1004" t="s">
        <v>243</v>
      </c>
      <c r="BL33" s="1002" t="s">
        <v>243</v>
      </c>
      <c r="BM33" s="194" t="s">
        <v>243</v>
      </c>
      <c r="BN33" s="194" t="s">
        <v>243</v>
      </c>
      <c r="BO33" s="1004" t="s">
        <v>243</v>
      </c>
      <c r="BP33" s="1002" t="s">
        <v>243</v>
      </c>
      <c r="BQ33" s="194" t="s">
        <v>243</v>
      </c>
      <c r="BR33" s="195" t="s">
        <v>243</v>
      </c>
      <c r="BS33" s="1004" t="s">
        <v>243</v>
      </c>
      <c r="BT33" s="1002" t="s">
        <v>243</v>
      </c>
      <c r="BU33" s="194" t="s">
        <v>243</v>
      </c>
      <c r="BV33" s="195" t="s">
        <v>243</v>
      </c>
      <c r="BW33" s="1004" t="s">
        <v>243</v>
      </c>
      <c r="BX33" s="1002" t="s">
        <v>243</v>
      </c>
      <c r="BY33" s="194" t="s">
        <v>243</v>
      </c>
      <c r="BZ33" s="195" t="s">
        <v>243</v>
      </c>
      <c r="CA33" s="1004" t="s">
        <v>243</v>
      </c>
      <c r="CB33" s="1002" t="s">
        <v>514</v>
      </c>
      <c r="CC33" s="194" t="s">
        <v>515</v>
      </c>
      <c r="CD33" s="195">
        <v>72</v>
      </c>
      <c r="CE33" s="1004">
        <v>3.7</v>
      </c>
      <c r="CF33" s="969" t="s">
        <v>510</v>
      </c>
      <c r="CG33" s="210" t="s">
        <v>511</v>
      </c>
      <c r="CH33" s="211">
        <v>96</v>
      </c>
      <c r="CI33" s="971">
        <v>7.5</v>
      </c>
      <c r="CJ33" s="1002" t="s">
        <v>243</v>
      </c>
      <c r="CK33" s="194" t="s">
        <v>243</v>
      </c>
      <c r="CL33" s="195" t="s">
        <v>243</v>
      </c>
      <c r="CM33" s="1004" t="s">
        <v>243</v>
      </c>
      <c r="CN33" s="1002" t="s">
        <v>243</v>
      </c>
      <c r="CO33" s="194" t="s">
        <v>243</v>
      </c>
      <c r="CP33" s="195" t="s">
        <v>243</v>
      </c>
      <c r="CQ33" s="1004" t="s">
        <v>243</v>
      </c>
      <c r="CR33" s="1002" t="s">
        <v>243</v>
      </c>
      <c r="CS33" s="194" t="s">
        <v>243</v>
      </c>
      <c r="CT33" s="195" t="s">
        <v>243</v>
      </c>
      <c r="CU33" s="1004" t="s">
        <v>243</v>
      </c>
    </row>
    <row r="34" spans="2:99">
      <c r="B34" s="952">
        <v>18000</v>
      </c>
      <c r="C34" s="953">
        <v>5000</v>
      </c>
      <c r="D34" s="969" t="s">
        <v>516</v>
      </c>
      <c r="E34" s="204" t="s">
        <v>517</v>
      </c>
      <c r="F34" s="205">
        <v>66</v>
      </c>
      <c r="G34" s="970">
        <v>3.7</v>
      </c>
      <c r="H34" s="960" t="s">
        <v>243</v>
      </c>
      <c r="I34" s="198" t="s">
        <v>243</v>
      </c>
      <c r="J34" s="199" t="s">
        <v>243</v>
      </c>
      <c r="K34" s="962" t="s">
        <v>243</v>
      </c>
      <c r="L34" s="960" t="s">
        <v>243</v>
      </c>
      <c r="M34" s="198" t="s">
        <v>243</v>
      </c>
      <c r="N34" s="199" t="s">
        <v>243</v>
      </c>
      <c r="O34" s="962" t="s">
        <v>243</v>
      </c>
      <c r="P34" s="960" t="s">
        <v>243</v>
      </c>
      <c r="Q34" s="198" t="s">
        <v>243</v>
      </c>
      <c r="R34" s="199" t="s">
        <v>243</v>
      </c>
      <c r="S34" s="962" t="s">
        <v>243</v>
      </c>
      <c r="T34" s="969" t="s">
        <v>508</v>
      </c>
      <c r="U34" s="204" t="s">
        <v>509</v>
      </c>
      <c r="V34" s="205">
        <v>300</v>
      </c>
      <c r="W34" s="970">
        <v>3.7</v>
      </c>
      <c r="X34" s="969" t="s">
        <v>508</v>
      </c>
      <c r="Y34" s="204" t="s">
        <v>509</v>
      </c>
      <c r="Z34" s="205">
        <v>300</v>
      </c>
      <c r="AA34" s="205">
        <v>7.5</v>
      </c>
      <c r="AB34" s="969" t="s">
        <v>508</v>
      </c>
      <c r="AC34" s="204" t="s">
        <v>509</v>
      </c>
      <c r="AD34" s="205">
        <v>300</v>
      </c>
      <c r="AE34" s="970">
        <v>11</v>
      </c>
      <c r="AF34" s="969" t="s">
        <v>508</v>
      </c>
      <c r="AG34" s="204" t="s">
        <v>509</v>
      </c>
      <c r="AH34" s="205">
        <v>300</v>
      </c>
      <c r="AI34" s="970">
        <v>15</v>
      </c>
      <c r="AJ34" s="1002" t="s">
        <v>243</v>
      </c>
      <c r="AK34" s="200" t="s">
        <v>243</v>
      </c>
      <c r="AL34" s="201" t="s">
        <v>243</v>
      </c>
      <c r="AM34" s="1003" t="s">
        <v>243</v>
      </c>
      <c r="AN34" s="978" t="s">
        <v>518</v>
      </c>
      <c r="AO34" s="220" t="s">
        <v>519</v>
      </c>
      <c r="AP34" s="221">
        <v>360</v>
      </c>
      <c r="AQ34" s="980">
        <v>3.7</v>
      </c>
      <c r="AR34" s="975" t="s">
        <v>506</v>
      </c>
      <c r="AS34" s="216" t="s">
        <v>507</v>
      </c>
      <c r="AT34" s="217">
        <v>310</v>
      </c>
      <c r="AU34" s="977">
        <v>7.5</v>
      </c>
      <c r="AV34" s="975" t="s">
        <v>506</v>
      </c>
      <c r="AW34" s="216" t="s">
        <v>507</v>
      </c>
      <c r="AX34" s="217">
        <v>310</v>
      </c>
      <c r="AY34" s="977">
        <v>11</v>
      </c>
      <c r="AZ34" s="975" t="s">
        <v>506</v>
      </c>
      <c r="BA34" s="216" t="s">
        <v>507</v>
      </c>
      <c r="BB34" s="217">
        <v>310</v>
      </c>
      <c r="BC34" s="977">
        <v>15</v>
      </c>
      <c r="BD34" s="978" t="s">
        <v>518</v>
      </c>
      <c r="BE34" s="220" t="s">
        <v>519</v>
      </c>
      <c r="BF34" s="221">
        <v>360</v>
      </c>
      <c r="BG34" s="980">
        <v>15</v>
      </c>
      <c r="BH34" s="1002" t="s">
        <v>243</v>
      </c>
      <c r="BI34" s="200" t="s">
        <v>243</v>
      </c>
      <c r="BJ34" s="201" t="s">
        <v>243</v>
      </c>
      <c r="BK34" s="1003" t="s">
        <v>243</v>
      </c>
      <c r="BL34" s="1002" t="s">
        <v>243</v>
      </c>
      <c r="BM34" s="200" t="s">
        <v>243</v>
      </c>
      <c r="BN34" s="200" t="s">
        <v>243</v>
      </c>
      <c r="BO34" s="1003" t="s">
        <v>243</v>
      </c>
      <c r="BP34" s="1002" t="s">
        <v>243</v>
      </c>
      <c r="BQ34" s="200" t="s">
        <v>243</v>
      </c>
      <c r="BR34" s="201" t="s">
        <v>243</v>
      </c>
      <c r="BS34" s="1003" t="s">
        <v>243</v>
      </c>
      <c r="BT34" s="1002" t="s">
        <v>243</v>
      </c>
      <c r="BU34" s="200" t="s">
        <v>243</v>
      </c>
      <c r="BV34" s="201" t="s">
        <v>243</v>
      </c>
      <c r="BW34" s="1003" t="s">
        <v>243</v>
      </c>
      <c r="BX34" s="1002" t="s">
        <v>243</v>
      </c>
      <c r="BY34" s="200" t="s">
        <v>243</v>
      </c>
      <c r="BZ34" s="201" t="s">
        <v>243</v>
      </c>
      <c r="CA34" s="1003" t="s">
        <v>243</v>
      </c>
      <c r="CB34" s="1002" t="s">
        <v>514</v>
      </c>
      <c r="CC34" s="200" t="s">
        <v>515</v>
      </c>
      <c r="CD34" s="201">
        <v>72</v>
      </c>
      <c r="CE34" s="1003">
        <v>3.7</v>
      </c>
      <c r="CF34" s="969" t="s">
        <v>510</v>
      </c>
      <c r="CG34" s="204" t="s">
        <v>511</v>
      </c>
      <c r="CH34" s="205">
        <v>96</v>
      </c>
      <c r="CI34" s="970">
        <v>7.5</v>
      </c>
      <c r="CJ34" s="1002" t="s">
        <v>243</v>
      </c>
      <c r="CK34" s="200" t="s">
        <v>243</v>
      </c>
      <c r="CL34" s="201" t="s">
        <v>243</v>
      </c>
      <c r="CM34" s="1003" t="s">
        <v>243</v>
      </c>
      <c r="CN34" s="1002" t="s">
        <v>243</v>
      </c>
      <c r="CO34" s="200" t="s">
        <v>243</v>
      </c>
      <c r="CP34" s="201" t="s">
        <v>243</v>
      </c>
      <c r="CQ34" s="1003" t="s">
        <v>243</v>
      </c>
      <c r="CR34" s="1002" t="s">
        <v>243</v>
      </c>
      <c r="CS34" s="200" t="s">
        <v>243</v>
      </c>
      <c r="CT34" s="201" t="s">
        <v>243</v>
      </c>
      <c r="CU34" s="1003" t="s">
        <v>243</v>
      </c>
    </row>
    <row r="35" spans="2:99">
      <c r="B35" s="954">
        <v>20000</v>
      </c>
      <c r="C35" s="955">
        <v>5555.5555555555557</v>
      </c>
      <c r="D35" s="969" t="s">
        <v>516</v>
      </c>
      <c r="E35" s="210" t="s">
        <v>517</v>
      </c>
      <c r="F35" s="211">
        <v>66</v>
      </c>
      <c r="G35" s="971">
        <v>4</v>
      </c>
      <c r="H35" s="969" t="s">
        <v>516</v>
      </c>
      <c r="I35" s="210" t="s">
        <v>520</v>
      </c>
      <c r="J35" s="211">
        <v>66</v>
      </c>
      <c r="K35" s="971">
        <v>9</v>
      </c>
      <c r="L35" s="960" t="s">
        <v>243</v>
      </c>
      <c r="M35" s="192" t="s">
        <v>243</v>
      </c>
      <c r="N35" s="193" t="s">
        <v>243</v>
      </c>
      <c r="O35" s="961" t="s">
        <v>243</v>
      </c>
      <c r="P35" s="960" t="s">
        <v>243</v>
      </c>
      <c r="Q35" s="192" t="s">
        <v>243</v>
      </c>
      <c r="R35" s="193" t="s">
        <v>243</v>
      </c>
      <c r="S35" s="961" t="s">
        <v>243</v>
      </c>
      <c r="T35" s="972" t="s">
        <v>521</v>
      </c>
      <c r="U35" s="212" t="s">
        <v>522</v>
      </c>
      <c r="V35" s="213">
        <v>490</v>
      </c>
      <c r="W35" s="973">
        <v>4</v>
      </c>
      <c r="X35" s="969" t="s">
        <v>508</v>
      </c>
      <c r="Y35" s="210" t="s">
        <v>509</v>
      </c>
      <c r="Z35" s="211">
        <v>300</v>
      </c>
      <c r="AA35" s="211">
        <v>9</v>
      </c>
      <c r="AB35" s="969" t="s">
        <v>508</v>
      </c>
      <c r="AC35" s="210" t="s">
        <v>509</v>
      </c>
      <c r="AD35" s="211">
        <v>300</v>
      </c>
      <c r="AE35" s="971">
        <v>11</v>
      </c>
      <c r="AF35" s="969" t="s">
        <v>508</v>
      </c>
      <c r="AG35" s="210" t="s">
        <v>509</v>
      </c>
      <c r="AH35" s="211">
        <v>300</v>
      </c>
      <c r="AI35" s="971">
        <v>15</v>
      </c>
      <c r="AJ35" s="1002" t="s">
        <v>243</v>
      </c>
      <c r="AK35" s="194" t="s">
        <v>243</v>
      </c>
      <c r="AL35" s="195" t="s">
        <v>243</v>
      </c>
      <c r="AM35" s="1004" t="s">
        <v>243</v>
      </c>
      <c r="AN35" s="978" t="s">
        <v>518</v>
      </c>
      <c r="AO35" s="222" t="s">
        <v>519</v>
      </c>
      <c r="AP35" s="223">
        <v>360</v>
      </c>
      <c r="AQ35" s="979">
        <v>4</v>
      </c>
      <c r="AR35" s="975" t="s">
        <v>506</v>
      </c>
      <c r="AS35" s="218" t="s">
        <v>507</v>
      </c>
      <c r="AT35" s="219">
        <v>310</v>
      </c>
      <c r="AU35" s="976">
        <v>9</v>
      </c>
      <c r="AV35" s="975" t="s">
        <v>506</v>
      </c>
      <c r="AW35" s="218" t="s">
        <v>507</v>
      </c>
      <c r="AX35" s="219">
        <v>310</v>
      </c>
      <c r="AY35" s="976">
        <v>11</v>
      </c>
      <c r="AZ35" s="978" t="s">
        <v>518</v>
      </c>
      <c r="BA35" s="222" t="s">
        <v>519</v>
      </c>
      <c r="BB35" s="223">
        <v>360</v>
      </c>
      <c r="BC35" s="979">
        <v>15</v>
      </c>
      <c r="BD35" s="978" t="s">
        <v>518</v>
      </c>
      <c r="BE35" s="222" t="s">
        <v>519</v>
      </c>
      <c r="BF35" s="223">
        <v>360</v>
      </c>
      <c r="BG35" s="979">
        <v>18.5</v>
      </c>
      <c r="BH35" s="1002" t="s">
        <v>243</v>
      </c>
      <c r="BI35" s="194" t="s">
        <v>243</v>
      </c>
      <c r="BJ35" s="195" t="s">
        <v>243</v>
      </c>
      <c r="BK35" s="1004" t="s">
        <v>243</v>
      </c>
      <c r="BL35" s="1002" t="s">
        <v>243</v>
      </c>
      <c r="BM35" s="194" t="s">
        <v>243</v>
      </c>
      <c r="BN35" s="194" t="s">
        <v>243</v>
      </c>
      <c r="BO35" s="1004" t="s">
        <v>243</v>
      </c>
      <c r="BP35" s="1002" t="s">
        <v>243</v>
      </c>
      <c r="BQ35" s="194" t="s">
        <v>243</v>
      </c>
      <c r="BR35" s="195" t="s">
        <v>243</v>
      </c>
      <c r="BS35" s="1004" t="s">
        <v>243</v>
      </c>
      <c r="BT35" s="1002" t="s">
        <v>243</v>
      </c>
      <c r="BU35" s="194" t="s">
        <v>243</v>
      </c>
      <c r="BV35" s="195" t="s">
        <v>243</v>
      </c>
      <c r="BW35" s="1004" t="s">
        <v>243</v>
      </c>
      <c r="BX35" s="1002" t="s">
        <v>243</v>
      </c>
      <c r="BY35" s="194" t="s">
        <v>243</v>
      </c>
      <c r="BZ35" s="195" t="s">
        <v>243</v>
      </c>
      <c r="CA35" s="1004" t="s">
        <v>243</v>
      </c>
      <c r="CB35" s="1002" t="s">
        <v>514</v>
      </c>
      <c r="CC35" s="194" t="s">
        <v>515</v>
      </c>
      <c r="CD35" s="195">
        <v>72</v>
      </c>
      <c r="CE35" s="1004">
        <v>4</v>
      </c>
      <c r="CF35" s="969" t="s">
        <v>510</v>
      </c>
      <c r="CG35" s="210" t="s">
        <v>511</v>
      </c>
      <c r="CH35" s="211">
        <v>96</v>
      </c>
      <c r="CI35" s="971">
        <v>9</v>
      </c>
      <c r="CJ35" s="1002" t="s">
        <v>243</v>
      </c>
      <c r="CK35" s="194" t="s">
        <v>243</v>
      </c>
      <c r="CL35" s="195" t="s">
        <v>243</v>
      </c>
      <c r="CM35" s="1004" t="s">
        <v>243</v>
      </c>
      <c r="CN35" s="1002" t="s">
        <v>243</v>
      </c>
      <c r="CO35" s="194" t="s">
        <v>243</v>
      </c>
      <c r="CP35" s="195" t="s">
        <v>243</v>
      </c>
      <c r="CQ35" s="1004" t="s">
        <v>243</v>
      </c>
      <c r="CR35" s="1002" t="s">
        <v>243</v>
      </c>
      <c r="CS35" s="194" t="s">
        <v>243</v>
      </c>
      <c r="CT35" s="195" t="s">
        <v>243</v>
      </c>
      <c r="CU35" s="1004" t="s">
        <v>243</v>
      </c>
    </row>
    <row r="36" spans="2:99">
      <c r="B36" s="952">
        <v>24000</v>
      </c>
      <c r="C36" s="953">
        <v>6666.6666666666661</v>
      </c>
      <c r="D36" s="969" t="s">
        <v>516</v>
      </c>
      <c r="E36" s="204" t="s">
        <v>517</v>
      </c>
      <c r="F36" s="205">
        <v>66</v>
      </c>
      <c r="G36" s="970">
        <v>5.5</v>
      </c>
      <c r="H36" s="972" t="s">
        <v>523</v>
      </c>
      <c r="I36" s="206" t="s">
        <v>524</v>
      </c>
      <c r="J36" s="207">
        <v>73</v>
      </c>
      <c r="K36" s="974">
        <v>11</v>
      </c>
      <c r="L36" s="960" t="s">
        <v>243</v>
      </c>
      <c r="M36" s="198" t="s">
        <v>243</v>
      </c>
      <c r="N36" s="199" t="s">
        <v>243</v>
      </c>
      <c r="O36" s="962" t="s">
        <v>243</v>
      </c>
      <c r="P36" s="960" t="s">
        <v>243</v>
      </c>
      <c r="Q36" s="198" t="s">
        <v>243</v>
      </c>
      <c r="R36" s="199" t="s">
        <v>243</v>
      </c>
      <c r="S36" s="962" t="s">
        <v>243</v>
      </c>
      <c r="T36" s="972" t="s">
        <v>521</v>
      </c>
      <c r="U36" s="206" t="s">
        <v>522</v>
      </c>
      <c r="V36" s="207">
        <v>490</v>
      </c>
      <c r="W36" s="974">
        <v>5.5</v>
      </c>
      <c r="X36" s="969" t="s">
        <v>508</v>
      </c>
      <c r="Y36" s="204" t="s">
        <v>509</v>
      </c>
      <c r="Z36" s="205">
        <v>300</v>
      </c>
      <c r="AA36" s="205">
        <v>11</v>
      </c>
      <c r="AB36" s="969" t="s">
        <v>508</v>
      </c>
      <c r="AC36" s="204" t="s">
        <v>509</v>
      </c>
      <c r="AD36" s="205">
        <v>300</v>
      </c>
      <c r="AE36" s="970">
        <v>15</v>
      </c>
      <c r="AF36" s="972" t="s">
        <v>521</v>
      </c>
      <c r="AG36" s="206" t="s">
        <v>522</v>
      </c>
      <c r="AH36" s="207">
        <v>490</v>
      </c>
      <c r="AI36" s="974">
        <v>18.5</v>
      </c>
      <c r="AJ36" s="972" t="s">
        <v>521</v>
      </c>
      <c r="AK36" s="206" t="s">
        <v>522</v>
      </c>
      <c r="AL36" s="207">
        <v>490</v>
      </c>
      <c r="AM36" s="974">
        <v>18.5</v>
      </c>
      <c r="AN36" s="981" t="s">
        <v>525</v>
      </c>
      <c r="AO36" s="224" t="s">
        <v>526</v>
      </c>
      <c r="AP36" s="225">
        <v>460</v>
      </c>
      <c r="AQ36" s="983">
        <v>5.5</v>
      </c>
      <c r="AR36" s="978" t="s">
        <v>518</v>
      </c>
      <c r="AS36" s="220" t="s">
        <v>519</v>
      </c>
      <c r="AT36" s="221">
        <v>360</v>
      </c>
      <c r="AU36" s="980">
        <v>11</v>
      </c>
      <c r="AV36" s="978" t="s">
        <v>518</v>
      </c>
      <c r="AW36" s="220" t="s">
        <v>519</v>
      </c>
      <c r="AX36" s="221">
        <v>360</v>
      </c>
      <c r="AY36" s="980">
        <v>15</v>
      </c>
      <c r="AZ36" s="978" t="s">
        <v>518</v>
      </c>
      <c r="BA36" s="220" t="s">
        <v>519</v>
      </c>
      <c r="BB36" s="221">
        <v>360</v>
      </c>
      <c r="BC36" s="980">
        <v>18.5</v>
      </c>
      <c r="BD36" s="978" t="s">
        <v>518</v>
      </c>
      <c r="BE36" s="220" t="s">
        <v>519</v>
      </c>
      <c r="BF36" s="221">
        <v>360</v>
      </c>
      <c r="BG36" s="980">
        <v>18.5</v>
      </c>
      <c r="BH36" s="1002" t="s">
        <v>243</v>
      </c>
      <c r="BI36" s="200" t="s">
        <v>243</v>
      </c>
      <c r="BJ36" s="201" t="s">
        <v>243</v>
      </c>
      <c r="BK36" s="1003" t="s">
        <v>243</v>
      </c>
      <c r="BL36" s="1002" t="s">
        <v>243</v>
      </c>
      <c r="BM36" s="200" t="s">
        <v>243</v>
      </c>
      <c r="BN36" s="200" t="s">
        <v>243</v>
      </c>
      <c r="BO36" s="1003" t="s">
        <v>243</v>
      </c>
      <c r="BP36" s="1002" t="s">
        <v>243</v>
      </c>
      <c r="BQ36" s="200" t="s">
        <v>243</v>
      </c>
      <c r="BR36" s="201" t="s">
        <v>243</v>
      </c>
      <c r="BS36" s="1003" t="s">
        <v>243</v>
      </c>
      <c r="BT36" s="1002" t="s">
        <v>243</v>
      </c>
      <c r="BU36" s="200" t="s">
        <v>243</v>
      </c>
      <c r="BV36" s="201" t="s">
        <v>243</v>
      </c>
      <c r="BW36" s="1003" t="s">
        <v>243</v>
      </c>
      <c r="BX36" s="1002" t="s">
        <v>243</v>
      </c>
      <c r="BY36" s="200" t="s">
        <v>243</v>
      </c>
      <c r="BZ36" s="201" t="s">
        <v>243</v>
      </c>
      <c r="CA36" s="1003" t="s">
        <v>243</v>
      </c>
      <c r="CB36" s="969" t="s">
        <v>510</v>
      </c>
      <c r="CC36" s="204" t="s">
        <v>511</v>
      </c>
      <c r="CD36" s="205">
        <v>96</v>
      </c>
      <c r="CE36" s="970">
        <v>5.5</v>
      </c>
      <c r="CF36" s="969" t="s">
        <v>510</v>
      </c>
      <c r="CG36" s="204" t="s">
        <v>511</v>
      </c>
      <c r="CH36" s="205">
        <v>96</v>
      </c>
      <c r="CI36" s="970">
        <v>11</v>
      </c>
      <c r="CJ36" s="972" t="s">
        <v>527</v>
      </c>
      <c r="CK36" s="206" t="s">
        <v>528</v>
      </c>
      <c r="CL36" s="207">
        <v>128</v>
      </c>
      <c r="CM36" s="974">
        <v>15</v>
      </c>
      <c r="CN36" s="1002" t="s">
        <v>243</v>
      </c>
      <c r="CO36" s="200" t="s">
        <v>243</v>
      </c>
      <c r="CP36" s="201" t="s">
        <v>243</v>
      </c>
      <c r="CQ36" s="1003" t="s">
        <v>243</v>
      </c>
      <c r="CR36" s="1002" t="s">
        <v>243</v>
      </c>
      <c r="CS36" s="200" t="s">
        <v>243</v>
      </c>
      <c r="CT36" s="201" t="s">
        <v>243</v>
      </c>
      <c r="CU36" s="1003" t="s">
        <v>243</v>
      </c>
    </row>
    <row r="37" spans="2:99">
      <c r="B37" s="954">
        <v>28000</v>
      </c>
      <c r="C37" s="955">
        <v>7777.7777777777774</v>
      </c>
      <c r="D37" s="972" t="s">
        <v>523</v>
      </c>
      <c r="E37" s="212" t="s">
        <v>529</v>
      </c>
      <c r="F37" s="213">
        <v>73</v>
      </c>
      <c r="G37" s="973">
        <v>5.5</v>
      </c>
      <c r="H37" s="972" t="s">
        <v>523</v>
      </c>
      <c r="I37" s="212" t="s">
        <v>524</v>
      </c>
      <c r="J37" s="213">
        <v>73</v>
      </c>
      <c r="K37" s="973">
        <v>11</v>
      </c>
      <c r="L37" s="960" t="s">
        <v>243</v>
      </c>
      <c r="M37" s="192" t="s">
        <v>243</v>
      </c>
      <c r="N37" s="193" t="s">
        <v>243</v>
      </c>
      <c r="O37" s="961" t="s">
        <v>243</v>
      </c>
      <c r="P37" s="960" t="s">
        <v>243</v>
      </c>
      <c r="Q37" s="192" t="s">
        <v>243</v>
      </c>
      <c r="R37" s="193" t="s">
        <v>243</v>
      </c>
      <c r="S37" s="961" t="s">
        <v>243</v>
      </c>
      <c r="T37" s="972" t="s">
        <v>521</v>
      </c>
      <c r="U37" s="212" t="s">
        <v>522</v>
      </c>
      <c r="V37" s="213">
        <v>490</v>
      </c>
      <c r="W37" s="973">
        <v>5.5</v>
      </c>
      <c r="X37" s="972" t="s">
        <v>521</v>
      </c>
      <c r="Y37" s="212" t="s">
        <v>522</v>
      </c>
      <c r="Z37" s="213">
        <v>490</v>
      </c>
      <c r="AA37" s="213">
        <v>11</v>
      </c>
      <c r="AB37" s="972" t="s">
        <v>521</v>
      </c>
      <c r="AC37" s="212" t="s">
        <v>522</v>
      </c>
      <c r="AD37" s="213">
        <v>490</v>
      </c>
      <c r="AE37" s="973">
        <v>15</v>
      </c>
      <c r="AF37" s="972" t="s">
        <v>521</v>
      </c>
      <c r="AG37" s="212" t="s">
        <v>522</v>
      </c>
      <c r="AH37" s="213">
        <v>490</v>
      </c>
      <c r="AI37" s="973">
        <v>18.5</v>
      </c>
      <c r="AJ37" s="975" t="s">
        <v>530</v>
      </c>
      <c r="AK37" s="218" t="s">
        <v>531</v>
      </c>
      <c r="AL37" s="219">
        <v>570</v>
      </c>
      <c r="AM37" s="976">
        <v>22</v>
      </c>
      <c r="AN37" s="963" t="s">
        <v>532</v>
      </c>
      <c r="AO37" s="196" t="s">
        <v>533</v>
      </c>
      <c r="AP37" s="197">
        <v>560</v>
      </c>
      <c r="AQ37" s="964">
        <v>5.5</v>
      </c>
      <c r="AR37" s="981" t="s">
        <v>525</v>
      </c>
      <c r="AS37" s="226" t="s">
        <v>526</v>
      </c>
      <c r="AT37" s="227">
        <v>460</v>
      </c>
      <c r="AU37" s="982">
        <v>11</v>
      </c>
      <c r="AV37" s="981" t="s">
        <v>525</v>
      </c>
      <c r="AW37" s="226" t="s">
        <v>526</v>
      </c>
      <c r="AX37" s="227">
        <v>460</v>
      </c>
      <c r="AY37" s="982">
        <v>15</v>
      </c>
      <c r="AZ37" s="981" t="s">
        <v>525</v>
      </c>
      <c r="BA37" s="226" t="s">
        <v>526</v>
      </c>
      <c r="BB37" s="227">
        <v>460</v>
      </c>
      <c r="BC37" s="982">
        <v>18.5</v>
      </c>
      <c r="BD37" s="981" t="s">
        <v>525</v>
      </c>
      <c r="BE37" s="226" t="s">
        <v>526</v>
      </c>
      <c r="BF37" s="227">
        <v>460</v>
      </c>
      <c r="BG37" s="982">
        <v>22</v>
      </c>
      <c r="BH37" s="1002" t="s">
        <v>243</v>
      </c>
      <c r="BI37" s="194" t="s">
        <v>243</v>
      </c>
      <c r="BJ37" s="195" t="s">
        <v>243</v>
      </c>
      <c r="BK37" s="1004" t="s">
        <v>243</v>
      </c>
      <c r="BL37" s="1002" t="s">
        <v>243</v>
      </c>
      <c r="BM37" s="194" t="s">
        <v>243</v>
      </c>
      <c r="BN37" s="194" t="s">
        <v>243</v>
      </c>
      <c r="BO37" s="1004" t="s">
        <v>243</v>
      </c>
      <c r="BP37" s="1002" t="s">
        <v>243</v>
      </c>
      <c r="BQ37" s="194" t="s">
        <v>243</v>
      </c>
      <c r="BR37" s="195" t="s">
        <v>243</v>
      </c>
      <c r="BS37" s="1004" t="s">
        <v>243</v>
      </c>
      <c r="BT37" s="1002" t="s">
        <v>243</v>
      </c>
      <c r="BU37" s="194" t="s">
        <v>243</v>
      </c>
      <c r="BV37" s="195" t="s">
        <v>243</v>
      </c>
      <c r="BW37" s="1004" t="s">
        <v>243</v>
      </c>
      <c r="BX37" s="1002" t="s">
        <v>243</v>
      </c>
      <c r="BY37" s="194" t="s">
        <v>243</v>
      </c>
      <c r="BZ37" s="195" t="s">
        <v>243</v>
      </c>
      <c r="CA37" s="1004" t="s">
        <v>243</v>
      </c>
      <c r="CB37" s="969" t="s">
        <v>510</v>
      </c>
      <c r="CC37" s="210" t="s">
        <v>511</v>
      </c>
      <c r="CD37" s="211">
        <v>96</v>
      </c>
      <c r="CE37" s="971">
        <v>5.5</v>
      </c>
      <c r="CF37" s="972" t="s">
        <v>527</v>
      </c>
      <c r="CG37" s="212" t="s">
        <v>528</v>
      </c>
      <c r="CH37" s="213">
        <v>128</v>
      </c>
      <c r="CI37" s="973">
        <v>11</v>
      </c>
      <c r="CJ37" s="972" t="s">
        <v>527</v>
      </c>
      <c r="CK37" s="212" t="s">
        <v>528</v>
      </c>
      <c r="CL37" s="213">
        <v>128</v>
      </c>
      <c r="CM37" s="973">
        <v>15</v>
      </c>
      <c r="CN37" s="1002" t="s">
        <v>243</v>
      </c>
      <c r="CO37" s="194" t="s">
        <v>243</v>
      </c>
      <c r="CP37" s="195" t="s">
        <v>243</v>
      </c>
      <c r="CQ37" s="1004" t="s">
        <v>243</v>
      </c>
      <c r="CR37" s="1002" t="s">
        <v>243</v>
      </c>
      <c r="CS37" s="194" t="s">
        <v>243</v>
      </c>
      <c r="CT37" s="195" t="s">
        <v>243</v>
      </c>
      <c r="CU37" s="1004" t="s">
        <v>243</v>
      </c>
    </row>
    <row r="38" spans="2:99">
      <c r="B38" s="952">
        <v>32000</v>
      </c>
      <c r="C38" s="953">
        <v>8888.8888888888887</v>
      </c>
      <c r="D38" s="972" t="s">
        <v>523</v>
      </c>
      <c r="E38" s="206" t="s">
        <v>529</v>
      </c>
      <c r="F38" s="207">
        <v>73</v>
      </c>
      <c r="G38" s="974">
        <v>7.5</v>
      </c>
      <c r="H38" s="972" t="s">
        <v>523</v>
      </c>
      <c r="I38" s="206" t="s">
        <v>524</v>
      </c>
      <c r="J38" s="207">
        <v>73</v>
      </c>
      <c r="K38" s="974">
        <v>15</v>
      </c>
      <c r="L38" s="960" t="s">
        <v>243</v>
      </c>
      <c r="M38" s="198" t="s">
        <v>243</v>
      </c>
      <c r="N38" s="199" t="s">
        <v>243</v>
      </c>
      <c r="O38" s="962" t="s">
        <v>243</v>
      </c>
      <c r="P38" s="960" t="s">
        <v>243</v>
      </c>
      <c r="Q38" s="198" t="s">
        <v>243</v>
      </c>
      <c r="R38" s="199" t="s">
        <v>243</v>
      </c>
      <c r="S38" s="962" t="s">
        <v>243</v>
      </c>
      <c r="T38" s="975" t="s">
        <v>530</v>
      </c>
      <c r="U38" s="216" t="s">
        <v>531</v>
      </c>
      <c r="V38" s="217">
        <v>570</v>
      </c>
      <c r="W38" s="977">
        <v>7.5</v>
      </c>
      <c r="X38" s="972" t="s">
        <v>521</v>
      </c>
      <c r="Y38" s="206" t="s">
        <v>522</v>
      </c>
      <c r="Z38" s="207">
        <v>490</v>
      </c>
      <c r="AA38" s="207">
        <v>15</v>
      </c>
      <c r="AB38" s="972" t="s">
        <v>521</v>
      </c>
      <c r="AC38" s="206" t="s">
        <v>522</v>
      </c>
      <c r="AD38" s="207">
        <v>490</v>
      </c>
      <c r="AE38" s="974">
        <v>18.5</v>
      </c>
      <c r="AF38" s="975" t="s">
        <v>530</v>
      </c>
      <c r="AG38" s="216" t="s">
        <v>531</v>
      </c>
      <c r="AH38" s="217">
        <v>570</v>
      </c>
      <c r="AI38" s="977">
        <v>22</v>
      </c>
      <c r="AJ38" s="975" t="s">
        <v>530</v>
      </c>
      <c r="AK38" s="216" t="s">
        <v>531</v>
      </c>
      <c r="AL38" s="217">
        <v>570</v>
      </c>
      <c r="AM38" s="977">
        <v>22</v>
      </c>
      <c r="AN38" s="966" t="s">
        <v>534</v>
      </c>
      <c r="AO38" s="202" t="s">
        <v>535</v>
      </c>
      <c r="AP38" s="203">
        <v>870</v>
      </c>
      <c r="AQ38" s="968">
        <v>7.5</v>
      </c>
      <c r="AR38" s="963" t="s">
        <v>532</v>
      </c>
      <c r="AS38" s="214" t="s">
        <v>533</v>
      </c>
      <c r="AT38" s="215">
        <v>560</v>
      </c>
      <c r="AU38" s="965">
        <v>15</v>
      </c>
      <c r="AV38" s="981" t="s">
        <v>525</v>
      </c>
      <c r="AW38" s="224" t="s">
        <v>526</v>
      </c>
      <c r="AX38" s="225">
        <v>460</v>
      </c>
      <c r="AY38" s="983">
        <v>18.5</v>
      </c>
      <c r="AZ38" s="981" t="s">
        <v>525</v>
      </c>
      <c r="BA38" s="224" t="s">
        <v>526</v>
      </c>
      <c r="BB38" s="225">
        <v>460</v>
      </c>
      <c r="BC38" s="983">
        <v>22</v>
      </c>
      <c r="BD38" s="981" t="s">
        <v>525</v>
      </c>
      <c r="BE38" s="224" t="s">
        <v>526</v>
      </c>
      <c r="BF38" s="225">
        <v>460</v>
      </c>
      <c r="BG38" s="983">
        <v>22</v>
      </c>
      <c r="BH38" s="1002" t="s">
        <v>243</v>
      </c>
      <c r="BI38" s="200" t="s">
        <v>243</v>
      </c>
      <c r="BJ38" s="201" t="s">
        <v>243</v>
      </c>
      <c r="BK38" s="1003" t="s">
        <v>243</v>
      </c>
      <c r="BL38" s="1002" t="s">
        <v>243</v>
      </c>
      <c r="BM38" s="200" t="s">
        <v>243</v>
      </c>
      <c r="BN38" s="200" t="s">
        <v>243</v>
      </c>
      <c r="BO38" s="1003" t="s">
        <v>243</v>
      </c>
      <c r="BP38" s="1002" t="s">
        <v>243</v>
      </c>
      <c r="BQ38" s="200" t="s">
        <v>243</v>
      </c>
      <c r="BR38" s="201" t="s">
        <v>243</v>
      </c>
      <c r="BS38" s="1003" t="s">
        <v>243</v>
      </c>
      <c r="BT38" s="1002" t="s">
        <v>243</v>
      </c>
      <c r="BU38" s="200" t="s">
        <v>243</v>
      </c>
      <c r="BV38" s="201" t="s">
        <v>243</v>
      </c>
      <c r="BW38" s="1003" t="s">
        <v>243</v>
      </c>
      <c r="BX38" s="1002" t="s">
        <v>243</v>
      </c>
      <c r="BY38" s="200" t="s">
        <v>243</v>
      </c>
      <c r="BZ38" s="201" t="s">
        <v>243</v>
      </c>
      <c r="CA38" s="1003" t="s">
        <v>243</v>
      </c>
      <c r="CB38" s="975" t="s">
        <v>536</v>
      </c>
      <c r="CC38" s="216" t="s">
        <v>537</v>
      </c>
      <c r="CD38" s="217">
        <v>160</v>
      </c>
      <c r="CE38" s="977">
        <v>7.5</v>
      </c>
      <c r="CF38" s="972" t="s">
        <v>527</v>
      </c>
      <c r="CG38" s="206" t="s">
        <v>528</v>
      </c>
      <c r="CH38" s="207">
        <v>128</v>
      </c>
      <c r="CI38" s="974">
        <v>15</v>
      </c>
      <c r="CJ38" s="972" t="s">
        <v>527</v>
      </c>
      <c r="CK38" s="206" t="s">
        <v>528</v>
      </c>
      <c r="CL38" s="207">
        <v>128</v>
      </c>
      <c r="CM38" s="974">
        <v>18.5</v>
      </c>
      <c r="CN38" s="975" t="s">
        <v>536</v>
      </c>
      <c r="CO38" s="216" t="s">
        <v>537</v>
      </c>
      <c r="CP38" s="217">
        <v>160</v>
      </c>
      <c r="CQ38" s="977">
        <v>22</v>
      </c>
      <c r="CR38" s="1002" t="s">
        <v>243</v>
      </c>
      <c r="CS38" s="200" t="s">
        <v>243</v>
      </c>
      <c r="CT38" s="201" t="s">
        <v>243</v>
      </c>
      <c r="CU38" s="1003" t="s">
        <v>243</v>
      </c>
    </row>
    <row r="39" spans="2:99">
      <c r="B39" s="954">
        <v>36000</v>
      </c>
      <c r="C39" s="955">
        <v>10000</v>
      </c>
      <c r="D39" s="975" t="s">
        <v>538</v>
      </c>
      <c r="E39" s="218" t="s">
        <v>539</v>
      </c>
      <c r="F39" s="219">
        <v>135</v>
      </c>
      <c r="G39" s="976">
        <v>7.5</v>
      </c>
      <c r="H39" s="975" t="s">
        <v>538</v>
      </c>
      <c r="I39" s="218" t="s">
        <v>540</v>
      </c>
      <c r="J39" s="219">
        <v>135</v>
      </c>
      <c r="K39" s="976">
        <v>15</v>
      </c>
      <c r="L39" s="975" t="s">
        <v>538</v>
      </c>
      <c r="M39" s="218" t="s">
        <v>540</v>
      </c>
      <c r="N39" s="219">
        <v>135</v>
      </c>
      <c r="O39" s="976">
        <v>18.5</v>
      </c>
      <c r="P39" s="960" t="s">
        <v>243</v>
      </c>
      <c r="Q39" s="192" t="s">
        <v>243</v>
      </c>
      <c r="R39" s="193" t="s">
        <v>243</v>
      </c>
      <c r="S39" s="961" t="s">
        <v>243</v>
      </c>
      <c r="T39" s="975" t="s">
        <v>530</v>
      </c>
      <c r="U39" s="218" t="s">
        <v>531</v>
      </c>
      <c r="V39" s="219">
        <v>570</v>
      </c>
      <c r="W39" s="976">
        <v>7.5</v>
      </c>
      <c r="X39" s="975" t="s">
        <v>530</v>
      </c>
      <c r="Y39" s="218" t="s">
        <v>531</v>
      </c>
      <c r="Z39" s="219">
        <v>570</v>
      </c>
      <c r="AA39" s="219">
        <v>15</v>
      </c>
      <c r="AB39" s="975" t="s">
        <v>530</v>
      </c>
      <c r="AC39" s="218" t="s">
        <v>531</v>
      </c>
      <c r="AD39" s="219">
        <v>570</v>
      </c>
      <c r="AE39" s="976">
        <v>18.5</v>
      </c>
      <c r="AF39" s="975" t="s">
        <v>530</v>
      </c>
      <c r="AG39" s="218" t="s">
        <v>531</v>
      </c>
      <c r="AH39" s="219">
        <v>570</v>
      </c>
      <c r="AI39" s="976">
        <v>25</v>
      </c>
      <c r="AJ39" s="975" t="s">
        <v>530</v>
      </c>
      <c r="AK39" s="218" t="s">
        <v>531</v>
      </c>
      <c r="AL39" s="219">
        <v>570</v>
      </c>
      <c r="AM39" s="976">
        <v>30</v>
      </c>
      <c r="AN39" s="966" t="s">
        <v>534</v>
      </c>
      <c r="AO39" s="208" t="s">
        <v>535</v>
      </c>
      <c r="AP39" s="209">
        <v>870</v>
      </c>
      <c r="AQ39" s="967">
        <v>7.5</v>
      </c>
      <c r="AR39" s="966" t="s">
        <v>534</v>
      </c>
      <c r="AS39" s="208" t="s">
        <v>535</v>
      </c>
      <c r="AT39" s="209">
        <v>870</v>
      </c>
      <c r="AU39" s="967">
        <v>15</v>
      </c>
      <c r="AV39" s="963" t="s">
        <v>532</v>
      </c>
      <c r="AW39" s="196" t="s">
        <v>533</v>
      </c>
      <c r="AX39" s="197">
        <v>560</v>
      </c>
      <c r="AY39" s="964">
        <v>18.5</v>
      </c>
      <c r="AZ39" s="963" t="s">
        <v>532</v>
      </c>
      <c r="BA39" s="196" t="s">
        <v>533</v>
      </c>
      <c r="BB39" s="197">
        <v>560</v>
      </c>
      <c r="BC39" s="964">
        <v>25</v>
      </c>
      <c r="BD39" s="963" t="s">
        <v>532</v>
      </c>
      <c r="BE39" s="196" t="s">
        <v>533</v>
      </c>
      <c r="BF39" s="197">
        <v>560</v>
      </c>
      <c r="BG39" s="964">
        <v>30</v>
      </c>
      <c r="BH39" s="1002" t="s">
        <v>243</v>
      </c>
      <c r="BI39" s="194" t="s">
        <v>243</v>
      </c>
      <c r="BJ39" s="195" t="s">
        <v>243</v>
      </c>
      <c r="BK39" s="1004" t="s">
        <v>243</v>
      </c>
      <c r="BL39" s="1002" t="s">
        <v>243</v>
      </c>
      <c r="BM39" s="194" t="s">
        <v>243</v>
      </c>
      <c r="BN39" s="194" t="s">
        <v>243</v>
      </c>
      <c r="BO39" s="1004" t="s">
        <v>243</v>
      </c>
      <c r="BP39" s="1002" t="s">
        <v>243</v>
      </c>
      <c r="BQ39" s="194" t="s">
        <v>243</v>
      </c>
      <c r="BR39" s="195" t="s">
        <v>243</v>
      </c>
      <c r="BS39" s="1004" t="s">
        <v>243</v>
      </c>
      <c r="BT39" s="1002" t="s">
        <v>243</v>
      </c>
      <c r="BU39" s="194" t="s">
        <v>243</v>
      </c>
      <c r="BV39" s="195" t="s">
        <v>243</v>
      </c>
      <c r="BW39" s="1004" t="s">
        <v>243</v>
      </c>
      <c r="BX39" s="1002" t="s">
        <v>243</v>
      </c>
      <c r="BY39" s="194" t="s">
        <v>243</v>
      </c>
      <c r="BZ39" s="195" t="s">
        <v>243</v>
      </c>
      <c r="CA39" s="1004" t="s">
        <v>243</v>
      </c>
      <c r="CB39" s="975" t="s">
        <v>536</v>
      </c>
      <c r="CC39" s="218" t="s">
        <v>537</v>
      </c>
      <c r="CD39" s="219">
        <v>160</v>
      </c>
      <c r="CE39" s="976">
        <v>7.5</v>
      </c>
      <c r="CF39" s="972" t="s">
        <v>527</v>
      </c>
      <c r="CG39" s="212" t="s">
        <v>528</v>
      </c>
      <c r="CH39" s="213">
        <v>128</v>
      </c>
      <c r="CI39" s="973">
        <v>15</v>
      </c>
      <c r="CJ39" s="972" t="s">
        <v>527</v>
      </c>
      <c r="CK39" s="212" t="s">
        <v>528</v>
      </c>
      <c r="CL39" s="213">
        <v>128</v>
      </c>
      <c r="CM39" s="973">
        <v>18.5</v>
      </c>
      <c r="CN39" s="975" t="s">
        <v>536</v>
      </c>
      <c r="CO39" s="218" t="s">
        <v>537</v>
      </c>
      <c r="CP39" s="219">
        <v>160</v>
      </c>
      <c r="CQ39" s="976">
        <v>25</v>
      </c>
      <c r="CR39" s="1002" t="s">
        <v>243</v>
      </c>
      <c r="CS39" s="194" t="s">
        <v>243</v>
      </c>
      <c r="CT39" s="195" t="s">
        <v>243</v>
      </c>
      <c r="CU39" s="1004" t="s">
        <v>243</v>
      </c>
    </row>
    <row r="40" spans="2:99">
      <c r="B40" s="952">
        <v>40000</v>
      </c>
      <c r="C40" s="953">
        <v>11111.111111111111</v>
      </c>
      <c r="D40" s="975" t="s">
        <v>538</v>
      </c>
      <c r="E40" s="216" t="s">
        <v>539</v>
      </c>
      <c r="F40" s="217">
        <v>135</v>
      </c>
      <c r="G40" s="977">
        <v>9</v>
      </c>
      <c r="H40" s="975" t="s">
        <v>538</v>
      </c>
      <c r="I40" s="216" t="s">
        <v>540</v>
      </c>
      <c r="J40" s="217">
        <v>135</v>
      </c>
      <c r="K40" s="977">
        <v>18.5</v>
      </c>
      <c r="L40" s="975" t="s">
        <v>538</v>
      </c>
      <c r="M40" s="216" t="s">
        <v>540</v>
      </c>
      <c r="N40" s="217">
        <v>135</v>
      </c>
      <c r="O40" s="977">
        <v>22</v>
      </c>
      <c r="P40" s="960" t="s">
        <v>243</v>
      </c>
      <c r="Q40" s="198" t="s">
        <v>243</v>
      </c>
      <c r="R40" s="199" t="s">
        <v>243</v>
      </c>
      <c r="S40" s="962" t="s">
        <v>243</v>
      </c>
      <c r="T40" s="978" t="s">
        <v>541</v>
      </c>
      <c r="U40" s="220" t="s">
        <v>542</v>
      </c>
      <c r="V40" s="221">
        <v>720</v>
      </c>
      <c r="W40" s="980">
        <v>9</v>
      </c>
      <c r="X40" s="975" t="s">
        <v>530</v>
      </c>
      <c r="Y40" s="216" t="s">
        <v>531</v>
      </c>
      <c r="Z40" s="217">
        <v>570</v>
      </c>
      <c r="AA40" s="217">
        <v>18.5</v>
      </c>
      <c r="AB40" s="975" t="s">
        <v>530</v>
      </c>
      <c r="AC40" s="216" t="s">
        <v>531</v>
      </c>
      <c r="AD40" s="217">
        <v>570</v>
      </c>
      <c r="AE40" s="977">
        <v>22</v>
      </c>
      <c r="AF40" s="975" t="s">
        <v>530</v>
      </c>
      <c r="AG40" s="216" t="s">
        <v>531</v>
      </c>
      <c r="AH40" s="217">
        <v>570</v>
      </c>
      <c r="AI40" s="977">
        <v>30</v>
      </c>
      <c r="AJ40" s="978" t="s">
        <v>541</v>
      </c>
      <c r="AK40" s="220" t="s">
        <v>542</v>
      </c>
      <c r="AL40" s="221">
        <v>720</v>
      </c>
      <c r="AM40" s="980">
        <v>33</v>
      </c>
      <c r="AN40" s="966" t="s">
        <v>534</v>
      </c>
      <c r="AO40" s="202" t="s">
        <v>535</v>
      </c>
      <c r="AP40" s="203">
        <v>870</v>
      </c>
      <c r="AQ40" s="968">
        <v>9</v>
      </c>
      <c r="AR40" s="966" t="s">
        <v>534</v>
      </c>
      <c r="AS40" s="202" t="s">
        <v>535</v>
      </c>
      <c r="AT40" s="203">
        <v>870</v>
      </c>
      <c r="AU40" s="968">
        <v>18.5</v>
      </c>
      <c r="AV40" s="966" t="s">
        <v>534</v>
      </c>
      <c r="AW40" s="202" t="s">
        <v>535</v>
      </c>
      <c r="AX40" s="203">
        <v>870</v>
      </c>
      <c r="AY40" s="968">
        <v>22</v>
      </c>
      <c r="AZ40" s="963" t="s">
        <v>532</v>
      </c>
      <c r="BA40" s="214" t="s">
        <v>533</v>
      </c>
      <c r="BB40" s="215">
        <v>560</v>
      </c>
      <c r="BC40" s="965">
        <v>30</v>
      </c>
      <c r="BD40" s="966" t="s">
        <v>534</v>
      </c>
      <c r="BE40" s="202" t="s">
        <v>535</v>
      </c>
      <c r="BF40" s="203">
        <v>870</v>
      </c>
      <c r="BG40" s="968">
        <v>33</v>
      </c>
      <c r="BH40" s="1002" t="s">
        <v>243</v>
      </c>
      <c r="BI40" s="200" t="s">
        <v>243</v>
      </c>
      <c r="BJ40" s="201" t="s">
        <v>243</v>
      </c>
      <c r="BK40" s="1003" t="s">
        <v>243</v>
      </c>
      <c r="BL40" s="1002" t="s">
        <v>243</v>
      </c>
      <c r="BM40" s="200" t="s">
        <v>243</v>
      </c>
      <c r="BN40" s="200" t="s">
        <v>243</v>
      </c>
      <c r="BO40" s="1003" t="s">
        <v>243</v>
      </c>
      <c r="BP40" s="1002" t="s">
        <v>243</v>
      </c>
      <c r="BQ40" s="200" t="s">
        <v>243</v>
      </c>
      <c r="BR40" s="201" t="s">
        <v>243</v>
      </c>
      <c r="BS40" s="1003" t="s">
        <v>243</v>
      </c>
      <c r="BT40" s="1002" t="s">
        <v>243</v>
      </c>
      <c r="BU40" s="200" t="s">
        <v>243</v>
      </c>
      <c r="BV40" s="201" t="s">
        <v>243</v>
      </c>
      <c r="BW40" s="1003" t="s">
        <v>243</v>
      </c>
      <c r="BX40" s="1002" t="s">
        <v>243</v>
      </c>
      <c r="BY40" s="200" t="s">
        <v>243</v>
      </c>
      <c r="BZ40" s="201" t="s">
        <v>243</v>
      </c>
      <c r="CA40" s="1003" t="s">
        <v>243</v>
      </c>
      <c r="CB40" s="975" t="s">
        <v>536</v>
      </c>
      <c r="CC40" s="216" t="s">
        <v>537</v>
      </c>
      <c r="CD40" s="217">
        <v>160</v>
      </c>
      <c r="CE40" s="977">
        <v>9</v>
      </c>
      <c r="CF40" s="972" t="s">
        <v>527</v>
      </c>
      <c r="CG40" s="206" t="s">
        <v>528</v>
      </c>
      <c r="CH40" s="207">
        <v>128</v>
      </c>
      <c r="CI40" s="974">
        <v>18.5</v>
      </c>
      <c r="CJ40" s="975" t="s">
        <v>536</v>
      </c>
      <c r="CK40" s="216" t="s">
        <v>537</v>
      </c>
      <c r="CL40" s="217">
        <v>160</v>
      </c>
      <c r="CM40" s="977">
        <v>22</v>
      </c>
      <c r="CN40" s="975" t="s">
        <v>536</v>
      </c>
      <c r="CO40" s="216" t="s">
        <v>537</v>
      </c>
      <c r="CP40" s="217">
        <v>160</v>
      </c>
      <c r="CQ40" s="977">
        <v>30</v>
      </c>
      <c r="CR40" s="978" t="s">
        <v>543</v>
      </c>
      <c r="CS40" s="220" t="s">
        <v>544</v>
      </c>
      <c r="CT40" s="221">
        <v>225</v>
      </c>
      <c r="CU40" s="980">
        <v>33</v>
      </c>
    </row>
    <row r="41" spans="2:99">
      <c r="B41" s="954">
        <v>48000</v>
      </c>
      <c r="C41" s="955">
        <v>13333.333333333332</v>
      </c>
      <c r="D41" s="978" t="s">
        <v>545</v>
      </c>
      <c r="E41" s="222" t="s">
        <v>546</v>
      </c>
      <c r="F41" s="223">
        <v>170</v>
      </c>
      <c r="G41" s="979">
        <v>11</v>
      </c>
      <c r="H41" s="975" t="s">
        <v>538</v>
      </c>
      <c r="I41" s="218" t="s">
        <v>540</v>
      </c>
      <c r="J41" s="219">
        <v>135</v>
      </c>
      <c r="K41" s="976">
        <v>18.5</v>
      </c>
      <c r="L41" s="978" t="s">
        <v>545</v>
      </c>
      <c r="M41" s="222" t="s">
        <v>547</v>
      </c>
      <c r="N41" s="223">
        <v>170</v>
      </c>
      <c r="O41" s="979">
        <v>25</v>
      </c>
      <c r="P41" s="978" t="s">
        <v>545</v>
      </c>
      <c r="Q41" s="222" t="s">
        <v>547</v>
      </c>
      <c r="R41" s="223">
        <v>170</v>
      </c>
      <c r="S41" s="979">
        <v>33</v>
      </c>
      <c r="T41" s="981" t="s">
        <v>548</v>
      </c>
      <c r="U41" s="226" t="s">
        <v>549</v>
      </c>
      <c r="V41" s="227">
        <v>890</v>
      </c>
      <c r="W41" s="982">
        <v>11</v>
      </c>
      <c r="X41" s="978" t="s">
        <v>541</v>
      </c>
      <c r="Y41" s="222" t="s">
        <v>542</v>
      </c>
      <c r="Z41" s="223">
        <v>720</v>
      </c>
      <c r="AA41" s="223">
        <v>18.5</v>
      </c>
      <c r="AB41" s="978" t="s">
        <v>541</v>
      </c>
      <c r="AC41" s="222" t="s">
        <v>542</v>
      </c>
      <c r="AD41" s="223">
        <v>720</v>
      </c>
      <c r="AE41" s="979">
        <v>25</v>
      </c>
      <c r="AF41" s="978" t="s">
        <v>541</v>
      </c>
      <c r="AG41" s="222" t="s">
        <v>542</v>
      </c>
      <c r="AH41" s="223">
        <v>720</v>
      </c>
      <c r="AI41" s="979">
        <v>33</v>
      </c>
      <c r="AJ41" s="981" t="s">
        <v>548</v>
      </c>
      <c r="AK41" s="226" t="s">
        <v>549</v>
      </c>
      <c r="AL41" s="227">
        <v>890</v>
      </c>
      <c r="AM41" s="982">
        <v>37</v>
      </c>
      <c r="AN41" s="966" t="s">
        <v>534</v>
      </c>
      <c r="AO41" s="208" t="s">
        <v>535</v>
      </c>
      <c r="AP41" s="209">
        <v>870</v>
      </c>
      <c r="AQ41" s="967">
        <v>11</v>
      </c>
      <c r="AR41" s="966" t="s">
        <v>534</v>
      </c>
      <c r="AS41" s="208" t="s">
        <v>535</v>
      </c>
      <c r="AT41" s="209">
        <v>870</v>
      </c>
      <c r="AU41" s="967">
        <v>18.5</v>
      </c>
      <c r="AV41" s="966" t="s">
        <v>534</v>
      </c>
      <c r="AW41" s="208" t="s">
        <v>535</v>
      </c>
      <c r="AX41" s="209">
        <v>870</v>
      </c>
      <c r="AY41" s="967">
        <v>25</v>
      </c>
      <c r="AZ41" s="966" t="s">
        <v>534</v>
      </c>
      <c r="BA41" s="208" t="s">
        <v>535</v>
      </c>
      <c r="BB41" s="209">
        <v>870</v>
      </c>
      <c r="BC41" s="967">
        <v>33</v>
      </c>
      <c r="BD41" s="966" t="s">
        <v>534</v>
      </c>
      <c r="BE41" s="208" t="s">
        <v>535</v>
      </c>
      <c r="BF41" s="209">
        <v>870</v>
      </c>
      <c r="BG41" s="967">
        <v>37</v>
      </c>
      <c r="BH41" s="1002" t="s">
        <v>243</v>
      </c>
      <c r="BI41" s="194" t="s">
        <v>243</v>
      </c>
      <c r="BJ41" s="195" t="s">
        <v>243</v>
      </c>
      <c r="BK41" s="1004" t="s">
        <v>243</v>
      </c>
      <c r="BL41" s="1002" t="s">
        <v>243</v>
      </c>
      <c r="BM41" s="194" t="s">
        <v>243</v>
      </c>
      <c r="BN41" s="194" t="s">
        <v>243</v>
      </c>
      <c r="BO41" s="1004" t="s">
        <v>243</v>
      </c>
      <c r="BP41" s="1002" t="s">
        <v>243</v>
      </c>
      <c r="BQ41" s="194" t="s">
        <v>243</v>
      </c>
      <c r="BR41" s="195" t="s">
        <v>243</v>
      </c>
      <c r="BS41" s="1004" t="s">
        <v>243</v>
      </c>
      <c r="BT41" s="1002" t="s">
        <v>243</v>
      </c>
      <c r="BU41" s="194" t="s">
        <v>243</v>
      </c>
      <c r="BV41" s="195" t="s">
        <v>243</v>
      </c>
      <c r="BW41" s="1004" t="s">
        <v>243</v>
      </c>
      <c r="BX41" s="1002" t="s">
        <v>243</v>
      </c>
      <c r="BY41" s="194" t="s">
        <v>243</v>
      </c>
      <c r="BZ41" s="195" t="s">
        <v>243</v>
      </c>
      <c r="CA41" s="1004" t="s">
        <v>243</v>
      </c>
      <c r="CB41" s="975" t="s">
        <v>536</v>
      </c>
      <c r="CC41" s="218" t="s">
        <v>537</v>
      </c>
      <c r="CD41" s="219">
        <v>160</v>
      </c>
      <c r="CE41" s="976">
        <v>11</v>
      </c>
      <c r="CF41" s="975" t="s">
        <v>536</v>
      </c>
      <c r="CG41" s="218" t="s">
        <v>537</v>
      </c>
      <c r="CH41" s="219">
        <v>160</v>
      </c>
      <c r="CI41" s="976">
        <v>18.5</v>
      </c>
      <c r="CJ41" s="975" t="s">
        <v>536</v>
      </c>
      <c r="CK41" s="218" t="s">
        <v>537</v>
      </c>
      <c r="CL41" s="219">
        <v>160</v>
      </c>
      <c r="CM41" s="976">
        <v>25</v>
      </c>
      <c r="CN41" s="975" t="s">
        <v>536</v>
      </c>
      <c r="CO41" s="218" t="s">
        <v>537</v>
      </c>
      <c r="CP41" s="219">
        <v>160</v>
      </c>
      <c r="CQ41" s="976">
        <v>33</v>
      </c>
      <c r="CR41" s="978" t="s">
        <v>543</v>
      </c>
      <c r="CS41" s="222" t="s">
        <v>544</v>
      </c>
      <c r="CT41" s="223">
        <v>225</v>
      </c>
      <c r="CU41" s="979">
        <v>37</v>
      </c>
    </row>
    <row r="42" spans="2:99">
      <c r="B42" s="952">
        <v>56000</v>
      </c>
      <c r="C42" s="953">
        <v>15555.555555555555</v>
      </c>
      <c r="D42" s="978" t="s">
        <v>545</v>
      </c>
      <c r="E42" s="220" t="s">
        <v>546</v>
      </c>
      <c r="F42" s="221">
        <v>170</v>
      </c>
      <c r="G42" s="980">
        <v>11</v>
      </c>
      <c r="H42" s="978" t="s">
        <v>545</v>
      </c>
      <c r="I42" s="220" t="s">
        <v>547</v>
      </c>
      <c r="J42" s="221">
        <v>170</v>
      </c>
      <c r="K42" s="980">
        <v>22</v>
      </c>
      <c r="L42" s="978" t="s">
        <v>545</v>
      </c>
      <c r="M42" s="220" t="s">
        <v>547</v>
      </c>
      <c r="N42" s="221">
        <v>170</v>
      </c>
      <c r="O42" s="980">
        <v>30</v>
      </c>
      <c r="P42" s="978" t="s">
        <v>545</v>
      </c>
      <c r="Q42" s="220" t="s">
        <v>547</v>
      </c>
      <c r="R42" s="221">
        <v>170</v>
      </c>
      <c r="S42" s="980">
        <v>37</v>
      </c>
      <c r="T42" s="981" t="s">
        <v>548</v>
      </c>
      <c r="U42" s="224" t="s">
        <v>549</v>
      </c>
      <c r="V42" s="225">
        <v>890</v>
      </c>
      <c r="W42" s="983">
        <v>11</v>
      </c>
      <c r="X42" s="981" t="s">
        <v>548</v>
      </c>
      <c r="Y42" s="224" t="s">
        <v>549</v>
      </c>
      <c r="Z42" s="225">
        <v>890</v>
      </c>
      <c r="AA42" s="225">
        <v>22</v>
      </c>
      <c r="AB42" s="981" t="s">
        <v>548</v>
      </c>
      <c r="AC42" s="224" t="s">
        <v>549</v>
      </c>
      <c r="AD42" s="225">
        <v>890</v>
      </c>
      <c r="AE42" s="983">
        <v>30</v>
      </c>
      <c r="AF42" s="981" t="s">
        <v>548</v>
      </c>
      <c r="AG42" s="224" t="s">
        <v>549</v>
      </c>
      <c r="AH42" s="225">
        <v>890</v>
      </c>
      <c r="AI42" s="983">
        <v>37</v>
      </c>
      <c r="AJ42" s="981" t="s">
        <v>548</v>
      </c>
      <c r="AK42" s="224" t="s">
        <v>549</v>
      </c>
      <c r="AL42" s="225">
        <v>890</v>
      </c>
      <c r="AM42" s="983">
        <v>45</v>
      </c>
      <c r="AN42" s="966" t="s">
        <v>534</v>
      </c>
      <c r="AO42" s="202" t="s">
        <v>535</v>
      </c>
      <c r="AP42" s="203">
        <v>870</v>
      </c>
      <c r="AQ42" s="968">
        <v>11</v>
      </c>
      <c r="AR42" s="966" t="s">
        <v>534</v>
      </c>
      <c r="AS42" s="202" t="s">
        <v>535</v>
      </c>
      <c r="AT42" s="203">
        <v>870</v>
      </c>
      <c r="AU42" s="968">
        <v>22</v>
      </c>
      <c r="AV42" s="966" t="s">
        <v>534</v>
      </c>
      <c r="AW42" s="202" t="s">
        <v>535</v>
      </c>
      <c r="AX42" s="203">
        <v>870</v>
      </c>
      <c r="AY42" s="968">
        <v>30</v>
      </c>
      <c r="AZ42" s="966" t="s">
        <v>534</v>
      </c>
      <c r="BA42" s="202" t="s">
        <v>535</v>
      </c>
      <c r="BB42" s="203">
        <v>870</v>
      </c>
      <c r="BC42" s="968">
        <v>37</v>
      </c>
      <c r="BD42" s="960" t="s">
        <v>550</v>
      </c>
      <c r="BE42" s="198" t="s">
        <v>551</v>
      </c>
      <c r="BF42" s="199">
        <v>1110</v>
      </c>
      <c r="BG42" s="962">
        <v>45</v>
      </c>
      <c r="BH42" s="1002" t="s">
        <v>243</v>
      </c>
      <c r="BI42" s="200" t="s">
        <v>243</v>
      </c>
      <c r="BJ42" s="201" t="s">
        <v>243</v>
      </c>
      <c r="BK42" s="1003" t="s">
        <v>243</v>
      </c>
      <c r="BL42" s="1002" t="s">
        <v>243</v>
      </c>
      <c r="BM42" s="200" t="s">
        <v>243</v>
      </c>
      <c r="BN42" s="200" t="s">
        <v>243</v>
      </c>
      <c r="BO42" s="1003" t="s">
        <v>243</v>
      </c>
      <c r="BP42" s="1002" t="s">
        <v>243</v>
      </c>
      <c r="BQ42" s="200" t="s">
        <v>243</v>
      </c>
      <c r="BR42" s="201" t="s">
        <v>243</v>
      </c>
      <c r="BS42" s="1003" t="s">
        <v>243</v>
      </c>
      <c r="BT42" s="1002" t="s">
        <v>243</v>
      </c>
      <c r="BU42" s="200" t="s">
        <v>243</v>
      </c>
      <c r="BV42" s="201" t="s">
        <v>243</v>
      </c>
      <c r="BW42" s="1003" t="s">
        <v>243</v>
      </c>
      <c r="BX42" s="1002" t="s">
        <v>243</v>
      </c>
      <c r="BY42" s="200" t="s">
        <v>243</v>
      </c>
      <c r="BZ42" s="201" t="s">
        <v>243</v>
      </c>
      <c r="CA42" s="1003" t="s">
        <v>243</v>
      </c>
      <c r="CB42" s="978" t="s">
        <v>543</v>
      </c>
      <c r="CC42" s="220" t="s">
        <v>544</v>
      </c>
      <c r="CD42" s="221">
        <v>225</v>
      </c>
      <c r="CE42" s="980">
        <v>11</v>
      </c>
      <c r="CF42" s="975" t="s">
        <v>536</v>
      </c>
      <c r="CG42" s="216" t="s">
        <v>537</v>
      </c>
      <c r="CH42" s="217">
        <v>160</v>
      </c>
      <c r="CI42" s="977">
        <v>22</v>
      </c>
      <c r="CJ42" s="975" t="s">
        <v>536</v>
      </c>
      <c r="CK42" s="216" t="s">
        <v>537</v>
      </c>
      <c r="CL42" s="217">
        <v>160</v>
      </c>
      <c r="CM42" s="977">
        <v>30</v>
      </c>
      <c r="CN42" s="978" t="s">
        <v>543</v>
      </c>
      <c r="CO42" s="220" t="s">
        <v>544</v>
      </c>
      <c r="CP42" s="221">
        <v>225</v>
      </c>
      <c r="CQ42" s="980">
        <v>37</v>
      </c>
      <c r="CR42" s="978" t="s">
        <v>543</v>
      </c>
      <c r="CS42" s="220" t="s">
        <v>544</v>
      </c>
      <c r="CT42" s="221">
        <v>225</v>
      </c>
      <c r="CU42" s="980">
        <v>45</v>
      </c>
    </row>
    <row r="43" spans="2:99">
      <c r="B43" s="954">
        <v>64000</v>
      </c>
      <c r="C43" s="955">
        <v>17777.777777777777</v>
      </c>
      <c r="D43" s="981" t="s">
        <v>552</v>
      </c>
      <c r="E43" s="226" t="s">
        <v>553</v>
      </c>
      <c r="F43" s="227">
        <v>220</v>
      </c>
      <c r="G43" s="982">
        <v>15</v>
      </c>
      <c r="H43" s="978" t="s">
        <v>545</v>
      </c>
      <c r="I43" s="222" t="s">
        <v>547</v>
      </c>
      <c r="J43" s="223">
        <v>170</v>
      </c>
      <c r="K43" s="979">
        <v>25</v>
      </c>
      <c r="L43" s="981" t="s">
        <v>552</v>
      </c>
      <c r="M43" s="226" t="s">
        <v>553</v>
      </c>
      <c r="N43" s="227">
        <v>220</v>
      </c>
      <c r="O43" s="982">
        <v>33</v>
      </c>
      <c r="P43" s="960" t="s">
        <v>243</v>
      </c>
      <c r="Q43" s="192" t="s">
        <v>243</v>
      </c>
      <c r="R43" s="193" t="s">
        <v>243</v>
      </c>
      <c r="S43" s="961" t="s">
        <v>243</v>
      </c>
      <c r="T43" s="963" t="s">
        <v>554</v>
      </c>
      <c r="U43" s="196" t="s">
        <v>555</v>
      </c>
      <c r="V43" s="197">
        <v>1320</v>
      </c>
      <c r="W43" s="964">
        <v>15</v>
      </c>
      <c r="X43" s="963" t="s">
        <v>554</v>
      </c>
      <c r="Y43" s="196" t="s">
        <v>555</v>
      </c>
      <c r="Z43" s="197">
        <v>1320</v>
      </c>
      <c r="AA43" s="197">
        <v>25</v>
      </c>
      <c r="AB43" s="963" t="s">
        <v>554</v>
      </c>
      <c r="AC43" s="196" t="s">
        <v>555</v>
      </c>
      <c r="AD43" s="197">
        <v>1320</v>
      </c>
      <c r="AE43" s="964">
        <v>33</v>
      </c>
      <c r="AF43" s="963" t="s">
        <v>554</v>
      </c>
      <c r="AG43" s="196" t="s">
        <v>555</v>
      </c>
      <c r="AH43" s="197">
        <v>1320</v>
      </c>
      <c r="AI43" s="964">
        <v>45</v>
      </c>
      <c r="AJ43" s="963" t="s">
        <v>554</v>
      </c>
      <c r="AK43" s="196" t="s">
        <v>555</v>
      </c>
      <c r="AL43" s="197">
        <v>1320</v>
      </c>
      <c r="AM43" s="964">
        <v>55</v>
      </c>
      <c r="AN43" s="960" t="s">
        <v>550</v>
      </c>
      <c r="AO43" s="192" t="s">
        <v>551</v>
      </c>
      <c r="AP43" s="193">
        <v>1110</v>
      </c>
      <c r="AQ43" s="961">
        <v>15</v>
      </c>
      <c r="AR43" s="960" t="s">
        <v>550</v>
      </c>
      <c r="AS43" s="192" t="s">
        <v>551</v>
      </c>
      <c r="AT43" s="193">
        <v>1110</v>
      </c>
      <c r="AU43" s="961">
        <v>25</v>
      </c>
      <c r="AV43" s="960" t="s">
        <v>550</v>
      </c>
      <c r="AW43" s="192" t="s">
        <v>551</v>
      </c>
      <c r="AX43" s="193">
        <v>1110</v>
      </c>
      <c r="AY43" s="961">
        <v>33</v>
      </c>
      <c r="AZ43" s="960" t="s">
        <v>550</v>
      </c>
      <c r="BA43" s="192" t="s">
        <v>551</v>
      </c>
      <c r="BB43" s="193">
        <v>1110</v>
      </c>
      <c r="BC43" s="961">
        <v>45</v>
      </c>
      <c r="BD43" s="969" t="s">
        <v>556</v>
      </c>
      <c r="BE43" s="210" t="s">
        <v>557</v>
      </c>
      <c r="BF43" s="211">
        <v>1540</v>
      </c>
      <c r="BG43" s="971">
        <v>55</v>
      </c>
      <c r="BH43" s="1002" t="s">
        <v>243</v>
      </c>
      <c r="BI43" s="194" t="s">
        <v>243</v>
      </c>
      <c r="BJ43" s="195" t="s">
        <v>243</v>
      </c>
      <c r="BK43" s="1004" t="s">
        <v>243</v>
      </c>
      <c r="BL43" s="1002" t="s">
        <v>243</v>
      </c>
      <c r="BM43" s="194" t="s">
        <v>243</v>
      </c>
      <c r="BN43" s="194" t="s">
        <v>243</v>
      </c>
      <c r="BO43" s="1004" t="s">
        <v>243</v>
      </c>
      <c r="BP43" s="1002" t="s">
        <v>243</v>
      </c>
      <c r="BQ43" s="194" t="s">
        <v>243</v>
      </c>
      <c r="BR43" s="195" t="s">
        <v>243</v>
      </c>
      <c r="BS43" s="1004" t="s">
        <v>243</v>
      </c>
      <c r="BT43" s="1002" t="s">
        <v>243</v>
      </c>
      <c r="BU43" s="194" t="s">
        <v>243</v>
      </c>
      <c r="BV43" s="195" t="s">
        <v>243</v>
      </c>
      <c r="BW43" s="1004" t="s">
        <v>243</v>
      </c>
      <c r="BX43" s="1002" t="s">
        <v>243</v>
      </c>
      <c r="BY43" s="194" t="s">
        <v>243</v>
      </c>
      <c r="BZ43" s="195" t="s">
        <v>243</v>
      </c>
      <c r="CA43" s="1004" t="s">
        <v>243</v>
      </c>
      <c r="CB43" s="981" t="s">
        <v>558</v>
      </c>
      <c r="CC43" s="226" t="s">
        <v>559</v>
      </c>
      <c r="CD43" s="227">
        <v>295</v>
      </c>
      <c r="CE43" s="982">
        <v>15</v>
      </c>
      <c r="CF43" s="978" t="s">
        <v>543</v>
      </c>
      <c r="CG43" s="222" t="s">
        <v>544</v>
      </c>
      <c r="CH43" s="223">
        <v>225</v>
      </c>
      <c r="CI43" s="979">
        <v>25</v>
      </c>
      <c r="CJ43" s="978" t="s">
        <v>543</v>
      </c>
      <c r="CK43" s="222" t="s">
        <v>544</v>
      </c>
      <c r="CL43" s="223">
        <v>225</v>
      </c>
      <c r="CM43" s="979">
        <v>33</v>
      </c>
      <c r="CN43" s="978" t="s">
        <v>543</v>
      </c>
      <c r="CO43" s="222" t="s">
        <v>544</v>
      </c>
      <c r="CP43" s="223">
        <v>225</v>
      </c>
      <c r="CQ43" s="979">
        <v>45</v>
      </c>
      <c r="CR43" s="978" t="s">
        <v>543</v>
      </c>
      <c r="CS43" s="222" t="s">
        <v>544</v>
      </c>
      <c r="CT43" s="223">
        <v>225</v>
      </c>
      <c r="CU43" s="979">
        <v>55</v>
      </c>
    </row>
    <row r="44" spans="2:99">
      <c r="B44" s="952">
        <v>72000</v>
      </c>
      <c r="C44" s="953">
        <v>20000</v>
      </c>
      <c r="D44" s="981" t="s">
        <v>552</v>
      </c>
      <c r="E44" s="224" t="s">
        <v>553</v>
      </c>
      <c r="F44" s="225">
        <v>220</v>
      </c>
      <c r="G44" s="983">
        <v>15</v>
      </c>
      <c r="H44" s="981" t="s">
        <v>552</v>
      </c>
      <c r="I44" s="224" t="s">
        <v>553</v>
      </c>
      <c r="J44" s="225">
        <v>220</v>
      </c>
      <c r="K44" s="983">
        <v>30</v>
      </c>
      <c r="L44" s="981" t="s">
        <v>552</v>
      </c>
      <c r="M44" s="224" t="s">
        <v>553</v>
      </c>
      <c r="N44" s="225">
        <v>220</v>
      </c>
      <c r="O44" s="983">
        <v>37</v>
      </c>
      <c r="P44" s="960" t="s">
        <v>243</v>
      </c>
      <c r="Q44" s="198" t="s">
        <v>243</v>
      </c>
      <c r="R44" s="199" t="s">
        <v>243</v>
      </c>
      <c r="S44" s="962" t="s">
        <v>243</v>
      </c>
      <c r="T44" s="963" t="s">
        <v>554</v>
      </c>
      <c r="U44" s="214" t="s">
        <v>555</v>
      </c>
      <c r="V44" s="215">
        <v>1320</v>
      </c>
      <c r="W44" s="965">
        <v>15</v>
      </c>
      <c r="X44" s="963" t="s">
        <v>554</v>
      </c>
      <c r="Y44" s="214" t="s">
        <v>555</v>
      </c>
      <c r="Z44" s="215">
        <v>1320</v>
      </c>
      <c r="AA44" s="215">
        <v>30</v>
      </c>
      <c r="AB44" s="963" t="s">
        <v>554</v>
      </c>
      <c r="AC44" s="214" t="s">
        <v>555</v>
      </c>
      <c r="AD44" s="215">
        <v>1320</v>
      </c>
      <c r="AE44" s="965">
        <v>37</v>
      </c>
      <c r="AF44" s="963" t="s">
        <v>554</v>
      </c>
      <c r="AG44" s="214" t="s">
        <v>555</v>
      </c>
      <c r="AH44" s="215">
        <v>1320</v>
      </c>
      <c r="AI44" s="965">
        <v>55</v>
      </c>
      <c r="AJ44" s="963" t="s">
        <v>554</v>
      </c>
      <c r="AK44" s="214" t="s">
        <v>555</v>
      </c>
      <c r="AL44" s="215">
        <v>1320</v>
      </c>
      <c r="AM44" s="965">
        <v>55</v>
      </c>
      <c r="AN44" s="960" t="s">
        <v>550</v>
      </c>
      <c r="AO44" s="198" t="s">
        <v>551</v>
      </c>
      <c r="AP44" s="199">
        <v>1110</v>
      </c>
      <c r="AQ44" s="962">
        <v>15</v>
      </c>
      <c r="AR44" s="960" t="s">
        <v>550</v>
      </c>
      <c r="AS44" s="198" t="s">
        <v>551</v>
      </c>
      <c r="AT44" s="199">
        <v>1110</v>
      </c>
      <c r="AU44" s="962">
        <v>30</v>
      </c>
      <c r="AV44" s="960" t="s">
        <v>550</v>
      </c>
      <c r="AW44" s="198" t="s">
        <v>551</v>
      </c>
      <c r="AX44" s="199">
        <v>1110</v>
      </c>
      <c r="AY44" s="962">
        <v>37</v>
      </c>
      <c r="AZ44" s="960" t="s">
        <v>556</v>
      </c>
      <c r="BA44" s="198" t="s">
        <v>557</v>
      </c>
      <c r="BB44" s="199">
        <v>1540</v>
      </c>
      <c r="BC44" s="962">
        <v>55</v>
      </c>
      <c r="BD44" s="969" t="s">
        <v>556</v>
      </c>
      <c r="BE44" s="204" t="s">
        <v>557</v>
      </c>
      <c r="BF44" s="205">
        <v>1540</v>
      </c>
      <c r="BG44" s="970">
        <v>55</v>
      </c>
      <c r="BH44" s="1002" t="s">
        <v>243</v>
      </c>
      <c r="BI44" s="200" t="s">
        <v>243</v>
      </c>
      <c r="BJ44" s="201" t="s">
        <v>243</v>
      </c>
      <c r="BK44" s="1003" t="s">
        <v>243</v>
      </c>
      <c r="BL44" s="1002" t="s">
        <v>243</v>
      </c>
      <c r="BM44" s="200" t="s">
        <v>243</v>
      </c>
      <c r="BN44" s="200" t="s">
        <v>243</v>
      </c>
      <c r="BO44" s="1003" t="s">
        <v>243</v>
      </c>
      <c r="BP44" s="1002" t="s">
        <v>243</v>
      </c>
      <c r="BQ44" s="200" t="s">
        <v>243</v>
      </c>
      <c r="BR44" s="201" t="s">
        <v>243</v>
      </c>
      <c r="BS44" s="1003" t="s">
        <v>243</v>
      </c>
      <c r="BT44" s="1002" t="s">
        <v>243</v>
      </c>
      <c r="BU44" s="200" t="s">
        <v>243</v>
      </c>
      <c r="BV44" s="201" t="s">
        <v>243</v>
      </c>
      <c r="BW44" s="1003" t="s">
        <v>243</v>
      </c>
      <c r="BX44" s="1002" t="s">
        <v>243</v>
      </c>
      <c r="BY44" s="200" t="s">
        <v>243</v>
      </c>
      <c r="BZ44" s="201" t="s">
        <v>243</v>
      </c>
      <c r="CA44" s="1003" t="s">
        <v>243</v>
      </c>
      <c r="CB44" s="981" t="s">
        <v>558</v>
      </c>
      <c r="CC44" s="224" t="s">
        <v>559</v>
      </c>
      <c r="CD44" s="225">
        <v>295</v>
      </c>
      <c r="CE44" s="983">
        <v>15</v>
      </c>
      <c r="CF44" s="978" t="s">
        <v>543</v>
      </c>
      <c r="CG44" s="220" t="s">
        <v>544</v>
      </c>
      <c r="CH44" s="221">
        <v>225</v>
      </c>
      <c r="CI44" s="980">
        <v>30</v>
      </c>
      <c r="CJ44" s="978" t="s">
        <v>543</v>
      </c>
      <c r="CK44" s="220" t="s">
        <v>544</v>
      </c>
      <c r="CL44" s="221">
        <v>225</v>
      </c>
      <c r="CM44" s="980">
        <v>37</v>
      </c>
      <c r="CN44" s="978" t="s">
        <v>543</v>
      </c>
      <c r="CO44" s="220" t="s">
        <v>544</v>
      </c>
      <c r="CP44" s="221">
        <v>225</v>
      </c>
      <c r="CQ44" s="980">
        <v>55</v>
      </c>
      <c r="CR44" s="978" t="s">
        <v>543</v>
      </c>
      <c r="CS44" s="220" t="s">
        <v>544</v>
      </c>
      <c r="CT44" s="221">
        <v>225</v>
      </c>
      <c r="CU44" s="980">
        <v>55</v>
      </c>
    </row>
    <row r="45" spans="2:99">
      <c r="B45" s="956">
        <v>80000</v>
      </c>
      <c r="C45" s="957">
        <v>22222.222222222223</v>
      </c>
      <c r="D45" s="984" t="s">
        <v>560</v>
      </c>
      <c r="E45" s="985" t="s">
        <v>561</v>
      </c>
      <c r="F45" s="986">
        <v>275</v>
      </c>
      <c r="G45" s="987">
        <v>18.5</v>
      </c>
      <c r="H45" s="984" t="s">
        <v>560</v>
      </c>
      <c r="I45" s="985" t="s">
        <v>553</v>
      </c>
      <c r="J45" s="986">
        <v>275</v>
      </c>
      <c r="K45" s="987">
        <v>33</v>
      </c>
      <c r="L45" s="992" t="s">
        <v>552</v>
      </c>
      <c r="M45" s="993" t="s">
        <v>553</v>
      </c>
      <c r="N45" s="994">
        <v>220</v>
      </c>
      <c r="O45" s="995">
        <v>45</v>
      </c>
      <c r="P45" s="998" t="s">
        <v>243</v>
      </c>
      <c r="Q45" s="999" t="s">
        <v>243</v>
      </c>
      <c r="R45" s="1000" t="s">
        <v>243</v>
      </c>
      <c r="S45" s="1001" t="s">
        <v>243</v>
      </c>
      <c r="T45" s="1005" t="s">
        <v>562</v>
      </c>
      <c r="U45" s="1006" t="s">
        <v>563</v>
      </c>
      <c r="V45" s="1007">
        <v>1820</v>
      </c>
      <c r="W45" s="1008">
        <v>18.5</v>
      </c>
      <c r="X45" s="984" t="s">
        <v>554</v>
      </c>
      <c r="Y45" s="985" t="s">
        <v>555</v>
      </c>
      <c r="Z45" s="986">
        <v>1320</v>
      </c>
      <c r="AA45" s="986">
        <v>33</v>
      </c>
      <c r="AB45" s="984" t="s">
        <v>554</v>
      </c>
      <c r="AC45" s="985" t="s">
        <v>555</v>
      </c>
      <c r="AD45" s="986">
        <v>1320</v>
      </c>
      <c r="AE45" s="987">
        <v>45</v>
      </c>
      <c r="AF45" s="984" t="s">
        <v>554</v>
      </c>
      <c r="AG45" s="985" t="s">
        <v>555</v>
      </c>
      <c r="AH45" s="986">
        <v>1320</v>
      </c>
      <c r="AI45" s="987">
        <v>55</v>
      </c>
      <c r="AJ45" s="984" t="s">
        <v>554</v>
      </c>
      <c r="AK45" s="985" t="s">
        <v>555</v>
      </c>
      <c r="AL45" s="986">
        <v>1320</v>
      </c>
      <c r="AM45" s="987">
        <v>63</v>
      </c>
      <c r="AN45" s="1011" t="s">
        <v>556</v>
      </c>
      <c r="AO45" s="1012" t="s">
        <v>557</v>
      </c>
      <c r="AP45" s="1013">
        <v>1540</v>
      </c>
      <c r="AQ45" s="1014">
        <v>18.5</v>
      </c>
      <c r="AR45" s="1011" t="s">
        <v>556</v>
      </c>
      <c r="AS45" s="1012" t="s">
        <v>557</v>
      </c>
      <c r="AT45" s="1013">
        <v>1540</v>
      </c>
      <c r="AU45" s="1014">
        <v>33</v>
      </c>
      <c r="AV45" s="1011" t="s">
        <v>556</v>
      </c>
      <c r="AW45" s="1012" t="s">
        <v>557</v>
      </c>
      <c r="AX45" s="1013">
        <v>1540</v>
      </c>
      <c r="AY45" s="1014">
        <v>45</v>
      </c>
      <c r="AZ45" s="1011" t="s">
        <v>556</v>
      </c>
      <c r="BA45" s="1012" t="s">
        <v>557</v>
      </c>
      <c r="BB45" s="1013">
        <v>1540</v>
      </c>
      <c r="BC45" s="1014">
        <v>55</v>
      </c>
      <c r="BD45" s="1015" t="s">
        <v>564</v>
      </c>
      <c r="BE45" s="1016" t="s">
        <v>565</v>
      </c>
      <c r="BF45" s="1017">
        <v>1970</v>
      </c>
      <c r="BG45" s="1059">
        <v>63</v>
      </c>
      <c r="BH45" s="1026" t="s">
        <v>243</v>
      </c>
      <c r="BI45" s="1027" t="s">
        <v>243</v>
      </c>
      <c r="BJ45" s="1028" t="s">
        <v>243</v>
      </c>
      <c r="BK45" s="1029" t="s">
        <v>243</v>
      </c>
      <c r="BL45" s="1026" t="s">
        <v>243</v>
      </c>
      <c r="BM45" s="1027" t="s">
        <v>243</v>
      </c>
      <c r="BN45" s="1027" t="s">
        <v>243</v>
      </c>
      <c r="BO45" s="1029" t="s">
        <v>243</v>
      </c>
      <c r="BP45" s="1026" t="s">
        <v>243</v>
      </c>
      <c r="BQ45" s="1027" t="s">
        <v>243</v>
      </c>
      <c r="BR45" s="1028" t="s">
        <v>243</v>
      </c>
      <c r="BS45" s="1029" t="s">
        <v>243</v>
      </c>
      <c r="BT45" s="1026" t="s">
        <v>243</v>
      </c>
      <c r="BU45" s="1027" t="s">
        <v>243</v>
      </c>
      <c r="BV45" s="1028" t="s">
        <v>243</v>
      </c>
      <c r="BW45" s="1029" t="s">
        <v>243</v>
      </c>
      <c r="BX45" s="1026" t="s">
        <v>243</v>
      </c>
      <c r="BY45" s="1027" t="s">
        <v>243</v>
      </c>
      <c r="BZ45" s="1028" t="s">
        <v>243</v>
      </c>
      <c r="CA45" s="1029" t="s">
        <v>243</v>
      </c>
      <c r="CB45" s="984" t="s">
        <v>566</v>
      </c>
      <c r="CC45" s="985" t="s">
        <v>567</v>
      </c>
      <c r="CD45" s="986">
        <v>416</v>
      </c>
      <c r="CE45" s="987">
        <v>18.5</v>
      </c>
      <c r="CF45" s="1042" t="s">
        <v>543</v>
      </c>
      <c r="CG45" s="1043" t="s">
        <v>544</v>
      </c>
      <c r="CH45" s="1044">
        <v>225</v>
      </c>
      <c r="CI45" s="1045">
        <v>33</v>
      </c>
      <c r="CJ45" s="1042" t="s">
        <v>543</v>
      </c>
      <c r="CK45" s="1043" t="s">
        <v>544</v>
      </c>
      <c r="CL45" s="1044">
        <v>225</v>
      </c>
      <c r="CM45" s="1045">
        <v>45</v>
      </c>
      <c r="CN45" s="1042" t="s">
        <v>543</v>
      </c>
      <c r="CO45" s="1043" t="s">
        <v>544</v>
      </c>
      <c r="CP45" s="1044">
        <v>225</v>
      </c>
      <c r="CQ45" s="1045">
        <v>55</v>
      </c>
      <c r="CR45" s="992" t="s">
        <v>558</v>
      </c>
      <c r="CS45" s="993" t="s">
        <v>559</v>
      </c>
      <c r="CT45" s="994">
        <v>295</v>
      </c>
      <c r="CU45" s="995">
        <v>63</v>
      </c>
    </row>
    <row r="46" spans="2:99">
      <c r="H46" s="228"/>
      <c r="I46" s="229"/>
    </row>
    <row r="48" spans="2:99">
      <c r="BS48" s="180"/>
      <c r="BT48" s="180"/>
      <c r="BU48" s="180"/>
      <c r="BV48" s="180"/>
      <c r="BW48" s="180"/>
      <c r="BX48" s="180"/>
      <c r="BY48" s="180"/>
      <c r="BZ48" s="180"/>
      <c r="CA48" s="180"/>
      <c r="CB48" s="179"/>
      <c r="CC48" s="181"/>
      <c r="CD48" s="181"/>
      <c r="CE48" s="181"/>
      <c r="CF48" s="181"/>
      <c r="CG48" s="181"/>
      <c r="CH48" s="181"/>
      <c r="CI48" s="181"/>
      <c r="CJ48" s="181"/>
      <c r="CK48" s="181"/>
      <c r="CL48" s="181"/>
      <c r="CM48" s="181"/>
      <c r="CN48" s="181"/>
      <c r="CO48" s="179"/>
      <c r="CP48" s="179"/>
      <c r="CQ48" s="179"/>
      <c r="CR48" s="179"/>
      <c r="CS48" s="179"/>
      <c r="CT48" s="179"/>
      <c r="CU48" s="179"/>
    </row>
    <row r="49" spans="8:92">
      <c r="H49" s="181"/>
      <c r="L49" s="181"/>
      <c r="U49" s="179"/>
      <c r="BS49" s="174"/>
      <c r="BT49" s="174"/>
      <c r="BU49" s="174"/>
      <c r="BV49" s="174"/>
      <c r="BW49" s="174"/>
      <c r="BX49" s="174"/>
      <c r="BY49" s="174"/>
      <c r="BZ49" s="174"/>
      <c r="CA49" s="174"/>
      <c r="CC49" s="181"/>
      <c r="CD49" s="181"/>
      <c r="CE49" s="181"/>
      <c r="CF49" s="181"/>
      <c r="CG49" s="181"/>
      <c r="CH49" s="181"/>
      <c r="CI49" s="181"/>
      <c r="CJ49" s="181"/>
      <c r="CK49" s="181"/>
      <c r="CL49" s="181"/>
      <c r="CM49" s="181"/>
      <c r="CN49" s="181"/>
    </row>
    <row r="50" spans="8:92" ht="15.75" customHeight="1">
      <c r="H50" s="181"/>
      <c r="L50" s="181"/>
      <c r="U50" s="179"/>
      <c r="Y50" s="179"/>
      <c r="BS50" s="174"/>
      <c r="BT50" s="174"/>
      <c r="BU50" s="174"/>
      <c r="BV50" s="174"/>
      <c r="BW50" s="174"/>
      <c r="BX50" s="174"/>
      <c r="BY50" s="174"/>
      <c r="BZ50" s="174"/>
      <c r="CA50" s="174"/>
      <c r="CC50" s="181"/>
      <c r="CD50" s="181"/>
      <c r="CE50" s="181"/>
      <c r="CF50" s="181"/>
      <c r="CG50" s="181"/>
      <c r="CH50" s="181"/>
      <c r="CI50" s="181"/>
      <c r="CJ50" s="181"/>
      <c r="CK50" s="181"/>
      <c r="CL50" s="181"/>
      <c r="CM50" s="181"/>
      <c r="CN50" s="181"/>
    </row>
    <row r="51" spans="8:92">
      <c r="H51" s="181"/>
      <c r="L51" s="181"/>
      <c r="U51" s="179"/>
      <c r="Y51" s="179"/>
      <c r="BS51" s="174"/>
      <c r="BT51" s="174"/>
      <c r="BU51" s="174"/>
      <c r="BV51" s="174"/>
      <c r="BW51" s="174"/>
      <c r="BX51" s="174"/>
      <c r="BY51" s="174"/>
      <c r="BZ51" s="174"/>
      <c r="CA51" s="174"/>
      <c r="CC51" s="181"/>
      <c r="CD51" s="181"/>
      <c r="CE51" s="181"/>
      <c r="CF51" s="181"/>
      <c r="CG51" s="181"/>
      <c r="CH51" s="181"/>
      <c r="CI51" s="181"/>
      <c r="CJ51" s="181"/>
      <c r="CK51" s="181"/>
      <c r="CL51" s="181"/>
      <c r="CM51" s="181"/>
      <c r="CN51" s="181"/>
    </row>
    <row r="52" spans="8:92">
      <c r="H52" s="181"/>
      <c r="L52" s="181"/>
      <c r="U52" s="179"/>
      <c r="Y52" s="179"/>
      <c r="BS52" s="174"/>
      <c r="BT52" s="174"/>
      <c r="BU52" s="174"/>
      <c r="BV52" s="174"/>
      <c r="BW52" s="174"/>
      <c r="BX52" s="174"/>
      <c r="BY52" s="174"/>
      <c r="BZ52" s="174"/>
      <c r="CA52" s="174"/>
      <c r="CC52" s="181"/>
      <c r="CD52" s="181"/>
      <c r="CE52" s="181"/>
      <c r="CF52" s="181"/>
      <c r="CG52" s="181"/>
      <c r="CH52" s="181"/>
      <c r="CI52" s="181"/>
      <c r="CJ52" s="181"/>
      <c r="CK52" s="181"/>
      <c r="CL52" s="181"/>
      <c r="CM52" s="181"/>
      <c r="CN52" s="181"/>
    </row>
    <row r="53" spans="8:92">
      <c r="H53" s="181"/>
      <c r="L53" s="181"/>
      <c r="U53" s="179"/>
      <c r="Y53" s="179"/>
      <c r="BS53" s="174"/>
      <c r="BT53" s="174"/>
      <c r="BU53" s="174"/>
      <c r="BV53" s="174"/>
      <c r="BW53" s="174"/>
      <c r="BX53" s="174"/>
      <c r="BY53" s="174"/>
      <c r="BZ53" s="174"/>
      <c r="CA53" s="174"/>
      <c r="CC53" s="181"/>
      <c r="CD53" s="181"/>
      <c r="CE53" s="181"/>
      <c r="CF53" s="181"/>
      <c r="CG53" s="181"/>
      <c r="CH53" s="181"/>
      <c r="CI53" s="181"/>
      <c r="CJ53" s="181"/>
      <c r="CK53" s="181"/>
      <c r="CL53" s="181"/>
      <c r="CM53" s="181"/>
      <c r="CN53" s="181"/>
    </row>
    <row r="54" spans="8:92">
      <c r="H54" s="181"/>
      <c r="L54" s="181"/>
      <c r="U54" s="179"/>
      <c r="Y54" s="179"/>
      <c r="BS54" s="174"/>
      <c r="BT54" s="174"/>
      <c r="BU54" s="174"/>
      <c r="BV54" s="174"/>
      <c r="BW54" s="174"/>
      <c r="BX54" s="174"/>
      <c r="BY54" s="174"/>
      <c r="BZ54" s="174"/>
      <c r="CA54" s="174"/>
      <c r="CC54" s="181"/>
      <c r="CD54" s="181"/>
      <c r="CE54" s="181"/>
      <c r="CF54" s="181"/>
      <c r="CG54" s="181"/>
      <c r="CH54" s="181"/>
      <c r="CI54" s="181"/>
      <c r="CJ54" s="181"/>
      <c r="CK54" s="181"/>
      <c r="CL54" s="181"/>
      <c r="CM54" s="181"/>
      <c r="CN54" s="181"/>
    </row>
    <row r="55" spans="8:92">
      <c r="H55" s="181"/>
      <c r="L55" s="181"/>
      <c r="U55" s="179"/>
      <c r="Y55" s="179"/>
      <c r="BS55" s="174"/>
      <c r="BT55" s="174"/>
      <c r="BU55" s="174"/>
      <c r="BV55" s="174"/>
      <c r="BW55" s="174"/>
      <c r="BX55" s="174"/>
      <c r="BY55" s="174"/>
      <c r="BZ55" s="174"/>
      <c r="CA55" s="174"/>
      <c r="CC55" s="181"/>
      <c r="CD55" s="181"/>
      <c r="CE55" s="181"/>
      <c r="CF55" s="181"/>
      <c r="CG55" s="181"/>
      <c r="CH55" s="181"/>
      <c r="CI55" s="181"/>
      <c r="CJ55" s="181"/>
      <c r="CK55" s="181"/>
      <c r="CL55" s="181"/>
      <c r="CM55" s="181"/>
      <c r="CN55" s="181"/>
    </row>
    <row r="56" spans="8:92">
      <c r="H56" s="181"/>
      <c r="L56" s="181"/>
      <c r="U56" s="179"/>
      <c r="Y56" s="179"/>
      <c r="BS56" s="174"/>
      <c r="BT56" s="174"/>
      <c r="BU56" s="174"/>
      <c r="BV56" s="174"/>
      <c r="BW56" s="174"/>
      <c r="BX56" s="174"/>
      <c r="BY56" s="174"/>
      <c r="BZ56" s="174"/>
      <c r="CA56" s="174"/>
      <c r="CC56" s="181"/>
      <c r="CD56" s="181"/>
      <c r="CE56" s="181"/>
      <c r="CF56" s="181"/>
      <c r="CG56" s="181"/>
      <c r="CH56" s="181"/>
      <c r="CI56" s="181"/>
      <c r="CJ56" s="181"/>
      <c r="CK56" s="181"/>
      <c r="CL56" s="181"/>
      <c r="CM56" s="181"/>
      <c r="CN56" s="181"/>
    </row>
    <row r="57" spans="8:92">
      <c r="H57" s="181"/>
      <c r="L57" s="181"/>
      <c r="U57" s="179"/>
      <c r="Y57" s="179"/>
      <c r="BS57" s="174"/>
      <c r="BT57" s="174"/>
      <c r="BU57" s="174"/>
      <c r="BV57" s="174"/>
      <c r="BW57" s="174"/>
      <c r="BX57" s="174"/>
      <c r="BY57" s="174"/>
      <c r="BZ57" s="174"/>
      <c r="CA57" s="174"/>
      <c r="CC57" s="181"/>
      <c r="CD57" s="181"/>
      <c r="CE57" s="181"/>
      <c r="CF57" s="181"/>
      <c r="CG57" s="181"/>
      <c r="CH57" s="181"/>
      <c r="CI57" s="181"/>
      <c r="CJ57" s="181"/>
      <c r="CK57" s="181"/>
      <c r="CL57" s="181"/>
      <c r="CM57" s="181"/>
      <c r="CN57" s="181"/>
    </row>
    <row r="58" spans="8:92">
      <c r="H58" s="181"/>
      <c r="L58" s="181"/>
      <c r="U58" s="179"/>
      <c r="Y58" s="179"/>
    </row>
    <row r="59" spans="8:92">
      <c r="U59" s="179"/>
      <c r="Y59" s="179"/>
    </row>
    <row r="60" spans="8:92">
      <c r="Y60" s="179"/>
    </row>
    <row r="62" spans="8:92">
      <c r="N62" s="179"/>
      <c r="P62" s="179"/>
    </row>
    <row r="84" ht="15.75" customHeight="1"/>
    <row r="118" ht="15" customHeight="1"/>
    <row r="152" ht="15" customHeight="1"/>
  </sheetData>
  <sheetProtection password="DFE4" sheet="1" objects="1" scenarios="1" formatColumns="0" formatRows="0"/>
  <mergeCells count="81">
    <mergeCell ref="BD11:BF11"/>
    <mergeCell ref="BH11:BJ11"/>
    <mergeCell ref="CB11:CO11"/>
    <mergeCell ref="D12:F12"/>
    <mergeCell ref="T12:V12"/>
    <mergeCell ref="AN12:AP12"/>
    <mergeCell ref="AR12:AT12"/>
    <mergeCell ref="AV12:AX12"/>
    <mergeCell ref="AZ12:BB12"/>
    <mergeCell ref="BD12:BF12"/>
    <mergeCell ref="D11:F11"/>
    <mergeCell ref="T11:V11"/>
    <mergeCell ref="AN11:AP11"/>
    <mergeCell ref="AR11:AT11"/>
    <mergeCell ref="AV11:AX11"/>
    <mergeCell ref="AZ11:BB11"/>
    <mergeCell ref="BH12:BJ12"/>
    <mergeCell ref="CB12:CO12"/>
    <mergeCell ref="AR13:AT13"/>
    <mergeCell ref="AV13:AX13"/>
    <mergeCell ref="AZ13:BB13"/>
    <mergeCell ref="BD13:BF13"/>
    <mergeCell ref="B14:C14"/>
    <mergeCell ref="D14:G14"/>
    <mergeCell ref="H14:K14"/>
    <mergeCell ref="L14:O14"/>
    <mergeCell ref="P14:S14"/>
    <mergeCell ref="CR14:CU14"/>
    <mergeCell ref="B15:C15"/>
    <mergeCell ref="D15:D16"/>
    <mergeCell ref="E15:E16"/>
    <mergeCell ref="H15:H16"/>
    <mergeCell ref="I15:I16"/>
    <mergeCell ref="AV14:AY14"/>
    <mergeCell ref="AZ14:BC14"/>
    <mergeCell ref="BD14:BG14"/>
    <mergeCell ref="BH14:BK14"/>
    <mergeCell ref="BL14:BO14"/>
    <mergeCell ref="BP14:BS14"/>
    <mergeCell ref="X14:AA14"/>
    <mergeCell ref="AB14:AE14"/>
    <mergeCell ref="AF14:AI14"/>
    <mergeCell ref="AJ14:AM14"/>
    <mergeCell ref="CB14:CE14"/>
    <mergeCell ref="CF14:CI14"/>
    <mergeCell ref="CJ14:CM14"/>
    <mergeCell ref="CN14:CQ14"/>
    <mergeCell ref="AN14:AQ14"/>
    <mergeCell ref="AR14:AU14"/>
    <mergeCell ref="BT14:BW14"/>
    <mergeCell ref="BX14:CA14"/>
    <mergeCell ref="T14:W14"/>
    <mergeCell ref="AV15:AV16"/>
    <mergeCell ref="X15:X16"/>
    <mergeCell ref="AB15:AB16"/>
    <mergeCell ref="AF15:AF16"/>
    <mergeCell ref="AJ15:AJ16"/>
    <mergeCell ref="AN15:AN16"/>
    <mergeCell ref="AR15:AR16"/>
    <mergeCell ref="L15:L16"/>
    <mergeCell ref="M15:M16"/>
    <mergeCell ref="P15:P16"/>
    <mergeCell ref="Q15:Q16"/>
    <mergeCell ref="T15:T16"/>
    <mergeCell ref="CC15:CC16"/>
    <mergeCell ref="AZ15:AZ16"/>
    <mergeCell ref="BD15:BD16"/>
    <mergeCell ref="BH15:BH16"/>
    <mergeCell ref="BL15:BL16"/>
    <mergeCell ref="BP15:BP16"/>
    <mergeCell ref="CB15:CB16"/>
    <mergeCell ref="BT15:BT16"/>
    <mergeCell ref="BX15:BX16"/>
    <mergeCell ref="CR15:CR16"/>
    <mergeCell ref="CS15:CS16"/>
    <mergeCell ref="CF15:CF16"/>
    <mergeCell ref="CG15:CG16"/>
    <mergeCell ref="CJ15:CJ16"/>
    <mergeCell ref="CK15:CK16"/>
    <mergeCell ref="CN15:CN16"/>
    <mergeCell ref="CO15:CO16"/>
  </mergeCells>
  <phoneticPr fontId="143" type="noConversion"/>
  <pageMargins left="0.75" right="0.75" top="1" bottom="1" header="0.5" footer="0.5"/>
  <pageSetup paperSize="9" scale="5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0897" r:id="rId4" name="Option Button 1">
              <controlPr defaultSize="0" autoFill="0" autoLine="0" autoPict="0" macro="[0]!DIDW" altText="">
                <anchor moveWithCells="1">
                  <from>
                    <xdr:col>1</xdr:col>
                    <xdr:colOff>0</xdr:colOff>
                    <xdr:row>4</xdr:row>
                    <xdr:rowOff>88900</xdr:rowOff>
                  </from>
                  <to>
                    <xdr:col>81</xdr:col>
                    <xdr:colOff>400050</xdr:colOff>
                    <xdr:row>5</xdr:row>
                    <xdr:rowOff>95250</xdr:rowOff>
                  </to>
                </anchor>
              </controlPr>
            </control>
          </mc:Choice>
        </mc:AlternateContent>
        <mc:AlternateContent xmlns:mc="http://schemas.openxmlformats.org/markup-compatibility/2006">
          <mc:Choice Requires="x14">
            <control shapeId="80898" r:id="rId5" name="Option Button 2">
              <controlPr defaultSize="0" autoFill="0" autoLine="0" autoPict="0" macro="[0]!SISW" altText="">
                <anchor moveWithCells="1">
                  <from>
                    <xdr:col>1</xdr:col>
                    <xdr:colOff>0</xdr:colOff>
                    <xdr:row>5</xdr:row>
                    <xdr:rowOff>95250</xdr:rowOff>
                  </from>
                  <to>
                    <xdr:col>82</xdr:col>
                    <xdr:colOff>95250</xdr:colOff>
                    <xdr:row>6</xdr:row>
                    <xdr:rowOff>127000</xdr:rowOff>
                  </to>
                </anchor>
              </controlPr>
            </control>
          </mc:Choice>
        </mc:AlternateContent>
        <mc:AlternateContent xmlns:mc="http://schemas.openxmlformats.org/markup-compatibility/2006">
          <mc:Choice Requires="x14">
            <control shapeId="80899" r:id="rId6" name="Option Button 3">
              <controlPr defaultSize="0" autoFill="0" autoLine="0" autoPict="0" macro="[0]!Axial" altText="">
                <anchor moveWithCells="1">
                  <from>
                    <xdr:col>1</xdr:col>
                    <xdr:colOff>0</xdr:colOff>
                    <xdr:row>3</xdr:row>
                    <xdr:rowOff>57150</xdr:rowOff>
                  </from>
                  <to>
                    <xdr:col>80</xdr:col>
                    <xdr:colOff>146050</xdr:colOff>
                    <xdr:row>4</xdr:row>
                    <xdr:rowOff>95250</xdr:rowOff>
                  </to>
                </anchor>
              </controlPr>
            </control>
          </mc:Choice>
        </mc:AlternateContent>
        <mc:AlternateContent xmlns:mc="http://schemas.openxmlformats.org/markup-compatibility/2006">
          <mc:Choice Requires="x14">
            <control shapeId="80900" r:id="rId7" name="Option Button 4">
              <controlPr defaultSize="0" autoFill="0" autoLine="0" autoPict="0" macro="[0]!INLINE" altText="">
                <anchor moveWithCells="1">
                  <from>
                    <xdr:col>1</xdr:col>
                    <xdr:colOff>0</xdr:colOff>
                    <xdr:row>6</xdr:row>
                    <xdr:rowOff>107950</xdr:rowOff>
                  </from>
                  <to>
                    <xdr:col>80</xdr:col>
                    <xdr:colOff>889000</xdr:colOff>
                    <xdr:row>8</xdr:row>
                    <xdr:rowOff>12700</xdr:rowOff>
                  </to>
                </anchor>
              </controlPr>
            </control>
          </mc:Choice>
        </mc:AlternateContent>
        <mc:AlternateContent xmlns:mc="http://schemas.openxmlformats.org/markup-compatibility/2006">
          <mc:Choice Requires="x14">
            <control shapeId="80901" r:id="rId8" name="Option Button 5">
              <controlPr defaultSize="0" autoFill="0" autoLine="0" autoPict="0" macro="[0]!MIXFLOW" altText="">
                <anchor moveWithCells="1">
                  <from>
                    <xdr:col>1</xdr:col>
                    <xdr:colOff>0</xdr:colOff>
                    <xdr:row>8</xdr:row>
                    <xdr:rowOff>0</xdr:rowOff>
                  </from>
                  <to>
                    <xdr:col>80</xdr:col>
                    <xdr:colOff>927100</xdr:colOff>
                    <xdr:row>9</xdr:row>
                    <xdr:rowOff>19050</xdr:rowOff>
                  </to>
                </anchor>
              </controlPr>
            </control>
          </mc:Choice>
        </mc:AlternateContent>
        <mc:AlternateContent xmlns:mc="http://schemas.openxmlformats.org/markup-compatibility/2006">
          <mc:Choice Requires="x14">
            <control shapeId="80902" r:id="rId9" name="Button 6">
              <controlPr defaultSize="0" autoFill="0" autoPict="0" macro="[0]!Home">
                <anchor>
                  <from>
                    <xdr:col>81</xdr:col>
                    <xdr:colOff>171450</xdr:colOff>
                    <xdr:row>6</xdr:row>
                    <xdr:rowOff>76200</xdr:rowOff>
                  </from>
                  <to>
                    <xdr:col>83</xdr:col>
                    <xdr:colOff>171450</xdr:colOff>
                    <xdr:row>8</xdr:row>
                    <xdr:rowOff>95250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tabColor theme="7"/>
    <pageSetUpPr fitToPage="1"/>
  </sheetPr>
  <dimension ref="A2:CC92"/>
  <sheetViews>
    <sheetView showGridLines="0" showRowColHeaders="0" zoomScaleNormal="100" workbookViewId="0"/>
  </sheetViews>
  <sheetFormatPr defaultColWidth="9.1796875" defaultRowHeight="12.5"/>
  <cols>
    <col min="1" max="1" width="2.7265625" style="43" customWidth="1"/>
    <col min="2" max="2" width="13.453125" style="43" customWidth="1"/>
    <col min="3" max="3" width="9.453125" style="43" customWidth="1"/>
    <col min="4" max="4" width="4.1796875" style="43" customWidth="1"/>
    <col min="5" max="5" width="3.7265625" style="43" customWidth="1"/>
    <col min="6" max="6" width="5.7265625" style="43" customWidth="1"/>
    <col min="7" max="7" width="5.453125" style="43" customWidth="1"/>
    <col min="8" max="8" width="6.453125" style="43" customWidth="1"/>
    <col min="9" max="9" width="8" style="43" customWidth="1"/>
    <col min="10" max="10" width="5.453125" style="43" customWidth="1"/>
    <col min="11" max="11" width="7.7265625" style="43" customWidth="1"/>
    <col min="12" max="12" width="8" style="43" customWidth="1"/>
    <col min="13" max="13" width="6.7265625" style="43" customWidth="1"/>
    <col min="14" max="16" width="5.26953125" style="43" customWidth="1"/>
    <col min="17" max="18" width="8.7265625" style="43" customWidth="1"/>
    <col min="19" max="19" width="3.7265625" style="43" hidden="1" customWidth="1"/>
    <col min="20" max="20" width="8.81640625" style="50" hidden="1" customWidth="1"/>
    <col min="21" max="21" width="6.81640625" style="50" hidden="1" customWidth="1"/>
    <col min="22" max="22" width="11.7265625" style="50" hidden="1" customWidth="1"/>
    <col min="23" max="23" width="8.81640625" style="50" hidden="1" customWidth="1"/>
    <col min="24" max="24" width="11.7265625" style="50" hidden="1" customWidth="1"/>
    <col min="25" max="25" width="8.54296875" style="50" hidden="1" customWidth="1"/>
    <col min="26" max="26" width="11.7265625" style="50" hidden="1" customWidth="1"/>
    <col min="27" max="27" width="10" style="44" hidden="1" customWidth="1"/>
    <col min="28" max="28" width="11.7265625" style="44" hidden="1" customWidth="1"/>
    <col min="29" max="29" width="8.54296875" style="44" hidden="1" customWidth="1"/>
    <col min="30" max="30" width="11.7265625" style="44" hidden="1" customWidth="1"/>
    <col min="31" max="31" width="8.54296875" style="44" hidden="1" customWidth="1"/>
    <col min="32" max="32" width="11.7265625" style="44" hidden="1" customWidth="1"/>
    <col min="33" max="33" width="8.7265625" style="44" hidden="1" customWidth="1"/>
    <col min="34" max="34" width="11.7265625" style="44" hidden="1" customWidth="1"/>
    <col min="35" max="35" width="8.54296875" style="44" hidden="1" customWidth="1"/>
    <col min="36" max="36" width="11.7265625" style="43" hidden="1" customWidth="1"/>
    <col min="37" max="37" width="8.54296875" style="43" hidden="1" customWidth="1"/>
    <col min="38" max="38" width="11.7265625" style="43" hidden="1" customWidth="1"/>
    <col min="39" max="57" width="8.7265625" style="43" hidden="1" customWidth="1"/>
    <col min="58" max="58" width="5.81640625" style="43" hidden="1" customWidth="1"/>
    <col min="59" max="60" width="4.81640625" style="43" hidden="1" customWidth="1"/>
    <col min="61" max="61" width="3.7265625" style="43" hidden="1" customWidth="1"/>
    <col min="62" max="62" width="6" style="43" hidden="1" customWidth="1"/>
    <col min="63" max="63" width="6.7265625" style="43" hidden="1" customWidth="1"/>
    <col min="64" max="65" width="7.54296875" style="43" hidden="1" customWidth="1"/>
    <col min="66" max="66" width="8.54296875" style="43" hidden="1" customWidth="1"/>
    <col min="67" max="67" width="7.26953125" style="43" hidden="1" customWidth="1"/>
    <col min="68" max="68" width="6.54296875" style="43" hidden="1" customWidth="1"/>
    <col min="69" max="69" width="5" style="43" hidden="1" customWidth="1"/>
    <col min="70" max="70" width="17.54296875" style="43" hidden="1" customWidth="1"/>
    <col min="71" max="78" width="9.1796875" style="43" hidden="1" customWidth="1"/>
    <col min="79" max="79" width="16.26953125" style="43" hidden="1" customWidth="1"/>
    <col min="80" max="80" width="18.81640625" style="43" hidden="1" customWidth="1"/>
    <col min="81" max="81" width="9.1796875" style="43" hidden="1" customWidth="1"/>
    <col min="82" max="16384" width="9.1796875" style="43"/>
  </cols>
  <sheetData>
    <row r="2" spans="1:81" ht="13">
      <c r="B2" s="2219" t="s">
        <v>1633</v>
      </c>
      <c r="C2" s="2220"/>
      <c r="D2" s="2221"/>
      <c r="F2" s="1972" t="s">
        <v>398</v>
      </c>
      <c r="G2" s="1972"/>
      <c r="H2" s="1972"/>
      <c r="I2" s="1972"/>
      <c r="J2" s="1972"/>
      <c r="K2" s="1972"/>
      <c r="L2" s="1972"/>
      <c r="M2" s="1972"/>
      <c r="N2" s="1972"/>
      <c r="O2" s="1972"/>
      <c r="P2" s="1972"/>
      <c r="Q2" s="1972"/>
      <c r="R2" s="1972"/>
      <c r="BJ2" s="2251" t="s">
        <v>1680</v>
      </c>
      <c r="BK2" s="2251"/>
      <c r="BL2" s="2251"/>
      <c r="BM2" s="2251"/>
      <c r="BN2" s="2251"/>
      <c r="BO2" s="2251"/>
      <c r="BP2" s="2251"/>
      <c r="BR2" s="511" t="s">
        <v>1225</v>
      </c>
      <c r="BS2" s="512">
        <v>140</v>
      </c>
      <c r="BT2" s="293"/>
      <c r="BU2" s="293"/>
      <c r="BV2" s="293"/>
      <c r="BW2" s="293"/>
      <c r="BX2" s="293"/>
      <c r="BY2" s="293"/>
      <c r="BZ2" s="293"/>
      <c r="CA2" s="293"/>
      <c r="CB2" s="293"/>
      <c r="CC2" s="293"/>
    </row>
    <row r="3" spans="1:81">
      <c r="B3" s="1220">
        <v>1</v>
      </c>
      <c r="C3" s="442"/>
      <c r="D3" s="443"/>
      <c r="W3" s="765"/>
      <c r="X3" s="765" t="s">
        <v>426</v>
      </c>
      <c r="Y3" s="61" t="s">
        <v>8</v>
      </c>
      <c r="Z3" s="765" t="s">
        <v>426</v>
      </c>
      <c r="AA3" s="765" t="s">
        <v>353</v>
      </c>
      <c r="AB3" s="765" t="s">
        <v>426</v>
      </c>
      <c r="AC3" s="62" t="s">
        <v>428</v>
      </c>
      <c r="AD3" s="765" t="s">
        <v>426</v>
      </c>
      <c r="BK3" s="50"/>
      <c r="BL3" s="50"/>
      <c r="BM3" s="50"/>
      <c r="BN3" s="50"/>
      <c r="BO3" s="50"/>
      <c r="BP3" s="50"/>
      <c r="BR3" s="293"/>
      <c r="BS3" s="293"/>
      <c r="BT3" s="293"/>
      <c r="BU3" s="293"/>
      <c r="BV3" s="293"/>
      <c r="BW3" s="293"/>
      <c r="BX3" s="293"/>
      <c r="BY3" s="293"/>
      <c r="BZ3" s="293"/>
      <c r="CA3" s="293"/>
      <c r="CB3" s="293"/>
      <c r="CC3" s="293"/>
    </row>
    <row r="4" spans="1:81">
      <c r="A4" s="45"/>
      <c r="B4" s="444"/>
      <c r="C4" s="45"/>
      <c r="D4" s="445"/>
      <c r="F4" s="2256" t="s">
        <v>110</v>
      </c>
      <c r="G4" s="2258" t="s">
        <v>111</v>
      </c>
      <c r="H4" s="2258"/>
      <c r="I4" s="2258" t="s">
        <v>399</v>
      </c>
      <c r="J4" s="2259"/>
      <c r="K4" s="2254" t="s">
        <v>1677</v>
      </c>
      <c r="L4" s="2254" t="s">
        <v>1678</v>
      </c>
      <c r="M4" s="2254" t="s">
        <v>1679</v>
      </c>
      <c r="N4" s="2258" t="s">
        <v>479</v>
      </c>
      <c r="O4" s="2258"/>
      <c r="P4" s="2258"/>
      <c r="Q4" s="2258" t="s">
        <v>144</v>
      </c>
      <c r="R4" s="2258"/>
      <c r="W4" s="253" t="s">
        <v>403</v>
      </c>
      <c r="X4" s="765" t="str">
        <f>C11</f>
        <v>Trane</v>
      </c>
      <c r="Y4" s="61">
        <v>12</v>
      </c>
      <c r="Z4" s="765">
        <f>C13</f>
        <v>50</v>
      </c>
      <c r="AA4" s="63" t="str">
        <f>IF($AB$4=1,"High",IF($AB$4=2,"Mid",IF($AB$4=3,"Low")))</f>
        <v>Mid</v>
      </c>
      <c r="AB4" s="765">
        <f>VLOOKUP(C15,AA6:AB8,2,FALSE)</f>
        <v>2</v>
      </c>
      <c r="AC4" s="62" t="s">
        <v>429</v>
      </c>
      <c r="AD4" s="63" t="str">
        <f>C9</f>
        <v>2-pipe</v>
      </c>
      <c r="BJ4" s="2261" t="s">
        <v>1286</v>
      </c>
      <c r="BK4" s="2261"/>
      <c r="BL4" s="2261"/>
      <c r="BM4" s="2261"/>
      <c r="BN4" s="2261"/>
      <c r="BO4" s="50"/>
      <c r="BP4" s="50"/>
      <c r="BR4" s="2034" t="s">
        <v>1212</v>
      </c>
      <c r="BS4" s="2034" t="s">
        <v>1213</v>
      </c>
      <c r="BT4" s="2034" t="s">
        <v>1214</v>
      </c>
      <c r="BU4" s="2034" t="s">
        <v>1215</v>
      </c>
      <c r="BV4" s="2035" t="s">
        <v>1216</v>
      </c>
      <c r="BW4" s="2034" t="s">
        <v>15</v>
      </c>
      <c r="BX4" s="2034" t="s">
        <v>1235</v>
      </c>
      <c r="BY4" s="390"/>
      <c r="BZ4" s="390"/>
      <c r="CA4" s="391" t="s">
        <v>1217</v>
      </c>
      <c r="CB4" s="391" t="s">
        <v>1218</v>
      </c>
      <c r="CC4" s="391"/>
    </row>
    <row r="5" spans="1:81">
      <c r="A5" s="45"/>
      <c r="B5" s="51"/>
      <c r="C5" s="446"/>
      <c r="D5" s="52"/>
      <c r="F5" s="2257"/>
      <c r="G5" s="1212" t="s">
        <v>7</v>
      </c>
      <c r="H5" s="1212" t="s">
        <v>3</v>
      </c>
      <c r="I5" s="1212" t="s">
        <v>400</v>
      </c>
      <c r="J5" s="1212" t="s">
        <v>382</v>
      </c>
      <c r="K5" s="2255"/>
      <c r="L5" s="2255"/>
      <c r="M5" s="2255"/>
      <c r="N5" s="1212" t="s">
        <v>182</v>
      </c>
      <c r="O5" s="1212" t="s">
        <v>173</v>
      </c>
      <c r="P5" s="1212" t="s">
        <v>183</v>
      </c>
      <c r="Q5" s="1212" t="s">
        <v>145</v>
      </c>
      <c r="R5" s="1212" t="s">
        <v>244</v>
      </c>
      <c r="W5" s="253" t="s">
        <v>404</v>
      </c>
      <c r="X5" s="765"/>
      <c r="Y5" s="61">
        <v>30</v>
      </c>
      <c r="AB5" s="63"/>
      <c r="AC5" s="62" t="s">
        <v>430</v>
      </c>
      <c r="AD5" s="63"/>
      <c r="BJ5" s="2222" t="s">
        <v>1227</v>
      </c>
      <c r="BK5" s="2222"/>
      <c r="BL5" s="2222"/>
      <c r="BM5" s="428">
        <v>2.5</v>
      </c>
      <c r="BN5" s="513" t="s">
        <v>1</v>
      </c>
      <c r="BP5" s="50"/>
      <c r="BR5" s="2034"/>
      <c r="BS5" s="2034"/>
      <c r="BT5" s="2034"/>
      <c r="BU5" s="2034"/>
      <c r="BV5" s="2035"/>
      <c r="BW5" s="2034"/>
      <c r="BX5" s="2034"/>
      <c r="BY5" s="2260"/>
      <c r="BZ5" s="1858"/>
      <c r="CA5" s="392">
        <f>BM6</f>
        <v>300</v>
      </c>
      <c r="CB5" s="393">
        <f>BM5</f>
        <v>2.5</v>
      </c>
      <c r="CC5" s="391"/>
    </row>
    <row r="6" spans="1:81">
      <c r="A6" s="45"/>
      <c r="F6" s="1202">
        <v>4</v>
      </c>
      <c r="G6" s="1194">
        <v>400</v>
      </c>
      <c r="H6" s="1195">
        <f t="shared" ref="H6:H11" si="0">G6*0.472</f>
        <v>188.79999999999998</v>
      </c>
      <c r="I6" s="1196">
        <f t="shared" ref="I6:J11" si="1">Y79</f>
        <v>1.7004000000000001</v>
      </c>
      <c r="J6" s="1196">
        <f t="shared" si="1"/>
        <v>2.3119999999999998</v>
      </c>
      <c r="K6" s="1197">
        <f t="shared" ref="K6:K11" si="2">AS87</f>
        <v>4.6294000000000004</v>
      </c>
      <c r="L6" s="1198">
        <f t="shared" ref="L6:L11" si="3">IF(J6="n/a","n/a",J6/(4.2*(12-7)))</f>
        <v>0.11009523809523809</v>
      </c>
      <c r="M6" s="1199">
        <f t="shared" ref="M6:M11" si="4">IF(K6="n/a","n/a",K6/(4.2*(60-50)))</f>
        <v>0.11022380952380953</v>
      </c>
      <c r="N6" s="1200">
        <f t="shared" ref="N6:P11" si="5">BF72</f>
        <v>983</v>
      </c>
      <c r="O6" s="1200">
        <f t="shared" si="5"/>
        <v>543</v>
      </c>
      <c r="P6" s="1200">
        <f t="shared" si="5"/>
        <v>248</v>
      </c>
      <c r="Q6" s="1201" t="s">
        <v>385</v>
      </c>
      <c r="R6" s="1201" t="s">
        <v>391</v>
      </c>
      <c r="W6" s="253" t="s">
        <v>405</v>
      </c>
      <c r="X6" s="765"/>
      <c r="Y6" s="61">
        <v>50</v>
      </c>
      <c r="AA6" s="50" t="s">
        <v>352</v>
      </c>
      <c r="AB6" s="50">
        <v>1</v>
      </c>
      <c r="AC6" s="62"/>
      <c r="BJ6" s="2222" t="s">
        <v>1228</v>
      </c>
      <c r="BK6" s="2222"/>
      <c r="BL6" s="2222"/>
      <c r="BM6" s="429">
        <v>300</v>
      </c>
      <c r="BN6" s="513" t="s">
        <v>14</v>
      </c>
      <c r="BP6" s="50"/>
      <c r="BR6" s="1178" t="s">
        <v>1221</v>
      </c>
      <c r="BS6" s="1178" t="s">
        <v>1221</v>
      </c>
      <c r="BT6" s="1178" t="s">
        <v>1221</v>
      </c>
      <c r="BU6" s="1178" t="s">
        <v>1221</v>
      </c>
      <c r="BV6" s="1178" t="s">
        <v>3</v>
      </c>
      <c r="BW6" s="1178" t="s">
        <v>1223</v>
      </c>
      <c r="BX6" s="1178" t="s">
        <v>14</v>
      </c>
      <c r="BY6" s="394"/>
      <c r="BZ6" s="395"/>
      <c r="CA6" s="396">
        <f>CA5/1000/9.81*100</f>
        <v>3.0581039755351678</v>
      </c>
      <c r="CB6" s="397">
        <f>CB5*3.28</f>
        <v>8.1999999999999993</v>
      </c>
      <c r="CC6" s="391" t="s">
        <v>1217</v>
      </c>
    </row>
    <row r="7" spans="1:81" ht="13">
      <c r="A7" s="45"/>
      <c r="B7" s="1217" t="s">
        <v>1713</v>
      </c>
      <c r="C7" s="1218"/>
      <c r="D7" s="1219"/>
      <c r="F7" s="1202">
        <v>6</v>
      </c>
      <c r="G7" s="1194">
        <v>600</v>
      </c>
      <c r="H7" s="1195">
        <f t="shared" si="0"/>
        <v>283.2</v>
      </c>
      <c r="I7" s="1196">
        <f t="shared" si="1"/>
        <v>2.6103000000000001</v>
      </c>
      <c r="J7" s="1196">
        <f t="shared" si="1"/>
        <v>3.5920000000000001</v>
      </c>
      <c r="K7" s="1197">
        <f t="shared" si="2"/>
        <v>7.3864999999999998</v>
      </c>
      <c r="L7" s="1198">
        <f t="shared" si="3"/>
        <v>0.17104761904761906</v>
      </c>
      <c r="M7" s="1199">
        <f t="shared" si="4"/>
        <v>0.17586904761904762</v>
      </c>
      <c r="N7" s="1200">
        <f t="shared" si="5"/>
        <v>1153</v>
      </c>
      <c r="O7" s="1200">
        <f t="shared" si="5"/>
        <v>543</v>
      </c>
      <c r="P7" s="1200">
        <f t="shared" si="5"/>
        <v>248</v>
      </c>
      <c r="Q7" s="1201" t="s">
        <v>386</v>
      </c>
      <c r="R7" s="1201" t="s">
        <v>392</v>
      </c>
      <c r="W7" s="253" t="s">
        <v>406</v>
      </c>
      <c r="X7" s="765"/>
      <c r="Y7" s="765"/>
      <c r="AA7" s="50" t="s">
        <v>351</v>
      </c>
      <c r="AB7" s="50">
        <v>2</v>
      </c>
      <c r="AC7" s="62"/>
      <c r="BK7" s="50"/>
      <c r="BL7" s="50"/>
      <c r="BM7" s="50"/>
      <c r="BN7" s="50"/>
      <c r="BO7" s="50"/>
      <c r="BP7" s="50"/>
      <c r="BR7" s="513">
        <v>15</v>
      </c>
      <c r="BS7" s="417">
        <v>21.4</v>
      </c>
      <c r="BT7" s="417">
        <f t="shared" ref="BT7:BT39" si="6">BS7-2*BU7</f>
        <v>16.2</v>
      </c>
      <c r="BU7" s="417">
        <v>2.6</v>
      </c>
      <c r="BV7" s="1179">
        <f t="shared" ref="BV7:BV39" si="7">PI()*(BT7/1000)^2/4*BW7*1000</f>
        <v>0.11589023801147234</v>
      </c>
      <c r="BW7" s="1180">
        <f>CC7</f>
        <v>0.56224673786380397</v>
      </c>
      <c r="BX7" s="1181">
        <f>ROUND(6.819*(BW7/BS2)^1.852/(BT7/1000)^1.167*1000*9.81,0)</f>
        <v>300</v>
      </c>
      <c r="BY7" s="508"/>
      <c r="BZ7" s="508"/>
      <c r="CA7" s="398">
        <f>(IF(BY7=0,CA5,BY7)/1000/9.81*(BT7/1000)^1.167/6.819)^(1/1.852)*BS2</f>
        <v>0.56224673786380397</v>
      </c>
      <c r="CB7" s="398">
        <f>6.819*(IF(BZ7=0,CB5,BZ7)/BS2)^1.852/(BT7/1000)^1.167*1000*9.81</f>
        <v>4755.9956621769306</v>
      </c>
      <c r="CC7" s="398">
        <f>IF(CB7&lt;=CA5,IF(CA7&lt;=IF(BZ7=0,CB5,BZ7),CA7,(CB7/1000/9.81*(BT7/1000)^1.167/6.819)^(1/1.852)*BS2),IF(CA7&lt;=IF(BZ7=0,CB5,BZ7),CA7,"Check"))</f>
        <v>0.56224673786380397</v>
      </c>
    </row>
    <row r="8" spans="1:81">
      <c r="A8" s="45"/>
      <c r="B8" s="444"/>
      <c r="C8" s="45"/>
      <c r="D8" s="445"/>
      <c r="F8" s="1202">
        <v>8</v>
      </c>
      <c r="G8" s="1194">
        <v>800</v>
      </c>
      <c r="H8" s="1195">
        <f t="shared" si="0"/>
        <v>377.59999999999997</v>
      </c>
      <c r="I8" s="1196">
        <f t="shared" si="1"/>
        <v>3.8621999999999996</v>
      </c>
      <c r="J8" s="1196">
        <f t="shared" si="1"/>
        <v>5.0735999999999999</v>
      </c>
      <c r="K8" s="1197">
        <f t="shared" si="2"/>
        <v>10.71</v>
      </c>
      <c r="L8" s="1198">
        <f t="shared" si="3"/>
        <v>0.24159999999999998</v>
      </c>
      <c r="M8" s="1199">
        <f t="shared" si="4"/>
        <v>0.255</v>
      </c>
      <c r="N8" s="1200">
        <f t="shared" si="5"/>
        <v>1433</v>
      </c>
      <c r="O8" s="1200">
        <f t="shared" si="5"/>
        <v>543</v>
      </c>
      <c r="P8" s="1200">
        <f t="shared" si="5"/>
        <v>248</v>
      </c>
      <c r="Q8" s="1201" t="s">
        <v>387</v>
      </c>
      <c r="R8" s="1201" t="s">
        <v>393</v>
      </c>
      <c r="AA8" s="50" t="s">
        <v>350</v>
      </c>
      <c r="AB8" s="50">
        <v>3</v>
      </c>
      <c r="AI8" s="43"/>
      <c r="BJ8" s="2226" t="s">
        <v>110</v>
      </c>
      <c r="BK8" s="2226" t="s">
        <v>162</v>
      </c>
      <c r="BL8" s="2226" t="s">
        <v>399</v>
      </c>
      <c r="BM8" s="2226"/>
      <c r="BN8" s="1210" t="s">
        <v>241</v>
      </c>
      <c r="BO8" s="1210" t="s">
        <v>431</v>
      </c>
      <c r="BP8" s="1210" t="s">
        <v>242</v>
      </c>
      <c r="BR8" s="761">
        <v>20</v>
      </c>
      <c r="BS8" s="1182">
        <v>26.9</v>
      </c>
      <c r="BT8" s="1182">
        <f t="shared" si="6"/>
        <v>21.7</v>
      </c>
      <c r="BU8" s="1182">
        <v>2.6</v>
      </c>
      <c r="BV8" s="1183">
        <f t="shared" si="7"/>
        <v>0.24999303974299217</v>
      </c>
      <c r="BW8" s="1184">
        <f t="shared" ref="BW8:BW39" si="8">CC8</f>
        <v>0.67595621930668892</v>
      </c>
      <c r="BX8" s="1185">
        <f>ROUND(6.819*(BW8/BS2)^1.852/(BT8/1000)^1.167*1000*9.81,0)</f>
        <v>300</v>
      </c>
      <c r="BY8" s="508"/>
      <c r="BZ8" s="508"/>
      <c r="CA8" s="398">
        <f>(IF(BY8=0,CA5,BY8)/1000/9.81*(BT8/1000)^1.167/6.819)^(1/1.852)*BS2</f>
        <v>0.67595621930668892</v>
      </c>
      <c r="CB8" s="398">
        <f>6.819*(IF(BZ8=0,CB5,BZ8)/BS2)^1.852/(BT8/1000)^1.167*1000*9.81</f>
        <v>3381.4032240584002</v>
      </c>
      <c r="CC8" s="398">
        <f>IF(CB8&lt;=CA5,IF(CA8&lt;=IF(BZ8=0,CB5,BZ8),CA8,(CB8/1000/9.81*(BT8/1000)^1.167/6.819)^(1/1.852)*BS2),IF(CA8&lt;=IF(BZ8=0,CB5,BZ8),CA8,"Check"))</f>
        <v>0.67595621930668892</v>
      </c>
    </row>
    <row r="9" spans="1:81" ht="13">
      <c r="A9" s="45"/>
      <c r="B9" s="444" t="s">
        <v>428</v>
      </c>
      <c r="C9" s="1429" t="s">
        <v>429</v>
      </c>
      <c r="D9" s="445"/>
      <c r="F9" s="1202">
        <v>10</v>
      </c>
      <c r="G9" s="1194">
        <v>1000</v>
      </c>
      <c r="H9" s="1195">
        <f t="shared" si="0"/>
        <v>472</v>
      </c>
      <c r="I9" s="1196">
        <f t="shared" si="1"/>
        <v>4.7628000000000004</v>
      </c>
      <c r="J9" s="1196">
        <f t="shared" si="1"/>
        <v>6.3755999999999995</v>
      </c>
      <c r="K9" s="1197">
        <f t="shared" si="2"/>
        <v>13.421099999999999</v>
      </c>
      <c r="L9" s="1198">
        <f t="shared" si="3"/>
        <v>0.30359999999999998</v>
      </c>
      <c r="M9" s="1199">
        <f t="shared" si="4"/>
        <v>0.31955</v>
      </c>
      <c r="N9" s="1200">
        <f t="shared" si="5"/>
        <v>1683</v>
      </c>
      <c r="O9" s="1200">
        <f t="shared" si="5"/>
        <v>543</v>
      </c>
      <c r="P9" s="1200">
        <f t="shared" si="5"/>
        <v>248</v>
      </c>
      <c r="Q9" s="1201" t="s">
        <v>388</v>
      </c>
      <c r="R9" s="1201" t="s">
        <v>394</v>
      </c>
      <c r="BJ9" s="2226"/>
      <c r="BK9" s="2226"/>
      <c r="BL9" s="1210" t="s">
        <v>408</v>
      </c>
      <c r="BM9" s="1210" t="s">
        <v>4</v>
      </c>
      <c r="BN9" s="1210" t="s">
        <v>3</v>
      </c>
      <c r="BO9" s="1210" t="s">
        <v>3</v>
      </c>
      <c r="BP9" s="1210" t="s">
        <v>156</v>
      </c>
      <c r="BR9" s="513">
        <v>25</v>
      </c>
      <c r="BS9" s="417">
        <v>33.799999999999997</v>
      </c>
      <c r="BT9" s="417">
        <f t="shared" si="6"/>
        <v>27.4</v>
      </c>
      <c r="BU9" s="417">
        <v>3.2</v>
      </c>
      <c r="BV9" s="1186">
        <f t="shared" si="7"/>
        <v>0.46167453850599982</v>
      </c>
      <c r="BW9" s="1180">
        <f t="shared" si="8"/>
        <v>0.78296962973945827</v>
      </c>
      <c r="BX9" s="1181">
        <f>ROUND(6.819*(BW9/BS2)^1.852/(BT9/1000)^1.167*1000*9.81,0)</f>
        <v>300</v>
      </c>
      <c r="BY9" s="508"/>
      <c r="BZ9" s="508"/>
      <c r="CA9" s="398">
        <f>(IF(BY9=0,CA5,BY9)/1000/9.81*(BT9/1000)^1.167/6.819)^(1/1.852)*BS2</f>
        <v>0.78296962973945827</v>
      </c>
      <c r="CB9" s="398">
        <f>6.819*(IF(BZ9=0,CB5,BZ9)/BS2)^1.852/(BT9/1000)^1.167*1000*9.81</f>
        <v>2575.6720486109321</v>
      </c>
      <c r="CC9" s="398">
        <f>IF(CB9&lt;=CA5,IF(CA9&lt;=IF(BZ9=0,CB5,BZ9),CA9,(CB9/1000/9.81*(BT9/1000)^1.167/6.819)^(1/1.852)*BS2),IF(CA9&lt;=IF(BZ9=0,CB5,BZ9),CA9,"Check"))</f>
        <v>0.78296962973945827</v>
      </c>
    </row>
    <row r="10" spans="1:81">
      <c r="A10" s="45"/>
      <c r="B10" s="444"/>
      <c r="C10" s="45"/>
      <c r="D10" s="445"/>
      <c r="F10" s="1202">
        <v>12</v>
      </c>
      <c r="G10" s="1194">
        <v>1200</v>
      </c>
      <c r="H10" s="1195">
        <f t="shared" si="0"/>
        <v>566.4</v>
      </c>
      <c r="I10" s="1196">
        <f t="shared" si="1"/>
        <v>6.0543999999999993</v>
      </c>
      <c r="J10" s="1196">
        <f t="shared" si="1"/>
        <v>7.9640000000000004</v>
      </c>
      <c r="K10" s="1197">
        <f t="shared" si="2"/>
        <v>16.878400000000003</v>
      </c>
      <c r="L10" s="1198">
        <f t="shared" si="3"/>
        <v>0.37923809523809526</v>
      </c>
      <c r="M10" s="1199">
        <f t="shared" si="4"/>
        <v>0.40186666666666671</v>
      </c>
      <c r="N10" s="1200">
        <f t="shared" si="5"/>
        <v>1853</v>
      </c>
      <c r="O10" s="1200">
        <f t="shared" si="5"/>
        <v>543</v>
      </c>
      <c r="P10" s="1200">
        <f t="shared" si="5"/>
        <v>248</v>
      </c>
      <c r="Q10" s="1201" t="s">
        <v>389</v>
      </c>
      <c r="R10" s="1201" t="s">
        <v>395</v>
      </c>
      <c r="BJ10" s="1202">
        <v>4</v>
      </c>
      <c r="BK10" s="1204"/>
      <c r="BL10" s="1205" t="str">
        <f>IF(BK10&gt;0,VLOOKUP(BJ10,F6:J11,5)*BK10,"-")</f>
        <v>-</v>
      </c>
      <c r="BM10" s="1206" t="str">
        <f>IF(BK10&gt;0,VLOOKUP(BJ10,F6:K11,6)*BK10,"-")</f>
        <v>-</v>
      </c>
      <c r="BN10" s="1205" t="str">
        <f>IF(BK10&gt;0,VLOOKUP(BJ10,$F$6:$R$11,7)*BK10,"-")</f>
        <v>-</v>
      </c>
      <c r="BO10" s="1206" t="str">
        <f>IF(BK10&gt;0,VLOOKUP(BJ10,$F$6:$P$11,8)*BK10,"-")</f>
        <v>-</v>
      </c>
      <c r="BP10" s="1207" t="str">
        <f t="shared" ref="BP10:BP15" si="9">IF(BK10&gt;0,BL10*0.39,"-")</f>
        <v>-</v>
      </c>
      <c r="BR10" s="761">
        <v>32</v>
      </c>
      <c r="BS10" s="1182">
        <v>42.5</v>
      </c>
      <c r="BT10" s="1182">
        <f t="shared" si="6"/>
        <v>36.1</v>
      </c>
      <c r="BU10" s="1182">
        <v>3.2</v>
      </c>
      <c r="BV10" s="1183">
        <f t="shared" si="7"/>
        <v>0.95347959590942388</v>
      </c>
      <c r="BW10" s="1184">
        <f t="shared" si="8"/>
        <v>0.93155203429223377</v>
      </c>
      <c r="BX10" s="1185">
        <f>ROUND(6.819*(BW10/BS2)^1.852/(BT10/1000)^1.167*1000*9.81,0)</f>
        <v>300</v>
      </c>
      <c r="BY10" s="508"/>
      <c r="BZ10" s="508"/>
      <c r="CA10" s="398">
        <f>(IF(BY10=0,CA5,BY10)/1000/9.81*(BT10/1000)^1.167/6.819)^(1/1.852)*BS2</f>
        <v>0.93155203429223377</v>
      </c>
      <c r="CB10" s="398">
        <f>6.819*(IF(BZ10=0,CB5,BZ10)/BS2)^1.852/(BT10/1000)^1.167*1000*9.81</f>
        <v>1866.9580826545944</v>
      </c>
      <c r="CC10" s="398">
        <f>IF(CB10&lt;=CA5,IF(CA10&lt;=IF(BZ10=0,CB5,BZ10),CA10,(CB10/1000/9.81*(BT10/1000)^1.167/6.819)^(1/1.852)*BS2),IF(CA10&lt;=IF(BZ10=0,CB5,BZ10),CA10,"Check"))</f>
        <v>0.93155203429223377</v>
      </c>
    </row>
    <row r="11" spans="1:81" ht="13">
      <c r="A11" s="45"/>
      <c r="B11" s="444" t="s">
        <v>289</v>
      </c>
      <c r="C11" s="1429" t="s">
        <v>403</v>
      </c>
      <c r="D11" s="445"/>
      <c r="F11" s="1202">
        <v>14</v>
      </c>
      <c r="G11" s="1194">
        <v>1400</v>
      </c>
      <c r="H11" s="1195">
        <f t="shared" si="0"/>
        <v>660.8</v>
      </c>
      <c r="I11" s="1196">
        <f t="shared" si="1"/>
        <v>6.5025000000000004</v>
      </c>
      <c r="J11" s="1196">
        <f t="shared" si="1"/>
        <v>8.5782000000000007</v>
      </c>
      <c r="K11" s="1197">
        <f t="shared" si="2"/>
        <v>18.939900000000002</v>
      </c>
      <c r="L11" s="1198">
        <f t="shared" si="3"/>
        <v>0.40848571428571434</v>
      </c>
      <c r="M11" s="1199">
        <f t="shared" si="4"/>
        <v>0.45095000000000002</v>
      </c>
      <c r="N11" s="1200">
        <f t="shared" si="5"/>
        <v>1983</v>
      </c>
      <c r="O11" s="1200">
        <f t="shared" si="5"/>
        <v>543</v>
      </c>
      <c r="P11" s="1200">
        <f t="shared" si="5"/>
        <v>248</v>
      </c>
      <c r="Q11" s="1201" t="s">
        <v>390</v>
      </c>
      <c r="R11" s="1201" t="s">
        <v>396</v>
      </c>
      <c r="V11" s="2241" t="s">
        <v>419</v>
      </c>
      <c r="W11" s="2242"/>
      <c r="X11" s="2242"/>
      <c r="Y11" s="2242"/>
      <c r="Z11" s="2242"/>
      <c r="AA11" s="2242"/>
      <c r="AB11" s="2242"/>
      <c r="AC11" s="2242"/>
      <c r="AD11" s="2242"/>
      <c r="AE11" s="2242"/>
      <c r="AF11" s="2242"/>
      <c r="AG11" s="2242"/>
      <c r="AH11" s="2242"/>
      <c r="AI11" s="2242"/>
      <c r="AJ11" s="2242"/>
      <c r="AK11" s="2242"/>
      <c r="AL11" s="2242"/>
      <c r="AM11" s="2243"/>
      <c r="AN11" s="2241" t="s">
        <v>418</v>
      </c>
      <c r="AO11" s="2242"/>
      <c r="AP11" s="2242"/>
      <c r="AQ11" s="2242"/>
      <c r="AR11" s="2242"/>
      <c r="AS11" s="2242"/>
      <c r="AT11" s="2242"/>
      <c r="AU11" s="2242"/>
      <c r="AV11" s="2243"/>
      <c r="AW11" s="2241" t="s">
        <v>417</v>
      </c>
      <c r="AX11" s="2242"/>
      <c r="AY11" s="2242"/>
      <c r="AZ11" s="2242"/>
      <c r="BA11" s="2242"/>
      <c r="BB11" s="2242"/>
      <c r="BC11" s="2242"/>
      <c r="BD11" s="2242"/>
      <c r="BE11" s="2243"/>
      <c r="BF11" s="45"/>
      <c r="BG11" s="45"/>
      <c r="BH11" s="45"/>
      <c r="BI11" s="50"/>
      <c r="BJ11" s="1202">
        <v>6</v>
      </c>
      <c r="BK11" s="1204"/>
      <c r="BL11" s="1205" t="str">
        <f t="shared" ref="BL11:BL15" si="10">IF(BK11&gt;0,VLOOKUP(BJ11,F7:J12,5)*BK11,"-")</f>
        <v>-</v>
      </c>
      <c r="BM11" s="1206" t="str">
        <f t="shared" ref="BM11:BM15" si="11">IF(BK11&gt;0,VLOOKUP(BJ11,F7:K12,6)*BK11,"-")</f>
        <v>-</v>
      </c>
      <c r="BN11" s="1205" t="str">
        <f t="shared" ref="BN11:BN15" si="12">IF(BK11&gt;0,VLOOKUP(BJ11,$F$6:$R$11,7)*BK11,"-")</f>
        <v>-</v>
      </c>
      <c r="BO11" s="1206" t="str">
        <f t="shared" ref="BO11:BO15" si="13">IF(BK11&gt;0,VLOOKUP(BJ11,$F$6:$P$11,8)*BK11,"-")</f>
        <v>-</v>
      </c>
      <c r="BP11" s="1207" t="str">
        <f t="shared" si="9"/>
        <v>-</v>
      </c>
      <c r="BR11" s="513">
        <v>40</v>
      </c>
      <c r="BS11" s="417">
        <v>48.4</v>
      </c>
      <c r="BT11" s="417">
        <f t="shared" si="6"/>
        <v>42</v>
      </c>
      <c r="BU11" s="417">
        <v>3.2</v>
      </c>
      <c r="BV11" s="1186">
        <f t="shared" si="7"/>
        <v>1.4197818368377952</v>
      </c>
      <c r="BW11" s="1180">
        <f t="shared" si="8"/>
        <v>1.0247859294549928</v>
      </c>
      <c r="BX11" s="1181">
        <f>ROUND(6.819*(BW11/BS2)^1.852/(BT11/1000)^1.167*1000*9.81,0)</f>
        <v>300</v>
      </c>
      <c r="BY11" s="403"/>
      <c r="BZ11" s="403"/>
      <c r="CA11" s="398">
        <f>(IF(BY11=0,CA5,BY11)/1000/9.81*(BT11/1000)^1.167/6.819)^(1/1.852)*BS2</f>
        <v>1.0247859294549928</v>
      </c>
      <c r="CB11" s="398">
        <f>6.819*(IF(BZ11=0,CB5,BZ11)/BS2)^1.852/(BT11/1000)^1.167*1000*9.81</f>
        <v>1564.6368336849289</v>
      </c>
      <c r="CC11" s="398">
        <f>IF(CB11&lt;=CA5,IF(CA11&lt;=IF(BZ11=0,CB5,BZ11),CA11,(CB11/1000/9.81*(BT11/1000)^1.167/6.819)^(1/1.852)*BS2),IF(CA11&lt;=IF(BZ11=0,CB5,BZ11),CA11,"Check"))</f>
        <v>1.0247859294549928</v>
      </c>
    </row>
    <row r="12" spans="1:81">
      <c r="B12" s="444"/>
      <c r="C12" s="45"/>
      <c r="D12" s="445"/>
      <c r="E12" s="45"/>
      <c r="V12" s="2248"/>
      <c r="W12" s="2249"/>
      <c r="X12" s="2249"/>
      <c r="Y12" s="2249"/>
      <c r="Z12" s="2249"/>
      <c r="AA12" s="2249"/>
      <c r="AB12" s="2249"/>
      <c r="AC12" s="2249"/>
      <c r="AD12" s="2249"/>
      <c r="AE12" s="2249"/>
      <c r="AF12" s="2249"/>
      <c r="AG12" s="2249"/>
      <c r="AH12" s="2249"/>
      <c r="AI12" s="2249"/>
      <c r="AJ12" s="2249"/>
      <c r="AK12" s="2249"/>
      <c r="AL12" s="2249"/>
      <c r="AM12" s="2250"/>
      <c r="AN12" s="2248" t="s">
        <v>416</v>
      </c>
      <c r="AO12" s="2249"/>
      <c r="AP12" s="2249"/>
      <c r="AQ12" s="2249"/>
      <c r="AR12" s="2249"/>
      <c r="AS12" s="2249"/>
      <c r="AT12" s="2249"/>
      <c r="AU12" s="2249"/>
      <c r="AV12" s="2250"/>
      <c r="AW12" s="2248" t="s">
        <v>415</v>
      </c>
      <c r="AX12" s="2249"/>
      <c r="AY12" s="2249"/>
      <c r="AZ12" s="2249"/>
      <c r="BA12" s="2249"/>
      <c r="BB12" s="2249"/>
      <c r="BC12" s="2249"/>
      <c r="BD12" s="2249"/>
      <c r="BE12" s="2250"/>
      <c r="BF12" s="45"/>
      <c r="BG12" s="45"/>
      <c r="BH12" s="45"/>
      <c r="BJ12" s="1202">
        <v>8</v>
      </c>
      <c r="BK12" s="1204"/>
      <c r="BL12" s="1205" t="str">
        <f t="shared" si="10"/>
        <v>-</v>
      </c>
      <c r="BM12" s="1206" t="str">
        <f t="shared" si="11"/>
        <v>-</v>
      </c>
      <c r="BN12" s="1205" t="str">
        <f t="shared" si="12"/>
        <v>-</v>
      </c>
      <c r="BO12" s="1206" t="str">
        <f t="shared" si="13"/>
        <v>-</v>
      </c>
      <c r="BP12" s="1207" t="str">
        <f t="shared" si="9"/>
        <v>-</v>
      </c>
      <c r="BR12" s="761">
        <v>50</v>
      </c>
      <c r="BS12" s="1182">
        <v>60.3</v>
      </c>
      <c r="BT12" s="1182">
        <f t="shared" si="6"/>
        <v>53.099999999999994</v>
      </c>
      <c r="BU12" s="1182">
        <v>3.6</v>
      </c>
      <c r="BV12" s="1183">
        <f t="shared" si="7"/>
        <v>2.63079962184373</v>
      </c>
      <c r="BW12" s="1184">
        <f t="shared" si="8"/>
        <v>1.1879792286187627</v>
      </c>
      <c r="BX12" s="1185">
        <f>ROUND(6.819*(BW12/BS2)^1.852/(BT12/1000)^1.167*1000*9.81,0)</f>
        <v>300</v>
      </c>
      <c r="BY12" s="403"/>
      <c r="BZ12" s="403"/>
      <c r="CA12" s="398">
        <f>(IF(BY12=0,CA5,BY12)/1000/9.81*(BT12/1000)^1.167/6.819)^(1/1.852)*BS2</f>
        <v>1.1879792286187627</v>
      </c>
      <c r="CB12" s="398">
        <f>6.819*(IF(BZ12=0,CB5,BZ12)/BS2)^1.852/(BT12/1000)^1.167*1000*9.81</f>
        <v>1190.0361813787081</v>
      </c>
      <c r="CC12" s="398">
        <f>IF(CB12&lt;=CA5,IF(CA12&lt;=IF(BZ12=0,CB5,BZ12),CA12,(CB12/1000/9.81*(BT12/1000)^1.167/6.819)^(1/1.852)*BS2),IF(CA12&lt;=IF(BZ12=0,CB5,BZ12),CA12,"Check"))</f>
        <v>1.1879792286187627</v>
      </c>
    </row>
    <row r="13" spans="1:81" ht="13">
      <c r="B13" s="444" t="s">
        <v>397</v>
      </c>
      <c r="C13" s="1429">
        <v>50</v>
      </c>
      <c r="D13" s="604" t="s">
        <v>9</v>
      </c>
      <c r="E13" s="45"/>
      <c r="F13" s="60" t="str">
        <f>IF(C9="4-pipe","*3-row cooling coil + 1-row heating coil is selected","*3-row cooling coil is selected")</f>
        <v>*3-row cooling coil is selected</v>
      </c>
      <c r="U13" s="50" t="s">
        <v>8</v>
      </c>
      <c r="V13" s="2232" t="s">
        <v>423</v>
      </c>
      <c r="W13" s="2233"/>
      <c r="X13" s="2233"/>
      <c r="Y13" s="2233"/>
      <c r="Z13" s="2233"/>
      <c r="AA13" s="2234"/>
      <c r="AB13" s="2232" t="s">
        <v>424</v>
      </c>
      <c r="AC13" s="2233"/>
      <c r="AD13" s="2233"/>
      <c r="AE13" s="2233"/>
      <c r="AF13" s="2233"/>
      <c r="AG13" s="2234"/>
      <c r="AH13" s="2228" t="s">
        <v>425</v>
      </c>
      <c r="AI13" s="2228"/>
      <c r="AJ13" s="2228"/>
      <c r="AK13" s="2228"/>
      <c r="AL13" s="2228"/>
      <c r="AM13" s="2228"/>
      <c r="AN13" s="2240">
        <v>12</v>
      </c>
      <c r="AO13" s="2228"/>
      <c r="AP13" s="2228"/>
      <c r="AQ13" s="2240">
        <v>30</v>
      </c>
      <c r="AR13" s="2228"/>
      <c r="AS13" s="2228"/>
      <c r="AT13" s="2240">
        <v>50</v>
      </c>
      <c r="AU13" s="2228"/>
      <c r="AV13" s="2228"/>
      <c r="AW13" s="2240">
        <v>12</v>
      </c>
      <c r="AX13" s="2228"/>
      <c r="AY13" s="2228"/>
      <c r="AZ13" s="2232">
        <v>30</v>
      </c>
      <c r="BA13" s="2233"/>
      <c r="BB13" s="2234"/>
      <c r="BC13" s="2232">
        <v>50</v>
      </c>
      <c r="BD13" s="2233"/>
      <c r="BE13" s="2233"/>
      <c r="BF13" s="64"/>
      <c r="BG13" s="65"/>
      <c r="BH13" s="66"/>
      <c r="BI13" s="67"/>
      <c r="BJ13" s="1202">
        <v>10</v>
      </c>
      <c r="BK13" s="1204"/>
      <c r="BL13" s="1205" t="str">
        <f t="shared" si="10"/>
        <v>-</v>
      </c>
      <c r="BM13" s="1206" t="str">
        <f t="shared" si="11"/>
        <v>-</v>
      </c>
      <c r="BN13" s="1205" t="str">
        <f t="shared" si="12"/>
        <v>-</v>
      </c>
      <c r="BO13" s="1206" t="str">
        <f t="shared" si="13"/>
        <v>-</v>
      </c>
      <c r="BP13" s="1207" t="str">
        <f t="shared" si="9"/>
        <v>-</v>
      </c>
      <c r="BR13" s="513">
        <v>65</v>
      </c>
      <c r="BS13" s="417">
        <v>76</v>
      </c>
      <c r="BT13" s="417">
        <f t="shared" si="6"/>
        <v>68.8</v>
      </c>
      <c r="BU13" s="417">
        <v>3.6</v>
      </c>
      <c r="BV13" s="1186">
        <f t="shared" si="7"/>
        <v>5.1994972269692425</v>
      </c>
      <c r="BW13" s="1180">
        <f t="shared" si="8"/>
        <v>1.398603443186786</v>
      </c>
      <c r="BX13" s="1181">
        <f>ROUND(6.819*(BW13/BS2)^1.852/(BT13/1000)^1.167*1000*9.81,0)</f>
        <v>300</v>
      </c>
      <c r="BY13" s="403"/>
      <c r="BZ13" s="403"/>
      <c r="CA13" s="398">
        <f>(IF(BY13=0,CA5,BY13)/1000/9.81*(BT13/1000)^1.167/6.819)^(1/1.852)*BS2</f>
        <v>1.398603443186786</v>
      </c>
      <c r="CB13" s="398">
        <f>6.819*(IF(BZ13=0,CB5,BZ13)/BS2)^1.852/(BT13/1000)^1.167*1000*9.81</f>
        <v>879.58894913021436</v>
      </c>
      <c r="CC13" s="398">
        <f>IF(CB13&lt;=CA5,IF(CA13&lt;=IF(BZ13=0,CB5,BZ13),CA13,(CB13/1000/9.81*(BT13/1000)^1.167/6.819)^(1/1.852)*BS2),IF(CA13&lt;=IF(BZ13=0,CB5,BZ13),CA13,"Check"))</f>
        <v>1.398603443186786</v>
      </c>
    </row>
    <row r="14" spans="1:81" ht="13">
      <c r="B14" s="444"/>
      <c r="C14" s="45"/>
      <c r="D14" s="445"/>
      <c r="E14" s="56"/>
      <c r="F14" s="55" t="s">
        <v>407</v>
      </c>
      <c r="T14" s="68"/>
      <c r="U14" s="69" t="s">
        <v>109</v>
      </c>
      <c r="V14" s="2223" t="s">
        <v>350</v>
      </c>
      <c r="W14" s="2224"/>
      <c r="X14" s="2224" t="s">
        <v>351</v>
      </c>
      <c r="Y14" s="2224"/>
      <c r="Z14" s="2224" t="s">
        <v>352</v>
      </c>
      <c r="AA14" s="2225"/>
      <c r="AB14" s="2223" t="s">
        <v>350</v>
      </c>
      <c r="AC14" s="2224"/>
      <c r="AD14" s="2224" t="s">
        <v>351</v>
      </c>
      <c r="AE14" s="2224"/>
      <c r="AF14" s="2224" t="s">
        <v>352</v>
      </c>
      <c r="AG14" s="2225"/>
      <c r="AH14" s="2224" t="s">
        <v>350</v>
      </c>
      <c r="AI14" s="2224"/>
      <c r="AJ14" s="2224" t="s">
        <v>351</v>
      </c>
      <c r="AK14" s="2224"/>
      <c r="AL14" s="2224" t="s">
        <v>352</v>
      </c>
      <c r="AM14" s="2224"/>
      <c r="AN14" s="2223" t="s">
        <v>4</v>
      </c>
      <c r="AO14" s="2224"/>
      <c r="AP14" s="2224"/>
      <c r="AQ14" s="2223" t="s">
        <v>4</v>
      </c>
      <c r="AR14" s="2224"/>
      <c r="AS14" s="2224"/>
      <c r="AT14" s="2223" t="s">
        <v>4</v>
      </c>
      <c r="AU14" s="2224"/>
      <c r="AV14" s="2224"/>
      <c r="AW14" s="2223" t="s">
        <v>4</v>
      </c>
      <c r="AX14" s="2224"/>
      <c r="AY14" s="2224"/>
      <c r="AZ14" s="2223" t="s">
        <v>4</v>
      </c>
      <c r="BA14" s="2224"/>
      <c r="BB14" s="2225"/>
      <c r="BC14" s="2223" t="s">
        <v>4</v>
      </c>
      <c r="BD14" s="2224"/>
      <c r="BE14" s="2224"/>
      <c r="BF14" s="2223" t="s">
        <v>326</v>
      </c>
      <c r="BG14" s="2224"/>
      <c r="BH14" s="2225"/>
      <c r="BI14" s="67"/>
      <c r="BJ14" s="1202">
        <v>12</v>
      </c>
      <c r="BK14" s="1204"/>
      <c r="BL14" s="1205" t="str">
        <f t="shared" si="10"/>
        <v>-</v>
      </c>
      <c r="BM14" s="1206" t="str">
        <f t="shared" si="11"/>
        <v>-</v>
      </c>
      <c r="BN14" s="1205" t="str">
        <f t="shared" si="12"/>
        <v>-</v>
      </c>
      <c r="BO14" s="1206" t="str">
        <f t="shared" si="13"/>
        <v>-</v>
      </c>
      <c r="BP14" s="1207" t="str">
        <f t="shared" si="9"/>
        <v>-</v>
      </c>
      <c r="BR14" s="761">
        <v>80</v>
      </c>
      <c r="BS14" s="1182">
        <v>88.8</v>
      </c>
      <c r="BT14" s="1182">
        <f t="shared" si="6"/>
        <v>80.8</v>
      </c>
      <c r="BU14" s="1182">
        <v>4</v>
      </c>
      <c r="BV14" s="1183">
        <f t="shared" si="7"/>
        <v>7.9360553021882252</v>
      </c>
      <c r="BW14" s="1184">
        <f t="shared" si="8"/>
        <v>1.5477188878466588</v>
      </c>
      <c r="BX14" s="1185">
        <f>ROUND(6.819*(BW14/BS2)^1.852/(BT14/1000)^1.167*1000*9.81,0)</f>
        <v>300</v>
      </c>
      <c r="BY14" s="403"/>
      <c r="BZ14" s="403"/>
      <c r="CA14" s="398">
        <f>(IF(BY14=0,CA5,BY14)/1000/9.81*(BT14/1000)^1.167/6.819)^(1/1.852)*BS2</f>
        <v>1.5477188878466588</v>
      </c>
      <c r="CB14" s="398">
        <f>6.819*(IF(BZ14=0,CB5,BZ14)/BS2)^1.852/(BT14/1000)^1.167*1000*9.81</f>
        <v>729.11563925054213</v>
      </c>
      <c r="CC14" s="398">
        <f>IF(CB14&lt;=CA5,IF(CA14&lt;=IF(BZ14=0,CB5,BZ14),CA14,(CB14/1000/9.81*(BT14/1000)^1.167/6.819)^(1/1.852)*BS2),IF(CA14&lt;=IF(BZ14=0,CB5,BZ14),CA14,"Check"))</f>
        <v>1.5477188878466588</v>
      </c>
    </row>
    <row r="15" spans="1:81" ht="13">
      <c r="B15" s="444" t="s">
        <v>353</v>
      </c>
      <c r="C15" s="1429" t="s">
        <v>351</v>
      </c>
      <c r="D15" s="445"/>
      <c r="E15" s="56"/>
      <c r="F15" s="57" t="s">
        <v>1969</v>
      </c>
      <c r="T15" s="70"/>
      <c r="U15" s="71" t="s">
        <v>110</v>
      </c>
      <c r="V15" s="72" t="s">
        <v>401</v>
      </c>
      <c r="W15" s="73" t="s">
        <v>402</v>
      </c>
      <c r="X15" s="73" t="s">
        <v>401</v>
      </c>
      <c r="Y15" s="73" t="s">
        <v>402</v>
      </c>
      <c r="Z15" s="73" t="s">
        <v>401</v>
      </c>
      <c r="AA15" s="74" t="s">
        <v>402</v>
      </c>
      <c r="AB15" s="72" t="s">
        <v>401</v>
      </c>
      <c r="AC15" s="73" t="s">
        <v>402</v>
      </c>
      <c r="AD15" s="73" t="s">
        <v>401</v>
      </c>
      <c r="AE15" s="73" t="s">
        <v>402</v>
      </c>
      <c r="AF15" s="73" t="s">
        <v>401</v>
      </c>
      <c r="AG15" s="74" t="s">
        <v>402</v>
      </c>
      <c r="AH15" s="73" t="s">
        <v>401</v>
      </c>
      <c r="AI15" s="73" t="s">
        <v>402</v>
      </c>
      <c r="AJ15" s="73" t="s">
        <v>401</v>
      </c>
      <c r="AK15" s="73" t="s">
        <v>402</v>
      </c>
      <c r="AL15" s="73" t="s">
        <v>401</v>
      </c>
      <c r="AM15" s="73" t="s">
        <v>402</v>
      </c>
      <c r="AN15" s="72" t="s">
        <v>422</v>
      </c>
      <c r="AO15" s="73" t="s">
        <v>421</v>
      </c>
      <c r="AP15" s="75" t="s">
        <v>420</v>
      </c>
      <c r="AQ15" s="72" t="s">
        <v>422</v>
      </c>
      <c r="AR15" s="73" t="s">
        <v>421</v>
      </c>
      <c r="AS15" s="75" t="s">
        <v>420</v>
      </c>
      <c r="AT15" s="72" t="s">
        <v>422</v>
      </c>
      <c r="AU15" s="73" t="s">
        <v>421</v>
      </c>
      <c r="AV15" s="75" t="s">
        <v>420</v>
      </c>
      <c r="AW15" s="72" t="s">
        <v>422</v>
      </c>
      <c r="AX15" s="73" t="s">
        <v>421</v>
      </c>
      <c r="AY15" s="75" t="s">
        <v>420</v>
      </c>
      <c r="AZ15" s="72" t="s">
        <v>422</v>
      </c>
      <c r="BA15" s="73" t="s">
        <v>421</v>
      </c>
      <c r="BB15" s="76" t="s">
        <v>420</v>
      </c>
      <c r="BC15" s="72" t="s">
        <v>422</v>
      </c>
      <c r="BD15" s="73" t="s">
        <v>421</v>
      </c>
      <c r="BE15" s="75" t="s">
        <v>420</v>
      </c>
      <c r="BF15" s="72" t="s">
        <v>182</v>
      </c>
      <c r="BG15" s="73" t="s">
        <v>173</v>
      </c>
      <c r="BH15" s="74" t="s">
        <v>183</v>
      </c>
      <c r="BI15" s="67"/>
      <c r="BJ15" s="1202">
        <v>14</v>
      </c>
      <c r="BK15" s="1204"/>
      <c r="BL15" s="1205" t="str">
        <f t="shared" si="10"/>
        <v>-</v>
      </c>
      <c r="BM15" s="1206" t="str">
        <f t="shared" si="11"/>
        <v>-</v>
      </c>
      <c r="BN15" s="1205" t="str">
        <f t="shared" si="12"/>
        <v>-</v>
      </c>
      <c r="BO15" s="1206" t="str">
        <f t="shared" si="13"/>
        <v>-</v>
      </c>
      <c r="BP15" s="1207" t="str">
        <f t="shared" si="9"/>
        <v>-</v>
      </c>
      <c r="BR15" s="513">
        <v>100</v>
      </c>
      <c r="BS15" s="417">
        <v>114.1</v>
      </c>
      <c r="BT15" s="417">
        <f t="shared" si="6"/>
        <v>105.1</v>
      </c>
      <c r="BU15" s="417">
        <v>4.5</v>
      </c>
      <c r="BV15" s="1186">
        <f t="shared" si="7"/>
        <v>15.846842730490339</v>
      </c>
      <c r="BW15" s="1180">
        <f t="shared" si="8"/>
        <v>1.8266167442958354</v>
      </c>
      <c r="BX15" s="1181">
        <f>ROUND(6.819*(BW15/BS2)^1.852/(BT15/1000)^1.167*1000*9.81,0)</f>
        <v>300</v>
      </c>
      <c r="BY15" s="403"/>
      <c r="BZ15" s="403"/>
      <c r="CA15" s="398">
        <f>(IF(BY15=0,CA5,BY15)/1000/9.81*(BT15/1000)^1.167/6.819)^(1/1.852)*BS2</f>
        <v>1.8266167442958354</v>
      </c>
      <c r="CB15" s="398">
        <f>6.819*(IF(BZ15=0,CB5,BZ15)/BS2)^1.852/(BT15/1000)^1.167*1000*9.81</f>
        <v>536.45722927920713</v>
      </c>
      <c r="CC15" s="398">
        <f>IF(CB15&lt;=CA5,IF(CA15&lt;=IF(BZ15=0,CB5,BZ15),CA15,(CB15/1000/9.81*(BT15/1000)^1.167/6.819)^(1/1.852)*BS2),IF(CA15&lt;=IF(BZ15=0,CB5,BZ15),CA15,"Check"))</f>
        <v>1.8266167442958354</v>
      </c>
    </row>
    <row r="16" spans="1:81" ht="13">
      <c r="B16" s="51"/>
      <c r="C16" s="446"/>
      <c r="D16" s="52"/>
      <c r="E16" s="56"/>
      <c r="F16" s="57" t="s">
        <v>1681</v>
      </c>
      <c r="T16" s="2235" t="s">
        <v>403</v>
      </c>
      <c r="U16" s="78">
        <v>4</v>
      </c>
      <c r="V16" s="79">
        <f>Z16*0.58</f>
        <v>1444.1999999999998</v>
      </c>
      <c r="W16" s="80">
        <f>AA16*0.62</f>
        <v>2052.1999999999998</v>
      </c>
      <c r="X16" s="80">
        <f>Z16*0.78</f>
        <v>1942.2</v>
      </c>
      <c r="Y16" s="80">
        <f>AA16*0.8</f>
        <v>2648</v>
      </c>
      <c r="Z16" s="81">
        <f>2490*1</f>
        <v>2490</v>
      </c>
      <c r="AA16" s="82">
        <f>3310*1</f>
        <v>3310</v>
      </c>
      <c r="AB16" s="83" t="s">
        <v>243</v>
      </c>
      <c r="AC16" s="84" t="s">
        <v>243</v>
      </c>
      <c r="AD16" s="84" t="s">
        <v>243</v>
      </c>
      <c r="AE16" s="541" t="s">
        <v>243</v>
      </c>
      <c r="AF16" s="84" t="s">
        <v>243</v>
      </c>
      <c r="AG16" s="85" t="s">
        <v>243</v>
      </c>
      <c r="AH16" s="80">
        <f>AL16*0.58</f>
        <v>1264.3999999999999</v>
      </c>
      <c r="AI16" s="80">
        <f>AM16*0.62</f>
        <v>1791.8</v>
      </c>
      <c r="AJ16" s="80">
        <f>AL16*0.78</f>
        <v>1700.4</v>
      </c>
      <c r="AK16" s="80">
        <f>AM16*0.8</f>
        <v>2312</v>
      </c>
      <c r="AL16" s="81">
        <f>2180*1</f>
        <v>2180</v>
      </c>
      <c r="AM16" s="81">
        <f>2890*1</f>
        <v>2890</v>
      </c>
      <c r="AN16" s="79">
        <f>AP16*0.6</f>
        <v>3972</v>
      </c>
      <c r="AO16" s="80">
        <f>AP16*0.79</f>
        <v>5229.8</v>
      </c>
      <c r="AP16" s="81">
        <v>6620</v>
      </c>
      <c r="AQ16" s="86" t="s">
        <v>243</v>
      </c>
      <c r="AR16" s="87" t="s">
        <v>243</v>
      </c>
      <c r="AS16" s="88" t="s">
        <v>243</v>
      </c>
      <c r="AT16" s="79">
        <f>AV16*0.6</f>
        <v>3516</v>
      </c>
      <c r="AU16" s="80">
        <f>AV16*0.79</f>
        <v>4629.4000000000005</v>
      </c>
      <c r="AV16" s="81">
        <v>5860</v>
      </c>
      <c r="AW16" s="79">
        <f>AY16*0.6</f>
        <v>2034</v>
      </c>
      <c r="AX16" s="80">
        <f>AY16*0.79</f>
        <v>2678.1</v>
      </c>
      <c r="AY16" s="81">
        <v>3390</v>
      </c>
      <c r="AZ16" s="86" t="s">
        <v>243</v>
      </c>
      <c r="BA16" s="87" t="s">
        <v>243</v>
      </c>
      <c r="BB16" s="88" t="s">
        <v>243</v>
      </c>
      <c r="BC16" s="79">
        <f>BE16*0.6</f>
        <v>1764</v>
      </c>
      <c r="BD16" s="80">
        <f>BE16*0.79</f>
        <v>2322.6</v>
      </c>
      <c r="BE16" s="81">
        <v>2940</v>
      </c>
      <c r="BF16" s="89">
        <v>983</v>
      </c>
      <c r="BG16" s="90">
        <v>543</v>
      </c>
      <c r="BH16" s="91">
        <v>248</v>
      </c>
      <c r="BI16" s="67"/>
      <c r="BJ16" s="1173" t="s">
        <v>382</v>
      </c>
      <c r="BK16" s="1174" t="str">
        <f>IF(SUM(BK10:BK15)&gt;0,SUM(BK10:BK15),"-")</f>
        <v>-</v>
      </c>
      <c r="BL16" s="158" t="str">
        <f>IF(SUM(BK10:BK15)&gt;0,SUM(BL10:BL15),"-")</f>
        <v>-</v>
      </c>
      <c r="BM16" s="54" t="str">
        <f>IF(SUM(BK10:BK15)&gt;0,SUM(BM10:BM15),"-")</f>
        <v>-</v>
      </c>
      <c r="BN16" s="1175" t="str">
        <f>IF(SUM(BK10:BK15)&gt;0,SUM(BN10:BN15),"-")</f>
        <v>-</v>
      </c>
      <c r="BO16" s="1176" t="str">
        <f>IF(SUM(BK10:BK15)&gt;0,SUM(BO10:BO15),"-")</f>
        <v>-</v>
      </c>
      <c r="BP16" s="1177" t="str">
        <f>IF(SUM(BK10:BK15)&gt;0,SUM(BP10:BP15),"-")</f>
        <v>-</v>
      </c>
      <c r="BQ16" s="67"/>
      <c r="BR16" s="761">
        <v>125</v>
      </c>
      <c r="BS16" s="1182">
        <v>139.65</v>
      </c>
      <c r="BT16" s="1182">
        <f t="shared" si="6"/>
        <v>129.65</v>
      </c>
      <c r="BU16" s="1182">
        <v>5</v>
      </c>
      <c r="BV16" s="1183">
        <f t="shared" si="7"/>
        <v>27.525242248838314</v>
      </c>
      <c r="BW16" s="1184">
        <f t="shared" si="8"/>
        <v>2.0849527933201721</v>
      </c>
      <c r="BX16" s="1185">
        <f>ROUND(6.819*(BW16/BS2)^1.852/(BT16/1000)^1.167*1000*9.81,0)</f>
        <v>300</v>
      </c>
      <c r="BY16" s="403"/>
      <c r="BZ16" s="403"/>
      <c r="CA16" s="398">
        <f>(IF(BY16=0,CA5,BY16)/1000/9.81*(BT16/1000)^1.167/6.819)^(1/1.852)*BS2</f>
        <v>2.0849527933201721</v>
      </c>
      <c r="CB16" s="398">
        <f>6.819*(IF(BZ16=0,CB5,BZ16)/BS2)^1.852/(BT16/1000)^1.167*1000*9.81</f>
        <v>419.89426179175757</v>
      </c>
      <c r="CC16" s="398">
        <f>IF(CB16&lt;=CA5,IF(CA16&lt;=IF(BZ16=0,CB5,BZ16),CA16,(CB16/1000/9.81*(BT16/1000)^1.167/6.819)^(1/1.852)*BS2),IF(CA16&lt;=IF(BZ16=0,CB5,BZ16),CA16,"Check"))</f>
        <v>2.0849527933201721</v>
      </c>
    </row>
    <row r="17" spans="1:81" ht="13">
      <c r="E17" s="45"/>
      <c r="F17" s="57" t="s">
        <v>1682</v>
      </c>
      <c r="T17" s="2235"/>
      <c r="U17" s="78">
        <v>6</v>
      </c>
      <c r="V17" s="79">
        <f>Z17*0.56</f>
        <v>2027.2000000000003</v>
      </c>
      <c r="W17" s="80">
        <f>AA17*0.6</f>
        <v>2868</v>
      </c>
      <c r="X17" s="80">
        <f>Z17*0.77</f>
        <v>2787.4</v>
      </c>
      <c r="Y17" s="80">
        <f>AA17*0.8</f>
        <v>3824</v>
      </c>
      <c r="Z17" s="81">
        <f>3620*1</f>
        <v>3620</v>
      </c>
      <c r="AA17" s="82">
        <f>4780*1</f>
        <v>4780</v>
      </c>
      <c r="AB17" s="83" t="s">
        <v>243</v>
      </c>
      <c r="AC17" s="84" t="s">
        <v>243</v>
      </c>
      <c r="AD17" s="84" t="s">
        <v>243</v>
      </c>
      <c r="AE17" s="84" t="s">
        <v>243</v>
      </c>
      <c r="AF17" s="84" t="s">
        <v>243</v>
      </c>
      <c r="AG17" s="85" t="s">
        <v>243</v>
      </c>
      <c r="AH17" s="80">
        <f>AL17*0.56</f>
        <v>1898.4</v>
      </c>
      <c r="AI17" s="80">
        <f>AM17*0.6</f>
        <v>2694</v>
      </c>
      <c r="AJ17" s="80">
        <f>AL17*0.77</f>
        <v>2610.3000000000002</v>
      </c>
      <c r="AK17" s="80">
        <f>AM17*0.8</f>
        <v>3592</v>
      </c>
      <c r="AL17" s="81">
        <f>3390*1</f>
        <v>3390</v>
      </c>
      <c r="AM17" s="81">
        <f>4490*1</f>
        <v>4490</v>
      </c>
      <c r="AN17" s="79">
        <f>AP17*0.57</f>
        <v>5432.0999999999995</v>
      </c>
      <c r="AO17" s="80">
        <f>AP17*0.79</f>
        <v>7528.7000000000007</v>
      </c>
      <c r="AP17" s="81">
        <v>9530</v>
      </c>
      <c r="AQ17" s="83" t="s">
        <v>243</v>
      </c>
      <c r="AR17" s="84" t="s">
        <v>243</v>
      </c>
      <c r="AS17" s="85" t="s">
        <v>243</v>
      </c>
      <c r="AT17" s="79">
        <f>AV17*0.57</f>
        <v>5329.4999999999991</v>
      </c>
      <c r="AU17" s="80">
        <f>AV17*0.79</f>
        <v>7386.5</v>
      </c>
      <c r="AV17" s="81">
        <v>9350</v>
      </c>
      <c r="AW17" s="79">
        <f>AY17*0.57</f>
        <v>2661.8999999999996</v>
      </c>
      <c r="AX17" s="80">
        <f>AY17*0.79</f>
        <v>3689.3</v>
      </c>
      <c r="AY17" s="81">
        <v>4670</v>
      </c>
      <c r="AZ17" s="83" t="s">
        <v>243</v>
      </c>
      <c r="BA17" s="84" t="s">
        <v>243</v>
      </c>
      <c r="BB17" s="85" t="s">
        <v>243</v>
      </c>
      <c r="BC17" s="79">
        <f>BE17*0.57</f>
        <v>2610.6</v>
      </c>
      <c r="BD17" s="80">
        <f>BE17*0.79</f>
        <v>3618.2000000000003</v>
      </c>
      <c r="BE17" s="81">
        <v>4580</v>
      </c>
      <c r="BF17" s="89">
        <v>1153</v>
      </c>
      <c r="BG17" s="90">
        <v>543</v>
      </c>
      <c r="BH17" s="91">
        <v>248</v>
      </c>
      <c r="BI17" s="67"/>
      <c r="BL17" s="2227" t="s">
        <v>359</v>
      </c>
      <c r="BM17" s="2227"/>
      <c r="BN17" s="160" t="str">
        <f>IF(BN16="-","-",BR77)</f>
        <v>-</v>
      </c>
      <c r="BO17" s="161" t="str">
        <f>IF(BO16="-","-",BV77)</f>
        <v>-</v>
      </c>
      <c r="BP17" s="159" t="str">
        <f>IF(BP16="-","-",VLOOKUP(MIN(BZ45:BZ53),BZ45:CA53,2,TRUE))</f>
        <v>-</v>
      </c>
      <c r="BQ17" s="67"/>
      <c r="BR17" s="513">
        <v>150</v>
      </c>
      <c r="BS17" s="417">
        <v>165.1</v>
      </c>
      <c r="BT17" s="417">
        <f t="shared" si="6"/>
        <v>155.1</v>
      </c>
      <c r="BU17" s="417">
        <v>5</v>
      </c>
      <c r="BV17" s="1186">
        <f t="shared" si="7"/>
        <v>44.102025373274287</v>
      </c>
      <c r="BW17" s="1180">
        <f t="shared" si="8"/>
        <v>2.3342375858742308</v>
      </c>
      <c r="BX17" s="1181">
        <f>ROUND(6.819*(BW17/BS2)^1.852/(BT17/1000)^1.167*1000*9.81,0)</f>
        <v>300</v>
      </c>
      <c r="BY17" s="403"/>
      <c r="BZ17" s="403"/>
      <c r="CA17" s="398">
        <f>(IF(BY17=0,CA5,BY17)/1000/9.81*(BT17/1000)^1.167/6.819)^(1/1.852)*BS2</f>
        <v>2.3342375858742308</v>
      </c>
      <c r="CB17" s="398">
        <f>6.819*(IF(BZ17=0,CB5,BZ17)/BS2)^1.852/(BT17/1000)^1.167*1000*9.81</f>
        <v>340.64459607547985</v>
      </c>
      <c r="CC17" s="398">
        <f>IF(CB17&lt;=CA5,IF(CA17&lt;=IF(BZ17=0,CB5,BZ17),CA17,(CB17/1000/9.81*(BT17/1000)^1.167/6.819)^(1/1.852)*BS2),IF(CA17&lt;=IF(BZ17=0,CB5,BZ17),CA17,"Check"))</f>
        <v>2.3342375858742308</v>
      </c>
    </row>
    <row r="18" spans="1:81">
      <c r="E18" s="45"/>
      <c r="F18" s="2252" t="s">
        <v>1683</v>
      </c>
      <c r="G18" s="2253"/>
      <c r="H18" s="2253"/>
      <c r="T18" s="2235"/>
      <c r="U18" s="78">
        <v>8</v>
      </c>
      <c r="V18" s="79">
        <f>Z18*0.61</f>
        <v>2891.4</v>
      </c>
      <c r="W18" s="80">
        <f>AA18*0.64</f>
        <v>3884.8</v>
      </c>
      <c r="X18" s="80">
        <f>Z18*0.82</f>
        <v>3886.7999999999997</v>
      </c>
      <c r="Y18" s="80">
        <f>AA18*0.84</f>
        <v>5098.8</v>
      </c>
      <c r="Z18" s="81">
        <f>4740*1</f>
        <v>4740</v>
      </c>
      <c r="AA18" s="82">
        <f>6070*1</f>
        <v>6070</v>
      </c>
      <c r="AB18" s="83" t="s">
        <v>243</v>
      </c>
      <c r="AC18" s="84" t="s">
        <v>243</v>
      </c>
      <c r="AD18" s="84" t="s">
        <v>243</v>
      </c>
      <c r="AE18" s="84" t="s">
        <v>243</v>
      </c>
      <c r="AF18" s="84" t="s">
        <v>243</v>
      </c>
      <c r="AG18" s="85" t="s">
        <v>243</v>
      </c>
      <c r="AH18" s="80">
        <f>AL18*0.61</f>
        <v>2873.1</v>
      </c>
      <c r="AI18" s="80">
        <f>AM18*0.64</f>
        <v>3865.6</v>
      </c>
      <c r="AJ18" s="80">
        <f>AL18*0.82</f>
        <v>3862.2</v>
      </c>
      <c r="AK18" s="80">
        <f>AM18*0.84</f>
        <v>5073.5999999999995</v>
      </c>
      <c r="AL18" s="81">
        <f>4710*1</f>
        <v>4710</v>
      </c>
      <c r="AM18" s="81">
        <f>6040*1</f>
        <v>6040</v>
      </c>
      <c r="AN18" s="79">
        <f>AP18*0.64</f>
        <v>808.32</v>
      </c>
      <c r="AO18" s="80">
        <f>AP18*0.84</f>
        <v>1060.92</v>
      </c>
      <c r="AP18" s="81">
        <v>1263</v>
      </c>
      <c r="AQ18" s="83" t="s">
        <v>243</v>
      </c>
      <c r="AR18" s="84" t="s">
        <v>243</v>
      </c>
      <c r="AS18" s="85" t="s">
        <v>243</v>
      </c>
      <c r="AT18" s="79">
        <f>AV18*0.64</f>
        <v>8160</v>
      </c>
      <c r="AU18" s="80">
        <f>AV18*0.84</f>
        <v>10710</v>
      </c>
      <c r="AV18" s="81">
        <v>12750</v>
      </c>
      <c r="AW18" s="79">
        <f>AY18*0.64</f>
        <v>3878.4</v>
      </c>
      <c r="AX18" s="80">
        <f>AY18*0.84</f>
        <v>5090.3999999999996</v>
      </c>
      <c r="AY18" s="81">
        <v>6060</v>
      </c>
      <c r="AZ18" s="83" t="s">
        <v>243</v>
      </c>
      <c r="BA18" s="84" t="s">
        <v>243</v>
      </c>
      <c r="BB18" s="85" t="s">
        <v>243</v>
      </c>
      <c r="BC18" s="79">
        <f>BE18*0.64</f>
        <v>3884.8</v>
      </c>
      <c r="BD18" s="80">
        <f>BE18*0.84</f>
        <v>5098.8</v>
      </c>
      <c r="BE18" s="81">
        <v>6070</v>
      </c>
      <c r="BF18" s="89">
        <v>1433</v>
      </c>
      <c r="BG18" s="90">
        <v>543</v>
      </c>
      <c r="BH18" s="91">
        <v>248</v>
      </c>
      <c r="BI18" s="67"/>
      <c r="BQ18" s="67"/>
      <c r="BR18" s="761">
        <v>200</v>
      </c>
      <c r="BS18" s="1182">
        <v>219.1</v>
      </c>
      <c r="BT18" s="1182">
        <f t="shared" si="6"/>
        <v>206.5</v>
      </c>
      <c r="BU18" s="1182">
        <v>6.3</v>
      </c>
      <c r="BV18" s="1183">
        <f t="shared" si="7"/>
        <v>83.727862082837063</v>
      </c>
      <c r="BW18" s="1184">
        <f t="shared" si="8"/>
        <v>2.4999999999999991</v>
      </c>
      <c r="BX18" s="1185">
        <f>ROUND(6.819*(BW18/BS2)^1.852/(BT18/1000)^1.167*1000*9.81,0)</f>
        <v>244</v>
      </c>
      <c r="BY18" s="403"/>
      <c r="BZ18" s="403"/>
      <c r="CA18" s="398">
        <f>(IF(BY18=0,CA5,BY18)/1000/9.81*(BT18/1000)^1.167/6.819)^(1/1.852)*BS2</f>
        <v>2.7956021738014907</v>
      </c>
      <c r="CB18" s="398">
        <f>6.819*(IF(BZ18=0,CB5,BZ18)/BS2)^1.852/(BT18/1000)^1.167*1000*9.81</f>
        <v>243.91233651413933</v>
      </c>
      <c r="CC18" s="398">
        <f>IF(CB18&lt;=CA5,IF(CA18&lt;=IF(BZ18=0,CB5,BZ18),CA18,(CB18/1000/9.81*(BT18/1000)^1.167/6.819)^(1/1.852)*BS2),IF(CA18&lt;=IF(BZ18=0,CB5,BZ18),CA18,"Check"))</f>
        <v>2.4999999999999991</v>
      </c>
    </row>
    <row r="19" spans="1:81">
      <c r="F19" s="2238" t="s">
        <v>1684</v>
      </c>
      <c r="G19" s="2239"/>
      <c r="H19" s="2239"/>
      <c r="T19" s="2235"/>
      <c r="U19" s="78">
        <v>10</v>
      </c>
      <c r="V19" s="79">
        <f>Z19*0.59</f>
        <v>3398.3999999999996</v>
      </c>
      <c r="W19" s="80">
        <f>AA19*0.63</f>
        <v>4687.2</v>
      </c>
      <c r="X19" s="80">
        <f>Z19*0.81</f>
        <v>4665.6000000000004</v>
      </c>
      <c r="Y19" s="80">
        <f>AA19*0.84</f>
        <v>6249.5999999999995</v>
      </c>
      <c r="Z19" s="81">
        <f>5760*1</f>
        <v>5760</v>
      </c>
      <c r="AA19" s="82">
        <f>7440*1</f>
        <v>7440</v>
      </c>
      <c r="AB19" s="83" t="s">
        <v>243</v>
      </c>
      <c r="AC19" s="84" t="s">
        <v>243</v>
      </c>
      <c r="AD19" s="84" t="s">
        <v>243</v>
      </c>
      <c r="AE19" s="84" t="s">
        <v>243</v>
      </c>
      <c r="AF19" s="84" t="s">
        <v>243</v>
      </c>
      <c r="AG19" s="85" t="s">
        <v>243</v>
      </c>
      <c r="AH19" s="80">
        <f>AL19*0.59</f>
        <v>3469.2</v>
      </c>
      <c r="AI19" s="80">
        <f>AM19*0.63</f>
        <v>4781.7</v>
      </c>
      <c r="AJ19" s="80">
        <f>AL19*0.81</f>
        <v>4762.8</v>
      </c>
      <c r="AK19" s="80">
        <f>AM19*0.84</f>
        <v>6375.5999999999995</v>
      </c>
      <c r="AL19" s="81">
        <f>5880*1</f>
        <v>5880</v>
      </c>
      <c r="AM19" s="81">
        <f>7590*1</f>
        <v>7590</v>
      </c>
      <c r="AN19" s="79">
        <f>AP19*0.62</f>
        <v>9907.6</v>
      </c>
      <c r="AO19" s="80">
        <f>AP19*0.83</f>
        <v>13263.4</v>
      </c>
      <c r="AP19" s="81">
        <v>15980</v>
      </c>
      <c r="AQ19" s="83" t="s">
        <v>243</v>
      </c>
      <c r="AR19" s="84" t="s">
        <v>243</v>
      </c>
      <c r="AS19" s="85" t="s">
        <v>243</v>
      </c>
      <c r="AT19" s="79">
        <f>AV19*0.62</f>
        <v>10025.4</v>
      </c>
      <c r="AU19" s="80">
        <f>AV19*0.83</f>
        <v>13421.099999999999</v>
      </c>
      <c r="AV19" s="81">
        <v>16170</v>
      </c>
      <c r="AW19" s="79">
        <f>AY19*0.62</f>
        <v>4736.8</v>
      </c>
      <c r="AX19" s="80">
        <f>AY19*0.83</f>
        <v>6341.2</v>
      </c>
      <c r="AY19" s="81">
        <v>7640</v>
      </c>
      <c r="AZ19" s="83" t="s">
        <v>243</v>
      </c>
      <c r="BA19" s="84" t="s">
        <v>243</v>
      </c>
      <c r="BB19" s="85" t="s">
        <v>243</v>
      </c>
      <c r="BC19" s="79">
        <f>BE19*0.62</f>
        <v>4699.6000000000004</v>
      </c>
      <c r="BD19" s="80">
        <f>BE19*0.83</f>
        <v>6291.4</v>
      </c>
      <c r="BE19" s="81">
        <v>7580</v>
      </c>
      <c r="BF19" s="89">
        <v>1683</v>
      </c>
      <c r="BG19" s="90">
        <v>543</v>
      </c>
      <c r="BH19" s="91">
        <v>248</v>
      </c>
      <c r="BI19" s="67"/>
      <c r="BJ19" s="67"/>
      <c r="BK19" s="67"/>
      <c r="BL19" s="67"/>
      <c r="BM19" s="67"/>
      <c r="BN19" s="67"/>
      <c r="BO19" s="67"/>
      <c r="BP19" s="67"/>
      <c r="BQ19" s="67"/>
      <c r="BR19" s="513">
        <v>250</v>
      </c>
      <c r="BS19" s="417">
        <v>273</v>
      </c>
      <c r="BT19" s="417">
        <f t="shared" si="6"/>
        <v>258.8</v>
      </c>
      <c r="BU19" s="417">
        <v>7.1</v>
      </c>
      <c r="BV19" s="1186">
        <f t="shared" si="7"/>
        <v>131.50989591265693</v>
      </c>
      <c r="BW19" s="1180">
        <f t="shared" si="8"/>
        <v>2.4999999999999991</v>
      </c>
      <c r="BX19" s="1181">
        <f>ROUND(6.819*(BW19/BS2)^1.852/(BT19/1000)^1.167*1000*9.81,0)</f>
        <v>187</v>
      </c>
      <c r="BY19" s="403"/>
      <c r="BZ19" s="403"/>
      <c r="CA19" s="398">
        <f>(IF(BY19=0,CA5,BY19)/1000/9.81*(BT19/1000)^1.167/6.819)^(1/1.852)*BS2</f>
        <v>3.2229675366120589</v>
      </c>
      <c r="CB19" s="398">
        <f>6.819*(IF(BZ19=0,CB5,BZ19)/BS2)^1.852/(BT19/1000)^1.167*1000*9.81</f>
        <v>187.42010048478974</v>
      </c>
      <c r="CC19" s="398">
        <f>IF(CB19&lt;=CA5,IF(CA19&lt;=IF(BZ19=0,CB5,BZ19),CA19,(CB19/1000/9.81*(BT19/1000)^1.167/6.819)^(1/1.852)*BS2),IF(CA19&lt;=IF(BZ19=0,CB5,BZ19),CA19,"Check"))</f>
        <v>2.4999999999999991</v>
      </c>
    </row>
    <row r="20" spans="1:81">
      <c r="A20" s="53"/>
      <c r="T20" s="2235"/>
      <c r="U20" s="78">
        <v>12</v>
      </c>
      <c r="V20" s="79">
        <f>Z20*0.65</f>
        <v>4361.5</v>
      </c>
      <c r="W20" s="80">
        <f>AA20*0.69</f>
        <v>5968.4999999999991</v>
      </c>
      <c r="X20" s="80">
        <f>Z20*0.86</f>
        <v>5770.6</v>
      </c>
      <c r="Y20" s="80">
        <f>AA20*0.88</f>
        <v>7612</v>
      </c>
      <c r="Z20" s="81">
        <f>6710*1</f>
        <v>6710</v>
      </c>
      <c r="AA20" s="82">
        <f>8650*1</f>
        <v>8650</v>
      </c>
      <c r="AB20" s="83" t="s">
        <v>243</v>
      </c>
      <c r="AC20" s="84" t="s">
        <v>243</v>
      </c>
      <c r="AD20" s="84" t="s">
        <v>243</v>
      </c>
      <c r="AE20" s="84" t="s">
        <v>243</v>
      </c>
      <c r="AF20" s="84" t="s">
        <v>243</v>
      </c>
      <c r="AG20" s="85" t="s">
        <v>243</v>
      </c>
      <c r="AH20" s="80">
        <f>AL20*0.65</f>
        <v>4576</v>
      </c>
      <c r="AI20" s="80">
        <f>AM20*0.69</f>
        <v>6244.4999999999991</v>
      </c>
      <c r="AJ20" s="80">
        <f>AL20*0.86</f>
        <v>6054.4</v>
      </c>
      <c r="AK20" s="80">
        <f>AM20*0.88</f>
        <v>7964</v>
      </c>
      <c r="AL20" s="81">
        <f>7040*1</f>
        <v>7040</v>
      </c>
      <c r="AM20" s="81">
        <f>9050*1</f>
        <v>9050</v>
      </c>
      <c r="AN20" s="79">
        <f>AP20*0.67</f>
        <v>12482.1</v>
      </c>
      <c r="AO20" s="80">
        <f>AP20*0.88</f>
        <v>16394.400000000001</v>
      </c>
      <c r="AP20" s="81">
        <v>18630</v>
      </c>
      <c r="AQ20" s="83" t="s">
        <v>243</v>
      </c>
      <c r="AR20" s="84" t="s">
        <v>243</v>
      </c>
      <c r="AS20" s="85" t="s">
        <v>243</v>
      </c>
      <c r="AT20" s="79">
        <f>AV20*0.67</f>
        <v>12850.6</v>
      </c>
      <c r="AU20" s="80">
        <f>AV20*0.88</f>
        <v>16878.400000000001</v>
      </c>
      <c r="AV20" s="81">
        <v>19180</v>
      </c>
      <c r="AW20" s="79">
        <f>AY20*0.67</f>
        <v>5788.8</v>
      </c>
      <c r="AX20" s="80">
        <f>AY20*0.88</f>
        <v>7603.2</v>
      </c>
      <c r="AY20" s="81">
        <v>8640</v>
      </c>
      <c r="AZ20" s="83" t="s">
        <v>243</v>
      </c>
      <c r="BA20" s="84" t="s">
        <v>243</v>
      </c>
      <c r="BB20" s="85" t="s">
        <v>243</v>
      </c>
      <c r="BC20" s="79">
        <f>BE20*0.67</f>
        <v>5909.4000000000005</v>
      </c>
      <c r="BD20" s="80">
        <f>BE20*0.88</f>
        <v>7761.6</v>
      </c>
      <c r="BE20" s="81">
        <v>8820</v>
      </c>
      <c r="BF20" s="89">
        <v>1853</v>
      </c>
      <c r="BG20" s="90">
        <v>543</v>
      </c>
      <c r="BH20" s="91">
        <v>248</v>
      </c>
      <c r="BI20" s="67"/>
      <c r="BJ20" s="67"/>
      <c r="BK20" s="67"/>
      <c r="BL20" s="67"/>
      <c r="BM20" s="67"/>
      <c r="BN20" s="67"/>
      <c r="BO20" s="67"/>
      <c r="BP20" s="67"/>
      <c r="BQ20" s="67"/>
      <c r="BR20" s="761">
        <v>300</v>
      </c>
      <c r="BS20" s="1182">
        <v>323.89999999999998</v>
      </c>
      <c r="BT20" s="1182">
        <f t="shared" si="6"/>
        <v>309.7</v>
      </c>
      <c r="BU20" s="1182">
        <v>7.1</v>
      </c>
      <c r="BV20" s="1183">
        <f t="shared" si="7"/>
        <v>188.3268753248438</v>
      </c>
      <c r="BW20" s="1184">
        <f t="shared" si="8"/>
        <v>2.4999999999999991</v>
      </c>
      <c r="BX20" s="1185">
        <f>ROUND(6.819*(BW20/BS2)^1.852/(BT20/1000)^1.167*1000*9.81,0)</f>
        <v>152</v>
      </c>
      <c r="BY20" s="403"/>
      <c r="BZ20" s="403"/>
      <c r="CA20" s="398">
        <f>(IF(BY20=0,CA5,BY20)/1000/9.81*(BT20/1000)^1.167/6.819)^(1/1.852)*BS2</f>
        <v>3.6090384096293864</v>
      </c>
      <c r="CB20" s="398">
        <f>6.819*(IF(BZ20=0,CB5,BZ20)/BS2)^1.852/(BT20/1000)^1.167*1000*9.81</f>
        <v>151.99072449482088</v>
      </c>
      <c r="CC20" s="398">
        <f>IF(CB20&lt;=CA5,IF(CA20&lt;=IF(BZ20=0,CB5,BZ20),CA20,(CB20/1000/9.81*(BT20/1000)^1.167/6.819)^(1/1.852)*BS2),IF(CA20&lt;=IF(BZ20=0,CB5,BZ20),CA20,"Check"))</f>
        <v>2.4999999999999991</v>
      </c>
    </row>
    <row r="21" spans="1:81">
      <c r="T21" s="2236"/>
      <c r="U21" s="92">
        <v>14</v>
      </c>
      <c r="V21" s="93">
        <f>Z21*0.67</f>
        <v>5159</v>
      </c>
      <c r="W21" s="94">
        <f>AA21*0.72</f>
        <v>7178.4</v>
      </c>
      <c r="X21" s="94">
        <f>Z21*0.85</f>
        <v>6545</v>
      </c>
      <c r="Y21" s="94">
        <f>AA21*0.87</f>
        <v>8673.9</v>
      </c>
      <c r="Z21" s="95">
        <f>7700*1</f>
        <v>7700</v>
      </c>
      <c r="AA21" s="96">
        <f>9970*1</f>
        <v>9970</v>
      </c>
      <c r="AB21" s="97" t="s">
        <v>243</v>
      </c>
      <c r="AC21" s="98" t="s">
        <v>243</v>
      </c>
      <c r="AD21" s="98" t="s">
        <v>243</v>
      </c>
      <c r="AE21" s="98" t="s">
        <v>243</v>
      </c>
      <c r="AF21" s="98" t="s">
        <v>243</v>
      </c>
      <c r="AG21" s="99" t="s">
        <v>243</v>
      </c>
      <c r="AH21" s="94">
        <f>AL21*0.67</f>
        <v>5125.5</v>
      </c>
      <c r="AI21" s="94">
        <f>AM21*0.72</f>
        <v>7099.2</v>
      </c>
      <c r="AJ21" s="94">
        <f>AL21*0.85</f>
        <v>6502.5</v>
      </c>
      <c r="AK21" s="94">
        <f>AM21*0.87</f>
        <v>8578.2000000000007</v>
      </c>
      <c r="AL21" s="95">
        <f>7650*1</f>
        <v>7650</v>
      </c>
      <c r="AM21" s="95">
        <f>9860*1</f>
        <v>9860</v>
      </c>
      <c r="AN21" s="93">
        <f>AP21*0.69</f>
        <v>14545.199999999999</v>
      </c>
      <c r="AO21" s="94">
        <f>AP21*0.87</f>
        <v>18339.599999999999</v>
      </c>
      <c r="AP21" s="95">
        <v>21080</v>
      </c>
      <c r="AQ21" s="97" t="s">
        <v>243</v>
      </c>
      <c r="AR21" s="98" t="s">
        <v>243</v>
      </c>
      <c r="AS21" s="99" t="s">
        <v>243</v>
      </c>
      <c r="AT21" s="93">
        <f>AV21*0.69</f>
        <v>15021.3</v>
      </c>
      <c r="AU21" s="94">
        <f>AV21*0.87</f>
        <v>18939.900000000001</v>
      </c>
      <c r="AV21" s="95">
        <v>21770</v>
      </c>
      <c r="AW21" s="93">
        <f>AY21*0.69</f>
        <v>6789.5999999999995</v>
      </c>
      <c r="AX21" s="94">
        <f>AY21*0.87</f>
        <v>8560.7999999999993</v>
      </c>
      <c r="AY21" s="95">
        <v>9840</v>
      </c>
      <c r="AZ21" s="97" t="s">
        <v>243</v>
      </c>
      <c r="BA21" s="98" t="s">
        <v>243</v>
      </c>
      <c r="BB21" s="99" t="s">
        <v>243</v>
      </c>
      <c r="BC21" s="93">
        <f>BE21*0.69</f>
        <v>6879.2999999999993</v>
      </c>
      <c r="BD21" s="94">
        <f>BE21*0.87</f>
        <v>8673.9</v>
      </c>
      <c r="BE21" s="95">
        <v>9970</v>
      </c>
      <c r="BF21" s="100">
        <v>1983</v>
      </c>
      <c r="BG21" s="101">
        <v>543</v>
      </c>
      <c r="BH21" s="102">
        <v>248</v>
      </c>
      <c r="BI21" s="67"/>
      <c r="BJ21" s="67"/>
      <c r="BK21" s="67"/>
      <c r="BL21" s="67"/>
      <c r="BM21" s="67"/>
      <c r="BP21" s="67"/>
      <c r="BQ21" s="67"/>
      <c r="BR21" s="513">
        <v>350</v>
      </c>
      <c r="BS21" s="417">
        <v>355.6</v>
      </c>
      <c r="BT21" s="417">
        <f t="shared" si="6"/>
        <v>341.40000000000003</v>
      </c>
      <c r="BU21" s="417">
        <v>7.1</v>
      </c>
      <c r="BV21" s="1186">
        <f t="shared" si="7"/>
        <v>228.8531653017491</v>
      </c>
      <c r="BW21" s="1180">
        <f t="shared" si="8"/>
        <v>2.4999999999999991</v>
      </c>
      <c r="BX21" s="1181">
        <f>ROUND(6.819*(BW21/BS2)^1.852/(BT21/1000)^1.167*1000*9.81,0)</f>
        <v>136</v>
      </c>
      <c r="BY21" s="403"/>
      <c r="BZ21" s="403"/>
      <c r="CA21" s="398">
        <f>(IF(BY21=0,CA5,BY21)/1000/9.81*(BT21/1000)^1.167/6.819)^(1/1.852)*BS2</f>
        <v>3.8376029989572733</v>
      </c>
      <c r="CB21" s="398">
        <f>6.819*(IF(BZ21=0,CB5,BZ21)/BS2)^1.852/(BT21/1000)^1.167*1000*9.81</f>
        <v>135.65223317456505</v>
      </c>
      <c r="CC21" s="398">
        <f>IF(CB21&lt;=CA5,IF(CA21&lt;=IF(BZ21=0,CB5,BZ21),CA21,(CB21/1000/9.81*(BT21/1000)^1.167/6.819)^(1/1.852)*BS2),IF(CA21&lt;=IF(BZ21=0,CB5,BZ21),CA21,"Check"))</f>
        <v>2.4999999999999991</v>
      </c>
    </row>
    <row r="22" spans="1:81">
      <c r="T22" s="2229" t="s">
        <v>404</v>
      </c>
      <c r="U22" s="103">
        <v>4</v>
      </c>
      <c r="V22" s="86" t="s">
        <v>243</v>
      </c>
      <c r="W22" s="87" t="s">
        <v>243</v>
      </c>
      <c r="X22" s="80">
        <f>AF22*0.92</f>
        <v>2838.2000000000003</v>
      </c>
      <c r="Y22" s="80">
        <f>AG22*0.93</f>
        <v>3710.7000000000003</v>
      </c>
      <c r="Z22" s="80">
        <f>AF22*1.05</f>
        <v>3239.25</v>
      </c>
      <c r="AA22" s="104">
        <f>AG22*1.05</f>
        <v>4189.5</v>
      </c>
      <c r="AB22" s="86" t="s">
        <v>243</v>
      </c>
      <c r="AC22" s="87" t="s">
        <v>243</v>
      </c>
      <c r="AD22" s="105">
        <f>AF22*0.85</f>
        <v>2622.25</v>
      </c>
      <c r="AE22" s="105">
        <f>AG22*0.87</f>
        <v>3471.3</v>
      </c>
      <c r="AF22" s="106">
        <v>3085</v>
      </c>
      <c r="AG22" s="107">
        <v>3990</v>
      </c>
      <c r="AH22" s="87" t="s">
        <v>243</v>
      </c>
      <c r="AI22" s="87" t="s">
        <v>243</v>
      </c>
      <c r="AJ22" s="105">
        <f>AF22*0.76</f>
        <v>2344.6</v>
      </c>
      <c r="AK22" s="105">
        <f>AG22*0.78</f>
        <v>3112.2000000000003</v>
      </c>
      <c r="AL22" s="105">
        <f>AF22*0.93</f>
        <v>2869.05</v>
      </c>
      <c r="AM22" s="105">
        <f>AG22*0.93</f>
        <v>3710.7000000000003</v>
      </c>
      <c r="AN22" s="86" t="s">
        <v>243</v>
      </c>
      <c r="AO22" s="80">
        <f>AS22*0.92</f>
        <v>6995.68</v>
      </c>
      <c r="AP22" s="80">
        <f>AS22*1.05</f>
        <v>7984.2000000000007</v>
      </c>
      <c r="AQ22" s="86" t="s">
        <v>243</v>
      </c>
      <c r="AR22" s="105">
        <f>AS22*0.85</f>
        <v>6463.4</v>
      </c>
      <c r="AS22" s="107">
        <v>7604</v>
      </c>
      <c r="AT22" s="86" t="s">
        <v>243</v>
      </c>
      <c r="AU22" s="105">
        <f>AS22*0.76</f>
        <v>5779.04</v>
      </c>
      <c r="AV22" s="105">
        <f>AS22*0.93</f>
        <v>7071.72</v>
      </c>
      <c r="AW22" s="86" t="s">
        <v>243</v>
      </c>
      <c r="AX22" s="80">
        <f>BB22*0.92</f>
        <v>4195.2</v>
      </c>
      <c r="AY22" s="80">
        <f>BB22*1.05</f>
        <v>4788</v>
      </c>
      <c r="AZ22" s="86" t="s">
        <v>243</v>
      </c>
      <c r="BA22" s="105">
        <f>BB22*0.85</f>
        <v>3876</v>
      </c>
      <c r="BB22" s="106">
        <v>4560</v>
      </c>
      <c r="BC22" s="86" t="s">
        <v>243</v>
      </c>
      <c r="BD22" s="105">
        <f>BB22*0.76</f>
        <v>3465.6</v>
      </c>
      <c r="BE22" s="105">
        <f>BB22*0.93</f>
        <v>4240.8</v>
      </c>
      <c r="BF22" s="108">
        <v>885</v>
      </c>
      <c r="BG22" s="109">
        <v>483</v>
      </c>
      <c r="BH22" s="110">
        <v>260</v>
      </c>
      <c r="BI22" s="67"/>
      <c r="BJ22" s="67"/>
      <c r="BK22" s="67"/>
      <c r="BL22" s="67"/>
      <c r="BM22" s="67"/>
      <c r="BP22" s="67"/>
      <c r="BQ22" s="67"/>
      <c r="BR22" s="761">
        <v>400</v>
      </c>
      <c r="BS22" s="1182">
        <v>406.4</v>
      </c>
      <c r="BT22" s="1182">
        <f t="shared" si="6"/>
        <v>390.4</v>
      </c>
      <c r="BU22" s="1182">
        <v>8</v>
      </c>
      <c r="BV22" s="1183">
        <f t="shared" si="7"/>
        <v>299.2605763585949</v>
      </c>
      <c r="BW22" s="1184">
        <f t="shared" si="8"/>
        <v>2.4999999999999991</v>
      </c>
      <c r="BX22" s="1185">
        <f>ROUND(6.819*(BW22/BS2)^1.852/(BT22/1000)^1.167*1000*9.81,0)</f>
        <v>116</v>
      </c>
      <c r="BY22" s="403"/>
      <c r="BZ22" s="403"/>
      <c r="CA22" s="398">
        <f>(IF(BY22=0,CA5,BY22)/1000/9.81*(BT22/1000)^1.167/6.819)^(1/1.852)*BS2</f>
        <v>4.176021799206918</v>
      </c>
      <c r="CB22" s="398">
        <f>6.819*(IF(BZ22=0,CB5,BZ22)/BS2)^1.852/(BT22/1000)^1.167*1000*9.81</f>
        <v>115.99880753486131</v>
      </c>
      <c r="CC22" s="398">
        <f>IF(CB22&lt;=CA5,IF(CA22&lt;=IF(BZ22=0,CB5,BZ22),CA22,(CB22/1000/9.81*(BT22/1000)^1.167/6.819)^(1/1.852)*BS2),IF(CA22&lt;=IF(BZ22=0,CB5,BZ22),CA22,"Check"))</f>
        <v>2.4999999999999991</v>
      </c>
    </row>
    <row r="23" spans="1:81">
      <c r="T23" s="2230"/>
      <c r="U23" s="78">
        <v>6</v>
      </c>
      <c r="V23" s="83" t="s">
        <v>243</v>
      </c>
      <c r="W23" s="84" t="s">
        <v>243</v>
      </c>
      <c r="X23" s="80">
        <f>AF23*0.89</f>
        <v>3488.8</v>
      </c>
      <c r="Y23" s="80">
        <f>AG23*0.91</f>
        <v>4563.6500000000005</v>
      </c>
      <c r="Z23" s="80">
        <f>AF23*1.05</f>
        <v>4116</v>
      </c>
      <c r="AA23" s="104">
        <f>AG23*1.04</f>
        <v>5215.6000000000004</v>
      </c>
      <c r="AB23" s="83" t="s">
        <v>243</v>
      </c>
      <c r="AC23" s="84" t="s">
        <v>243</v>
      </c>
      <c r="AD23" s="77">
        <f>AF23*0.83</f>
        <v>3253.6</v>
      </c>
      <c r="AE23" s="77">
        <f>AG23*0.85</f>
        <v>4262.75</v>
      </c>
      <c r="AF23" s="111">
        <v>3920</v>
      </c>
      <c r="AG23" s="112">
        <v>5015</v>
      </c>
      <c r="AH23" s="84" t="s">
        <v>243</v>
      </c>
      <c r="AI23" s="84" t="s">
        <v>243</v>
      </c>
      <c r="AJ23" s="77">
        <f>AF23*0.73</f>
        <v>2861.6</v>
      </c>
      <c r="AK23" s="77">
        <f>AG23*0.76</f>
        <v>3811.4</v>
      </c>
      <c r="AL23" s="77">
        <f>AF23*0.92</f>
        <v>3606.4</v>
      </c>
      <c r="AM23" s="77">
        <f>AG23*0.93</f>
        <v>4663.95</v>
      </c>
      <c r="AN23" s="83" t="s">
        <v>243</v>
      </c>
      <c r="AO23" s="80">
        <f>AS23*0.89</f>
        <v>8424.74</v>
      </c>
      <c r="AP23" s="80">
        <f>AS23*1.05</f>
        <v>9939.3000000000011</v>
      </c>
      <c r="AQ23" s="83" t="s">
        <v>243</v>
      </c>
      <c r="AR23" s="77">
        <f>AS23*0.83</f>
        <v>7856.78</v>
      </c>
      <c r="AS23" s="112">
        <v>9466</v>
      </c>
      <c r="AT23" s="83" t="s">
        <v>243</v>
      </c>
      <c r="AU23" s="77">
        <f>AS23*0.73</f>
        <v>6910.1799999999994</v>
      </c>
      <c r="AV23" s="77">
        <f>AS23*0.92</f>
        <v>8708.7200000000012</v>
      </c>
      <c r="AW23" s="83" t="s">
        <v>243</v>
      </c>
      <c r="AX23" s="80">
        <f>BB23*0.89</f>
        <v>4770.3999999999996</v>
      </c>
      <c r="AY23" s="80">
        <f>BB23*1.05</f>
        <v>5628</v>
      </c>
      <c r="AZ23" s="83" t="s">
        <v>243</v>
      </c>
      <c r="BA23" s="77">
        <f>BB23*0.83</f>
        <v>4448.8</v>
      </c>
      <c r="BB23" s="111">
        <v>5360</v>
      </c>
      <c r="BC23" s="83" t="s">
        <v>243</v>
      </c>
      <c r="BD23" s="77">
        <f>BB23*0.73</f>
        <v>3912.7999999999997</v>
      </c>
      <c r="BE23" s="77">
        <f>BB23*0.92</f>
        <v>4931.2</v>
      </c>
      <c r="BF23" s="113">
        <v>1020</v>
      </c>
      <c r="BG23" s="114">
        <v>483</v>
      </c>
      <c r="BH23" s="115">
        <v>260</v>
      </c>
      <c r="BI23" s="67"/>
      <c r="BJ23" s="67"/>
      <c r="BK23" s="67"/>
      <c r="BL23" s="67"/>
      <c r="BM23" s="67"/>
      <c r="BN23" s="67"/>
      <c r="BO23" s="67"/>
      <c r="BP23" s="67"/>
      <c r="BQ23" s="67"/>
      <c r="BR23" s="513">
        <v>450</v>
      </c>
      <c r="BS23" s="417">
        <v>457</v>
      </c>
      <c r="BT23" s="417">
        <f t="shared" si="6"/>
        <v>441</v>
      </c>
      <c r="BU23" s="417">
        <v>8</v>
      </c>
      <c r="BV23" s="1186">
        <f t="shared" si="7"/>
        <v>381.86255053924776</v>
      </c>
      <c r="BW23" s="1180">
        <f t="shared" si="8"/>
        <v>2.4999999999999991</v>
      </c>
      <c r="BX23" s="1181">
        <f>ROUND(6.819*(BW23/BS2)^1.852/(BT23/1000)^1.167*1000*9.81,0)</f>
        <v>101</v>
      </c>
      <c r="BY23" s="403"/>
      <c r="BZ23" s="403"/>
      <c r="CA23" s="398">
        <f>(IF(BY23=0,CA5,BY23)/1000/9.81*(BT23/1000)^1.167/6.819)^(1/1.852)*BS2</f>
        <v>4.5093583349826476</v>
      </c>
      <c r="CB23" s="398">
        <f>6.819*(IF(BZ23=0,CB5,BZ23)/BS2)^1.852/(BT23/1000)^1.167*1000*9.81</f>
        <v>100.62030696380788</v>
      </c>
      <c r="CC23" s="398">
        <f>IF(CB23&lt;=CA5,IF(CA23&lt;=IF(BZ23=0,CB5,BZ23),CA23,(CB23/1000/9.81*(BT23/1000)^1.167/6.819)^(1/1.852)*BS2),IF(CA23&lt;=IF(BZ23=0,CB5,BZ23),CA23,"Check"))</f>
        <v>2.4999999999999991</v>
      </c>
    </row>
    <row r="24" spans="1:81">
      <c r="T24" s="2230"/>
      <c r="U24" s="78">
        <v>8</v>
      </c>
      <c r="V24" s="83" t="s">
        <v>243</v>
      </c>
      <c r="W24" s="84" t="s">
        <v>243</v>
      </c>
      <c r="X24" s="80">
        <f>AF24*0.9</f>
        <v>4549.5</v>
      </c>
      <c r="Y24" s="80">
        <f>AG24*0.91</f>
        <v>6228.95</v>
      </c>
      <c r="Z24" s="80">
        <f>AF24*1.04</f>
        <v>5257.2</v>
      </c>
      <c r="AA24" s="104">
        <f>AG24*1.04</f>
        <v>7118.8</v>
      </c>
      <c r="AB24" s="83" t="s">
        <v>243</v>
      </c>
      <c r="AC24" s="84" t="s">
        <v>243</v>
      </c>
      <c r="AD24" s="77">
        <f>AF24*0.85</f>
        <v>4296.75</v>
      </c>
      <c r="AE24" s="77">
        <f>AG24*0.87</f>
        <v>5955.15</v>
      </c>
      <c r="AF24" s="111">
        <v>5055</v>
      </c>
      <c r="AG24" s="112">
        <v>6845</v>
      </c>
      <c r="AH24" s="84" t="s">
        <v>243</v>
      </c>
      <c r="AI24" s="84" t="s">
        <v>243</v>
      </c>
      <c r="AJ24" s="77">
        <f>AF24*0.77</f>
        <v>3892.35</v>
      </c>
      <c r="AK24" s="77">
        <f>AG24*0.8</f>
        <v>5476</v>
      </c>
      <c r="AL24" s="77">
        <f>AF24*0.92</f>
        <v>4650.6000000000004</v>
      </c>
      <c r="AM24" s="77">
        <f>AG24*0.93</f>
        <v>6365.85</v>
      </c>
      <c r="AN24" s="83" t="s">
        <v>243</v>
      </c>
      <c r="AO24" s="80">
        <f>AS24*0.9</f>
        <v>10917</v>
      </c>
      <c r="AP24" s="80">
        <f>AS24*1.04</f>
        <v>12615.2</v>
      </c>
      <c r="AQ24" s="83" t="s">
        <v>243</v>
      </c>
      <c r="AR24" s="77">
        <f>AS24*0.85</f>
        <v>10310.5</v>
      </c>
      <c r="AS24" s="112">
        <v>12130</v>
      </c>
      <c r="AT24" s="83" t="s">
        <v>243</v>
      </c>
      <c r="AU24" s="77">
        <f>AS24*0.77</f>
        <v>9340.1</v>
      </c>
      <c r="AV24" s="77">
        <f>AS24*0.92</f>
        <v>11159.6</v>
      </c>
      <c r="AW24" s="83" t="s">
        <v>243</v>
      </c>
      <c r="AX24" s="80">
        <f>BB24*0.9</f>
        <v>5472</v>
      </c>
      <c r="AY24" s="80">
        <f>BB24*1.04</f>
        <v>6323.2</v>
      </c>
      <c r="AZ24" s="83" t="s">
        <v>243</v>
      </c>
      <c r="BA24" s="77">
        <f>BB24*0.85</f>
        <v>5168</v>
      </c>
      <c r="BB24" s="111">
        <v>6080</v>
      </c>
      <c r="BC24" s="83" t="s">
        <v>243</v>
      </c>
      <c r="BD24" s="77">
        <f>BB24*0.77</f>
        <v>4681.6000000000004</v>
      </c>
      <c r="BE24" s="77">
        <f>BB24*0.92</f>
        <v>5593.6</v>
      </c>
      <c r="BF24" s="113">
        <v>1305</v>
      </c>
      <c r="BG24" s="114">
        <v>483</v>
      </c>
      <c r="BH24" s="115">
        <v>260</v>
      </c>
      <c r="BI24" s="67"/>
      <c r="BJ24" s="67"/>
      <c r="BK24" s="67"/>
      <c r="BL24" s="67"/>
      <c r="BM24" s="67"/>
      <c r="BN24" s="67"/>
      <c r="BO24" s="67"/>
      <c r="BP24" s="67"/>
      <c r="BQ24" s="67"/>
      <c r="BR24" s="761">
        <v>500</v>
      </c>
      <c r="BS24" s="1182">
        <v>508</v>
      </c>
      <c r="BT24" s="1182">
        <f t="shared" si="6"/>
        <v>490.4</v>
      </c>
      <c r="BU24" s="1182">
        <v>8.8000000000000007</v>
      </c>
      <c r="BV24" s="1183">
        <f t="shared" si="7"/>
        <v>472.20525193871305</v>
      </c>
      <c r="BW24" s="1184">
        <f t="shared" si="8"/>
        <v>2.4999999999999991</v>
      </c>
      <c r="BX24" s="1185">
        <f>ROUND(6.819*(BW24/BS2)^1.852/(BT24/1000)^1.167*1000*9.81,0)</f>
        <v>89</v>
      </c>
      <c r="BY24" s="403"/>
      <c r="BZ24" s="403"/>
      <c r="CA24" s="398">
        <f>(IF(BY24=0,CA5,BY24)/1000/9.81*(BT24/1000)^1.167/6.819)^(1/1.852)*BS2</f>
        <v>4.8213782322514991</v>
      </c>
      <c r="CB24" s="398">
        <f>6.819*(IF(BZ24=0,CB5,BZ24)/BS2)^1.852/(BT24/1000)^1.167*1000*9.81</f>
        <v>88.894129864989097</v>
      </c>
      <c r="CC24" s="398">
        <f>IF(CB24&lt;=CA5,IF(CA24&lt;=IF(BZ24=0,CB5,BZ24),CA24,(CB24/1000/9.81*(BT24/1000)^1.167/6.819)^(1/1.852)*BS2),IF(CA24&lt;=IF(BZ24=0,CB5,BZ24),CA24,"Check"))</f>
        <v>2.4999999999999991</v>
      </c>
    </row>
    <row r="25" spans="1:81">
      <c r="T25" s="2230"/>
      <c r="U25" s="78">
        <v>10</v>
      </c>
      <c r="V25" s="83" t="s">
        <v>243</v>
      </c>
      <c r="W25" s="84" t="s">
        <v>243</v>
      </c>
      <c r="X25" s="80">
        <f>AF25*0.9</f>
        <v>5296.5</v>
      </c>
      <c r="Y25" s="80">
        <f>AG25*0.93</f>
        <v>7161</v>
      </c>
      <c r="Z25" s="80">
        <f>AF25*1.05</f>
        <v>6179.25</v>
      </c>
      <c r="AA25" s="104">
        <f>AG25*1.04</f>
        <v>8008</v>
      </c>
      <c r="AB25" s="83" t="s">
        <v>243</v>
      </c>
      <c r="AC25" s="84" t="s">
        <v>243</v>
      </c>
      <c r="AD25" s="77">
        <f>AF25*0.83</f>
        <v>4884.55</v>
      </c>
      <c r="AE25" s="77">
        <f>AG25*0.85</f>
        <v>6545</v>
      </c>
      <c r="AF25" s="111">
        <v>5885</v>
      </c>
      <c r="AG25" s="112">
        <v>7700</v>
      </c>
      <c r="AH25" s="84" t="s">
        <v>243</v>
      </c>
      <c r="AI25" s="84" t="s">
        <v>243</v>
      </c>
      <c r="AJ25" s="77">
        <f>AF25*0.73</f>
        <v>4296.05</v>
      </c>
      <c r="AK25" s="77">
        <f>AG25*0.76</f>
        <v>5852</v>
      </c>
      <c r="AL25" s="77">
        <f>AF25*0.91</f>
        <v>5355.35</v>
      </c>
      <c r="AM25" s="77">
        <f>AG25*0.92</f>
        <v>7084</v>
      </c>
      <c r="AN25" s="83" t="s">
        <v>243</v>
      </c>
      <c r="AO25" s="80">
        <f>AS25*0.9</f>
        <v>12661.2</v>
      </c>
      <c r="AP25" s="80">
        <f>AS25*1.05</f>
        <v>14771.400000000001</v>
      </c>
      <c r="AQ25" s="83" t="s">
        <v>243</v>
      </c>
      <c r="AR25" s="77">
        <f>AS25*0.83</f>
        <v>11676.439999999999</v>
      </c>
      <c r="AS25" s="112">
        <v>14068</v>
      </c>
      <c r="AT25" s="83" t="s">
        <v>243</v>
      </c>
      <c r="AU25" s="77">
        <f>AS25*0.73</f>
        <v>10269.64</v>
      </c>
      <c r="AV25" s="77">
        <f>AS25*0.91</f>
        <v>12801.880000000001</v>
      </c>
      <c r="AW25" s="83" t="s">
        <v>243</v>
      </c>
      <c r="AX25" s="80">
        <f>BB25*0.9</f>
        <v>6318</v>
      </c>
      <c r="AY25" s="80">
        <f>BB25*1.05</f>
        <v>7371</v>
      </c>
      <c r="AZ25" s="83" t="s">
        <v>243</v>
      </c>
      <c r="BA25" s="77">
        <f>BB25*0.83</f>
        <v>5826.5999999999995</v>
      </c>
      <c r="BB25" s="111">
        <v>7020</v>
      </c>
      <c r="BC25" s="83" t="s">
        <v>243</v>
      </c>
      <c r="BD25" s="77">
        <f>BB25*0.73</f>
        <v>5124.5999999999995</v>
      </c>
      <c r="BE25" s="77">
        <f>BB25*0.91</f>
        <v>6388.2</v>
      </c>
      <c r="BF25" s="113">
        <v>1490</v>
      </c>
      <c r="BG25" s="114">
        <v>483</v>
      </c>
      <c r="BH25" s="115">
        <v>260</v>
      </c>
      <c r="BI25" s="67"/>
      <c r="BQ25" s="67"/>
      <c r="BR25" s="513">
        <v>550</v>
      </c>
      <c r="BS25" s="417">
        <v>559</v>
      </c>
      <c r="BT25" s="417">
        <f t="shared" si="6"/>
        <v>541.4</v>
      </c>
      <c r="BU25" s="417">
        <v>8.8000000000000007</v>
      </c>
      <c r="BV25" s="1186">
        <f t="shared" si="7"/>
        <v>575.52791462538266</v>
      </c>
      <c r="BW25" s="1180">
        <f t="shared" si="8"/>
        <v>2.4999999999999991</v>
      </c>
      <c r="BX25" s="1181">
        <f>ROUND(6.819*(BW25/BS2)^1.852/(BT25/1000)^1.167*1000*9.81,0)</f>
        <v>79</v>
      </c>
      <c r="BY25" s="403"/>
      <c r="BZ25" s="403"/>
      <c r="CA25" s="398">
        <f>(IF(BY25=0,CA5,BY25)/1000/9.81*(BT25/1000)^1.167/6.819)^(1/1.852)*BS2</f>
        <v>5.1315253491958188</v>
      </c>
      <c r="CB25" s="398">
        <f>6.819*(IF(BZ25=0,CB5,BZ25)/BS2)^1.852/(BT25/1000)^1.167*1000*9.81</f>
        <v>79.200818966995612</v>
      </c>
      <c r="CC25" s="398">
        <f>IF(CB25&lt;=CA5,IF(CA25&lt;=IF(BZ25=0,CB5,BZ25),CA25,(CB25/1000/9.81*(BT25/1000)^1.167/6.819)^(1/1.852)*BS2),IF(CA25&lt;=IF(BZ25=0,CB5,BZ25),CA25,"Check"))</f>
        <v>2.4999999999999991</v>
      </c>
    </row>
    <row r="26" spans="1:81">
      <c r="T26" s="2230"/>
      <c r="U26" s="78">
        <v>12</v>
      </c>
      <c r="V26" s="83" t="s">
        <v>243</v>
      </c>
      <c r="W26" s="84" t="s">
        <v>243</v>
      </c>
      <c r="X26" s="80">
        <f>AF26*0.9</f>
        <v>6673.5</v>
      </c>
      <c r="Y26" s="80">
        <f>AG26*0.91</f>
        <v>8645</v>
      </c>
      <c r="Z26" s="80">
        <f>AF26*1.04</f>
        <v>7711.6</v>
      </c>
      <c r="AA26" s="104">
        <f>AG26*1.04</f>
        <v>9880</v>
      </c>
      <c r="AB26" s="83" t="s">
        <v>243</v>
      </c>
      <c r="AC26" s="84" t="s">
        <v>243</v>
      </c>
      <c r="AD26" s="77">
        <f>AF26*0.85</f>
        <v>6302.75</v>
      </c>
      <c r="AE26" s="77">
        <f>AG26*0.86</f>
        <v>8170</v>
      </c>
      <c r="AF26" s="111">
        <v>7415</v>
      </c>
      <c r="AG26" s="112">
        <v>9500</v>
      </c>
      <c r="AH26" s="84" t="s">
        <v>243</v>
      </c>
      <c r="AI26" s="84" t="s">
        <v>243</v>
      </c>
      <c r="AJ26" s="77">
        <f>AF26*0.77</f>
        <v>5709.55</v>
      </c>
      <c r="AK26" s="77">
        <f>AG26*0.79</f>
        <v>7505</v>
      </c>
      <c r="AL26" s="77">
        <f>AF26*0.93</f>
        <v>6895.9500000000007</v>
      </c>
      <c r="AM26" s="77">
        <f>AG26*0.94</f>
        <v>8930</v>
      </c>
      <c r="AN26" s="83" t="s">
        <v>243</v>
      </c>
      <c r="AO26" s="80">
        <f>AS26*0.9</f>
        <v>16135.2</v>
      </c>
      <c r="AP26" s="80">
        <f>AS26*1.04</f>
        <v>18645.12</v>
      </c>
      <c r="AQ26" s="83" t="s">
        <v>243</v>
      </c>
      <c r="AR26" s="77">
        <f>AS26*0.85</f>
        <v>15238.8</v>
      </c>
      <c r="AS26" s="112">
        <v>17928</v>
      </c>
      <c r="AT26" s="83" t="s">
        <v>243</v>
      </c>
      <c r="AU26" s="77">
        <f>AS26*0.77</f>
        <v>13804.56</v>
      </c>
      <c r="AV26" s="77">
        <f>AS26*0.93</f>
        <v>16673.04</v>
      </c>
      <c r="AW26" s="83" t="s">
        <v>243</v>
      </c>
      <c r="AX26" s="80">
        <f>BB26*0.9</f>
        <v>7560</v>
      </c>
      <c r="AY26" s="80">
        <f>BB26*1.04</f>
        <v>8736</v>
      </c>
      <c r="AZ26" s="83" t="s">
        <v>243</v>
      </c>
      <c r="BA26" s="77">
        <f>BB26*0.85</f>
        <v>7140</v>
      </c>
      <c r="BB26" s="111">
        <v>8400</v>
      </c>
      <c r="BC26" s="83" t="s">
        <v>243</v>
      </c>
      <c r="BD26" s="77">
        <f>BB26*0.77</f>
        <v>6468</v>
      </c>
      <c r="BE26" s="77">
        <f>BB26*0.93</f>
        <v>7812</v>
      </c>
      <c r="BF26" s="113">
        <v>1740</v>
      </c>
      <c r="BG26" s="114">
        <v>483</v>
      </c>
      <c r="BH26" s="115">
        <v>260</v>
      </c>
      <c r="BI26" s="67"/>
      <c r="BQ26" s="67"/>
      <c r="BR26" s="761">
        <v>600</v>
      </c>
      <c r="BS26" s="1182">
        <v>610</v>
      </c>
      <c r="BT26" s="1182">
        <f t="shared" si="6"/>
        <v>592.4</v>
      </c>
      <c r="BU26" s="1182">
        <v>8.8000000000000007</v>
      </c>
      <c r="BV26" s="1183">
        <f t="shared" si="7"/>
        <v>689.0646804270358</v>
      </c>
      <c r="BW26" s="1184">
        <f t="shared" si="8"/>
        <v>2.4999999999999991</v>
      </c>
      <c r="BX26" s="1185">
        <f>ROUND(6.819*(BW26/BS2)^1.852/(BT26/1000)^1.167*1000*9.81,0)</f>
        <v>71</v>
      </c>
      <c r="BY26" s="403"/>
      <c r="BZ26" s="403"/>
      <c r="CA26" s="398">
        <f>(IF(BY26=0,CA5,BY26)/1000/9.81*(BT26/1000)^1.167/6.819)^(1/1.852)*BS2</f>
        <v>5.4310340817032277</v>
      </c>
      <c r="CB26" s="398">
        <f>6.819*(IF(BZ26=0,CB5,BZ26)/BS2)^1.852/(BT26/1000)^1.167*1000*9.81</f>
        <v>71.302327830056953</v>
      </c>
      <c r="CC26" s="398">
        <f>IF(CB26&lt;=CA5,IF(CA26&lt;=IF(BZ26=0,CB5,BZ26),CA26,(CB26/1000/9.81*(BT26/1000)^1.167/6.819)^(1/1.852)*BS2),IF(CA26&lt;=IF(BZ26=0,CB5,BZ26),CA26,"Check"))</f>
        <v>2.4999999999999991</v>
      </c>
    </row>
    <row r="27" spans="1:81">
      <c r="T27" s="2231"/>
      <c r="U27" s="92">
        <v>14</v>
      </c>
      <c r="V27" s="97" t="s">
        <v>243</v>
      </c>
      <c r="W27" s="98" t="s">
        <v>243</v>
      </c>
      <c r="X27" s="94">
        <f>AF27*0.92</f>
        <v>7751</v>
      </c>
      <c r="Y27" s="94">
        <f>AG27*0.93</f>
        <v>9871.9500000000007</v>
      </c>
      <c r="Z27" s="94">
        <f>AF27*1.04</f>
        <v>8762</v>
      </c>
      <c r="AA27" s="116">
        <f>AG27*1.03</f>
        <v>10933.45</v>
      </c>
      <c r="AB27" s="97" t="s">
        <v>243</v>
      </c>
      <c r="AC27" s="98" t="s">
        <v>243</v>
      </c>
      <c r="AD27" s="94">
        <f>AF27*0.87</f>
        <v>7329.75</v>
      </c>
      <c r="AE27" s="94">
        <f>AG27*0.89</f>
        <v>9447.35</v>
      </c>
      <c r="AF27" s="95">
        <v>8425</v>
      </c>
      <c r="AG27" s="96">
        <v>10615</v>
      </c>
      <c r="AH27" s="98" t="s">
        <v>243</v>
      </c>
      <c r="AI27" s="98" t="s">
        <v>243</v>
      </c>
      <c r="AJ27" s="94">
        <f>AF27*0.82</f>
        <v>6908.5</v>
      </c>
      <c r="AK27" s="94">
        <f>AG27*0.84</f>
        <v>8916.6</v>
      </c>
      <c r="AL27" s="94">
        <f>AF27*0.92</f>
        <v>7751</v>
      </c>
      <c r="AM27" s="94">
        <f>AG27*0.93</f>
        <v>9871.9500000000007</v>
      </c>
      <c r="AN27" s="97" t="s">
        <v>243</v>
      </c>
      <c r="AO27" s="94">
        <f>AS27*0.92</f>
        <v>18186.560000000001</v>
      </c>
      <c r="AP27" s="94">
        <f>AS27*1.04</f>
        <v>20558.72</v>
      </c>
      <c r="AQ27" s="97" t="s">
        <v>243</v>
      </c>
      <c r="AR27" s="94">
        <f>AS27*0.87</f>
        <v>17198.16</v>
      </c>
      <c r="AS27" s="96">
        <v>19768</v>
      </c>
      <c r="AT27" s="97" t="s">
        <v>243</v>
      </c>
      <c r="AU27" s="94">
        <f>AS27*0.82</f>
        <v>16209.759999999998</v>
      </c>
      <c r="AV27" s="94">
        <f>AS27*0.92</f>
        <v>18186.560000000001</v>
      </c>
      <c r="AW27" s="97" t="s">
        <v>243</v>
      </c>
      <c r="AX27" s="94">
        <f>BB27*0.92</f>
        <v>8353.6</v>
      </c>
      <c r="AY27" s="94">
        <f>BB27*1.04</f>
        <v>9443.2000000000007</v>
      </c>
      <c r="AZ27" s="97" t="s">
        <v>243</v>
      </c>
      <c r="BA27" s="94">
        <f>BB27*0.87</f>
        <v>7899.6</v>
      </c>
      <c r="BB27" s="95">
        <v>9080</v>
      </c>
      <c r="BC27" s="97" t="s">
        <v>243</v>
      </c>
      <c r="BD27" s="94">
        <f>BB27*0.82</f>
        <v>7445.5999999999995</v>
      </c>
      <c r="BE27" s="94">
        <f>BB27*0.92</f>
        <v>8353.6</v>
      </c>
      <c r="BF27" s="117">
        <v>1920</v>
      </c>
      <c r="BG27" s="118">
        <v>483</v>
      </c>
      <c r="BH27" s="119">
        <v>260</v>
      </c>
      <c r="BI27" s="67"/>
      <c r="BQ27" s="67"/>
      <c r="BR27" s="513">
        <v>650</v>
      </c>
      <c r="BS27" s="417">
        <v>660</v>
      </c>
      <c r="BT27" s="417">
        <f t="shared" si="6"/>
        <v>640</v>
      </c>
      <c r="BU27" s="417">
        <v>10</v>
      </c>
      <c r="BV27" s="1186">
        <f t="shared" si="7"/>
        <v>804.24771931898681</v>
      </c>
      <c r="BW27" s="1180">
        <f t="shared" si="8"/>
        <v>2.4999999999999991</v>
      </c>
      <c r="BX27" s="1181">
        <f>ROUND(6.819*(BW27/BS2)^1.852/(BT27/1000)^1.167*1000*9.81,0)</f>
        <v>65</v>
      </c>
      <c r="BY27" s="403"/>
      <c r="BZ27" s="403"/>
      <c r="CA27" s="398">
        <f>(IF(BY27=0,CA5,BY27)/1000/9.81*(BT27/1000)^1.167/6.819)^(1/1.852)*BS2</f>
        <v>5.7020730922111813</v>
      </c>
      <c r="CB27" s="398">
        <f>6.819*(IF(BZ27=0,CB5,BZ27)/BS2)^1.852/(BT27/1000)^1.167*1000*9.81</f>
        <v>65.152853635943174</v>
      </c>
      <c r="CC27" s="398">
        <f>IF(CB27&lt;=CA5,IF(CA27&lt;=IF(BZ27=0,CB5,BZ27),CA27,(CB27/1000/9.81*(BT27/1000)^1.167/6.819)^(1/1.852)*BS2),IF(CA27&lt;=IF(BZ27=0,CB5,BZ27),CA27,"Check"))</f>
        <v>2.4999999999999991</v>
      </c>
    </row>
    <row r="28" spans="1:81">
      <c r="T28" s="2229" t="s">
        <v>405</v>
      </c>
      <c r="U28" s="103">
        <v>4</v>
      </c>
      <c r="V28" s="120">
        <f t="shared" ref="V28:V33" si="14">AB28</f>
        <v>1760.8</v>
      </c>
      <c r="W28" s="121">
        <f t="shared" ref="W28:AA33" si="15">AC28</f>
        <v>2482</v>
      </c>
      <c r="X28" s="121">
        <f t="shared" si="15"/>
        <v>2243.6</v>
      </c>
      <c r="Y28" s="121">
        <f t="shared" si="15"/>
        <v>3102.5</v>
      </c>
      <c r="Z28" s="121">
        <f t="shared" si="15"/>
        <v>2840</v>
      </c>
      <c r="AA28" s="122">
        <f t="shared" si="15"/>
        <v>3650</v>
      </c>
      <c r="AB28" s="120">
        <f>AF28*0.62</f>
        <v>1760.8</v>
      </c>
      <c r="AC28" s="121">
        <f>AG28*0.68</f>
        <v>2482</v>
      </c>
      <c r="AD28" s="121">
        <f>AF28*0.79</f>
        <v>2243.6</v>
      </c>
      <c r="AE28" s="121">
        <f>AG28*0.85</f>
        <v>3102.5</v>
      </c>
      <c r="AF28" s="123">
        <f>2840*1</f>
        <v>2840</v>
      </c>
      <c r="AG28" s="124">
        <f>3650*1</f>
        <v>3650</v>
      </c>
      <c r="AH28" s="121">
        <f t="shared" ref="AH28:AK33" si="16">AB28</f>
        <v>1760.8</v>
      </c>
      <c r="AI28" s="121">
        <f t="shared" si="16"/>
        <v>2482</v>
      </c>
      <c r="AJ28" s="121">
        <f t="shared" si="16"/>
        <v>2243.6</v>
      </c>
      <c r="AK28" s="121">
        <f t="shared" si="16"/>
        <v>3102.5</v>
      </c>
      <c r="AL28" s="121">
        <f t="shared" ref="AL28:AL33" si="17">AF28</f>
        <v>2840</v>
      </c>
      <c r="AM28" s="121">
        <f t="shared" ref="AM28:AM33" si="18">AG28</f>
        <v>3650</v>
      </c>
      <c r="AN28" s="120">
        <f t="shared" ref="AN28:AP33" si="19">AQ28</f>
        <v>3929.6</v>
      </c>
      <c r="AO28" s="121">
        <f t="shared" si="19"/>
        <v>4605</v>
      </c>
      <c r="AP28" s="121">
        <f t="shared" si="19"/>
        <v>6140</v>
      </c>
      <c r="AQ28" s="120">
        <f>AS28*0.64</f>
        <v>3929.6</v>
      </c>
      <c r="AR28" s="121">
        <f>AS28*0.75</f>
        <v>4605</v>
      </c>
      <c r="AS28" s="123">
        <v>6140</v>
      </c>
      <c r="AT28" s="120">
        <f t="shared" ref="AT28:AV33" si="20">AQ28</f>
        <v>3929.6</v>
      </c>
      <c r="AU28" s="121">
        <f t="shared" si="20"/>
        <v>4605</v>
      </c>
      <c r="AV28" s="121">
        <f t="shared" si="20"/>
        <v>6140</v>
      </c>
      <c r="AW28" s="120">
        <f t="shared" ref="AW28:AY33" si="21">AZ28</f>
        <v>1945.6000000000001</v>
      </c>
      <c r="AX28" s="121">
        <f t="shared" si="21"/>
        <v>2280</v>
      </c>
      <c r="AY28" s="121">
        <f t="shared" si="21"/>
        <v>3040</v>
      </c>
      <c r="AZ28" s="120">
        <f>BB28*0.64</f>
        <v>1945.6000000000001</v>
      </c>
      <c r="BA28" s="121">
        <f>BB28*0.75</f>
        <v>2280</v>
      </c>
      <c r="BB28" s="123">
        <v>3040</v>
      </c>
      <c r="BC28" s="120">
        <f t="shared" ref="BC28:BE33" si="22">AZ28</f>
        <v>1945.6000000000001</v>
      </c>
      <c r="BD28" s="121">
        <f t="shared" si="22"/>
        <v>2280</v>
      </c>
      <c r="BE28" s="121">
        <f t="shared" si="22"/>
        <v>3040</v>
      </c>
      <c r="BF28" s="125">
        <v>940</v>
      </c>
      <c r="BG28" s="126">
        <v>507</v>
      </c>
      <c r="BH28" s="127">
        <v>260</v>
      </c>
      <c r="BI28" s="67"/>
      <c r="BQ28" s="67"/>
      <c r="BR28" s="761">
        <v>700</v>
      </c>
      <c r="BS28" s="1182">
        <v>711</v>
      </c>
      <c r="BT28" s="1182">
        <f t="shared" si="6"/>
        <v>691</v>
      </c>
      <c r="BU28" s="1182">
        <v>10</v>
      </c>
      <c r="BV28" s="1183">
        <f t="shared" si="7"/>
        <v>937.53175114294197</v>
      </c>
      <c r="BW28" s="1184">
        <f t="shared" si="8"/>
        <v>2.4999999999999991</v>
      </c>
      <c r="BX28" s="1185">
        <f>ROUND(6.819*(BW28/BS2)^1.852/(BT28/1000)^1.167*1000*9.81,0)</f>
        <v>60</v>
      </c>
      <c r="BY28" s="403"/>
      <c r="BZ28" s="403"/>
      <c r="CA28" s="398">
        <f>(IF(BY28=0,CA5,BY28)/1000/9.81*(BT28/1000)^1.167/6.819)^(1/1.852)*BS2</f>
        <v>5.9843210032634628</v>
      </c>
      <c r="CB28" s="398">
        <f>6.819*(IF(BZ28=0,CB5,BZ28)/BS2)^1.852/(BT28/1000)^1.167*1000*9.81</f>
        <v>59.576445790012059</v>
      </c>
      <c r="CC28" s="398">
        <f>IF(CB28&lt;=CA5,IF(CA28&lt;=IF(BZ28=0,CB5,BZ28),CA28,(CB28/1000/9.81*(BT28/1000)^1.167/6.819)^(1/1.852)*BS2),IF(CA28&lt;=IF(BZ28=0,CB5,BZ28),CA28,"Check"))</f>
        <v>2.4999999999999991</v>
      </c>
    </row>
    <row r="29" spans="1:81">
      <c r="T29" s="2230"/>
      <c r="U29" s="78">
        <v>6</v>
      </c>
      <c r="V29" s="79">
        <f t="shared" si="14"/>
        <v>2424</v>
      </c>
      <c r="W29" s="80">
        <f t="shared" si="15"/>
        <v>3329.9</v>
      </c>
      <c r="X29" s="80">
        <f t="shared" si="15"/>
        <v>3272.4</v>
      </c>
      <c r="Y29" s="80">
        <f t="shared" si="15"/>
        <v>4224.5</v>
      </c>
      <c r="Z29" s="80">
        <f t="shared" si="15"/>
        <v>4040</v>
      </c>
      <c r="AA29" s="104">
        <f t="shared" si="15"/>
        <v>4970</v>
      </c>
      <c r="AB29" s="79">
        <f>AF29*0.6</f>
        <v>2424</v>
      </c>
      <c r="AC29" s="80">
        <f>AG29*0.67</f>
        <v>3329.9</v>
      </c>
      <c r="AD29" s="80">
        <f>AF29*0.81</f>
        <v>3272.4</v>
      </c>
      <c r="AE29" s="80">
        <f>AG29*0.85</f>
        <v>4224.5</v>
      </c>
      <c r="AF29" s="81">
        <f>4040*1</f>
        <v>4040</v>
      </c>
      <c r="AG29" s="82">
        <f>4970*1</f>
        <v>4970</v>
      </c>
      <c r="AH29" s="80">
        <f t="shared" si="16"/>
        <v>2424</v>
      </c>
      <c r="AI29" s="80">
        <f t="shared" si="16"/>
        <v>3329.9</v>
      </c>
      <c r="AJ29" s="80">
        <f t="shared" si="16"/>
        <v>3272.4</v>
      </c>
      <c r="AK29" s="80">
        <f t="shared" si="16"/>
        <v>4224.5</v>
      </c>
      <c r="AL29" s="80">
        <f t="shared" si="17"/>
        <v>4040</v>
      </c>
      <c r="AM29" s="80">
        <f t="shared" si="18"/>
        <v>4970</v>
      </c>
      <c r="AN29" s="79">
        <f t="shared" si="19"/>
        <v>5034.4000000000005</v>
      </c>
      <c r="AO29" s="80">
        <f t="shared" si="19"/>
        <v>7192</v>
      </c>
      <c r="AP29" s="80">
        <f t="shared" si="19"/>
        <v>8990</v>
      </c>
      <c r="AQ29" s="79">
        <f>AS29*0.56</f>
        <v>5034.4000000000005</v>
      </c>
      <c r="AR29" s="80">
        <f>AS29*0.8</f>
        <v>7192</v>
      </c>
      <c r="AS29" s="81">
        <v>8990</v>
      </c>
      <c r="AT29" s="79">
        <f t="shared" si="20"/>
        <v>5034.4000000000005</v>
      </c>
      <c r="AU29" s="80">
        <f t="shared" si="20"/>
        <v>7192</v>
      </c>
      <c r="AV29" s="80">
        <f t="shared" si="20"/>
        <v>8990</v>
      </c>
      <c r="AW29" s="79">
        <f t="shared" si="21"/>
        <v>2464.0000000000005</v>
      </c>
      <c r="AX29" s="80">
        <f t="shared" si="21"/>
        <v>3520</v>
      </c>
      <c r="AY29" s="80">
        <f t="shared" si="21"/>
        <v>4400</v>
      </c>
      <c r="AZ29" s="79">
        <f>BB29*0.56</f>
        <v>2464.0000000000005</v>
      </c>
      <c r="BA29" s="80">
        <f>BB29*0.8</f>
        <v>3520</v>
      </c>
      <c r="BB29" s="81">
        <v>4400</v>
      </c>
      <c r="BC29" s="79">
        <f t="shared" si="22"/>
        <v>2464.0000000000005</v>
      </c>
      <c r="BD29" s="80">
        <f t="shared" si="22"/>
        <v>3520</v>
      </c>
      <c r="BE29" s="80">
        <f t="shared" si="22"/>
        <v>4400</v>
      </c>
      <c r="BF29" s="89">
        <v>1160</v>
      </c>
      <c r="BG29" s="90">
        <v>507</v>
      </c>
      <c r="BH29" s="91">
        <v>260</v>
      </c>
      <c r="BI29" s="67"/>
      <c r="BQ29" s="67"/>
      <c r="BR29" s="513">
        <v>750</v>
      </c>
      <c r="BS29" s="417">
        <v>762</v>
      </c>
      <c r="BT29" s="417">
        <f t="shared" si="6"/>
        <v>742</v>
      </c>
      <c r="BU29" s="417">
        <v>10</v>
      </c>
      <c r="BV29" s="1186">
        <f t="shared" si="7"/>
        <v>1081.0298860818812</v>
      </c>
      <c r="BW29" s="1180">
        <f t="shared" si="8"/>
        <v>2.4999999999999991</v>
      </c>
      <c r="BX29" s="1181">
        <f>ROUND(6.819*(BW29/BS2)^1.852/(BT29/1000)^1.167*1000*9.81,0)</f>
        <v>55</v>
      </c>
      <c r="BY29" s="403"/>
      <c r="BZ29" s="403"/>
      <c r="CA29" s="398">
        <f>(IF(BY29=0,CA5,BY29)/1000/9.81*(BT29/1000)^1.167/6.819)^(1/1.852)*BS2</f>
        <v>6.2589600496106685</v>
      </c>
      <c r="CB29" s="398">
        <f>6.819*(IF(BZ29=0,CB5,BZ29)/BS2)^1.852/(BT29/1000)^1.167*1000*9.81</f>
        <v>54.82569103775036</v>
      </c>
      <c r="CC29" s="398">
        <f>IF(CB29&lt;=CA5,IF(CA29&lt;=IF(BZ29=0,CB5,BZ29),CA29,(CB29/1000/9.81*(BT29/1000)^1.167/6.819)^(1/1.852)*BS2),IF(CA29&lt;=IF(BZ29=0,CB5,BZ29),CA29,"Check"))</f>
        <v>2.4999999999999991</v>
      </c>
    </row>
    <row r="30" spans="1:81">
      <c r="T30" s="2230"/>
      <c r="U30" s="78">
        <v>8</v>
      </c>
      <c r="V30" s="79">
        <f t="shared" si="14"/>
        <v>3137.7999999999997</v>
      </c>
      <c r="W30" s="80">
        <f t="shared" si="15"/>
        <v>4569.6000000000004</v>
      </c>
      <c r="X30" s="80">
        <f t="shared" si="15"/>
        <v>4436.2</v>
      </c>
      <c r="Y30" s="80">
        <f t="shared" si="15"/>
        <v>5779.2</v>
      </c>
      <c r="Z30" s="80">
        <f t="shared" si="15"/>
        <v>5410</v>
      </c>
      <c r="AA30" s="104">
        <f t="shared" si="15"/>
        <v>6720</v>
      </c>
      <c r="AB30" s="79">
        <f>AF30*0.58</f>
        <v>3137.7999999999997</v>
      </c>
      <c r="AC30" s="80">
        <f>AG30*0.68</f>
        <v>4569.6000000000004</v>
      </c>
      <c r="AD30" s="80">
        <f>AF30*0.82</f>
        <v>4436.2</v>
      </c>
      <c r="AE30" s="80">
        <f>AG30*0.86</f>
        <v>5779.2</v>
      </c>
      <c r="AF30" s="81">
        <f>5410*1</f>
        <v>5410</v>
      </c>
      <c r="AG30" s="82">
        <f>6720*1</f>
        <v>6720</v>
      </c>
      <c r="AH30" s="80">
        <f t="shared" si="16"/>
        <v>3137.7999999999997</v>
      </c>
      <c r="AI30" s="80">
        <f t="shared" si="16"/>
        <v>4569.6000000000004</v>
      </c>
      <c r="AJ30" s="80">
        <f t="shared" si="16"/>
        <v>4436.2</v>
      </c>
      <c r="AK30" s="80">
        <f t="shared" si="16"/>
        <v>5779.2</v>
      </c>
      <c r="AL30" s="80">
        <f t="shared" si="17"/>
        <v>5410</v>
      </c>
      <c r="AM30" s="80">
        <f t="shared" si="18"/>
        <v>6720</v>
      </c>
      <c r="AN30" s="79">
        <f t="shared" si="19"/>
        <v>6820.8000000000011</v>
      </c>
      <c r="AO30" s="80">
        <f t="shared" si="19"/>
        <v>9500.4</v>
      </c>
      <c r="AP30" s="80">
        <f t="shared" si="19"/>
        <v>12180</v>
      </c>
      <c r="AQ30" s="79">
        <f>AS30*0.56</f>
        <v>6820.8000000000011</v>
      </c>
      <c r="AR30" s="80">
        <f>AS30*0.78</f>
        <v>9500.4</v>
      </c>
      <c r="AS30" s="81">
        <v>12180</v>
      </c>
      <c r="AT30" s="79">
        <f t="shared" si="20"/>
        <v>6820.8000000000011</v>
      </c>
      <c r="AU30" s="80">
        <f t="shared" si="20"/>
        <v>9500.4</v>
      </c>
      <c r="AV30" s="80">
        <f t="shared" si="20"/>
        <v>12180</v>
      </c>
      <c r="AW30" s="79">
        <f t="shared" si="21"/>
        <v>3494.4000000000005</v>
      </c>
      <c r="AX30" s="80">
        <f t="shared" si="21"/>
        <v>4867.2</v>
      </c>
      <c r="AY30" s="80">
        <f t="shared" si="21"/>
        <v>6240</v>
      </c>
      <c r="AZ30" s="79">
        <f>BB30*0.56</f>
        <v>3494.4000000000005</v>
      </c>
      <c r="BA30" s="80">
        <f>BB30*0.78</f>
        <v>4867.2</v>
      </c>
      <c r="BB30" s="81">
        <v>6240</v>
      </c>
      <c r="BC30" s="79">
        <f t="shared" si="22"/>
        <v>3494.4000000000005</v>
      </c>
      <c r="BD30" s="80">
        <f t="shared" si="22"/>
        <v>4867.2</v>
      </c>
      <c r="BE30" s="80">
        <f t="shared" si="22"/>
        <v>6240</v>
      </c>
      <c r="BF30" s="89">
        <v>1460</v>
      </c>
      <c r="BG30" s="90">
        <v>507</v>
      </c>
      <c r="BH30" s="91">
        <v>260</v>
      </c>
      <c r="BI30" s="67"/>
      <c r="BQ30" s="67"/>
      <c r="BR30" s="761">
        <v>800</v>
      </c>
      <c r="BS30" s="1182">
        <v>813</v>
      </c>
      <c r="BT30" s="1182">
        <f t="shared" si="6"/>
        <v>793</v>
      </c>
      <c r="BU30" s="1182">
        <v>10</v>
      </c>
      <c r="BV30" s="1183">
        <f t="shared" si="7"/>
        <v>1234.7421241358045</v>
      </c>
      <c r="BW30" s="1184">
        <f t="shared" si="8"/>
        <v>2.4999999999999991</v>
      </c>
      <c r="BX30" s="1185">
        <f>ROUND(6.819*(BW30/BS2)^1.852/(BT30/1000)^1.167*1000*9.81,0)</f>
        <v>51</v>
      </c>
      <c r="BY30" s="403"/>
      <c r="BZ30" s="403"/>
      <c r="CA30" s="398">
        <f>(IF(BY30=0,CA5,BY30)/1000/9.81*(BT30/1000)^1.167/6.819)^(1/1.852)*BS2</f>
        <v>6.5266987609106328</v>
      </c>
      <c r="CB30" s="398">
        <f>6.819*(IF(BZ30=0,CB5,BZ30)/BS2)^1.852/(BT30/1000)^1.167*1000*9.81</f>
        <v>50.733364231020182</v>
      </c>
      <c r="CC30" s="398">
        <f>IF(CB30&lt;=CA5,IF(CA30&lt;=IF(BZ30=0,CB5,BZ30),CA30,(CB30/1000/9.81*(BT30/1000)^1.167/6.819)^(1/1.852)*BS2),IF(CA30&lt;=IF(BZ30=0,CB5,BZ30),CA30,"Check"))</f>
        <v>2.4999999999999991</v>
      </c>
    </row>
    <row r="31" spans="1:81">
      <c r="T31" s="2230"/>
      <c r="U31" s="78">
        <v>10</v>
      </c>
      <c r="V31" s="79">
        <f t="shared" si="14"/>
        <v>4222.2</v>
      </c>
      <c r="W31" s="80">
        <f t="shared" si="15"/>
        <v>5642</v>
      </c>
      <c r="X31" s="80">
        <f t="shared" si="15"/>
        <v>5652.3</v>
      </c>
      <c r="Y31" s="80">
        <f t="shared" si="15"/>
        <v>7173.4000000000005</v>
      </c>
      <c r="Z31" s="80">
        <f t="shared" si="15"/>
        <v>6810</v>
      </c>
      <c r="AA31" s="104">
        <f t="shared" si="15"/>
        <v>8060</v>
      </c>
      <c r="AB31" s="79">
        <f>AF31*0.62</f>
        <v>4222.2</v>
      </c>
      <c r="AC31" s="80">
        <f>AG31*0.7</f>
        <v>5642</v>
      </c>
      <c r="AD31" s="80">
        <f>AF31*0.83</f>
        <v>5652.3</v>
      </c>
      <c r="AE31" s="80">
        <f>AG31*0.89</f>
        <v>7173.4000000000005</v>
      </c>
      <c r="AF31" s="81">
        <f>6810*1</f>
        <v>6810</v>
      </c>
      <c r="AG31" s="82">
        <f>8060*1</f>
        <v>8060</v>
      </c>
      <c r="AH31" s="80">
        <f t="shared" si="16"/>
        <v>4222.2</v>
      </c>
      <c r="AI31" s="80">
        <f t="shared" si="16"/>
        <v>5642</v>
      </c>
      <c r="AJ31" s="80">
        <f t="shared" si="16"/>
        <v>5652.3</v>
      </c>
      <c r="AK31" s="80">
        <f t="shared" si="16"/>
        <v>7173.4000000000005</v>
      </c>
      <c r="AL31" s="80">
        <f t="shared" si="17"/>
        <v>6810</v>
      </c>
      <c r="AM31" s="80">
        <f t="shared" si="18"/>
        <v>8060</v>
      </c>
      <c r="AN31" s="79">
        <f t="shared" si="19"/>
        <v>8549.1</v>
      </c>
      <c r="AO31" s="80">
        <f t="shared" si="19"/>
        <v>12026.699999999999</v>
      </c>
      <c r="AP31" s="80">
        <f t="shared" si="19"/>
        <v>14490</v>
      </c>
      <c r="AQ31" s="79">
        <f>AS31*0.59</f>
        <v>8549.1</v>
      </c>
      <c r="AR31" s="80">
        <f>AS31*0.83</f>
        <v>12026.699999999999</v>
      </c>
      <c r="AS31" s="81">
        <v>14490</v>
      </c>
      <c r="AT31" s="79">
        <f t="shared" si="20"/>
        <v>8549.1</v>
      </c>
      <c r="AU31" s="80">
        <f t="shared" si="20"/>
        <v>12026.699999999999</v>
      </c>
      <c r="AV31" s="80">
        <f t="shared" si="20"/>
        <v>14490</v>
      </c>
      <c r="AW31" s="79">
        <f t="shared" si="21"/>
        <v>3929.3999999999996</v>
      </c>
      <c r="AX31" s="80">
        <f t="shared" si="21"/>
        <v>5527.8</v>
      </c>
      <c r="AY31" s="80">
        <f t="shared" si="21"/>
        <v>6660</v>
      </c>
      <c r="AZ31" s="79">
        <f>BB31*0.59</f>
        <v>3929.3999999999996</v>
      </c>
      <c r="BA31" s="80">
        <f>BB31*0.83</f>
        <v>5527.8</v>
      </c>
      <c r="BB31" s="81">
        <v>6660</v>
      </c>
      <c r="BC31" s="79">
        <f t="shared" si="22"/>
        <v>3929.3999999999996</v>
      </c>
      <c r="BD31" s="80">
        <f t="shared" si="22"/>
        <v>5527.8</v>
      </c>
      <c r="BE31" s="80">
        <f t="shared" si="22"/>
        <v>6660</v>
      </c>
      <c r="BF31" s="89">
        <v>1560</v>
      </c>
      <c r="BG31" s="90">
        <v>507</v>
      </c>
      <c r="BH31" s="91">
        <v>260</v>
      </c>
      <c r="BI31" s="67"/>
      <c r="BQ31" s="67"/>
      <c r="BR31" s="513">
        <v>850</v>
      </c>
      <c r="BS31" s="417">
        <v>864</v>
      </c>
      <c r="BT31" s="417">
        <f t="shared" si="6"/>
        <v>842</v>
      </c>
      <c r="BU31" s="417">
        <v>11</v>
      </c>
      <c r="BV31" s="1186">
        <f t="shared" si="7"/>
        <v>1392.0475587872704</v>
      </c>
      <c r="BW31" s="1180">
        <f t="shared" si="8"/>
        <v>2.4999999999999991</v>
      </c>
      <c r="BX31" s="1181">
        <f>ROUND(6.819*(BW31/BS2)^1.852/(BT31/1000)^1.167*1000*9.81,0)</f>
        <v>47</v>
      </c>
      <c r="BY31" s="403"/>
      <c r="BZ31" s="403"/>
      <c r="CA31" s="398">
        <f>(IF(BY31=0,CA5,BY31)/1000/9.81*(BT31/1000)^1.167/6.819)^(1/1.852)*BS2</f>
        <v>6.7779982496548845</v>
      </c>
      <c r="CB31" s="398">
        <f>6.819*(IF(BZ31=0,CB5,BZ31)/BS2)^1.852/(BT31/1000)^1.167*1000*9.81</f>
        <v>47.304914408840872</v>
      </c>
      <c r="CC31" s="398">
        <f>IF(CB31&lt;=CA5,IF(CA31&lt;=IF(BZ31=0,CB5,BZ31),CA31,(CB31/1000/9.81*(BT31/1000)^1.167/6.819)^(1/1.852)*BS2),IF(CA31&lt;=IF(BZ31=0,CB5,BZ31),CA31,"Check"))</f>
        <v>2.4999999999999991</v>
      </c>
    </row>
    <row r="32" spans="1:81">
      <c r="T32" s="2230"/>
      <c r="U32" s="78">
        <v>12</v>
      </c>
      <c r="V32" s="79">
        <f t="shared" si="14"/>
        <v>5499.2999999999993</v>
      </c>
      <c r="W32" s="80">
        <f t="shared" si="15"/>
        <v>7333.4</v>
      </c>
      <c r="X32" s="80">
        <f t="shared" si="15"/>
        <v>6774.5</v>
      </c>
      <c r="Y32" s="80">
        <f t="shared" si="15"/>
        <v>8919</v>
      </c>
      <c r="Z32" s="80">
        <f t="shared" si="15"/>
        <v>7970</v>
      </c>
      <c r="AA32" s="104">
        <f t="shared" si="15"/>
        <v>9910</v>
      </c>
      <c r="AB32" s="79">
        <f>AF32*0.69</f>
        <v>5499.2999999999993</v>
      </c>
      <c r="AC32" s="80">
        <f>AG32*0.74</f>
        <v>7333.4</v>
      </c>
      <c r="AD32" s="80">
        <f>AF32*0.85</f>
        <v>6774.5</v>
      </c>
      <c r="AE32" s="80">
        <f>AG32*0.9</f>
        <v>8919</v>
      </c>
      <c r="AF32" s="81">
        <f>7970*1</f>
        <v>7970</v>
      </c>
      <c r="AG32" s="82">
        <f>9910*1</f>
        <v>9910</v>
      </c>
      <c r="AH32" s="80">
        <f t="shared" si="16"/>
        <v>5499.2999999999993</v>
      </c>
      <c r="AI32" s="80">
        <f t="shared" si="16"/>
        <v>7333.4</v>
      </c>
      <c r="AJ32" s="80">
        <f t="shared" si="16"/>
        <v>6774.5</v>
      </c>
      <c r="AK32" s="80">
        <f t="shared" si="16"/>
        <v>8919</v>
      </c>
      <c r="AL32" s="80">
        <f t="shared" si="17"/>
        <v>7970</v>
      </c>
      <c r="AM32" s="80">
        <f t="shared" si="18"/>
        <v>9910</v>
      </c>
      <c r="AN32" s="79">
        <f t="shared" si="19"/>
        <v>12071.400000000001</v>
      </c>
      <c r="AO32" s="80">
        <f t="shared" si="19"/>
        <v>15546.5</v>
      </c>
      <c r="AP32" s="80">
        <f t="shared" si="19"/>
        <v>18290</v>
      </c>
      <c r="AQ32" s="79">
        <f>AS32*0.66</f>
        <v>12071.400000000001</v>
      </c>
      <c r="AR32" s="80">
        <f>AS32*0.85</f>
        <v>15546.5</v>
      </c>
      <c r="AS32" s="81">
        <v>18290</v>
      </c>
      <c r="AT32" s="79">
        <f t="shared" si="20"/>
        <v>12071.400000000001</v>
      </c>
      <c r="AU32" s="80">
        <f t="shared" si="20"/>
        <v>15546.5</v>
      </c>
      <c r="AV32" s="80">
        <f t="shared" si="20"/>
        <v>18290</v>
      </c>
      <c r="AW32" s="79">
        <f t="shared" si="21"/>
        <v>5636.4000000000005</v>
      </c>
      <c r="AX32" s="80">
        <f t="shared" si="21"/>
        <v>7259</v>
      </c>
      <c r="AY32" s="80">
        <f t="shared" si="21"/>
        <v>8540</v>
      </c>
      <c r="AZ32" s="79">
        <f>BB32*0.66</f>
        <v>5636.4000000000005</v>
      </c>
      <c r="BA32" s="80">
        <f>BB32*0.85</f>
        <v>7259</v>
      </c>
      <c r="BB32" s="81">
        <v>8540</v>
      </c>
      <c r="BC32" s="79">
        <f t="shared" si="22"/>
        <v>5636.4000000000005</v>
      </c>
      <c r="BD32" s="80">
        <f t="shared" si="22"/>
        <v>7259</v>
      </c>
      <c r="BE32" s="80">
        <f t="shared" si="22"/>
        <v>8540</v>
      </c>
      <c r="BF32" s="89">
        <v>1760</v>
      </c>
      <c r="BG32" s="90">
        <v>507</v>
      </c>
      <c r="BH32" s="91">
        <v>260</v>
      </c>
      <c r="BI32" s="67"/>
      <c r="BQ32" s="67"/>
      <c r="BR32" s="761">
        <v>900</v>
      </c>
      <c r="BS32" s="1182">
        <v>914</v>
      </c>
      <c r="BT32" s="1182">
        <f t="shared" si="6"/>
        <v>892</v>
      </c>
      <c r="BU32" s="1182">
        <v>11</v>
      </c>
      <c r="BV32" s="1183">
        <f t="shared" si="7"/>
        <v>1562.2826107036678</v>
      </c>
      <c r="BW32" s="1184">
        <f t="shared" si="8"/>
        <v>2.4999999999999991</v>
      </c>
      <c r="BX32" s="1185">
        <f>ROUND(6.819*(BW32/BS2)^1.852/(BT32/1000)^1.167*1000*9.81,0)</f>
        <v>44</v>
      </c>
      <c r="BY32" s="403"/>
      <c r="BZ32" s="403"/>
      <c r="CA32" s="398">
        <f>(IF(BY32=0,CA5,BY32)/1000/9.81*(BT32/1000)^1.167/6.819)^(1/1.852)*BS2</f>
        <v>7.0289093041857704</v>
      </c>
      <c r="CB32" s="398">
        <f>6.819*(IF(BZ32=0,CB5,BZ32)/BS2)^1.852/(BT32/1000)^1.167*1000*9.81</f>
        <v>44.225187897469958</v>
      </c>
      <c r="CC32" s="398">
        <f>IF(CB32&lt;=CA5,IF(CA32&lt;=IF(BZ32=0,CB5,BZ32),CA32,(CB32/1000/9.81*(BT32/1000)^1.167/6.819)^(1/1.852)*BS2),IF(CA32&lt;=IF(BZ32=0,CB5,BZ32),CA32,"Check"))</f>
        <v>2.4999999999999991</v>
      </c>
    </row>
    <row r="33" spans="20:81">
      <c r="T33" s="2231"/>
      <c r="U33" s="92">
        <v>14</v>
      </c>
      <c r="V33" s="93">
        <f t="shared" si="14"/>
        <v>5618.0999999999995</v>
      </c>
      <c r="W33" s="94">
        <f t="shared" si="15"/>
        <v>7720.9999999999991</v>
      </c>
      <c r="X33" s="94">
        <f t="shared" si="15"/>
        <v>7552.2</v>
      </c>
      <c r="Y33" s="94">
        <f t="shared" si="15"/>
        <v>9706.4</v>
      </c>
      <c r="Z33" s="94">
        <f t="shared" si="15"/>
        <v>9210</v>
      </c>
      <c r="AA33" s="116">
        <f t="shared" si="15"/>
        <v>11030</v>
      </c>
      <c r="AB33" s="93">
        <f>AF33*0.61</f>
        <v>5618.0999999999995</v>
      </c>
      <c r="AC33" s="94">
        <f>AG33*0.7</f>
        <v>7720.9999999999991</v>
      </c>
      <c r="AD33" s="94">
        <f>AF33*0.82</f>
        <v>7552.2</v>
      </c>
      <c r="AE33" s="94">
        <f>AG33*0.88</f>
        <v>9706.4</v>
      </c>
      <c r="AF33" s="95">
        <f>9210*1</f>
        <v>9210</v>
      </c>
      <c r="AG33" s="96">
        <f>11030*1</f>
        <v>11030</v>
      </c>
      <c r="AH33" s="94">
        <f t="shared" si="16"/>
        <v>5618.0999999999995</v>
      </c>
      <c r="AI33" s="94">
        <f t="shared" si="16"/>
        <v>7720.9999999999991</v>
      </c>
      <c r="AJ33" s="94">
        <f t="shared" si="16"/>
        <v>7552.2</v>
      </c>
      <c r="AK33" s="94">
        <f t="shared" si="16"/>
        <v>9706.4</v>
      </c>
      <c r="AL33" s="94">
        <f t="shared" si="17"/>
        <v>9210</v>
      </c>
      <c r="AM33" s="94">
        <f t="shared" si="18"/>
        <v>11030</v>
      </c>
      <c r="AN33" s="93">
        <f t="shared" si="19"/>
        <v>12747.2</v>
      </c>
      <c r="AO33" s="94">
        <f t="shared" si="19"/>
        <v>17064.8</v>
      </c>
      <c r="AP33" s="94">
        <f t="shared" si="19"/>
        <v>20560</v>
      </c>
      <c r="AQ33" s="93">
        <f>AS33*0.62</f>
        <v>12747.2</v>
      </c>
      <c r="AR33" s="94">
        <f>AS33*0.83</f>
        <v>17064.8</v>
      </c>
      <c r="AS33" s="95">
        <v>20560</v>
      </c>
      <c r="AT33" s="93">
        <f t="shared" si="20"/>
        <v>12747.2</v>
      </c>
      <c r="AU33" s="94">
        <f t="shared" si="20"/>
        <v>17064.8</v>
      </c>
      <c r="AV33" s="94">
        <f t="shared" si="20"/>
        <v>20560</v>
      </c>
      <c r="AW33" s="93">
        <f t="shared" si="21"/>
        <v>6107</v>
      </c>
      <c r="AX33" s="94">
        <f t="shared" si="21"/>
        <v>8175.5</v>
      </c>
      <c r="AY33" s="94">
        <f t="shared" si="21"/>
        <v>9850</v>
      </c>
      <c r="AZ33" s="93">
        <f>BB33*0.62</f>
        <v>6107</v>
      </c>
      <c r="BA33" s="94">
        <f>BB33*0.83</f>
        <v>8175.5</v>
      </c>
      <c r="BB33" s="95">
        <v>9850</v>
      </c>
      <c r="BC33" s="93">
        <f t="shared" si="22"/>
        <v>6107</v>
      </c>
      <c r="BD33" s="94">
        <f t="shared" si="22"/>
        <v>8175.5</v>
      </c>
      <c r="BE33" s="94">
        <f t="shared" si="22"/>
        <v>9850</v>
      </c>
      <c r="BF33" s="100">
        <v>2060</v>
      </c>
      <c r="BG33" s="101">
        <v>507</v>
      </c>
      <c r="BH33" s="102">
        <v>260</v>
      </c>
      <c r="BI33" s="67"/>
      <c r="BQ33" s="67"/>
      <c r="BR33" s="513">
        <v>1000</v>
      </c>
      <c r="BS33" s="417">
        <v>1016</v>
      </c>
      <c r="BT33" s="417">
        <f t="shared" si="6"/>
        <v>994</v>
      </c>
      <c r="BU33" s="417">
        <v>11</v>
      </c>
      <c r="BV33" s="1186">
        <f t="shared" si="7"/>
        <v>1940.0041494264024</v>
      </c>
      <c r="BW33" s="1180">
        <f t="shared" si="8"/>
        <v>2.4999999999999991</v>
      </c>
      <c r="BX33" s="1181">
        <f>ROUND(6.819*(BW33/BS2)^1.852/(BT33/1000)^1.167*1000*9.81,0)</f>
        <v>39</v>
      </c>
      <c r="BY33" s="403"/>
      <c r="BZ33" s="403"/>
      <c r="CA33" s="398">
        <f>(IF(BY33=0,CA5,BY33)/1000/9.81*(BT33/1000)^1.167/6.819)^(1/1.852)*BS2</f>
        <v>7.5251922049761095</v>
      </c>
      <c r="CB33" s="398">
        <f>6.819*(IF(BZ33=0,CB5,BZ33)/BS2)^1.852/(BT33/1000)^1.167*1000*9.81</f>
        <v>38.975846948288513</v>
      </c>
      <c r="CC33" s="398">
        <f>IF(CB33&lt;=CA5,IF(CA33&lt;=IF(BZ33=0,CB5,BZ33),CA33,(CB33/1000/9.81*(BT33/1000)^1.167/6.819)^(1/1.852)*BS2),IF(CA33&lt;=IF(BZ33=0,CB5,BZ33),CA33,"Check"))</f>
        <v>2.4999999999999991</v>
      </c>
    </row>
    <row r="34" spans="20:81">
      <c r="T34" s="2229" t="s">
        <v>406</v>
      </c>
      <c r="U34" s="103">
        <v>4</v>
      </c>
      <c r="V34" s="120">
        <f t="shared" ref="V34:V39" si="23">AH34</f>
        <v>2109.1</v>
      </c>
      <c r="W34" s="121">
        <f t="shared" ref="W34:AA39" si="24">AI34</f>
        <v>2915.6</v>
      </c>
      <c r="X34" s="121">
        <f t="shared" si="24"/>
        <v>2561.0499999999997</v>
      </c>
      <c r="Y34" s="121">
        <f t="shared" si="24"/>
        <v>3427.8</v>
      </c>
      <c r="Z34" s="121">
        <f t="shared" si="24"/>
        <v>3013</v>
      </c>
      <c r="AA34" s="122">
        <f t="shared" si="24"/>
        <v>3940</v>
      </c>
      <c r="AB34" s="120">
        <f t="shared" ref="AB34:AB39" si="25">AH34</f>
        <v>2109.1</v>
      </c>
      <c r="AC34" s="121">
        <f t="shared" ref="AC34:AG39" si="26">AI34</f>
        <v>2915.6</v>
      </c>
      <c r="AD34" s="121">
        <f t="shared" si="26"/>
        <v>2561.0499999999997</v>
      </c>
      <c r="AE34" s="121">
        <f t="shared" si="26"/>
        <v>3427.8</v>
      </c>
      <c r="AF34" s="121">
        <f t="shared" si="26"/>
        <v>3013</v>
      </c>
      <c r="AG34" s="122">
        <f t="shared" si="26"/>
        <v>3940</v>
      </c>
      <c r="AH34" s="121">
        <f>AL34*0.7</f>
        <v>2109.1</v>
      </c>
      <c r="AI34" s="121">
        <f>AM34*0.74</f>
        <v>2915.6</v>
      </c>
      <c r="AJ34" s="121">
        <f>AL34*0.85</f>
        <v>2561.0499999999997</v>
      </c>
      <c r="AK34" s="121">
        <f>AM34*0.87</f>
        <v>3427.8</v>
      </c>
      <c r="AL34" s="123">
        <f>3013*1</f>
        <v>3013</v>
      </c>
      <c r="AM34" s="123">
        <f>3940*1</f>
        <v>3940</v>
      </c>
      <c r="AN34" s="120">
        <f t="shared" ref="AN34:AP39" si="27">AT34</f>
        <v>5626.96</v>
      </c>
      <c r="AO34" s="121">
        <f t="shared" si="27"/>
        <v>6539.44</v>
      </c>
      <c r="AP34" s="121">
        <f t="shared" si="27"/>
        <v>7604</v>
      </c>
      <c r="AQ34" s="120">
        <f t="shared" ref="AQ34:AQ39" si="28">AT34</f>
        <v>5626.96</v>
      </c>
      <c r="AR34" s="121">
        <f t="shared" ref="AR34:AS39" si="29">AU34</f>
        <v>6539.44</v>
      </c>
      <c r="AS34" s="121">
        <f t="shared" si="29"/>
        <v>7604</v>
      </c>
      <c r="AT34" s="120">
        <f>AV34*0.74</f>
        <v>5626.96</v>
      </c>
      <c r="AU34" s="121">
        <f>AV34*0.86</f>
        <v>6539.44</v>
      </c>
      <c r="AV34" s="123">
        <v>7604</v>
      </c>
      <c r="AW34" s="120">
        <f t="shared" ref="AW34:AW39" si="30">BC34</f>
        <v>3034</v>
      </c>
      <c r="AX34" s="121">
        <f t="shared" ref="AX34:AX39" si="31">BD34</f>
        <v>3526</v>
      </c>
      <c r="AY34" s="121">
        <f t="shared" ref="AY34:AY39" si="32">BE34</f>
        <v>4100</v>
      </c>
      <c r="AZ34" s="120">
        <f t="shared" ref="AZ34:AZ39" si="33">BC34</f>
        <v>3034</v>
      </c>
      <c r="BA34" s="121">
        <f t="shared" ref="BA34:BA39" si="34">BD34</f>
        <v>3526</v>
      </c>
      <c r="BB34" s="121">
        <f t="shared" ref="BB34:BB39" si="35">BE34</f>
        <v>4100</v>
      </c>
      <c r="BC34" s="120">
        <f>BE34*0.74</f>
        <v>3034</v>
      </c>
      <c r="BD34" s="121">
        <f>BE34*0.86</f>
        <v>3526</v>
      </c>
      <c r="BE34" s="123">
        <v>4100</v>
      </c>
      <c r="BF34" s="125">
        <v>970</v>
      </c>
      <c r="BG34" s="126">
        <v>466</v>
      </c>
      <c r="BH34" s="127">
        <v>220</v>
      </c>
      <c r="BI34" s="67"/>
      <c r="BQ34" s="67"/>
      <c r="BR34" s="761">
        <v>1200</v>
      </c>
      <c r="BS34" s="1182">
        <v>1219</v>
      </c>
      <c r="BT34" s="1182">
        <f t="shared" si="6"/>
        <v>1194</v>
      </c>
      <c r="BU34" s="1182">
        <v>12.5</v>
      </c>
      <c r="BV34" s="1183">
        <f t="shared" si="7"/>
        <v>2799.2297401832102</v>
      </c>
      <c r="BW34" s="1184">
        <f t="shared" si="8"/>
        <v>2.4999999999999991</v>
      </c>
      <c r="BX34" s="1185">
        <f>ROUND(6.819*(BW34/BS2)^1.852/(BT34/1000)^1.167*1000*9.81,0)</f>
        <v>31</v>
      </c>
      <c r="BY34" s="403"/>
      <c r="BZ34" s="403"/>
      <c r="CA34" s="398">
        <f>(IF(BY34=0,CA5,BY34)/1000/9.81*(BT34/1000)^1.167/6.819)^(1/1.852)*BS2</f>
        <v>8.4467028907791963</v>
      </c>
      <c r="CB34" s="398">
        <f>6.819*(IF(BZ34=0,CB5,BZ34)/BS2)^1.852/(BT34/1000)^1.167*1000*9.81</f>
        <v>31.468889862135562</v>
      </c>
      <c r="CC34" s="398">
        <f>IF(CB34&lt;=CA5,IF(CA34&lt;=IF(BZ34=0,CB5,BZ34),CA34,(CB34/1000/9.81*(BT34/1000)^1.167/6.819)^(1/1.852)*BS2),IF(CA34&lt;=IF(BZ34=0,CB5,BZ34),CA34,"Check"))</f>
        <v>2.4999999999999991</v>
      </c>
    </row>
    <row r="35" spans="20:81">
      <c r="T35" s="2230"/>
      <c r="U35" s="78">
        <v>6</v>
      </c>
      <c r="V35" s="79">
        <f t="shared" si="23"/>
        <v>2799.2999999999997</v>
      </c>
      <c r="W35" s="80">
        <f t="shared" si="24"/>
        <v>3909</v>
      </c>
      <c r="X35" s="80">
        <f t="shared" si="24"/>
        <v>3479.13</v>
      </c>
      <c r="Y35" s="80">
        <f t="shared" si="24"/>
        <v>4638.68</v>
      </c>
      <c r="Z35" s="80">
        <f t="shared" si="24"/>
        <v>3999</v>
      </c>
      <c r="AA35" s="104">
        <f t="shared" si="24"/>
        <v>5212</v>
      </c>
      <c r="AB35" s="79">
        <f t="shared" si="25"/>
        <v>2799.2999999999997</v>
      </c>
      <c r="AC35" s="80">
        <f t="shared" si="26"/>
        <v>3909</v>
      </c>
      <c r="AD35" s="80">
        <f t="shared" si="26"/>
        <v>3479.13</v>
      </c>
      <c r="AE35" s="80">
        <f t="shared" si="26"/>
        <v>4638.68</v>
      </c>
      <c r="AF35" s="80">
        <f t="shared" si="26"/>
        <v>3999</v>
      </c>
      <c r="AG35" s="104">
        <f t="shared" si="26"/>
        <v>5212</v>
      </c>
      <c r="AH35" s="80">
        <f>AL35*0.7</f>
        <v>2799.2999999999997</v>
      </c>
      <c r="AI35" s="80">
        <f>AM35*0.75</f>
        <v>3909</v>
      </c>
      <c r="AJ35" s="80">
        <f>AL35*0.87</f>
        <v>3479.13</v>
      </c>
      <c r="AK35" s="80">
        <f>AM35*0.89</f>
        <v>4638.68</v>
      </c>
      <c r="AL35" s="81">
        <f>3999*1</f>
        <v>3999</v>
      </c>
      <c r="AM35" s="81">
        <f>5212*1</f>
        <v>5212</v>
      </c>
      <c r="AN35" s="79">
        <f t="shared" si="27"/>
        <v>7775.25</v>
      </c>
      <c r="AO35" s="80">
        <f t="shared" si="27"/>
        <v>9019.2899999999991</v>
      </c>
      <c r="AP35" s="80">
        <f t="shared" si="27"/>
        <v>10367</v>
      </c>
      <c r="AQ35" s="79">
        <f t="shared" si="28"/>
        <v>7775.25</v>
      </c>
      <c r="AR35" s="80">
        <f t="shared" si="29"/>
        <v>9019.2899999999991</v>
      </c>
      <c r="AS35" s="80">
        <f t="shared" si="29"/>
        <v>10367</v>
      </c>
      <c r="AT35" s="79">
        <f>AV35*0.75</f>
        <v>7775.25</v>
      </c>
      <c r="AU35" s="80">
        <f>AV35*0.87</f>
        <v>9019.2899999999991</v>
      </c>
      <c r="AV35" s="81">
        <v>10367</v>
      </c>
      <c r="AW35" s="79">
        <f t="shared" si="30"/>
        <v>4536</v>
      </c>
      <c r="AX35" s="80">
        <f t="shared" si="31"/>
        <v>5261.76</v>
      </c>
      <c r="AY35" s="80">
        <f t="shared" si="32"/>
        <v>6048</v>
      </c>
      <c r="AZ35" s="79">
        <f t="shared" si="33"/>
        <v>4536</v>
      </c>
      <c r="BA35" s="80">
        <f t="shared" si="34"/>
        <v>5261.76</v>
      </c>
      <c r="BB35" s="80">
        <f t="shared" si="35"/>
        <v>6048</v>
      </c>
      <c r="BC35" s="79">
        <f>BE35*0.75</f>
        <v>4536</v>
      </c>
      <c r="BD35" s="80">
        <f>BE35*0.87</f>
        <v>5261.76</v>
      </c>
      <c r="BE35" s="81">
        <v>6048</v>
      </c>
      <c r="BF35" s="89">
        <v>1410</v>
      </c>
      <c r="BG35" s="90">
        <v>466</v>
      </c>
      <c r="BH35" s="91">
        <v>220</v>
      </c>
      <c r="BI35" s="67"/>
      <c r="BQ35" s="67"/>
      <c r="BR35" s="513">
        <v>1400</v>
      </c>
      <c r="BS35" s="417">
        <v>1422</v>
      </c>
      <c r="BT35" s="417">
        <f t="shared" si="6"/>
        <v>1397</v>
      </c>
      <c r="BU35" s="417">
        <v>12.5</v>
      </c>
      <c r="BV35" s="1186">
        <f t="shared" si="7"/>
        <v>3831.9753106748253</v>
      </c>
      <c r="BW35" s="1180">
        <f t="shared" si="8"/>
        <v>2.4999999999999991</v>
      </c>
      <c r="BX35" s="1181">
        <f>ROUND(6.819*(BW35/BS2)^1.852/(BT35/1000)^1.167*1000*9.81,0)</f>
        <v>26</v>
      </c>
      <c r="BY35" s="403"/>
      <c r="BZ35" s="403"/>
      <c r="CA35" s="398">
        <f>(IF(BY35=0,CA5,BY35)/1000/9.81*(BT35/1000)^1.167/6.819)^(1/1.852)*BS2</f>
        <v>9.3251766014128705</v>
      </c>
      <c r="CB35" s="398">
        <f>6.819*(IF(BZ35=0,CB5,BZ35)/BS2)^1.852/(BT35/1000)^1.167*1000*9.81</f>
        <v>26.199998464906813</v>
      </c>
      <c r="CC35" s="398">
        <f>IF(CB35&lt;=CA5,IF(CA35&lt;=IF(BZ35=0,CB5,BZ35),CA35,(CB35/1000/9.81*(BT35/1000)^1.167/6.819)^(1/1.852)*BS2),IF(CA35&lt;=IF(BZ35=0,CB5,BZ35),CA35,"Check"))</f>
        <v>2.4999999999999991</v>
      </c>
    </row>
    <row r="36" spans="20:81">
      <c r="T36" s="2230"/>
      <c r="U36" s="78">
        <v>8</v>
      </c>
      <c r="V36" s="79">
        <f t="shared" si="23"/>
        <v>3957.1499999999996</v>
      </c>
      <c r="W36" s="80">
        <f t="shared" si="24"/>
        <v>5306.37</v>
      </c>
      <c r="X36" s="80">
        <f t="shared" si="24"/>
        <v>4817.3999999999996</v>
      </c>
      <c r="Y36" s="80">
        <f t="shared" si="24"/>
        <v>6251.34</v>
      </c>
      <c r="Z36" s="80">
        <f t="shared" si="24"/>
        <v>5735</v>
      </c>
      <c r="AA36" s="104">
        <f t="shared" si="24"/>
        <v>7269</v>
      </c>
      <c r="AB36" s="79">
        <f t="shared" si="25"/>
        <v>3957.1499999999996</v>
      </c>
      <c r="AC36" s="80">
        <f t="shared" si="26"/>
        <v>5306.37</v>
      </c>
      <c r="AD36" s="80">
        <f t="shared" si="26"/>
        <v>4817.3999999999996</v>
      </c>
      <c r="AE36" s="80">
        <f t="shared" si="26"/>
        <v>6251.34</v>
      </c>
      <c r="AF36" s="80">
        <f t="shared" si="26"/>
        <v>5735</v>
      </c>
      <c r="AG36" s="104">
        <f t="shared" si="26"/>
        <v>7269</v>
      </c>
      <c r="AH36" s="80">
        <f>AL36*0.69</f>
        <v>3957.1499999999996</v>
      </c>
      <c r="AI36" s="80">
        <f>AM36*0.73</f>
        <v>5306.37</v>
      </c>
      <c r="AJ36" s="80">
        <f>AL36*0.84</f>
        <v>4817.3999999999996</v>
      </c>
      <c r="AK36" s="80">
        <f>AM36*0.86</f>
        <v>6251.34</v>
      </c>
      <c r="AL36" s="81">
        <f>5735*1</f>
        <v>5735</v>
      </c>
      <c r="AM36" s="81">
        <f>7269*1</f>
        <v>7269</v>
      </c>
      <c r="AN36" s="79">
        <f t="shared" si="27"/>
        <v>10687.82</v>
      </c>
      <c r="AO36" s="80">
        <f t="shared" si="27"/>
        <v>12420.98</v>
      </c>
      <c r="AP36" s="80">
        <f t="shared" si="27"/>
        <v>14443</v>
      </c>
      <c r="AQ36" s="79">
        <f t="shared" si="28"/>
        <v>10687.82</v>
      </c>
      <c r="AR36" s="80">
        <f t="shared" si="29"/>
        <v>12420.98</v>
      </c>
      <c r="AS36" s="80">
        <f t="shared" si="29"/>
        <v>14443</v>
      </c>
      <c r="AT36" s="79">
        <f>AV36*0.74</f>
        <v>10687.82</v>
      </c>
      <c r="AU36" s="80">
        <f>AV36*0.86</f>
        <v>12420.98</v>
      </c>
      <c r="AV36" s="81">
        <v>14443</v>
      </c>
      <c r="AW36" s="79">
        <f t="shared" si="30"/>
        <v>5790.5</v>
      </c>
      <c r="AX36" s="80">
        <f t="shared" si="31"/>
        <v>6729.5</v>
      </c>
      <c r="AY36" s="80">
        <f t="shared" si="32"/>
        <v>7825</v>
      </c>
      <c r="AZ36" s="79">
        <f t="shared" si="33"/>
        <v>5790.5</v>
      </c>
      <c r="BA36" s="80">
        <f t="shared" si="34"/>
        <v>6729.5</v>
      </c>
      <c r="BB36" s="80">
        <f t="shared" si="35"/>
        <v>7825</v>
      </c>
      <c r="BC36" s="79">
        <f>BE36*0.74</f>
        <v>5790.5</v>
      </c>
      <c r="BD36" s="80">
        <f>BE36*0.86</f>
        <v>6729.5</v>
      </c>
      <c r="BE36" s="81">
        <v>7825</v>
      </c>
      <c r="BF36" s="89">
        <v>1530</v>
      </c>
      <c r="BG36" s="90">
        <v>466</v>
      </c>
      <c r="BH36" s="91">
        <v>220</v>
      </c>
      <c r="BI36" s="67"/>
      <c r="BQ36" s="67"/>
      <c r="BR36" s="761">
        <v>1600</v>
      </c>
      <c r="BS36" s="1182">
        <v>1626</v>
      </c>
      <c r="BT36" s="1182">
        <f t="shared" si="6"/>
        <v>1601</v>
      </c>
      <c r="BU36" s="1182">
        <v>12.5</v>
      </c>
      <c r="BV36" s="1183">
        <f t="shared" si="7"/>
        <v>5032.8333945462546</v>
      </c>
      <c r="BW36" s="1184">
        <f t="shared" si="8"/>
        <v>2.4999999999999991</v>
      </c>
      <c r="BX36" s="1185">
        <f>ROUND(6.819*(BW36/BS2)^1.852/(BT36/1000)^1.167*1000*9.81,0)</f>
        <v>22</v>
      </c>
      <c r="BY36" s="403"/>
      <c r="BZ36" s="403"/>
      <c r="CA36" s="398">
        <f>(IF(BY36=0,CA5,BY36)/1000/9.81*(BT36/1000)^1.167/6.819)^(1/1.852)*BS2</f>
        <v>10.161493404071582</v>
      </c>
      <c r="CB36" s="398">
        <f>6.819*(IF(BZ36=0,CB5,BZ36)/BS2)^1.852/(BT36/1000)^1.167*1000*9.81</f>
        <v>22.347080192334744</v>
      </c>
      <c r="CC36" s="398">
        <f>IF(CB36&lt;=CA5,IF(CA36&lt;=IF(BZ36=0,CB5,BZ36),CA36,(CB36/1000/9.81*(BT36/1000)^1.167/6.819)^(1/1.852)*BS2),IF(CA36&lt;=IF(BZ36=0,CB5,BZ36),CA36,"Check"))</f>
        <v>2.4999999999999991</v>
      </c>
    </row>
    <row r="37" spans="20:81">
      <c r="T37" s="2230"/>
      <c r="U37" s="78">
        <v>10</v>
      </c>
      <c r="V37" s="79">
        <f t="shared" si="23"/>
        <v>4587.7999999999993</v>
      </c>
      <c r="W37" s="80">
        <f t="shared" si="24"/>
        <v>6045.75</v>
      </c>
      <c r="X37" s="80">
        <f t="shared" si="24"/>
        <v>5701.98</v>
      </c>
      <c r="Y37" s="80">
        <f t="shared" si="24"/>
        <v>7174.29</v>
      </c>
      <c r="Z37" s="80">
        <f t="shared" si="24"/>
        <v>6554</v>
      </c>
      <c r="AA37" s="104">
        <f t="shared" si="24"/>
        <v>8061</v>
      </c>
      <c r="AB37" s="79">
        <f t="shared" si="25"/>
        <v>4587.7999999999993</v>
      </c>
      <c r="AC37" s="80">
        <f t="shared" si="26"/>
        <v>6045.75</v>
      </c>
      <c r="AD37" s="80">
        <f t="shared" si="26"/>
        <v>5701.98</v>
      </c>
      <c r="AE37" s="80">
        <f t="shared" si="26"/>
        <v>7174.29</v>
      </c>
      <c r="AF37" s="80">
        <f t="shared" si="26"/>
        <v>6554</v>
      </c>
      <c r="AG37" s="104">
        <f t="shared" si="26"/>
        <v>8061</v>
      </c>
      <c r="AH37" s="80">
        <f>AL37*0.7</f>
        <v>4587.7999999999993</v>
      </c>
      <c r="AI37" s="80">
        <f>AM37*0.75</f>
        <v>6045.75</v>
      </c>
      <c r="AJ37" s="80">
        <f>AL37*0.87</f>
        <v>5701.98</v>
      </c>
      <c r="AK37" s="80">
        <f>AM37*0.89</f>
        <v>7174.29</v>
      </c>
      <c r="AL37" s="81">
        <f>6554*1</f>
        <v>6554</v>
      </c>
      <c r="AM37" s="81">
        <f>8061*1</f>
        <v>8061</v>
      </c>
      <c r="AN37" s="79">
        <f t="shared" si="27"/>
        <v>11673.5</v>
      </c>
      <c r="AO37" s="80">
        <f t="shared" si="27"/>
        <v>13566.5</v>
      </c>
      <c r="AP37" s="80">
        <f t="shared" si="27"/>
        <v>15775</v>
      </c>
      <c r="AQ37" s="79">
        <f t="shared" si="28"/>
        <v>11673.5</v>
      </c>
      <c r="AR37" s="80">
        <f t="shared" si="29"/>
        <v>13566.5</v>
      </c>
      <c r="AS37" s="80">
        <f t="shared" si="29"/>
        <v>15775</v>
      </c>
      <c r="AT37" s="79">
        <f>AV37*0.74</f>
        <v>11673.5</v>
      </c>
      <c r="AU37" s="80">
        <f>AV37*0.86</f>
        <v>13566.5</v>
      </c>
      <c r="AV37" s="81">
        <v>15775</v>
      </c>
      <c r="AW37" s="79">
        <f t="shared" si="30"/>
        <v>6422.46</v>
      </c>
      <c r="AX37" s="80">
        <f t="shared" si="31"/>
        <v>7463.94</v>
      </c>
      <c r="AY37" s="80">
        <f t="shared" si="32"/>
        <v>8679</v>
      </c>
      <c r="AZ37" s="79">
        <f t="shared" si="33"/>
        <v>6422.46</v>
      </c>
      <c r="BA37" s="80">
        <f t="shared" si="34"/>
        <v>7463.94</v>
      </c>
      <c r="BB37" s="80">
        <f t="shared" si="35"/>
        <v>8679</v>
      </c>
      <c r="BC37" s="79">
        <f>BE37*0.74</f>
        <v>6422.46</v>
      </c>
      <c r="BD37" s="80">
        <f>BE37*0.86</f>
        <v>7463.94</v>
      </c>
      <c r="BE37" s="81">
        <v>8679</v>
      </c>
      <c r="BF37" s="89">
        <v>1770</v>
      </c>
      <c r="BG37" s="90">
        <v>466</v>
      </c>
      <c r="BH37" s="91">
        <v>220</v>
      </c>
      <c r="BI37" s="67"/>
      <c r="BQ37" s="67"/>
      <c r="BR37" s="513">
        <v>1800</v>
      </c>
      <c r="BS37" s="417">
        <v>1829</v>
      </c>
      <c r="BT37" s="417">
        <f t="shared" si="6"/>
        <v>1797</v>
      </c>
      <c r="BU37" s="417">
        <v>16</v>
      </c>
      <c r="BV37" s="1186">
        <f t="shared" si="7"/>
        <v>6340.5370445662738</v>
      </c>
      <c r="BW37" s="1180">
        <f t="shared" si="8"/>
        <v>2.4999999999999991</v>
      </c>
      <c r="BX37" s="1181">
        <f>ROUND(6.819*(BW37/BS2)^1.852/(BT37/1000)^1.167*1000*9.81,0)</f>
        <v>20</v>
      </c>
      <c r="BY37" s="403"/>
      <c r="BZ37" s="403"/>
      <c r="CA37" s="398">
        <f>(IF(BY37=0,CA5,BY37)/1000/9.81*(BT37/1000)^1.167/6.819)^(1/1.852)*BS2</f>
        <v>10.928556172034574</v>
      </c>
      <c r="CB37" s="398">
        <f>6.819*(IF(BZ37=0,CB5,BZ37)/BS2)^1.852/(BT37/1000)^1.167*1000*9.81</f>
        <v>19.52935346348168</v>
      </c>
      <c r="CC37" s="398">
        <f>IF(CB37&lt;=CA5,IF(CA37&lt;=IF(BZ37=0,CB5,BZ37),CA37,(CB37/1000/9.81*(BT37/1000)^1.167/6.819)^(1/1.852)*BS2),IF(CA37&lt;=IF(BZ37=0,CB5,BZ37),CA37,"Check"))</f>
        <v>2.4999999999999991</v>
      </c>
    </row>
    <row r="38" spans="20:81">
      <c r="T38" s="2230"/>
      <c r="U38" s="78">
        <v>12</v>
      </c>
      <c r="V38" s="79">
        <f t="shared" si="23"/>
        <v>5465.5999999999995</v>
      </c>
      <c r="W38" s="80">
        <f t="shared" si="24"/>
        <v>7461.75</v>
      </c>
      <c r="X38" s="80">
        <f t="shared" si="24"/>
        <v>6714.88</v>
      </c>
      <c r="Y38" s="80">
        <f t="shared" si="24"/>
        <v>8755.1200000000008</v>
      </c>
      <c r="Z38" s="80">
        <f t="shared" si="24"/>
        <v>7808</v>
      </c>
      <c r="AA38" s="104">
        <f t="shared" si="24"/>
        <v>9949</v>
      </c>
      <c r="AB38" s="79">
        <f t="shared" si="25"/>
        <v>5465.5999999999995</v>
      </c>
      <c r="AC38" s="80">
        <f t="shared" si="26"/>
        <v>7461.75</v>
      </c>
      <c r="AD38" s="80">
        <f t="shared" si="26"/>
        <v>6714.88</v>
      </c>
      <c r="AE38" s="80">
        <f t="shared" si="26"/>
        <v>8755.1200000000008</v>
      </c>
      <c r="AF38" s="80">
        <f t="shared" si="26"/>
        <v>7808</v>
      </c>
      <c r="AG38" s="104">
        <f t="shared" si="26"/>
        <v>9949</v>
      </c>
      <c r="AH38" s="80">
        <f>AL38*0.7</f>
        <v>5465.5999999999995</v>
      </c>
      <c r="AI38" s="80">
        <f>AM38*0.75</f>
        <v>7461.75</v>
      </c>
      <c r="AJ38" s="80">
        <f>AL38*0.86</f>
        <v>6714.88</v>
      </c>
      <c r="AK38" s="80">
        <f>AM38*0.88</f>
        <v>8755.1200000000008</v>
      </c>
      <c r="AL38" s="81">
        <f>7808*1</f>
        <v>7808</v>
      </c>
      <c r="AM38" s="81">
        <f>9949*1</f>
        <v>9949</v>
      </c>
      <c r="AN38" s="79">
        <f t="shared" si="27"/>
        <v>14599.5</v>
      </c>
      <c r="AO38" s="80">
        <f t="shared" si="27"/>
        <v>16935.419999999998</v>
      </c>
      <c r="AP38" s="80">
        <f t="shared" si="27"/>
        <v>19466</v>
      </c>
      <c r="AQ38" s="79">
        <f t="shared" si="28"/>
        <v>14599.5</v>
      </c>
      <c r="AR38" s="80">
        <f t="shared" si="29"/>
        <v>16935.419999999998</v>
      </c>
      <c r="AS38" s="80">
        <f t="shared" si="29"/>
        <v>19466</v>
      </c>
      <c r="AT38" s="79">
        <f>AV38*0.75</f>
        <v>14599.5</v>
      </c>
      <c r="AU38" s="80">
        <f>AV38*0.87</f>
        <v>16935.419999999998</v>
      </c>
      <c r="AV38" s="81">
        <v>19466</v>
      </c>
      <c r="AW38" s="79">
        <f t="shared" si="30"/>
        <v>8183.25</v>
      </c>
      <c r="AX38" s="80">
        <f t="shared" si="31"/>
        <v>9492.57</v>
      </c>
      <c r="AY38" s="80">
        <f t="shared" si="32"/>
        <v>10911</v>
      </c>
      <c r="AZ38" s="79">
        <f t="shared" si="33"/>
        <v>8183.25</v>
      </c>
      <c r="BA38" s="80">
        <f t="shared" si="34"/>
        <v>9492.57</v>
      </c>
      <c r="BB38" s="80">
        <f t="shared" si="35"/>
        <v>10911</v>
      </c>
      <c r="BC38" s="79">
        <f>BE38*0.75</f>
        <v>8183.25</v>
      </c>
      <c r="BD38" s="80">
        <f>BE38*0.87</f>
        <v>9492.57</v>
      </c>
      <c r="BE38" s="81">
        <v>10911</v>
      </c>
      <c r="BF38" s="89">
        <v>2010</v>
      </c>
      <c r="BG38" s="90">
        <v>466</v>
      </c>
      <c r="BH38" s="91">
        <v>220</v>
      </c>
      <c r="BI38" s="67"/>
      <c r="BQ38" s="67"/>
      <c r="BR38" s="761">
        <v>2000</v>
      </c>
      <c r="BS38" s="1182">
        <v>2032</v>
      </c>
      <c r="BT38" s="1182">
        <f t="shared" si="6"/>
        <v>2000</v>
      </c>
      <c r="BU38" s="1182">
        <v>16</v>
      </c>
      <c r="BV38" s="1183">
        <f t="shared" si="7"/>
        <v>7853.9816339744802</v>
      </c>
      <c r="BW38" s="1184">
        <f t="shared" si="8"/>
        <v>2.4999999999999991</v>
      </c>
      <c r="BX38" s="1185">
        <f>ROUND(6.819*(BW38/BS2)^1.852/(BT38/1000)^1.167*1000*9.81,0)</f>
        <v>17</v>
      </c>
      <c r="BY38" s="403"/>
      <c r="BZ38" s="403"/>
      <c r="CA38" s="398">
        <f>(IF(BY38=0,CA5,BY38)/1000/9.81*(BT38/1000)^1.167/6.819)^(1/1.852)*BS2</f>
        <v>11.691020475166011</v>
      </c>
      <c r="CB38" s="398">
        <f>6.819*(IF(BZ38=0,CB5,BZ38)/BS2)^1.852/(BT38/1000)^1.167*1000*9.81</f>
        <v>17.236277077638398</v>
      </c>
      <c r="CC38" s="398">
        <f>IF(CB38&lt;=CA5,IF(CA38&lt;=IF(BZ38=0,CB5,BZ38),CA38,(CB38/1000/9.81*(BT38/1000)^1.167/6.819)^(1/1.852)*BS2),IF(CA38&lt;=IF(BZ38=0,CB5,BZ38),CA38,"Check"))</f>
        <v>2.4999999999999991</v>
      </c>
    </row>
    <row r="39" spans="20:81">
      <c r="T39" s="2231"/>
      <c r="U39" s="92">
        <v>14</v>
      </c>
      <c r="V39" s="93">
        <f t="shared" si="23"/>
        <v>6186.54</v>
      </c>
      <c r="W39" s="94">
        <f t="shared" si="24"/>
        <v>7931.45</v>
      </c>
      <c r="X39" s="94">
        <f t="shared" si="24"/>
        <v>7800.42</v>
      </c>
      <c r="Y39" s="94">
        <f t="shared" si="24"/>
        <v>9669.85</v>
      </c>
      <c r="Z39" s="94">
        <f t="shared" si="24"/>
        <v>8966</v>
      </c>
      <c r="AA39" s="116">
        <f t="shared" si="24"/>
        <v>10865</v>
      </c>
      <c r="AB39" s="93">
        <f t="shared" si="25"/>
        <v>6186.54</v>
      </c>
      <c r="AC39" s="94">
        <f t="shared" si="26"/>
        <v>7931.45</v>
      </c>
      <c r="AD39" s="94">
        <f t="shared" si="26"/>
        <v>7800.42</v>
      </c>
      <c r="AE39" s="94">
        <f t="shared" si="26"/>
        <v>9669.85</v>
      </c>
      <c r="AF39" s="94">
        <f t="shared" si="26"/>
        <v>8966</v>
      </c>
      <c r="AG39" s="116">
        <f t="shared" si="26"/>
        <v>10865</v>
      </c>
      <c r="AH39" s="94">
        <f>AL39*0.69</f>
        <v>6186.54</v>
      </c>
      <c r="AI39" s="94">
        <f>AM39*0.73</f>
        <v>7931.45</v>
      </c>
      <c r="AJ39" s="94">
        <f>AL39*0.87</f>
        <v>7800.42</v>
      </c>
      <c r="AK39" s="94">
        <f>AM39*0.89</f>
        <v>9669.85</v>
      </c>
      <c r="AL39" s="95">
        <f>8966*1</f>
        <v>8966</v>
      </c>
      <c r="AM39" s="95">
        <f>10865*1</f>
        <v>10865</v>
      </c>
      <c r="AN39" s="93">
        <f t="shared" si="27"/>
        <v>16419.75</v>
      </c>
      <c r="AO39" s="94">
        <f t="shared" si="27"/>
        <v>19046.91</v>
      </c>
      <c r="AP39" s="94">
        <f t="shared" si="27"/>
        <v>21893</v>
      </c>
      <c r="AQ39" s="93">
        <f t="shared" si="28"/>
        <v>16419.75</v>
      </c>
      <c r="AR39" s="94">
        <f t="shared" si="29"/>
        <v>19046.91</v>
      </c>
      <c r="AS39" s="94">
        <f t="shared" si="29"/>
        <v>21893</v>
      </c>
      <c r="AT39" s="93">
        <f>AV39*0.75</f>
        <v>16419.75</v>
      </c>
      <c r="AU39" s="94">
        <f>AV39*0.87</f>
        <v>19046.91</v>
      </c>
      <c r="AV39" s="95">
        <v>21893</v>
      </c>
      <c r="AW39" s="93">
        <f t="shared" si="30"/>
        <v>9420</v>
      </c>
      <c r="AX39" s="94">
        <f t="shared" si="31"/>
        <v>10927.2</v>
      </c>
      <c r="AY39" s="94">
        <f t="shared" si="32"/>
        <v>12560</v>
      </c>
      <c r="AZ39" s="93">
        <f t="shared" si="33"/>
        <v>9420</v>
      </c>
      <c r="BA39" s="94">
        <f t="shared" si="34"/>
        <v>10927.2</v>
      </c>
      <c r="BB39" s="94">
        <f t="shared" si="35"/>
        <v>12560</v>
      </c>
      <c r="BC39" s="93">
        <f>BE39*0.75</f>
        <v>9420</v>
      </c>
      <c r="BD39" s="94">
        <f>BE39*0.87</f>
        <v>10927.2</v>
      </c>
      <c r="BE39" s="95">
        <v>12560</v>
      </c>
      <c r="BF39" s="100">
        <v>2250</v>
      </c>
      <c r="BG39" s="101">
        <v>466</v>
      </c>
      <c r="BH39" s="102">
        <v>220</v>
      </c>
      <c r="BI39" s="67"/>
      <c r="BQ39" s="67"/>
      <c r="BR39" s="513">
        <v>2200</v>
      </c>
      <c r="BS39" s="417">
        <v>2235</v>
      </c>
      <c r="BT39" s="417">
        <f t="shared" si="6"/>
        <v>2203</v>
      </c>
      <c r="BU39" s="417">
        <v>16</v>
      </c>
      <c r="BV39" s="1186">
        <f t="shared" si="7"/>
        <v>9529.2535879599127</v>
      </c>
      <c r="BW39" s="1180">
        <f t="shared" si="8"/>
        <v>2.4999999999999991</v>
      </c>
      <c r="BX39" s="1181">
        <f>ROUND(6.819*(BW39/BS2)^1.852/(BT39/1000)^1.167*1000*9.81,0)</f>
        <v>15</v>
      </c>
      <c r="BY39" s="403"/>
      <c r="BZ39" s="403"/>
      <c r="CA39" s="398">
        <f>(IF(BY39=0,CA5,BY39)/1000/9.81*(BT39/1000)^1.167/6.819)^(1/1.852)*BS2</f>
        <v>12.42533474866794</v>
      </c>
      <c r="CB39" s="398">
        <f>6.819*(IF(BZ39=0,CB5,BZ39)/BS2)^1.852/(BT39/1000)^1.167*1000*9.81</f>
        <v>15.397405723416048</v>
      </c>
      <c r="CC39" s="398">
        <f>IF(CB39&lt;=CA5,IF(CA39&lt;=IF(BZ39=0,CB5,BZ39),CA39,(CB39/1000/9.81*(BT39/1000)^1.167/6.819)^(1/1.852)*BS2),IF(CA39&lt;=IF(BZ39=0,CB5,BZ39),CA39,"Check"))</f>
        <v>2.4999999999999991</v>
      </c>
    </row>
    <row r="40" spans="20:81">
      <c r="AD40" s="43"/>
      <c r="AE40" s="43"/>
      <c r="AF40" s="43"/>
      <c r="AG40" s="43"/>
      <c r="AH40" s="43"/>
      <c r="AI40" s="43"/>
      <c r="BI40" s="67"/>
    </row>
    <row r="41" spans="20:81">
      <c r="AD41" s="43"/>
      <c r="AE41" s="43"/>
      <c r="AF41" s="43"/>
      <c r="AG41" s="43"/>
      <c r="AH41" s="43"/>
      <c r="AI41" s="43"/>
      <c r="AN41" s="2245" t="s">
        <v>429</v>
      </c>
      <c r="AO41" s="2246"/>
      <c r="AP41" s="2246"/>
      <c r="AQ41" s="2246"/>
      <c r="AR41" s="2246"/>
      <c r="AS41" s="2246"/>
      <c r="AT41" s="2246"/>
      <c r="AU41" s="2246"/>
      <c r="AV41" s="2247"/>
      <c r="AW41" s="2245" t="s">
        <v>430</v>
      </c>
      <c r="AX41" s="2246"/>
      <c r="AY41" s="2246"/>
      <c r="AZ41" s="2246"/>
      <c r="BA41" s="2246"/>
      <c r="BB41" s="2246"/>
      <c r="BC41" s="2246"/>
      <c r="BD41" s="2246"/>
      <c r="BE41" s="2247"/>
    </row>
    <row r="42" spans="20:81" ht="13">
      <c r="U42" s="50" t="s">
        <v>8</v>
      </c>
      <c r="V42" s="2232">
        <v>12</v>
      </c>
      <c r="W42" s="2233"/>
      <c r="X42" s="2233"/>
      <c r="Y42" s="2233"/>
      <c r="Z42" s="2233"/>
      <c r="AA42" s="2234"/>
      <c r="AB42" s="2232">
        <v>30</v>
      </c>
      <c r="AC42" s="2233"/>
      <c r="AD42" s="2233"/>
      <c r="AE42" s="2233"/>
      <c r="AF42" s="2233"/>
      <c r="AG42" s="2234"/>
      <c r="AH42" s="2228">
        <v>50</v>
      </c>
      <c r="AI42" s="2228"/>
      <c r="AJ42" s="2228"/>
      <c r="AK42" s="2228"/>
      <c r="AL42" s="2228"/>
      <c r="AM42" s="2228"/>
      <c r="AN42" s="2240">
        <v>12</v>
      </c>
      <c r="AO42" s="2228"/>
      <c r="AP42" s="2228"/>
      <c r="AQ42" s="2240">
        <v>30</v>
      </c>
      <c r="AR42" s="2228"/>
      <c r="AS42" s="2228"/>
      <c r="AT42" s="2240">
        <v>50</v>
      </c>
      <c r="AU42" s="2228"/>
      <c r="AV42" s="2228"/>
      <c r="AW42" s="2240">
        <v>12</v>
      </c>
      <c r="AX42" s="2228"/>
      <c r="AY42" s="2228"/>
      <c r="AZ42" s="2240">
        <v>30</v>
      </c>
      <c r="BA42" s="2228"/>
      <c r="BB42" s="2244"/>
      <c r="BC42" s="2240">
        <v>50</v>
      </c>
      <c r="BD42" s="2228"/>
      <c r="BE42" s="2228"/>
      <c r="BF42" s="64"/>
      <c r="BG42" s="65"/>
      <c r="BH42" s="66"/>
    </row>
    <row r="43" spans="20:81" ht="13">
      <c r="T43" s="68"/>
      <c r="U43" s="69" t="s">
        <v>109</v>
      </c>
      <c r="V43" s="2223" t="s">
        <v>350</v>
      </c>
      <c r="W43" s="2224"/>
      <c r="X43" s="2224" t="s">
        <v>351</v>
      </c>
      <c r="Y43" s="2224"/>
      <c r="Z43" s="2224" t="s">
        <v>352</v>
      </c>
      <c r="AA43" s="2225"/>
      <c r="AB43" s="2223" t="s">
        <v>350</v>
      </c>
      <c r="AC43" s="2224"/>
      <c r="AD43" s="2224" t="s">
        <v>351</v>
      </c>
      <c r="AE43" s="2224"/>
      <c r="AF43" s="2224" t="s">
        <v>352</v>
      </c>
      <c r="AG43" s="2225"/>
      <c r="AH43" s="2224" t="s">
        <v>350</v>
      </c>
      <c r="AI43" s="2224"/>
      <c r="AJ43" s="2224" t="s">
        <v>351</v>
      </c>
      <c r="AK43" s="2224"/>
      <c r="AL43" s="2224" t="s">
        <v>352</v>
      </c>
      <c r="AM43" s="2224"/>
      <c r="AN43" s="2223" t="s">
        <v>4</v>
      </c>
      <c r="AO43" s="2224"/>
      <c r="AP43" s="2224"/>
      <c r="AQ43" s="2223" t="s">
        <v>4</v>
      </c>
      <c r="AR43" s="2224"/>
      <c r="AS43" s="2224"/>
      <c r="AT43" s="2223" t="s">
        <v>4</v>
      </c>
      <c r="AU43" s="2224"/>
      <c r="AV43" s="2224"/>
      <c r="AW43" s="2223" t="s">
        <v>4</v>
      </c>
      <c r="AX43" s="2224"/>
      <c r="AY43" s="2224"/>
      <c r="AZ43" s="2223" t="s">
        <v>4</v>
      </c>
      <c r="BA43" s="2224"/>
      <c r="BB43" s="2225"/>
      <c r="BC43" s="2223" t="s">
        <v>4</v>
      </c>
      <c r="BD43" s="2224"/>
      <c r="BE43" s="2224"/>
      <c r="BF43" s="2223" t="s">
        <v>326</v>
      </c>
      <c r="BG43" s="2224"/>
      <c r="BH43" s="2225"/>
      <c r="BR43" s="43" t="str">
        <f t="shared" ref="BR43:BR75" si="36">IF($BN$16&lt;=BT43,BT43,"")</f>
        <v/>
      </c>
      <c r="BS43" s="43">
        <f t="shared" ref="BS43:BS75" si="37">BR7</f>
        <v>15</v>
      </c>
      <c r="BT43" s="1187">
        <f t="shared" ref="BT43:BT75" si="38">BV7</f>
        <v>0.11589023801147234</v>
      </c>
      <c r="BV43" s="43" t="str">
        <f t="shared" ref="BV43:BV75" si="39">IF($BO$16&lt;=BX43,BX43,"")</f>
        <v/>
      </c>
      <c r="BW43" s="43">
        <f t="shared" ref="BW43:BW75" si="40">BR7</f>
        <v>15</v>
      </c>
      <c r="BX43" s="1187">
        <f t="shared" ref="BX43:BX75" si="41">BV7</f>
        <v>0.11589023801147234</v>
      </c>
      <c r="BZ43" s="50"/>
      <c r="CA43" s="44" t="s">
        <v>13</v>
      </c>
      <c r="CB43" s="44" t="s">
        <v>107</v>
      </c>
    </row>
    <row r="44" spans="20:81" ht="13">
      <c r="T44" s="70"/>
      <c r="U44" s="71" t="s">
        <v>110</v>
      </c>
      <c r="V44" s="72" t="s">
        <v>401</v>
      </c>
      <c r="W44" s="73" t="s">
        <v>402</v>
      </c>
      <c r="X44" s="73" t="s">
        <v>401</v>
      </c>
      <c r="Y44" s="73" t="s">
        <v>402</v>
      </c>
      <c r="Z44" s="73" t="s">
        <v>401</v>
      </c>
      <c r="AA44" s="74" t="s">
        <v>402</v>
      </c>
      <c r="AB44" s="72" t="s">
        <v>401</v>
      </c>
      <c r="AC44" s="73" t="s">
        <v>402</v>
      </c>
      <c r="AD44" s="73" t="s">
        <v>401</v>
      </c>
      <c r="AE44" s="73" t="s">
        <v>402</v>
      </c>
      <c r="AF44" s="73" t="s">
        <v>401</v>
      </c>
      <c r="AG44" s="74" t="s">
        <v>402</v>
      </c>
      <c r="AH44" s="73" t="s">
        <v>401</v>
      </c>
      <c r="AI44" s="73" t="s">
        <v>402</v>
      </c>
      <c r="AJ44" s="73" t="s">
        <v>401</v>
      </c>
      <c r="AK44" s="73" t="s">
        <v>402</v>
      </c>
      <c r="AL44" s="73" t="s">
        <v>401</v>
      </c>
      <c r="AM44" s="73" t="s">
        <v>402</v>
      </c>
      <c r="AN44" s="72" t="s">
        <v>350</v>
      </c>
      <c r="AO44" s="73" t="s">
        <v>351</v>
      </c>
      <c r="AP44" s="73" t="s">
        <v>352</v>
      </c>
      <c r="AQ44" s="72" t="s">
        <v>350</v>
      </c>
      <c r="AR44" s="73" t="s">
        <v>351</v>
      </c>
      <c r="AS44" s="73" t="s">
        <v>352</v>
      </c>
      <c r="AT44" s="72" t="s">
        <v>350</v>
      </c>
      <c r="AU44" s="73" t="s">
        <v>351</v>
      </c>
      <c r="AV44" s="73" t="s">
        <v>352</v>
      </c>
      <c r="AW44" s="72" t="s">
        <v>350</v>
      </c>
      <c r="AX44" s="73" t="s">
        <v>351</v>
      </c>
      <c r="AY44" s="73" t="s">
        <v>352</v>
      </c>
      <c r="AZ44" s="72" t="s">
        <v>350</v>
      </c>
      <c r="BA44" s="73" t="s">
        <v>351</v>
      </c>
      <c r="BB44" s="73" t="s">
        <v>352</v>
      </c>
      <c r="BC44" s="72" t="s">
        <v>350</v>
      </c>
      <c r="BD44" s="73" t="s">
        <v>351</v>
      </c>
      <c r="BE44" s="73" t="s">
        <v>352</v>
      </c>
      <c r="BF44" s="72" t="s">
        <v>182</v>
      </c>
      <c r="BG44" s="73" t="s">
        <v>173</v>
      </c>
      <c r="BH44" s="74" t="s">
        <v>183</v>
      </c>
      <c r="BR44" s="43" t="str">
        <f t="shared" si="36"/>
        <v/>
      </c>
      <c r="BS44" s="43">
        <f t="shared" si="37"/>
        <v>20</v>
      </c>
      <c r="BT44" s="1187">
        <f t="shared" si="38"/>
        <v>0.24999303974299217</v>
      </c>
      <c r="BV44" s="43" t="str">
        <f t="shared" si="39"/>
        <v/>
      </c>
      <c r="BW44" s="43">
        <f t="shared" si="40"/>
        <v>20</v>
      </c>
      <c r="BX44" s="1187">
        <f t="shared" si="41"/>
        <v>0.24999303974299217</v>
      </c>
      <c r="BZ44" s="50"/>
      <c r="CA44" s="44" t="s">
        <v>0</v>
      </c>
      <c r="CB44" s="44" t="s">
        <v>108</v>
      </c>
    </row>
    <row r="45" spans="20:81">
      <c r="T45" s="2230" t="s">
        <v>403</v>
      </c>
      <c r="U45" s="128">
        <v>4</v>
      </c>
      <c r="V45" s="80" t="str">
        <f t="shared" ref="V45:V50" si="42">IF(AND($W$4=$X$4,V$42=$Z$4,V$43=$AA$4),V16,"")</f>
        <v/>
      </c>
      <c r="W45" s="80" t="str">
        <f t="shared" ref="W45:W50" si="43">IF(AND($W$4=$X$4,V$42=$Z$4,V$43=$AA$4),W16,"")</f>
        <v/>
      </c>
      <c r="X45" s="80" t="str">
        <f t="shared" ref="X45:X50" si="44">IF(AND($W$4=$X$4,V$42=$Z$4,X$43=$AA$4),X16,"")</f>
        <v/>
      </c>
      <c r="Y45" s="80" t="str">
        <f t="shared" ref="Y45:Y50" si="45">IF(AND($W$4=$X$4,V$42=$Z$4,X$43=$AA$4),Y16,"")</f>
        <v/>
      </c>
      <c r="Z45" s="80" t="str">
        <f t="shared" ref="Z45:Z50" si="46">IF(AND($W$4=$X$4,V$42=$Z$4,Z$43=$AA$4),Z16,"")</f>
        <v/>
      </c>
      <c r="AA45" s="80" t="str">
        <f t="shared" ref="AA45:AA50" si="47">IF(AND($W$4=$X$4,V$42=$Z$4,Z$43=$AA$4),AA16,"")</f>
        <v/>
      </c>
      <c r="AB45" s="120" t="str">
        <f t="shared" ref="AB45:AB50" si="48">IF(AND($W$4=$X$4,AB$42=$Z$4,AB$43=$AA$4),AB16,"")</f>
        <v/>
      </c>
      <c r="AC45" s="121" t="str">
        <f t="shared" ref="AC45:AC50" si="49">IF(AND($W$4=$X$4,AB$42=$Z$4,AB$43=$AA$4),AC16,"")</f>
        <v/>
      </c>
      <c r="AD45" s="121" t="str">
        <f t="shared" ref="AD45:AD50" si="50">IF(AND($W$4=$X$4,AB$42=$Z$4,AD$43=$AA$4),AD16,"")</f>
        <v/>
      </c>
      <c r="AE45" s="121" t="str">
        <f t="shared" ref="AE45:AE50" si="51">IF(AND($W$4=$X$4,AB$42=$Z$4,AD$43=$AA$4),AE16,"")</f>
        <v/>
      </c>
      <c r="AF45" s="121" t="str">
        <f t="shared" ref="AF45:AF50" si="52">IF(AND($W$4=$X$4,AB$42=$Z$4,AF$43=$AA$4),AF16,"")</f>
        <v/>
      </c>
      <c r="AG45" s="122" t="str">
        <f t="shared" ref="AG45:AG50" si="53">IF(AND($W$4=$X$4,AB$42=$Z$4,AF$43=$AA$4),AG16,"")</f>
        <v/>
      </c>
      <c r="AH45" s="120" t="str">
        <f t="shared" ref="AH45:AH50" si="54">IF(AND($W$4=$X$4,AH$42=$Z$4,AH$43=$AA$4),AH16,"")</f>
        <v/>
      </c>
      <c r="AI45" s="121" t="str">
        <f t="shared" ref="AI45:AI50" si="55">IF(AND($W$4=$X$4,AH$42=$Z$4,AH$43=$AA$4),AI16,"")</f>
        <v/>
      </c>
      <c r="AJ45" s="121">
        <f t="shared" ref="AJ45:AJ50" si="56">IF(AND($W$4=$X$4,AH$42=$Z$4,AJ$43=$AA$4),AJ16,"")</f>
        <v>1700.4</v>
      </c>
      <c r="AK45" s="121">
        <f t="shared" ref="AK45:AK50" si="57">IF(AND($W$4=$X$4,AH$42=$Z$4,AJ$43=$AA$4),AK16,"")</f>
        <v>2312</v>
      </c>
      <c r="AL45" s="121" t="str">
        <f t="shared" ref="AL45:AL50" si="58">IF(AND($W$4=$X$4,AH$42=$Z$4,AL$43=$AA$4),AL16,"")</f>
        <v/>
      </c>
      <c r="AM45" s="122" t="str">
        <f t="shared" ref="AM45:AM50" si="59">IF(AND($W$4=$X$4,AH$42=$Z$4,AL$43=$AA$4),AM16,"")</f>
        <v/>
      </c>
      <c r="AN45" s="120" t="str">
        <f t="shared" ref="AN45:AP50" si="60">IF(AND($W$4=$X$4,$AN$42=$Z$4,AN$44=$AA$4,$AN$41=$AD$4),AN16,"")</f>
        <v/>
      </c>
      <c r="AO45" s="121" t="str">
        <f t="shared" si="60"/>
        <v/>
      </c>
      <c r="AP45" s="121" t="str">
        <f t="shared" si="60"/>
        <v/>
      </c>
      <c r="AQ45" s="120" t="str">
        <f t="shared" ref="AQ45:AS50" si="61">IF(AND($W$4=$X$4,$AQ$42=$Z$4,AQ$44=$AA$4,$AN$41=$AD$4),AQ16,"")</f>
        <v/>
      </c>
      <c r="AR45" s="121" t="str">
        <f t="shared" si="61"/>
        <v/>
      </c>
      <c r="AS45" s="123" t="str">
        <f t="shared" si="61"/>
        <v/>
      </c>
      <c r="AT45" s="120" t="str">
        <f t="shared" ref="AT45:AV50" si="62">IF(AND($W$4=$X$4,$AT$42=$Z$4,AT$44=$AA$4,$AN$41=$AD$4),AT16,"")</f>
        <v/>
      </c>
      <c r="AU45" s="121">
        <f t="shared" si="62"/>
        <v>4629.4000000000005</v>
      </c>
      <c r="AV45" s="121" t="str">
        <f t="shared" si="62"/>
        <v/>
      </c>
      <c r="AW45" s="120" t="str">
        <f t="shared" ref="AW45:AY50" si="63">IF(AND($W$4=$X$4,$AW$42=$Z$4,AW$44=$AA$4,$AW$41=$AD$4),AW16,"")</f>
        <v/>
      </c>
      <c r="AX45" s="121" t="str">
        <f t="shared" si="63"/>
        <v/>
      </c>
      <c r="AY45" s="121" t="str">
        <f t="shared" si="63"/>
        <v/>
      </c>
      <c r="AZ45" s="120" t="str">
        <f t="shared" ref="AZ45:BB50" si="64">IF(AND($W$4=$X$4,$AZ$42=$Z$4,AZ$44=$AA$4,$AW$41=$AD$4),AZ16,"")</f>
        <v/>
      </c>
      <c r="BA45" s="121" t="str">
        <f t="shared" si="64"/>
        <v/>
      </c>
      <c r="BB45" s="123" t="str">
        <f t="shared" si="64"/>
        <v/>
      </c>
      <c r="BC45" s="120" t="str">
        <f t="shared" ref="BC45:BE50" si="65">IF(AND($W$4=$X$4,$BC$42=$Z$4,BC$44=$AA$4,$AW$41=$AD$4),BC16,"")</f>
        <v/>
      </c>
      <c r="BD45" s="121" t="str">
        <f t="shared" si="65"/>
        <v/>
      </c>
      <c r="BE45" s="121" t="str">
        <f t="shared" si="65"/>
        <v/>
      </c>
      <c r="BF45" s="89">
        <f t="shared" ref="BF45:BH50" si="66">IF($C$11=$W$4,BF16,"")</f>
        <v>983</v>
      </c>
      <c r="BG45" s="90">
        <f t="shared" si="66"/>
        <v>543</v>
      </c>
      <c r="BH45" s="91">
        <f t="shared" si="66"/>
        <v>248</v>
      </c>
      <c r="BR45" s="43" t="str">
        <f t="shared" si="36"/>
        <v/>
      </c>
      <c r="BS45" s="43">
        <f t="shared" si="37"/>
        <v>25</v>
      </c>
      <c r="BT45" s="1187">
        <f t="shared" si="38"/>
        <v>0.46167453850599982</v>
      </c>
      <c r="BV45" s="43" t="str">
        <f t="shared" si="39"/>
        <v/>
      </c>
      <c r="BW45" s="43">
        <f t="shared" si="40"/>
        <v>25</v>
      </c>
      <c r="BX45" s="1187">
        <f t="shared" si="41"/>
        <v>0.46167453850599982</v>
      </c>
      <c r="BZ45" s="14" t="str">
        <f>IF($BL$16&lt;=CB45,CB45,"")</f>
        <v/>
      </c>
      <c r="CA45" s="44">
        <f>CA60</f>
        <v>25</v>
      </c>
      <c r="CB45" s="1203">
        <f>CB60</f>
        <v>17.600000000000001</v>
      </c>
    </row>
    <row r="46" spans="20:81">
      <c r="T46" s="2230"/>
      <c r="U46" s="128">
        <v>6</v>
      </c>
      <c r="V46" s="80" t="str">
        <f t="shared" si="42"/>
        <v/>
      </c>
      <c r="W46" s="80" t="str">
        <f t="shared" si="43"/>
        <v/>
      </c>
      <c r="X46" s="80" t="str">
        <f t="shared" si="44"/>
        <v/>
      </c>
      <c r="Y46" s="80" t="str">
        <f t="shared" si="45"/>
        <v/>
      </c>
      <c r="Z46" s="80" t="str">
        <f t="shared" si="46"/>
        <v/>
      </c>
      <c r="AA46" s="80" t="str">
        <f t="shared" si="47"/>
        <v/>
      </c>
      <c r="AB46" s="79" t="str">
        <f t="shared" si="48"/>
        <v/>
      </c>
      <c r="AC46" s="80" t="str">
        <f t="shared" si="49"/>
        <v/>
      </c>
      <c r="AD46" s="80" t="str">
        <f t="shared" si="50"/>
        <v/>
      </c>
      <c r="AE46" s="80" t="str">
        <f t="shared" si="51"/>
        <v/>
      </c>
      <c r="AF46" s="80" t="str">
        <f t="shared" si="52"/>
        <v/>
      </c>
      <c r="AG46" s="104" t="str">
        <f t="shared" si="53"/>
        <v/>
      </c>
      <c r="AH46" s="79" t="str">
        <f t="shared" si="54"/>
        <v/>
      </c>
      <c r="AI46" s="80" t="str">
        <f t="shared" si="55"/>
        <v/>
      </c>
      <c r="AJ46" s="80">
        <f t="shared" si="56"/>
        <v>2610.3000000000002</v>
      </c>
      <c r="AK46" s="80">
        <f t="shared" si="57"/>
        <v>3592</v>
      </c>
      <c r="AL46" s="80" t="str">
        <f t="shared" si="58"/>
        <v/>
      </c>
      <c r="AM46" s="104" t="str">
        <f t="shared" si="59"/>
        <v/>
      </c>
      <c r="AN46" s="79" t="str">
        <f t="shared" si="60"/>
        <v/>
      </c>
      <c r="AO46" s="80" t="str">
        <f t="shared" si="60"/>
        <v/>
      </c>
      <c r="AP46" s="80" t="str">
        <f t="shared" si="60"/>
        <v/>
      </c>
      <c r="AQ46" s="79" t="str">
        <f t="shared" si="61"/>
        <v/>
      </c>
      <c r="AR46" s="80" t="str">
        <f t="shared" si="61"/>
        <v/>
      </c>
      <c r="AS46" s="81" t="str">
        <f t="shared" si="61"/>
        <v/>
      </c>
      <c r="AT46" s="79" t="str">
        <f t="shared" si="62"/>
        <v/>
      </c>
      <c r="AU46" s="80">
        <f t="shared" si="62"/>
        <v>7386.5</v>
      </c>
      <c r="AV46" s="80" t="str">
        <f t="shared" si="62"/>
        <v/>
      </c>
      <c r="AW46" s="79" t="str">
        <f t="shared" si="63"/>
        <v/>
      </c>
      <c r="AX46" s="80" t="str">
        <f t="shared" si="63"/>
        <v/>
      </c>
      <c r="AY46" s="80" t="str">
        <f t="shared" si="63"/>
        <v/>
      </c>
      <c r="AZ46" s="79" t="str">
        <f t="shared" si="64"/>
        <v/>
      </c>
      <c r="BA46" s="80" t="str">
        <f t="shared" si="64"/>
        <v/>
      </c>
      <c r="BB46" s="81" t="str">
        <f t="shared" si="64"/>
        <v/>
      </c>
      <c r="BC46" s="79" t="str">
        <f t="shared" si="65"/>
        <v/>
      </c>
      <c r="BD46" s="80" t="str">
        <f t="shared" si="65"/>
        <v/>
      </c>
      <c r="BE46" s="80" t="str">
        <f t="shared" si="65"/>
        <v/>
      </c>
      <c r="BF46" s="89">
        <f t="shared" si="66"/>
        <v>1153</v>
      </c>
      <c r="BG46" s="90">
        <f t="shared" si="66"/>
        <v>543</v>
      </c>
      <c r="BH46" s="91">
        <f t="shared" si="66"/>
        <v>248</v>
      </c>
      <c r="BR46" s="43" t="str">
        <f t="shared" si="36"/>
        <v/>
      </c>
      <c r="BS46" s="43">
        <f t="shared" si="37"/>
        <v>32</v>
      </c>
      <c r="BT46" s="1187">
        <f t="shared" si="38"/>
        <v>0.95347959590942388</v>
      </c>
      <c r="BV46" s="43" t="str">
        <f t="shared" si="39"/>
        <v/>
      </c>
      <c r="BW46" s="43">
        <f t="shared" si="40"/>
        <v>32</v>
      </c>
      <c r="BX46" s="1187">
        <f t="shared" si="41"/>
        <v>0.95347959590942388</v>
      </c>
      <c r="BZ46" s="14" t="str">
        <f t="shared" ref="BZ46:BZ53" si="67">IF($BL$16&lt;=CB46,CB46,"")</f>
        <v/>
      </c>
      <c r="CA46" s="44">
        <f t="shared" ref="CA46:CB53" si="68">CA61</f>
        <v>32</v>
      </c>
      <c r="CB46" s="1203">
        <f t="shared" si="68"/>
        <v>101</v>
      </c>
    </row>
    <row r="47" spans="20:81">
      <c r="T47" s="2230"/>
      <c r="U47" s="128">
        <v>8</v>
      </c>
      <c r="V47" s="80" t="str">
        <f t="shared" si="42"/>
        <v/>
      </c>
      <c r="W47" s="80" t="str">
        <f t="shared" si="43"/>
        <v/>
      </c>
      <c r="X47" s="80" t="str">
        <f t="shared" si="44"/>
        <v/>
      </c>
      <c r="Y47" s="80" t="str">
        <f t="shared" si="45"/>
        <v/>
      </c>
      <c r="Z47" s="80" t="str">
        <f t="shared" si="46"/>
        <v/>
      </c>
      <c r="AA47" s="80" t="str">
        <f t="shared" si="47"/>
        <v/>
      </c>
      <c r="AB47" s="79" t="str">
        <f t="shared" si="48"/>
        <v/>
      </c>
      <c r="AC47" s="80" t="str">
        <f t="shared" si="49"/>
        <v/>
      </c>
      <c r="AD47" s="80" t="str">
        <f t="shared" si="50"/>
        <v/>
      </c>
      <c r="AE47" s="80" t="str">
        <f t="shared" si="51"/>
        <v/>
      </c>
      <c r="AF47" s="80" t="str">
        <f t="shared" si="52"/>
        <v/>
      </c>
      <c r="AG47" s="104" t="str">
        <f t="shared" si="53"/>
        <v/>
      </c>
      <c r="AH47" s="79" t="str">
        <f t="shared" si="54"/>
        <v/>
      </c>
      <c r="AI47" s="80" t="str">
        <f t="shared" si="55"/>
        <v/>
      </c>
      <c r="AJ47" s="80">
        <f t="shared" si="56"/>
        <v>3862.2</v>
      </c>
      <c r="AK47" s="80">
        <f t="shared" si="57"/>
        <v>5073.5999999999995</v>
      </c>
      <c r="AL47" s="80" t="str">
        <f t="shared" si="58"/>
        <v/>
      </c>
      <c r="AM47" s="104" t="str">
        <f t="shared" si="59"/>
        <v/>
      </c>
      <c r="AN47" s="79" t="str">
        <f t="shared" si="60"/>
        <v/>
      </c>
      <c r="AO47" s="80" t="str">
        <f t="shared" si="60"/>
        <v/>
      </c>
      <c r="AP47" s="80" t="str">
        <f t="shared" si="60"/>
        <v/>
      </c>
      <c r="AQ47" s="79" t="str">
        <f t="shared" si="61"/>
        <v/>
      </c>
      <c r="AR47" s="80" t="str">
        <f t="shared" si="61"/>
        <v/>
      </c>
      <c r="AS47" s="81" t="str">
        <f t="shared" si="61"/>
        <v/>
      </c>
      <c r="AT47" s="79" t="str">
        <f t="shared" si="62"/>
        <v/>
      </c>
      <c r="AU47" s="80">
        <f t="shared" si="62"/>
        <v>10710</v>
      </c>
      <c r="AV47" s="80" t="str">
        <f t="shared" si="62"/>
        <v/>
      </c>
      <c r="AW47" s="79" t="str">
        <f t="shared" si="63"/>
        <v/>
      </c>
      <c r="AX47" s="80" t="str">
        <f t="shared" si="63"/>
        <v/>
      </c>
      <c r="AY47" s="80" t="str">
        <f t="shared" si="63"/>
        <v/>
      </c>
      <c r="AZ47" s="79" t="str">
        <f t="shared" si="64"/>
        <v/>
      </c>
      <c r="BA47" s="80" t="str">
        <f t="shared" si="64"/>
        <v/>
      </c>
      <c r="BB47" s="81" t="str">
        <f t="shared" si="64"/>
        <v/>
      </c>
      <c r="BC47" s="79" t="str">
        <f t="shared" si="65"/>
        <v/>
      </c>
      <c r="BD47" s="80" t="str">
        <f t="shared" si="65"/>
        <v/>
      </c>
      <c r="BE47" s="80" t="str">
        <f t="shared" si="65"/>
        <v/>
      </c>
      <c r="BF47" s="89">
        <f t="shared" si="66"/>
        <v>1433</v>
      </c>
      <c r="BG47" s="90">
        <f t="shared" si="66"/>
        <v>543</v>
      </c>
      <c r="BH47" s="91">
        <f t="shared" si="66"/>
        <v>248</v>
      </c>
      <c r="BR47" s="43" t="str">
        <f t="shared" si="36"/>
        <v/>
      </c>
      <c r="BS47" s="43">
        <f t="shared" si="37"/>
        <v>40</v>
      </c>
      <c r="BT47" s="1187">
        <f t="shared" si="38"/>
        <v>1.4197818368377952</v>
      </c>
      <c r="BV47" s="43" t="str">
        <f t="shared" si="39"/>
        <v/>
      </c>
      <c r="BW47" s="43">
        <f t="shared" si="40"/>
        <v>40</v>
      </c>
      <c r="BX47" s="1187">
        <f t="shared" si="41"/>
        <v>1.4197818368377952</v>
      </c>
      <c r="BZ47" s="14" t="str">
        <f t="shared" si="67"/>
        <v/>
      </c>
      <c r="CA47" s="44">
        <f t="shared" si="68"/>
        <v>40</v>
      </c>
      <c r="CB47" s="1203">
        <f t="shared" si="68"/>
        <v>176</v>
      </c>
    </row>
    <row r="48" spans="20:81">
      <c r="T48" s="2230"/>
      <c r="U48" s="128">
        <v>10</v>
      </c>
      <c r="V48" s="80" t="str">
        <f t="shared" si="42"/>
        <v/>
      </c>
      <c r="W48" s="80" t="str">
        <f t="shared" si="43"/>
        <v/>
      </c>
      <c r="X48" s="80" t="str">
        <f t="shared" si="44"/>
        <v/>
      </c>
      <c r="Y48" s="80" t="str">
        <f t="shared" si="45"/>
        <v/>
      </c>
      <c r="Z48" s="80" t="str">
        <f t="shared" si="46"/>
        <v/>
      </c>
      <c r="AA48" s="80" t="str">
        <f t="shared" si="47"/>
        <v/>
      </c>
      <c r="AB48" s="79" t="str">
        <f t="shared" si="48"/>
        <v/>
      </c>
      <c r="AC48" s="80" t="str">
        <f t="shared" si="49"/>
        <v/>
      </c>
      <c r="AD48" s="80" t="str">
        <f t="shared" si="50"/>
        <v/>
      </c>
      <c r="AE48" s="80" t="str">
        <f t="shared" si="51"/>
        <v/>
      </c>
      <c r="AF48" s="80" t="str">
        <f t="shared" si="52"/>
        <v/>
      </c>
      <c r="AG48" s="104" t="str">
        <f t="shared" si="53"/>
        <v/>
      </c>
      <c r="AH48" s="79" t="str">
        <f t="shared" si="54"/>
        <v/>
      </c>
      <c r="AI48" s="80" t="str">
        <f t="shared" si="55"/>
        <v/>
      </c>
      <c r="AJ48" s="80">
        <f t="shared" si="56"/>
        <v>4762.8</v>
      </c>
      <c r="AK48" s="80">
        <f t="shared" si="57"/>
        <v>6375.5999999999995</v>
      </c>
      <c r="AL48" s="80" t="str">
        <f t="shared" si="58"/>
        <v/>
      </c>
      <c r="AM48" s="104" t="str">
        <f t="shared" si="59"/>
        <v/>
      </c>
      <c r="AN48" s="79" t="str">
        <f t="shared" si="60"/>
        <v/>
      </c>
      <c r="AO48" s="80" t="str">
        <f t="shared" si="60"/>
        <v/>
      </c>
      <c r="AP48" s="80" t="str">
        <f t="shared" si="60"/>
        <v/>
      </c>
      <c r="AQ48" s="79" t="str">
        <f t="shared" si="61"/>
        <v/>
      </c>
      <c r="AR48" s="80" t="str">
        <f t="shared" si="61"/>
        <v/>
      </c>
      <c r="AS48" s="81" t="str">
        <f t="shared" si="61"/>
        <v/>
      </c>
      <c r="AT48" s="79" t="str">
        <f t="shared" si="62"/>
        <v/>
      </c>
      <c r="AU48" s="80">
        <f t="shared" si="62"/>
        <v>13421.099999999999</v>
      </c>
      <c r="AV48" s="80" t="str">
        <f t="shared" si="62"/>
        <v/>
      </c>
      <c r="AW48" s="79" t="str">
        <f t="shared" si="63"/>
        <v/>
      </c>
      <c r="AX48" s="80" t="str">
        <f t="shared" si="63"/>
        <v/>
      </c>
      <c r="AY48" s="80" t="str">
        <f t="shared" si="63"/>
        <v/>
      </c>
      <c r="AZ48" s="79" t="str">
        <f t="shared" si="64"/>
        <v/>
      </c>
      <c r="BA48" s="80" t="str">
        <f t="shared" si="64"/>
        <v/>
      </c>
      <c r="BB48" s="81" t="str">
        <f t="shared" si="64"/>
        <v/>
      </c>
      <c r="BC48" s="79" t="str">
        <f t="shared" si="65"/>
        <v/>
      </c>
      <c r="BD48" s="80" t="str">
        <f t="shared" si="65"/>
        <v/>
      </c>
      <c r="BE48" s="80" t="str">
        <f t="shared" si="65"/>
        <v/>
      </c>
      <c r="BF48" s="89">
        <f t="shared" si="66"/>
        <v>1683</v>
      </c>
      <c r="BG48" s="90">
        <f t="shared" si="66"/>
        <v>543</v>
      </c>
      <c r="BH48" s="91">
        <f t="shared" si="66"/>
        <v>248</v>
      </c>
      <c r="BI48" s="67"/>
      <c r="BJ48" s="67"/>
      <c r="BK48" s="67"/>
      <c r="BL48" s="67"/>
      <c r="BM48" s="67"/>
      <c r="BN48" s="67"/>
      <c r="BO48" s="67"/>
      <c r="BP48" s="67"/>
      <c r="BR48" s="43" t="str">
        <f t="shared" si="36"/>
        <v/>
      </c>
      <c r="BS48" s="43">
        <f t="shared" si="37"/>
        <v>50</v>
      </c>
      <c r="BT48" s="1187">
        <f t="shared" si="38"/>
        <v>2.63079962184373</v>
      </c>
      <c r="BV48" s="43" t="str">
        <f t="shared" si="39"/>
        <v/>
      </c>
      <c r="BW48" s="43">
        <f t="shared" si="40"/>
        <v>50</v>
      </c>
      <c r="BX48" s="1187">
        <f t="shared" si="41"/>
        <v>2.63079962184373</v>
      </c>
      <c r="BZ48" s="14" t="str">
        <f t="shared" si="67"/>
        <v/>
      </c>
      <c r="CA48" s="44">
        <f t="shared" si="68"/>
        <v>50</v>
      </c>
      <c r="CB48" s="1203">
        <f t="shared" si="68"/>
        <v>598</v>
      </c>
    </row>
    <row r="49" spans="20:81" ht="12.75" customHeight="1">
      <c r="T49" s="2230"/>
      <c r="U49" s="128">
        <v>12</v>
      </c>
      <c r="V49" s="80" t="str">
        <f t="shared" si="42"/>
        <v/>
      </c>
      <c r="W49" s="80" t="str">
        <f t="shared" si="43"/>
        <v/>
      </c>
      <c r="X49" s="80" t="str">
        <f t="shared" si="44"/>
        <v/>
      </c>
      <c r="Y49" s="80" t="str">
        <f t="shared" si="45"/>
        <v/>
      </c>
      <c r="Z49" s="80" t="str">
        <f t="shared" si="46"/>
        <v/>
      </c>
      <c r="AA49" s="80" t="str">
        <f t="shared" si="47"/>
        <v/>
      </c>
      <c r="AB49" s="79" t="str">
        <f t="shared" si="48"/>
        <v/>
      </c>
      <c r="AC49" s="80" t="str">
        <f t="shared" si="49"/>
        <v/>
      </c>
      <c r="AD49" s="80" t="str">
        <f t="shared" si="50"/>
        <v/>
      </c>
      <c r="AE49" s="80" t="str">
        <f t="shared" si="51"/>
        <v/>
      </c>
      <c r="AF49" s="80" t="str">
        <f t="shared" si="52"/>
        <v/>
      </c>
      <c r="AG49" s="104" t="str">
        <f t="shared" si="53"/>
        <v/>
      </c>
      <c r="AH49" s="79" t="str">
        <f t="shared" si="54"/>
        <v/>
      </c>
      <c r="AI49" s="80" t="str">
        <f t="shared" si="55"/>
        <v/>
      </c>
      <c r="AJ49" s="80">
        <f t="shared" si="56"/>
        <v>6054.4</v>
      </c>
      <c r="AK49" s="80">
        <f t="shared" si="57"/>
        <v>7964</v>
      </c>
      <c r="AL49" s="80" t="str">
        <f t="shared" si="58"/>
        <v/>
      </c>
      <c r="AM49" s="104" t="str">
        <f t="shared" si="59"/>
        <v/>
      </c>
      <c r="AN49" s="79" t="str">
        <f t="shared" si="60"/>
        <v/>
      </c>
      <c r="AO49" s="80" t="str">
        <f t="shared" si="60"/>
        <v/>
      </c>
      <c r="AP49" s="80" t="str">
        <f t="shared" si="60"/>
        <v/>
      </c>
      <c r="AQ49" s="79" t="str">
        <f t="shared" si="61"/>
        <v/>
      </c>
      <c r="AR49" s="80" t="str">
        <f t="shared" si="61"/>
        <v/>
      </c>
      <c r="AS49" s="81" t="str">
        <f t="shared" si="61"/>
        <v/>
      </c>
      <c r="AT49" s="79" t="str">
        <f t="shared" si="62"/>
        <v/>
      </c>
      <c r="AU49" s="80">
        <f t="shared" si="62"/>
        <v>16878.400000000001</v>
      </c>
      <c r="AV49" s="80" t="str">
        <f t="shared" si="62"/>
        <v/>
      </c>
      <c r="AW49" s="79" t="str">
        <f t="shared" si="63"/>
        <v/>
      </c>
      <c r="AX49" s="80" t="str">
        <f t="shared" si="63"/>
        <v/>
      </c>
      <c r="AY49" s="80" t="str">
        <f t="shared" si="63"/>
        <v/>
      </c>
      <c r="AZ49" s="79" t="str">
        <f t="shared" si="64"/>
        <v/>
      </c>
      <c r="BA49" s="80" t="str">
        <f t="shared" si="64"/>
        <v/>
      </c>
      <c r="BB49" s="81" t="str">
        <f t="shared" si="64"/>
        <v/>
      </c>
      <c r="BC49" s="79" t="str">
        <f t="shared" si="65"/>
        <v/>
      </c>
      <c r="BD49" s="80" t="str">
        <f t="shared" si="65"/>
        <v/>
      </c>
      <c r="BE49" s="80" t="str">
        <f t="shared" si="65"/>
        <v/>
      </c>
      <c r="BF49" s="89">
        <f t="shared" si="66"/>
        <v>1853</v>
      </c>
      <c r="BG49" s="90">
        <f t="shared" si="66"/>
        <v>543</v>
      </c>
      <c r="BH49" s="91">
        <f t="shared" si="66"/>
        <v>248</v>
      </c>
      <c r="BR49" s="43" t="str">
        <f t="shared" si="36"/>
        <v/>
      </c>
      <c r="BS49" s="43">
        <f t="shared" si="37"/>
        <v>65</v>
      </c>
      <c r="BT49" s="1187">
        <f t="shared" si="38"/>
        <v>5.1994972269692425</v>
      </c>
      <c r="BV49" s="43" t="str">
        <f t="shared" si="39"/>
        <v/>
      </c>
      <c r="BW49" s="43">
        <f t="shared" si="40"/>
        <v>65</v>
      </c>
      <c r="BX49" s="1187">
        <f t="shared" si="41"/>
        <v>5.1994972269692425</v>
      </c>
      <c r="BZ49" s="14" t="str">
        <f t="shared" si="67"/>
        <v/>
      </c>
      <c r="CA49" s="44">
        <f t="shared" si="68"/>
        <v>65</v>
      </c>
      <c r="CB49" s="1203">
        <f t="shared" si="68"/>
        <v>800</v>
      </c>
    </row>
    <row r="50" spans="20:81" ht="12.75" customHeight="1">
      <c r="T50" s="1211"/>
      <c r="U50" s="130">
        <v>14</v>
      </c>
      <c r="V50" s="80" t="str">
        <f t="shared" si="42"/>
        <v/>
      </c>
      <c r="W50" s="80" t="str">
        <f t="shared" si="43"/>
        <v/>
      </c>
      <c r="X50" s="80" t="str">
        <f t="shared" si="44"/>
        <v/>
      </c>
      <c r="Y50" s="80" t="str">
        <f t="shared" si="45"/>
        <v/>
      </c>
      <c r="Z50" s="80" t="str">
        <f t="shared" si="46"/>
        <v/>
      </c>
      <c r="AA50" s="80" t="str">
        <f t="shared" si="47"/>
        <v/>
      </c>
      <c r="AB50" s="79" t="str">
        <f t="shared" si="48"/>
        <v/>
      </c>
      <c r="AC50" s="80" t="str">
        <f t="shared" si="49"/>
        <v/>
      </c>
      <c r="AD50" s="80" t="str">
        <f t="shared" si="50"/>
        <v/>
      </c>
      <c r="AE50" s="80" t="str">
        <f t="shared" si="51"/>
        <v/>
      </c>
      <c r="AF50" s="80" t="str">
        <f t="shared" si="52"/>
        <v/>
      </c>
      <c r="AG50" s="104" t="str">
        <f t="shared" si="53"/>
        <v/>
      </c>
      <c r="AH50" s="79" t="str">
        <f t="shared" si="54"/>
        <v/>
      </c>
      <c r="AI50" s="80" t="str">
        <f t="shared" si="55"/>
        <v/>
      </c>
      <c r="AJ50" s="80">
        <f t="shared" si="56"/>
        <v>6502.5</v>
      </c>
      <c r="AK50" s="80">
        <f t="shared" si="57"/>
        <v>8578.2000000000007</v>
      </c>
      <c r="AL50" s="80" t="str">
        <f t="shared" si="58"/>
        <v/>
      </c>
      <c r="AM50" s="104" t="str">
        <f t="shared" si="59"/>
        <v/>
      </c>
      <c r="AN50" s="93" t="str">
        <f t="shared" si="60"/>
        <v/>
      </c>
      <c r="AO50" s="94" t="str">
        <f t="shared" si="60"/>
        <v/>
      </c>
      <c r="AP50" s="94" t="str">
        <f t="shared" si="60"/>
        <v/>
      </c>
      <c r="AQ50" s="93" t="str">
        <f t="shared" si="61"/>
        <v/>
      </c>
      <c r="AR50" s="94" t="str">
        <f t="shared" si="61"/>
        <v/>
      </c>
      <c r="AS50" s="95" t="str">
        <f t="shared" si="61"/>
        <v/>
      </c>
      <c r="AT50" s="93" t="str">
        <f t="shared" si="62"/>
        <v/>
      </c>
      <c r="AU50" s="94">
        <f t="shared" si="62"/>
        <v>18939.900000000001</v>
      </c>
      <c r="AV50" s="94" t="str">
        <f t="shared" si="62"/>
        <v/>
      </c>
      <c r="AW50" s="93" t="str">
        <f t="shared" si="63"/>
        <v/>
      </c>
      <c r="AX50" s="94" t="str">
        <f t="shared" si="63"/>
        <v/>
      </c>
      <c r="AY50" s="94" t="str">
        <f t="shared" si="63"/>
        <v/>
      </c>
      <c r="AZ50" s="93" t="str">
        <f t="shared" si="64"/>
        <v/>
      </c>
      <c r="BA50" s="94" t="str">
        <f t="shared" si="64"/>
        <v/>
      </c>
      <c r="BB50" s="95" t="str">
        <f t="shared" si="64"/>
        <v/>
      </c>
      <c r="BC50" s="93" t="str">
        <f t="shared" si="65"/>
        <v/>
      </c>
      <c r="BD50" s="94" t="str">
        <f t="shared" si="65"/>
        <v/>
      </c>
      <c r="BE50" s="94" t="str">
        <f t="shared" si="65"/>
        <v/>
      </c>
      <c r="BF50" s="100">
        <f t="shared" si="66"/>
        <v>1983</v>
      </c>
      <c r="BG50" s="101">
        <f t="shared" si="66"/>
        <v>543</v>
      </c>
      <c r="BH50" s="102">
        <f t="shared" si="66"/>
        <v>248</v>
      </c>
      <c r="BR50" s="43" t="str">
        <f t="shared" si="36"/>
        <v/>
      </c>
      <c r="BS50" s="43">
        <f t="shared" si="37"/>
        <v>80</v>
      </c>
      <c r="BT50" s="1187">
        <f t="shared" si="38"/>
        <v>7.9360553021882252</v>
      </c>
      <c r="BV50" s="43" t="str">
        <f t="shared" si="39"/>
        <v/>
      </c>
      <c r="BW50" s="43">
        <f t="shared" si="40"/>
        <v>80</v>
      </c>
      <c r="BX50" s="1187">
        <f t="shared" si="41"/>
        <v>7.9360553021882252</v>
      </c>
      <c r="BZ50" s="14" t="str">
        <f t="shared" si="67"/>
        <v/>
      </c>
      <c r="CA50" s="44">
        <f t="shared" si="68"/>
        <v>80</v>
      </c>
      <c r="CB50" s="1203">
        <f t="shared" si="68"/>
        <v>1055</v>
      </c>
    </row>
    <row r="51" spans="20:81">
      <c r="T51" s="2229" t="s">
        <v>404</v>
      </c>
      <c r="U51" s="131">
        <v>4</v>
      </c>
      <c r="V51" s="120" t="str">
        <f t="shared" ref="V51:V56" si="69">IF(AND($W$5=$X$4,V$42=$Z$4,V$43=$AA$4),V22,"")</f>
        <v/>
      </c>
      <c r="W51" s="121" t="str">
        <f t="shared" ref="W51:W56" si="70">IF(AND($W$5=$X$4,V$42=$Z$4,V$43=$AA$4),W22,"")</f>
        <v/>
      </c>
      <c r="X51" s="121" t="str">
        <f t="shared" ref="X51:X56" si="71">IF(AND($W$5=$X$4,V$42=$Z$4,X$43=$AA$4),X22,"")</f>
        <v/>
      </c>
      <c r="Y51" s="121" t="str">
        <f t="shared" ref="Y51:Y56" si="72">IF(AND($W$5=$X$4,V$42=$Z$4,X$43=$AA$4),Y22,"")</f>
        <v/>
      </c>
      <c r="Z51" s="121" t="str">
        <f t="shared" ref="Z51:Z56" si="73">IF(AND($W$5=$X$4,V$42=$Z$4,Z$43=$AA$4),Z22,"")</f>
        <v/>
      </c>
      <c r="AA51" s="121" t="str">
        <f t="shared" ref="AA51:AA56" si="74">IF(AND($W$5=$X$4,V$42=$Z$4,Z$43=$AA$4),AA22,"")</f>
        <v/>
      </c>
      <c r="AB51" s="120" t="str">
        <f t="shared" ref="AB51:AB56" si="75">IF(AND($W$5=$X$4,AB$42=$Z$4,AB$43=$AA$4),AB22,"")</f>
        <v/>
      </c>
      <c r="AC51" s="121" t="str">
        <f t="shared" ref="AC51:AC56" si="76">IF(AND($W$5=$X$4,AB$42=$Z$4,AB$43=$AA$4),AC22,"")</f>
        <v/>
      </c>
      <c r="AD51" s="121" t="str">
        <f t="shared" ref="AD51:AD56" si="77">IF(AND($W$5=$X$4,AB$42=$Z$4,AD$43=$AA$4),AD22,"")</f>
        <v/>
      </c>
      <c r="AE51" s="121" t="str">
        <f t="shared" ref="AE51:AE56" si="78">IF(AND($W$5=$X$4,AB$42=$Z$4,AD$43=$AA$4),AE22,"")</f>
        <v/>
      </c>
      <c r="AF51" s="121" t="str">
        <f t="shared" ref="AF51:AF56" si="79">IF(AND($W$5=$X$4,AB$42=$Z$4,AF$43=$AA$4),AF22,"")</f>
        <v/>
      </c>
      <c r="AG51" s="122" t="str">
        <f t="shared" ref="AG51:AG56" si="80">IF(AND($W$5=$X$4,AB$42=$Z$4,AF$43=$AA$4),AG22,"")</f>
        <v/>
      </c>
      <c r="AH51" s="120" t="str">
        <f t="shared" ref="AH51:AH56" si="81">IF(AND($W$5=$X$4,AH$42=$Z$4,AH$43=$AA$4),AH22,"")</f>
        <v/>
      </c>
      <c r="AI51" s="121" t="str">
        <f t="shared" ref="AI51:AI56" si="82">IF(AND($W$5=$X$4,AH$42=$Z$4,AH$43=$AA$4),AI22,"")</f>
        <v/>
      </c>
      <c r="AJ51" s="121" t="str">
        <f t="shared" ref="AJ51:AJ56" si="83">IF(AND($W$5=$X$4,AH$42=$Z$4,AJ$43=$AA$4),AJ22,"")</f>
        <v/>
      </c>
      <c r="AK51" s="121" t="str">
        <f t="shared" ref="AK51:AK56" si="84">IF(AND($W$5=$X$4,AH$42=$Z$4,AJ$43=$AA$4),AK22,"")</f>
        <v/>
      </c>
      <c r="AL51" s="121" t="str">
        <f t="shared" ref="AL51:AL56" si="85">IF(AND($W$5=$X$4,AH$42=$Z$4,AL$43=$AA$4),AL22,"")</f>
        <v/>
      </c>
      <c r="AM51" s="122" t="str">
        <f t="shared" ref="AM51:AM56" si="86">IF(AND($W$5=$X$4,AH$42=$Z$4,AL$43=$AA$4),AM22,"")</f>
        <v/>
      </c>
      <c r="AN51" s="120" t="str">
        <f t="shared" ref="AN51:AP56" si="87">IF(AND($W$5=$X$4,$AN$42=$Z$4,AN$44=$AA$4,$AN$41=$AD$4),AN22,"")</f>
        <v/>
      </c>
      <c r="AO51" s="121" t="str">
        <f t="shared" si="87"/>
        <v/>
      </c>
      <c r="AP51" s="121" t="str">
        <f t="shared" si="87"/>
        <v/>
      </c>
      <c r="AQ51" s="120" t="str">
        <f t="shared" ref="AQ51:AS56" si="88">IF(AND($W$5=$X$4,$AQ$42=$Z$4,AQ$44=$AA$4,$AN$41=$AD$4),AQ22,"")</f>
        <v/>
      </c>
      <c r="AR51" s="121" t="str">
        <f t="shared" si="88"/>
        <v/>
      </c>
      <c r="AS51" s="123" t="str">
        <f t="shared" si="88"/>
        <v/>
      </c>
      <c r="AT51" s="120" t="str">
        <f t="shared" ref="AT51:AV56" si="89">IF(AND($W$5=$X$4,$AT$42=$Z$4,AT$44=$AA$4,$AN$41=$AD$4),AT22,"")</f>
        <v/>
      </c>
      <c r="AU51" s="121" t="str">
        <f t="shared" si="89"/>
        <v/>
      </c>
      <c r="AV51" s="121" t="str">
        <f t="shared" si="89"/>
        <v/>
      </c>
      <c r="AW51" s="120" t="str">
        <f t="shared" ref="AW51:AY56" si="90">IF(AND($W$5=$X$4,$AW$42=$Z$4,AW$44=$AA$4,$AW$41=$AD$4),AW22,"")</f>
        <v/>
      </c>
      <c r="AX51" s="121" t="str">
        <f t="shared" si="90"/>
        <v/>
      </c>
      <c r="AY51" s="121" t="str">
        <f t="shared" si="90"/>
        <v/>
      </c>
      <c r="AZ51" s="120" t="str">
        <f t="shared" ref="AZ51:BB56" si="91">IF(AND($W$5=$X$4,$AZ$42=$Z$4,AZ$44=$AA$4,$AW$41=$AD$4),AZ22,"")</f>
        <v/>
      </c>
      <c r="BA51" s="121" t="str">
        <f t="shared" si="91"/>
        <v/>
      </c>
      <c r="BB51" s="123" t="str">
        <f t="shared" si="91"/>
        <v/>
      </c>
      <c r="BC51" s="120" t="str">
        <f t="shared" ref="BC51:BE56" si="92">IF(AND($W$5=$X$4,$BC$42=$Z$4,BC$44=$AA$4,$AW$41=$AD$4),BC22,"")</f>
        <v/>
      </c>
      <c r="BD51" s="121" t="str">
        <f t="shared" si="92"/>
        <v/>
      </c>
      <c r="BE51" s="121" t="str">
        <f t="shared" si="92"/>
        <v/>
      </c>
      <c r="BF51" s="108" t="str">
        <f t="shared" ref="BF51:BH56" si="93">IF($C$11=$W$5,BF22,"")</f>
        <v/>
      </c>
      <c r="BG51" s="109" t="str">
        <f t="shared" si="93"/>
        <v/>
      </c>
      <c r="BH51" s="110" t="str">
        <f t="shared" si="93"/>
        <v/>
      </c>
      <c r="BR51" s="43" t="str">
        <f t="shared" si="36"/>
        <v/>
      </c>
      <c r="BS51" s="43">
        <f t="shared" si="37"/>
        <v>100</v>
      </c>
      <c r="BT51" s="1187">
        <f t="shared" si="38"/>
        <v>15.846842730490339</v>
      </c>
      <c r="BV51" s="43" t="str">
        <f t="shared" si="39"/>
        <v/>
      </c>
      <c r="BW51" s="43">
        <f t="shared" si="40"/>
        <v>100</v>
      </c>
      <c r="BX51" s="1187">
        <f t="shared" si="41"/>
        <v>15.846842730490339</v>
      </c>
      <c r="BZ51" s="14" t="str">
        <f t="shared" si="67"/>
        <v/>
      </c>
      <c r="CA51" s="44">
        <f t="shared" si="68"/>
        <v>100</v>
      </c>
      <c r="CB51" s="1203">
        <f t="shared" si="68"/>
        <v>1512</v>
      </c>
    </row>
    <row r="52" spans="20:81">
      <c r="T52" s="2230"/>
      <c r="U52" s="128">
        <v>6</v>
      </c>
      <c r="V52" s="79" t="str">
        <f t="shared" si="69"/>
        <v/>
      </c>
      <c r="W52" s="80" t="str">
        <f t="shared" si="70"/>
        <v/>
      </c>
      <c r="X52" s="80" t="str">
        <f t="shared" si="71"/>
        <v/>
      </c>
      <c r="Y52" s="80" t="str">
        <f t="shared" si="72"/>
        <v/>
      </c>
      <c r="Z52" s="80" t="str">
        <f t="shared" si="73"/>
        <v/>
      </c>
      <c r="AA52" s="80" t="str">
        <f t="shared" si="74"/>
        <v/>
      </c>
      <c r="AB52" s="79" t="str">
        <f t="shared" si="75"/>
        <v/>
      </c>
      <c r="AC52" s="80" t="str">
        <f t="shared" si="76"/>
        <v/>
      </c>
      <c r="AD52" s="80" t="str">
        <f t="shared" si="77"/>
        <v/>
      </c>
      <c r="AE52" s="80" t="str">
        <f t="shared" si="78"/>
        <v/>
      </c>
      <c r="AF52" s="80" t="str">
        <f t="shared" si="79"/>
        <v/>
      </c>
      <c r="AG52" s="104" t="str">
        <f t="shared" si="80"/>
        <v/>
      </c>
      <c r="AH52" s="79" t="str">
        <f t="shared" si="81"/>
        <v/>
      </c>
      <c r="AI52" s="80" t="str">
        <f t="shared" si="82"/>
        <v/>
      </c>
      <c r="AJ52" s="80" t="str">
        <f t="shared" si="83"/>
        <v/>
      </c>
      <c r="AK52" s="80" t="str">
        <f t="shared" si="84"/>
        <v/>
      </c>
      <c r="AL52" s="80" t="str">
        <f t="shared" si="85"/>
        <v/>
      </c>
      <c r="AM52" s="104" t="str">
        <f t="shared" si="86"/>
        <v/>
      </c>
      <c r="AN52" s="79" t="str">
        <f t="shared" si="87"/>
        <v/>
      </c>
      <c r="AO52" s="80" t="str">
        <f t="shared" si="87"/>
        <v/>
      </c>
      <c r="AP52" s="80" t="str">
        <f t="shared" si="87"/>
        <v/>
      </c>
      <c r="AQ52" s="79" t="str">
        <f t="shared" si="88"/>
        <v/>
      </c>
      <c r="AR52" s="80" t="str">
        <f t="shared" si="88"/>
        <v/>
      </c>
      <c r="AS52" s="81" t="str">
        <f t="shared" si="88"/>
        <v/>
      </c>
      <c r="AT52" s="79" t="str">
        <f t="shared" si="89"/>
        <v/>
      </c>
      <c r="AU52" s="80" t="str">
        <f t="shared" si="89"/>
        <v/>
      </c>
      <c r="AV52" s="80" t="str">
        <f t="shared" si="89"/>
        <v/>
      </c>
      <c r="AW52" s="79" t="str">
        <f t="shared" si="90"/>
        <v/>
      </c>
      <c r="AX52" s="80" t="str">
        <f t="shared" si="90"/>
        <v/>
      </c>
      <c r="AY52" s="80" t="str">
        <f t="shared" si="90"/>
        <v/>
      </c>
      <c r="AZ52" s="79" t="str">
        <f t="shared" si="91"/>
        <v/>
      </c>
      <c r="BA52" s="80" t="str">
        <f t="shared" si="91"/>
        <v/>
      </c>
      <c r="BB52" s="81" t="str">
        <f t="shared" si="91"/>
        <v/>
      </c>
      <c r="BC52" s="79" t="str">
        <f t="shared" si="92"/>
        <v/>
      </c>
      <c r="BD52" s="80" t="str">
        <f t="shared" si="92"/>
        <v/>
      </c>
      <c r="BE52" s="80" t="str">
        <f t="shared" si="92"/>
        <v/>
      </c>
      <c r="BF52" s="113" t="str">
        <f t="shared" si="93"/>
        <v/>
      </c>
      <c r="BG52" s="114" t="str">
        <f t="shared" si="93"/>
        <v/>
      </c>
      <c r="BH52" s="115" t="str">
        <f t="shared" si="93"/>
        <v/>
      </c>
      <c r="BR52" s="43" t="str">
        <f t="shared" si="36"/>
        <v/>
      </c>
      <c r="BS52" s="43">
        <f t="shared" si="37"/>
        <v>125</v>
      </c>
      <c r="BT52" s="1187">
        <f t="shared" si="38"/>
        <v>27.525242248838314</v>
      </c>
      <c r="BV52" s="43" t="str">
        <f t="shared" si="39"/>
        <v/>
      </c>
      <c r="BW52" s="43">
        <f t="shared" si="40"/>
        <v>125</v>
      </c>
      <c r="BX52" s="1187">
        <f t="shared" si="41"/>
        <v>27.525242248838314</v>
      </c>
      <c r="BZ52" s="14" t="str">
        <f t="shared" si="67"/>
        <v/>
      </c>
      <c r="CA52" s="44">
        <f t="shared" si="68"/>
        <v>125</v>
      </c>
      <c r="CB52" s="1203">
        <f t="shared" si="68"/>
        <v>2462</v>
      </c>
    </row>
    <row r="53" spans="20:81">
      <c r="T53" s="2230"/>
      <c r="U53" s="128">
        <v>8</v>
      </c>
      <c r="V53" s="79" t="str">
        <f t="shared" si="69"/>
        <v/>
      </c>
      <c r="W53" s="80" t="str">
        <f t="shared" si="70"/>
        <v/>
      </c>
      <c r="X53" s="80" t="str">
        <f t="shared" si="71"/>
        <v/>
      </c>
      <c r="Y53" s="80" t="str">
        <f t="shared" si="72"/>
        <v/>
      </c>
      <c r="Z53" s="80" t="str">
        <f t="shared" si="73"/>
        <v/>
      </c>
      <c r="AA53" s="80" t="str">
        <f t="shared" si="74"/>
        <v/>
      </c>
      <c r="AB53" s="79" t="str">
        <f t="shared" si="75"/>
        <v/>
      </c>
      <c r="AC53" s="80" t="str">
        <f t="shared" si="76"/>
        <v/>
      </c>
      <c r="AD53" s="80" t="str">
        <f t="shared" si="77"/>
        <v/>
      </c>
      <c r="AE53" s="80" t="str">
        <f t="shared" si="78"/>
        <v/>
      </c>
      <c r="AF53" s="80" t="str">
        <f t="shared" si="79"/>
        <v/>
      </c>
      <c r="AG53" s="104" t="str">
        <f t="shared" si="80"/>
        <v/>
      </c>
      <c r="AH53" s="79" t="str">
        <f t="shared" si="81"/>
        <v/>
      </c>
      <c r="AI53" s="80" t="str">
        <f t="shared" si="82"/>
        <v/>
      </c>
      <c r="AJ53" s="80" t="str">
        <f t="shared" si="83"/>
        <v/>
      </c>
      <c r="AK53" s="80" t="str">
        <f t="shared" si="84"/>
        <v/>
      </c>
      <c r="AL53" s="80" t="str">
        <f t="shared" si="85"/>
        <v/>
      </c>
      <c r="AM53" s="104" t="str">
        <f t="shared" si="86"/>
        <v/>
      </c>
      <c r="AN53" s="79" t="str">
        <f t="shared" si="87"/>
        <v/>
      </c>
      <c r="AO53" s="80" t="str">
        <f t="shared" si="87"/>
        <v/>
      </c>
      <c r="AP53" s="80" t="str">
        <f t="shared" si="87"/>
        <v/>
      </c>
      <c r="AQ53" s="79" t="str">
        <f t="shared" si="88"/>
        <v/>
      </c>
      <c r="AR53" s="80" t="str">
        <f t="shared" si="88"/>
        <v/>
      </c>
      <c r="AS53" s="81" t="str">
        <f t="shared" si="88"/>
        <v/>
      </c>
      <c r="AT53" s="79" t="str">
        <f t="shared" si="89"/>
        <v/>
      </c>
      <c r="AU53" s="80" t="str">
        <f t="shared" si="89"/>
        <v/>
      </c>
      <c r="AV53" s="80" t="str">
        <f t="shared" si="89"/>
        <v/>
      </c>
      <c r="AW53" s="79" t="str">
        <f t="shared" si="90"/>
        <v/>
      </c>
      <c r="AX53" s="80" t="str">
        <f t="shared" si="90"/>
        <v/>
      </c>
      <c r="AY53" s="80" t="str">
        <f t="shared" si="90"/>
        <v/>
      </c>
      <c r="AZ53" s="79" t="str">
        <f t="shared" si="91"/>
        <v/>
      </c>
      <c r="BA53" s="80" t="str">
        <f t="shared" si="91"/>
        <v/>
      </c>
      <c r="BB53" s="81" t="str">
        <f t="shared" si="91"/>
        <v/>
      </c>
      <c r="BC53" s="79" t="str">
        <f t="shared" si="92"/>
        <v/>
      </c>
      <c r="BD53" s="80" t="str">
        <f t="shared" si="92"/>
        <v/>
      </c>
      <c r="BE53" s="80" t="str">
        <f t="shared" si="92"/>
        <v/>
      </c>
      <c r="BF53" s="113" t="str">
        <f t="shared" si="93"/>
        <v/>
      </c>
      <c r="BG53" s="114" t="str">
        <f t="shared" si="93"/>
        <v/>
      </c>
      <c r="BH53" s="115" t="str">
        <f t="shared" si="93"/>
        <v/>
      </c>
      <c r="BR53" s="43" t="str">
        <f t="shared" si="36"/>
        <v/>
      </c>
      <c r="BS53" s="43">
        <f t="shared" si="37"/>
        <v>150</v>
      </c>
      <c r="BT53" s="1187">
        <f t="shared" si="38"/>
        <v>44.102025373274287</v>
      </c>
      <c r="BV53" s="43" t="str">
        <f t="shared" si="39"/>
        <v/>
      </c>
      <c r="BW53" s="43">
        <f t="shared" si="40"/>
        <v>150</v>
      </c>
      <c r="BX53" s="1187">
        <f t="shared" si="41"/>
        <v>44.102025373274287</v>
      </c>
      <c r="BZ53" s="14" t="str">
        <f t="shared" si="67"/>
        <v/>
      </c>
      <c r="CA53" s="44">
        <f t="shared" si="68"/>
        <v>150</v>
      </c>
      <c r="CB53" s="1203">
        <f t="shared" si="68"/>
        <v>3500</v>
      </c>
    </row>
    <row r="54" spans="20:81">
      <c r="T54" s="2230"/>
      <c r="U54" s="128">
        <v>10</v>
      </c>
      <c r="V54" s="79" t="str">
        <f t="shared" si="69"/>
        <v/>
      </c>
      <c r="W54" s="80" t="str">
        <f t="shared" si="70"/>
        <v/>
      </c>
      <c r="X54" s="80" t="str">
        <f t="shared" si="71"/>
        <v/>
      </c>
      <c r="Y54" s="80" t="str">
        <f t="shared" si="72"/>
        <v/>
      </c>
      <c r="Z54" s="80" t="str">
        <f t="shared" si="73"/>
        <v/>
      </c>
      <c r="AA54" s="80" t="str">
        <f t="shared" si="74"/>
        <v/>
      </c>
      <c r="AB54" s="79" t="str">
        <f t="shared" si="75"/>
        <v/>
      </c>
      <c r="AC54" s="80" t="str">
        <f t="shared" si="76"/>
        <v/>
      </c>
      <c r="AD54" s="80" t="str">
        <f t="shared" si="77"/>
        <v/>
      </c>
      <c r="AE54" s="80" t="str">
        <f t="shared" si="78"/>
        <v/>
      </c>
      <c r="AF54" s="80" t="str">
        <f t="shared" si="79"/>
        <v/>
      </c>
      <c r="AG54" s="104" t="str">
        <f t="shared" si="80"/>
        <v/>
      </c>
      <c r="AH54" s="79" t="str">
        <f t="shared" si="81"/>
        <v/>
      </c>
      <c r="AI54" s="80" t="str">
        <f t="shared" si="82"/>
        <v/>
      </c>
      <c r="AJ54" s="80" t="str">
        <f t="shared" si="83"/>
        <v/>
      </c>
      <c r="AK54" s="80" t="str">
        <f t="shared" si="84"/>
        <v/>
      </c>
      <c r="AL54" s="80" t="str">
        <f t="shared" si="85"/>
        <v/>
      </c>
      <c r="AM54" s="104" t="str">
        <f t="shared" si="86"/>
        <v/>
      </c>
      <c r="AN54" s="79" t="str">
        <f t="shared" si="87"/>
        <v/>
      </c>
      <c r="AO54" s="80" t="str">
        <f t="shared" si="87"/>
        <v/>
      </c>
      <c r="AP54" s="80" t="str">
        <f t="shared" si="87"/>
        <v/>
      </c>
      <c r="AQ54" s="79" t="str">
        <f t="shared" si="88"/>
        <v/>
      </c>
      <c r="AR54" s="80" t="str">
        <f t="shared" si="88"/>
        <v/>
      </c>
      <c r="AS54" s="81" t="str">
        <f t="shared" si="88"/>
        <v/>
      </c>
      <c r="AT54" s="79" t="str">
        <f t="shared" si="89"/>
        <v/>
      </c>
      <c r="AU54" s="80" t="str">
        <f t="shared" si="89"/>
        <v/>
      </c>
      <c r="AV54" s="80" t="str">
        <f t="shared" si="89"/>
        <v/>
      </c>
      <c r="AW54" s="79" t="str">
        <f t="shared" si="90"/>
        <v/>
      </c>
      <c r="AX54" s="80" t="str">
        <f t="shared" si="90"/>
        <v/>
      </c>
      <c r="AY54" s="80" t="str">
        <f t="shared" si="90"/>
        <v/>
      </c>
      <c r="AZ54" s="79" t="str">
        <f t="shared" si="91"/>
        <v/>
      </c>
      <c r="BA54" s="80" t="str">
        <f t="shared" si="91"/>
        <v/>
      </c>
      <c r="BB54" s="81" t="str">
        <f t="shared" si="91"/>
        <v/>
      </c>
      <c r="BC54" s="79" t="str">
        <f t="shared" si="92"/>
        <v/>
      </c>
      <c r="BD54" s="80" t="str">
        <f t="shared" si="92"/>
        <v/>
      </c>
      <c r="BE54" s="80" t="str">
        <f t="shared" si="92"/>
        <v/>
      </c>
      <c r="BF54" s="113" t="str">
        <f t="shared" si="93"/>
        <v/>
      </c>
      <c r="BG54" s="114" t="str">
        <f t="shared" si="93"/>
        <v/>
      </c>
      <c r="BH54" s="115" t="str">
        <f t="shared" si="93"/>
        <v/>
      </c>
      <c r="BR54" s="43" t="str">
        <f t="shared" si="36"/>
        <v/>
      </c>
      <c r="BS54" s="43">
        <f t="shared" si="37"/>
        <v>200</v>
      </c>
      <c r="BT54" s="1187">
        <f t="shared" si="38"/>
        <v>83.727862082837063</v>
      </c>
      <c r="BV54" s="43" t="str">
        <f t="shared" si="39"/>
        <v/>
      </c>
      <c r="BW54" s="43">
        <f t="shared" si="40"/>
        <v>200</v>
      </c>
      <c r="BX54" s="1187">
        <f t="shared" si="41"/>
        <v>83.727862082837063</v>
      </c>
      <c r="BZ54" s="14" t="str">
        <f t="shared" ref="BZ54" si="94">IF(OR(CB54=$BP$16,CB54&gt;$BP$16),CB54,"")</f>
        <v/>
      </c>
      <c r="CA54" s="44"/>
      <c r="CB54" s="44"/>
    </row>
    <row r="55" spans="20:81">
      <c r="T55" s="2230"/>
      <c r="U55" s="128">
        <v>12</v>
      </c>
      <c r="V55" s="79" t="str">
        <f t="shared" si="69"/>
        <v/>
      </c>
      <c r="W55" s="80" t="str">
        <f t="shared" si="70"/>
        <v/>
      </c>
      <c r="X55" s="80" t="str">
        <f t="shared" si="71"/>
        <v/>
      </c>
      <c r="Y55" s="80" t="str">
        <f t="shared" si="72"/>
        <v/>
      </c>
      <c r="Z55" s="80" t="str">
        <f t="shared" si="73"/>
        <v/>
      </c>
      <c r="AA55" s="80" t="str">
        <f t="shared" si="74"/>
        <v/>
      </c>
      <c r="AB55" s="79" t="str">
        <f t="shared" si="75"/>
        <v/>
      </c>
      <c r="AC55" s="80" t="str">
        <f t="shared" si="76"/>
        <v/>
      </c>
      <c r="AD55" s="80" t="str">
        <f t="shared" si="77"/>
        <v/>
      </c>
      <c r="AE55" s="80" t="str">
        <f t="shared" si="78"/>
        <v/>
      </c>
      <c r="AF55" s="80" t="str">
        <f t="shared" si="79"/>
        <v/>
      </c>
      <c r="AG55" s="104" t="str">
        <f t="shared" si="80"/>
        <v/>
      </c>
      <c r="AH55" s="79" t="str">
        <f t="shared" si="81"/>
        <v/>
      </c>
      <c r="AI55" s="80" t="str">
        <f t="shared" si="82"/>
        <v/>
      </c>
      <c r="AJ55" s="80" t="str">
        <f t="shared" si="83"/>
        <v/>
      </c>
      <c r="AK55" s="80" t="str">
        <f t="shared" si="84"/>
        <v/>
      </c>
      <c r="AL55" s="80" t="str">
        <f t="shared" si="85"/>
        <v/>
      </c>
      <c r="AM55" s="104" t="str">
        <f t="shared" si="86"/>
        <v/>
      </c>
      <c r="AN55" s="79" t="str">
        <f t="shared" si="87"/>
        <v/>
      </c>
      <c r="AO55" s="80" t="str">
        <f t="shared" si="87"/>
        <v/>
      </c>
      <c r="AP55" s="80" t="str">
        <f t="shared" si="87"/>
        <v/>
      </c>
      <c r="AQ55" s="79" t="str">
        <f t="shared" si="88"/>
        <v/>
      </c>
      <c r="AR55" s="80" t="str">
        <f t="shared" si="88"/>
        <v/>
      </c>
      <c r="AS55" s="81" t="str">
        <f t="shared" si="88"/>
        <v/>
      </c>
      <c r="AT55" s="79" t="str">
        <f t="shared" si="89"/>
        <v/>
      </c>
      <c r="AU55" s="80" t="str">
        <f t="shared" si="89"/>
        <v/>
      </c>
      <c r="AV55" s="80" t="str">
        <f t="shared" si="89"/>
        <v/>
      </c>
      <c r="AW55" s="79" t="str">
        <f t="shared" si="90"/>
        <v/>
      </c>
      <c r="AX55" s="80" t="str">
        <f t="shared" si="90"/>
        <v/>
      </c>
      <c r="AY55" s="80" t="str">
        <f t="shared" si="90"/>
        <v/>
      </c>
      <c r="AZ55" s="79" t="str">
        <f t="shared" si="91"/>
        <v/>
      </c>
      <c r="BA55" s="80" t="str">
        <f t="shared" si="91"/>
        <v/>
      </c>
      <c r="BB55" s="81" t="str">
        <f t="shared" si="91"/>
        <v/>
      </c>
      <c r="BC55" s="79" t="str">
        <f t="shared" si="92"/>
        <v/>
      </c>
      <c r="BD55" s="80" t="str">
        <f t="shared" si="92"/>
        <v/>
      </c>
      <c r="BE55" s="80" t="str">
        <f t="shared" si="92"/>
        <v/>
      </c>
      <c r="BF55" s="113" t="str">
        <f t="shared" si="93"/>
        <v/>
      </c>
      <c r="BG55" s="114" t="str">
        <f t="shared" si="93"/>
        <v/>
      </c>
      <c r="BH55" s="115" t="str">
        <f t="shared" si="93"/>
        <v/>
      </c>
      <c r="BR55" s="43" t="str">
        <f t="shared" si="36"/>
        <v/>
      </c>
      <c r="BS55" s="43">
        <f t="shared" si="37"/>
        <v>250</v>
      </c>
      <c r="BT55" s="1187">
        <f t="shared" si="38"/>
        <v>131.50989591265693</v>
      </c>
      <c r="BV55" s="43" t="str">
        <f t="shared" si="39"/>
        <v/>
      </c>
      <c r="BW55" s="43">
        <f t="shared" si="40"/>
        <v>250</v>
      </c>
      <c r="BX55" s="1187">
        <f t="shared" si="41"/>
        <v>131.50989591265693</v>
      </c>
    </row>
    <row r="56" spans="20:81">
      <c r="T56" s="2231"/>
      <c r="U56" s="130">
        <v>14</v>
      </c>
      <c r="V56" s="93" t="str">
        <f t="shared" si="69"/>
        <v/>
      </c>
      <c r="W56" s="94" t="str">
        <f t="shared" si="70"/>
        <v/>
      </c>
      <c r="X56" s="94" t="str">
        <f t="shared" si="71"/>
        <v/>
      </c>
      <c r="Y56" s="94" t="str">
        <f t="shared" si="72"/>
        <v/>
      </c>
      <c r="Z56" s="94" t="str">
        <f t="shared" si="73"/>
        <v/>
      </c>
      <c r="AA56" s="94" t="str">
        <f t="shared" si="74"/>
        <v/>
      </c>
      <c r="AB56" s="93" t="str">
        <f t="shared" si="75"/>
        <v/>
      </c>
      <c r="AC56" s="94" t="str">
        <f t="shared" si="76"/>
        <v/>
      </c>
      <c r="AD56" s="94" t="str">
        <f t="shared" si="77"/>
        <v/>
      </c>
      <c r="AE56" s="94" t="str">
        <f t="shared" si="78"/>
        <v/>
      </c>
      <c r="AF56" s="94" t="str">
        <f t="shared" si="79"/>
        <v/>
      </c>
      <c r="AG56" s="116" t="str">
        <f t="shared" si="80"/>
        <v/>
      </c>
      <c r="AH56" s="93" t="str">
        <f t="shared" si="81"/>
        <v/>
      </c>
      <c r="AI56" s="94" t="str">
        <f t="shared" si="82"/>
        <v/>
      </c>
      <c r="AJ56" s="94" t="str">
        <f t="shared" si="83"/>
        <v/>
      </c>
      <c r="AK56" s="94" t="str">
        <f t="shared" si="84"/>
        <v/>
      </c>
      <c r="AL56" s="94" t="str">
        <f t="shared" si="85"/>
        <v/>
      </c>
      <c r="AM56" s="116" t="str">
        <f t="shared" si="86"/>
        <v/>
      </c>
      <c r="AN56" s="93" t="str">
        <f t="shared" si="87"/>
        <v/>
      </c>
      <c r="AO56" s="94" t="str">
        <f t="shared" si="87"/>
        <v/>
      </c>
      <c r="AP56" s="94" t="str">
        <f t="shared" si="87"/>
        <v/>
      </c>
      <c r="AQ56" s="93" t="str">
        <f t="shared" si="88"/>
        <v/>
      </c>
      <c r="AR56" s="94" t="str">
        <f t="shared" si="88"/>
        <v/>
      </c>
      <c r="AS56" s="95" t="str">
        <f t="shared" si="88"/>
        <v/>
      </c>
      <c r="AT56" s="93" t="str">
        <f t="shared" si="89"/>
        <v/>
      </c>
      <c r="AU56" s="94" t="str">
        <f t="shared" si="89"/>
        <v/>
      </c>
      <c r="AV56" s="94" t="str">
        <f t="shared" si="89"/>
        <v/>
      </c>
      <c r="AW56" s="93" t="str">
        <f t="shared" si="90"/>
        <v/>
      </c>
      <c r="AX56" s="94" t="str">
        <f t="shared" si="90"/>
        <v/>
      </c>
      <c r="AY56" s="94" t="str">
        <f t="shared" si="90"/>
        <v/>
      </c>
      <c r="AZ56" s="93" t="str">
        <f t="shared" si="91"/>
        <v/>
      </c>
      <c r="BA56" s="94" t="str">
        <f t="shared" si="91"/>
        <v/>
      </c>
      <c r="BB56" s="95" t="str">
        <f t="shared" si="91"/>
        <v/>
      </c>
      <c r="BC56" s="93" t="str">
        <f t="shared" si="92"/>
        <v/>
      </c>
      <c r="BD56" s="94" t="str">
        <f t="shared" si="92"/>
        <v/>
      </c>
      <c r="BE56" s="94" t="str">
        <f t="shared" si="92"/>
        <v/>
      </c>
      <c r="BF56" s="117" t="str">
        <f t="shared" si="93"/>
        <v/>
      </c>
      <c r="BG56" s="118" t="str">
        <f t="shared" si="93"/>
        <v/>
      </c>
      <c r="BH56" s="119" t="str">
        <f t="shared" si="93"/>
        <v/>
      </c>
      <c r="BR56" s="43" t="str">
        <f t="shared" si="36"/>
        <v/>
      </c>
      <c r="BS56" s="43">
        <f t="shared" si="37"/>
        <v>300</v>
      </c>
      <c r="BT56" s="1187">
        <f t="shared" si="38"/>
        <v>188.3268753248438</v>
      </c>
      <c r="BV56" s="43" t="str">
        <f t="shared" si="39"/>
        <v/>
      </c>
      <c r="BW56" s="43">
        <f t="shared" si="40"/>
        <v>300</v>
      </c>
      <c r="BX56" s="1187">
        <f t="shared" si="41"/>
        <v>188.3268753248438</v>
      </c>
    </row>
    <row r="57" spans="20:81">
      <c r="T57" s="2229" t="s">
        <v>405</v>
      </c>
      <c r="U57" s="131">
        <v>4</v>
      </c>
      <c r="V57" s="80" t="str">
        <f t="shared" ref="V57:V62" si="95">IF(AND($W$6=$X$4,V$42=$Z$4,V$43=$AA$4),V28,"")</f>
        <v/>
      </c>
      <c r="W57" s="80" t="str">
        <f t="shared" ref="W57:W62" si="96">IF(AND($W$6=$X$4,V$42=$Z$4,V$43=$AA$4),W28,"")</f>
        <v/>
      </c>
      <c r="X57" s="80" t="str">
        <f t="shared" ref="X57:X62" si="97">IF(AND($W$6=$X$4,V$42=$Z$4,X$43=$AA$4),X28,"")</f>
        <v/>
      </c>
      <c r="Y57" s="80" t="str">
        <f t="shared" ref="Y57:Y62" si="98">IF(AND($W$6=$X$4,V$42=$Z$4,X$43=$AA$4),Y28,"")</f>
        <v/>
      </c>
      <c r="Z57" s="80" t="str">
        <f t="shared" ref="Z57:Z62" si="99">IF(AND($W$6=$X$4,V$42=$Z$4,Z$43=$AA$4),Z28,"")</f>
        <v/>
      </c>
      <c r="AA57" s="80" t="str">
        <f t="shared" ref="AA57:AA62" si="100">IF(AND($W$6=$X$4,V$42=$Z$4,Z$43=$AA$4),AA28,"")</f>
        <v/>
      </c>
      <c r="AB57" s="79" t="str">
        <f t="shared" ref="AB57:AB62" si="101">IF(AND($W$6=$X$4,AB$42=$Z$4,AB$43=$AA$4),AB28,"")</f>
        <v/>
      </c>
      <c r="AC57" s="80" t="str">
        <f t="shared" ref="AC57:AC62" si="102">IF(AND($W$6=$X$4,AB$42=$Z$4,AB$43=$AA$4),AC28,"")</f>
        <v/>
      </c>
      <c r="AD57" s="80" t="str">
        <f t="shared" ref="AD57:AD62" si="103">IF(AND($W$6=$X$4,AB$42=$Z$4,AD$43=$AA$4),AD28,"")</f>
        <v/>
      </c>
      <c r="AE57" s="80" t="str">
        <f t="shared" ref="AE57:AE62" si="104">IF(AND($W$6=$X$4,AB$42=$Z$4,AD$43=$AA$4),AE28,"")</f>
        <v/>
      </c>
      <c r="AF57" s="80" t="str">
        <f t="shared" ref="AF57:AF62" si="105">IF(AND($W$6=$X$4,AB$42=$Z$4,AF$43=$AA$4),AF28,"")</f>
        <v/>
      </c>
      <c r="AG57" s="104" t="str">
        <f t="shared" ref="AG57:AG62" si="106">IF(AND($W$6=$X$4,AB$42=$Z$4,AF$43=$AA$4),AG28,"")</f>
        <v/>
      </c>
      <c r="AH57" s="79" t="str">
        <f t="shared" ref="AH57:AH62" si="107">IF(AND($W$6=$X$4,AH$42=$Z$4,AH$43=$AA$4),AH28,"")</f>
        <v/>
      </c>
      <c r="AI57" s="80" t="str">
        <f t="shared" ref="AI57:AI62" si="108">IF(AND($W$6=$X$4,AH$42=$Z$4,AH$43=$AA$4),AI28,"")</f>
        <v/>
      </c>
      <c r="AJ57" s="80" t="str">
        <f t="shared" ref="AJ57:AJ62" si="109">IF(AND($W$6=$X$4,AH$42=$Z$4,AJ$43=$AA$4),AJ28,"")</f>
        <v/>
      </c>
      <c r="AK57" s="80" t="str">
        <f t="shared" ref="AK57:AK62" si="110">IF(AND($W$6=$X$4,AH$42=$Z$4,AJ$43=$AA$4),AK28,"")</f>
        <v/>
      </c>
      <c r="AL57" s="80" t="str">
        <f t="shared" ref="AL57:AL62" si="111">IF(AND($W$6=$X$4,AH$42=$Z$4,AL$43=$AA$4),AL28,"")</f>
        <v/>
      </c>
      <c r="AM57" s="104" t="str">
        <f t="shared" ref="AM57:AM62" si="112">IF(AND($W$6=$X$4,AH$42=$Z$4,AL$43=$AA$4),AM28,"")</f>
        <v/>
      </c>
      <c r="AN57" s="120" t="str">
        <f t="shared" ref="AN57:AP62" si="113">IF(AND($W$6=$X$4,$AN$42=$Z$4,AN$44=$AA$4,$AN$41=$AD$4),AN28,"")</f>
        <v/>
      </c>
      <c r="AO57" s="121" t="str">
        <f t="shared" si="113"/>
        <v/>
      </c>
      <c r="AP57" s="121" t="str">
        <f t="shared" si="113"/>
        <v/>
      </c>
      <c r="AQ57" s="120" t="str">
        <f t="shared" ref="AQ57:AS62" si="114">IF(AND($W$6=$X$4,$AQ$42=$Z$4,AQ$44=$AA$4,$AN$41=$AD$4),AQ28,"")</f>
        <v/>
      </c>
      <c r="AR57" s="121" t="str">
        <f t="shared" si="114"/>
        <v/>
      </c>
      <c r="AS57" s="123" t="str">
        <f t="shared" si="114"/>
        <v/>
      </c>
      <c r="AT57" s="120" t="str">
        <f t="shared" ref="AT57:AV62" si="115">IF(AND($W$6=$X$4,$AT$42=$Z$4,AT$44=$AA$4,$AN$41=$AD$4),AT28,"")</f>
        <v/>
      </c>
      <c r="AU57" s="121" t="str">
        <f t="shared" si="115"/>
        <v/>
      </c>
      <c r="AV57" s="121" t="str">
        <f t="shared" si="115"/>
        <v/>
      </c>
      <c r="AW57" s="120" t="str">
        <f t="shared" ref="AW57:AY62" si="116">IF(AND($W$6=$X$4,$AW$42=$Z$4,AW$44=$AA$4,$AW$41=$AD$4),AW28,"")</f>
        <v/>
      </c>
      <c r="AX57" s="121" t="str">
        <f t="shared" si="116"/>
        <v/>
      </c>
      <c r="AY57" s="121" t="str">
        <f t="shared" si="116"/>
        <v/>
      </c>
      <c r="AZ57" s="120" t="str">
        <f t="shared" ref="AZ57:BB62" si="117">IF(AND($W$6=$X$4,$AZ$42=$Z$4,AZ$44=$AA$4,$AW$41=$AD$4),AZ28,"")</f>
        <v/>
      </c>
      <c r="BA57" s="121" t="str">
        <f t="shared" si="117"/>
        <v/>
      </c>
      <c r="BB57" s="123" t="str">
        <f t="shared" si="117"/>
        <v/>
      </c>
      <c r="BC57" s="120" t="str">
        <f t="shared" ref="BC57:BE62" si="118">IF(AND($W$6=$X$4,$BC$42=$Z$4,BC$44=$AA$4,$AW$41=$AD$4),BC28,"")</f>
        <v/>
      </c>
      <c r="BD57" s="121" t="str">
        <f t="shared" si="118"/>
        <v/>
      </c>
      <c r="BE57" s="121" t="str">
        <f t="shared" si="118"/>
        <v/>
      </c>
      <c r="BF57" s="125" t="str">
        <f t="shared" ref="BF57:BH62" si="119">IF($C$11=$W$6,BF28,"")</f>
        <v/>
      </c>
      <c r="BG57" s="126" t="str">
        <f t="shared" si="119"/>
        <v/>
      </c>
      <c r="BH57" s="127" t="str">
        <f t="shared" si="119"/>
        <v/>
      </c>
      <c r="BR57" s="43" t="str">
        <f t="shared" si="36"/>
        <v/>
      </c>
      <c r="BS57" s="43">
        <f t="shared" si="37"/>
        <v>350</v>
      </c>
      <c r="BT57" s="1187">
        <f t="shared" si="38"/>
        <v>228.8531653017491</v>
      </c>
      <c r="BV57" s="43" t="str">
        <f t="shared" si="39"/>
        <v/>
      </c>
      <c r="BW57" s="43">
        <f t="shared" si="40"/>
        <v>350</v>
      </c>
      <c r="BX57" s="1187">
        <f t="shared" si="41"/>
        <v>228.8531653017491</v>
      </c>
    </row>
    <row r="58" spans="20:81" ht="12.75" customHeight="1">
      <c r="T58" s="2230"/>
      <c r="U58" s="128">
        <v>6</v>
      </c>
      <c r="V58" s="80" t="str">
        <f t="shared" si="95"/>
        <v/>
      </c>
      <c r="W58" s="80" t="str">
        <f t="shared" si="96"/>
        <v/>
      </c>
      <c r="X58" s="80" t="str">
        <f t="shared" si="97"/>
        <v/>
      </c>
      <c r="Y58" s="80" t="str">
        <f t="shared" si="98"/>
        <v/>
      </c>
      <c r="Z58" s="80" t="str">
        <f t="shared" si="99"/>
        <v/>
      </c>
      <c r="AA58" s="80" t="str">
        <f t="shared" si="100"/>
        <v/>
      </c>
      <c r="AB58" s="79" t="str">
        <f t="shared" si="101"/>
        <v/>
      </c>
      <c r="AC58" s="80" t="str">
        <f t="shared" si="102"/>
        <v/>
      </c>
      <c r="AD58" s="80" t="str">
        <f t="shared" si="103"/>
        <v/>
      </c>
      <c r="AE58" s="80" t="str">
        <f t="shared" si="104"/>
        <v/>
      </c>
      <c r="AF58" s="80" t="str">
        <f t="shared" si="105"/>
        <v/>
      </c>
      <c r="AG58" s="104" t="str">
        <f t="shared" si="106"/>
        <v/>
      </c>
      <c r="AH58" s="79" t="str">
        <f t="shared" si="107"/>
        <v/>
      </c>
      <c r="AI58" s="80" t="str">
        <f t="shared" si="108"/>
        <v/>
      </c>
      <c r="AJ58" s="80" t="str">
        <f t="shared" si="109"/>
        <v/>
      </c>
      <c r="AK58" s="80" t="str">
        <f t="shared" si="110"/>
        <v/>
      </c>
      <c r="AL58" s="80" t="str">
        <f t="shared" si="111"/>
        <v/>
      </c>
      <c r="AM58" s="104" t="str">
        <f t="shared" si="112"/>
        <v/>
      </c>
      <c r="AN58" s="79" t="str">
        <f t="shared" si="113"/>
        <v/>
      </c>
      <c r="AO58" s="80" t="str">
        <f t="shared" si="113"/>
        <v/>
      </c>
      <c r="AP58" s="80" t="str">
        <f t="shared" si="113"/>
        <v/>
      </c>
      <c r="AQ58" s="79" t="str">
        <f t="shared" si="114"/>
        <v/>
      </c>
      <c r="AR58" s="80" t="str">
        <f t="shared" si="114"/>
        <v/>
      </c>
      <c r="AS58" s="81" t="str">
        <f t="shared" si="114"/>
        <v/>
      </c>
      <c r="AT58" s="79" t="str">
        <f t="shared" si="115"/>
        <v/>
      </c>
      <c r="AU58" s="80" t="str">
        <f t="shared" si="115"/>
        <v/>
      </c>
      <c r="AV58" s="80" t="str">
        <f t="shared" si="115"/>
        <v/>
      </c>
      <c r="AW58" s="79" t="str">
        <f t="shared" si="116"/>
        <v/>
      </c>
      <c r="AX58" s="80" t="str">
        <f t="shared" si="116"/>
        <v/>
      </c>
      <c r="AY58" s="80" t="str">
        <f t="shared" si="116"/>
        <v/>
      </c>
      <c r="AZ58" s="79" t="str">
        <f t="shared" si="117"/>
        <v/>
      </c>
      <c r="BA58" s="80" t="str">
        <f t="shared" si="117"/>
        <v/>
      </c>
      <c r="BB58" s="81" t="str">
        <f t="shared" si="117"/>
        <v/>
      </c>
      <c r="BC58" s="79" t="str">
        <f t="shared" si="118"/>
        <v/>
      </c>
      <c r="BD58" s="80" t="str">
        <f t="shared" si="118"/>
        <v/>
      </c>
      <c r="BE58" s="80" t="str">
        <f t="shared" si="118"/>
        <v/>
      </c>
      <c r="BF58" s="89" t="str">
        <f t="shared" si="119"/>
        <v/>
      </c>
      <c r="BG58" s="90" t="str">
        <f t="shared" si="119"/>
        <v/>
      </c>
      <c r="BH58" s="91" t="str">
        <f t="shared" si="119"/>
        <v/>
      </c>
      <c r="BR58" s="43" t="str">
        <f t="shared" si="36"/>
        <v/>
      </c>
      <c r="BS58" s="43">
        <f t="shared" si="37"/>
        <v>400</v>
      </c>
      <c r="BT58" s="1187">
        <f t="shared" si="38"/>
        <v>299.2605763585949</v>
      </c>
      <c r="BV58" s="43" t="str">
        <f t="shared" si="39"/>
        <v/>
      </c>
      <c r="BW58" s="43">
        <f t="shared" si="40"/>
        <v>400</v>
      </c>
      <c r="BX58" s="1187">
        <f t="shared" si="41"/>
        <v>299.2605763585949</v>
      </c>
      <c r="CA58" s="1863" t="s">
        <v>1700</v>
      </c>
      <c r="CB58" s="1865" t="s">
        <v>238</v>
      </c>
      <c r="CC58" s="1865"/>
    </row>
    <row r="59" spans="20:81">
      <c r="T59" s="2230"/>
      <c r="U59" s="128">
        <v>8</v>
      </c>
      <c r="V59" s="80" t="str">
        <f t="shared" si="95"/>
        <v/>
      </c>
      <c r="W59" s="80" t="str">
        <f t="shared" si="96"/>
        <v/>
      </c>
      <c r="X59" s="80" t="str">
        <f t="shared" si="97"/>
        <v/>
      </c>
      <c r="Y59" s="80" t="str">
        <f t="shared" si="98"/>
        <v/>
      </c>
      <c r="Z59" s="80" t="str">
        <f t="shared" si="99"/>
        <v/>
      </c>
      <c r="AA59" s="80" t="str">
        <f t="shared" si="100"/>
        <v/>
      </c>
      <c r="AB59" s="79" t="str">
        <f t="shared" si="101"/>
        <v/>
      </c>
      <c r="AC59" s="80" t="str">
        <f t="shared" si="102"/>
        <v/>
      </c>
      <c r="AD59" s="80" t="str">
        <f t="shared" si="103"/>
        <v/>
      </c>
      <c r="AE59" s="80" t="str">
        <f t="shared" si="104"/>
        <v/>
      </c>
      <c r="AF59" s="80" t="str">
        <f t="shared" si="105"/>
        <v/>
      </c>
      <c r="AG59" s="104" t="str">
        <f t="shared" si="106"/>
        <v/>
      </c>
      <c r="AH59" s="79" t="str">
        <f t="shared" si="107"/>
        <v/>
      </c>
      <c r="AI59" s="80" t="str">
        <f t="shared" si="108"/>
        <v/>
      </c>
      <c r="AJ59" s="80" t="str">
        <f t="shared" si="109"/>
        <v/>
      </c>
      <c r="AK59" s="80" t="str">
        <f t="shared" si="110"/>
        <v/>
      </c>
      <c r="AL59" s="80" t="str">
        <f t="shared" si="111"/>
        <v/>
      </c>
      <c r="AM59" s="104" t="str">
        <f t="shared" si="112"/>
        <v/>
      </c>
      <c r="AN59" s="79" t="str">
        <f t="shared" si="113"/>
        <v/>
      </c>
      <c r="AO59" s="80" t="str">
        <f t="shared" si="113"/>
        <v/>
      </c>
      <c r="AP59" s="80" t="str">
        <f t="shared" si="113"/>
        <v/>
      </c>
      <c r="AQ59" s="79" t="str">
        <f t="shared" si="114"/>
        <v/>
      </c>
      <c r="AR59" s="80" t="str">
        <f t="shared" si="114"/>
        <v/>
      </c>
      <c r="AS59" s="81" t="str">
        <f t="shared" si="114"/>
        <v/>
      </c>
      <c r="AT59" s="79" t="str">
        <f t="shared" si="115"/>
        <v/>
      </c>
      <c r="AU59" s="80" t="str">
        <f t="shared" si="115"/>
        <v/>
      </c>
      <c r="AV59" s="80" t="str">
        <f t="shared" si="115"/>
        <v/>
      </c>
      <c r="AW59" s="79" t="str">
        <f t="shared" si="116"/>
        <v/>
      </c>
      <c r="AX59" s="80" t="str">
        <f t="shared" si="116"/>
        <v/>
      </c>
      <c r="AY59" s="80" t="str">
        <f t="shared" si="116"/>
        <v/>
      </c>
      <c r="AZ59" s="79" t="str">
        <f t="shared" si="117"/>
        <v/>
      </c>
      <c r="BA59" s="80" t="str">
        <f t="shared" si="117"/>
        <v/>
      </c>
      <c r="BB59" s="81" t="str">
        <f t="shared" si="117"/>
        <v/>
      </c>
      <c r="BC59" s="79" t="str">
        <f t="shared" si="118"/>
        <v/>
      </c>
      <c r="BD59" s="80" t="str">
        <f t="shared" si="118"/>
        <v/>
      </c>
      <c r="BE59" s="80" t="str">
        <f t="shared" si="118"/>
        <v/>
      </c>
      <c r="BF59" s="89" t="str">
        <f t="shared" si="119"/>
        <v/>
      </c>
      <c r="BG59" s="90" t="str">
        <f t="shared" si="119"/>
        <v/>
      </c>
      <c r="BH59" s="91" t="str">
        <f t="shared" si="119"/>
        <v/>
      </c>
      <c r="BR59" s="43" t="str">
        <f t="shared" si="36"/>
        <v/>
      </c>
      <c r="BS59" s="43">
        <f t="shared" si="37"/>
        <v>450</v>
      </c>
      <c r="BT59" s="1187">
        <f t="shared" si="38"/>
        <v>381.86255053924776</v>
      </c>
      <c r="BV59" s="43" t="str">
        <f t="shared" si="39"/>
        <v/>
      </c>
      <c r="BW59" s="43">
        <f t="shared" si="40"/>
        <v>450</v>
      </c>
      <c r="BX59" s="1187">
        <f t="shared" si="41"/>
        <v>381.86255053924776</v>
      </c>
      <c r="CA59" s="1864"/>
      <c r="CB59" s="761" t="s">
        <v>6</v>
      </c>
      <c r="CC59" s="761" t="s">
        <v>12</v>
      </c>
    </row>
    <row r="60" spans="20:81">
      <c r="T60" s="2230"/>
      <c r="U60" s="128">
        <v>10</v>
      </c>
      <c r="V60" s="80" t="str">
        <f t="shared" si="95"/>
        <v/>
      </c>
      <c r="W60" s="80" t="str">
        <f t="shared" si="96"/>
        <v/>
      </c>
      <c r="X60" s="80" t="str">
        <f t="shared" si="97"/>
        <v/>
      </c>
      <c r="Y60" s="80" t="str">
        <f t="shared" si="98"/>
        <v/>
      </c>
      <c r="Z60" s="80" t="str">
        <f t="shared" si="99"/>
        <v/>
      </c>
      <c r="AA60" s="80" t="str">
        <f t="shared" si="100"/>
        <v/>
      </c>
      <c r="AB60" s="79" t="str">
        <f t="shared" si="101"/>
        <v/>
      </c>
      <c r="AC60" s="80" t="str">
        <f t="shared" si="102"/>
        <v/>
      </c>
      <c r="AD60" s="80" t="str">
        <f t="shared" si="103"/>
        <v/>
      </c>
      <c r="AE60" s="80" t="str">
        <f t="shared" si="104"/>
        <v/>
      </c>
      <c r="AF60" s="80" t="str">
        <f t="shared" si="105"/>
        <v/>
      </c>
      <c r="AG60" s="104" t="str">
        <f t="shared" si="106"/>
        <v/>
      </c>
      <c r="AH60" s="79" t="str">
        <f t="shared" si="107"/>
        <v/>
      </c>
      <c r="AI60" s="80" t="str">
        <f t="shared" si="108"/>
        <v/>
      </c>
      <c r="AJ60" s="80" t="str">
        <f t="shared" si="109"/>
        <v/>
      </c>
      <c r="AK60" s="80" t="str">
        <f t="shared" si="110"/>
        <v/>
      </c>
      <c r="AL60" s="80" t="str">
        <f t="shared" si="111"/>
        <v/>
      </c>
      <c r="AM60" s="104" t="str">
        <f t="shared" si="112"/>
        <v/>
      </c>
      <c r="AN60" s="79" t="str">
        <f t="shared" si="113"/>
        <v/>
      </c>
      <c r="AO60" s="80" t="str">
        <f t="shared" si="113"/>
        <v/>
      </c>
      <c r="AP60" s="80" t="str">
        <f t="shared" si="113"/>
        <v/>
      </c>
      <c r="AQ60" s="79" t="str">
        <f t="shared" si="114"/>
        <v/>
      </c>
      <c r="AR60" s="80" t="str">
        <f t="shared" si="114"/>
        <v/>
      </c>
      <c r="AS60" s="81" t="str">
        <f t="shared" si="114"/>
        <v/>
      </c>
      <c r="AT60" s="79" t="str">
        <f t="shared" si="115"/>
        <v/>
      </c>
      <c r="AU60" s="80" t="str">
        <f t="shared" si="115"/>
        <v/>
      </c>
      <c r="AV60" s="80" t="str">
        <f t="shared" si="115"/>
        <v/>
      </c>
      <c r="AW60" s="79" t="str">
        <f t="shared" si="116"/>
        <v/>
      </c>
      <c r="AX60" s="80" t="str">
        <f t="shared" si="116"/>
        <v/>
      </c>
      <c r="AY60" s="80" t="str">
        <f t="shared" si="116"/>
        <v/>
      </c>
      <c r="AZ60" s="79" t="str">
        <f t="shared" si="117"/>
        <v/>
      </c>
      <c r="BA60" s="80" t="str">
        <f t="shared" si="117"/>
        <v/>
      </c>
      <c r="BB60" s="81" t="str">
        <f t="shared" si="117"/>
        <v/>
      </c>
      <c r="BC60" s="79" t="str">
        <f t="shared" si="118"/>
        <v/>
      </c>
      <c r="BD60" s="80" t="str">
        <f t="shared" si="118"/>
        <v/>
      </c>
      <c r="BE60" s="80" t="str">
        <f t="shared" si="118"/>
        <v/>
      </c>
      <c r="BF60" s="89" t="str">
        <f t="shared" si="119"/>
        <v/>
      </c>
      <c r="BG60" s="90" t="str">
        <f t="shared" si="119"/>
        <v/>
      </c>
      <c r="BH60" s="91" t="str">
        <f t="shared" si="119"/>
        <v/>
      </c>
      <c r="BR60" s="43" t="str">
        <f t="shared" si="36"/>
        <v/>
      </c>
      <c r="BS60" s="43">
        <f t="shared" si="37"/>
        <v>500</v>
      </c>
      <c r="BT60" s="1187">
        <f t="shared" si="38"/>
        <v>472.20525193871305</v>
      </c>
      <c r="BV60" s="43" t="str">
        <f t="shared" si="39"/>
        <v/>
      </c>
      <c r="BW60" s="43">
        <f t="shared" si="40"/>
        <v>500</v>
      </c>
      <c r="BX60" s="1187">
        <f t="shared" si="41"/>
        <v>472.20525193871305</v>
      </c>
      <c r="CA60" s="760">
        <v>25</v>
      </c>
      <c r="CB60" s="416">
        <v>17.600000000000001</v>
      </c>
      <c r="CC60" s="416">
        <v>5</v>
      </c>
    </row>
    <row r="61" spans="20:81">
      <c r="T61" s="2230"/>
      <c r="U61" s="128">
        <v>12</v>
      </c>
      <c r="V61" s="80" t="str">
        <f t="shared" si="95"/>
        <v/>
      </c>
      <c r="W61" s="80" t="str">
        <f t="shared" si="96"/>
        <v/>
      </c>
      <c r="X61" s="80" t="str">
        <f t="shared" si="97"/>
        <v/>
      </c>
      <c r="Y61" s="80" t="str">
        <f t="shared" si="98"/>
        <v/>
      </c>
      <c r="Z61" s="80" t="str">
        <f t="shared" si="99"/>
        <v/>
      </c>
      <c r="AA61" s="80" t="str">
        <f t="shared" si="100"/>
        <v/>
      </c>
      <c r="AB61" s="79" t="str">
        <f t="shared" si="101"/>
        <v/>
      </c>
      <c r="AC61" s="80" t="str">
        <f t="shared" si="102"/>
        <v/>
      </c>
      <c r="AD61" s="80" t="str">
        <f t="shared" si="103"/>
        <v/>
      </c>
      <c r="AE61" s="80" t="str">
        <f t="shared" si="104"/>
        <v/>
      </c>
      <c r="AF61" s="80" t="str">
        <f t="shared" si="105"/>
        <v/>
      </c>
      <c r="AG61" s="104" t="str">
        <f t="shared" si="106"/>
        <v/>
      </c>
      <c r="AH61" s="79" t="str">
        <f t="shared" si="107"/>
        <v/>
      </c>
      <c r="AI61" s="80" t="str">
        <f t="shared" si="108"/>
        <v/>
      </c>
      <c r="AJ61" s="80" t="str">
        <f t="shared" si="109"/>
        <v/>
      </c>
      <c r="AK61" s="80" t="str">
        <f t="shared" si="110"/>
        <v/>
      </c>
      <c r="AL61" s="80" t="str">
        <f t="shared" si="111"/>
        <v/>
      </c>
      <c r="AM61" s="104" t="str">
        <f t="shared" si="112"/>
        <v/>
      </c>
      <c r="AN61" s="79" t="str">
        <f t="shared" si="113"/>
        <v/>
      </c>
      <c r="AO61" s="80" t="str">
        <f t="shared" si="113"/>
        <v/>
      </c>
      <c r="AP61" s="80" t="str">
        <f t="shared" si="113"/>
        <v/>
      </c>
      <c r="AQ61" s="79" t="str">
        <f t="shared" si="114"/>
        <v/>
      </c>
      <c r="AR61" s="80" t="str">
        <f t="shared" si="114"/>
        <v/>
      </c>
      <c r="AS61" s="81" t="str">
        <f t="shared" si="114"/>
        <v/>
      </c>
      <c r="AT61" s="79" t="str">
        <f t="shared" si="115"/>
        <v/>
      </c>
      <c r="AU61" s="80" t="str">
        <f t="shared" si="115"/>
        <v/>
      </c>
      <c r="AV61" s="80" t="str">
        <f t="shared" si="115"/>
        <v/>
      </c>
      <c r="AW61" s="79" t="str">
        <f t="shared" si="116"/>
        <v/>
      </c>
      <c r="AX61" s="80" t="str">
        <f t="shared" si="116"/>
        <v/>
      </c>
      <c r="AY61" s="80" t="str">
        <f t="shared" si="116"/>
        <v/>
      </c>
      <c r="AZ61" s="79" t="str">
        <f t="shared" si="117"/>
        <v/>
      </c>
      <c r="BA61" s="80" t="str">
        <f t="shared" si="117"/>
        <v/>
      </c>
      <c r="BB61" s="81" t="str">
        <f t="shared" si="117"/>
        <v/>
      </c>
      <c r="BC61" s="79" t="str">
        <f t="shared" si="118"/>
        <v/>
      </c>
      <c r="BD61" s="80" t="str">
        <f t="shared" si="118"/>
        <v/>
      </c>
      <c r="BE61" s="80" t="str">
        <f t="shared" si="118"/>
        <v/>
      </c>
      <c r="BF61" s="89" t="str">
        <f t="shared" si="119"/>
        <v/>
      </c>
      <c r="BG61" s="90" t="str">
        <f t="shared" si="119"/>
        <v/>
      </c>
      <c r="BH61" s="91" t="str">
        <f t="shared" si="119"/>
        <v/>
      </c>
      <c r="BR61" s="43" t="str">
        <f t="shared" si="36"/>
        <v/>
      </c>
      <c r="BS61" s="43">
        <f t="shared" si="37"/>
        <v>550</v>
      </c>
      <c r="BT61" s="1187">
        <f t="shared" si="38"/>
        <v>575.52791462538266</v>
      </c>
      <c r="BV61" s="43" t="str">
        <f t="shared" si="39"/>
        <v/>
      </c>
      <c r="BW61" s="43">
        <f t="shared" si="40"/>
        <v>550</v>
      </c>
      <c r="BX61" s="1187">
        <f t="shared" si="41"/>
        <v>575.52791462538266</v>
      </c>
      <c r="CA61" s="513">
        <v>32</v>
      </c>
      <c r="CB61" s="417">
        <v>101</v>
      </c>
      <c r="CC61" s="417">
        <v>28.7</v>
      </c>
    </row>
    <row r="62" spans="20:81">
      <c r="T62" s="2231"/>
      <c r="U62" s="130">
        <v>14</v>
      </c>
      <c r="V62" s="80" t="str">
        <f t="shared" si="95"/>
        <v/>
      </c>
      <c r="W62" s="80" t="str">
        <f t="shared" si="96"/>
        <v/>
      </c>
      <c r="X62" s="80" t="str">
        <f t="shared" si="97"/>
        <v/>
      </c>
      <c r="Y62" s="80" t="str">
        <f t="shared" si="98"/>
        <v/>
      </c>
      <c r="Z62" s="80" t="str">
        <f t="shared" si="99"/>
        <v/>
      </c>
      <c r="AA62" s="80" t="str">
        <f t="shared" si="100"/>
        <v/>
      </c>
      <c r="AB62" s="79" t="str">
        <f t="shared" si="101"/>
        <v/>
      </c>
      <c r="AC62" s="80" t="str">
        <f t="shared" si="102"/>
        <v/>
      </c>
      <c r="AD62" s="80" t="str">
        <f t="shared" si="103"/>
        <v/>
      </c>
      <c r="AE62" s="80" t="str">
        <f t="shared" si="104"/>
        <v/>
      </c>
      <c r="AF62" s="80" t="str">
        <f t="shared" si="105"/>
        <v/>
      </c>
      <c r="AG62" s="104" t="str">
        <f t="shared" si="106"/>
        <v/>
      </c>
      <c r="AH62" s="79" t="str">
        <f t="shared" si="107"/>
        <v/>
      </c>
      <c r="AI62" s="80" t="str">
        <f t="shared" si="108"/>
        <v/>
      </c>
      <c r="AJ62" s="80" t="str">
        <f t="shared" si="109"/>
        <v/>
      </c>
      <c r="AK62" s="80" t="str">
        <f t="shared" si="110"/>
        <v/>
      </c>
      <c r="AL62" s="80" t="str">
        <f t="shared" si="111"/>
        <v/>
      </c>
      <c r="AM62" s="104" t="str">
        <f t="shared" si="112"/>
        <v/>
      </c>
      <c r="AN62" s="93" t="str">
        <f t="shared" si="113"/>
        <v/>
      </c>
      <c r="AO62" s="94" t="str">
        <f t="shared" si="113"/>
        <v/>
      </c>
      <c r="AP62" s="94" t="str">
        <f t="shared" si="113"/>
        <v/>
      </c>
      <c r="AQ62" s="93" t="str">
        <f t="shared" si="114"/>
        <v/>
      </c>
      <c r="AR62" s="94" t="str">
        <f t="shared" si="114"/>
        <v/>
      </c>
      <c r="AS62" s="95" t="str">
        <f t="shared" si="114"/>
        <v/>
      </c>
      <c r="AT62" s="93" t="str">
        <f t="shared" si="115"/>
        <v/>
      </c>
      <c r="AU62" s="94" t="str">
        <f t="shared" si="115"/>
        <v/>
      </c>
      <c r="AV62" s="94" t="str">
        <f t="shared" si="115"/>
        <v/>
      </c>
      <c r="AW62" s="93" t="str">
        <f t="shared" si="116"/>
        <v/>
      </c>
      <c r="AX62" s="94" t="str">
        <f t="shared" si="116"/>
        <v/>
      </c>
      <c r="AY62" s="94" t="str">
        <f t="shared" si="116"/>
        <v/>
      </c>
      <c r="AZ62" s="93" t="str">
        <f t="shared" si="117"/>
        <v/>
      </c>
      <c r="BA62" s="94" t="str">
        <f t="shared" si="117"/>
        <v/>
      </c>
      <c r="BB62" s="95" t="str">
        <f t="shared" si="117"/>
        <v/>
      </c>
      <c r="BC62" s="93" t="str">
        <f t="shared" si="118"/>
        <v/>
      </c>
      <c r="BD62" s="94" t="str">
        <f t="shared" si="118"/>
        <v/>
      </c>
      <c r="BE62" s="94" t="str">
        <f t="shared" si="118"/>
        <v/>
      </c>
      <c r="BF62" s="100" t="str">
        <f t="shared" si="119"/>
        <v/>
      </c>
      <c r="BG62" s="101" t="str">
        <f t="shared" si="119"/>
        <v/>
      </c>
      <c r="BH62" s="102" t="str">
        <f t="shared" si="119"/>
        <v/>
      </c>
      <c r="BR62" s="43" t="str">
        <f t="shared" si="36"/>
        <v/>
      </c>
      <c r="BS62" s="43">
        <f t="shared" si="37"/>
        <v>600</v>
      </c>
      <c r="BT62" s="1187">
        <f t="shared" si="38"/>
        <v>689.0646804270358</v>
      </c>
      <c r="BV62" s="43" t="str">
        <f t="shared" si="39"/>
        <v/>
      </c>
      <c r="BW62" s="43">
        <f t="shared" si="40"/>
        <v>600</v>
      </c>
      <c r="BX62" s="1187">
        <f t="shared" si="41"/>
        <v>689.0646804270358</v>
      </c>
      <c r="CA62" s="513">
        <v>40</v>
      </c>
      <c r="CB62" s="417">
        <v>176</v>
      </c>
      <c r="CC62" s="417">
        <v>50.1</v>
      </c>
    </row>
    <row r="63" spans="20:81">
      <c r="T63" s="2229" t="s">
        <v>406</v>
      </c>
      <c r="U63" s="131">
        <v>4</v>
      </c>
      <c r="V63" s="120" t="str">
        <f t="shared" ref="V63:V68" si="120">IF(AND($W$7=$X$4,V$42=$Z$4,V$43=$AA$4),V34,"")</f>
        <v/>
      </c>
      <c r="W63" s="121" t="str">
        <f t="shared" ref="W63:W68" si="121">IF(AND($W$7=$X$4,V$42=$Z$4,V$43=$AA$4),W34,"")</f>
        <v/>
      </c>
      <c r="X63" s="121" t="str">
        <f t="shared" ref="X63:X68" si="122">IF(AND($W$7=$X$4,V$42=$Z$4,X$43=$AA$4),X34,"")</f>
        <v/>
      </c>
      <c r="Y63" s="121" t="str">
        <f t="shared" ref="Y63:Y68" si="123">IF(AND($W$7=$X$4,V$42=$Z$4,X$43=$AA$4),Y34,"")</f>
        <v/>
      </c>
      <c r="Z63" s="121" t="str">
        <f t="shared" ref="Z63:Z68" si="124">IF(AND($W$7=$X$4,V$42=$Z$4,Z$43=$AA$4),Z34,"")</f>
        <v/>
      </c>
      <c r="AA63" s="121" t="str">
        <f t="shared" ref="AA63:AA68" si="125">IF(AND($W$7=$X$4,V$42=$Z$4,Z$43=$AA$4),AA34,"")</f>
        <v/>
      </c>
      <c r="AB63" s="120" t="str">
        <f t="shared" ref="AB63:AB68" si="126">IF(AND($W$7=$X$4,AB$42=$Z$4,AB$43=$AA$4),AB34,"")</f>
        <v/>
      </c>
      <c r="AC63" s="121" t="str">
        <f t="shared" ref="AC63:AC68" si="127">IF(AND($W$7=$X$4,AB$42=$Z$4,AB$43=$AA$4),AC34,"")</f>
        <v/>
      </c>
      <c r="AD63" s="121" t="str">
        <f t="shared" ref="AD63:AD68" si="128">IF(AND($W$7=$X$4,AB$42=$Z$4,AD$43=$AA$4),AD34,"")</f>
        <v/>
      </c>
      <c r="AE63" s="121" t="str">
        <f t="shared" ref="AE63:AE68" si="129">IF(AND($W$7=$X$4,AB$42=$Z$4,AD$43=$AA$4),AE34,"")</f>
        <v/>
      </c>
      <c r="AF63" s="121" t="str">
        <f t="shared" ref="AF63:AF68" si="130">IF(AND($W$7=$X$4,AB$42=$Z$4,AF$43=$AA$4),AF34,"")</f>
        <v/>
      </c>
      <c r="AG63" s="122" t="str">
        <f t="shared" ref="AG63:AG68" si="131">IF(AND($W$7=$X$4,AB$42=$Z$4,AF$43=$AA$4),AG34,"")</f>
        <v/>
      </c>
      <c r="AH63" s="120" t="str">
        <f t="shared" ref="AH63:AH68" si="132">IF(AND($W$7=$X$4,AH$42=$Z$4,AH$43=$AA$4),AH34,"")</f>
        <v/>
      </c>
      <c r="AI63" s="121" t="str">
        <f t="shared" ref="AI63:AI68" si="133">IF(AND($W$7=$X$4,AH$42=$Z$4,AH$43=$AA$4),AI34,"")</f>
        <v/>
      </c>
      <c r="AJ63" s="121" t="str">
        <f t="shared" ref="AJ63:AJ68" si="134">IF(AND($W$7=$X$4,AH$42=$Z$4,AJ$43=$AA$4),AJ34,"")</f>
        <v/>
      </c>
      <c r="AK63" s="121" t="str">
        <f t="shared" ref="AK63:AK68" si="135">IF(AND($W$7=$X$4,AH$42=$Z$4,AJ$43=$AA$4),AK34,"")</f>
        <v/>
      </c>
      <c r="AL63" s="121" t="str">
        <f t="shared" ref="AL63:AL68" si="136">IF(AND($W$7=$X$4,AH$42=$Z$4,AL$43=$AA$4),AL34,"")</f>
        <v/>
      </c>
      <c r="AM63" s="122" t="str">
        <f t="shared" ref="AM63:AM68" si="137">IF(AND($W$7=$X$4,AH$42=$Z$4,AL$43=$AA$4),AM34,"")</f>
        <v/>
      </c>
      <c r="AN63" s="120" t="str">
        <f t="shared" ref="AN63:AP68" si="138">IF(AND($W$7=$X$4,$AN$42=$Z$4,AN$44=$AA$4,$AN$41=$AD$4),AN34,"")</f>
        <v/>
      </c>
      <c r="AO63" s="121" t="str">
        <f t="shared" si="138"/>
        <v/>
      </c>
      <c r="AP63" s="121" t="str">
        <f t="shared" si="138"/>
        <v/>
      </c>
      <c r="AQ63" s="120" t="str">
        <f t="shared" ref="AQ63:AS68" si="139">IF(AND($W$7=$X$4,$AQ$42=$Z$4,AQ$44=$AA$4,$AN$41=$AD$4),AQ34,"")</f>
        <v/>
      </c>
      <c r="AR63" s="121" t="str">
        <f t="shared" si="139"/>
        <v/>
      </c>
      <c r="AS63" s="123" t="str">
        <f t="shared" si="139"/>
        <v/>
      </c>
      <c r="AT63" s="120" t="str">
        <f t="shared" ref="AT63:AV68" si="140">IF(AND($W$7=$X$4,$AT$42=$Z$4,AT$44=$AA$4,$AN$41=$AD$4),AT34,"")</f>
        <v/>
      </c>
      <c r="AU63" s="121" t="str">
        <f t="shared" si="140"/>
        <v/>
      </c>
      <c r="AV63" s="121" t="str">
        <f t="shared" si="140"/>
        <v/>
      </c>
      <c r="AW63" s="120" t="str">
        <f t="shared" ref="AW63:AY68" si="141">IF(AND($W$7=$X$4,$AW$42=$Z$4,AW$44=$AA$4,$AW$41=$AD$4),AW34,"")</f>
        <v/>
      </c>
      <c r="AX63" s="121" t="str">
        <f t="shared" si="141"/>
        <v/>
      </c>
      <c r="AY63" s="121" t="str">
        <f t="shared" si="141"/>
        <v/>
      </c>
      <c r="AZ63" s="120" t="str">
        <f t="shared" ref="AZ63:BB68" si="142">IF(AND($W$7=$X$4,$AZ$42=$Z$4,AZ$44=$AA$4,$AW$41=$AD$4),AZ34,"")</f>
        <v/>
      </c>
      <c r="BA63" s="121" t="str">
        <f t="shared" si="142"/>
        <v/>
      </c>
      <c r="BB63" s="123" t="str">
        <f t="shared" si="142"/>
        <v/>
      </c>
      <c r="BC63" s="120" t="str">
        <f t="shared" ref="BC63:BE68" si="143">IF(AND($W$7=$X$4,$BC$42=$Z$4,BC$44=$AA$4,$AW$41=$AD$4),BC34,"")</f>
        <v/>
      </c>
      <c r="BD63" s="121" t="str">
        <f t="shared" si="143"/>
        <v/>
      </c>
      <c r="BE63" s="121" t="str">
        <f t="shared" si="143"/>
        <v/>
      </c>
      <c r="BF63" s="125" t="str">
        <f t="shared" ref="BF63:BH68" si="144">IF($C$11=$W$7,BF34,"")</f>
        <v/>
      </c>
      <c r="BG63" s="126" t="str">
        <f t="shared" si="144"/>
        <v/>
      </c>
      <c r="BH63" s="127" t="str">
        <f t="shared" si="144"/>
        <v/>
      </c>
      <c r="BR63" s="43" t="str">
        <f t="shared" si="36"/>
        <v/>
      </c>
      <c r="BS63" s="43">
        <f t="shared" si="37"/>
        <v>650</v>
      </c>
      <c r="BT63" s="1187">
        <f t="shared" si="38"/>
        <v>804.24771931898681</v>
      </c>
      <c r="BV63" s="43" t="str">
        <f t="shared" si="39"/>
        <v/>
      </c>
      <c r="BW63" s="43">
        <f t="shared" si="40"/>
        <v>650</v>
      </c>
      <c r="BX63" s="1187">
        <f t="shared" si="41"/>
        <v>804.24771931898681</v>
      </c>
      <c r="CA63" s="513">
        <v>50</v>
      </c>
      <c r="CB63" s="417">
        <v>598</v>
      </c>
      <c r="CC63" s="417">
        <v>170.1</v>
      </c>
    </row>
    <row r="64" spans="20:81">
      <c r="T64" s="2230"/>
      <c r="U64" s="128">
        <v>6</v>
      </c>
      <c r="V64" s="79" t="str">
        <f t="shared" si="120"/>
        <v/>
      </c>
      <c r="W64" s="80" t="str">
        <f t="shared" si="121"/>
        <v/>
      </c>
      <c r="X64" s="80" t="str">
        <f t="shared" si="122"/>
        <v/>
      </c>
      <c r="Y64" s="80" t="str">
        <f t="shared" si="123"/>
        <v/>
      </c>
      <c r="Z64" s="80" t="str">
        <f t="shared" si="124"/>
        <v/>
      </c>
      <c r="AA64" s="80" t="str">
        <f t="shared" si="125"/>
        <v/>
      </c>
      <c r="AB64" s="79" t="str">
        <f t="shared" si="126"/>
        <v/>
      </c>
      <c r="AC64" s="80" t="str">
        <f t="shared" si="127"/>
        <v/>
      </c>
      <c r="AD64" s="80" t="str">
        <f t="shared" si="128"/>
        <v/>
      </c>
      <c r="AE64" s="80" t="str">
        <f t="shared" si="129"/>
        <v/>
      </c>
      <c r="AF64" s="80" t="str">
        <f t="shared" si="130"/>
        <v/>
      </c>
      <c r="AG64" s="104" t="str">
        <f t="shared" si="131"/>
        <v/>
      </c>
      <c r="AH64" s="79" t="str">
        <f t="shared" si="132"/>
        <v/>
      </c>
      <c r="AI64" s="80" t="str">
        <f t="shared" si="133"/>
        <v/>
      </c>
      <c r="AJ64" s="80" t="str">
        <f t="shared" si="134"/>
        <v/>
      </c>
      <c r="AK64" s="80" t="str">
        <f t="shared" si="135"/>
        <v/>
      </c>
      <c r="AL64" s="80" t="str">
        <f t="shared" si="136"/>
        <v/>
      </c>
      <c r="AM64" s="104" t="str">
        <f t="shared" si="137"/>
        <v/>
      </c>
      <c r="AN64" s="79" t="str">
        <f t="shared" si="138"/>
        <v/>
      </c>
      <c r="AO64" s="80" t="str">
        <f t="shared" si="138"/>
        <v/>
      </c>
      <c r="AP64" s="80" t="str">
        <f t="shared" si="138"/>
        <v/>
      </c>
      <c r="AQ64" s="79" t="str">
        <f t="shared" si="139"/>
        <v/>
      </c>
      <c r="AR64" s="80" t="str">
        <f t="shared" si="139"/>
        <v/>
      </c>
      <c r="AS64" s="81" t="str">
        <f t="shared" si="139"/>
        <v/>
      </c>
      <c r="AT64" s="79" t="str">
        <f t="shared" si="140"/>
        <v/>
      </c>
      <c r="AU64" s="80" t="str">
        <f t="shared" si="140"/>
        <v/>
      </c>
      <c r="AV64" s="80" t="str">
        <f t="shared" si="140"/>
        <v/>
      </c>
      <c r="AW64" s="79" t="str">
        <f t="shared" si="141"/>
        <v/>
      </c>
      <c r="AX64" s="80" t="str">
        <f t="shared" si="141"/>
        <v/>
      </c>
      <c r="AY64" s="80" t="str">
        <f t="shared" si="141"/>
        <v/>
      </c>
      <c r="AZ64" s="79" t="str">
        <f t="shared" si="142"/>
        <v/>
      </c>
      <c r="BA64" s="80" t="str">
        <f t="shared" si="142"/>
        <v/>
      </c>
      <c r="BB64" s="81" t="str">
        <f t="shared" si="142"/>
        <v/>
      </c>
      <c r="BC64" s="79" t="str">
        <f t="shared" si="143"/>
        <v/>
      </c>
      <c r="BD64" s="80" t="str">
        <f t="shared" si="143"/>
        <v/>
      </c>
      <c r="BE64" s="80" t="str">
        <f t="shared" si="143"/>
        <v/>
      </c>
      <c r="BF64" s="89" t="str">
        <f t="shared" si="144"/>
        <v/>
      </c>
      <c r="BG64" s="90" t="str">
        <f t="shared" si="144"/>
        <v/>
      </c>
      <c r="BH64" s="91" t="str">
        <f t="shared" si="144"/>
        <v/>
      </c>
      <c r="BR64" s="43" t="str">
        <f t="shared" si="36"/>
        <v/>
      </c>
      <c r="BS64" s="43">
        <f t="shared" si="37"/>
        <v>700</v>
      </c>
      <c r="BT64" s="1187">
        <f t="shared" si="38"/>
        <v>937.53175114294197</v>
      </c>
      <c r="BV64" s="43" t="str">
        <f t="shared" si="39"/>
        <v/>
      </c>
      <c r="BW64" s="43">
        <f t="shared" si="40"/>
        <v>700</v>
      </c>
      <c r="BX64" s="1187">
        <f t="shared" si="41"/>
        <v>937.53175114294197</v>
      </c>
      <c r="CA64" s="513">
        <v>65</v>
      </c>
      <c r="CB64" s="417">
        <v>800</v>
      </c>
      <c r="CC64" s="417">
        <v>227.5</v>
      </c>
    </row>
    <row r="65" spans="20:81">
      <c r="T65" s="2230"/>
      <c r="U65" s="128">
        <v>8</v>
      </c>
      <c r="V65" s="79" t="str">
        <f t="shared" si="120"/>
        <v/>
      </c>
      <c r="W65" s="80" t="str">
        <f t="shared" si="121"/>
        <v/>
      </c>
      <c r="X65" s="80" t="str">
        <f t="shared" si="122"/>
        <v/>
      </c>
      <c r="Y65" s="80" t="str">
        <f t="shared" si="123"/>
        <v/>
      </c>
      <c r="Z65" s="80" t="str">
        <f t="shared" si="124"/>
        <v/>
      </c>
      <c r="AA65" s="80" t="str">
        <f t="shared" si="125"/>
        <v/>
      </c>
      <c r="AB65" s="79" t="str">
        <f t="shared" si="126"/>
        <v/>
      </c>
      <c r="AC65" s="80" t="str">
        <f t="shared" si="127"/>
        <v/>
      </c>
      <c r="AD65" s="80" t="str">
        <f t="shared" si="128"/>
        <v/>
      </c>
      <c r="AE65" s="80" t="str">
        <f t="shared" si="129"/>
        <v/>
      </c>
      <c r="AF65" s="80" t="str">
        <f t="shared" si="130"/>
        <v/>
      </c>
      <c r="AG65" s="104" t="str">
        <f t="shared" si="131"/>
        <v/>
      </c>
      <c r="AH65" s="79" t="str">
        <f t="shared" si="132"/>
        <v/>
      </c>
      <c r="AI65" s="80" t="str">
        <f t="shared" si="133"/>
        <v/>
      </c>
      <c r="AJ65" s="80" t="str">
        <f t="shared" si="134"/>
        <v/>
      </c>
      <c r="AK65" s="80" t="str">
        <f t="shared" si="135"/>
        <v/>
      </c>
      <c r="AL65" s="80" t="str">
        <f t="shared" si="136"/>
        <v/>
      </c>
      <c r="AM65" s="104" t="str">
        <f t="shared" si="137"/>
        <v/>
      </c>
      <c r="AN65" s="79" t="str">
        <f t="shared" si="138"/>
        <v/>
      </c>
      <c r="AO65" s="80" t="str">
        <f t="shared" si="138"/>
        <v/>
      </c>
      <c r="AP65" s="80" t="str">
        <f t="shared" si="138"/>
        <v/>
      </c>
      <c r="AQ65" s="79" t="str">
        <f t="shared" si="139"/>
        <v/>
      </c>
      <c r="AR65" s="80" t="str">
        <f t="shared" si="139"/>
        <v/>
      </c>
      <c r="AS65" s="81" t="str">
        <f t="shared" si="139"/>
        <v/>
      </c>
      <c r="AT65" s="79" t="str">
        <f t="shared" si="140"/>
        <v/>
      </c>
      <c r="AU65" s="80" t="str">
        <f t="shared" si="140"/>
        <v/>
      </c>
      <c r="AV65" s="80" t="str">
        <f t="shared" si="140"/>
        <v/>
      </c>
      <c r="AW65" s="79" t="str">
        <f t="shared" si="141"/>
        <v/>
      </c>
      <c r="AX65" s="80" t="str">
        <f t="shared" si="141"/>
        <v/>
      </c>
      <c r="AY65" s="80" t="str">
        <f t="shared" si="141"/>
        <v/>
      </c>
      <c r="AZ65" s="79" t="str">
        <f t="shared" si="142"/>
        <v/>
      </c>
      <c r="BA65" s="80" t="str">
        <f t="shared" si="142"/>
        <v/>
      </c>
      <c r="BB65" s="81" t="str">
        <f t="shared" si="142"/>
        <v/>
      </c>
      <c r="BC65" s="79" t="str">
        <f t="shared" si="143"/>
        <v/>
      </c>
      <c r="BD65" s="80" t="str">
        <f t="shared" si="143"/>
        <v/>
      </c>
      <c r="BE65" s="80" t="str">
        <f t="shared" si="143"/>
        <v/>
      </c>
      <c r="BF65" s="89" t="str">
        <f t="shared" si="144"/>
        <v/>
      </c>
      <c r="BG65" s="90" t="str">
        <f t="shared" si="144"/>
        <v/>
      </c>
      <c r="BH65" s="91" t="str">
        <f t="shared" si="144"/>
        <v/>
      </c>
      <c r="BR65" s="43" t="str">
        <f t="shared" si="36"/>
        <v/>
      </c>
      <c r="BS65" s="43">
        <f t="shared" si="37"/>
        <v>750</v>
      </c>
      <c r="BT65" s="1187">
        <f t="shared" si="38"/>
        <v>1081.0298860818812</v>
      </c>
      <c r="BV65" s="43" t="str">
        <f t="shared" si="39"/>
        <v/>
      </c>
      <c r="BW65" s="43">
        <f t="shared" si="40"/>
        <v>750</v>
      </c>
      <c r="BX65" s="1187">
        <f t="shared" si="41"/>
        <v>1081.0298860818812</v>
      </c>
      <c r="CA65" s="513">
        <v>80</v>
      </c>
      <c r="CB65" s="417">
        <v>1055</v>
      </c>
      <c r="CC65" s="417">
        <v>300.10000000000002</v>
      </c>
    </row>
    <row r="66" spans="20:81">
      <c r="T66" s="2230"/>
      <c r="U66" s="128">
        <v>10</v>
      </c>
      <c r="V66" s="79" t="str">
        <f t="shared" si="120"/>
        <v/>
      </c>
      <c r="W66" s="80" t="str">
        <f t="shared" si="121"/>
        <v/>
      </c>
      <c r="X66" s="80" t="str">
        <f t="shared" si="122"/>
        <v/>
      </c>
      <c r="Y66" s="80" t="str">
        <f t="shared" si="123"/>
        <v/>
      </c>
      <c r="Z66" s="80" t="str">
        <f t="shared" si="124"/>
        <v/>
      </c>
      <c r="AA66" s="80" t="str">
        <f t="shared" si="125"/>
        <v/>
      </c>
      <c r="AB66" s="79" t="str">
        <f t="shared" si="126"/>
        <v/>
      </c>
      <c r="AC66" s="80" t="str">
        <f t="shared" si="127"/>
        <v/>
      </c>
      <c r="AD66" s="80" t="str">
        <f t="shared" si="128"/>
        <v/>
      </c>
      <c r="AE66" s="80" t="str">
        <f t="shared" si="129"/>
        <v/>
      </c>
      <c r="AF66" s="80" t="str">
        <f t="shared" si="130"/>
        <v/>
      </c>
      <c r="AG66" s="104" t="str">
        <f t="shared" si="131"/>
        <v/>
      </c>
      <c r="AH66" s="79" t="str">
        <f t="shared" si="132"/>
        <v/>
      </c>
      <c r="AI66" s="80" t="str">
        <f t="shared" si="133"/>
        <v/>
      </c>
      <c r="AJ66" s="80" t="str">
        <f t="shared" si="134"/>
        <v/>
      </c>
      <c r="AK66" s="80" t="str">
        <f t="shared" si="135"/>
        <v/>
      </c>
      <c r="AL66" s="80" t="str">
        <f t="shared" si="136"/>
        <v/>
      </c>
      <c r="AM66" s="104" t="str">
        <f t="shared" si="137"/>
        <v/>
      </c>
      <c r="AN66" s="79" t="str">
        <f t="shared" si="138"/>
        <v/>
      </c>
      <c r="AO66" s="80" t="str">
        <f t="shared" si="138"/>
        <v/>
      </c>
      <c r="AP66" s="80" t="str">
        <f t="shared" si="138"/>
        <v/>
      </c>
      <c r="AQ66" s="79" t="str">
        <f t="shared" si="139"/>
        <v/>
      </c>
      <c r="AR66" s="80" t="str">
        <f t="shared" si="139"/>
        <v/>
      </c>
      <c r="AS66" s="81" t="str">
        <f t="shared" si="139"/>
        <v/>
      </c>
      <c r="AT66" s="79" t="str">
        <f t="shared" si="140"/>
        <v/>
      </c>
      <c r="AU66" s="80" t="str">
        <f t="shared" si="140"/>
        <v/>
      </c>
      <c r="AV66" s="80" t="str">
        <f t="shared" si="140"/>
        <v/>
      </c>
      <c r="AW66" s="79" t="str">
        <f t="shared" si="141"/>
        <v/>
      </c>
      <c r="AX66" s="80" t="str">
        <f t="shared" si="141"/>
        <v/>
      </c>
      <c r="AY66" s="80" t="str">
        <f t="shared" si="141"/>
        <v/>
      </c>
      <c r="AZ66" s="79" t="str">
        <f t="shared" si="142"/>
        <v/>
      </c>
      <c r="BA66" s="80" t="str">
        <f t="shared" si="142"/>
        <v/>
      </c>
      <c r="BB66" s="81" t="str">
        <f t="shared" si="142"/>
        <v/>
      </c>
      <c r="BC66" s="79" t="str">
        <f t="shared" si="143"/>
        <v/>
      </c>
      <c r="BD66" s="80" t="str">
        <f t="shared" si="143"/>
        <v/>
      </c>
      <c r="BE66" s="80" t="str">
        <f t="shared" si="143"/>
        <v/>
      </c>
      <c r="BF66" s="89" t="str">
        <f t="shared" si="144"/>
        <v/>
      </c>
      <c r="BG66" s="90" t="str">
        <f t="shared" si="144"/>
        <v/>
      </c>
      <c r="BH66" s="91" t="str">
        <f t="shared" si="144"/>
        <v/>
      </c>
      <c r="BR66" s="43" t="str">
        <f t="shared" si="36"/>
        <v/>
      </c>
      <c r="BS66" s="43">
        <f t="shared" si="37"/>
        <v>800</v>
      </c>
      <c r="BT66" s="1187">
        <f t="shared" si="38"/>
        <v>1234.7421241358045</v>
      </c>
      <c r="BV66" s="43" t="str">
        <f t="shared" si="39"/>
        <v/>
      </c>
      <c r="BW66" s="43">
        <f t="shared" si="40"/>
        <v>800</v>
      </c>
      <c r="BX66" s="1187">
        <f t="shared" si="41"/>
        <v>1234.7421241358045</v>
      </c>
      <c r="CA66" s="513">
        <v>100</v>
      </c>
      <c r="CB66" s="417">
        <v>1512</v>
      </c>
      <c r="CC66" s="417">
        <v>430</v>
      </c>
    </row>
    <row r="67" spans="20:81">
      <c r="T67" s="2230"/>
      <c r="U67" s="128">
        <v>12</v>
      </c>
      <c r="V67" s="79" t="str">
        <f t="shared" si="120"/>
        <v/>
      </c>
      <c r="W67" s="80" t="str">
        <f t="shared" si="121"/>
        <v/>
      </c>
      <c r="X67" s="80" t="str">
        <f t="shared" si="122"/>
        <v/>
      </c>
      <c r="Y67" s="80" t="str">
        <f t="shared" si="123"/>
        <v/>
      </c>
      <c r="Z67" s="80" t="str">
        <f t="shared" si="124"/>
        <v/>
      </c>
      <c r="AA67" s="80" t="str">
        <f t="shared" si="125"/>
        <v/>
      </c>
      <c r="AB67" s="79" t="str">
        <f t="shared" si="126"/>
        <v/>
      </c>
      <c r="AC67" s="80" t="str">
        <f t="shared" si="127"/>
        <v/>
      </c>
      <c r="AD67" s="80" t="str">
        <f t="shared" si="128"/>
        <v/>
      </c>
      <c r="AE67" s="80" t="str">
        <f t="shared" si="129"/>
        <v/>
      </c>
      <c r="AF67" s="80" t="str">
        <f t="shared" si="130"/>
        <v/>
      </c>
      <c r="AG67" s="104" t="str">
        <f t="shared" si="131"/>
        <v/>
      </c>
      <c r="AH67" s="79" t="str">
        <f t="shared" si="132"/>
        <v/>
      </c>
      <c r="AI67" s="80" t="str">
        <f t="shared" si="133"/>
        <v/>
      </c>
      <c r="AJ67" s="80" t="str">
        <f t="shared" si="134"/>
        <v/>
      </c>
      <c r="AK67" s="80" t="str">
        <f t="shared" si="135"/>
        <v/>
      </c>
      <c r="AL67" s="80" t="str">
        <f t="shared" si="136"/>
        <v/>
      </c>
      <c r="AM67" s="104" t="str">
        <f t="shared" si="137"/>
        <v/>
      </c>
      <c r="AN67" s="79" t="str">
        <f t="shared" si="138"/>
        <v/>
      </c>
      <c r="AO67" s="80" t="str">
        <f t="shared" si="138"/>
        <v/>
      </c>
      <c r="AP67" s="80" t="str">
        <f t="shared" si="138"/>
        <v/>
      </c>
      <c r="AQ67" s="79" t="str">
        <f t="shared" si="139"/>
        <v/>
      </c>
      <c r="AR67" s="80" t="str">
        <f t="shared" si="139"/>
        <v/>
      </c>
      <c r="AS67" s="81" t="str">
        <f t="shared" si="139"/>
        <v/>
      </c>
      <c r="AT67" s="79" t="str">
        <f t="shared" si="140"/>
        <v/>
      </c>
      <c r="AU67" s="80" t="str">
        <f t="shared" si="140"/>
        <v/>
      </c>
      <c r="AV67" s="80" t="str">
        <f t="shared" si="140"/>
        <v/>
      </c>
      <c r="AW67" s="79" t="str">
        <f t="shared" si="141"/>
        <v/>
      </c>
      <c r="AX67" s="80" t="str">
        <f t="shared" si="141"/>
        <v/>
      </c>
      <c r="AY67" s="80" t="str">
        <f t="shared" si="141"/>
        <v/>
      </c>
      <c r="AZ67" s="79" t="str">
        <f t="shared" si="142"/>
        <v/>
      </c>
      <c r="BA67" s="80" t="str">
        <f t="shared" si="142"/>
        <v/>
      </c>
      <c r="BB67" s="81" t="str">
        <f t="shared" si="142"/>
        <v/>
      </c>
      <c r="BC67" s="79" t="str">
        <f t="shared" si="143"/>
        <v/>
      </c>
      <c r="BD67" s="80" t="str">
        <f t="shared" si="143"/>
        <v/>
      </c>
      <c r="BE67" s="80" t="str">
        <f t="shared" si="143"/>
        <v/>
      </c>
      <c r="BF67" s="89" t="str">
        <f t="shared" si="144"/>
        <v/>
      </c>
      <c r="BG67" s="90" t="str">
        <f t="shared" si="144"/>
        <v/>
      </c>
      <c r="BH67" s="91" t="str">
        <f t="shared" si="144"/>
        <v/>
      </c>
      <c r="BR67" s="43" t="str">
        <f t="shared" si="36"/>
        <v/>
      </c>
      <c r="BS67" s="43">
        <f t="shared" si="37"/>
        <v>850</v>
      </c>
      <c r="BT67" s="1187">
        <f t="shared" si="38"/>
        <v>1392.0475587872704</v>
      </c>
      <c r="BV67" s="43" t="str">
        <f t="shared" si="39"/>
        <v/>
      </c>
      <c r="BW67" s="43">
        <f t="shared" si="40"/>
        <v>850</v>
      </c>
      <c r="BX67" s="1187">
        <f t="shared" si="41"/>
        <v>1392.0475587872704</v>
      </c>
      <c r="CA67" s="513">
        <v>125</v>
      </c>
      <c r="CB67" s="417">
        <v>2462</v>
      </c>
      <c r="CC67" s="417">
        <v>700.2</v>
      </c>
    </row>
    <row r="68" spans="20:81">
      <c r="T68" s="2231"/>
      <c r="U68" s="130">
        <v>14</v>
      </c>
      <c r="V68" s="93" t="str">
        <f t="shared" si="120"/>
        <v/>
      </c>
      <c r="W68" s="94" t="str">
        <f t="shared" si="121"/>
        <v/>
      </c>
      <c r="X68" s="94" t="str">
        <f t="shared" si="122"/>
        <v/>
      </c>
      <c r="Y68" s="94" t="str">
        <f t="shared" si="123"/>
        <v/>
      </c>
      <c r="Z68" s="94" t="str">
        <f t="shared" si="124"/>
        <v/>
      </c>
      <c r="AA68" s="94" t="str">
        <f t="shared" si="125"/>
        <v/>
      </c>
      <c r="AB68" s="93" t="str">
        <f t="shared" si="126"/>
        <v/>
      </c>
      <c r="AC68" s="94" t="str">
        <f t="shared" si="127"/>
        <v/>
      </c>
      <c r="AD68" s="94" t="str">
        <f t="shared" si="128"/>
        <v/>
      </c>
      <c r="AE68" s="94" t="str">
        <f t="shared" si="129"/>
        <v/>
      </c>
      <c r="AF68" s="94" t="str">
        <f t="shared" si="130"/>
        <v/>
      </c>
      <c r="AG68" s="116" t="str">
        <f t="shared" si="131"/>
        <v/>
      </c>
      <c r="AH68" s="93" t="str">
        <f t="shared" si="132"/>
        <v/>
      </c>
      <c r="AI68" s="94" t="str">
        <f t="shared" si="133"/>
        <v/>
      </c>
      <c r="AJ68" s="94" t="str">
        <f t="shared" si="134"/>
        <v/>
      </c>
      <c r="AK68" s="94" t="str">
        <f t="shared" si="135"/>
        <v/>
      </c>
      <c r="AL68" s="94" t="str">
        <f t="shared" si="136"/>
        <v/>
      </c>
      <c r="AM68" s="116" t="str">
        <f t="shared" si="137"/>
        <v/>
      </c>
      <c r="AN68" s="93" t="str">
        <f t="shared" si="138"/>
        <v/>
      </c>
      <c r="AO68" s="94" t="str">
        <f t="shared" si="138"/>
        <v/>
      </c>
      <c r="AP68" s="94" t="str">
        <f t="shared" si="138"/>
        <v/>
      </c>
      <c r="AQ68" s="93" t="str">
        <f t="shared" si="139"/>
        <v/>
      </c>
      <c r="AR68" s="94" t="str">
        <f t="shared" si="139"/>
        <v/>
      </c>
      <c r="AS68" s="95" t="str">
        <f t="shared" si="139"/>
        <v/>
      </c>
      <c r="AT68" s="93" t="str">
        <f t="shared" si="140"/>
        <v/>
      </c>
      <c r="AU68" s="94" t="str">
        <f t="shared" si="140"/>
        <v/>
      </c>
      <c r="AV68" s="94" t="str">
        <f t="shared" si="140"/>
        <v/>
      </c>
      <c r="AW68" s="93" t="str">
        <f t="shared" si="141"/>
        <v/>
      </c>
      <c r="AX68" s="94" t="str">
        <f t="shared" si="141"/>
        <v/>
      </c>
      <c r="AY68" s="94" t="str">
        <f t="shared" si="141"/>
        <v/>
      </c>
      <c r="AZ68" s="93" t="str">
        <f t="shared" si="142"/>
        <v/>
      </c>
      <c r="BA68" s="94" t="str">
        <f t="shared" si="142"/>
        <v/>
      </c>
      <c r="BB68" s="95" t="str">
        <f t="shared" si="142"/>
        <v/>
      </c>
      <c r="BC68" s="93" t="str">
        <f t="shared" si="143"/>
        <v/>
      </c>
      <c r="BD68" s="94" t="str">
        <f t="shared" si="143"/>
        <v/>
      </c>
      <c r="BE68" s="94" t="str">
        <f t="shared" si="143"/>
        <v/>
      </c>
      <c r="BF68" s="100" t="str">
        <f t="shared" si="144"/>
        <v/>
      </c>
      <c r="BG68" s="101" t="str">
        <f t="shared" si="144"/>
        <v/>
      </c>
      <c r="BH68" s="102" t="str">
        <f t="shared" si="144"/>
        <v/>
      </c>
      <c r="BR68" s="43" t="str">
        <f t="shared" si="36"/>
        <v/>
      </c>
      <c r="BS68" s="43">
        <f t="shared" si="37"/>
        <v>900</v>
      </c>
      <c r="BT68" s="1187">
        <f t="shared" si="38"/>
        <v>1562.2826107036678</v>
      </c>
      <c r="BV68" s="43" t="str">
        <f t="shared" si="39"/>
        <v/>
      </c>
      <c r="BW68" s="43">
        <f t="shared" si="40"/>
        <v>900</v>
      </c>
      <c r="BX68" s="1187">
        <f t="shared" si="41"/>
        <v>1562.2826107036678</v>
      </c>
      <c r="CA68" s="513">
        <v>150</v>
      </c>
      <c r="CB68" s="417">
        <v>3500</v>
      </c>
      <c r="CC68" s="417">
        <v>995.4</v>
      </c>
    </row>
    <row r="69" spans="20:81">
      <c r="BR69" s="43" t="str">
        <f t="shared" si="36"/>
        <v/>
      </c>
      <c r="BS69" s="43">
        <f t="shared" si="37"/>
        <v>1000</v>
      </c>
      <c r="BT69" s="1187">
        <f t="shared" si="38"/>
        <v>1940.0041494264024</v>
      </c>
      <c r="BV69" s="43" t="str">
        <f t="shared" si="39"/>
        <v/>
      </c>
      <c r="BW69" s="43">
        <f t="shared" si="40"/>
        <v>1000</v>
      </c>
      <c r="BX69" s="1187">
        <f t="shared" si="41"/>
        <v>1940.0041494264024</v>
      </c>
    </row>
    <row r="70" spans="20:81">
      <c r="BR70" s="43" t="str">
        <f t="shared" si="36"/>
        <v/>
      </c>
      <c r="BS70" s="43">
        <f t="shared" si="37"/>
        <v>1200</v>
      </c>
      <c r="BT70" s="1187">
        <f t="shared" si="38"/>
        <v>2799.2297401832102</v>
      </c>
      <c r="BV70" s="43" t="str">
        <f t="shared" si="39"/>
        <v/>
      </c>
      <c r="BW70" s="43">
        <f t="shared" si="40"/>
        <v>1200</v>
      </c>
      <c r="BX70" s="1187">
        <f t="shared" si="41"/>
        <v>2799.2297401832102</v>
      </c>
    </row>
    <row r="71" spans="20:81">
      <c r="V71" s="132"/>
      <c r="W71" s="132"/>
      <c r="X71" s="132"/>
      <c r="BR71" s="43" t="str">
        <f t="shared" si="36"/>
        <v/>
      </c>
      <c r="BS71" s="43">
        <f t="shared" si="37"/>
        <v>1400</v>
      </c>
      <c r="BT71" s="1187">
        <f t="shared" si="38"/>
        <v>3831.9753106748253</v>
      </c>
      <c r="BV71" s="43" t="str">
        <f t="shared" si="39"/>
        <v/>
      </c>
      <c r="BW71" s="43">
        <f t="shared" si="40"/>
        <v>1400</v>
      </c>
      <c r="BX71" s="1187">
        <f t="shared" si="41"/>
        <v>3831.9753106748253</v>
      </c>
    </row>
    <row r="72" spans="20:81">
      <c r="V72" s="133">
        <f t="shared" ref="V72:W77" si="145">SUM(V45,V51,V57,V63,X45,X51,X57,X63,Z45,Z51,Z57,Z63)</f>
        <v>0</v>
      </c>
      <c r="W72" s="134">
        <f t="shared" si="145"/>
        <v>0</v>
      </c>
      <c r="X72" s="134"/>
      <c r="Y72" s="135"/>
      <c r="Z72" s="135"/>
      <c r="AA72" s="135"/>
      <c r="AB72" s="133">
        <f t="shared" ref="AB72:AC77" si="146">SUM(AB45,AB51,AB57,AB63,AD45,AD51,AD57,AD63,AF45,AF51,AF57,AF63)</f>
        <v>0</v>
      </c>
      <c r="AC72" s="134">
        <f t="shared" si="146"/>
        <v>0</v>
      </c>
      <c r="AD72" s="135"/>
      <c r="AE72" s="135"/>
      <c r="AF72" s="135"/>
      <c r="AG72" s="136"/>
      <c r="AH72" s="133">
        <f t="shared" ref="AH72:AI77" si="147">SUM(AH45,AH51,AH57,AH63,AJ45,AJ51,AJ57,AJ63,AL45,AL51,AL57,AL63)</f>
        <v>1700.4</v>
      </c>
      <c r="AI72" s="134">
        <f t="shared" si="147"/>
        <v>2312</v>
      </c>
      <c r="AJ72" s="135"/>
      <c r="AK72" s="135"/>
      <c r="AL72" s="135"/>
      <c r="AM72" s="135"/>
      <c r="AN72" s="137">
        <f t="shared" ref="AN72:AP77" si="148">SUM(AN45,AQ45,AT45,AN51,AQ51,AT51,AN57,AQ57,AT57,AN63,AQ63,AT63)</f>
        <v>0</v>
      </c>
      <c r="AO72" s="105">
        <f t="shared" si="148"/>
        <v>4629.4000000000005</v>
      </c>
      <c r="AP72" s="138">
        <f t="shared" si="148"/>
        <v>0</v>
      </c>
      <c r="AQ72" s="44"/>
      <c r="AR72" s="44"/>
      <c r="AS72" s="44"/>
      <c r="AT72" s="44"/>
      <c r="AU72" s="44"/>
      <c r="AV72" s="44"/>
      <c r="AW72" s="137">
        <f t="shared" ref="AW72:AW77" si="149">SUM(AW45,AZ45,BC45,AW51,AZ51,BC51,AW57,AZ57,BC57,AW63,AZ63,BC63)</f>
        <v>0</v>
      </c>
      <c r="AX72" s="105">
        <f t="shared" ref="AX72:AX77" si="150">SUM(AX45,BA45,BD45,AX51,BA51,BD51,AX57,BA57,BD57,AX63,BA63,BD63)</f>
        <v>0</v>
      </c>
      <c r="AY72" s="138">
        <f t="shared" ref="AY72:AY77" si="151">SUM(AY45,BB45,BE45,AY51,BB51,BE51,AY57,BB57,BE57,AY63,BB63,BE63)</f>
        <v>0</v>
      </c>
      <c r="AZ72" s="44"/>
      <c r="BA72" s="44"/>
      <c r="BB72" s="44"/>
      <c r="BC72" s="44"/>
      <c r="BD72" s="44"/>
      <c r="BE72" s="44"/>
      <c r="BF72" s="132">
        <f t="shared" ref="BF72:BH77" si="152">SUM(BF45,BF51,BF57,BF63)</f>
        <v>983</v>
      </c>
      <c r="BG72" s="132">
        <f t="shared" si="152"/>
        <v>543</v>
      </c>
      <c r="BH72" s="132">
        <f t="shared" si="152"/>
        <v>248</v>
      </c>
      <c r="BR72" s="43" t="str">
        <f t="shared" si="36"/>
        <v/>
      </c>
      <c r="BS72" s="43">
        <f t="shared" si="37"/>
        <v>1600</v>
      </c>
      <c r="BT72" s="1187">
        <f t="shared" si="38"/>
        <v>5032.8333945462546</v>
      </c>
      <c r="BV72" s="43" t="str">
        <f t="shared" si="39"/>
        <v/>
      </c>
      <c r="BW72" s="43">
        <f t="shared" si="40"/>
        <v>1600</v>
      </c>
      <c r="BX72" s="1187">
        <f t="shared" si="41"/>
        <v>5032.8333945462546</v>
      </c>
    </row>
    <row r="73" spans="20:81">
      <c r="V73" s="139">
        <f t="shared" si="145"/>
        <v>0</v>
      </c>
      <c r="W73" s="132">
        <f t="shared" si="145"/>
        <v>0</v>
      </c>
      <c r="X73" s="132"/>
      <c r="AA73" s="50"/>
      <c r="AB73" s="139">
        <f t="shared" si="146"/>
        <v>0</v>
      </c>
      <c r="AC73" s="132">
        <f t="shared" si="146"/>
        <v>0</v>
      </c>
      <c r="AD73" s="50"/>
      <c r="AE73" s="50"/>
      <c r="AF73" s="50"/>
      <c r="AG73" s="140"/>
      <c r="AH73" s="139">
        <f t="shared" si="147"/>
        <v>2610.3000000000002</v>
      </c>
      <c r="AI73" s="132">
        <f t="shared" si="147"/>
        <v>3592</v>
      </c>
      <c r="AJ73" s="50"/>
      <c r="AK73" s="50"/>
      <c r="AL73" s="50"/>
      <c r="AM73" s="50"/>
      <c r="AN73" s="141">
        <f t="shared" si="148"/>
        <v>0</v>
      </c>
      <c r="AO73" s="77">
        <f t="shared" si="148"/>
        <v>7386.5</v>
      </c>
      <c r="AP73" s="142">
        <f t="shared" si="148"/>
        <v>0</v>
      </c>
      <c r="AQ73" s="44"/>
      <c r="AR73" s="44"/>
      <c r="AS73" s="44"/>
      <c r="AT73" s="44"/>
      <c r="AU73" s="44"/>
      <c r="AV73" s="44"/>
      <c r="AW73" s="141">
        <f t="shared" si="149"/>
        <v>0</v>
      </c>
      <c r="AX73" s="77">
        <f t="shared" si="150"/>
        <v>0</v>
      </c>
      <c r="AY73" s="142">
        <f t="shared" si="151"/>
        <v>0</v>
      </c>
      <c r="AZ73" s="44"/>
      <c r="BA73" s="44"/>
      <c r="BB73" s="44"/>
      <c r="BC73" s="44"/>
      <c r="BD73" s="44"/>
      <c r="BE73" s="44"/>
      <c r="BF73" s="132">
        <f t="shared" si="152"/>
        <v>1153</v>
      </c>
      <c r="BG73" s="132">
        <f t="shared" si="152"/>
        <v>543</v>
      </c>
      <c r="BH73" s="132">
        <f t="shared" si="152"/>
        <v>248</v>
      </c>
      <c r="BR73" s="43" t="str">
        <f t="shared" si="36"/>
        <v/>
      </c>
      <c r="BS73" s="43">
        <f t="shared" si="37"/>
        <v>1800</v>
      </c>
      <c r="BT73" s="1187">
        <f t="shared" si="38"/>
        <v>6340.5370445662738</v>
      </c>
      <c r="BV73" s="43" t="str">
        <f t="shared" si="39"/>
        <v/>
      </c>
      <c r="BW73" s="43">
        <f t="shared" si="40"/>
        <v>1800</v>
      </c>
      <c r="BX73" s="1187">
        <f t="shared" si="41"/>
        <v>6340.5370445662738</v>
      </c>
    </row>
    <row r="74" spans="20:81">
      <c r="T74" s="2237"/>
      <c r="U74" s="61"/>
      <c r="V74" s="139">
        <f t="shared" si="145"/>
        <v>0</v>
      </c>
      <c r="W74" s="132">
        <f t="shared" si="145"/>
        <v>0</v>
      </c>
      <c r="X74" s="132"/>
      <c r="AA74" s="50"/>
      <c r="AB74" s="139">
        <f t="shared" si="146"/>
        <v>0</v>
      </c>
      <c r="AC74" s="132">
        <f t="shared" si="146"/>
        <v>0</v>
      </c>
      <c r="AD74" s="50"/>
      <c r="AE74" s="50"/>
      <c r="AF74" s="50"/>
      <c r="AG74" s="140"/>
      <c r="AH74" s="139">
        <f t="shared" si="147"/>
        <v>3862.2</v>
      </c>
      <c r="AI74" s="132">
        <f t="shared" si="147"/>
        <v>5073.5999999999995</v>
      </c>
      <c r="AJ74" s="50"/>
      <c r="AK74" s="50"/>
      <c r="AL74" s="50"/>
      <c r="AM74" s="50"/>
      <c r="AN74" s="141">
        <f t="shared" si="148"/>
        <v>0</v>
      </c>
      <c r="AO74" s="77">
        <f t="shared" si="148"/>
        <v>10710</v>
      </c>
      <c r="AP74" s="142">
        <f t="shared" si="148"/>
        <v>0</v>
      </c>
      <c r="AQ74" s="44"/>
      <c r="AR74" s="44"/>
      <c r="AS74" s="44"/>
      <c r="AT74" s="44"/>
      <c r="AU74" s="44"/>
      <c r="AV74" s="44"/>
      <c r="AW74" s="141">
        <f t="shared" si="149"/>
        <v>0</v>
      </c>
      <c r="AX74" s="77">
        <f t="shared" si="150"/>
        <v>0</v>
      </c>
      <c r="AY74" s="142">
        <f t="shared" si="151"/>
        <v>0</v>
      </c>
      <c r="AZ74" s="44"/>
      <c r="BA74" s="44"/>
      <c r="BB74" s="44"/>
      <c r="BC74" s="44"/>
      <c r="BD74" s="44"/>
      <c r="BE74" s="44"/>
      <c r="BF74" s="132">
        <f t="shared" si="152"/>
        <v>1433</v>
      </c>
      <c r="BG74" s="132">
        <f t="shared" si="152"/>
        <v>543</v>
      </c>
      <c r="BH74" s="132">
        <f t="shared" si="152"/>
        <v>248</v>
      </c>
      <c r="BR74" s="43" t="str">
        <f t="shared" si="36"/>
        <v/>
      </c>
      <c r="BS74" s="43">
        <f t="shared" si="37"/>
        <v>2000</v>
      </c>
      <c r="BT74" s="1187">
        <f t="shared" si="38"/>
        <v>7853.9816339744802</v>
      </c>
      <c r="BV74" s="43" t="str">
        <f t="shared" si="39"/>
        <v/>
      </c>
      <c r="BW74" s="43">
        <f t="shared" si="40"/>
        <v>2000</v>
      </c>
      <c r="BX74" s="1187">
        <f t="shared" si="41"/>
        <v>7853.9816339744802</v>
      </c>
    </row>
    <row r="75" spans="20:81">
      <c r="T75" s="2237"/>
      <c r="U75" s="61"/>
      <c r="V75" s="139">
        <f t="shared" si="145"/>
        <v>0</v>
      </c>
      <c r="W75" s="132">
        <f t="shared" si="145"/>
        <v>0</v>
      </c>
      <c r="X75" s="132"/>
      <c r="AA75" s="50"/>
      <c r="AB75" s="139">
        <f t="shared" si="146"/>
        <v>0</v>
      </c>
      <c r="AC75" s="132">
        <f t="shared" si="146"/>
        <v>0</v>
      </c>
      <c r="AD75" s="50"/>
      <c r="AE75" s="50"/>
      <c r="AF75" s="50"/>
      <c r="AG75" s="140"/>
      <c r="AH75" s="139">
        <f t="shared" si="147"/>
        <v>4762.8</v>
      </c>
      <c r="AI75" s="132">
        <f t="shared" si="147"/>
        <v>6375.5999999999995</v>
      </c>
      <c r="AJ75" s="50"/>
      <c r="AK75" s="50"/>
      <c r="AL75" s="50"/>
      <c r="AM75" s="50"/>
      <c r="AN75" s="141">
        <f t="shared" si="148"/>
        <v>0</v>
      </c>
      <c r="AO75" s="77">
        <f t="shared" si="148"/>
        <v>13421.099999999999</v>
      </c>
      <c r="AP75" s="142">
        <f t="shared" si="148"/>
        <v>0</v>
      </c>
      <c r="AQ75" s="44"/>
      <c r="AR75" s="44"/>
      <c r="AS75" s="44"/>
      <c r="AT75" s="44"/>
      <c r="AU75" s="44"/>
      <c r="AV75" s="44"/>
      <c r="AW75" s="141">
        <f t="shared" si="149"/>
        <v>0</v>
      </c>
      <c r="AX75" s="77">
        <f t="shared" si="150"/>
        <v>0</v>
      </c>
      <c r="AY75" s="142">
        <f t="shared" si="151"/>
        <v>0</v>
      </c>
      <c r="AZ75" s="44"/>
      <c r="BA75" s="44"/>
      <c r="BB75" s="44"/>
      <c r="BC75" s="44"/>
      <c r="BD75" s="44"/>
      <c r="BE75" s="44"/>
      <c r="BF75" s="132">
        <f t="shared" si="152"/>
        <v>1683</v>
      </c>
      <c r="BG75" s="132">
        <f t="shared" si="152"/>
        <v>543</v>
      </c>
      <c r="BH75" s="132">
        <f t="shared" si="152"/>
        <v>248</v>
      </c>
      <c r="BR75" s="43" t="str">
        <f t="shared" si="36"/>
        <v/>
      </c>
      <c r="BS75" s="43">
        <f t="shared" si="37"/>
        <v>2200</v>
      </c>
      <c r="BT75" s="1187">
        <f t="shared" si="38"/>
        <v>9529.2535879599127</v>
      </c>
      <c r="BV75" s="43" t="str">
        <f t="shared" si="39"/>
        <v/>
      </c>
      <c r="BW75" s="43">
        <f t="shared" si="40"/>
        <v>2200</v>
      </c>
      <c r="BX75" s="1187">
        <f t="shared" si="41"/>
        <v>9529.2535879599127</v>
      </c>
    </row>
    <row r="76" spans="20:81">
      <c r="T76" s="2237"/>
      <c r="U76" s="61"/>
      <c r="V76" s="139">
        <f t="shared" si="145"/>
        <v>0</v>
      </c>
      <c r="W76" s="132">
        <f t="shared" si="145"/>
        <v>0</v>
      </c>
      <c r="X76" s="132"/>
      <c r="AA76" s="50"/>
      <c r="AB76" s="139">
        <f t="shared" si="146"/>
        <v>0</v>
      </c>
      <c r="AC76" s="132">
        <f t="shared" si="146"/>
        <v>0</v>
      </c>
      <c r="AD76" s="50"/>
      <c r="AE76" s="50"/>
      <c r="AF76" s="50"/>
      <c r="AG76" s="140"/>
      <c r="AH76" s="139">
        <f t="shared" si="147"/>
        <v>6054.4</v>
      </c>
      <c r="AI76" s="132">
        <f t="shared" si="147"/>
        <v>7964</v>
      </c>
      <c r="AJ76" s="50"/>
      <c r="AK76" s="50"/>
      <c r="AL76" s="50"/>
      <c r="AM76" s="50"/>
      <c r="AN76" s="141">
        <f t="shared" si="148"/>
        <v>0</v>
      </c>
      <c r="AO76" s="77">
        <f t="shared" si="148"/>
        <v>16878.400000000001</v>
      </c>
      <c r="AP76" s="142">
        <f t="shared" si="148"/>
        <v>0</v>
      </c>
      <c r="AQ76" s="44"/>
      <c r="AR76" s="44"/>
      <c r="AS76" s="44"/>
      <c r="AT76" s="44"/>
      <c r="AU76" s="44"/>
      <c r="AV76" s="44"/>
      <c r="AW76" s="141">
        <f t="shared" si="149"/>
        <v>0</v>
      </c>
      <c r="AX76" s="77">
        <f t="shared" si="150"/>
        <v>0</v>
      </c>
      <c r="AY76" s="142">
        <f t="shared" si="151"/>
        <v>0</v>
      </c>
      <c r="AZ76" s="44"/>
      <c r="BA76" s="44"/>
      <c r="BB76" s="44"/>
      <c r="BC76" s="44"/>
      <c r="BD76" s="44"/>
      <c r="BE76" s="44"/>
      <c r="BF76" s="132">
        <f t="shared" si="152"/>
        <v>1853</v>
      </c>
      <c r="BG76" s="132">
        <f t="shared" si="152"/>
        <v>543</v>
      </c>
      <c r="BH76" s="132">
        <f t="shared" si="152"/>
        <v>248</v>
      </c>
      <c r="BT76" s="1187"/>
      <c r="BX76" s="1187"/>
    </row>
    <row r="77" spans="20:81">
      <c r="T77" s="2237"/>
      <c r="U77" s="61"/>
      <c r="V77" s="143">
        <f t="shared" si="145"/>
        <v>0</v>
      </c>
      <c r="W77" s="144">
        <f t="shared" si="145"/>
        <v>0</v>
      </c>
      <c r="X77" s="144"/>
      <c r="Y77" s="145"/>
      <c r="Z77" s="145"/>
      <c r="AA77" s="145"/>
      <c r="AB77" s="143">
        <f t="shared" si="146"/>
        <v>0</v>
      </c>
      <c r="AC77" s="144">
        <f t="shared" si="146"/>
        <v>0</v>
      </c>
      <c r="AD77" s="145"/>
      <c r="AE77" s="145"/>
      <c r="AF77" s="145"/>
      <c r="AG77" s="146"/>
      <c r="AH77" s="143">
        <f t="shared" si="147"/>
        <v>6502.5</v>
      </c>
      <c r="AI77" s="144">
        <f t="shared" si="147"/>
        <v>8578.2000000000007</v>
      </c>
      <c r="AJ77" s="145"/>
      <c r="AK77" s="145"/>
      <c r="AL77" s="145"/>
      <c r="AM77" s="145"/>
      <c r="AN77" s="147">
        <f t="shared" si="148"/>
        <v>0</v>
      </c>
      <c r="AO77" s="148">
        <f t="shared" si="148"/>
        <v>18939.900000000001</v>
      </c>
      <c r="AP77" s="149">
        <f t="shared" si="148"/>
        <v>0</v>
      </c>
      <c r="AQ77" s="44"/>
      <c r="AR77" s="44"/>
      <c r="AS77" s="44"/>
      <c r="AT77" s="44"/>
      <c r="AU77" s="44"/>
      <c r="AV77" s="44"/>
      <c r="AW77" s="147">
        <f t="shared" si="149"/>
        <v>0</v>
      </c>
      <c r="AX77" s="148">
        <f t="shared" si="150"/>
        <v>0</v>
      </c>
      <c r="AY77" s="149">
        <f t="shared" si="151"/>
        <v>0</v>
      </c>
      <c r="AZ77" s="44"/>
      <c r="BA77" s="44"/>
      <c r="BB77" s="44"/>
      <c r="BC77" s="44"/>
      <c r="BD77" s="44"/>
      <c r="BE77" s="44"/>
      <c r="BF77" s="132">
        <f t="shared" si="152"/>
        <v>1983</v>
      </c>
      <c r="BG77" s="132">
        <f t="shared" si="152"/>
        <v>543</v>
      </c>
      <c r="BH77" s="132">
        <f t="shared" si="152"/>
        <v>248</v>
      </c>
      <c r="BR77" s="43" t="e">
        <f>VLOOKUP(MIN(BR43:BR75),BR43:BS75,2)</f>
        <v>#N/A</v>
      </c>
      <c r="BT77" s="1187"/>
      <c r="BV77" s="43" t="e">
        <f>VLOOKUP(MIN(BV43:BV75),BV43:BW75,2)</f>
        <v>#N/A</v>
      </c>
      <c r="BX77" s="1187"/>
    </row>
    <row r="78" spans="20:81">
      <c r="T78" s="2237"/>
      <c r="U78" s="61"/>
      <c r="V78" s="150"/>
      <c r="W78" s="150"/>
      <c r="AJ78" s="44"/>
      <c r="AK78" s="44"/>
      <c r="AL78" s="44"/>
      <c r="AM78" s="44"/>
      <c r="AN78" s="44"/>
      <c r="AO78" s="44"/>
      <c r="AP78" s="44"/>
      <c r="AQ78" s="44"/>
      <c r="AR78" s="44"/>
      <c r="AS78" s="44"/>
      <c r="AT78" s="44"/>
      <c r="AU78" s="44"/>
      <c r="AV78" s="44"/>
      <c r="AW78" s="44"/>
      <c r="AX78" s="44"/>
      <c r="AY78" s="44"/>
      <c r="AZ78" s="44"/>
      <c r="BA78" s="44"/>
      <c r="BB78" s="44"/>
      <c r="BC78" s="44"/>
      <c r="BD78" s="44"/>
      <c r="BE78" s="44"/>
      <c r="BF78" s="44"/>
      <c r="BG78" s="44"/>
      <c r="BH78" s="44"/>
    </row>
    <row r="79" spans="20:81">
      <c r="T79" s="2237"/>
      <c r="U79" s="61"/>
      <c r="V79" s="151">
        <f>SUM(V72,AB72,AH72)</f>
        <v>1700.4</v>
      </c>
      <c r="W79" s="152">
        <f>SUM(W72,AC72,AI72)</f>
        <v>2312</v>
      </c>
      <c r="Y79" s="50">
        <f t="shared" ref="Y79:Z84" si="153">IF(V79&gt;0,V79/1000,"n/a")</f>
        <v>1.7004000000000001</v>
      </c>
      <c r="Z79" s="50">
        <f t="shared" si="153"/>
        <v>2.3119999999999998</v>
      </c>
      <c r="AJ79" s="44"/>
      <c r="AK79" s="44"/>
      <c r="AL79" s="44"/>
      <c r="AM79" s="44"/>
      <c r="AN79" s="153">
        <f t="shared" ref="AN79:AN84" si="154">SUM(AN72:AP72)</f>
        <v>4629.4000000000005</v>
      </c>
      <c r="AO79" s="44"/>
      <c r="AP79" s="44"/>
      <c r="AQ79" s="44"/>
      <c r="AR79" s="44"/>
      <c r="AS79" s="44"/>
      <c r="AT79" s="44"/>
      <c r="AU79" s="44"/>
      <c r="AV79" s="44"/>
      <c r="AW79" s="153">
        <f t="shared" ref="AW79:AW84" si="155">SUM(AW72:AY72)</f>
        <v>0</v>
      </c>
      <c r="AX79" s="44"/>
      <c r="AY79" s="44"/>
      <c r="AZ79" s="44"/>
      <c r="BA79" s="44"/>
      <c r="BB79" s="44"/>
      <c r="BC79" s="44"/>
      <c r="BD79" s="44"/>
      <c r="BE79" s="44"/>
      <c r="BF79" s="44"/>
      <c r="BG79" s="44"/>
      <c r="BH79" s="44"/>
    </row>
    <row r="80" spans="20:81">
      <c r="V80" s="151">
        <f t="shared" ref="V80:W84" si="156">SUM(V73,AB73,AH73)</f>
        <v>2610.3000000000002</v>
      </c>
      <c r="W80" s="152">
        <f t="shared" si="156"/>
        <v>3592</v>
      </c>
      <c r="Y80" s="50">
        <f t="shared" si="153"/>
        <v>2.6103000000000001</v>
      </c>
      <c r="Z80" s="50">
        <f t="shared" si="153"/>
        <v>3.5920000000000001</v>
      </c>
      <c r="AJ80" s="44"/>
      <c r="AK80" s="44"/>
      <c r="AL80" s="44"/>
      <c r="AM80" s="44"/>
      <c r="AN80" s="154">
        <f t="shared" si="154"/>
        <v>7386.5</v>
      </c>
      <c r="AO80" s="44"/>
      <c r="AP80" s="44"/>
      <c r="AQ80" s="44"/>
      <c r="AR80" s="44"/>
      <c r="AS80" s="44"/>
      <c r="AT80" s="44"/>
      <c r="AU80" s="44"/>
      <c r="AV80" s="44"/>
      <c r="AW80" s="154">
        <f t="shared" si="155"/>
        <v>0</v>
      </c>
      <c r="AX80" s="44"/>
      <c r="AY80" s="44"/>
      <c r="AZ80" s="44"/>
      <c r="BA80" s="44"/>
      <c r="BB80" s="44"/>
      <c r="BC80" s="44"/>
      <c r="BD80" s="44"/>
      <c r="BE80" s="44"/>
      <c r="BF80" s="44"/>
      <c r="BG80" s="44"/>
      <c r="BH80" s="44"/>
    </row>
    <row r="81" spans="22:60">
      <c r="V81" s="151">
        <f t="shared" si="156"/>
        <v>3862.2</v>
      </c>
      <c r="W81" s="152">
        <f t="shared" si="156"/>
        <v>5073.5999999999995</v>
      </c>
      <c r="Y81" s="50">
        <f t="shared" si="153"/>
        <v>3.8621999999999996</v>
      </c>
      <c r="Z81" s="50">
        <f t="shared" si="153"/>
        <v>5.0735999999999999</v>
      </c>
      <c r="AJ81" s="44"/>
      <c r="AK81" s="44"/>
      <c r="AL81" s="44"/>
      <c r="AM81" s="44"/>
      <c r="AN81" s="154">
        <f t="shared" si="154"/>
        <v>10710</v>
      </c>
      <c r="AO81" s="44"/>
      <c r="AP81" s="44"/>
      <c r="AQ81" s="44"/>
      <c r="AR81" s="44"/>
      <c r="AS81" s="44"/>
      <c r="AT81" s="44"/>
      <c r="AU81" s="44"/>
      <c r="AV81" s="44"/>
      <c r="AW81" s="154">
        <f t="shared" si="155"/>
        <v>0</v>
      </c>
      <c r="AX81" s="44"/>
      <c r="AY81" s="44"/>
      <c r="AZ81" s="44"/>
      <c r="BA81" s="44"/>
      <c r="BB81" s="44"/>
      <c r="BC81" s="44"/>
      <c r="BD81" s="44"/>
      <c r="BE81" s="44"/>
      <c r="BF81" s="44"/>
      <c r="BG81" s="44"/>
      <c r="BH81" s="44"/>
    </row>
    <row r="82" spans="22:60">
      <c r="V82" s="151">
        <f t="shared" si="156"/>
        <v>4762.8</v>
      </c>
      <c r="W82" s="152">
        <f t="shared" si="156"/>
        <v>6375.5999999999995</v>
      </c>
      <c r="Y82" s="50">
        <f t="shared" si="153"/>
        <v>4.7628000000000004</v>
      </c>
      <c r="Z82" s="50">
        <f t="shared" si="153"/>
        <v>6.3755999999999995</v>
      </c>
      <c r="AJ82" s="44"/>
      <c r="AK82" s="44"/>
      <c r="AL82" s="44"/>
      <c r="AM82" s="44"/>
      <c r="AN82" s="154">
        <f t="shared" si="154"/>
        <v>13421.099999999999</v>
      </c>
      <c r="AO82" s="44"/>
      <c r="AP82" s="44"/>
      <c r="AQ82" s="44"/>
      <c r="AR82" s="44"/>
      <c r="AS82" s="44"/>
      <c r="AT82" s="44"/>
      <c r="AU82" s="44"/>
      <c r="AV82" s="44"/>
      <c r="AW82" s="154">
        <f t="shared" si="155"/>
        <v>0</v>
      </c>
      <c r="AX82" s="44"/>
      <c r="AY82" s="44"/>
      <c r="AZ82" s="44"/>
      <c r="BA82" s="44"/>
      <c r="BB82" s="44"/>
      <c r="BC82" s="44"/>
      <c r="BD82" s="44"/>
      <c r="BE82" s="44"/>
      <c r="BF82" s="44"/>
      <c r="BG82" s="44"/>
      <c r="BH82" s="44"/>
    </row>
    <row r="83" spans="22:60">
      <c r="V83" s="151">
        <f t="shared" si="156"/>
        <v>6054.4</v>
      </c>
      <c r="W83" s="152">
        <f t="shared" si="156"/>
        <v>7964</v>
      </c>
      <c r="Y83" s="50">
        <f t="shared" si="153"/>
        <v>6.0543999999999993</v>
      </c>
      <c r="Z83" s="50">
        <f t="shared" si="153"/>
        <v>7.9640000000000004</v>
      </c>
      <c r="AJ83" s="44"/>
      <c r="AK83" s="44"/>
      <c r="AL83" s="44"/>
      <c r="AM83" s="44"/>
      <c r="AN83" s="154">
        <f t="shared" si="154"/>
        <v>16878.400000000001</v>
      </c>
      <c r="AO83" s="44"/>
      <c r="AP83" s="44"/>
      <c r="AQ83" s="44"/>
      <c r="AR83" s="44"/>
      <c r="AS83" s="44"/>
      <c r="AT83" s="44"/>
      <c r="AU83" s="44"/>
      <c r="AV83" s="44"/>
      <c r="AW83" s="154">
        <f t="shared" si="155"/>
        <v>0</v>
      </c>
      <c r="AX83" s="44"/>
      <c r="AY83" s="44"/>
      <c r="AZ83" s="44"/>
      <c r="BA83" s="44"/>
      <c r="BB83" s="44"/>
      <c r="BC83" s="44"/>
      <c r="BD83" s="44"/>
      <c r="BE83" s="44"/>
      <c r="BF83" s="44"/>
      <c r="BG83" s="44"/>
      <c r="BH83" s="44"/>
    </row>
    <row r="84" spans="22:60">
      <c r="V84" s="155">
        <f t="shared" si="156"/>
        <v>6502.5</v>
      </c>
      <c r="W84" s="156">
        <f t="shared" si="156"/>
        <v>8578.2000000000007</v>
      </c>
      <c r="Y84" s="50">
        <f t="shared" si="153"/>
        <v>6.5025000000000004</v>
      </c>
      <c r="Z84" s="50">
        <f t="shared" si="153"/>
        <v>8.5782000000000007</v>
      </c>
      <c r="AJ84" s="44"/>
      <c r="AK84" s="44"/>
      <c r="AL84" s="44"/>
      <c r="AM84" s="44"/>
      <c r="AN84" s="157">
        <f t="shared" si="154"/>
        <v>18939.900000000001</v>
      </c>
      <c r="AO84" s="44"/>
      <c r="AP84" s="44"/>
      <c r="AQ84" s="44"/>
      <c r="AR84" s="44"/>
      <c r="AS84" s="44"/>
      <c r="AT84" s="44"/>
      <c r="AU84" s="44"/>
      <c r="AV84" s="44"/>
      <c r="AW84" s="157">
        <f t="shared" si="155"/>
        <v>0</v>
      </c>
      <c r="AX84" s="44"/>
      <c r="AY84" s="44"/>
      <c r="AZ84" s="44"/>
      <c r="BA84" s="44"/>
      <c r="BB84" s="44"/>
      <c r="BC84" s="44"/>
      <c r="BD84" s="44"/>
      <c r="BE84" s="44"/>
      <c r="BF84" s="44"/>
      <c r="BG84" s="44"/>
      <c r="BH84" s="44"/>
    </row>
    <row r="85" spans="22:60">
      <c r="AN85" s="129"/>
    </row>
    <row r="87" spans="22:60">
      <c r="AQ87" s="153">
        <f t="shared" ref="AQ87:AQ92" si="157">SUM(AN79,AW79)</f>
        <v>4629.4000000000005</v>
      </c>
      <c r="AS87" s="44">
        <f t="shared" ref="AS87:AS92" si="158">IF(AQ87&gt;0,AQ87/1000,"n/a")</f>
        <v>4.6294000000000004</v>
      </c>
    </row>
    <row r="88" spans="22:60">
      <c r="AQ88" s="154">
        <f t="shared" si="157"/>
        <v>7386.5</v>
      </c>
      <c r="AS88" s="44">
        <f t="shared" si="158"/>
        <v>7.3864999999999998</v>
      </c>
    </row>
    <row r="89" spans="22:60">
      <c r="AQ89" s="154">
        <f t="shared" si="157"/>
        <v>10710</v>
      </c>
      <c r="AS89" s="44">
        <f t="shared" si="158"/>
        <v>10.71</v>
      </c>
    </row>
    <row r="90" spans="22:60">
      <c r="AQ90" s="154">
        <f t="shared" si="157"/>
        <v>13421.099999999999</v>
      </c>
      <c r="AS90" s="44">
        <f t="shared" si="158"/>
        <v>13.421099999999999</v>
      </c>
    </row>
    <row r="91" spans="22:60">
      <c r="AQ91" s="154">
        <f t="shared" si="157"/>
        <v>16878.400000000001</v>
      </c>
      <c r="AS91" s="44">
        <f t="shared" si="158"/>
        <v>16.878400000000003</v>
      </c>
    </row>
    <row r="92" spans="22:60">
      <c r="AQ92" s="157">
        <f t="shared" si="157"/>
        <v>18939.900000000001</v>
      </c>
      <c r="AS92" s="44">
        <f t="shared" si="158"/>
        <v>18.939900000000002</v>
      </c>
    </row>
  </sheetData>
  <sheetProtection password="DFE4" sheet="1" objects="1" scenarios="1" formatColumns="0" selectLockedCells="1"/>
  <protectedRanges>
    <protectedRange sqref="A20" name="範圍1"/>
  </protectedRanges>
  <mergeCells count="96">
    <mergeCell ref="AH14:AI14"/>
    <mergeCell ref="AJ14:AK14"/>
    <mergeCell ref="AL14:AM14"/>
    <mergeCell ref="BY5:BZ5"/>
    <mergeCell ref="BW4:BW5"/>
    <mergeCell ref="BX4:BX5"/>
    <mergeCell ref="BR4:BR5"/>
    <mergeCell ref="BS4:BS5"/>
    <mergeCell ref="BT4:BT5"/>
    <mergeCell ref="BU4:BU5"/>
    <mergeCell ref="BV4:BV5"/>
    <mergeCell ref="BJ4:BN4"/>
    <mergeCell ref="AN11:AV11"/>
    <mergeCell ref="AN12:AV12"/>
    <mergeCell ref="F4:F5"/>
    <mergeCell ref="M4:M5"/>
    <mergeCell ref="L4:L5"/>
    <mergeCell ref="Q4:R4"/>
    <mergeCell ref="I4:J4"/>
    <mergeCell ref="G4:H4"/>
    <mergeCell ref="N4:P4"/>
    <mergeCell ref="AB42:AG42"/>
    <mergeCell ref="BJ2:BP2"/>
    <mergeCell ref="F18:H18"/>
    <mergeCell ref="AN13:AP13"/>
    <mergeCell ref="AN14:AP14"/>
    <mergeCell ref="BC13:BE13"/>
    <mergeCell ref="BC14:BE14"/>
    <mergeCell ref="AW12:BE12"/>
    <mergeCell ref="AZ14:BB14"/>
    <mergeCell ref="AW13:AY13"/>
    <mergeCell ref="AW14:AY14"/>
    <mergeCell ref="AZ13:BB13"/>
    <mergeCell ref="AH13:AM13"/>
    <mergeCell ref="V13:AA13"/>
    <mergeCell ref="F2:R2"/>
    <mergeCell ref="K4:K5"/>
    <mergeCell ref="AB43:AC43"/>
    <mergeCell ref="F19:H19"/>
    <mergeCell ref="AQ13:AS13"/>
    <mergeCell ref="AW11:BE11"/>
    <mergeCell ref="AN42:AP42"/>
    <mergeCell ref="AQ42:AS42"/>
    <mergeCell ref="AT42:AV42"/>
    <mergeCell ref="AW42:AY42"/>
    <mergeCell ref="AZ42:BB42"/>
    <mergeCell ref="BC42:BE42"/>
    <mergeCell ref="AW41:BE41"/>
    <mergeCell ref="AQ14:AS14"/>
    <mergeCell ref="AN41:AV41"/>
    <mergeCell ref="V11:AM12"/>
    <mergeCell ref="AT14:AV14"/>
    <mergeCell ref="AT13:AV13"/>
    <mergeCell ref="X43:Y43"/>
    <mergeCell ref="Z43:AA43"/>
    <mergeCell ref="V42:AA42"/>
    <mergeCell ref="T34:T39"/>
    <mergeCell ref="V43:W43"/>
    <mergeCell ref="T74:T79"/>
    <mergeCell ref="T63:T68"/>
    <mergeCell ref="T51:T56"/>
    <mergeCell ref="T57:T62"/>
    <mergeCell ref="T28:T33"/>
    <mergeCell ref="T45:T49"/>
    <mergeCell ref="AF14:AG14"/>
    <mergeCell ref="AD14:AE14"/>
    <mergeCell ref="T22:T27"/>
    <mergeCell ref="AB13:AG13"/>
    <mergeCell ref="T16:T21"/>
    <mergeCell ref="V14:W14"/>
    <mergeCell ref="X14:Y14"/>
    <mergeCell ref="Z14:AA14"/>
    <mergeCell ref="AB14:AC14"/>
    <mergeCell ref="AD43:AE43"/>
    <mergeCell ref="AF43:AG43"/>
    <mergeCell ref="AN43:AP43"/>
    <mergeCell ref="AQ43:AS43"/>
    <mergeCell ref="AL43:AM43"/>
    <mergeCell ref="AH43:AI43"/>
    <mergeCell ref="AJ43:AK43"/>
    <mergeCell ref="B2:D2"/>
    <mergeCell ref="CA58:CA59"/>
    <mergeCell ref="CB58:CC58"/>
    <mergeCell ref="BJ5:BL5"/>
    <mergeCell ref="BJ6:BL6"/>
    <mergeCell ref="BF43:BH43"/>
    <mergeCell ref="BJ8:BJ9"/>
    <mergeCell ref="BK8:BK9"/>
    <mergeCell ref="BL8:BM8"/>
    <mergeCell ref="BL17:BM17"/>
    <mergeCell ref="BF14:BH14"/>
    <mergeCell ref="AZ43:BB43"/>
    <mergeCell ref="BC43:BE43"/>
    <mergeCell ref="AH42:AM42"/>
    <mergeCell ref="AT43:AV43"/>
    <mergeCell ref="AW43:AY43"/>
  </mergeCells>
  <phoneticPr fontId="4" type="noConversion"/>
  <conditionalFormatting sqref="BR7:BR39">
    <cfRule type="cellIs" dxfId="27" priority="6" stopIfTrue="1" operator="equal">
      <formula>#REF!</formula>
    </cfRule>
    <cfRule type="cellIs" dxfId="26" priority="7" stopIfTrue="1" operator="equal">
      <formula>#REF!</formula>
    </cfRule>
    <cfRule type="cellIs" dxfId="25" priority="8" stopIfTrue="1" operator="equal">
      <formula>#REF!</formula>
    </cfRule>
  </conditionalFormatting>
  <conditionalFormatting sqref="CA60:CA68">
    <cfRule type="cellIs" dxfId="24" priority="1" stopIfTrue="1" operator="equal">
      <formula>$AV$22</formula>
    </cfRule>
  </conditionalFormatting>
  <conditionalFormatting sqref="BW7:BW39">
    <cfRule type="cellIs" dxfId="23" priority="203" stopIfTrue="1" operator="greaterThanOrEqual">
      <formula>$C$8</formula>
    </cfRule>
  </conditionalFormatting>
  <conditionalFormatting sqref="BX7:BX39">
    <cfRule type="cellIs" dxfId="22" priority="204" stopIfTrue="1" operator="greaterThanOrEqual">
      <formula>$C$9</formula>
    </cfRule>
  </conditionalFormatting>
  <dataValidations count="4">
    <dataValidation type="list" allowBlank="1" showInputMessage="1" showErrorMessage="1" sqref="C13" xr:uid="{00000000-0002-0000-1A00-000000000000}">
      <formula1>$Y$4:$Y$6</formula1>
    </dataValidation>
    <dataValidation type="list" allowBlank="1" showInputMessage="1" showErrorMessage="1" sqref="C11" xr:uid="{00000000-0002-0000-1A00-000001000000}">
      <formula1>$W$4:$W$7</formula1>
    </dataValidation>
    <dataValidation type="list" allowBlank="1" showInputMessage="1" showErrorMessage="1" sqref="C9" xr:uid="{00000000-0002-0000-1A00-000002000000}">
      <formula1>$AC$4:$AC$5</formula1>
    </dataValidation>
    <dataValidation type="list" allowBlank="1" showInputMessage="1" showErrorMessage="1" sqref="C15" xr:uid="{00000000-0002-0000-1A00-000003000000}">
      <formula1>$AA$6:$AA$8</formula1>
    </dataValidation>
  </dataValidations>
  <pageMargins left="0.75" right="0.75" top="1" bottom="1" header="0.5" footer="0.5"/>
  <pageSetup paperSize="9" fitToHeight="0" orientation="landscape" r:id="rId1"/>
  <headerFooter alignWithMargins="0">
    <oddFooter>&amp;R&amp;8Developed by Benjamin Leung</oddFooter>
  </headerFooter>
  <ignoredErrors>
    <ignoredError sqref="AI40:AI41 X40:X41 AJ40:AJ41 BF22:BH27 BC16:BD21 AH40:AH41 V40:V41 AA16:AA21 AD40:AD41 Z16:Z21 BF28:BH41 AE40:AE41 AT16:AY21 AK40:AK41 AB22:AC27 Z26:Z27 AJ26:AJ27 AL16:AM21 AC40:AC41 AB40:AB41 BF45:BH56 BF16:BH21 AL34:AM41 Y22:Y24 Y27 AA22:AA27 Z22:Z23 X22:X27 AF22:AI27 AR22:AR27 AL22:AM27 AJ22:AK23 AD22:AE22 AD26:AE27 AK25:AK27 AA40:AA41 W40:W41 AN16:AP21 AF28:AG33 Y40:Y41 Z40:Z41 AF40:AG41 BF63:BH68 V48:AM56 V57:AM68 BF57:BH62 AN45:AV56 AN57:AV68 AW45:BE68 W45:AM45 W46:AM46 W47:AM47" unlockedFormula="1"/>
    <ignoredError sqref="Z24 Y25 Z25 AJ24:AK24 Y26 AD23:AE25 AJ25" formula="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0182" r:id="rId4" name="Button 6">
              <controlPr defaultSize="0" autoFill="0" autoPict="0" macro="[0]!Home">
                <anchor moveWithCells="1">
                  <from>
                    <xdr:col>1</xdr:col>
                    <xdr:colOff>19050</xdr:colOff>
                    <xdr:row>16</xdr:row>
                    <xdr:rowOff>146050</xdr:rowOff>
                  </from>
                  <to>
                    <xdr:col>1</xdr:col>
                    <xdr:colOff>800100</xdr:colOff>
                    <xdr:row>18</xdr:row>
                    <xdr:rowOff>146050</xdr:rowOff>
                  </to>
                </anchor>
              </controlPr>
            </control>
          </mc:Choice>
        </mc:AlternateContent>
        <mc:AlternateContent xmlns:mc="http://schemas.openxmlformats.org/markup-compatibility/2006">
          <mc:Choice Requires="x14">
            <control shapeId="50201" r:id="rId5" name="Button 25">
              <controlPr defaultSize="0" autoFill="0" autoPict="0" macro="[0]!FCU_clear">
                <anchor moveWithCells="1">
                  <from>
                    <xdr:col>1</xdr:col>
                    <xdr:colOff>19050</xdr:colOff>
                    <xdr:row>19</xdr:row>
                    <xdr:rowOff>31750</xdr:rowOff>
                  </from>
                  <to>
                    <xdr:col>1</xdr:col>
                    <xdr:colOff>800100</xdr:colOff>
                    <xdr:row>21</xdr:row>
                    <xdr:rowOff>31750</xdr:rowOff>
                  </to>
                </anchor>
              </controlPr>
            </control>
          </mc:Choice>
        </mc:AlternateContent>
        <mc:AlternateContent xmlns:mc="http://schemas.openxmlformats.org/markup-compatibility/2006">
          <mc:Choice Requires="x14">
            <control shapeId="50203" r:id="rId6" name="Option Button 27">
              <controlPr defaultSize="0" autoFill="0" autoLine="0" autoPict="0" macro="[0]!FCU_info">
                <anchor moveWithCells="1">
                  <from>
                    <xdr:col>1</xdr:col>
                    <xdr:colOff>12700</xdr:colOff>
                    <xdr:row>2</xdr:row>
                    <xdr:rowOff>31750</xdr:rowOff>
                  </from>
                  <to>
                    <xdr:col>2</xdr:col>
                    <xdr:colOff>184150</xdr:colOff>
                    <xdr:row>3</xdr:row>
                    <xdr:rowOff>88900</xdr:rowOff>
                  </to>
                </anchor>
              </controlPr>
            </control>
          </mc:Choice>
        </mc:AlternateContent>
        <mc:AlternateContent xmlns:mc="http://schemas.openxmlformats.org/markup-compatibility/2006">
          <mc:Choice Requires="x14">
            <control shapeId="50204" r:id="rId7" name="Option Button 28">
              <controlPr defaultSize="0" autoFill="0" autoLine="0" autoPict="0" macro="[0]!FCU_pipe">
                <anchor moveWithCells="1">
                  <from>
                    <xdr:col>1</xdr:col>
                    <xdr:colOff>12700</xdr:colOff>
                    <xdr:row>3</xdr:row>
                    <xdr:rowOff>31750</xdr:rowOff>
                  </from>
                  <to>
                    <xdr:col>3</xdr:col>
                    <xdr:colOff>165100</xdr:colOff>
                    <xdr:row>4</xdr:row>
                    <xdr:rowOff>95250</xdr:rowOff>
                  </to>
                </anchor>
              </controlPr>
            </control>
          </mc:Choice>
        </mc:AlternateContent>
        <mc:AlternateContent xmlns:mc="http://schemas.openxmlformats.org/markup-compatibility/2006">
          <mc:Choice Requires="x14">
            <control shapeId="50205" r:id="rId8" name="Button 29">
              <controlPr defaultSize="0" autoFill="0" autoPict="0" macro="[0]!FCU_pipe_clear">
                <anchor moveWithCells="1" sizeWithCells="1">
                  <from>
                    <xdr:col>66</xdr:col>
                    <xdr:colOff>279400</xdr:colOff>
                    <xdr:row>4</xdr:row>
                    <xdr:rowOff>31750</xdr:rowOff>
                  </from>
                  <to>
                    <xdr:col>67</xdr:col>
                    <xdr:colOff>381000</xdr:colOff>
                    <xdr:row>5</xdr:row>
                    <xdr:rowOff>95250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3">
    <tabColor theme="7"/>
    <pageSetUpPr fitToPage="1"/>
  </sheetPr>
  <dimension ref="B2:CR213"/>
  <sheetViews>
    <sheetView showGridLines="0" showRowColHeaders="0" zoomScaleNormal="100" zoomScaleSheetLayoutView="85" workbookViewId="0"/>
  </sheetViews>
  <sheetFormatPr defaultRowHeight="11.5"/>
  <cols>
    <col min="1" max="1" width="2.7265625" style="1247" customWidth="1"/>
    <col min="2" max="2" width="8.81640625" style="1247" bestFit="1" customWidth="1"/>
    <col min="3" max="3" width="10.7265625" style="1247" customWidth="1"/>
    <col min="4" max="4" width="6" style="1247" bestFit="1" customWidth="1"/>
    <col min="5" max="5" width="1.7265625" style="1247" customWidth="1"/>
    <col min="6" max="6" width="3.7265625" style="1247" customWidth="1"/>
    <col min="7" max="7" width="11.453125" style="1247" customWidth="1"/>
    <col min="8" max="8" width="5.1796875" style="1247" customWidth="1"/>
    <col min="9" max="19" width="10.7265625" style="1247" customWidth="1"/>
    <col min="20" max="20" width="8.7265625" style="1247" hidden="1" customWidth="1"/>
    <col min="21" max="21" width="3.1796875" style="1247" hidden="1" customWidth="1"/>
    <col min="22" max="22" width="9.1796875" style="1247" hidden="1" customWidth="1"/>
    <col min="23" max="23" width="17.453125" style="1247" hidden="1" customWidth="1"/>
    <col min="24" max="24" width="5.7265625" style="1248" hidden="1" customWidth="1"/>
    <col min="25" max="33" width="13.1796875" style="1248" hidden="1" customWidth="1"/>
    <col min="34" max="34" width="15" style="1248" hidden="1" customWidth="1"/>
    <col min="35" max="36" width="10.453125" style="1248" hidden="1" customWidth="1"/>
    <col min="37" max="37" width="11.54296875" style="1248" hidden="1" customWidth="1"/>
    <col min="38" max="40" width="11.54296875" style="1247" hidden="1" customWidth="1"/>
    <col min="41" max="41" width="12.1796875" style="1247" hidden="1" customWidth="1"/>
    <col min="42" max="42" width="16.1796875" style="1247" hidden="1" customWidth="1"/>
    <col min="43" max="45" width="11.54296875" style="1247" hidden="1" customWidth="1"/>
    <col min="46" max="46" width="13.453125" style="1247" hidden="1" customWidth="1"/>
    <col min="47" max="47" width="11.54296875" style="1247" hidden="1" customWidth="1"/>
    <col min="48" max="48" width="3.7265625" style="1247" hidden="1" customWidth="1"/>
    <col min="49" max="49" width="11.453125" style="1247" hidden="1" customWidth="1"/>
    <col min="50" max="50" width="3.26953125" style="1247" hidden="1" customWidth="1"/>
    <col min="51" max="59" width="10.7265625" style="1247" hidden="1" customWidth="1"/>
    <col min="60" max="61" width="9.1796875" style="1247" hidden="1" customWidth="1"/>
    <col min="62" max="62" width="16.1796875" style="1247" hidden="1" customWidth="1"/>
    <col min="63" max="63" width="9.1796875" style="1247" hidden="1" customWidth="1"/>
    <col min="64" max="64" width="15" style="1247" hidden="1" customWidth="1"/>
    <col min="65" max="65" width="12.7265625" style="1247" hidden="1" customWidth="1"/>
    <col min="66" max="66" width="16.1796875" style="1247" hidden="1" customWidth="1"/>
    <col min="67" max="67" width="14.453125" style="1247" hidden="1" customWidth="1"/>
    <col min="68" max="68" width="13.54296875" style="1247" hidden="1" customWidth="1"/>
    <col min="69" max="69" width="12" style="1247" hidden="1" customWidth="1"/>
    <col min="70" max="70" width="12.7265625" style="1247" hidden="1" customWidth="1"/>
    <col min="71" max="71" width="12.1796875" style="1247" hidden="1" customWidth="1"/>
    <col min="72" max="72" width="11.7265625" style="1247" hidden="1" customWidth="1"/>
    <col min="73" max="73" width="11.1796875" style="1247" hidden="1" customWidth="1"/>
    <col min="74" max="81" width="9.1796875" style="1247" hidden="1" customWidth="1"/>
    <col min="82" max="83" width="9.1796875" style="1247"/>
    <col min="84" max="84" width="10.54296875" style="1247" bestFit="1" customWidth="1"/>
    <col min="85" max="85" width="9.1796875" style="1247"/>
    <col min="86" max="86" width="1.7265625" style="1247" customWidth="1"/>
    <col min="87" max="214" width="9.1796875" style="1247"/>
    <col min="215" max="215" width="2.7265625" style="1247" customWidth="1"/>
    <col min="216" max="216" width="6.1796875" style="1247" customWidth="1"/>
    <col min="217" max="217" width="15.453125" style="1247" bestFit="1" customWidth="1"/>
    <col min="218" max="218" width="5.26953125" style="1247" bestFit="1" customWidth="1"/>
    <col min="219" max="229" width="10.7265625" style="1247" customWidth="1"/>
    <col min="230" max="230" width="13.7265625" style="1247" customWidth="1"/>
    <col min="231" max="231" width="11" style="1247" bestFit="1" customWidth="1"/>
    <col min="232" max="232" width="4.1796875" style="1247" bestFit="1" customWidth="1"/>
    <col min="233" max="233" width="9.1796875" style="1247"/>
    <col min="234" max="234" width="3.1796875" style="1247" bestFit="1" customWidth="1"/>
    <col min="235" max="235" width="9.1796875" style="1247"/>
    <col min="236" max="236" width="17.453125" style="1247" customWidth="1"/>
    <col min="237" max="237" width="5.7265625" style="1247" bestFit="1" customWidth="1"/>
    <col min="238" max="246" width="13.1796875" style="1247" customWidth="1"/>
    <col min="247" max="247" width="15" style="1247" customWidth="1"/>
    <col min="248" max="249" width="10.453125" style="1247" customWidth="1"/>
    <col min="250" max="253" width="11.54296875" style="1247" bestFit="1" customWidth="1"/>
    <col min="254" max="254" width="12.1796875" style="1247" bestFit="1" customWidth="1"/>
    <col min="255" max="255" width="16.1796875" style="1247" bestFit="1" customWidth="1"/>
    <col min="256" max="258" width="11.54296875" style="1247" bestFit="1" customWidth="1"/>
    <col min="259" max="259" width="13.453125" style="1247" bestFit="1" customWidth="1"/>
    <col min="260" max="260" width="11.54296875" style="1247" customWidth="1"/>
    <col min="261" max="261" width="10.81640625" style="1247" bestFit="1" customWidth="1"/>
    <col min="262" max="470" width="9.1796875" style="1247"/>
    <col min="471" max="471" width="2.7265625" style="1247" customWidth="1"/>
    <col min="472" max="472" width="6.1796875" style="1247" customWidth="1"/>
    <col min="473" max="473" width="15.453125" style="1247" bestFit="1" customWidth="1"/>
    <col min="474" max="474" width="5.26953125" style="1247" bestFit="1" customWidth="1"/>
    <col min="475" max="485" width="10.7265625" style="1247" customWidth="1"/>
    <col min="486" max="486" width="13.7265625" style="1247" customWidth="1"/>
    <col min="487" max="487" width="11" style="1247" bestFit="1" customWidth="1"/>
    <col min="488" max="488" width="4.1796875" style="1247" bestFit="1" customWidth="1"/>
    <col min="489" max="489" width="9.1796875" style="1247"/>
    <col min="490" max="490" width="3.1796875" style="1247" bestFit="1" customWidth="1"/>
    <col min="491" max="491" width="9.1796875" style="1247"/>
    <col min="492" max="492" width="17.453125" style="1247" customWidth="1"/>
    <col min="493" max="493" width="5.7265625" style="1247" bestFit="1" customWidth="1"/>
    <col min="494" max="502" width="13.1796875" style="1247" customWidth="1"/>
    <col min="503" max="503" width="15" style="1247" customWidth="1"/>
    <col min="504" max="505" width="10.453125" style="1247" customWidth="1"/>
    <col min="506" max="509" width="11.54296875" style="1247" bestFit="1" customWidth="1"/>
    <col min="510" max="510" width="12.1796875" style="1247" bestFit="1" customWidth="1"/>
    <col min="511" max="511" width="16.1796875" style="1247" bestFit="1" customWidth="1"/>
    <col min="512" max="514" width="11.54296875" style="1247" bestFit="1" customWidth="1"/>
    <col min="515" max="515" width="13.453125" style="1247" bestFit="1" customWidth="1"/>
    <col min="516" max="516" width="11.54296875" style="1247" customWidth="1"/>
    <col min="517" max="517" width="10.81640625" style="1247" bestFit="1" customWidth="1"/>
    <col min="518" max="726" width="9.1796875" style="1247"/>
    <col min="727" max="727" width="2.7265625" style="1247" customWidth="1"/>
    <col min="728" max="728" width="6.1796875" style="1247" customWidth="1"/>
    <col min="729" max="729" width="15.453125" style="1247" bestFit="1" customWidth="1"/>
    <col min="730" max="730" width="5.26953125" style="1247" bestFit="1" customWidth="1"/>
    <col min="731" max="741" width="10.7265625" style="1247" customWidth="1"/>
    <col min="742" max="742" width="13.7265625" style="1247" customWidth="1"/>
    <col min="743" max="743" width="11" style="1247" bestFit="1" customWidth="1"/>
    <col min="744" max="744" width="4.1796875" style="1247" bestFit="1" customWidth="1"/>
    <col min="745" max="745" width="9.1796875" style="1247"/>
    <col min="746" max="746" width="3.1796875" style="1247" bestFit="1" customWidth="1"/>
    <col min="747" max="747" width="9.1796875" style="1247"/>
    <col min="748" max="748" width="17.453125" style="1247" customWidth="1"/>
    <col min="749" max="749" width="5.7265625" style="1247" bestFit="1" customWidth="1"/>
    <col min="750" max="758" width="13.1796875" style="1247" customWidth="1"/>
    <col min="759" max="759" width="15" style="1247" customWidth="1"/>
    <col min="760" max="761" width="10.453125" style="1247" customWidth="1"/>
    <col min="762" max="765" width="11.54296875" style="1247" bestFit="1" customWidth="1"/>
    <col min="766" max="766" width="12.1796875" style="1247" bestFit="1" customWidth="1"/>
    <col min="767" max="767" width="16.1796875" style="1247" bestFit="1" customWidth="1"/>
    <col min="768" max="770" width="11.54296875" style="1247" bestFit="1" customWidth="1"/>
    <col min="771" max="771" width="13.453125" style="1247" bestFit="1" customWidth="1"/>
    <col min="772" max="772" width="11.54296875" style="1247" customWidth="1"/>
    <col min="773" max="773" width="10.81640625" style="1247" bestFit="1" customWidth="1"/>
    <col min="774" max="982" width="9.1796875" style="1247"/>
    <col min="983" max="983" width="2.7265625" style="1247" customWidth="1"/>
    <col min="984" max="984" width="6.1796875" style="1247" customWidth="1"/>
    <col min="985" max="985" width="15.453125" style="1247" bestFit="1" customWidth="1"/>
    <col min="986" max="986" width="5.26953125" style="1247" bestFit="1" customWidth="1"/>
    <col min="987" max="997" width="10.7265625" style="1247" customWidth="1"/>
    <col min="998" max="998" width="13.7265625" style="1247" customWidth="1"/>
    <col min="999" max="999" width="11" style="1247" bestFit="1" customWidth="1"/>
    <col min="1000" max="1000" width="4.1796875" style="1247" bestFit="1" customWidth="1"/>
    <col min="1001" max="1001" width="9.1796875" style="1247"/>
    <col min="1002" max="1002" width="3.1796875" style="1247" bestFit="1" customWidth="1"/>
    <col min="1003" max="1003" width="9.1796875" style="1247"/>
    <col min="1004" max="1004" width="17.453125" style="1247" customWidth="1"/>
    <col min="1005" max="1005" width="5.7265625" style="1247" bestFit="1" customWidth="1"/>
    <col min="1006" max="1014" width="13.1796875" style="1247" customWidth="1"/>
    <col min="1015" max="1015" width="15" style="1247" customWidth="1"/>
    <col min="1016" max="1017" width="10.453125" style="1247" customWidth="1"/>
    <col min="1018" max="1021" width="11.54296875" style="1247" bestFit="1" customWidth="1"/>
    <col min="1022" max="1022" width="12.1796875" style="1247" bestFit="1" customWidth="1"/>
    <col min="1023" max="1023" width="16.1796875" style="1247" bestFit="1" customWidth="1"/>
    <col min="1024" max="1026" width="11.54296875" style="1247" bestFit="1" customWidth="1"/>
    <col min="1027" max="1027" width="13.453125" style="1247" bestFit="1" customWidth="1"/>
    <col min="1028" max="1028" width="11.54296875" style="1247" customWidth="1"/>
    <col min="1029" max="1029" width="10.81640625" style="1247" bestFit="1" customWidth="1"/>
    <col min="1030" max="1238" width="9.1796875" style="1247"/>
    <col min="1239" max="1239" width="2.7265625" style="1247" customWidth="1"/>
    <col min="1240" max="1240" width="6.1796875" style="1247" customWidth="1"/>
    <col min="1241" max="1241" width="15.453125" style="1247" bestFit="1" customWidth="1"/>
    <col min="1242" max="1242" width="5.26953125" style="1247" bestFit="1" customWidth="1"/>
    <col min="1243" max="1253" width="10.7265625" style="1247" customWidth="1"/>
    <col min="1254" max="1254" width="13.7265625" style="1247" customWidth="1"/>
    <col min="1255" max="1255" width="11" style="1247" bestFit="1" customWidth="1"/>
    <col min="1256" max="1256" width="4.1796875" style="1247" bestFit="1" customWidth="1"/>
    <col min="1257" max="1257" width="9.1796875" style="1247"/>
    <col min="1258" max="1258" width="3.1796875" style="1247" bestFit="1" customWidth="1"/>
    <col min="1259" max="1259" width="9.1796875" style="1247"/>
    <col min="1260" max="1260" width="17.453125" style="1247" customWidth="1"/>
    <col min="1261" max="1261" width="5.7265625" style="1247" bestFit="1" customWidth="1"/>
    <col min="1262" max="1270" width="13.1796875" style="1247" customWidth="1"/>
    <col min="1271" max="1271" width="15" style="1247" customWidth="1"/>
    <col min="1272" max="1273" width="10.453125" style="1247" customWidth="1"/>
    <col min="1274" max="1277" width="11.54296875" style="1247" bestFit="1" customWidth="1"/>
    <col min="1278" max="1278" width="12.1796875" style="1247" bestFit="1" customWidth="1"/>
    <col min="1279" max="1279" width="16.1796875" style="1247" bestFit="1" customWidth="1"/>
    <col min="1280" max="1282" width="11.54296875" style="1247" bestFit="1" customWidth="1"/>
    <col min="1283" max="1283" width="13.453125" style="1247" bestFit="1" customWidth="1"/>
    <col min="1284" max="1284" width="11.54296875" style="1247" customWidth="1"/>
    <col min="1285" max="1285" width="10.81640625" style="1247" bestFit="1" customWidth="1"/>
    <col min="1286" max="1494" width="9.1796875" style="1247"/>
    <col min="1495" max="1495" width="2.7265625" style="1247" customWidth="1"/>
    <col min="1496" max="1496" width="6.1796875" style="1247" customWidth="1"/>
    <col min="1497" max="1497" width="15.453125" style="1247" bestFit="1" customWidth="1"/>
    <col min="1498" max="1498" width="5.26953125" style="1247" bestFit="1" customWidth="1"/>
    <col min="1499" max="1509" width="10.7265625" style="1247" customWidth="1"/>
    <col min="1510" max="1510" width="13.7265625" style="1247" customWidth="1"/>
    <col min="1511" max="1511" width="11" style="1247" bestFit="1" customWidth="1"/>
    <col min="1512" max="1512" width="4.1796875" style="1247" bestFit="1" customWidth="1"/>
    <col min="1513" max="1513" width="9.1796875" style="1247"/>
    <col min="1514" max="1514" width="3.1796875" style="1247" bestFit="1" customWidth="1"/>
    <col min="1515" max="1515" width="9.1796875" style="1247"/>
    <col min="1516" max="1516" width="17.453125" style="1247" customWidth="1"/>
    <col min="1517" max="1517" width="5.7265625" style="1247" bestFit="1" customWidth="1"/>
    <col min="1518" max="1526" width="13.1796875" style="1247" customWidth="1"/>
    <col min="1527" max="1527" width="15" style="1247" customWidth="1"/>
    <col min="1528" max="1529" width="10.453125" style="1247" customWidth="1"/>
    <col min="1530" max="1533" width="11.54296875" style="1247" bestFit="1" customWidth="1"/>
    <col min="1534" max="1534" width="12.1796875" style="1247" bestFit="1" customWidth="1"/>
    <col min="1535" max="1535" width="16.1796875" style="1247" bestFit="1" customWidth="1"/>
    <col min="1536" max="1538" width="11.54296875" style="1247" bestFit="1" customWidth="1"/>
    <col min="1539" max="1539" width="13.453125" style="1247" bestFit="1" customWidth="1"/>
    <col min="1540" max="1540" width="11.54296875" style="1247" customWidth="1"/>
    <col min="1541" max="1541" width="10.81640625" style="1247" bestFit="1" customWidth="1"/>
    <col min="1542" max="1750" width="9.1796875" style="1247"/>
    <col min="1751" max="1751" width="2.7265625" style="1247" customWidth="1"/>
    <col min="1752" max="1752" width="6.1796875" style="1247" customWidth="1"/>
    <col min="1753" max="1753" width="15.453125" style="1247" bestFit="1" customWidth="1"/>
    <col min="1754" max="1754" width="5.26953125" style="1247" bestFit="1" customWidth="1"/>
    <col min="1755" max="1765" width="10.7265625" style="1247" customWidth="1"/>
    <col min="1766" max="1766" width="13.7265625" style="1247" customWidth="1"/>
    <col min="1767" max="1767" width="11" style="1247" bestFit="1" customWidth="1"/>
    <col min="1768" max="1768" width="4.1796875" style="1247" bestFit="1" customWidth="1"/>
    <col min="1769" max="1769" width="9.1796875" style="1247"/>
    <col min="1770" max="1770" width="3.1796875" style="1247" bestFit="1" customWidth="1"/>
    <col min="1771" max="1771" width="9.1796875" style="1247"/>
    <col min="1772" max="1772" width="17.453125" style="1247" customWidth="1"/>
    <col min="1773" max="1773" width="5.7265625" style="1247" bestFit="1" customWidth="1"/>
    <col min="1774" max="1782" width="13.1796875" style="1247" customWidth="1"/>
    <col min="1783" max="1783" width="15" style="1247" customWidth="1"/>
    <col min="1784" max="1785" width="10.453125" style="1247" customWidth="1"/>
    <col min="1786" max="1789" width="11.54296875" style="1247" bestFit="1" customWidth="1"/>
    <col min="1790" max="1790" width="12.1796875" style="1247" bestFit="1" customWidth="1"/>
    <col min="1791" max="1791" width="16.1796875" style="1247" bestFit="1" customWidth="1"/>
    <col min="1792" max="1794" width="11.54296875" style="1247" bestFit="1" customWidth="1"/>
    <col min="1795" max="1795" width="13.453125" style="1247" bestFit="1" customWidth="1"/>
    <col min="1796" max="1796" width="11.54296875" style="1247" customWidth="1"/>
    <col min="1797" max="1797" width="10.81640625" style="1247" bestFit="1" customWidth="1"/>
    <col min="1798" max="2006" width="9.1796875" style="1247"/>
    <col min="2007" max="2007" width="2.7265625" style="1247" customWidth="1"/>
    <col min="2008" max="2008" width="6.1796875" style="1247" customWidth="1"/>
    <col min="2009" max="2009" width="15.453125" style="1247" bestFit="1" customWidth="1"/>
    <col min="2010" max="2010" width="5.26953125" style="1247" bestFit="1" customWidth="1"/>
    <col min="2011" max="2021" width="10.7265625" style="1247" customWidth="1"/>
    <col min="2022" max="2022" width="13.7265625" style="1247" customWidth="1"/>
    <col min="2023" max="2023" width="11" style="1247" bestFit="1" customWidth="1"/>
    <col min="2024" max="2024" width="4.1796875" style="1247" bestFit="1" customWidth="1"/>
    <col min="2025" max="2025" width="9.1796875" style="1247"/>
    <col min="2026" max="2026" width="3.1796875" style="1247" bestFit="1" customWidth="1"/>
    <col min="2027" max="2027" width="9.1796875" style="1247"/>
    <col min="2028" max="2028" width="17.453125" style="1247" customWidth="1"/>
    <col min="2029" max="2029" width="5.7265625" style="1247" bestFit="1" customWidth="1"/>
    <col min="2030" max="2038" width="13.1796875" style="1247" customWidth="1"/>
    <col min="2039" max="2039" width="15" style="1247" customWidth="1"/>
    <col min="2040" max="2041" width="10.453125" style="1247" customWidth="1"/>
    <col min="2042" max="2045" width="11.54296875" style="1247" bestFit="1" customWidth="1"/>
    <col min="2046" max="2046" width="12.1796875" style="1247" bestFit="1" customWidth="1"/>
    <col min="2047" max="2047" width="16.1796875" style="1247" bestFit="1" customWidth="1"/>
    <col min="2048" max="2050" width="11.54296875" style="1247" bestFit="1" customWidth="1"/>
    <col min="2051" max="2051" width="13.453125" style="1247" bestFit="1" customWidth="1"/>
    <col min="2052" max="2052" width="11.54296875" style="1247" customWidth="1"/>
    <col min="2053" max="2053" width="10.81640625" style="1247" bestFit="1" customWidth="1"/>
    <col min="2054" max="2262" width="9.1796875" style="1247"/>
    <col min="2263" max="2263" width="2.7265625" style="1247" customWidth="1"/>
    <col min="2264" max="2264" width="6.1796875" style="1247" customWidth="1"/>
    <col min="2265" max="2265" width="15.453125" style="1247" bestFit="1" customWidth="1"/>
    <col min="2266" max="2266" width="5.26953125" style="1247" bestFit="1" customWidth="1"/>
    <col min="2267" max="2277" width="10.7265625" style="1247" customWidth="1"/>
    <col min="2278" max="2278" width="13.7265625" style="1247" customWidth="1"/>
    <col min="2279" max="2279" width="11" style="1247" bestFit="1" customWidth="1"/>
    <col min="2280" max="2280" width="4.1796875" style="1247" bestFit="1" customWidth="1"/>
    <col min="2281" max="2281" width="9.1796875" style="1247"/>
    <col min="2282" max="2282" width="3.1796875" style="1247" bestFit="1" customWidth="1"/>
    <col min="2283" max="2283" width="9.1796875" style="1247"/>
    <col min="2284" max="2284" width="17.453125" style="1247" customWidth="1"/>
    <col min="2285" max="2285" width="5.7265625" style="1247" bestFit="1" customWidth="1"/>
    <col min="2286" max="2294" width="13.1796875" style="1247" customWidth="1"/>
    <col min="2295" max="2295" width="15" style="1247" customWidth="1"/>
    <col min="2296" max="2297" width="10.453125" style="1247" customWidth="1"/>
    <col min="2298" max="2301" width="11.54296875" style="1247" bestFit="1" customWidth="1"/>
    <col min="2302" max="2302" width="12.1796875" style="1247" bestFit="1" customWidth="1"/>
    <col min="2303" max="2303" width="16.1796875" style="1247" bestFit="1" customWidth="1"/>
    <col min="2304" max="2306" width="11.54296875" style="1247" bestFit="1" customWidth="1"/>
    <col min="2307" max="2307" width="13.453125" style="1247" bestFit="1" customWidth="1"/>
    <col min="2308" max="2308" width="11.54296875" style="1247" customWidth="1"/>
    <col min="2309" max="2309" width="10.81640625" style="1247" bestFit="1" customWidth="1"/>
    <col min="2310" max="2518" width="9.1796875" style="1247"/>
    <col min="2519" max="2519" width="2.7265625" style="1247" customWidth="1"/>
    <col min="2520" max="2520" width="6.1796875" style="1247" customWidth="1"/>
    <col min="2521" max="2521" width="15.453125" style="1247" bestFit="1" customWidth="1"/>
    <col min="2522" max="2522" width="5.26953125" style="1247" bestFit="1" customWidth="1"/>
    <col min="2523" max="2533" width="10.7265625" style="1247" customWidth="1"/>
    <col min="2534" max="2534" width="13.7265625" style="1247" customWidth="1"/>
    <col min="2535" max="2535" width="11" style="1247" bestFit="1" customWidth="1"/>
    <col min="2536" max="2536" width="4.1796875" style="1247" bestFit="1" customWidth="1"/>
    <col min="2537" max="2537" width="9.1796875" style="1247"/>
    <col min="2538" max="2538" width="3.1796875" style="1247" bestFit="1" customWidth="1"/>
    <col min="2539" max="2539" width="9.1796875" style="1247"/>
    <col min="2540" max="2540" width="17.453125" style="1247" customWidth="1"/>
    <col min="2541" max="2541" width="5.7265625" style="1247" bestFit="1" customWidth="1"/>
    <col min="2542" max="2550" width="13.1796875" style="1247" customWidth="1"/>
    <col min="2551" max="2551" width="15" style="1247" customWidth="1"/>
    <col min="2552" max="2553" width="10.453125" style="1247" customWidth="1"/>
    <col min="2554" max="2557" width="11.54296875" style="1247" bestFit="1" customWidth="1"/>
    <col min="2558" max="2558" width="12.1796875" style="1247" bestFit="1" customWidth="1"/>
    <col min="2559" max="2559" width="16.1796875" style="1247" bestFit="1" customWidth="1"/>
    <col min="2560" max="2562" width="11.54296875" style="1247" bestFit="1" customWidth="1"/>
    <col min="2563" max="2563" width="13.453125" style="1247" bestFit="1" customWidth="1"/>
    <col min="2564" max="2564" width="11.54296875" style="1247" customWidth="1"/>
    <col min="2565" max="2565" width="10.81640625" style="1247" bestFit="1" customWidth="1"/>
    <col min="2566" max="2774" width="9.1796875" style="1247"/>
    <col min="2775" max="2775" width="2.7265625" style="1247" customWidth="1"/>
    <col min="2776" max="2776" width="6.1796875" style="1247" customWidth="1"/>
    <col min="2777" max="2777" width="15.453125" style="1247" bestFit="1" customWidth="1"/>
    <col min="2778" max="2778" width="5.26953125" style="1247" bestFit="1" customWidth="1"/>
    <col min="2779" max="2789" width="10.7265625" style="1247" customWidth="1"/>
    <col min="2790" max="2790" width="13.7265625" style="1247" customWidth="1"/>
    <col min="2791" max="2791" width="11" style="1247" bestFit="1" customWidth="1"/>
    <col min="2792" max="2792" width="4.1796875" style="1247" bestFit="1" customWidth="1"/>
    <col min="2793" max="2793" width="9.1796875" style="1247"/>
    <col min="2794" max="2794" width="3.1796875" style="1247" bestFit="1" customWidth="1"/>
    <col min="2795" max="2795" width="9.1796875" style="1247"/>
    <col min="2796" max="2796" width="17.453125" style="1247" customWidth="1"/>
    <col min="2797" max="2797" width="5.7265625" style="1247" bestFit="1" customWidth="1"/>
    <col min="2798" max="2806" width="13.1796875" style="1247" customWidth="1"/>
    <col min="2807" max="2807" width="15" style="1247" customWidth="1"/>
    <col min="2808" max="2809" width="10.453125" style="1247" customWidth="1"/>
    <col min="2810" max="2813" width="11.54296875" style="1247" bestFit="1" customWidth="1"/>
    <col min="2814" max="2814" width="12.1796875" style="1247" bestFit="1" customWidth="1"/>
    <col min="2815" max="2815" width="16.1796875" style="1247" bestFit="1" customWidth="1"/>
    <col min="2816" max="2818" width="11.54296875" style="1247" bestFit="1" customWidth="1"/>
    <col min="2819" max="2819" width="13.453125" style="1247" bestFit="1" customWidth="1"/>
    <col min="2820" max="2820" width="11.54296875" style="1247" customWidth="1"/>
    <col min="2821" max="2821" width="10.81640625" style="1247" bestFit="1" customWidth="1"/>
    <col min="2822" max="3030" width="9.1796875" style="1247"/>
    <col min="3031" max="3031" width="2.7265625" style="1247" customWidth="1"/>
    <col min="3032" max="3032" width="6.1796875" style="1247" customWidth="1"/>
    <col min="3033" max="3033" width="15.453125" style="1247" bestFit="1" customWidth="1"/>
    <col min="3034" max="3034" width="5.26953125" style="1247" bestFit="1" customWidth="1"/>
    <col min="3035" max="3045" width="10.7265625" style="1247" customWidth="1"/>
    <col min="3046" max="3046" width="13.7265625" style="1247" customWidth="1"/>
    <col min="3047" max="3047" width="11" style="1247" bestFit="1" customWidth="1"/>
    <col min="3048" max="3048" width="4.1796875" style="1247" bestFit="1" customWidth="1"/>
    <col min="3049" max="3049" width="9.1796875" style="1247"/>
    <col min="3050" max="3050" width="3.1796875" style="1247" bestFit="1" customWidth="1"/>
    <col min="3051" max="3051" width="9.1796875" style="1247"/>
    <col min="3052" max="3052" width="17.453125" style="1247" customWidth="1"/>
    <col min="3053" max="3053" width="5.7265625" style="1247" bestFit="1" customWidth="1"/>
    <col min="3054" max="3062" width="13.1796875" style="1247" customWidth="1"/>
    <col min="3063" max="3063" width="15" style="1247" customWidth="1"/>
    <col min="3064" max="3065" width="10.453125" style="1247" customWidth="1"/>
    <col min="3066" max="3069" width="11.54296875" style="1247" bestFit="1" customWidth="1"/>
    <col min="3070" max="3070" width="12.1796875" style="1247" bestFit="1" customWidth="1"/>
    <col min="3071" max="3071" width="16.1796875" style="1247" bestFit="1" customWidth="1"/>
    <col min="3072" max="3074" width="11.54296875" style="1247" bestFit="1" customWidth="1"/>
    <col min="3075" max="3075" width="13.453125" style="1247" bestFit="1" customWidth="1"/>
    <col min="3076" max="3076" width="11.54296875" style="1247" customWidth="1"/>
    <col min="3077" max="3077" width="10.81640625" style="1247" bestFit="1" customWidth="1"/>
    <col min="3078" max="3286" width="9.1796875" style="1247"/>
    <col min="3287" max="3287" width="2.7265625" style="1247" customWidth="1"/>
    <col min="3288" max="3288" width="6.1796875" style="1247" customWidth="1"/>
    <col min="3289" max="3289" width="15.453125" style="1247" bestFit="1" customWidth="1"/>
    <col min="3290" max="3290" width="5.26953125" style="1247" bestFit="1" customWidth="1"/>
    <col min="3291" max="3301" width="10.7265625" style="1247" customWidth="1"/>
    <col min="3302" max="3302" width="13.7265625" style="1247" customWidth="1"/>
    <col min="3303" max="3303" width="11" style="1247" bestFit="1" customWidth="1"/>
    <col min="3304" max="3304" width="4.1796875" style="1247" bestFit="1" customWidth="1"/>
    <col min="3305" max="3305" width="9.1796875" style="1247"/>
    <col min="3306" max="3306" width="3.1796875" style="1247" bestFit="1" customWidth="1"/>
    <col min="3307" max="3307" width="9.1796875" style="1247"/>
    <col min="3308" max="3308" width="17.453125" style="1247" customWidth="1"/>
    <col min="3309" max="3309" width="5.7265625" style="1247" bestFit="1" customWidth="1"/>
    <col min="3310" max="3318" width="13.1796875" style="1247" customWidth="1"/>
    <col min="3319" max="3319" width="15" style="1247" customWidth="1"/>
    <col min="3320" max="3321" width="10.453125" style="1247" customWidth="1"/>
    <col min="3322" max="3325" width="11.54296875" style="1247" bestFit="1" customWidth="1"/>
    <col min="3326" max="3326" width="12.1796875" style="1247" bestFit="1" customWidth="1"/>
    <col min="3327" max="3327" width="16.1796875" style="1247" bestFit="1" customWidth="1"/>
    <col min="3328" max="3330" width="11.54296875" style="1247" bestFit="1" customWidth="1"/>
    <col min="3331" max="3331" width="13.453125" style="1247" bestFit="1" customWidth="1"/>
    <col min="3332" max="3332" width="11.54296875" style="1247" customWidth="1"/>
    <col min="3333" max="3333" width="10.81640625" style="1247" bestFit="1" customWidth="1"/>
    <col min="3334" max="3542" width="9.1796875" style="1247"/>
    <col min="3543" max="3543" width="2.7265625" style="1247" customWidth="1"/>
    <col min="3544" max="3544" width="6.1796875" style="1247" customWidth="1"/>
    <col min="3545" max="3545" width="15.453125" style="1247" bestFit="1" customWidth="1"/>
    <col min="3546" max="3546" width="5.26953125" style="1247" bestFit="1" customWidth="1"/>
    <col min="3547" max="3557" width="10.7265625" style="1247" customWidth="1"/>
    <col min="3558" max="3558" width="13.7265625" style="1247" customWidth="1"/>
    <col min="3559" max="3559" width="11" style="1247" bestFit="1" customWidth="1"/>
    <col min="3560" max="3560" width="4.1796875" style="1247" bestFit="1" customWidth="1"/>
    <col min="3561" max="3561" width="9.1796875" style="1247"/>
    <col min="3562" max="3562" width="3.1796875" style="1247" bestFit="1" customWidth="1"/>
    <col min="3563" max="3563" width="9.1796875" style="1247"/>
    <col min="3564" max="3564" width="17.453125" style="1247" customWidth="1"/>
    <col min="3565" max="3565" width="5.7265625" style="1247" bestFit="1" customWidth="1"/>
    <col min="3566" max="3574" width="13.1796875" style="1247" customWidth="1"/>
    <col min="3575" max="3575" width="15" style="1247" customWidth="1"/>
    <col min="3576" max="3577" width="10.453125" style="1247" customWidth="1"/>
    <col min="3578" max="3581" width="11.54296875" style="1247" bestFit="1" customWidth="1"/>
    <col min="3582" max="3582" width="12.1796875" style="1247" bestFit="1" customWidth="1"/>
    <col min="3583" max="3583" width="16.1796875" style="1247" bestFit="1" customWidth="1"/>
    <col min="3584" max="3586" width="11.54296875" style="1247" bestFit="1" customWidth="1"/>
    <col min="3587" max="3587" width="13.453125" style="1247" bestFit="1" customWidth="1"/>
    <col min="3588" max="3588" width="11.54296875" style="1247" customWidth="1"/>
    <col min="3589" max="3589" width="10.81640625" style="1247" bestFit="1" customWidth="1"/>
    <col min="3590" max="3798" width="9.1796875" style="1247"/>
    <col min="3799" max="3799" width="2.7265625" style="1247" customWidth="1"/>
    <col min="3800" max="3800" width="6.1796875" style="1247" customWidth="1"/>
    <col min="3801" max="3801" width="15.453125" style="1247" bestFit="1" customWidth="1"/>
    <col min="3802" max="3802" width="5.26953125" style="1247" bestFit="1" customWidth="1"/>
    <col min="3803" max="3813" width="10.7265625" style="1247" customWidth="1"/>
    <col min="3814" max="3814" width="13.7265625" style="1247" customWidth="1"/>
    <col min="3815" max="3815" width="11" style="1247" bestFit="1" customWidth="1"/>
    <col min="3816" max="3816" width="4.1796875" style="1247" bestFit="1" customWidth="1"/>
    <col min="3817" max="3817" width="9.1796875" style="1247"/>
    <col min="3818" max="3818" width="3.1796875" style="1247" bestFit="1" customWidth="1"/>
    <col min="3819" max="3819" width="9.1796875" style="1247"/>
    <col min="3820" max="3820" width="17.453125" style="1247" customWidth="1"/>
    <col min="3821" max="3821" width="5.7265625" style="1247" bestFit="1" customWidth="1"/>
    <col min="3822" max="3830" width="13.1796875" style="1247" customWidth="1"/>
    <col min="3831" max="3831" width="15" style="1247" customWidth="1"/>
    <col min="3832" max="3833" width="10.453125" style="1247" customWidth="1"/>
    <col min="3834" max="3837" width="11.54296875" style="1247" bestFit="1" customWidth="1"/>
    <col min="3838" max="3838" width="12.1796875" style="1247" bestFit="1" customWidth="1"/>
    <col min="3839" max="3839" width="16.1796875" style="1247" bestFit="1" customWidth="1"/>
    <col min="3840" max="3842" width="11.54296875" style="1247" bestFit="1" customWidth="1"/>
    <col min="3843" max="3843" width="13.453125" style="1247" bestFit="1" customWidth="1"/>
    <col min="3844" max="3844" width="11.54296875" style="1247" customWidth="1"/>
    <col min="3845" max="3845" width="10.81640625" style="1247" bestFit="1" customWidth="1"/>
    <col min="3846" max="4054" width="9.1796875" style="1247"/>
    <col min="4055" max="4055" width="2.7265625" style="1247" customWidth="1"/>
    <col min="4056" max="4056" width="6.1796875" style="1247" customWidth="1"/>
    <col min="4057" max="4057" width="15.453125" style="1247" bestFit="1" customWidth="1"/>
    <col min="4058" max="4058" width="5.26953125" style="1247" bestFit="1" customWidth="1"/>
    <col min="4059" max="4069" width="10.7265625" style="1247" customWidth="1"/>
    <col min="4070" max="4070" width="13.7265625" style="1247" customWidth="1"/>
    <col min="4071" max="4071" width="11" style="1247" bestFit="1" customWidth="1"/>
    <col min="4072" max="4072" width="4.1796875" style="1247" bestFit="1" customWidth="1"/>
    <col min="4073" max="4073" width="9.1796875" style="1247"/>
    <col min="4074" max="4074" width="3.1796875" style="1247" bestFit="1" customWidth="1"/>
    <col min="4075" max="4075" width="9.1796875" style="1247"/>
    <col min="4076" max="4076" width="17.453125" style="1247" customWidth="1"/>
    <col min="4077" max="4077" width="5.7265625" style="1247" bestFit="1" customWidth="1"/>
    <col min="4078" max="4086" width="13.1796875" style="1247" customWidth="1"/>
    <col min="4087" max="4087" width="15" style="1247" customWidth="1"/>
    <col min="4088" max="4089" width="10.453125" style="1247" customWidth="1"/>
    <col min="4090" max="4093" width="11.54296875" style="1247" bestFit="1" customWidth="1"/>
    <col min="4094" max="4094" width="12.1796875" style="1247" bestFit="1" customWidth="1"/>
    <col min="4095" max="4095" width="16.1796875" style="1247" bestFit="1" customWidth="1"/>
    <col min="4096" max="4098" width="11.54296875" style="1247" bestFit="1" customWidth="1"/>
    <col min="4099" max="4099" width="13.453125" style="1247" bestFit="1" customWidth="1"/>
    <col min="4100" max="4100" width="11.54296875" style="1247" customWidth="1"/>
    <col min="4101" max="4101" width="10.81640625" style="1247" bestFit="1" customWidth="1"/>
    <col min="4102" max="4310" width="9.1796875" style="1247"/>
    <col min="4311" max="4311" width="2.7265625" style="1247" customWidth="1"/>
    <col min="4312" max="4312" width="6.1796875" style="1247" customWidth="1"/>
    <col min="4313" max="4313" width="15.453125" style="1247" bestFit="1" customWidth="1"/>
    <col min="4314" max="4314" width="5.26953125" style="1247" bestFit="1" customWidth="1"/>
    <col min="4315" max="4325" width="10.7265625" style="1247" customWidth="1"/>
    <col min="4326" max="4326" width="13.7265625" style="1247" customWidth="1"/>
    <col min="4327" max="4327" width="11" style="1247" bestFit="1" customWidth="1"/>
    <col min="4328" max="4328" width="4.1796875" style="1247" bestFit="1" customWidth="1"/>
    <col min="4329" max="4329" width="9.1796875" style="1247"/>
    <col min="4330" max="4330" width="3.1796875" style="1247" bestFit="1" customWidth="1"/>
    <col min="4331" max="4331" width="9.1796875" style="1247"/>
    <col min="4332" max="4332" width="17.453125" style="1247" customWidth="1"/>
    <col min="4333" max="4333" width="5.7265625" style="1247" bestFit="1" customWidth="1"/>
    <col min="4334" max="4342" width="13.1796875" style="1247" customWidth="1"/>
    <col min="4343" max="4343" width="15" style="1247" customWidth="1"/>
    <col min="4344" max="4345" width="10.453125" style="1247" customWidth="1"/>
    <col min="4346" max="4349" width="11.54296875" style="1247" bestFit="1" customWidth="1"/>
    <col min="4350" max="4350" width="12.1796875" style="1247" bestFit="1" customWidth="1"/>
    <col min="4351" max="4351" width="16.1796875" style="1247" bestFit="1" customWidth="1"/>
    <col min="4352" max="4354" width="11.54296875" style="1247" bestFit="1" customWidth="1"/>
    <col min="4355" max="4355" width="13.453125" style="1247" bestFit="1" customWidth="1"/>
    <col min="4356" max="4356" width="11.54296875" style="1247" customWidth="1"/>
    <col min="4357" max="4357" width="10.81640625" style="1247" bestFit="1" customWidth="1"/>
    <col min="4358" max="4566" width="9.1796875" style="1247"/>
    <col min="4567" max="4567" width="2.7265625" style="1247" customWidth="1"/>
    <col min="4568" max="4568" width="6.1796875" style="1247" customWidth="1"/>
    <col min="4569" max="4569" width="15.453125" style="1247" bestFit="1" customWidth="1"/>
    <col min="4570" max="4570" width="5.26953125" style="1247" bestFit="1" customWidth="1"/>
    <col min="4571" max="4581" width="10.7265625" style="1247" customWidth="1"/>
    <col min="4582" max="4582" width="13.7265625" style="1247" customWidth="1"/>
    <col min="4583" max="4583" width="11" style="1247" bestFit="1" customWidth="1"/>
    <col min="4584" max="4584" width="4.1796875" style="1247" bestFit="1" customWidth="1"/>
    <col min="4585" max="4585" width="9.1796875" style="1247"/>
    <col min="4586" max="4586" width="3.1796875" style="1247" bestFit="1" customWidth="1"/>
    <col min="4587" max="4587" width="9.1796875" style="1247"/>
    <col min="4588" max="4588" width="17.453125" style="1247" customWidth="1"/>
    <col min="4589" max="4589" width="5.7265625" style="1247" bestFit="1" customWidth="1"/>
    <col min="4590" max="4598" width="13.1796875" style="1247" customWidth="1"/>
    <col min="4599" max="4599" width="15" style="1247" customWidth="1"/>
    <col min="4600" max="4601" width="10.453125" style="1247" customWidth="1"/>
    <col min="4602" max="4605" width="11.54296875" style="1247" bestFit="1" customWidth="1"/>
    <col min="4606" max="4606" width="12.1796875" style="1247" bestFit="1" customWidth="1"/>
    <col min="4607" max="4607" width="16.1796875" style="1247" bestFit="1" customWidth="1"/>
    <col min="4608" max="4610" width="11.54296875" style="1247" bestFit="1" customWidth="1"/>
    <col min="4611" max="4611" width="13.453125" style="1247" bestFit="1" customWidth="1"/>
    <col min="4612" max="4612" width="11.54296875" style="1247" customWidth="1"/>
    <col min="4613" max="4613" width="10.81640625" style="1247" bestFit="1" customWidth="1"/>
    <col min="4614" max="4822" width="9.1796875" style="1247"/>
    <col min="4823" max="4823" width="2.7265625" style="1247" customWidth="1"/>
    <col min="4824" max="4824" width="6.1796875" style="1247" customWidth="1"/>
    <col min="4825" max="4825" width="15.453125" style="1247" bestFit="1" customWidth="1"/>
    <col min="4826" max="4826" width="5.26953125" style="1247" bestFit="1" customWidth="1"/>
    <col min="4827" max="4837" width="10.7265625" style="1247" customWidth="1"/>
    <col min="4838" max="4838" width="13.7265625" style="1247" customWidth="1"/>
    <col min="4839" max="4839" width="11" style="1247" bestFit="1" customWidth="1"/>
    <col min="4840" max="4840" width="4.1796875" style="1247" bestFit="1" customWidth="1"/>
    <col min="4841" max="4841" width="9.1796875" style="1247"/>
    <col min="4842" max="4842" width="3.1796875" style="1247" bestFit="1" customWidth="1"/>
    <col min="4843" max="4843" width="9.1796875" style="1247"/>
    <col min="4844" max="4844" width="17.453125" style="1247" customWidth="1"/>
    <col min="4845" max="4845" width="5.7265625" style="1247" bestFit="1" customWidth="1"/>
    <col min="4846" max="4854" width="13.1796875" style="1247" customWidth="1"/>
    <col min="4855" max="4855" width="15" style="1247" customWidth="1"/>
    <col min="4856" max="4857" width="10.453125" style="1247" customWidth="1"/>
    <col min="4858" max="4861" width="11.54296875" style="1247" bestFit="1" customWidth="1"/>
    <col min="4862" max="4862" width="12.1796875" style="1247" bestFit="1" customWidth="1"/>
    <col min="4863" max="4863" width="16.1796875" style="1247" bestFit="1" customWidth="1"/>
    <col min="4864" max="4866" width="11.54296875" style="1247" bestFit="1" customWidth="1"/>
    <col min="4867" max="4867" width="13.453125" style="1247" bestFit="1" customWidth="1"/>
    <col min="4868" max="4868" width="11.54296875" style="1247" customWidth="1"/>
    <col min="4869" max="4869" width="10.81640625" style="1247" bestFit="1" customWidth="1"/>
    <col min="4870" max="5078" width="9.1796875" style="1247"/>
    <col min="5079" max="5079" width="2.7265625" style="1247" customWidth="1"/>
    <col min="5080" max="5080" width="6.1796875" style="1247" customWidth="1"/>
    <col min="5081" max="5081" width="15.453125" style="1247" bestFit="1" customWidth="1"/>
    <col min="5082" max="5082" width="5.26953125" style="1247" bestFit="1" customWidth="1"/>
    <col min="5083" max="5093" width="10.7265625" style="1247" customWidth="1"/>
    <col min="5094" max="5094" width="13.7265625" style="1247" customWidth="1"/>
    <col min="5095" max="5095" width="11" style="1247" bestFit="1" customWidth="1"/>
    <col min="5096" max="5096" width="4.1796875" style="1247" bestFit="1" customWidth="1"/>
    <col min="5097" max="5097" width="9.1796875" style="1247"/>
    <col min="5098" max="5098" width="3.1796875" style="1247" bestFit="1" customWidth="1"/>
    <col min="5099" max="5099" width="9.1796875" style="1247"/>
    <col min="5100" max="5100" width="17.453125" style="1247" customWidth="1"/>
    <col min="5101" max="5101" width="5.7265625" style="1247" bestFit="1" customWidth="1"/>
    <col min="5102" max="5110" width="13.1796875" style="1247" customWidth="1"/>
    <col min="5111" max="5111" width="15" style="1247" customWidth="1"/>
    <col min="5112" max="5113" width="10.453125" style="1247" customWidth="1"/>
    <col min="5114" max="5117" width="11.54296875" style="1247" bestFit="1" customWidth="1"/>
    <col min="5118" max="5118" width="12.1796875" style="1247" bestFit="1" customWidth="1"/>
    <col min="5119" max="5119" width="16.1796875" style="1247" bestFit="1" customWidth="1"/>
    <col min="5120" max="5122" width="11.54296875" style="1247" bestFit="1" customWidth="1"/>
    <col min="5123" max="5123" width="13.453125" style="1247" bestFit="1" customWidth="1"/>
    <col min="5124" max="5124" width="11.54296875" style="1247" customWidth="1"/>
    <col min="5125" max="5125" width="10.81640625" style="1247" bestFit="1" customWidth="1"/>
    <col min="5126" max="5334" width="9.1796875" style="1247"/>
    <col min="5335" max="5335" width="2.7265625" style="1247" customWidth="1"/>
    <col min="5336" max="5336" width="6.1796875" style="1247" customWidth="1"/>
    <col min="5337" max="5337" width="15.453125" style="1247" bestFit="1" customWidth="1"/>
    <col min="5338" max="5338" width="5.26953125" style="1247" bestFit="1" customWidth="1"/>
    <col min="5339" max="5349" width="10.7265625" style="1247" customWidth="1"/>
    <col min="5350" max="5350" width="13.7265625" style="1247" customWidth="1"/>
    <col min="5351" max="5351" width="11" style="1247" bestFit="1" customWidth="1"/>
    <col min="5352" max="5352" width="4.1796875" style="1247" bestFit="1" customWidth="1"/>
    <col min="5353" max="5353" width="9.1796875" style="1247"/>
    <col min="5354" max="5354" width="3.1796875" style="1247" bestFit="1" customWidth="1"/>
    <col min="5355" max="5355" width="9.1796875" style="1247"/>
    <col min="5356" max="5356" width="17.453125" style="1247" customWidth="1"/>
    <col min="5357" max="5357" width="5.7265625" style="1247" bestFit="1" customWidth="1"/>
    <col min="5358" max="5366" width="13.1796875" style="1247" customWidth="1"/>
    <col min="5367" max="5367" width="15" style="1247" customWidth="1"/>
    <col min="5368" max="5369" width="10.453125" style="1247" customWidth="1"/>
    <col min="5370" max="5373" width="11.54296875" style="1247" bestFit="1" customWidth="1"/>
    <col min="5374" max="5374" width="12.1796875" style="1247" bestFit="1" customWidth="1"/>
    <col min="5375" max="5375" width="16.1796875" style="1247" bestFit="1" customWidth="1"/>
    <col min="5376" max="5378" width="11.54296875" style="1247" bestFit="1" customWidth="1"/>
    <col min="5379" max="5379" width="13.453125" style="1247" bestFit="1" customWidth="1"/>
    <col min="5380" max="5380" width="11.54296875" style="1247" customWidth="1"/>
    <col min="5381" max="5381" width="10.81640625" style="1247" bestFit="1" customWidth="1"/>
    <col min="5382" max="5590" width="9.1796875" style="1247"/>
    <col min="5591" max="5591" width="2.7265625" style="1247" customWidth="1"/>
    <col min="5592" max="5592" width="6.1796875" style="1247" customWidth="1"/>
    <col min="5593" max="5593" width="15.453125" style="1247" bestFit="1" customWidth="1"/>
    <col min="5594" max="5594" width="5.26953125" style="1247" bestFit="1" customWidth="1"/>
    <col min="5595" max="5605" width="10.7265625" style="1247" customWidth="1"/>
    <col min="5606" max="5606" width="13.7265625" style="1247" customWidth="1"/>
    <col min="5607" max="5607" width="11" style="1247" bestFit="1" customWidth="1"/>
    <col min="5608" max="5608" width="4.1796875" style="1247" bestFit="1" customWidth="1"/>
    <col min="5609" max="5609" width="9.1796875" style="1247"/>
    <col min="5610" max="5610" width="3.1796875" style="1247" bestFit="1" customWidth="1"/>
    <col min="5611" max="5611" width="9.1796875" style="1247"/>
    <col min="5612" max="5612" width="17.453125" style="1247" customWidth="1"/>
    <col min="5613" max="5613" width="5.7265625" style="1247" bestFit="1" customWidth="1"/>
    <col min="5614" max="5622" width="13.1796875" style="1247" customWidth="1"/>
    <col min="5623" max="5623" width="15" style="1247" customWidth="1"/>
    <col min="5624" max="5625" width="10.453125" style="1247" customWidth="1"/>
    <col min="5626" max="5629" width="11.54296875" style="1247" bestFit="1" customWidth="1"/>
    <col min="5630" max="5630" width="12.1796875" style="1247" bestFit="1" customWidth="1"/>
    <col min="5631" max="5631" width="16.1796875" style="1247" bestFit="1" customWidth="1"/>
    <col min="5632" max="5634" width="11.54296875" style="1247" bestFit="1" customWidth="1"/>
    <col min="5635" max="5635" width="13.453125" style="1247" bestFit="1" customWidth="1"/>
    <col min="5636" max="5636" width="11.54296875" style="1247" customWidth="1"/>
    <col min="5637" max="5637" width="10.81640625" style="1247" bestFit="1" customWidth="1"/>
    <col min="5638" max="5846" width="9.1796875" style="1247"/>
    <col min="5847" max="5847" width="2.7265625" style="1247" customWidth="1"/>
    <col min="5848" max="5848" width="6.1796875" style="1247" customWidth="1"/>
    <col min="5849" max="5849" width="15.453125" style="1247" bestFit="1" customWidth="1"/>
    <col min="5850" max="5850" width="5.26953125" style="1247" bestFit="1" customWidth="1"/>
    <col min="5851" max="5861" width="10.7265625" style="1247" customWidth="1"/>
    <col min="5862" max="5862" width="13.7265625" style="1247" customWidth="1"/>
    <col min="5863" max="5863" width="11" style="1247" bestFit="1" customWidth="1"/>
    <col min="5864" max="5864" width="4.1796875" style="1247" bestFit="1" customWidth="1"/>
    <col min="5865" max="5865" width="9.1796875" style="1247"/>
    <col min="5866" max="5866" width="3.1796875" style="1247" bestFit="1" customWidth="1"/>
    <col min="5867" max="5867" width="9.1796875" style="1247"/>
    <col min="5868" max="5868" width="17.453125" style="1247" customWidth="1"/>
    <col min="5869" max="5869" width="5.7265625" style="1247" bestFit="1" customWidth="1"/>
    <col min="5870" max="5878" width="13.1796875" style="1247" customWidth="1"/>
    <col min="5879" max="5879" width="15" style="1247" customWidth="1"/>
    <col min="5880" max="5881" width="10.453125" style="1247" customWidth="1"/>
    <col min="5882" max="5885" width="11.54296875" style="1247" bestFit="1" customWidth="1"/>
    <col min="5886" max="5886" width="12.1796875" style="1247" bestFit="1" customWidth="1"/>
    <col min="5887" max="5887" width="16.1796875" style="1247" bestFit="1" customWidth="1"/>
    <col min="5888" max="5890" width="11.54296875" style="1247" bestFit="1" customWidth="1"/>
    <col min="5891" max="5891" width="13.453125" style="1247" bestFit="1" customWidth="1"/>
    <col min="5892" max="5892" width="11.54296875" style="1247" customWidth="1"/>
    <col min="5893" max="5893" width="10.81640625" style="1247" bestFit="1" customWidth="1"/>
    <col min="5894" max="6102" width="9.1796875" style="1247"/>
    <col min="6103" max="6103" width="2.7265625" style="1247" customWidth="1"/>
    <col min="6104" max="6104" width="6.1796875" style="1247" customWidth="1"/>
    <col min="6105" max="6105" width="15.453125" style="1247" bestFit="1" customWidth="1"/>
    <col min="6106" max="6106" width="5.26953125" style="1247" bestFit="1" customWidth="1"/>
    <col min="6107" max="6117" width="10.7265625" style="1247" customWidth="1"/>
    <col min="6118" max="6118" width="13.7265625" style="1247" customWidth="1"/>
    <col min="6119" max="6119" width="11" style="1247" bestFit="1" customWidth="1"/>
    <col min="6120" max="6120" width="4.1796875" style="1247" bestFit="1" customWidth="1"/>
    <col min="6121" max="6121" width="9.1796875" style="1247"/>
    <col min="6122" max="6122" width="3.1796875" style="1247" bestFit="1" customWidth="1"/>
    <col min="6123" max="6123" width="9.1796875" style="1247"/>
    <col min="6124" max="6124" width="17.453125" style="1247" customWidth="1"/>
    <col min="6125" max="6125" width="5.7265625" style="1247" bestFit="1" customWidth="1"/>
    <col min="6126" max="6134" width="13.1796875" style="1247" customWidth="1"/>
    <col min="6135" max="6135" width="15" style="1247" customWidth="1"/>
    <col min="6136" max="6137" width="10.453125" style="1247" customWidth="1"/>
    <col min="6138" max="6141" width="11.54296875" style="1247" bestFit="1" customWidth="1"/>
    <col min="6142" max="6142" width="12.1796875" style="1247" bestFit="1" customWidth="1"/>
    <col min="6143" max="6143" width="16.1796875" style="1247" bestFit="1" customWidth="1"/>
    <col min="6144" max="6146" width="11.54296875" style="1247" bestFit="1" customWidth="1"/>
    <col min="6147" max="6147" width="13.453125" style="1247" bestFit="1" customWidth="1"/>
    <col min="6148" max="6148" width="11.54296875" style="1247" customWidth="1"/>
    <col min="6149" max="6149" width="10.81640625" style="1247" bestFit="1" customWidth="1"/>
    <col min="6150" max="6358" width="9.1796875" style="1247"/>
    <col min="6359" max="6359" width="2.7265625" style="1247" customWidth="1"/>
    <col min="6360" max="6360" width="6.1796875" style="1247" customWidth="1"/>
    <col min="6361" max="6361" width="15.453125" style="1247" bestFit="1" customWidth="1"/>
    <col min="6362" max="6362" width="5.26953125" style="1247" bestFit="1" customWidth="1"/>
    <col min="6363" max="6373" width="10.7265625" style="1247" customWidth="1"/>
    <col min="6374" max="6374" width="13.7265625" style="1247" customWidth="1"/>
    <col min="6375" max="6375" width="11" style="1247" bestFit="1" customWidth="1"/>
    <col min="6376" max="6376" width="4.1796875" style="1247" bestFit="1" customWidth="1"/>
    <col min="6377" max="6377" width="9.1796875" style="1247"/>
    <col min="6378" max="6378" width="3.1796875" style="1247" bestFit="1" customWidth="1"/>
    <col min="6379" max="6379" width="9.1796875" style="1247"/>
    <col min="6380" max="6380" width="17.453125" style="1247" customWidth="1"/>
    <col min="6381" max="6381" width="5.7265625" style="1247" bestFit="1" customWidth="1"/>
    <col min="6382" max="6390" width="13.1796875" style="1247" customWidth="1"/>
    <col min="6391" max="6391" width="15" style="1247" customWidth="1"/>
    <col min="6392" max="6393" width="10.453125" style="1247" customWidth="1"/>
    <col min="6394" max="6397" width="11.54296875" style="1247" bestFit="1" customWidth="1"/>
    <col min="6398" max="6398" width="12.1796875" style="1247" bestFit="1" customWidth="1"/>
    <col min="6399" max="6399" width="16.1796875" style="1247" bestFit="1" customWidth="1"/>
    <col min="6400" max="6402" width="11.54296875" style="1247" bestFit="1" customWidth="1"/>
    <col min="6403" max="6403" width="13.453125" style="1247" bestFit="1" customWidth="1"/>
    <col min="6404" max="6404" width="11.54296875" style="1247" customWidth="1"/>
    <col min="6405" max="6405" width="10.81640625" style="1247" bestFit="1" customWidth="1"/>
    <col min="6406" max="6614" width="9.1796875" style="1247"/>
    <col min="6615" max="6615" width="2.7265625" style="1247" customWidth="1"/>
    <col min="6616" max="6616" width="6.1796875" style="1247" customWidth="1"/>
    <col min="6617" max="6617" width="15.453125" style="1247" bestFit="1" customWidth="1"/>
    <col min="6618" max="6618" width="5.26953125" style="1247" bestFit="1" customWidth="1"/>
    <col min="6619" max="6629" width="10.7265625" style="1247" customWidth="1"/>
    <col min="6630" max="6630" width="13.7265625" style="1247" customWidth="1"/>
    <col min="6631" max="6631" width="11" style="1247" bestFit="1" customWidth="1"/>
    <col min="6632" max="6632" width="4.1796875" style="1247" bestFit="1" customWidth="1"/>
    <col min="6633" max="6633" width="9.1796875" style="1247"/>
    <col min="6634" max="6634" width="3.1796875" style="1247" bestFit="1" customWidth="1"/>
    <col min="6635" max="6635" width="9.1796875" style="1247"/>
    <col min="6636" max="6636" width="17.453125" style="1247" customWidth="1"/>
    <col min="6637" max="6637" width="5.7265625" style="1247" bestFit="1" customWidth="1"/>
    <col min="6638" max="6646" width="13.1796875" style="1247" customWidth="1"/>
    <col min="6647" max="6647" width="15" style="1247" customWidth="1"/>
    <col min="6648" max="6649" width="10.453125" style="1247" customWidth="1"/>
    <col min="6650" max="6653" width="11.54296875" style="1247" bestFit="1" customWidth="1"/>
    <col min="6654" max="6654" width="12.1796875" style="1247" bestFit="1" customWidth="1"/>
    <col min="6655" max="6655" width="16.1796875" style="1247" bestFit="1" customWidth="1"/>
    <col min="6656" max="6658" width="11.54296875" style="1247" bestFit="1" customWidth="1"/>
    <col min="6659" max="6659" width="13.453125" style="1247" bestFit="1" customWidth="1"/>
    <col min="6660" max="6660" width="11.54296875" style="1247" customWidth="1"/>
    <col min="6661" max="6661" width="10.81640625" style="1247" bestFit="1" customWidth="1"/>
    <col min="6662" max="6870" width="9.1796875" style="1247"/>
    <col min="6871" max="6871" width="2.7265625" style="1247" customWidth="1"/>
    <col min="6872" max="6872" width="6.1796875" style="1247" customWidth="1"/>
    <col min="6873" max="6873" width="15.453125" style="1247" bestFit="1" customWidth="1"/>
    <col min="6874" max="6874" width="5.26953125" style="1247" bestFit="1" customWidth="1"/>
    <col min="6875" max="6885" width="10.7265625" style="1247" customWidth="1"/>
    <col min="6886" max="6886" width="13.7265625" style="1247" customWidth="1"/>
    <col min="6887" max="6887" width="11" style="1247" bestFit="1" customWidth="1"/>
    <col min="6888" max="6888" width="4.1796875" style="1247" bestFit="1" customWidth="1"/>
    <col min="6889" max="6889" width="9.1796875" style="1247"/>
    <col min="6890" max="6890" width="3.1796875" style="1247" bestFit="1" customWidth="1"/>
    <col min="6891" max="6891" width="9.1796875" style="1247"/>
    <col min="6892" max="6892" width="17.453125" style="1247" customWidth="1"/>
    <col min="6893" max="6893" width="5.7265625" style="1247" bestFit="1" customWidth="1"/>
    <col min="6894" max="6902" width="13.1796875" style="1247" customWidth="1"/>
    <col min="6903" max="6903" width="15" style="1247" customWidth="1"/>
    <col min="6904" max="6905" width="10.453125" style="1247" customWidth="1"/>
    <col min="6906" max="6909" width="11.54296875" style="1247" bestFit="1" customWidth="1"/>
    <col min="6910" max="6910" width="12.1796875" style="1247" bestFit="1" customWidth="1"/>
    <col min="6911" max="6911" width="16.1796875" style="1247" bestFit="1" customWidth="1"/>
    <col min="6912" max="6914" width="11.54296875" style="1247" bestFit="1" customWidth="1"/>
    <col min="6915" max="6915" width="13.453125" style="1247" bestFit="1" customWidth="1"/>
    <col min="6916" max="6916" width="11.54296875" style="1247" customWidth="1"/>
    <col min="6917" max="6917" width="10.81640625" style="1247" bestFit="1" customWidth="1"/>
    <col min="6918" max="7126" width="9.1796875" style="1247"/>
    <col min="7127" max="7127" width="2.7265625" style="1247" customWidth="1"/>
    <col min="7128" max="7128" width="6.1796875" style="1247" customWidth="1"/>
    <col min="7129" max="7129" width="15.453125" style="1247" bestFit="1" customWidth="1"/>
    <col min="7130" max="7130" width="5.26953125" style="1247" bestFit="1" customWidth="1"/>
    <col min="7131" max="7141" width="10.7265625" style="1247" customWidth="1"/>
    <col min="7142" max="7142" width="13.7265625" style="1247" customWidth="1"/>
    <col min="7143" max="7143" width="11" style="1247" bestFit="1" customWidth="1"/>
    <col min="7144" max="7144" width="4.1796875" style="1247" bestFit="1" customWidth="1"/>
    <col min="7145" max="7145" width="9.1796875" style="1247"/>
    <col min="7146" max="7146" width="3.1796875" style="1247" bestFit="1" customWidth="1"/>
    <col min="7147" max="7147" width="9.1796875" style="1247"/>
    <col min="7148" max="7148" width="17.453125" style="1247" customWidth="1"/>
    <col min="7149" max="7149" width="5.7265625" style="1247" bestFit="1" customWidth="1"/>
    <col min="7150" max="7158" width="13.1796875" style="1247" customWidth="1"/>
    <col min="7159" max="7159" width="15" style="1247" customWidth="1"/>
    <col min="7160" max="7161" width="10.453125" style="1247" customWidth="1"/>
    <col min="7162" max="7165" width="11.54296875" style="1247" bestFit="1" customWidth="1"/>
    <col min="7166" max="7166" width="12.1796875" style="1247" bestFit="1" customWidth="1"/>
    <col min="7167" max="7167" width="16.1796875" style="1247" bestFit="1" customWidth="1"/>
    <col min="7168" max="7170" width="11.54296875" style="1247" bestFit="1" customWidth="1"/>
    <col min="7171" max="7171" width="13.453125" style="1247" bestFit="1" customWidth="1"/>
    <col min="7172" max="7172" width="11.54296875" style="1247" customWidth="1"/>
    <col min="7173" max="7173" width="10.81640625" style="1247" bestFit="1" customWidth="1"/>
    <col min="7174" max="7382" width="9.1796875" style="1247"/>
    <col min="7383" max="7383" width="2.7265625" style="1247" customWidth="1"/>
    <col min="7384" max="7384" width="6.1796875" style="1247" customWidth="1"/>
    <col min="7385" max="7385" width="15.453125" style="1247" bestFit="1" customWidth="1"/>
    <col min="7386" max="7386" width="5.26953125" style="1247" bestFit="1" customWidth="1"/>
    <col min="7387" max="7397" width="10.7265625" style="1247" customWidth="1"/>
    <col min="7398" max="7398" width="13.7265625" style="1247" customWidth="1"/>
    <col min="7399" max="7399" width="11" style="1247" bestFit="1" customWidth="1"/>
    <col min="7400" max="7400" width="4.1796875" style="1247" bestFit="1" customWidth="1"/>
    <col min="7401" max="7401" width="9.1796875" style="1247"/>
    <col min="7402" max="7402" width="3.1796875" style="1247" bestFit="1" customWidth="1"/>
    <col min="7403" max="7403" width="9.1796875" style="1247"/>
    <col min="7404" max="7404" width="17.453125" style="1247" customWidth="1"/>
    <col min="7405" max="7405" width="5.7265625" style="1247" bestFit="1" customWidth="1"/>
    <col min="7406" max="7414" width="13.1796875" style="1247" customWidth="1"/>
    <col min="7415" max="7415" width="15" style="1247" customWidth="1"/>
    <col min="7416" max="7417" width="10.453125" style="1247" customWidth="1"/>
    <col min="7418" max="7421" width="11.54296875" style="1247" bestFit="1" customWidth="1"/>
    <col min="7422" max="7422" width="12.1796875" style="1247" bestFit="1" customWidth="1"/>
    <col min="7423" max="7423" width="16.1796875" style="1247" bestFit="1" customWidth="1"/>
    <col min="7424" max="7426" width="11.54296875" style="1247" bestFit="1" customWidth="1"/>
    <col min="7427" max="7427" width="13.453125" style="1247" bestFit="1" customWidth="1"/>
    <col min="7428" max="7428" width="11.54296875" style="1247" customWidth="1"/>
    <col min="7429" max="7429" width="10.81640625" style="1247" bestFit="1" customWidth="1"/>
    <col min="7430" max="7638" width="9.1796875" style="1247"/>
    <col min="7639" max="7639" width="2.7265625" style="1247" customWidth="1"/>
    <col min="7640" max="7640" width="6.1796875" style="1247" customWidth="1"/>
    <col min="7641" max="7641" width="15.453125" style="1247" bestFit="1" customWidth="1"/>
    <col min="7642" max="7642" width="5.26953125" style="1247" bestFit="1" customWidth="1"/>
    <col min="7643" max="7653" width="10.7265625" style="1247" customWidth="1"/>
    <col min="7654" max="7654" width="13.7265625" style="1247" customWidth="1"/>
    <col min="7655" max="7655" width="11" style="1247" bestFit="1" customWidth="1"/>
    <col min="7656" max="7656" width="4.1796875" style="1247" bestFit="1" customWidth="1"/>
    <col min="7657" max="7657" width="9.1796875" style="1247"/>
    <col min="7658" max="7658" width="3.1796875" style="1247" bestFit="1" customWidth="1"/>
    <col min="7659" max="7659" width="9.1796875" style="1247"/>
    <col min="7660" max="7660" width="17.453125" style="1247" customWidth="1"/>
    <col min="7661" max="7661" width="5.7265625" style="1247" bestFit="1" customWidth="1"/>
    <col min="7662" max="7670" width="13.1796875" style="1247" customWidth="1"/>
    <col min="7671" max="7671" width="15" style="1247" customWidth="1"/>
    <col min="7672" max="7673" width="10.453125" style="1247" customWidth="1"/>
    <col min="7674" max="7677" width="11.54296875" style="1247" bestFit="1" customWidth="1"/>
    <col min="7678" max="7678" width="12.1796875" style="1247" bestFit="1" customWidth="1"/>
    <col min="7679" max="7679" width="16.1796875" style="1247" bestFit="1" customWidth="1"/>
    <col min="7680" max="7682" width="11.54296875" style="1247" bestFit="1" customWidth="1"/>
    <col min="7683" max="7683" width="13.453125" style="1247" bestFit="1" customWidth="1"/>
    <col min="7684" max="7684" width="11.54296875" style="1247" customWidth="1"/>
    <col min="7685" max="7685" width="10.81640625" style="1247" bestFit="1" customWidth="1"/>
    <col min="7686" max="7894" width="9.1796875" style="1247"/>
    <col min="7895" max="7895" width="2.7265625" style="1247" customWidth="1"/>
    <col min="7896" max="7896" width="6.1796875" style="1247" customWidth="1"/>
    <col min="7897" max="7897" width="15.453125" style="1247" bestFit="1" customWidth="1"/>
    <col min="7898" max="7898" width="5.26953125" style="1247" bestFit="1" customWidth="1"/>
    <col min="7899" max="7909" width="10.7265625" style="1247" customWidth="1"/>
    <col min="7910" max="7910" width="13.7265625" style="1247" customWidth="1"/>
    <col min="7911" max="7911" width="11" style="1247" bestFit="1" customWidth="1"/>
    <col min="7912" max="7912" width="4.1796875" style="1247" bestFit="1" customWidth="1"/>
    <col min="7913" max="7913" width="9.1796875" style="1247"/>
    <col min="7914" max="7914" width="3.1796875" style="1247" bestFit="1" customWidth="1"/>
    <col min="7915" max="7915" width="9.1796875" style="1247"/>
    <col min="7916" max="7916" width="17.453125" style="1247" customWidth="1"/>
    <col min="7917" max="7917" width="5.7265625" style="1247" bestFit="1" customWidth="1"/>
    <col min="7918" max="7926" width="13.1796875" style="1247" customWidth="1"/>
    <col min="7927" max="7927" width="15" style="1247" customWidth="1"/>
    <col min="7928" max="7929" width="10.453125" style="1247" customWidth="1"/>
    <col min="7930" max="7933" width="11.54296875" style="1247" bestFit="1" customWidth="1"/>
    <col min="7934" max="7934" width="12.1796875" style="1247" bestFit="1" customWidth="1"/>
    <col min="7935" max="7935" width="16.1796875" style="1247" bestFit="1" customWidth="1"/>
    <col min="7936" max="7938" width="11.54296875" style="1247" bestFit="1" customWidth="1"/>
    <col min="7939" max="7939" width="13.453125" style="1247" bestFit="1" customWidth="1"/>
    <col min="7940" max="7940" width="11.54296875" style="1247" customWidth="1"/>
    <col min="7941" max="7941" width="10.81640625" style="1247" bestFit="1" customWidth="1"/>
    <col min="7942" max="8150" width="9.1796875" style="1247"/>
    <col min="8151" max="8151" width="2.7265625" style="1247" customWidth="1"/>
    <col min="8152" max="8152" width="6.1796875" style="1247" customWidth="1"/>
    <col min="8153" max="8153" width="15.453125" style="1247" bestFit="1" customWidth="1"/>
    <col min="8154" max="8154" width="5.26953125" style="1247" bestFit="1" customWidth="1"/>
    <col min="8155" max="8165" width="10.7265625" style="1247" customWidth="1"/>
    <col min="8166" max="8166" width="13.7265625" style="1247" customWidth="1"/>
    <col min="8167" max="8167" width="11" style="1247" bestFit="1" customWidth="1"/>
    <col min="8168" max="8168" width="4.1796875" style="1247" bestFit="1" customWidth="1"/>
    <col min="8169" max="8169" width="9.1796875" style="1247"/>
    <col min="8170" max="8170" width="3.1796875" style="1247" bestFit="1" customWidth="1"/>
    <col min="8171" max="8171" width="9.1796875" style="1247"/>
    <col min="8172" max="8172" width="17.453125" style="1247" customWidth="1"/>
    <col min="8173" max="8173" width="5.7265625" style="1247" bestFit="1" customWidth="1"/>
    <col min="8174" max="8182" width="13.1796875" style="1247" customWidth="1"/>
    <col min="8183" max="8183" width="15" style="1247" customWidth="1"/>
    <col min="8184" max="8185" width="10.453125" style="1247" customWidth="1"/>
    <col min="8186" max="8189" width="11.54296875" style="1247" bestFit="1" customWidth="1"/>
    <col min="8190" max="8190" width="12.1796875" style="1247" bestFit="1" customWidth="1"/>
    <col min="8191" max="8191" width="16.1796875" style="1247" bestFit="1" customWidth="1"/>
    <col min="8192" max="8194" width="11.54296875" style="1247" bestFit="1" customWidth="1"/>
    <col min="8195" max="8195" width="13.453125" style="1247" bestFit="1" customWidth="1"/>
    <col min="8196" max="8196" width="11.54296875" style="1247" customWidth="1"/>
    <col min="8197" max="8197" width="10.81640625" style="1247" bestFit="1" customWidth="1"/>
    <col min="8198" max="8406" width="9.1796875" style="1247"/>
    <col min="8407" max="8407" width="2.7265625" style="1247" customWidth="1"/>
    <col min="8408" max="8408" width="6.1796875" style="1247" customWidth="1"/>
    <col min="8409" max="8409" width="15.453125" style="1247" bestFit="1" customWidth="1"/>
    <col min="8410" max="8410" width="5.26953125" style="1247" bestFit="1" customWidth="1"/>
    <col min="8411" max="8421" width="10.7265625" style="1247" customWidth="1"/>
    <col min="8422" max="8422" width="13.7265625" style="1247" customWidth="1"/>
    <col min="8423" max="8423" width="11" style="1247" bestFit="1" customWidth="1"/>
    <col min="8424" max="8424" width="4.1796875" style="1247" bestFit="1" customWidth="1"/>
    <col min="8425" max="8425" width="9.1796875" style="1247"/>
    <col min="8426" max="8426" width="3.1796875" style="1247" bestFit="1" customWidth="1"/>
    <col min="8427" max="8427" width="9.1796875" style="1247"/>
    <col min="8428" max="8428" width="17.453125" style="1247" customWidth="1"/>
    <col min="8429" max="8429" width="5.7265625" style="1247" bestFit="1" customWidth="1"/>
    <col min="8430" max="8438" width="13.1796875" style="1247" customWidth="1"/>
    <col min="8439" max="8439" width="15" style="1247" customWidth="1"/>
    <col min="8440" max="8441" width="10.453125" style="1247" customWidth="1"/>
    <col min="8442" max="8445" width="11.54296875" style="1247" bestFit="1" customWidth="1"/>
    <col min="8446" max="8446" width="12.1796875" style="1247" bestFit="1" customWidth="1"/>
    <col min="8447" max="8447" width="16.1796875" style="1247" bestFit="1" customWidth="1"/>
    <col min="8448" max="8450" width="11.54296875" style="1247" bestFit="1" customWidth="1"/>
    <col min="8451" max="8451" width="13.453125" style="1247" bestFit="1" customWidth="1"/>
    <col min="8452" max="8452" width="11.54296875" style="1247" customWidth="1"/>
    <col min="8453" max="8453" width="10.81640625" style="1247" bestFit="1" customWidth="1"/>
    <col min="8454" max="8662" width="9.1796875" style="1247"/>
    <col min="8663" max="8663" width="2.7265625" style="1247" customWidth="1"/>
    <col min="8664" max="8664" width="6.1796875" style="1247" customWidth="1"/>
    <col min="8665" max="8665" width="15.453125" style="1247" bestFit="1" customWidth="1"/>
    <col min="8666" max="8666" width="5.26953125" style="1247" bestFit="1" customWidth="1"/>
    <col min="8667" max="8677" width="10.7265625" style="1247" customWidth="1"/>
    <col min="8678" max="8678" width="13.7265625" style="1247" customWidth="1"/>
    <col min="8679" max="8679" width="11" style="1247" bestFit="1" customWidth="1"/>
    <col min="8680" max="8680" width="4.1796875" style="1247" bestFit="1" customWidth="1"/>
    <col min="8681" max="8681" width="9.1796875" style="1247"/>
    <col min="8682" max="8682" width="3.1796875" style="1247" bestFit="1" customWidth="1"/>
    <col min="8683" max="8683" width="9.1796875" style="1247"/>
    <col min="8684" max="8684" width="17.453125" style="1247" customWidth="1"/>
    <col min="8685" max="8685" width="5.7265625" style="1247" bestFit="1" customWidth="1"/>
    <col min="8686" max="8694" width="13.1796875" style="1247" customWidth="1"/>
    <col min="8695" max="8695" width="15" style="1247" customWidth="1"/>
    <col min="8696" max="8697" width="10.453125" style="1247" customWidth="1"/>
    <col min="8698" max="8701" width="11.54296875" style="1247" bestFit="1" customWidth="1"/>
    <col min="8702" max="8702" width="12.1796875" style="1247" bestFit="1" customWidth="1"/>
    <col min="8703" max="8703" width="16.1796875" style="1247" bestFit="1" customWidth="1"/>
    <col min="8704" max="8706" width="11.54296875" style="1247" bestFit="1" customWidth="1"/>
    <col min="8707" max="8707" width="13.453125" style="1247" bestFit="1" customWidth="1"/>
    <col min="8708" max="8708" width="11.54296875" style="1247" customWidth="1"/>
    <col min="8709" max="8709" width="10.81640625" style="1247" bestFit="1" customWidth="1"/>
    <col min="8710" max="8918" width="9.1796875" style="1247"/>
    <col min="8919" max="8919" width="2.7265625" style="1247" customWidth="1"/>
    <col min="8920" max="8920" width="6.1796875" style="1247" customWidth="1"/>
    <col min="8921" max="8921" width="15.453125" style="1247" bestFit="1" customWidth="1"/>
    <col min="8922" max="8922" width="5.26953125" style="1247" bestFit="1" customWidth="1"/>
    <col min="8923" max="8933" width="10.7265625" style="1247" customWidth="1"/>
    <col min="8934" max="8934" width="13.7265625" style="1247" customWidth="1"/>
    <col min="8935" max="8935" width="11" style="1247" bestFit="1" customWidth="1"/>
    <col min="8936" max="8936" width="4.1796875" style="1247" bestFit="1" customWidth="1"/>
    <col min="8937" max="8937" width="9.1796875" style="1247"/>
    <col min="8938" max="8938" width="3.1796875" style="1247" bestFit="1" customWidth="1"/>
    <col min="8939" max="8939" width="9.1796875" style="1247"/>
    <col min="8940" max="8940" width="17.453125" style="1247" customWidth="1"/>
    <col min="8941" max="8941" width="5.7265625" style="1247" bestFit="1" customWidth="1"/>
    <col min="8942" max="8950" width="13.1796875" style="1247" customWidth="1"/>
    <col min="8951" max="8951" width="15" style="1247" customWidth="1"/>
    <col min="8952" max="8953" width="10.453125" style="1247" customWidth="1"/>
    <col min="8954" max="8957" width="11.54296875" style="1247" bestFit="1" customWidth="1"/>
    <col min="8958" max="8958" width="12.1796875" style="1247" bestFit="1" customWidth="1"/>
    <col min="8959" max="8959" width="16.1796875" style="1247" bestFit="1" customWidth="1"/>
    <col min="8960" max="8962" width="11.54296875" style="1247" bestFit="1" customWidth="1"/>
    <col min="8963" max="8963" width="13.453125" style="1247" bestFit="1" customWidth="1"/>
    <col min="8964" max="8964" width="11.54296875" style="1247" customWidth="1"/>
    <col min="8965" max="8965" width="10.81640625" style="1247" bestFit="1" customWidth="1"/>
    <col min="8966" max="9174" width="9.1796875" style="1247"/>
    <col min="9175" max="9175" width="2.7265625" style="1247" customWidth="1"/>
    <col min="9176" max="9176" width="6.1796875" style="1247" customWidth="1"/>
    <col min="9177" max="9177" width="15.453125" style="1247" bestFit="1" customWidth="1"/>
    <col min="9178" max="9178" width="5.26953125" style="1247" bestFit="1" customWidth="1"/>
    <col min="9179" max="9189" width="10.7265625" style="1247" customWidth="1"/>
    <col min="9190" max="9190" width="13.7265625" style="1247" customWidth="1"/>
    <col min="9191" max="9191" width="11" style="1247" bestFit="1" customWidth="1"/>
    <col min="9192" max="9192" width="4.1796875" style="1247" bestFit="1" customWidth="1"/>
    <col min="9193" max="9193" width="9.1796875" style="1247"/>
    <col min="9194" max="9194" width="3.1796875" style="1247" bestFit="1" customWidth="1"/>
    <col min="9195" max="9195" width="9.1796875" style="1247"/>
    <col min="9196" max="9196" width="17.453125" style="1247" customWidth="1"/>
    <col min="9197" max="9197" width="5.7265625" style="1247" bestFit="1" customWidth="1"/>
    <col min="9198" max="9206" width="13.1796875" style="1247" customWidth="1"/>
    <col min="9207" max="9207" width="15" style="1247" customWidth="1"/>
    <col min="9208" max="9209" width="10.453125" style="1247" customWidth="1"/>
    <col min="9210" max="9213" width="11.54296875" style="1247" bestFit="1" customWidth="1"/>
    <col min="9214" max="9214" width="12.1796875" style="1247" bestFit="1" customWidth="1"/>
    <col min="9215" max="9215" width="16.1796875" style="1247" bestFit="1" customWidth="1"/>
    <col min="9216" max="9218" width="11.54296875" style="1247" bestFit="1" customWidth="1"/>
    <col min="9219" max="9219" width="13.453125" style="1247" bestFit="1" customWidth="1"/>
    <col min="9220" max="9220" width="11.54296875" style="1247" customWidth="1"/>
    <col min="9221" max="9221" width="10.81640625" style="1247" bestFit="1" customWidth="1"/>
    <col min="9222" max="9430" width="9.1796875" style="1247"/>
    <col min="9431" max="9431" width="2.7265625" style="1247" customWidth="1"/>
    <col min="9432" max="9432" width="6.1796875" style="1247" customWidth="1"/>
    <col min="9433" max="9433" width="15.453125" style="1247" bestFit="1" customWidth="1"/>
    <col min="9434" max="9434" width="5.26953125" style="1247" bestFit="1" customWidth="1"/>
    <col min="9435" max="9445" width="10.7265625" style="1247" customWidth="1"/>
    <col min="9446" max="9446" width="13.7265625" style="1247" customWidth="1"/>
    <col min="9447" max="9447" width="11" style="1247" bestFit="1" customWidth="1"/>
    <col min="9448" max="9448" width="4.1796875" style="1247" bestFit="1" customWidth="1"/>
    <col min="9449" max="9449" width="9.1796875" style="1247"/>
    <col min="9450" max="9450" width="3.1796875" style="1247" bestFit="1" customWidth="1"/>
    <col min="9451" max="9451" width="9.1796875" style="1247"/>
    <col min="9452" max="9452" width="17.453125" style="1247" customWidth="1"/>
    <col min="9453" max="9453" width="5.7265625" style="1247" bestFit="1" customWidth="1"/>
    <col min="9454" max="9462" width="13.1796875" style="1247" customWidth="1"/>
    <col min="9463" max="9463" width="15" style="1247" customWidth="1"/>
    <col min="9464" max="9465" width="10.453125" style="1247" customWidth="1"/>
    <col min="9466" max="9469" width="11.54296875" style="1247" bestFit="1" customWidth="1"/>
    <col min="9470" max="9470" width="12.1796875" style="1247" bestFit="1" customWidth="1"/>
    <col min="9471" max="9471" width="16.1796875" style="1247" bestFit="1" customWidth="1"/>
    <col min="9472" max="9474" width="11.54296875" style="1247" bestFit="1" customWidth="1"/>
    <col min="9475" max="9475" width="13.453125" style="1247" bestFit="1" customWidth="1"/>
    <col min="9476" max="9476" width="11.54296875" style="1247" customWidth="1"/>
    <col min="9477" max="9477" width="10.81640625" style="1247" bestFit="1" customWidth="1"/>
    <col min="9478" max="9686" width="9.1796875" style="1247"/>
    <col min="9687" max="9687" width="2.7265625" style="1247" customWidth="1"/>
    <col min="9688" max="9688" width="6.1796875" style="1247" customWidth="1"/>
    <col min="9689" max="9689" width="15.453125" style="1247" bestFit="1" customWidth="1"/>
    <col min="9690" max="9690" width="5.26953125" style="1247" bestFit="1" customWidth="1"/>
    <col min="9691" max="9701" width="10.7265625" style="1247" customWidth="1"/>
    <col min="9702" max="9702" width="13.7265625" style="1247" customWidth="1"/>
    <col min="9703" max="9703" width="11" style="1247" bestFit="1" customWidth="1"/>
    <col min="9704" max="9704" width="4.1796875" style="1247" bestFit="1" customWidth="1"/>
    <col min="9705" max="9705" width="9.1796875" style="1247"/>
    <col min="9706" max="9706" width="3.1796875" style="1247" bestFit="1" customWidth="1"/>
    <col min="9707" max="9707" width="9.1796875" style="1247"/>
    <col min="9708" max="9708" width="17.453125" style="1247" customWidth="1"/>
    <col min="9709" max="9709" width="5.7265625" style="1247" bestFit="1" customWidth="1"/>
    <col min="9710" max="9718" width="13.1796875" style="1247" customWidth="1"/>
    <col min="9719" max="9719" width="15" style="1247" customWidth="1"/>
    <col min="9720" max="9721" width="10.453125" style="1247" customWidth="1"/>
    <col min="9722" max="9725" width="11.54296875" style="1247" bestFit="1" customWidth="1"/>
    <col min="9726" max="9726" width="12.1796875" style="1247" bestFit="1" customWidth="1"/>
    <col min="9727" max="9727" width="16.1796875" style="1247" bestFit="1" customWidth="1"/>
    <col min="9728" max="9730" width="11.54296875" style="1247" bestFit="1" customWidth="1"/>
    <col min="9731" max="9731" width="13.453125" style="1247" bestFit="1" customWidth="1"/>
    <col min="9732" max="9732" width="11.54296875" style="1247" customWidth="1"/>
    <col min="9733" max="9733" width="10.81640625" style="1247" bestFit="1" customWidth="1"/>
    <col min="9734" max="9942" width="9.1796875" style="1247"/>
    <col min="9943" max="9943" width="2.7265625" style="1247" customWidth="1"/>
    <col min="9944" max="9944" width="6.1796875" style="1247" customWidth="1"/>
    <col min="9945" max="9945" width="15.453125" style="1247" bestFit="1" customWidth="1"/>
    <col min="9946" max="9946" width="5.26953125" style="1247" bestFit="1" customWidth="1"/>
    <col min="9947" max="9957" width="10.7265625" style="1247" customWidth="1"/>
    <col min="9958" max="9958" width="13.7265625" style="1247" customWidth="1"/>
    <col min="9959" max="9959" width="11" style="1247" bestFit="1" customWidth="1"/>
    <col min="9960" max="9960" width="4.1796875" style="1247" bestFit="1" customWidth="1"/>
    <col min="9961" max="9961" width="9.1796875" style="1247"/>
    <col min="9962" max="9962" width="3.1796875" style="1247" bestFit="1" customWidth="1"/>
    <col min="9963" max="9963" width="9.1796875" style="1247"/>
    <col min="9964" max="9964" width="17.453125" style="1247" customWidth="1"/>
    <col min="9965" max="9965" width="5.7265625" style="1247" bestFit="1" customWidth="1"/>
    <col min="9966" max="9974" width="13.1796875" style="1247" customWidth="1"/>
    <col min="9975" max="9975" width="15" style="1247" customWidth="1"/>
    <col min="9976" max="9977" width="10.453125" style="1247" customWidth="1"/>
    <col min="9978" max="9981" width="11.54296875" style="1247" bestFit="1" customWidth="1"/>
    <col min="9982" max="9982" width="12.1796875" style="1247" bestFit="1" customWidth="1"/>
    <col min="9983" max="9983" width="16.1796875" style="1247" bestFit="1" customWidth="1"/>
    <col min="9984" max="9986" width="11.54296875" style="1247" bestFit="1" customWidth="1"/>
    <col min="9987" max="9987" width="13.453125" style="1247" bestFit="1" customWidth="1"/>
    <col min="9988" max="9988" width="11.54296875" style="1247" customWidth="1"/>
    <col min="9989" max="9989" width="10.81640625" style="1247" bestFit="1" customWidth="1"/>
    <col min="9990" max="10198" width="9.1796875" style="1247"/>
    <col min="10199" max="10199" width="2.7265625" style="1247" customWidth="1"/>
    <col min="10200" max="10200" width="6.1796875" style="1247" customWidth="1"/>
    <col min="10201" max="10201" width="15.453125" style="1247" bestFit="1" customWidth="1"/>
    <col min="10202" max="10202" width="5.26953125" style="1247" bestFit="1" customWidth="1"/>
    <col min="10203" max="10213" width="10.7265625" style="1247" customWidth="1"/>
    <col min="10214" max="10214" width="13.7265625" style="1247" customWidth="1"/>
    <col min="10215" max="10215" width="11" style="1247" bestFit="1" customWidth="1"/>
    <col min="10216" max="10216" width="4.1796875" style="1247" bestFit="1" customWidth="1"/>
    <col min="10217" max="10217" width="9.1796875" style="1247"/>
    <col min="10218" max="10218" width="3.1796875" style="1247" bestFit="1" customWidth="1"/>
    <col min="10219" max="10219" width="9.1796875" style="1247"/>
    <col min="10220" max="10220" width="17.453125" style="1247" customWidth="1"/>
    <col min="10221" max="10221" width="5.7265625" style="1247" bestFit="1" customWidth="1"/>
    <col min="10222" max="10230" width="13.1796875" style="1247" customWidth="1"/>
    <col min="10231" max="10231" width="15" style="1247" customWidth="1"/>
    <col min="10232" max="10233" width="10.453125" style="1247" customWidth="1"/>
    <col min="10234" max="10237" width="11.54296875" style="1247" bestFit="1" customWidth="1"/>
    <col min="10238" max="10238" width="12.1796875" style="1247" bestFit="1" customWidth="1"/>
    <col min="10239" max="10239" width="16.1796875" style="1247" bestFit="1" customWidth="1"/>
    <col min="10240" max="10242" width="11.54296875" style="1247" bestFit="1" customWidth="1"/>
    <col min="10243" max="10243" width="13.453125" style="1247" bestFit="1" customWidth="1"/>
    <col min="10244" max="10244" width="11.54296875" style="1247" customWidth="1"/>
    <col min="10245" max="10245" width="10.81640625" style="1247" bestFit="1" customWidth="1"/>
    <col min="10246" max="10454" width="9.1796875" style="1247"/>
    <col min="10455" max="10455" width="2.7265625" style="1247" customWidth="1"/>
    <col min="10456" max="10456" width="6.1796875" style="1247" customWidth="1"/>
    <col min="10457" max="10457" width="15.453125" style="1247" bestFit="1" customWidth="1"/>
    <col min="10458" max="10458" width="5.26953125" style="1247" bestFit="1" customWidth="1"/>
    <col min="10459" max="10469" width="10.7265625" style="1247" customWidth="1"/>
    <col min="10470" max="10470" width="13.7265625" style="1247" customWidth="1"/>
    <col min="10471" max="10471" width="11" style="1247" bestFit="1" customWidth="1"/>
    <col min="10472" max="10472" width="4.1796875" style="1247" bestFit="1" customWidth="1"/>
    <col min="10473" max="10473" width="9.1796875" style="1247"/>
    <col min="10474" max="10474" width="3.1796875" style="1247" bestFit="1" customWidth="1"/>
    <col min="10475" max="10475" width="9.1796875" style="1247"/>
    <col min="10476" max="10476" width="17.453125" style="1247" customWidth="1"/>
    <col min="10477" max="10477" width="5.7265625" style="1247" bestFit="1" customWidth="1"/>
    <col min="10478" max="10486" width="13.1796875" style="1247" customWidth="1"/>
    <col min="10487" max="10487" width="15" style="1247" customWidth="1"/>
    <col min="10488" max="10489" width="10.453125" style="1247" customWidth="1"/>
    <col min="10490" max="10493" width="11.54296875" style="1247" bestFit="1" customWidth="1"/>
    <col min="10494" max="10494" width="12.1796875" style="1247" bestFit="1" customWidth="1"/>
    <col min="10495" max="10495" width="16.1796875" style="1247" bestFit="1" customWidth="1"/>
    <col min="10496" max="10498" width="11.54296875" style="1247" bestFit="1" customWidth="1"/>
    <col min="10499" max="10499" width="13.453125" style="1247" bestFit="1" customWidth="1"/>
    <col min="10500" max="10500" width="11.54296875" style="1247" customWidth="1"/>
    <col min="10501" max="10501" width="10.81640625" style="1247" bestFit="1" customWidth="1"/>
    <col min="10502" max="10710" width="9.1796875" style="1247"/>
    <col min="10711" max="10711" width="2.7265625" style="1247" customWidth="1"/>
    <col min="10712" max="10712" width="6.1796875" style="1247" customWidth="1"/>
    <col min="10713" max="10713" width="15.453125" style="1247" bestFit="1" customWidth="1"/>
    <col min="10714" max="10714" width="5.26953125" style="1247" bestFit="1" customWidth="1"/>
    <col min="10715" max="10725" width="10.7265625" style="1247" customWidth="1"/>
    <col min="10726" max="10726" width="13.7265625" style="1247" customWidth="1"/>
    <col min="10727" max="10727" width="11" style="1247" bestFit="1" customWidth="1"/>
    <col min="10728" max="10728" width="4.1796875" style="1247" bestFit="1" customWidth="1"/>
    <col min="10729" max="10729" width="9.1796875" style="1247"/>
    <col min="10730" max="10730" width="3.1796875" style="1247" bestFit="1" customWidth="1"/>
    <col min="10731" max="10731" width="9.1796875" style="1247"/>
    <col min="10732" max="10732" width="17.453125" style="1247" customWidth="1"/>
    <col min="10733" max="10733" width="5.7265625" style="1247" bestFit="1" customWidth="1"/>
    <col min="10734" max="10742" width="13.1796875" style="1247" customWidth="1"/>
    <col min="10743" max="10743" width="15" style="1247" customWidth="1"/>
    <col min="10744" max="10745" width="10.453125" style="1247" customWidth="1"/>
    <col min="10746" max="10749" width="11.54296875" style="1247" bestFit="1" customWidth="1"/>
    <col min="10750" max="10750" width="12.1796875" style="1247" bestFit="1" customWidth="1"/>
    <col min="10751" max="10751" width="16.1796875" style="1247" bestFit="1" customWidth="1"/>
    <col min="10752" max="10754" width="11.54296875" style="1247" bestFit="1" customWidth="1"/>
    <col min="10755" max="10755" width="13.453125" style="1247" bestFit="1" customWidth="1"/>
    <col min="10756" max="10756" width="11.54296875" style="1247" customWidth="1"/>
    <col min="10757" max="10757" width="10.81640625" style="1247" bestFit="1" customWidth="1"/>
    <col min="10758" max="10966" width="9.1796875" style="1247"/>
    <col min="10967" max="10967" width="2.7265625" style="1247" customWidth="1"/>
    <col min="10968" max="10968" width="6.1796875" style="1247" customWidth="1"/>
    <col min="10969" max="10969" width="15.453125" style="1247" bestFit="1" customWidth="1"/>
    <col min="10970" max="10970" width="5.26953125" style="1247" bestFit="1" customWidth="1"/>
    <col min="10971" max="10981" width="10.7265625" style="1247" customWidth="1"/>
    <col min="10982" max="10982" width="13.7265625" style="1247" customWidth="1"/>
    <col min="10983" max="10983" width="11" style="1247" bestFit="1" customWidth="1"/>
    <col min="10984" max="10984" width="4.1796875" style="1247" bestFit="1" customWidth="1"/>
    <col min="10985" max="10985" width="9.1796875" style="1247"/>
    <col min="10986" max="10986" width="3.1796875" style="1247" bestFit="1" customWidth="1"/>
    <col min="10987" max="10987" width="9.1796875" style="1247"/>
    <col min="10988" max="10988" width="17.453125" style="1247" customWidth="1"/>
    <col min="10989" max="10989" width="5.7265625" style="1247" bestFit="1" customWidth="1"/>
    <col min="10990" max="10998" width="13.1796875" style="1247" customWidth="1"/>
    <col min="10999" max="10999" width="15" style="1247" customWidth="1"/>
    <col min="11000" max="11001" width="10.453125" style="1247" customWidth="1"/>
    <col min="11002" max="11005" width="11.54296875" style="1247" bestFit="1" customWidth="1"/>
    <col min="11006" max="11006" width="12.1796875" style="1247" bestFit="1" customWidth="1"/>
    <col min="11007" max="11007" width="16.1796875" style="1247" bestFit="1" customWidth="1"/>
    <col min="11008" max="11010" width="11.54296875" style="1247" bestFit="1" customWidth="1"/>
    <col min="11011" max="11011" width="13.453125" style="1247" bestFit="1" customWidth="1"/>
    <col min="11012" max="11012" width="11.54296875" style="1247" customWidth="1"/>
    <col min="11013" max="11013" width="10.81640625" style="1247" bestFit="1" customWidth="1"/>
    <col min="11014" max="11222" width="9.1796875" style="1247"/>
    <col min="11223" max="11223" width="2.7265625" style="1247" customWidth="1"/>
    <col min="11224" max="11224" width="6.1796875" style="1247" customWidth="1"/>
    <col min="11225" max="11225" width="15.453125" style="1247" bestFit="1" customWidth="1"/>
    <col min="11226" max="11226" width="5.26953125" style="1247" bestFit="1" customWidth="1"/>
    <col min="11227" max="11237" width="10.7265625" style="1247" customWidth="1"/>
    <col min="11238" max="11238" width="13.7265625" style="1247" customWidth="1"/>
    <col min="11239" max="11239" width="11" style="1247" bestFit="1" customWidth="1"/>
    <col min="11240" max="11240" width="4.1796875" style="1247" bestFit="1" customWidth="1"/>
    <col min="11241" max="11241" width="9.1796875" style="1247"/>
    <col min="11242" max="11242" width="3.1796875" style="1247" bestFit="1" customWidth="1"/>
    <col min="11243" max="11243" width="9.1796875" style="1247"/>
    <col min="11244" max="11244" width="17.453125" style="1247" customWidth="1"/>
    <col min="11245" max="11245" width="5.7265625" style="1247" bestFit="1" customWidth="1"/>
    <col min="11246" max="11254" width="13.1796875" style="1247" customWidth="1"/>
    <col min="11255" max="11255" width="15" style="1247" customWidth="1"/>
    <col min="11256" max="11257" width="10.453125" style="1247" customWidth="1"/>
    <col min="11258" max="11261" width="11.54296875" style="1247" bestFit="1" customWidth="1"/>
    <col min="11262" max="11262" width="12.1796875" style="1247" bestFit="1" customWidth="1"/>
    <col min="11263" max="11263" width="16.1796875" style="1247" bestFit="1" customWidth="1"/>
    <col min="11264" max="11266" width="11.54296875" style="1247" bestFit="1" customWidth="1"/>
    <col min="11267" max="11267" width="13.453125" style="1247" bestFit="1" customWidth="1"/>
    <col min="11268" max="11268" width="11.54296875" style="1247" customWidth="1"/>
    <col min="11269" max="11269" width="10.81640625" style="1247" bestFit="1" customWidth="1"/>
    <col min="11270" max="11478" width="9.1796875" style="1247"/>
    <col min="11479" max="11479" width="2.7265625" style="1247" customWidth="1"/>
    <col min="11480" max="11480" width="6.1796875" style="1247" customWidth="1"/>
    <col min="11481" max="11481" width="15.453125" style="1247" bestFit="1" customWidth="1"/>
    <col min="11482" max="11482" width="5.26953125" style="1247" bestFit="1" customWidth="1"/>
    <col min="11483" max="11493" width="10.7265625" style="1247" customWidth="1"/>
    <col min="11494" max="11494" width="13.7265625" style="1247" customWidth="1"/>
    <col min="11495" max="11495" width="11" style="1247" bestFit="1" customWidth="1"/>
    <col min="11496" max="11496" width="4.1796875" style="1247" bestFit="1" customWidth="1"/>
    <col min="11497" max="11497" width="9.1796875" style="1247"/>
    <col min="11498" max="11498" width="3.1796875" style="1247" bestFit="1" customWidth="1"/>
    <col min="11499" max="11499" width="9.1796875" style="1247"/>
    <col min="11500" max="11500" width="17.453125" style="1247" customWidth="1"/>
    <col min="11501" max="11501" width="5.7265625" style="1247" bestFit="1" customWidth="1"/>
    <col min="11502" max="11510" width="13.1796875" style="1247" customWidth="1"/>
    <col min="11511" max="11511" width="15" style="1247" customWidth="1"/>
    <col min="11512" max="11513" width="10.453125" style="1247" customWidth="1"/>
    <col min="11514" max="11517" width="11.54296875" style="1247" bestFit="1" customWidth="1"/>
    <col min="11518" max="11518" width="12.1796875" style="1247" bestFit="1" customWidth="1"/>
    <col min="11519" max="11519" width="16.1796875" style="1247" bestFit="1" customWidth="1"/>
    <col min="11520" max="11522" width="11.54296875" style="1247" bestFit="1" customWidth="1"/>
    <col min="11523" max="11523" width="13.453125" style="1247" bestFit="1" customWidth="1"/>
    <col min="11524" max="11524" width="11.54296875" style="1247" customWidth="1"/>
    <col min="11525" max="11525" width="10.81640625" style="1247" bestFit="1" customWidth="1"/>
    <col min="11526" max="11734" width="9.1796875" style="1247"/>
    <col min="11735" max="11735" width="2.7265625" style="1247" customWidth="1"/>
    <col min="11736" max="11736" width="6.1796875" style="1247" customWidth="1"/>
    <col min="11737" max="11737" width="15.453125" style="1247" bestFit="1" customWidth="1"/>
    <col min="11738" max="11738" width="5.26953125" style="1247" bestFit="1" customWidth="1"/>
    <col min="11739" max="11749" width="10.7265625" style="1247" customWidth="1"/>
    <col min="11750" max="11750" width="13.7265625" style="1247" customWidth="1"/>
    <col min="11751" max="11751" width="11" style="1247" bestFit="1" customWidth="1"/>
    <col min="11752" max="11752" width="4.1796875" style="1247" bestFit="1" customWidth="1"/>
    <col min="11753" max="11753" width="9.1796875" style="1247"/>
    <col min="11754" max="11754" width="3.1796875" style="1247" bestFit="1" customWidth="1"/>
    <col min="11755" max="11755" width="9.1796875" style="1247"/>
    <col min="11756" max="11756" width="17.453125" style="1247" customWidth="1"/>
    <col min="11757" max="11757" width="5.7265625" style="1247" bestFit="1" customWidth="1"/>
    <col min="11758" max="11766" width="13.1796875" style="1247" customWidth="1"/>
    <col min="11767" max="11767" width="15" style="1247" customWidth="1"/>
    <col min="11768" max="11769" width="10.453125" style="1247" customWidth="1"/>
    <col min="11770" max="11773" width="11.54296875" style="1247" bestFit="1" customWidth="1"/>
    <col min="11774" max="11774" width="12.1796875" style="1247" bestFit="1" customWidth="1"/>
    <col min="11775" max="11775" width="16.1796875" style="1247" bestFit="1" customWidth="1"/>
    <col min="11776" max="11778" width="11.54296875" style="1247" bestFit="1" customWidth="1"/>
    <col min="11779" max="11779" width="13.453125" style="1247" bestFit="1" customWidth="1"/>
    <col min="11780" max="11780" width="11.54296875" style="1247" customWidth="1"/>
    <col min="11781" max="11781" width="10.81640625" style="1247" bestFit="1" customWidth="1"/>
    <col min="11782" max="11990" width="9.1796875" style="1247"/>
    <col min="11991" max="11991" width="2.7265625" style="1247" customWidth="1"/>
    <col min="11992" max="11992" width="6.1796875" style="1247" customWidth="1"/>
    <col min="11993" max="11993" width="15.453125" style="1247" bestFit="1" customWidth="1"/>
    <col min="11994" max="11994" width="5.26953125" style="1247" bestFit="1" customWidth="1"/>
    <col min="11995" max="12005" width="10.7265625" style="1247" customWidth="1"/>
    <col min="12006" max="12006" width="13.7265625" style="1247" customWidth="1"/>
    <col min="12007" max="12007" width="11" style="1247" bestFit="1" customWidth="1"/>
    <col min="12008" max="12008" width="4.1796875" style="1247" bestFit="1" customWidth="1"/>
    <col min="12009" max="12009" width="9.1796875" style="1247"/>
    <col min="12010" max="12010" width="3.1796875" style="1247" bestFit="1" customWidth="1"/>
    <col min="12011" max="12011" width="9.1796875" style="1247"/>
    <col min="12012" max="12012" width="17.453125" style="1247" customWidth="1"/>
    <col min="12013" max="12013" width="5.7265625" style="1247" bestFit="1" customWidth="1"/>
    <col min="12014" max="12022" width="13.1796875" style="1247" customWidth="1"/>
    <col min="12023" max="12023" width="15" style="1247" customWidth="1"/>
    <col min="12024" max="12025" width="10.453125" style="1247" customWidth="1"/>
    <col min="12026" max="12029" width="11.54296875" style="1247" bestFit="1" customWidth="1"/>
    <col min="12030" max="12030" width="12.1796875" style="1247" bestFit="1" customWidth="1"/>
    <col min="12031" max="12031" width="16.1796875" style="1247" bestFit="1" customWidth="1"/>
    <col min="12032" max="12034" width="11.54296875" style="1247" bestFit="1" customWidth="1"/>
    <col min="12035" max="12035" width="13.453125" style="1247" bestFit="1" customWidth="1"/>
    <col min="12036" max="12036" width="11.54296875" style="1247" customWidth="1"/>
    <col min="12037" max="12037" width="10.81640625" style="1247" bestFit="1" customWidth="1"/>
    <col min="12038" max="12246" width="9.1796875" style="1247"/>
    <col min="12247" max="12247" width="2.7265625" style="1247" customWidth="1"/>
    <col min="12248" max="12248" width="6.1796875" style="1247" customWidth="1"/>
    <col min="12249" max="12249" width="15.453125" style="1247" bestFit="1" customWidth="1"/>
    <col min="12250" max="12250" width="5.26953125" style="1247" bestFit="1" customWidth="1"/>
    <col min="12251" max="12261" width="10.7265625" style="1247" customWidth="1"/>
    <col min="12262" max="12262" width="13.7265625" style="1247" customWidth="1"/>
    <col min="12263" max="12263" width="11" style="1247" bestFit="1" customWidth="1"/>
    <col min="12264" max="12264" width="4.1796875" style="1247" bestFit="1" customWidth="1"/>
    <col min="12265" max="12265" width="9.1796875" style="1247"/>
    <col min="12266" max="12266" width="3.1796875" style="1247" bestFit="1" customWidth="1"/>
    <col min="12267" max="12267" width="9.1796875" style="1247"/>
    <col min="12268" max="12268" width="17.453125" style="1247" customWidth="1"/>
    <col min="12269" max="12269" width="5.7265625" style="1247" bestFit="1" customWidth="1"/>
    <col min="12270" max="12278" width="13.1796875" style="1247" customWidth="1"/>
    <col min="12279" max="12279" width="15" style="1247" customWidth="1"/>
    <col min="12280" max="12281" width="10.453125" style="1247" customWidth="1"/>
    <col min="12282" max="12285" width="11.54296875" style="1247" bestFit="1" customWidth="1"/>
    <col min="12286" max="12286" width="12.1796875" style="1247" bestFit="1" customWidth="1"/>
    <col min="12287" max="12287" width="16.1796875" style="1247" bestFit="1" customWidth="1"/>
    <col min="12288" max="12290" width="11.54296875" style="1247" bestFit="1" customWidth="1"/>
    <col min="12291" max="12291" width="13.453125" style="1247" bestFit="1" customWidth="1"/>
    <col min="12292" max="12292" width="11.54296875" style="1247" customWidth="1"/>
    <col min="12293" max="12293" width="10.81640625" style="1247" bestFit="1" customWidth="1"/>
    <col min="12294" max="12502" width="9.1796875" style="1247"/>
    <col min="12503" max="12503" width="2.7265625" style="1247" customWidth="1"/>
    <col min="12504" max="12504" width="6.1796875" style="1247" customWidth="1"/>
    <col min="12505" max="12505" width="15.453125" style="1247" bestFit="1" customWidth="1"/>
    <col min="12506" max="12506" width="5.26953125" style="1247" bestFit="1" customWidth="1"/>
    <col min="12507" max="12517" width="10.7265625" style="1247" customWidth="1"/>
    <col min="12518" max="12518" width="13.7265625" style="1247" customWidth="1"/>
    <col min="12519" max="12519" width="11" style="1247" bestFit="1" customWidth="1"/>
    <col min="12520" max="12520" width="4.1796875" style="1247" bestFit="1" customWidth="1"/>
    <col min="12521" max="12521" width="9.1796875" style="1247"/>
    <col min="12522" max="12522" width="3.1796875" style="1247" bestFit="1" customWidth="1"/>
    <col min="12523" max="12523" width="9.1796875" style="1247"/>
    <col min="12524" max="12524" width="17.453125" style="1247" customWidth="1"/>
    <col min="12525" max="12525" width="5.7265625" style="1247" bestFit="1" customWidth="1"/>
    <col min="12526" max="12534" width="13.1796875" style="1247" customWidth="1"/>
    <col min="12535" max="12535" width="15" style="1247" customWidth="1"/>
    <col min="12536" max="12537" width="10.453125" style="1247" customWidth="1"/>
    <col min="12538" max="12541" width="11.54296875" style="1247" bestFit="1" customWidth="1"/>
    <col min="12542" max="12542" width="12.1796875" style="1247" bestFit="1" customWidth="1"/>
    <col min="12543" max="12543" width="16.1796875" style="1247" bestFit="1" customWidth="1"/>
    <col min="12544" max="12546" width="11.54296875" style="1247" bestFit="1" customWidth="1"/>
    <col min="12547" max="12547" width="13.453125" style="1247" bestFit="1" customWidth="1"/>
    <col min="12548" max="12548" width="11.54296875" style="1247" customWidth="1"/>
    <col min="12549" max="12549" width="10.81640625" style="1247" bestFit="1" customWidth="1"/>
    <col min="12550" max="12758" width="9.1796875" style="1247"/>
    <col min="12759" max="12759" width="2.7265625" style="1247" customWidth="1"/>
    <col min="12760" max="12760" width="6.1796875" style="1247" customWidth="1"/>
    <col min="12761" max="12761" width="15.453125" style="1247" bestFit="1" customWidth="1"/>
    <col min="12762" max="12762" width="5.26953125" style="1247" bestFit="1" customWidth="1"/>
    <col min="12763" max="12773" width="10.7265625" style="1247" customWidth="1"/>
    <col min="12774" max="12774" width="13.7265625" style="1247" customWidth="1"/>
    <col min="12775" max="12775" width="11" style="1247" bestFit="1" customWidth="1"/>
    <col min="12776" max="12776" width="4.1796875" style="1247" bestFit="1" customWidth="1"/>
    <col min="12777" max="12777" width="9.1796875" style="1247"/>
    <col min="12778" max="12778" width="3.1796875" style="1247" bestFit="1" customWidth="1"/>
    <col min="12779" max="12779" width="9.1796875" style="1247"/>
    <col min="12780" max="12780" width="17.453125" style="1247" customWidth="1"/>
    <col min="12781" max="12781" width="5.7265625" style="1247" bestFit="1" customWidth="1"/>
    <col min="12782" max="12790" width="13.1796875" style="1247" customWidth="1"/>
    <col min="12791" max="12791" width="15" style="1247" customWidth="1"/>
    <col min="12792" max="12793" width="10.453125" style="1247" customWidth="1"/>
    <col min="12794" max="12797" width="11.54296875" style="1247" bestFit="1" customWidth="1"/>
    <col min="12798" max="12798" width="12.1796875" style="1247" bestFit="1" customWidth="1"/>
    <col min="12799" max="12799" width="16.1796875" style="1247" bestFit="1" customWidth="1"/>
    <col min="12800" max="12802" width="11.54296875" style="1247" bestFit="1" customWidth="1"/>
    <col min="12803" max="12803" width="13.453125" style="1247" bestFit="1" customWidth="1"/>
    <col min="12804" max="12804" width="11.54296875" style="1247" customWidth="1"/>
    <col min="12805" max="12805" width="10.81640625" style="1247" bestFit="1" customWidth="1"/>
    <col min="12806" max="13014" width="9.1796875" style="1247"/>
    <col min="13015" max="13015" width="2.7265625" style="1247" customWidth="1"/>
    <col min="13016" max="13016" width="6.1796875" style="1247" customWidth="1"/>
    <col min="13017" max="13017" width="15.453125" style="1247" bestFit="1" customWidth="1"/>
    <col min="13018" max="13018" width="5.26953125" style="1247" bestFit="1" customWidth="1"/>
    <col min="13019" max="13029" width="10.7265625" style="1247" customWidth="1"/>
    <col min="13030" max="13030" width="13.7265625" style="1247" customWidth="1"/>
    <col min="13031" max="13031" width="11" style="1247" bestFit="1" customWidth="1"/>
    <col min="13032" max="13032" width="4.1796875" style="1247" bestFit="1" customWidth="1"/>
    <col min="13033" max="13033" width="9.1796875" style="1247"/>
    <col min="13034" max="13034" width="3.1796875" style="1247" bestFit="1" customWidth="1"/>
    <col min="13035" max="13035" width="9.1796875" style="1247"/>
    <col min="13036" max="13036" width="17.453125" style="1247" customWidth="1"/>
    <col min="13037" max="13037" width="5.7265625" style="1247" bestFit="1" customWidth="1"/>
    <col min="13038" max="13046" width="13.1796875" style="1247" customWidth="1"/>
    <col min="13047" max="13047" width="15" style="1247" customWidth="1"/>
    <col min="13048" max="13049" width="10.453125" style="1247" customWidth="1"/>
    <col min="13050" max="13053" width="11.54296875" style="1247" bestFit="1" customWidth="1"/>
    <col min="13054" max="13054" width="12.1796875" style="1247" bestFit="1" customWidth="1"/>
    <col min="13055" max="13055" width="16.1796875" style="1247" bestFit="1" customWidth="1"/>
    <col min="13056" max="13058" width="11.54296875" style="1247" bestFit="1" customWidth="1"/>
    <col min="13059" max="13059" width="13.453125" style="1247" bestFit="1" customWidth="1"/>
    <col min="13060" max="13060" width="11.54296875" style="1247" customWidth="1"/>
    <col min="13061" max="13061" width="10.81640625" style="1247" bestFit="1" customWidth="1"/>
    <col min="13062" max="13270" width="9.1796875" style="1247"/>
    <col min="13271" max="13271" width="2.7265625" style="1247" customWidth="1"/>
    <col min="13272" max="13272" width="6.1796875" style="1247" customWidth="1"/>
    <col min="13273" max="13273" width="15.453125" style="1247" bestFit="1" customWidth="1"/>
    <col min="13274" max="13274" width="5.26953125" style="1247" bestFit="1" customWidth="1"/>
    <col min="13275" max="13285" width="10.7265625" style="1247" customWidth="1"/>
    <col min="13286" max="13286" width="13.7265625" style="1247" customWidth="1"/>
    <col min="13287" max="13287" width="11" style="1247" bestFit="1" customWidth="1"/>
    <col min="13288" max="13288" width="4.1796875" style="1247" bestFit="1" customWidth="1"/>
    <col min="13289" max="13289" width="9.1796875" style="1247"/>
    <col min="13290" max="13290" width="3.1796875" style="1247" bestFit="1" customWidth="1"/>
    <col min="13291" max="13291" width="9.1796875" style="1247"/>
    <col min="13292" max="13292" width="17.453125" style="1247" customWidth="1"/>
    <col min="13293" max="13293" width="5.7265625" style="1247" bestFit="1" customWidth="1"/>
    <col min="13294" max="13302" width="13.1796875" style="1247" customWidth="1"/>
    <col min="13303" max="13303" width="15" style="1247" customWidth="1"/>
    <col min="13304" max="13305" width="10.453125" style="1247" customWidth="1"/>
    <col min="13306" max="13309" width="11.54296875" style="1247" bestFit="1" customWidth="1"/>
    <col min="13310" max="13310" width="12.1796875" style="1247" bestFit="1" customWidth="1"/>
    <col min="13311" max="13311" width="16.1796875" style="1247" bestFit="1" customWidth="1"/>
    <col min="13312" max="13314" width="11.54296875" style="1247" bestFit="1" customWidth="1"/>
    <col min="13315" max="13315" width="13.453125" style="1247" bestFit="1" customWidth="1"/>
    <col min="13316" max="13316" width="11.54296875" style="1247" customWidth="1"/>
    <col min="13317" max="13317" width="10.81640625" style="1247" bestFit="1" customWidth="1"/>
    <col min="13318" max="13526" width="9.1796875" style="1247"/>
    <col min="13527" max="13527" width="2.7265625" style="1247" customWidth="1"/>
    <col min="13528" max="13528" width="6.1796875" style="1247" customWidth="1"/>
    <col min="13529" max="13529" width="15.453125" style="1247" bestFit="1" customWidth="1"/>
    <col min="13530" max="13530" width="5.26953125" style="1247" bestFit="1" customWidth="1"/>
    <col min="13531" max="13541" width="10.7265625" style="1247" customWidth="1"/>
    <col min="13542" max="13542" width="13.7265625" style="1247" customWidth="1"/>
    <col min="13543" max="13543" width="11" style="1247" bestFit="1" customWidth="1"/>
    <col min="13544" max="13544" width="4.1796875" style="1247" bestFit="1" customWidth="1"/>
    <col min="13545" max="13545" width="9.1796875" style="1247"/>
    <col min="13546" max="13546" width="3.1796875" style="1247" bestFit="1" customWidth="1"/>
    <col min="13547" max="13547" width="9.1796875" style="1247"/>
    <col min="13548" max="13548" width="17.453125" style="1247" customWidth="1"/>
    <col min="13549" max="13549" width="5.7265625" style="1247" bestFit="1" customWidth="1"/>
    <col min="13550" max="13558" width="13.1796875" style="1247" customWidth="1"/>
    <col min="13559" max="13559" width="15" style="1247" customWidth="1"/>
    <col min="13560" max="13561" width="10.453125" style="1247" customWidth="1"/>
    <col min="13562" max="13565" width="11.54296875" style="1247" bestFit="1" customWidth="1"/>
    <col min="13566" max="13566" width="12.1796875" style="1247" bestFit="1" customWidth="1"/>
    <col min="13567" max="13567" width="16.1796875" style="1247" bestFit="1" customWidth="1"/>
    <col min="13568" max="13570" width="11.54296875" style="1247" bestFit="1" customWidth="1"/>
    <col min="13571" max="13571" width="13.453125" style="1247" bestFit="1" customWidth="1"/>
    <col min="13572" max="13572" width="11.54296875" style="1247" customWidth="1"/>
    <col min="13573" max="13573" width="10.81640625" style="1247" bestFit="1" customWidth="1"/>
    <col min="13574" max="13782" width="9.1796875" style="1247"/>
    <col min="13783" max="13783" width="2.7265625" style="1247" customWidth="1"/>
    <col min="13784" max="13784" width="6.1796875" style="1247" customWidth="1"/>
    <col min="13785" max="13785" width="15.453125" style="1247" bestFit="1" customWidth="1"/>
    <col min="13786" max="13786" width="5.26953125" style="1247" bestFit="1" customWidth="1"/>
    <col min="13787" max="13797" width="10.7265625" style="1247" customWidth="1"/>
    <col min="13798" max="13798" width="13.7265625" style="1247" customWidth="1"/>
    <col min="13799" max="13799" width="11" style="1247" bestFit="1" customWidth="1"/>
    <col min="13800" max="13800" width="4.1796875" style="1247" bestFit="1" customWidth="1"/>
    <col min="13801" max="13801" width="9.1796875" style="1247"/>
    <col min="13802" max="13802" width="3.1796875" style="1247" bestFit="1" customWidth="1"/>
    <col min="13803" max="13803" width="9.1796875" style="1247"/>
    <col min="13804" max="13804" width="17.453125" style="1247" customWidth="1"/>
    <col min="13805" max="13805" width="5.7265625" style="1247" bestFit="1" customWidth="1"/>
    <col min="13806" max="13814" width="13.1796875" style="1247" customWidth="1"/>
    <col min="13815" max="13815" width="15" style="1247" customWidth="1"/>
    <col min="13816" max="13817" width="10.453125" style="1247" customWidth="1"/>
    <col min="13818" max="13821" width="11.54296875" style="1247" bestFit="1" customWidth="1"/>
    <col min="13822" max="13822" width="12.1796875" style="1247" bestFit="1" customWidth="1"/>
    <col min="13823" max="13823" width="16.1796875" style="1247" bestFit="1" customWidth="1"/>
    <col min="13824" max="13826" width="11.54296875" style="1247" bestFit="1" customWidth="1"/>
    <col min="13827" max="13827" width="13.453125" style="1247" bestFit="1" customWidth="1"/>
    <col min="13828" max="13828" width="11.54296875" style="1247" customWidth="1"/>
    <col min="13829" max="13829" width="10.81640625" style="1247" bestFit="1" customWidth="1"/>
    <col min="13830" max="14038" width="9.1796875" style="1247"/>
    <col min="14039" max="14039" width="2.7265625" style="1247" customWidth="1"/>
    <col min="14040" max="14040" width="6.1796875" style="1247" customWidth="1"/>
    <col min="14041" max="14041" width="15.453125" style="1247" bestFit="1" customWidth="1"/>
    <col min="14042" max="14042" width="5.26953125" style="1247" bestFit="1" customWidth="1"/>
    <col min="14043" max="14053" width="10.7265625" style="1247" customWidth="1"/>
    <col min="14054" max="14054" width="13.7265625" style="1247" customWidth="1"/>
    <col min="14055" max="14055" width="11" style="1247" bestFit="1" customWidth="1"/>
    <col min="14056" max="14056" width="4.1796875" style="1247" bestFit="1" customWidth="1"/>
    <col min="14057" max="14057" width="9.1796875" style="1247"/>
    <col min="14058" max="14058" width="3.1796875" style="1247" bestFit="1" customWidth="1"/>
    <col min="14059" max="14059" width="9.1796875" style="1247"/>
    <col min="14060" max="14060" width="17.453125" style="1247" customWidth="1"/>
    <col min="14061" max="14061" width="5.7265625" style="1247" bestFit="1" customWidth="1"/>
    <col min="14062" max="14070" width="13.1796875" style="1247" customWidth="1"/>
    <col min="14071" max="14071" width="15" style="1247" customWidth="1"/>
    <col min="14072" max="14073" width="10.453125" style="1247" customWidth="1"/>
    <col min="14074" max="14077" width="11.54296875" style="1247" bestFit="1" customWidth="1"/>
    <col min="14078" max="14078" width="12.1796875" style="1247" bestFit="1" customWidth="1"/>
    <col min="14079" max="14079" width="16.1796875" style="1247" bestFit="1" customWidth="1"/>
    <col min="14080" max="14082" width="11.54296875" style="1247" bestFit="1" customWidth="1"/>
    <col min="14083" max="14083" width="13.453125" style="1247" bestFit="1" customWidth="1"/>
    <col min="14084" max="14084" width="11.54296875" style="1247" customWidth="1"/>
    <col min="14085" max="14085" width="10.81640625" style="1247" bestFit="1" customWidth="1"/>
    <col min="14086" max="14294" width="9.1796875" style="1247"/>
    <col min="14295" max="14295" width="2.7265625" style="1247" customWidth="1"/>
    <col min="14296" max="14296" width="6.1796875" style="1247" customWidth="1"/>
    <col min="14297" max="14297" width="15.453125" style="1247" bestFit="1" customWidth="1"/>
    <col min="14298" max="14298" width="5.26953125" style="1247" bestFit="1" customWidth="1"/>
    <col min="14299" max="14309" width="10.7265625" style="1247" customWidth="1"/>
    <col min="14310" max="14310" width="13.7265625" style="1247" customWidth="1"/>
    <col min="14311" max="14311" width="11" style="1247" bestFit="1" customWidth="1"/>
    <col min="14312" max="14312" width="4.1796875" style="1247" bestFit="1" customWidth="1"/>
    <col min="14313" max="14313" width="9.1796875" style="1247"/>
    <col min="14314" max="14314" width="3.1796875" style="1247" bestFit="1" customWidth="1"/>
    <col min="14315" max="14315" width="9.1796875" style="1247"/>
    <col min="14316" max="14316" width="17.453125" style="1247" customWidth="1"/>
    <col min="14317" max="14317" width="5.7265625" style="1247" bestFit="1" customWidth="1"/>
    <col min="14318" max="14326" width="13.1796875" style="1247" customWidth="1"/>
    <col min="14327" max="14327" width="15" style="1247" customWidth="1"/>
    <col min="14328" max="14329" width="10.453125" style="1247" customWidth="1"/>
    <col min="14330" max="14333" width="11.54296875" style="1247" bestFit="1" customWidth="1"/>
    <col min="14334" max="14334" width="12.1796875" style="1247" bestFit="1" customWidth="1"/>
    <col min="14335" max="14335" width="16.1796875" style="1247" bestFit="1" customWidth="1"/>
    <col min="14336" max="14338" width="11.54296875" style="1247" bestFit="1" customWidth="1"/>
    <col min="14339" max="14339" width="13.453125" style="1247" bestFit="1" customWidth="1"/>
    <col min="14340" max="14340" width="11.54296875" style="1247" customWidth="1"/>
    <col min="14341" max="14341" width="10.81640625" style="1247" bestFit="1" customWidth="1"/>
    <col min="14342" max="14550" width="9.1796875" style="1247"/>
    <col min="14551" max="14551" width="2.7265625" style="1247" customWidth="1"/>
    <col min="14552" max="14552" width="6.1796875" style="1247" customWidth="1"/>
    <col min="14553" max="14553" width="15.453125" style="1247" bestFit="1" customWidth="1"/>
    <col min="14554" max="14554" width="5.26953125" style="1247" bestFit="1" customWidth="1"/>
    <col min="14555" max="14565" width="10.7265625" style="1247" customWidth="1"/>
    <col min="14566" max="14566" width="13.7265625" style="1247" customWidth="1"/>
    <col min="14567" max="14567" width="11" style="1247" bestFit="1" customWidth="1"/>
    <col min="14568" max="14568" width="4.1796875" style="1247" bestFit="1" customWidth="1"/>
    <col min="14569" max="14569" width="9.1796875" style="1247"/>
    <col min="14570" max="14570" width="3.1796875" style="1247" bestFit="1" customWidth="1"/>
    <col min="14571" max="14571" width="9.1796875" style="1247"/>
    <col min="14572" max="14572" width="17.453125" style="1247" customWidth="1"/>
    <col min="14573" max="14573" width="5.7265625" style="1247" bestFit="1" customWidth="1"/>
    <col min="14574" max="14582" width="13.1796875" style="1247" customWidth="1"/>
    <col min="14583" max="14583" width="15" style="1247" customWidth="1"/>
    <col min="14584" max="14585" width="10.453125" style="1247" customWidth="1"/>
    <col min="14586" max="14589" width="11.54296875" style="1247" bestFit="1" customWidth="1"/>
    <col min="14590" max="14590" width="12.1796875" style="1247" bestFit="1" customWidth="1"/>
    <col min="14591" max="14591" width="16.1796875" style="1247" bestFit="1" customWidth="1"/>
    <col min="14592" max="14594" width="11.54296875" style="1247" bestFit="1" customWidth="1"/>
    <col min="14595" max="14595" width="13.453125" style="1247" bestFit="1" customWidth="1"/>
    <col min="14596" max="14596" width="11.54296875" style="1247" customWidth="1"/>
    <col min="14597" max="14597" width="10.81640625" style="1247" bestFit="1" customWidth="1"/>
    <col min="14598" max="14806" width="9.1796875" style="1247"/>
    <col min="14807" max="14807" width="2.7265625" style="1247" customWidth="1"/>
    <col min="14808" max="14808" width="6.1796875" style="1247" customWidth="1"/>
    <col min="14809" max="14809" width="15.453125" style="1247" bestFit="1" customWidth="1"/>
    <col min="14810" max="14810" width="5.26953125" style="1247" bestFit="1" customWidth="1"/>
    <col min="14811" max="14821" width="10.7265625" style="1247" customWidth="1"/>
    <col min="14822" max="14822" width="13.7265625" style="1247" customWidth="1"/>
    <col min="14823" max="14823" width="11" style="1247" bestFit="1" customWidth="1"/>
    <col min="14824" max="14824" width="4.1796875" style="1247" bestFit="1" customWidth="1"/>
    <col min="14825" max="14825" width="9.1796875" style="1247"/>
    <col min="14826" max="14826" width="3.1796875" style="1247" bestFit="1" customWidth="1"/>
    <col min="14827" max="14827" width="9.1796875" style="1247"/>
    <col min="14828" max="14828" width="17.453125" style="1247" customWidth="1"/>
    <col min="14829" max="14829" width="5.7265625" style="1247" bestFit="1" customWidth="1"/>
    <col min="14830" max="14838" width="13.1796875" style="1247" customWidth="1"/>
    <col min="14839" max="14839" width="15" style="1247" customWidth="1"/>
    <col min="14840" max="14841" width="10.453125" style="1247" customWidth="1"/>
    <col min="14842" max="14845" width="11.54296875" style="1247" bestFit="1" customWidth="1"/>
    <col min="14846" max="14846" width="12.1796875" style="1247" bestFit="1" customWidth="1"/>
    <col min="14847" max="14847" width="16.1796875" style="1247" bestFit="1" customWidth="1"/>
    <col min="14848" max="14850" width="11.54296875" style="1247" bestFit="1" customWidth="1"/>
    <col min="14851" max="14851" width="13.453125" style="1247" bestFit="1" customWidth="1"/>
    <col min="14852" max="14852" width="11.54296875" style="1247" customWidth="1"/>
    <col min="14853" max="14853" width="10.81640625" style="1247" bestFit="1" customWidth="1"/>
    <col min="14854" max="15062" width="9.1796875" style="1247"/>
    <col min="15063" max="15063" width="2.7265625" style="1247" customWidth="1"/>
    <col min="15064" max="15064" width="6.1796875" style="1247" customWidth="1"/>
    <col min="15065" max="15065" width="15.453125" style="1247" bestFit="1" customWidth="1"/>
    <col min="15066" max="15066" width="5.26953125" style="1247" bestFit="1" customWidth="1"/>
    <col min="15067" max="15077" width="10.7265625" style="1247" customWidth="1"/>
    <col min="15078" max="15078" width="13.7265625" style="1247" customWidth="1"/>
    <col min="15079" max="15079" width="11" style="1247" bestFit="1" customWidth="1"/>
    <col min="15080" max="15080" width="4.1796875" style="1247" bestFit="1" customWidth="1"/>
    <col min="15081" max="15081" width="9.1796875" style="1247"/>
    <col min="15082" max="15082" width="3.1796875" style="1247" bestFit="1" customWidth="1"/>
    <col min="15083" max="15083" width="9.1796875" style="1247"/>
    <col min="15084" max="15084" width="17.453125" style="1247" customWidth="1"/>
    <col min="15085" max="15085" width="5.7265625" style="1247" bestFit="1" customWidth="1"/>
    <col min="15086" max="15094" width="13.1796875" style="1247" customWidth="1"/>
    <col min="15095" max="15095" width="15" style="1247" customWidth="1"/>
    <col min="15096" max="15097" width="10.453125" style="1247" customWidth="1"/>
    <col min="15098" max="15101" width="11.54296875" style="1247" bestFit="1" customWidth="1"/>
    <col min="15102" max="15102" width="12.1796875" style="1247" bestFit="1" customWidth="1"/>
    <col min="15103" max="15103" width="16.1796875" style="1247" bestFit="1" customWidth="1"/>
    <col min="15104" max="15106" width="11.54296875" style="1247" bestFit="1" customWidth="1"/>
    <col min="15107" max="15107" width="13.453125" style="1247" bestFit="1" customWidth="1"/>
    <col min="15108" max="15108" width="11.54296875" style="1247" customWidth="1"/>
    <col min="15109" max="15109" width="10.81640625" style="1247" bestFit="1" customWidth="1"/>
    <col min="15110" max="15318" width="9.1796875" style="1247"/>
    <col min="15319" max="15319" width="2.7265625" style="1247" customWidth="1"/>
    <col min="15320" max="15320" width="6.1796875" style="1247" customWidth="1"/>
    <col min="15321" max="15321" width="15.453125" style="1247" bestFit="1" customWidth="1"/>
    <col min="15322" max="15322" width="5.26953125" style="1247" bestFit="1" customWidth="1"/>
    <col min="15323" max="15333" width="10.7265625" style="1247" customWidth="1"/>
    <col min="15334" max="15334" width="13.7265625" style="1247" customWidth="1"/>
    <col min="15335" max="15335" width="11" style="1247" bestFit="1" customWidth="1"/>
    <col min="15336" max="15336" width="4.1796875" style="1247" bestFit="1" customWidth="1"/>
    <col min="15337" max="15337" width="9.1796875" style="1247"/>
    <col min="15338" max="15338" width="3.1796875" style="1247" bestFit="1" customWidth="1"/>
    <col min="15339" max="15339" width="9.1796875" style="1247"/>
    <col min="15340" max="15340" width="17.453125" style="1247" customWidth="1"/>
    <col min="15341" max="15341" width="5.7265625" style="1247" bestFit="1" customWidth="1"/>
    <col min="15342" max="15350" width="13.1796875" style="1247" customWidth="1"/>
    <col min="15351" max="15351" width="15" style="1247" customWidth="1"/>
    <col min="15352" max="15353" width="10.453125" style="1247" customWidth="1"/>
    <col min="15354" max="15357" width="11.54296875" style="1247" bestFit="1" customWidth="1"/>
    <col min="15358" max="15358" width="12.1796875" style="1247" bestFit="1" customWidth="1"/>
    <col min="15359" max="15359" width="16.1796875" style="1247" bestFit="1" customWidth="1"/>
    <col min="15360" max="15362" width="11.54296875" style="1247" bestFit="1" customWidth="1"/>
    <col min="15363" max="15363" width="13.453125" style="1247" bestFit="1" customWidth="1"/>
    <col min="15364" max="15364" width="11.54296875" style="1247" customWidth="1"/>
    <col min="15365" max="15365" width="10.81640625" style="1247" bestFit="1" customWidth="1"/>
    <col min="15366" max="15574" width="9.1796875" style="1247"/>
    <col min="15575" max="15575" width="2.7265625" style="1247" customWidth="1"/>
    <col min="15576" max="15576" width="6.1796875" style="1247" customWidth="1"/>
    <col min="15577" max="15577" width="15.453125" style="1247" bestFit="1" customWidth="1"/>
    <col min="15578" max="15578" width="5.26953125" style="1247" bestFit="1" customWidth="1"/>
    <col min="15579" max="15589" width="10.7265625" style="1247" customWidth="1"/>
    <col min="15590" max="15590" width="13.7265625" style="1247" customWidth="1"/>
    <col min="15591" max="15591" width="11" style="1247" bestFit="1" customWidth="1"/>
    <col min="15592" max="15592" width="4.1796875" style="1247" bestFit="1" customWidth="1"/>
    <col min="15593" max="15593" width="9.1796875" style="1247"/>
    <col min="15594" max="15594" width="3.1796875" style="1247" bestFit="1" customWidth="1"/>
    <col min="15595" max="15595" width="9.1796875" style="1247"/>
    <col min="15596" max="15596" width="17.453125" style="1247" customWidth="1"/>
    <col min="15597" max="15597" width="5.7265625" style="1247" bestFit="1" customWidth="1"/>
    <col min="15598" max="15606" width="13.1796875" style="1247" customWidth="1"/>
    <col min="15607" max="15607" width="15" style="1247" customWidth="1"/>
    <col min="15608" max="15609" width="10.453125" style="1247" customWidth="1"/>
    <col min="15610" max="15613" width="11.54296875" style="1247" bestFit="1" customWidth="1"/>
    <col min="15614" max="15614" width="12.1796875" style="1247" bestFit="1" customWidth="1"/>
    <col min="15615" max="15615" width="16.1796875" style="1247" bestFit="1" customWidth="1"/>
    <col min="15616" max="15618" width="11.54296875" style="1247" bestFit="1" customWidth="1"/>
    <col min="15619" max="15619" width="13.453125" style="1247" bestFit="1" customWidth="1"/>
    <col min="15620" max="15620" width="11.54296875" style="1247" customWidth="1"/>
    <col min="15621" max="15621" width="10.81640625" style="1247" bestFit="1" customWidth="1"/>
    <col min="15622" max="15830" width="9.1796875" style="1247"/>
    <col min="15831" max="15831" width="2.7265625" style="1247" customWidth="1"/>
    <col min="15832" max="15832" width="6.1796875" style="1247" customWidth="1"/>
    <col min="15833" max="15833" width="15.453125" style="1247" bestFit="1" customWidth="1"/>
    <col min="15834" max="15834" width="5.26953125" style="1247" bestFit="1" customWidth="1"/>
    <col min="15835" max="15845" width="10.7265625" style="1247" customWidth="1"/>
    <col min="15846" max="15846" width="13.7265625" style="1247" customWidth="1"/>
    <col min="15847" max="15847" width="11" style="1247" bestFit="1" customWidth="1"/>
    <col min="15848" max="15848" width="4.1796875" style="1247" bestFit="1" customWidth="1"/>
    <col min="15849" max="15849" width="9.1796875" style="1247"/>
    <col min="15850" max="15850" width="3.1796875" style="1247" bestFit="1" customWidth="1"/>
    <col min="15851" max="15851" width="9.1796875" style="1247"/>
    <col min="15852" max="15852" width="17.453125" style="1247" customWidth="1"/>
    <col min="15853" max="15853" width="5.7265625" style="1247" bestFit="1" customWidth="1"/>
    <col min="15854" max="15862" width="13.1796875" style="1247" customWidth="1"/>
    <col min="15863" max="15863" width="15" style="1247" customWidth="1"/>
    <col min="15864" max="15865" width="10.453125" style="1247" customWidth="1"/>
    <col min="15866" max="15869" width="11.54296875" style="1247" bestFit="1" customWidth="1"/>
    <col min="15870" max="15870" width="12.1796875" style="1247" bestFit="1" customWidth="1"/>
    <col min="15871" max="15871" width="16.1796875" style="1247" bestFit="1" customWidth="1"/>
    <col min="15872" max="15874" width="11.54296875" style="1247" bestFit="1" customWidth="1"/>
    <col min="15875" max="15875" width="13.453125" style="1247" bestFit="1" customWidth="1"/>
    <col min="15876" max="15876" width="11.54296875" style="1247" customWidth="1"/>
    <col min="15877" max="15877" width="10.81640625" style="1247" bestFit="1" customWidth="1"/>
    <col min="15878" max="16086" width="9.1796875" style="1247"/>
    <col min="16087" max="16087" width="2.7265625" style="1247" customWidth="1"/>
    <col min="16088" max="16088" width="6.1796875" style="1247" customWidth="1"/>
    <col min="16089" max="16089" width="15.453125" style="1247" bestFit="1" customWidth="1"/>
    <col min="16090" max="16090" width="5.26953125" style="1247" bestFit="1" customWidth="1"/>
    <col min="16091" max="16101" width="10.7265625" style="1247" customWidth="1"/>
    <col min="16102" max="16102" width="13.7265625" style="1247" customWidth="1"/>
    <col min="16103" max="16103" width="11" style="1247" bestFit="1" customWidth="1"/>
    <col min="16104" max="16104" width="4.1796875" style="1247" bestFit="1" customWidth="1"/>
    <col min="16105" max="16105" width="9.1796875" style="1247"/>
    <col min="16106" max="16106" width="3.1796875" style="1247" bestFit="1" customWidth="1"/>
    <col min="16107" max="16107" width="9.1796875" style="1247"/>
    <col min="16108" max="16108" width="17.453125" style="1247" customWidth="1"/>
    <col min="16109" max="16109" width="5.7265625" style="1247" bestFit="1" customWidth="1"/>
    <col min="16110" max="16118" width="13.1796875" style="1247" customWidth="1"/>
    <col min="16119" max="16119" width="15" style="1247" customWidth="1"/>
    <col min="16120" max="16121" width="10.453125" style="1247" customWidth="1"/>
    <col min="16122" max="16125" width="11.54296875" style="1247" bestFit="1" customWidth="1"/>
    <col min="16126" max="16126" width="12.1796875" style="1247" bestFit="1" customWidth="1"/>
    <col min="16127" max="16127" width="16.1796875" style="1247" bestFit="1" customWidth="1"/>
    <col min="16128" max="16130" width="11.54296875" style="1247" bestFit="1" customWidth="1"/>
    <col min="16131" max="16131" width="13.453125" style="1247" bestFit="1" customWidth="1"/>
    <col min="16132" max="16132" width="11.54296875" style="1247" customWidth="1"/>
    <col min="16133" max="16133" width="10.81640625" style="1247" bestFit="1" customWidth="1"/>
    <col min="16134" max="16384" width="9.1796875" style="1247"/>
  </cols>
  <sheetData>
    <row r="2" spans="2:96" ht="13">
      <c r="B2" s="2294" t="s">
        <v>428</v>
      </c>
      <c r="C2" s="2295"/>
      <c r="G2" s="2269" t="s">
        <v>1921</v>
      </c>
      <c r="H2" s="2269"/>
      <c r="I2" s="2269"/>
      <c r="J2" s="2269"/>
      <c r="K2" s="2269"/>
      <c r="L2" s="2269"/>
      <c r="M2" s="2269"/>
      <c r="N2" s="2269"/>
      <c r="O2" s="2269"/>
      <c r="P2" s="2269"/>
      <c r="Q2" s="2269"/>
      <c r="R2" s="2269"/>
      <c r="S2" s="2269"/>
      <c r="U2" s="2270"/>
      <c r="V2" s="2270"/>
      <c r="W2" s="2270"/>
      <c r="X2" s="2270"/>
      <c r="Y2" s="2270"/>
      <c r="Z2" s="2270"/>
      <c r="AA2" s="2270"/>
      <c r="AB2" s="2270"/>
      <c r="AC2" s="2270"/>
      <c r="AD2" s="2270"/>
      <c r="AE2" s="2270"/>
      <c r="AF2" s="2270"/>
      <c r="AG2" s="2270"/>
      <c r="AH2" s="2270"/>
      <c r="AI2" s="2270"/>
      <c r="AJ2" s="2270"/>
      <c r="AK2" s="2270"/>
      <c r="AL2" s="2270"/>
      <c r="AM2" s="2270"/>
      <c r="AN2" s="2270"/>
      <c r="AO2" s="2270"/>
      <c r="AP2" s="2270"/>
      <c r="AQ2" s="2270"/>
      <c r="AR2" s="2270"/>
      <c r="AS2" s="2270"/>
      <c r="AT2" s="2270"/>
      <c r="AU2" s="2270"/>
      <c r="AW2" s="2283" t="s">
        <v>1959</v>
      </c>
      <c r="AX2" s="2283"/>
      <c r="AY2" s="2283"/>
      <c r="AZ2" s="2283"/>
      <c r="BA2" s="2283"/>
      <c r="BB2" s="2283"/>
      <c r="BC2" s="2283"/>
      <c r="BD2" s="2283"/>
      <c r="BE2" s="2283"/>
      <c r="BF2" s="2283"/>
      <c r="BG2" s="2283"/>
      <c r="BI2" s="2270" t="s">
        <v>1968</v>
      </c>
      <c r="BJ2" s="2270"/>
      <c r="BK2" s="2270"/>
      <c r="BL2" s="2270"/>
      <c r="BM2" s="2270"/>
      <c r="BN2" s="2270"/>
      <c r="BO2" s="2270"/>
      <c r="BP2" s="2270"/>
      <c r="BQ2" s="2270"/>
      <c r="BR2" s="2270"/>
      <c r="BS2" s="2270"/>
      <c r="BT2" s="2270"/>
      <c r="BU2" s="2270"/>
      <c r="BV2" s="2270"/>
      <c r="BW2" s="2270"/>
      <c r="BX2" s="2270"/>
      <c r="BY2" s="2270"/>
      <c r="BZ2" s="2270"/>
      <c r="CA2" s="2270"/>
      <c r="CB2" s="2270"/>
      <c r="CC2" s="2270"/>
    </row>
    <row r="3" spans="2:96">
      <c r="B3" s="1356">
        <v>1</v>
      </c>
      <c r="C3" s="1355"/>
      <c r="AV3" s="1249"/>
    </row>
    <row r="4" spans="2:96" ht="12.75" customHeight="1">
      <c r="B4" s="1252"/>
      <c r="C4" s="1317"/>
      <c r="G4" s="1250" t="s">
        <v>1462</v>
      </c>
      <c r="H4" s="2272"/>
      <c r="I4" s="2273"/>
      <c r="AV4" s="1248"/>
      <c r="AW4" s="1250" t="s">
        <v>696</v>
      </c>
      <c r="AX4" s="2272"/>
      <c r="AY4" s="2273"/>
      <c r="AZ4" s="1248" t="s">
        <v>146</v>
      </c>
      <c r="BA4" s="1250"/>
    </row>
    <row r="5" spans="2:96">
      <c r="B5" s="1318"/>
      <c r="C5" s="1337"/>
      <c r="AV5" s="1248"/>
    </row>
    <row r="6" spans="2:96" ht="12.75" customHeight="1">
      <c r="G6" s="1250" t="s">
        <v>696</v>
      </c>
      <c r="H6" s="1430"/>
      <c r="I6" s="1248" t="s">
        <v>146</v>
      </c>
      <c r="J6" s="1248"/>
      <c r="AV6" s="1248"/>
      <c r="AW6" s="2286" t="s">
        <v>689</v>
      </c>
      <c r="AX6" s="2291"/>
      <c r="AY6" s="2284" t="str">
        <f t="shared" ref="AY6:BG6" si="0">IF($BL$39="C","-",BL6)</f>
        <v>-</v>
      </c>
      <c r="AZ6" s="2284" t="str">
        <f t="shared" si="0"/>
        <v>-</v>
      </c>
      <c r="BA6" s="2284" t="str">
        <f t="shared" si="0"/>
        <v>-</v>
      </c>
      <c r="BB6" s="2284" t="str">
        <f t="shared" si="0"/>
        <v>-</v>
      </c>
      <c r="BC6" s="2284" t="str">
        <f t="shared" si="0"/>
        <v>-</v>
      </c>
      <c r="BD6" s="2284" t="str">
        <f t="shared" si="0"/>
        <v>-</v>
      </c>
      <c r="BE6" s="2284" t="str">
        <f t="shared" si="0"/>
        <v>-</v>
      </c>
      <c r="BF6" s="2284" t="str">
        <f t="shared" si="0"/>
        <v>-</v>
      </c>
      <c r="BG6" s="2284" t="str">
        <f t="shared" si="0"/>
        <v>-</v>
      </c>
      <c r="BL6" s="2284" t="s">
        <v>406</v>
      </c>
      <c r="BM6" s="2284" t="s">
        <v>852</v>
      </c>
      <c r="BN6" s="2284" t="s">
        <v>403</v>
      </c>
      <c r="BO6" s="2284" t="s">
        <v>405</v>
      </c>
      <c r="BP6" s="2284" t="s">
        <v>764</v>
      </c>
      <c r="BQ6" s="2284" t="s">
        <v>863</v>
      </c>
      <c r="BR6" s="2284" t="s">
        <v>797</v>
      </c>
      <c r="BS6" s="2284" t="s">
        <v>1710</v>
      </c>
      <c r="BT6" s="2284" t="s">
        <v>1822</v>
      </c>
    </row>
    <row r="7" spans="2:96" ht="13">
      <c r="B7" s="1989" t="s">
        <v>1306</v>
      </c>
      <c r="C7" s="1990"/>
      <c r="D7" s="1990"/>
      <c r="E7" s="1991"/>
      <c r="G7" s="1250"/>
      <c r="AV7" s="1248"/>
      <c r="AW7" s="2288"/>
      <c r="AX7" s="2292"/>
      <c r="AY7" s="2285"/>
      <c r="AZ7" s="2285"/>
      <c r="BA7" s="2285"/>
      <c r="BB7" s="2285"/>
      <c r="BC7" s="2285"/>
      <c r="BD7" s="2285"/>
      <c r="BE7" s="2285"/>
      <c r="BF7" s="2285"/>
      <c r="BG7" s="2285"/>
      <c r="BL7" s="2285"/>
      <c r="BM7" s="2285"/>
      <c r="BN7" s="2285"/>
      <c r="BO7" s="2285"/>
      <c r="BP7" s="2285"/>
      <c r="BQ7" s="2285"/>
      <c r="BR7" s="2285"/>
      <c r="BS7" s="2285"/>
      <c r="BT7" s="2285"/>
    </row>
    <row r="8" spans="2:96" ht="12.5">
      <c r="B8" s="527"/>
      <c r="C8" s="442"/>
      <c r="D8" s="442"/>
      <c r="E8" s="443"/>
      <c r="G8" s="2286" t="s">
        <v>689</v>
      </c>
      <c r="H8" s="2287"/>
      <c r="I8" s="2284" t="str">
        <f t="shared" ref="I8:S8" si="1">IF($X$30="CC","-",Y8)</f>
        <v>-</v>
      </c>
      <c r="J8" s="2284" t="str">
        <f t="shared" si="1"/>
        <v>-</v>
      </c>
      <c r="K8" s="2284" t="str">
        <f t="shared" si="1"/>
        <v>-</v>
      </c>
      <c r="L8" s="2284" t="str">
        <f t="shared" si="1"/>
        <v>-</v>
      </c>
      <c r="M8" s="2284" t="str">
        <f t="shared" si="1"/>
        <v>-</v>
      </c>
      <c r="N8" s="2284" t="str">
        <f t="shared" si="1"/>
        <v>-</v>
      </c>
      <c r="O8" s="2284" t="str">
        <f t="shared" si="1"/>
        <v>-</v>
      </c>
      <c r="P8" s="2284" t="str">
        <f t="shared" si="1"/>
        <v>-</v>
      </c>
      <c r="Q8" s="2284" t="str">
        <f t="shared" si="1"/>
        <v>-</v>
      </c>
      <c r="R8" s="2284" t="str">
        <f t="shared" si="1"/>
        <v>-</v>
      </c>
      <c r="S8" s="2284" t="str">
        <f t="shared" si="1"/>
        <v>-</v>
      </c>
      <c r="T8" s="1252"/>
      <c r="Y8" s="2284" t="str">
        <f t="shared" ref="Y8:AI8" si="2">AK46&amp;AK119</f>
        <v/>
      </c>
      <c r="Z8" s="2284" t="str">
        <f t="shared" si="2"/>
        <v/>
      </c>
      <c r="AA8" s="2284" t="str">
        <f t="shared" si="2"/>
        <v/>
      </c>
      <c r="AB8" s="2284" t="str">
        <f t="shared" si="2"/>
        <v/>
      </c>
      <c r="AC8" s="2284" t="str">
        <f t="shared" si="2"/>
        <v/>
      </c>
      <c r="AD8" s="2284" t="str">
        <f t="shared" si="2"/>
        <v/>
      </c>
      <c r="AE8" s="2284" t="str">
        <f t="shared" si="2"/>
        <v/>
      </c>
      <c r="AF8" s="2284" t="str">
        <f t="shared" si="2"/>
        <v/>
      </c>
      <c r="AG8" s="2284" t="str">
        <f t="shared" si="2"/>
        <v/>
      </c>
      <c r="AH8" s="2284" t="str">
        <f t="shared" si="2"/>
        <v/>
      </c>
      <c r="AI8" s="2284" t="str">
        <f t="shared" si="2"/>
        <v/>
      </c>
      <c r="AV8" s="1248"/>
      <c r="AW8" s="2298" t="s">
        <v>1967</v>
      </c>
      <c r="AX8" s="2299"/>
      <c r="AY8" s="1350" t="str">
        <f t="shared" ref="AY8:BG8" si="3">IF($BL$39="C","-",BL8)</f>
        <v>-</v>
      </c>
      <c r="AZ8" s="1350" t="str">
        <f t="shared" si="3"/>
        <v>-</v>
      </c>
      <c r="BA8" s="1350" t="str">
        <f t="shared" si="3"/>
        <v>-</v>
      </c>
      <c r="BB8" s="1350" t="str">
        <f t="shared" si="3"/>
        <v>-</v>
      </c>
      <c r="BC8" s="1350" t="str">
        <f t="shared" si="3"/>
        <v>-</v>
      </c>
      <c r="BD8" s="1350" t="str">
        <f t="shared" si="3"/>
        <v>-</v>
      </c>
      <c r="BE8" s="1350" t="str">
        <f t="shared" si="3"/>
        <v>-</v>
      </c>
      <c r="BF8" s="1350" t="str">
        <f t="shared" si="3"/>
        <v>-</v>
      </c>
      <c r="BG8" s="1350" t="str">
        <f t="shared" si="3"/>
        <v>-</v>
      </c>
      <c r="BL8" s="1350">
        <f t="shared" ref="BL8:BT8" si="4">BU47+BU68</f>
        <v>0</v>
      </c>
      <c r="BM8" s="1350">
        <f t="shared" si="4"/>
        <v>0</v>
      </c>
      <c r="BN8" s="1350">
        <f t="shared" si="4"/>
        <v>0</v>
      </c>
      <c r="BO8" s="1350">
        <f t="shared" si="4"/>
        <v>0</v>
      </c>
      <c r="BP8" s="1350">
        <f t="shared" si="4"/>
        <v>0</v>
      </c>
      <c r="BQ8" s="1350">
        <f t="shared" si="4"/>
        <v>0</v>
      </c>
      <c r="BR8" s="1350">
        <f t="shared" si="4"/>
        <v>0</v>
      </c>
      <c r="BS8" s="1350">
        <f t="shared" si="4"/>
        <v>0</v>
      </c>
      <c r="BT8" s="1350">
        <f t="shared" si="4"/>
        <v>0</v>
      </c>
    </row>
    <row r="9" spans="2:96" ht="13">
      <c r="B9" s="695" t="s">
        <v>696</v>
      </c>
      <c r="C9" s="1424"/>
      <c r="D9" s="554" t="s">
        <v>6</v>
      </c>
      <c r="E9" s="616"/>
      <c r="G9" s="2288"/>
      <c r="H9" s="2289"/>
      <c r="I9" s="2285"/>
      <c r="J9" s="2285"/>
      <c r="K9" s="2285"/>
      <c r="L9" s="2285"/>
      <c r="M9" s="2285"/>
      <c r="N9" s="2285"/>
      <c r="O9" s="2285"/>
      <c r="P9" s="2285"/>
      <c r="Q9" s="2285"/>
      <c r="R9" s="2285"/>
      <c r="S9" s="2285"/>
      <c r="T9" s="1252"/>
      <c r="Y9" s="2285"/>
      <c r="Z9" s="2285"/>
      <c r="AA9" s="2285"/>
      <c r="AB9" s="2285"/>
      <c r="AC9" s="2285"/>
      <c r="AD9" s="2285"/>
      <c r="AE9" s="2285"/>
      <c r="AF9" s="2285"/>
      <c r="AG9" s="2285"/>
      <c r="AH9" s="2285"/>
      <c r="AI9" s="2285"/>
      <c r="AV9" s="1248"/>
      <c r="AW9" s="1309" t="s">
        <v>1964</v>
      </c>
      <c r="AX9" s="1310"/>
      <c r="AY9" s="1258"/>
      <c r="AZ9" s="1258"/>
      <c r="BA9" s="1258"/>
      <c r="BB9" s="1258"/>
      <c r="BC9" s="1258"/>
      <c r="BD9" s="1258"/>
      <c r="BE9" s="1258"/>
      <c r="BF9" s="1258"/>
      <c r="BG9" s="1258"/>
      <c r="BL9" s="1258"/>
      <c r="BM9" s="1258"/>
      <c r="BN9" s="1258"/>
      <c r="BO9" s="1258"/>
      <c r="BP9" s="1258"/>
      <c r="BQ9" s="1258"/>
      <c r="BR9" s="1258"/>
      <c r="BS9" s="1258"/>
      <c r="BT9" s="1258"/>
      <c r="CI9" s="290"/>
      <c r="CJ9" s="290"/>
      <c r="CK9" s="290"/>
      <c r="CL9" s="290"/>
      <c r="CM9" s="45"/>
      <c r="CN9" s="45"/>
      <c r="CO9" s="45"/>
      <c r="CP9" s="45"/>
      <c r="CQ9" s="45"/>
      <c r="CR9" s="45"/>
    </row>
    <row r="10" spans="2:96" ht="12.5">
      <c r="B10" s="610" t="s">
        <v>5</v>
      </c>
      <c r="C10" s="614" t="str">
        <f>IF(C9=0,"-",SUM(AK21:AK25))</f>
        <v>-</v>
      </c>
      <c r="D10" s="548" t="s">
        <v>12</v>
      </c>
      <c r="E10" s="611"/>
      <c r="G10" s="1259" t="s">
        <v>1735</v>
      </c>
      <c r="H10" s="1308"/>
      <c r="I10" s="1253" t="str">
        <f t="shared" ref="I10:S11" si="5">IF($X$30="CC","-",Y10)</f>
        <v>-</v>
      </c>
      <c r="J10" s="1253" t="str">
        <f t="shared" si="5"/>
        <v>-</v>
      </c>
      <c r="K10" s="1253" t="str">
        <f t="shared" si="5"/>
        <v>-</v>
      </c>
      <c r="L10" s="1253" t="str">
        <f t="shared" si="5"/>
        <v>-</v>
      </c>
      <c r="M10" s="1253" t="str">
        <f t="shared" si="5"/>
        <v>-</v>
      </c>
      <c r="N10" s="1253" t="str">
        <f t="shared" si="5"/>
        <v>-</v>
      </c>
      <c r="O10" s="1253" t="str">
        <f t="shared" si="5"/>
        <v>-</v>
      </c>
      <c r="P10" s="1253" t="str">
        <f t="shared" si="5"/>
        <v>-</v>
      </c>
      <c r="Q10" s="1253" t="str">
        <f t="shared" si="5"/>
        <v>-</v>
      </c>
      <c r="R10" s="1253" t="str">
        <f t="shared" si="5"/>
        <v>-</v>
      </c>
      <c r="S10" s="1254" t="str">
        <f t="shared" si="5"/>
        <v>-</v>
      </c>
      <c r="T10" s="1252"/>
      <c r="W10" s="1247" t="s">
        <v>1736</v>
      </c>
      <c r="X10" s="1247"/>
      <c r="Y10" s="1253" t="str">
        <f t="shared" ref="Y10:AI11" si="6">AK47&amp;AK120</f>
        <v/>
      </c>
      <c r="Z10" s="1253" t="str">
        <f t="shared" si="6"/>
        <v/>
      </c>
      <c r="AA10" s="1253" t="str">
        <f t="shared" si="6"/>
        <v/>
      </c>
      <c r="AB10" s="1253" t="str">
        <f t="shared" si="6"/>
        <v/>
      </c>
      <c r="AC10" s="1253" t="str">
        <f t="shared" si="6"/>
        <v/>
      </c>
      <c r="AD10" s="1253" t="str">
        <f t="shared" si="6"/>
        <v/>
      </c>
      <c r="AE10" s="1253" t="str">
        <f t="shared" si="6"/>
        <v/>
      </c>
      <c r="AF10" s="1253" t="str">
        <f t="shared" si="6"/>
        <v/>
      </c>
      <c r="AG10" s="1253" t="str">
        <f t="shared" si="6"/>
        <v/>
      </c>
      <c r="AH10" s="1253" t="str">
        <f t="shared" si="6"/>
        <v/>
      </c>
      <c r="AI10" s="1254" t="str">
        <f t="shared" si="6"/>
        <v/>
      </c>
      <c r="AV10" s="1248"/>
      <c r="AW10" s="2280" t="s">
        <v>179</v>
      </c>
      <c r="AX10" s="2293"/>
      <c r="AY10" s="2282" t="str">
        <f t="shared" ref="AY10:BG10" si="7">IF($BL$39="C","-",BL10)</f>
        <v>-</v>
      </c>
      <c r="AZ10" s="2282" t="str">
        <f t="shared" si="7"/>
        <v>-</v>
      </c>
      <c r="BA10" s="2282" t="str">
        <f t="shared" si="7"/>
        <v>-</v>
      </c>
      <c r="BB10" s="2282" t="str">
        <f t="shared" si="7"/>
        <v>-</v>
      </c>
      <c r="BC10" s="2282" t="str">
        <f t="shared" si="7"/>
        <v>-</v>
      </c>
      <c r="BD10" s="2282" t="str">
        <f t="shared" si="7"/>
        <v>-</v>
      </c>
      <c r="BE10" s="2282" t="str">
        <f t="shared" si="7"/>
        <v>-</v>
      </c>
      <c r="BF10" s="2282" t="str">
        <f t="shared" si="7"/>
        <v>-</v>
      </c>
      <c r="BG10" s="2282" t="str">
        <f t="shared" si="7"/>
        <v>-</v>
      </c>
      <c r="BL10" s="2290" t="str">
        <f t="shared" ref="BL10:BT10" si="8">BU50&amp;BU71</f>
        <v/>
      </c>
      <c r="BM10" s="2290" t="str">
        <f t="shared" si="8"/>
        <v/>
      </c>
      <c r="BN10" s="2290" t="str">
        <f t="shared" si="8"/>
        <v/>
      </c>
      <c r="BO10" s="2290" t="str">
        <f t="shared" si="8"/>
        <v/>
      </c>
      <c r="BP10" s="2290" t="str">
        <f t="shared" si="8"/>
        <v/>
      </c>
      <c r="BQ10" s="2290" t="str">
        <f t="shared" si="8"/>
        <v/>
      </c>
      <c r="BR10" s="2290" t="str">
        <f t="shared" si="8"/>
        <v/>
      </c>
      <c r="BS10" s="2290" t="str">
        <f t="shared" si="8"/>
        <v/>
      </c>
      <c r="BT10" s="2290" t="str">
        <f t="shared" si="8"/>
        <v/>
      </c>
      <c r="CI10" s="290"/>
      <c r="CJ10" s="290"/>
      <c r="CK10" s="290"/>
      <c r="CL10" s="290"/>
      <c r="CM10" s="45"/>
      <c r="CN10" s="45"/>
      <c r="CO10" s="45"/>
      <c r="CP10" s="45"/>
      <c r="CQ10" s="45"/>
      <c r="CR10" s="45"/>
    </row>
    <row r="11" spans="2:96" ht="12.5">
      <c r="B11" s="610" t="s">
        <v>5</v>
      </c>
      <c r="C11" s="614" t="str">
        <f>IF(C9=0,"-",SUM(AL21:AL25))</f>
        <v>-</v>
      </c>
      <c r="D11" s="548" t="s">
        <v>6</v>
      </c>
      <c r="E11" s="611"/>
      <c r="G11" s="1259" t="s">
        <v>1737</v>
      </c>
      <c r="H11" s="1308"/>
      <c r="I11" s="1255" t="str">
        <f t="shared" si="5"/>
        <v>-</v>
      </c>
      <c r="J11" s="1255" t="str">
        <f t="shared" si="5"/>
        <v>-</v>
      </c>
      <c r="K11" s="1255" t="str">
        <f t="shared" si="5"/>
        <v>-</v>
      </c>
      <c r="L11" s="1255" t="str">
        <f t="shared" si="5"/>
        <v>-</v>
      </c>
      <c r="M11" s="1255" t="str">
        <f t="shared" si="5"/>
        <v>-</v>
      </c>
      <c r="N11" s="1255" t="str">
        <f t="shared" si="5"/>
        <v>-</v>
      </c>
      <c r="O11" s="1255" t="str">
        <f t="shared" si="5"/>
        <v>-</v>
      </c>
      <c r="P11" s="1255" t="str">
        <f t="shared" si="5"/>
        <v>-</v>
      </c>
      <c r="Q11" s="1255" t="str">
        <f t="shared" si="5"/>
        <v>-</v>
      </c>
      <c r="R11" s="1255" t="str">
        <f t="shared" si="5"/>
        <v>-</v>
      </c>
      <c r="S11" s="1256" t="str">
        <f t="shared" si="5"/>
        <v>-</v>
      </c>
      <c r="T11" s="1252"/>
      <c r="X11" s="1247"/>
      <c r="Y11" s="1255" t="str">
        <f t="shared" si="6"/>
        <v/>
      </c>
      <c r="Z11" s="1255" t="str">
        <f t="shared" si="6"/>
        <v/>
      </c>
      <c r="AA11" s="1255" t="str">
        <f t="shared" si="6"/>
        <v/>
      </c>
      <c r="AB11" s="1255" t="str">
        <f t="shared" si="6"/>
        <v/>
      </c>
      <c r="AC11" s="1255" t="str">
        <f t="shared" si="6"/>
        <v/>
      </c>
      <c r="AD11" s="1255" t="str">
        <f t="shared" si="6"/>
        <v/>
      </c>
      <c r="AE11" s="1255" t="str">
        <f t="shared" si="6"/>
        <v/>
      </c>
      <c r="AF11" s="1255" t="str">
        <f t="shared" si="6"/>
        <v/>
      </c>
      <c r="AG11" s="1255" t="str">
        <f t="shared" si="6"/>
        <v/>
      </c>
      <c r="AH11" s="1255" t="str">
        <f t="shared" si="6"/>
        <v/>
      </c>
      <c r="AI11" s="1256" t="str">
        <f t="shared" si="6"/>
        <v/>
      </c>
      <c r="AV11" s="1248"/>
      <c r="AW11" s="2280"/>
      <c r="AX11" s="2293"/>
      <c r="AY11" s="2282"/>
      <c r="AZ11" s="2282"/>
      <c r="BA11" s="2282"/>
      <c r="BB11" s="2282"/>
      <c r="BC11" s="2282"/>
      <c r="BD11" s="2282"/>
      <c r="BE11" s="2282"/>
      <c r="BF11" s="2282"/>
      <c r="BG11" s="2282"/>
      <c r="BL11" s="2290"/>
      <c r="BM11" s="2290"/>
      <c r="BN11" s="2290"/>
      <c r="BO11" s="2290"/>
      <c r="BP11" s="2290"/>
      <c r="BQ11" s="2290"/>
      <c r="BR11" s="2290"/>
      <c r="BS11" s="2290"/>
      <c r="BT11" s="2290"/>
      <c r="CI11" s="290"/>
      <c r="CJ11" s="290"/>
      <c r="CK11" s="290"/>
      <c r="CL11" s="290"/>
      <c r="CM11" s="45"/>
      <c r="CN11" s="45"/>
      <c r="CO11" s="45"/>
      <c r="CP11" s="45"/>
      <c r="CQ11" s="45"/>
      <c r="CR11" s="45"/>
    </row>
    <row r="12" spans="2:96" ht="12.5">
      <c r="B12" s="610" t="s">
        <v>5</v>
      </c>
      <c r="C12" s="614" t="str">
        <f>IF(C9=0,"-",SUM(AM21:AM25))</f>
        <v>-</v>
      </c>
      <c r="D12" s="548" t="s">
        <v>146</v>
      </c>
      <c r="E12" s="611"/>
      <c r="G12" s="1259"/>
      <c r="H12" s="1308"/>
      <c r="I12" s="1255"/>
      <c r="J12" s="1255"/>
      <c r="K12" s="1255"/>
      <c r="L12" s="1255"/>
      <c r="M12" s="1255"/>
      <c r="N12" s="1255"/>
      <c r="O12" s="1255"/>
      <c r="P12" s="1255"/>
      <c r="Q12" s="1255"/>
      <c r="R12" s="1255"/>
      <c r="S12" s="1256"/>
      <c r="T12" s="1252"/>
      <c r="X12" s="1247"/>
      <c r="Y12" s="1255"/>
      <c r="Z12" s="1255"/>
      <c r="AA12" s="1255"/>
      <c r="AB12" s="1255"/>
      <c r="AC12" s="1255"/>
      <c r="AD12" s="1255"/>
      <c r="AE12" s="1255"/>
      <c r="AF12" s="1255"/>
      <c r="AG12" s="1255"/>
      <c r="AH12" s="1255"/>
      <c r="AI12" s="1256"/>
      <c r="AV12" s="1248"/>
      <c r="AW12" s="1259" t="s">
        <v>479</v>
      </c>
      <c r="AX12" s="1312"/>
      <c r="AY12" s="1254"/>
      <c r="AZ12" s="1254"/>
      <c r="BA12" s="1254"/>
      <c r="BB12" s="1254"/>
      <c r="BC12" s="1254"/>
      <c r="BD12" s="1254"/>
      <c r="BE12" s="1254"/>
      <c r="BF12" s="1254"/>
      <c r="BG12" s="1254"/>
      <c r="BL12" s="1254"/>
      <c r="BM12" s="1254"/>
      <c r="BN12" s="1254"/>
      <c r="BO12" s="1254"/>
      <c r="BP12" s="1254"/>
      <c r="BQ12" s="1254"/>
      <c r="BR12" s="1254"/>
      <c r="BS12" s="1254"/>
      <c r="BT12" s="1254"/>
      <c r="CI12" s="290"/>
      <c r="CJ12" s="290"/>
      <c r="CK12" s="290"/>
      <c r="CL12" s="290"/>
      <c r="CM12" s="45"/>
      <c r="CN12" s="45"/>
      <c r="CO12" s="45"/>
      <c r="CP12" s="45"/>
      <c r="CQ12" s="45"/>
      <c r="CR12" s="45"/>
    </row>
    <row r="13" spans="2:96" ht="12.75" customHeight="1">
      <c r="B13" s="610" t="s">
        <v>5</v>
      </c>
      <c r="C13" s="614" t="str">
        <f>IF(C9=0,"-",SUM(AN21:AN25))</f>
        <v>-</v>
      </c>
      <c r="D13" s="548" t="s">
        <v>147</v>
      </c>
      <c r="E13" s="611"/>
      <c r="G13" s="1309" t="s">
        <v>1965</v>
      </c>
      <c r="H13" s="1310"/>
      <c r="I13" s="1257"/>
      <c r="J13" s="1257"/>
      <c r="K13" s="1257"/>
      <c r="L13" s="1257"/>
      <c r="M13" s="1257"/>
      <c r="N13" s="1257"/>
      <c r="O13" s="1257"/>
      <c r="P13" s="1257"/>
      <c r="Q13" s="1257"/>
      <c r="R13" s="1257"/>
      <c r="S13" s="1258"/>
      <c r="T13" s="1252"/>
      <c r="X13" s="1247"/>
      <c r="Y13" s="1257"/>
      <c r="Z13" s="1257"/>
      <c r="AA13" s="1257"/>
      <c r="AB13" s="1257"/>
      <c r="AC13" s="1257"/>
      <c r="AD13" s="1257"/>
      <c r="AE13" s="1257"/>
      <c r="AF13" s="1257"/>
      <c r="AG13" s="1257"/>
      <c r="AH13" s="1257"/>
      <c r="AI13" s="1258"/>
      <c r="AV13" s="1248"/>
      <c r="AW13" s="1313" t="s">
        <v>1909</v>
      </c>
      <c r="AX13" s="1312" t="s">
        <v>0</v>
      </c>
      <c r="AY13" s="1267" t="str">
        <f t="shared" ref="AY13:BG15" si="9">IF($BL$39="C","-",BL13)</f>
        <v>-</v>
      </c>
      <c r="AZ13" s="1267" t="str">
        <f t="shared" si="9"/>
        <v>-</v>
      </c>
      <c r="BA13" s="1267" t="str">
        <f t="shared" si="9"/>
        <v>-</v>
      </c>
      <c r="BB13" s="1267" t="str">
        <f t="shared" si="9"/>
        <v>-</v>
      </c>
      <c r="BC13" s="1267" t="str">
        <f t="shared" si="9"/>
        <v>-</v>
      </c>
      <c r="BD13" s="1267" t="str">
        <f t="shared" si="9"/>
        <v>-</v>
      </c>
      <c r="BE13" s="1267" t="str">
        <f t="shared" si="9"/>
        <v>-</v>
      </c>
      <c r="BF13" s="1267" t="str">
        <f t="shared" si="9"/>
        <v>-</v>
      </c>
      <c r="BG13" s="1267" t="str">
        <f t="shared" si="9"/>
        <v>-</v>
      </c>
      <c r="BL13" s="1267" t="str">
        <f t="shared" ref="BL13:BT15" si="10">IF(SUM(BU52,BU73)=0,"-",SUM(BU52,BU73))</f>
        <v>-</v>
      </c>
      <c r="BM13" s="1267" t="str">
        <f t="shared" si="10"/>
        <v>-</v>
      </c>
      <c r="BN13" s="1267" t="str">
        <f t="shared" si="10"/>
        <v>-</v>
      </c>
      <c r="BO13" s="1267" t="str">
        <f t="shared" si="10"/>
        <v>-</v>
      </c>
      <c r="BP13" s="1267" t="str">
        <f t="shared" si="10"/>
        <v>-</v>
      </c>
      <c r="BQ13" s="1267" t="str">
        <f t="shared" si="10"/>
        <v>-</v>
      </c>
      <c r="BR13" s="1267" t="str">
        <f t="shared" si="10"/>
        <v>-</v>
      </c>
      <c r="BS13" s="1267" t="str">
        <f t="shared" si="10"/>
        <v>-</v>
      </c>
      <c r="BT13" s="1267" t="str">
        <f t="shared" si="10"/>
        <v>-</v>
      </c>
      <c r="CI13" s="290"/>
      <c r="CJ13" s="290"/>
      <c r="CK13" s="290"/>
      <c r="CL13" s="290"/>
      <c r="CM13" s="45"/>
      <c r="CN13" s="45"/>
      <c r="CO13" s="45"/>
      <c r="CP13" s="45"/>
      <c r="CQ13" s="45"/>
      <c r="CR13" s="45"/>
    </row>
    <row r="14" spans="2:96" ht="12.5">
      <c r="B14" s="536" t="s">
        <v>5</v>
      </c>
      <c r="C14" s="613" t="str">
        <f>IF(C9=0,"-",SUM(AO21:AO25))</f>
        <v>-</v>
      </c>
      <c r="D14" s="553" t="s">
        <v>148</v>
      </c>
      <c r="E14" s="612"/>
      <c r="G14" s="2280" t="s">
        <v>179</v>
      </c>
      <c r="H14" s="2281"/>
      <c r="I14" s="2282" t="str">
        <f t="shared" ref="I14:S14" si="11">IF(X35="CC","-",Y14)</f>
        <v/>
      </c>
      <c r="J14" s="2282" t="str">
        <f t="shared" si="11"/>
        <v/>
      </c>
      <c r="K14" s="2282" t="str">
        <f t="shared" si="11"/>
        <v/>
      </c>
      <c r="L14" s="2282" t="str">
        <f t="shared" si="11"/>
        <v/>
      </c>
      <c r="M14" s="2282" t="str">
        <f t="shared" si="11"/>
        <v/>
      </c>
      <c r="N14" s="2282" t="str">
        <f t="shared" si="11"/>
        <v/>
      </c>
      <c r="O14" s="2282" t="str">
        <f t="shared" si="11"/>
        <v/>
      </c>
      <c r="P14" s="2282" t="str">
        <f t="shared" si="11"/>
        <v/>
      </c>
      <c r="Q14" s="2282" t="str">
        <f t="shared" si="11"/>
        <v/>
      </c>
      <c r="R14" s="2282" t="str">
        <f t="shared" si="11"/>
        <v/>
      </c>
      <c r="S14" s="2282" t="str">
        <f t="shared" si="11"/>
        <v/>
      </c>
      <c r="T14" s="1252"/>
      <c r="X14" s="1247"/>
      <c r="Y14" s="2290" t="str">
        <f t="shared" ref="Y14:AI14" si="12">AK50&amp;AK73&amp;AK96&amp;AK123&amp;AK146&amp;AK169&amp;AK192</f>
        <v/>
      </c>
      <c r="Z14" s="2290" t="str">
        <f t="shared" si="12"/>
        <v/>
      </c>
      <c r="AA14" s="2290" t="str">
        <f t="shared" si="12"/>
        <v/>
      </c>
      <c r="AB14" s="2290" t="str">
        <f t="shared" si="12"/>
        <v/>
      </c>
      <c r="AC14" s="2290" t="str">
        <f t="shared" si="12"/>
        <v/>
      </c>
      <c r="AD14" s="2290" t="str">
        <f t="shared" si="12"/>
        <v/>
      </c>
      <c r="AE14" s="2290" t="str">
        <f t="shared" si="12"/>
        <v/>
      </c>
      <c r="AF14" s="2290" t="str">
        <f t="shared" si="12"/>
        <v/>
      </c>
      <c r="AG14" s="2290" t="str">
        <f t="shared" si="12"/>
        <v/>
      </c>
      <c r="AH14" s="2290" t="str">
        <f t="shared" si="12"/>
        <v/>
      </c>
      <c r="AI14" s="2290" t="str">
        <f t="shared" si="12"/>
        <v/>
      </c>
      <c r="AV14" s="1248"/>
      <c r="AW14" s="1313" t="s">
        <v>1910</v>
      </c>
      <c r="AX14" s="1312" t="s">
        <v>0</v>
      </c>
      <c r="AY14" s="1267" t="str">
        <f t="shared" si="9"/>
        <v>-</v>
      </c>
      <c r="AZ14" s="1267" t="str">
        <f t="shared" si="9"/>
        <v>-</v>
      </c>
      <c r="BA14" s="1267" t="str">
        <f t="shared" si="9"/>
        <v>-</v>
      </c>
      <c r="BB14" s="1267" t="str">
        <f t="shared" si="9"/>
        <v>-</v>
      </c>
      <c r="BC14" s="1267" t="str">
        <f t="shared" si="9"/>
        <v>-</v>
      </c>
      <c r="BD14" s="1267" t="str">
        <f t="shared" si="9"/>
        <v>-</v>
      </c>
      <c r="BE14" s="1267" t="str">
        <f t="shared" si="9"/>
        <v>-</v>
      </c>
      <c r="BF14" s="1267" t="str">
        <f t="shared" si="9"/>
        <v>-</v>
      </c>
      <c r="BG14" s="1267" t="str">
        <f t="shared" si="9"/>
        <v>-</v>
      </c>
      <c r="BL14" s="1267" t="str">
        <f t="shared" si="10"/>
        <v>-</v>
      </c>
      <c r="BM14" s="1267" t="str">
        <f t="shared" si="10"/>
        <v>-</v>
      </c>
      <c r="BN14" s="1267" t="str">
        <f t="shared" si="10"/>
        <v>-</v>
      </c>
      <c r="BO14" s="1267" t="str">
        <f t="shared" si="10"/>
        <v>-</v>
      </c>
      <c r="BP14" s="1267" t="str">
        <f t="shared" si="10"/>
        <v>-</v>
      </c>
      <c r="BQ14" s="1267" t="str">
        <f t="shared" si="10"/>
        <v>-</v>
      </c>
      <c r="BR14" s="1267" t="str">
        <f t="shared" si="10"/>
        <v>-</v>
      </c>
      <c r="BS14" s="1267" t="str">
        <f t="shared" si="10"/>
        <v>-</v>
      </c>
      <c r="BT14" s="1267" t="str">
        <f t="shared" si="10"/>
        <v>-</v>
      </c>
      <c r="CI14" s="290"/>
      <c r="CJ14" s="290"/>
      <c r="CK14" s="290"/>
      <c r="CL14" s="290"/>
      <c r="CM14" s="45"/>
      <c r="CN14" s="45"/>
      <c r="CO14" s="45"/>
      <c r="CP14" s="45"/>
      <c r="CQ14" s="45"/>
      <c r="CR14" s="45"/>
    </row>
    <row r="15" spans="2:96" ht="12.5">
      <c r="G15" s="2280"/>
      <c r="H15" s="2281"/>
      <c r="I15" s="2282"/>
      <c r="J15" s="2282"/>
      <c r="K15" s="2282"/>
      <c r="L15" s="2282"/>
      <c r="M15" s="2282"/>
      <c r="N15" s="2282"/>
      <c r="O15" s="2282"/>
      <c r="P15" s="2282"/>
      <c r="Q15" s="2282"/>
      <c r="R15" s="2282"/>
      <c r="S15" s="2282"/>
      <c r="T15" s="1252"/>
      <c r="X15" s="1247"/>
      <c r="Y15" s="2290"/>
      <c r="Z15" s="2290"/>
      <c r="AA15" s="2290"/>
      <c r="AB15" s="2290"/>
      <c r="AC15" s="2290"/>
      <c r="AD15" s="2290"/>
      <c r="AE15" s="2290"/>
      <c r="AF15" s="2290"/>
      <c r="AG15" s="2290"/>
      <c r="AH15" s="2290"/>
      <c r="AI15" s="2290"/>
      <c r="AV15" s="1248"/>
      <c r="AW15" s="1313" t="s">
        <v>1911</v>
      </c>
      <c r="AX15" s="1312" t="s">
        <v>0</v>
      </c>
      <c r="AY15" s="1267" t="str">
        <f t="shared" si="9"/>
        <v>-</v>
      </c>
      <c r="AZ15" s="1267" t="str">
        <f t="shared" si="9"/>
        <v>-</v>
      </c>
      <c r="BA15" s="1267" t="str">
        <f t="shared" si="9"/>
        <v>-</v>
      </c>
      <c r="BB15" s="1267" t="str">
        <f t="shared" si="9"/>
        <v>-</v>
      </c>
      <c r="BC15" s="1267" t="str">
        <f t="shared" si="9"/>
        <v>-</v>
      </c>
      <c r="BD15" s="1267" t="str">
        <f t="shared" si="9"/>
        <v>-</v>
      </c>
      <c r="BE15" s="1267" t="str">
        <f t="shared" si="9"/>
        <v>-</v>
      </c>
      <c r="BF15" s="1267" t="str">
        <f t="shared" si="9"/>
        <v>-</v>
      </c>
      <c r="BG15" s="1267" t="str">
        <f t="shared" si="9"/>
        <v>-</v>
      </c>
      <c r="BL15" s="1267" t="str">
        <f t="shared" si="10"/>
        <v>-</v>
      </c>
      <c r="BM15" s="1267" t="str">
        <f t="shared" si="10"/>
        <v>-</v>
      </c>
      <c r="BN15" s="1267" t="str">
        <f t="shared" si="10"/>
        <v>-</v>
      </c>
      <c r="BO15" s="1267" t="str">
        <f t="shared" si="10"/>
        <v>-</v>
      </c>
      <c r="BP15" s="1267" t="str">
        <f t="shared" si="10"/>
        <v>-</v>
      </c>
      <c r="BQ15" s="1267" t="str">
        <f t="shared" si="10"/>
        <v>-</v>
      </c>
      <c r="BR15" s="1267" t="str">
        <f t="shared" si="10"/>
        <v>-</v>
      </c>
      <c r="BS15" s="1267" t="str">
        <f t="shared" si="10"/>
        <v>-</v>
      </c>
      <c r="BT15" s="1267" t="str">
        <f t="shared" si="10"/>
        <v>-</v>
      </c>
      <c r="CI15" s="290"/>
      <c r="CJ15" s="290"/>
      <c r="CK15" s="290"/>
      <c r="CL15" s="290"/>
      <c r="CM15" s="290"/>
      <c r="CN15" s="290"/>
      <c r="CO15" s="290"/>
      <c r="CP15" s="290"/>
      <c r="CQ15" s="290"/>
      <c r="CR15" s="290"/>
    </row>
    <row r="16" spans="2:96" ht="12.5">
      <c r="G16" s="2276" t="s">
        <v>1916</v>
      </c>
      <c r="H16" s="2277"/>
      <c r="I16" s="1259"/>
      <c r="J16" s="1259"/>
      <c r="K16" s="1259"/>
      <c r="L16" s="1259"/>
      <c r="M16" s="1259"/>
      <c r="N16" s="1259"/>
      <c r="O16" s="1259"/>
      <c r="P16" s="1259"/>
      <c r="Q16" s="1259"/>
      <c r="R16" s="1259"/>
      <c r="S16" s="1260"/>
      <c r="T16" s="1252"/>
      <c r="W16" s="1247">
        <v>1</v>
      </c>
      <c r="X16" s="1261" t="s">
        <v>1739</v>
      </c>
      <c r="Y16" s="1259"/>
      <c r="Z16" s="1259"/>
      <c r="AA16" s="1259"/>
      <c r="AB16" s="1259"/>
      <c r="AC16" s="1259"/>
      <c r="AD16" s="1259"/>
      <c r="AE16" s="1259"/>
      <c r="AF16" s="1259"/>
      <c r="AG16" s="1259"/>
      <c r="AH16" s="1259"/>
      <c r="AI16" s="1260"/>
      <c r="AV16" s="1248"/>
      <c r="AW16" s="1259"/>
      <c r="AX16" s="1308"/>
      <c r="AY16" s="1260"/>
      <c r="AZ16" s="1260"/>
      <c r="BA16" s="1260"/>
      <c r="BB16" s="1260"/>
      <c r="BC16" s="1260"/>
      <c r="BD16" s="1260"/>
      <c r="BE16" s="1260"/>
      <c r="BF16" s="1260"/>
      <c r="BG16" s="1260"/>
      <c r="BL16" s="1306"/>
      <c r="BM16" s="1306"/>
      <c r="BN16" s="1306"/>
      <c r="BO16" s="1306"/>
      <c r="BP16" s="1306"/>
      <c r="BQ16" s="1306"/>
      <c r="BR16" s="1306"/>
      <c r="BS16" s="1306"/>
      <c r="BT16" s="1306"/>
      <c r="CI16" s="290"/>
      <c r="CJ16" s="290"/>
      <c r="CK16" s="290"/>
      <c r="CL16" s="290"/>
      <c r="CM16" s="290"/>
      <c r="CN16" s="290"/>
      <c r="CO16" s="290"/>
      <c r="CP16" s="290"/>
      <c r="CQ16" s="290"/>
      <c r="CR16" s="290"/>
    </row>
    <row r="17" spans="7:96" ht="12" customHeight="1">
      <c r="G17" s="1311" t="s">
        <v>1912</v>
      </c>
      <c r="H17" s="1312" t="s">
        <v>6</v>
      </c>
      <c r="I17" s="1315" t="str">
        <f t="shared" ref="I17:S17" si="13">IF($X$30="CC","-",Y17)</f>
        <v>-</v>
      </c>
      <c r="J17" s="1315" t="str">
        <f t="shared" si="13"/>
        <v>-</v>
      </c>
      <c r="K17" s="1315" t="str">
        <f t="shared" si="13"/>
        <v>-</v>
      </c>
      <c r="L17" s="1315" t="str">
        <f t="shared" si="13"/>
        <v>-</v>
      </c>
      <c r="M17" s="1315" t="str">
        <f t="shared" si="13"/>
        <v>-</v>
      </c>
      <c r="N17" s="1315" t="str">
        <f t="shared" si="13"/>
        <v>-</v>
      </c>
      <c r="O17" s="1315" t="str">
        <f t="shared" si="13"/>
        <v>-</v>
      </c>
      <c r="P17" s="1315" t="str">
        <f t="shared" si="13"/>
        <v>-</v>
      </c>
      <c r="Q17" s="1315" t="str">
        <f t="shared" si="13"/>
        <v>-</v>
      </c>
      <c r="R17" s="1315" t="str">
        <f t="shared" si="13"/>
        <v>-</v>
      </c>
      <c r="S17" s="1316" t="str">
        <f t="shared" si="13"/>
        <v>-</v>
      </c>
      <c r="T17" s="1252"/>
      <c r="W17" s="1247">
        <v>1.5</v>
      </c>
      <c r="X17" s="1261" t="s">
        <v>1740</v>
      </c>
      <c r="Y17" s="1315" t="str">
        <f>IF(SUM(AK53,AK76,AK99,AK126,AK149,AK172,AK195,)=0,"-",SUM(AK53,AK76,AK99,AK126,AK149,AK172,AK195,))</f>
        <v>-</v>
      </c>
      <c r="Z17" s="1315" t="str">
        <f t="shared" ref="Z17:AI17" si="14">IF(SUM(AL53,AL76,AL99,AL126,AL149,AL172,AL195,)=0,"-",SUM(AL53,AL76,AL99,AL126,AL149,AL172,AL195,))</f>
        <v>-</v>
      </c>
      <c r="AA17" s="1315" t="str">
        <f t="shared" si="14"/>
        <v>-</v>
      </c>
      <c r="AB17" s="1315" t="str">
        <f t="shared" si="14"/>
        <v>-</v>
      </c>
      <c r="AC17" s="1315" t="str">
        <f t="shared" si="14"/>
        <v>-</v>
      </c>
      <c r="AD17" s="1315" t="str">
        <f t="shared" si="14"/>
        <v>-</v>
      </c>
      <c r="AE17" s="1315" t="str">
        <f t="shared" si="14"/>
        <v>-</v>
      </c>
      <c r="AF17" s="1315" t="str">
        <f t="shared" si="14"/>
        <v>-</v>
      </c>
      <c r="AG17" s="1315" t="str">
        <f t="shared" si="14"/>
        <v>-</v>
      </c>
      <c r="AH17" s="1315" t="str">
        <f t="shared" si="14"/>
        <v>-</v>
      </c>
      <c r="AI17" s="1316" t="str">
        <f t="shared" si="14"/>
        <v>-</v>
      </c>
      <c r="AV17" s="1248"/>
      <c r="AW17" s="2278" t="s">
        <v>1963</v>
      </c>
      <c r="AX17" s="2279"/>
      <c r="AY17" s="1258"/>
      <c r="AZ17" s="1258"/>
      <c r="BA17" s="1258"/>
      <c r="BB17" s="1258"/>
      <c r="BC17" s="1258"/>
      <c r="BD17" s="1258"/>
      <c r="BE17" s="1258"/>
      <c r="BF17" s="1258"/>
      <c r="BG17" s="1258"/>
      <c r="BL17" s="1258"/>
      <c r="BM17" s="1258"/>
      <c r="BN17" s="1258"/>
      <c r="BO17" s="1258"/>
      <c r="BP17" s="1258"/>
      <c r="BQ17" s="1258"/>
      <c r="BR17" s="1258"/>
      <c r="BS17" s="1258"/>
      <c r="BT17" s="1258"/>
      <c r="CE17" s="548"/>
      <c r="CF17" s="45"/>
      <c r="CG17" s="45"/>
      <c r="CH17" s="45"/>
      <c r="CI17" s="290"/>
      <c r="CJ17" s="290"/>
      <c r="CK17" s="290"/>
      <c r="CL17" s="290"/>
      <c r="CM17" s="290"/>
      <c r="CN17" s="290"/>
      <c r="CO17" s="290"/>
      <c r="CP17" s="290"/>
      <c r="CQ17" s="290"/>
      <c r="CR17" s="290"/>
    </row>
    <row r="18" spans="7:96" ht="12.5">
      <c r="G18" s="1259" t="s">
        <v>1970</v>
      </c>
      <c r="H18" s="1308"/>
      <c r="I18" s="1259"/>
      <c r="J18" s="1259"/>
      <c r="K18" s="1259"/>
      <c r="L18" s="1259"/>
      <c r="M18" s="1259"/>
      <c r="N18" s="1259"/>
      <c r="O18" s="1259"/>
      <c r="P18" s="1259"/>
      <c r="Q18" s="1259"/>
      <c r="R18" s="1259"/>
      <c r="S18" s="1260"/>
      <c r="T18" s="1252"/>
      <c r="W18" s="1247">
        <v>2</v>
      </c>
      <c r="X18" s="1261" t="s">
        <v>1741</v>
      </c>
      <c r="Y18" s="1259"/>
      <c r="Z18" s="1259"/>
      <c r="AA18" s="1259"/>
      <c r="AB18" s="1259"/>
      <c r="AC18" s="1259"/>
      <c r="AD18" s="1259"/>
      <c r="AE18" s="1259"/>
      <c r="AF18" s="1259"/>
      <c r="AG18" s="1259"/>
      <c r="AH18" s="1259"/>
      <c r="AI18" s="1260"/>
      <c r="AV18" s="1248"/>
      <c r="AW18" s="2280" t="s">
        <v>179</v>
      </c>
      <c r="AX18" s="2293"/>
      <c r="AY18" s="2282" t="str">
        <f t="shared" ref="AY18:BG18" si="15">IF($BL$39="C","-",BL18)</f>
        <v>-</v>
      </c>
      <c r="AZ18" s="2282" t="str">
        <f t="shared" si="15"/>
        <v>-</v>
      </c>
      <c r="BA18" s="2282" t="str">
        <f t="shared" si="15"/>
        <v>-</v>
      </c>
      <c r="BB18" s="2282" t="str">
        <f t="shared" si="15"/>
        <v>-</v>
      </c>
      <c r="BC18" s="2282" t="str">
        <f t="shared" si="15"/>
        <v>-</v>
      </c>
      <c r="BD18" s="2282" t="str">
        <f t="shared" si="15"/>
        <v>-</v>
      </c>
      <c r="BE18" s="2282" t="str">
        <f t="shared" si="15"/>
        <v>-</v>
      </c>
      <c r="BF18" s="2282" t="str">
        <f t="shared" si="15"/>
        <v>-</v>
      </c>
      <c r="BG18" s="2282" t="str">
        <f t="shared" si="15"/>
        <v>-</v>
      </c>
      <c r="BL18" s="2290" t="str">
        <f t="shared" ref="BL18:BT18" si="16">BU55&amp;BU77</f>
        <v/>
      </c>
      <c r="BM18" s="2290" t="str">
        <f t="shared" si="16"/>
        <v/>
      </c>
      <c r="BN18" s="2290" t="str">
        <f t="shared" si="16"/>
        <v/>
      </c>
      <c r="BO18" s="2290" t="str">
        <f t="shared" si="16"/>
        <v/>
      </c>
      <c r="BP18" s="2290" t="str">
        <f t="shared" si="16"/>
        <v/>
      </c>
      <c r="BQ18" s="2290" t="str">
        <f t="shared" si="16"/>
        <v/>
      </c>
      <c r="BR18" s="2290" t="str">
        <f t="shared" si="16"/>
        <v/>
      </c>
      <c r="BS18" s="2290" t="str">
        <f t="shared" si="16"/>
        <v/>
      </c>
      <c r="BT18" s="2290" t="str">
        <f t="shared" si="16"/>
        <v/>
      </c>
      <c r="CE18" s="548"/>
      <c r="CF18" s="45"/>
      <c r="CG18" s="45"/>
      <c r="CH18" s="45"/>
      <c r="CI18" s="290"/>
      <c r="CJ18" s="290"/>
      <c r="CK18" s="290"/>
      <c r="CL18" s="290"/>
      <c r="CM18" s="290"/>
      <c r="CN18" s="290"/>
      <c r="CO18" s="290"/>
      <c r="CP18" s="290"/>
      <c r="CQ18" s="290"/>
      <c r="CR18" s="290"/>
    </row>
    <row r="19" spans="7:96" ht="12.5">
      <c r="G19" s="1311" t="s">
        <v>1912</v>
      </c>
      <c r="H19" s="1312" t="s">
        <v>6</v>
      </c>
      <c r="I19" s="1262" t="str">
        <f t="shared" ref="I19:S20" si="17">IF($X$30="CC","-",Y19)</f>
        <v>-</v>
      </c>
      <c r="J19" s="1262" t="str">
        <f t="shared" si="17"/>
        <v>-</v>
      </c>
      <c r="K19" s="1262" t="str">
        <f t="shared" si="17"/>
        <v>-</v>
      </c>
      <c r="L19" s="1262" t="str">
        <f t="shared" si="17"/>
        <v>-</v>
      </c>
      <c r="M19" s="1262" t="str">
        <f t="shared" si="17"/>
        <v>-</v>
      </c>
      <c r="N19" s="1262" t="str">
        <f t="shared" si="17"/>
        <v>-</v>
      </c>
      <c r="O19" s="1262" t="str">
        <f t="shared" si="17"/>
        <v>-</v>
      </c>
      <c r="P19" s="1262" t="str">
        <f t="shared" si="17"/>
        <v>-</v>
      </c>
      <c r="Q19" s="1262" t="str">
        <f t="shared" si="17"/>
        <v>-</v>
      </c>
      <c r="R19" s="1262" t="str">
        <f t="shared" si="17"/>
        <v>-</v>
      </c>
      <c r="S19" s="1263" t="str">
        <f t="shared" si="17"/>
        <v>-</v>
      </c>
      <c r="T19" s="1252"/>
      <c r="W19" s="1247">
        <f>IF(H4=W23,"-",2.5)</f>
        <v>2.5</v>
      </c>
      <c r="X19" s="1261" t="s">
        <v>1742</v>
      </c>
      <c r="Y19" s="1262" t="str">
        <f t="shared" ref="Y19:AI20" si="18">IF(SUM(AK51,AK74,AK97,AK124,AK147,AK170,AK193,)=0,"-",SUM(AK51,AK74,AK97,AK124,AK147,AK170,AK193,))</f>
        <v>-</v>
      </c>
      <c r="Z19" s="1262" t="str">
        <f t="shared" si="18"/>
        <v>-</v>
      </c>
      <c r="AA19" s="1262" t="str">
        <f t="shared" si="18"/>
        <v>-</v>
      </c>
      <c r="AB19" s="1262" t="str">
        <f t="shared" si="18"/>
        <v>-</v>
      </c>
      <c r="AC19" s="1262" t="str">
        <f t="shared" si="18"/>
        <v>-</v>
      </c>
      <c r="AD19" s="1262" t="str">
        <f t="shared" si="18"/>
        <v>-</v>
      </c>
      <c r="AE19" s="1262" t="str">
        <f t="shared" si="18"/>
        <v>-</v>
      </c>
      <c r="AF19" s="1262" t="str">
        <f t="shared" si="18"/>
        <v>-</v>
      </c>
      <c r="AG19" s="1262" t="str">
        <f t="shared" si="18"/>
        <v>-</v>
      </c>
      <c r="AH19" s="1262" t="str">
        <f t="shared" si="18"/>
        <v>-</v>
      </c>
      <c r="AI19" s="1263" t="str">
        <f t="shared" si="18"/>
        <v>-</v>
      </c>
      <c r="AV19" s="1248"/>
      <c r="AW19" s="2280"/>
      <c r="AX19" s="2293"/>
      <c r="AY19" s="2282"/>
      <c r="AZ19" s="2282"/>
      <c r="BA19" s="2282"/>
      <c r="BB19" s="2282"/>
      <c r="BC19" s="2282"/>
      <c r="BD19" s="2282"/>
      <c r="BE19" s="2282"/>
      <c r="BF19" s="2282"/>
      <c r="BG19" s="2282"/>
      <c r="BL19" s="2290"/>
      <c r="BM19" s="2290"/>
      <c r="BN19" s="2290"/>
      <c r="BO19" s="2290"/>
      <c r="BP19" s="2290"/>
      <c r="BQ19" s="2290"/>
      <c r="BR19" s="2290"/>
      <c r="BS19" s="2290"/>
      <c r="BT19" s="2290"/>
      <c r="CE19" s="45"/>
      <c r="CF19" s="45"/>
      <c r="CG19" s="45"/>
      <c r="CH19" s="45"/>
      <c r="CI19" s="290"/>
      <c r="CJ19" s="290"/>
      <c r="CK19" s="290"/>
      <c r="CL19" s="290"/>
      <c r="CM19" s="290"/>
      <c r="CN19" s="290"/>
      <c r="CO19" s="290"/>
      <c r="CP19" s="290"/>
      <c r="CQ19" s="290"/>
      <c r="CR19" s="290"/>
    </row>
    <row r="20" spans="7:96" ht="12.5">
      <c r="G20" s="1311" t="s">
        <v>1913</v>
      </c>
      <c r="H20" s="1312" t="s">
        <v>6</v>
      </c>
      <c r="I20" s="1264" t="str">
        <f t="shared" si="17"/>
        <v>-</v>
      </c>
      <c r="J20" s="1264" t="str">
        <f t="shared" si="17"/>
        <v>-</v>
      </c>
      <c r="K20" s="1264" t="str">
        <f t="shared" si="17"/>
        <v>-</v>
      </c>
      <c r="L20" s="1264" t="str">
        <f t="shared" si="17"/>
        <v>-</v>
      </c>
      <c r="M20" s="1264" t="str">
        <f t="shared" si="17"/>
        <v>-</v>
      </c>
      <c r="N20" s="1264" t="str">
        <f t="shared" si="17"/>
        <v>-</v>
      </c>
      <c r="O20" s="1264" t="str">
        <f t="shared" si="17"/>
        <v>-</v>
      </c>
      <c r="P20" s="1264" t="str">
        <f t="shared" si="17"/>
        <v>-</v>
      </c>
      <c r="Q20" s="1264" t="str">
        <f t="shared" si="17"/>
        <v>-</v>
      </c>
      <c r="R20" s="1264" t="str">
        <f t="shared" si="17"/>
        <v>-</v>
      </c>
      <c r="S20" s="1265" t="str">
        <f t="shared" si="17"/>
        <v>-</v>
      </c>
      <c r="T20" s="1252"/>
      <c r="X20" s="1261"/>
      <c r="Y20" s="1264" t="str">
        <f t="shared" si="18"/>
        <v>-</v>
      </c>
      <c r="Z20" s="1264" t="str">
        <f t="shared" si="18"/>
        <v>-</v>
      </c>
      <c r="AA20" s="1264" t="str">
        <f t="shared" si="18"/>
        <v>-</v>
      </c>
      <c r="AB20" s="1264" t="str">
        <f t="shared" si="18"/>
        <v>-</v>
      </c>
      <c r="AC20" s="1264" t="str">
        <f t="shared" si="18"/>
        <v>-</v>
      </c>
      <c r="AD20" s="1264" t="str">
        <f t="shared" si="18"/>
        <v>-</v>
      </c>
      <c r="AE20" s="1264" t="str">
        <f t="shared" si="18"/>
        <v>-</v>
      </c>
      <c r="AF20" s="1264" t="str">
        <f t="shared" si="18"/>
        <v>-</v>
      </c>
      <c r="AG20" s="1264" t="str">
        <f t="shared" si="18"/>
        <v>-</v>
      </c>
      <c r="AH20" s="1264" t="str">
        <f t="shared" si="18"/>
        <v>-</v>
      </c>
      <c r="AI20" s="1265" t="str">
        <f t="shared" si="18"/>
        <v>-</v>
      </c>
      <c r="AK20" s="290" t="s">
        <v>12</v>
      </c>
      <c r="AL20" s="290" t="s">
        <v>6</v>
      </c>
      <c r="AM20" s="290" t="s">
        <v>146</v>
      </c>
      <c r="AN20" s="290" t="s">
        <v>147</v>
      </c>
      <c r="AO20" s="290" t="s">
        <v>148</v>
      </c>
      <c r="AV20" s="1248"/>
      <c r="AW20" s="1259" t="s">
        <v>479</v>
      </c>
      <c r="AX20" s="1308"/>
      <c r="AY20" s="1254"/>
      <c r="AZ20" s="1254"/>
      <c r="BA20" s="1351"/>
      <c r="BB20" s="1254"/>
      <c r="BC20" s="1254"/>
      <c r="BD20" s="1254"/>
      <c r="BE20" s="1254"/>
      <c r="BF20" s="1254"/>
      <c r="BG20" s="1254"/>
      <c r="BL20" s="1254"/>
      <c r="BM20" s="1254"/>
      <c r="BN20" s="1351"/>
      <c r="BO20" s="1254"/>
      <c r="BP20" s="1254"/>
      <c r="BQ20" s="1254"/>
      <c r="BR20" s="1254"/>
      <c r="BS20" s="1254"/>
      <c r="BT20" s="1254"/>
      <c r="CE20" s="45"/>
      <c r="CF20" s="45"/>
      <c r="CG20" s="45"/>
      <c r="CH20" s="45"/>
      <c r="CI20" s="290"/>
      <c r="CJ20" s="290"/>
      <c r="CK20" s="290"/>
      <c r="CL20" s="290"/>
      <c r="CM20" s="290"/>
      <c r="CN20" s="290"/>
      <c r="CO20" s="290"/>
      <c r="CP20" s="290"/>
      <c r="CQ20" s="290"/>
      <c r="CR20" s="290"/>
    </row>
    <row r="21" spans="7:96" ht="12.5">
      <c r="G21" s="1259" t="s">
        <v>479</v>
      </c>
      <c r="H21" s="1312"/>
      <c r="I21" s="1253"/>
      <c r="J21" s="1253"/>
      <c r="K21" s="1253"/>
      <c r="L21" s="1253"/>
      <c r="M21" s="1253"/>
      <c r="N21" s="1253"/>
      <c r="O21" s="1253"/>
      <c r="P21" s="1253"/>
      <c r="Q21" s="1253"/>
      <c r="R21" s="1253"/>
      <c r="S21" s="1254"/>
      <c r="T21" s="1252"/>
      <c r="X21" s="1247"/>
      <c r="Y21" s="1253"/>
      <c r="Z21" s="1253"/>
      <c r="AA21" s="1253"/>
      <c r="AB21" s="1253"/>
      <c r="AC21" s="1253"/>
      <c r="AD21" s="1253"/>
      <c r="AE21" s="1253"/>
      <c r="AF21" s="1253"/>
      <c r="AG21" s="1253"/>
      <c r="AH21" s="1253"/>
      <c r="AI21" s="1254"/>
      <c r="AK21" s="269">
        <f>IF($D$9=$D$10,$C$9,0)</f>
        <v>0</v>
      </c>
      <c r="AL21" s="269">
        <f>AK21*3.516</f>
        <v>0</v>
      </c>
      <c r="AM21" s="269">
        <f>AL21/2.6</f>
        <v>0</v>
      </c>
      <c r="AN21" s="269">
        <f>AK21*12000</f>
        <v>0</v>
      </c>
      <c r="AO21" s="269">
        <f>AL21*860</f>
        <v>0</v>
      </c>
      <c r="AV21" s="1248"/>
      <c r="AW21" s="1313" t="s">
        <v>1909</v>
      </c>
      <c r="AX21" s="1312" t="s">
        <v>0</v>
      </c>
      <c r="AY21" s="1267" t="str">
        <f t="shared" ref="AY21:BG23" si="19">IF($BL$39="C","-",BL21)</f>
        <v>-</v>
      </c>
      <c r="AZ21" s="1267" t="str">
        <f t="shared" si="19"/>
        <v>-</v>
      </c>
      <c r="BA21" s="1267" t="str">
        <f t="shared" si="19"/>
        <v>-</v>
      </c>
      <c r="BB21" s="1267" t="str">
        <f t="shared" si="19"/>
        <v>-</v>
      </c>
      <c r="BC21" s="1267" t="str">
        <f t="shared" si="19"/>
        <v>-</v>
      </c>
      <c r="BD21" s="1267" t="str">
        <f t="shared" si="19"/>
        <v>-</v>
      </c>
      <c r="BE21" s="1267" t="str">
        <f t="shared" si="19"/>
        <v>-</v>
      </c>
      <c r="BF21" s="1267" t="str">
        <f t="shared" si="19"/>
        <v>-</v>
      </c>
      <c r="BG21" s="1267" t="str">
        <f t="shared" si="19"/>
        <v>-</v>
      </c>
      <c r="BL21" s="1267" t="str">
        <f t="shared" ref="BL21:BT23" si="20">IF(SUM(BU57,BU79)=0,"-",SUM(BU57,BU79))</f>
        <v>-</v>
      </c>
      <c r="BM21" s="1267" t="str">
        <f t="shared" si="20"/>
        <v>-</v>
      </c>
      <c r="BN21" s="1267" t="str">
        <f t="shared" si="20"/>
        <v>-</v>
      </c>
      <c r="BO21" s="1267" t="str">
        <f t="shared" si="20"/>
        <v>-</v>
      </c>
      <c r="BP21" s="1267" t="str">
        <f t="shared" si="20"/>
        <v>-</v>
      </c>
      <c r="BQ21" s="1267" t="str">
        <f t="shared" si="20"/>
        <v>-</v>
      </c>
      <c r="BR21" s="1267" t="str">
        <f t="shared" si="20"/>
        <v>-</v>
      </c>
      <c r="BS21" s="1267" t="str">
        <f t="shared" si="20"/>
        <v>-</v>
      </c>
      <c r="BT21" s="1267" t="str">
        <f t="shared" si="20"/>
        <v>-</v>
      </c>
      <c r="CE21" s="45"/>
      <c r="CF21" s="45"/>
      <c r="CG21" s="45"/>
      <c r="CH21" s="45"/>
      <c r="CI21" s="290"/>
      <c r="CJ21" s="290"/>
      <c r="CK21" s="290"/>
      <c r="CL21" s="290"/>
      <c r="CM21" s="290"/>
      <c r="CN21" s="290"/>
      <c r="CO21" s="290"/>
      <c r="CP21" s="290"/>
      <c r="CQ21" s="290"/>
      <c r="CR21" s="290"/>
    </row>
    <row r="22" spans="7:96" ht="12.5">
      <c r="G22" s="1313" t="s">
        <v>1909</v>
      </c>
      <c r="H22" s="1312" t="s">
        <v>0</v>
      </c>
      <c r="I22" s="1266" t="str">
        <f t="shared" ref="I22:S24" si="21">IF($X$30="CC","-",Y22)</f>
        <v>-</v>
      </c>
      <c r="J22" s="1266" t="str">
        <f t="shared" si="21"/>
        <v>-</v>
      </c>
      <c r="K22" s="1266" t="str">
        <f t="shared" si="21"/>
        <v>-</v>
      </c>
      <c r="L22" s="1266" t="str">
        <f t="shared" si="21"/>
        <v>-</v>
      </c>
      <c r="M22" s="1266" t="str">
        <f t="shared" si="21"/>
        <v>-</v>
      </c>
      <c r="N22" s="1266" t="str">
        <f t="shared" si="21"/>
        <v>-</v>
      </c>
      <c r="O22" s="1266" t="str">
        <f t="shared" si="21"/>
        <v>-</v>
      </c>
      <c r="P22" s="1266" t="str">
        <f t="shared" si="21"/>
        <v>-</v>
      </c>
      <c r="Q22" s="1266" t="str">
        <f t="shared" si="21"/>
        <v>-</v>
      </c>
      <c r="R22" s="1266" t="str">
        <f t="shared" si="21"/>
        <v>-</v>
      </c>
      <c r="S22" s="1267" t="str">
        <f t="shared" si="21"/>
        <v>-</v>
      </c>
      <c r="T22" s="1252"/>
      <c r="X22" s="1247"/>
      <c r="Y22" s="1266" t="str">
        <f t="shared" ref="Y22:AI24" si="22">IF(SUM(AK55,AK78,AK101,AK128,AK151,AK174,AK197,)=0,"-",SUM(AK55,AK78,AK101,AK128,AK151,AK174,AK197,))</f>
        <v>-</v>
      </c>
      <c r="Z22" s="1266" t="str">
        <f t="shared" si="22"/>
        <v>-</v>
      </c>
      <c r="AA22" s="1266" t="str">
        <f t="shared" si="22"/>
        <v>-</v>
      </c>
      <c r="AB22" s="1266" t="str">
        <f t="shared" si="22"/>
        <v>-</v>
      </c>
      <c r="AC22" s="1266" t="str">
        <f t="shared" si="22"/>
        <v>-</v>
      </c>
      <c r="AD22" s="1266" t="str">
        <f t="shared" si="22"/>
        <v>-</v>
      </c>
      <c r="AE22" s="1266" t="str">
        <f t="shared" si="22"/>
        <v>-</v>
      </c>
      <c r="AF22" s="1266" t="str">
        <f t="shared" si="22"/>
        <v>-</v>
      </c>
      <c r="AG22" s="1266" t="str">
        <f t="shared" si="22"/>
        <v>-</v>
      </c>
      <c r="AH22" s="1266" t="str">
        <f t="shared" si="22"/>
        <v>-</v>
      </c>
      <c r="AI22" s="1267" t="str">
        <f t="shared" si="22"/>
        <v>-</v>
      </c>
      <c r="AK22" s="269">
        <f>AL22/3.516</f>
        <v>0</v>
      </c>
      <c r="AL22" s="269">
        <f>IF($D$9=$D$11,$C$9,0)</f>
        <v>0</v>
      </c>
      <c r="AM22" s="269">
        <f>AL22/2.6</f>
        <v>0</v>
      </c>
      <c r="AN22" s="269">
        <f>AK22*12000</f>
        <v>0</v>
      </c>
      <c r="AO22" s="269">
        <f>AL22*860</f>
        <v>0</v>
      </c>
      <c r="AV22" s="1248"/>
      <c r="AW22" s="1313" t="s">
        <v>1910</v>
      </c>
      <c r="AX22" s="1312" t="s">
        <v>0</v>
      </c>
      <c r="AY22" s="1267" t="str">
        <f t="shared" si="19"/>
        <v>-</v>
      </c>
      <c r="AZ22" s="1267" t="str">
        <f t="shared" si="19"/>
        <v>-</v>
      </c>
      <c r="BA22" s="1267" t="str">
        <f t="shared" si="19"/>
        <v>-</v>
      </c>
      <c r="BB22" s="1267" t="str">
        <f t="shared" si="19"/>
        <v>-</v>
      </c>
      <c r="BC22" s="1267" t="str">
        <f t="shared" si="19"/>
        <v>-</v>
      </c>
      <c r="BD22" s="1267" t="str">
        <f t="shared" si="19"/>
        <v>-</v>
      </c>
      <c r="BE22" s="1267" t="str">
        <f t="shared" si="19"/>
        <v>-</v>
      </c>
      <c r="BF22" s="1267" t="str">
        <f t="shared" si="19"/>
        <v>-</v>
      </c>
      <c r="BG22" s="1267" t="str">
        <f t="shared" si="19"/>
        <v>-</v>
      </c>
      <c r="BL22" s="1267" t="str">
        <f t="shared" si="20"/>
        <v>-</v>
      </c>
      <c r="BM22" s="1267" t="str">
        <f t="shared" si="20"/>
        <v>-</v>
      </c>
      <c r="BN22" s="1267" t="str">
        <f t="shared" si="20"/>
        <v>-</v>
      </c>
      <c r="BO22" s="1267" t="str">
        <f t="shared" si="20"/>
        <v>-</v>
      </c>
      <c r="BP22" s="1267" t="str">
        <f t="shared" si="20"/>
        <v>-</v>
      </c>
      <c r="BQ22" s="1267" t="str">
        <f t="shared" si="20"/>
        <v>-</v>
      </c>
      <c r="BR22" s="1267" t="str">
        <f t="shared" si="20"/>
        <v>-</v>
      </c>
      <c r="BS22" s="1267" t="str">
        <f t="shared" si="20"/>
        <v>-</v>
      </c>
      <c r="BT22" s="1267" t="str">
        <f t="shared" si="20"/>
        <v>-</v>
      </c>
      <c r="CE22" s="45"/>
      <c r="CF22" s="45"/>
      <c r="CG22" s="45"/>
      <c r="CH22" s="45"/>
      <c r="CI22" s="290"/>
      <c r="CJ22" s="290"/>
      <c r="CK22" s="290"/>
      <c r="CL22" s="290"/>
      <c r="CM22" s="290"/>
      <c r="CN22" s="290"/>
      <c r="CO22" s="290"/>
      <c r="CP22" s="290"/>
      <c r="CQ22" s="290"/>
      <c r="CR22" s="290"/>
    </row>
    <row r="23" spans="7:96" ht="12.5">
      <c r="G23" s="1313" t="s">
        <v>1910</v>
      </c>
      <c r="H23" s="1312" t="s">
        <v>0</v>
      </c>
      <c r="I23" s="1266" t="str">
        <f t="shared" si="21"/>
        <v>-</v>
      </c>
      <c r="J23" s="1266" t="str">
        <f t="shared" si="21"/>
        <v>-</v>
      </c>
      <c r="K23" s="1266" t="str">
        <f t="shared" si="21"/>
        <v>-</v>
      </c>
      <c r="L23" s="1266" t="str">
        <f t="shared" si="21"/>
        <v>-</v>
      </c>
      <c r="M23" s="1266" t="str">
        <f t="shared" si="21"/>
        <v>-</v>
      </c>
      <c r="N23" s="1266" t="str">
        <f t="shared" si="21"/>
        <v>-</v>
      </c>
      <c r="O23" s="1266" t="str">
        <f t="shared" si="21"/>
        <v>-</v>
      </c>
      <c r="P23" s="1266" t="str">
        <f t="shared" si="21"/>
        <v>-</v>
      </c>
      <c r="Q23" s="1266" t="str">
        <f t="shared" si="21"/>
        <v>-</v>
      </c>
      <c r="R23" s="1266" t="str">
        <f t="shared" si="21"/>
        <v>-</v>
      </c>
      <c r="S23" s="1267" t="str">
        <f t="shared" si="21"/>
        <v>-</v>
      </c>
      <c r="T23" s="1252"/>
      <c r="W23" s="1247" t="s">
        <v>1743</v>
      </c>
      <c r="X23" s="1247" t="s">
        <v>1246</v>
      </c>
      <c r="Y23" s="1266" t="str">
        <f t="shared" si="22"/>
        <v>-</v>
      </c>
      <c r="Z23" s="1266" t="str">
        <f t="shared" si="22"/>
        <v>-</v>
      </c>
      <c r="AA23" s="1266" t="str">
        <f t="shared" si="22"/>
        <v>-</v>
      </c>
      <c r="AB23" s="1266" t="str">
        <f t="shared" si="22"/>
        <v>-</v>
      </c>
      <c r="AC23" s="1266" t="str">
        <f t="shared" si="22"/>
        <v>-</v>
      </c>
      <c r="AD23" s="1266" t="str">
        <f t="shared" si="22"/>
        <v>-</v>
      </c>
      <c r="AE23" s="1266" t="str">
        <f t="shared" si="22"/>
        <v>-</v>
      </c>
      <c r="AF23" s="1266" t="str">
        <f t="shared" si="22"/>
        <v>-</v>
      </c>
      <c r="AG23" s="1266" t="str">
        <f t="shared" si="22"/>
        <v>-</v>
      </c>
      <c r="AH23" s="1266" t="str">
        <f t="shared" si="22"/>
        <v>-</v>
      </c>
      <c r="AI23" s="1267" t="str">
        <f t="shared" si="22"/>
        <v>-</v>
      </c>
      <c r="AK23" s="269">
        <f>AL23/3.516</f>
        <v>0</v>
      </c>
      <c r="AL23" s="269">
        <f>AM23*2.6</f>
        <v>0</v>
      </c>
      <c r="AM23" s="269">
        <f>IF($D$9=$D$12,$C$9,0)</f>
        <v>0</v>
      </c>
      <c r="AN23" s="269">
        <f>AK23*12000</f>
        <v>0</v>
      </c>
      <c r="AO23" s="269">
        <f>AL23*860</f>
        <v>0</v>
      </c>
      <c r="AV23" s="1248"/>
      <c r="AW23" s="1313" t="s">
        <v>1911</v>
      </c>
      <c r="AX23" s="1312" t="s">
        <v>0</v>
      </c>
      <c r="AY23" s="1267" t="str">
        <f t="shared" si="19"/>
        <v>-</v>
      </c>
      <c r="AZ23" s="1267" t="str">
        <f t="shared" si="19"/>
        <v>-</v>
      </c>
      <c r="BA23" s="1267" t="str">
        <f t="shared" si="19"/>
        <v>-</v>
      </c>
      <c r="BB23" s="1267" t="str">
        <f t="shared" si="19"/>
        <v>-</v>
      </c>
      <c r="BC23" s="1267" t="str">
        <f t="shared" si="19"/>
        <v>-</v>
      </c>
      <c r="BD23" s="1267" t="str">
        <f t="shared" si="19"/>
        <v>-</v>
      </c>
      <c r="BE23" s="1267" t="str">
        <f t="shared" si="19"/>
        <v>-</v>
      </c>
      <c r="BF23" s="1267" t="str">
        <f t="shared" si="19"/>
        <v>-</v>
      </c>
      <c r="BG23" s="1267" t="str">
        <f t="shared" si="19"/>
        <v>-</v>
      </c>
      <c r="BL23" s="1267" t="str">
        <f t="shared" si="20"/>
        <v>-</v>
      </c>
      <c r="BM23" s="1267" t="str">
        <f t="shared" si="20"/>
        <v>-</v>
      </c>
      <c r="BN23" s="1267" t="str">
        <f t="shared" si="20"/>
        <v>-</v>
      </c>
      <c r="BO23" s="1267" t="str">
        <f t="shared" si="20"/>
        <v>-</v>
      </c>
      <c r="BP23" s="1267" t="str">
        <f t="shared" si="20"/>
        <v>-</v>
      </c>
      <c r="BQ23" s="1267" t="str">
        <f t="shared" si="20"/>
        <v>-</v>
      </c>
      <c r="BR23" s="1267" t="str">
        <f t="shared" si="20"/>
        <v>-</v>
      </c>
      <c r="BS23" s="1267" t="str">
        <f t="shared" si="20"/>
        <v>-</v>
      </c>
      <c r="BT23" s="1267" t="str">
        <f t="shared" si="20"/>
        <v>-</v>
      </c>
      <c r="CE23" s="45"/>
      <c r="CF23" s="45"/>
      <c r="CG23" s="269"/>
      <c r="CH23" s="45"/>
      <c r="CI23" s="290"/>
      <c r="CJ23" s="290"/>
      <c r="CK23" s="290"/>
      <c r="CL23" s="290"/>
      <c r="CM23" s="290"/>
      <c r="CN23" s="290"/>
      <c r="CO23" s="290"/>
      <c r="CP23" s="290"/>
      <c r="CQ23" s="290"/>
      <c r="CR23" s="290"/>
    </row>
    <row r="24" spans="7:96" ht="12.5">
      <c r="G24" s="1313" t="s">
        <v>1911</v>
      </c>
      <c r="H24" s="1312" t="s">
        <v>0</v>
      </c>
      <c r="I24" s="1266" t="str">
        <f t="shared" si="21"/>
        <v>-</v>
      </c>
      <c r="J24" s="1266" t="str">
        <f t="shared" si="21"/>
        <v>-</v>
      </c>
      <c r="K24" s="1266" t="str">
        <f t="shared" si="21"/>
        <v>-</v>
      </c>
      <c r="L24" s="1266" t="str">
        <f t="shared" si="21"/>
        <v>-</v>
      </c>
      <c r="M24" s="1266" t="str">
        <f t="shared" si="21"/>
        <v>-</v>
      </c>
      <c r="N24" s="1266" t="str">
        <f t="shared" si="21"/>
        <v>-</v>
      </c>
      <c r="O24" s="1266" t="str">
        <f t="shared" si="21"/>
        <v>-</v>
      </c>
      <c r="P24" s="1266" t="str">
        <f t="shared" si="21"/>
        <v>-</v>
      </c>
      <c r="Q24" s="1266" t="str">
        <f t="shared" si="21"/>
        <v>-</v>
      </c>
      <c r="R24" s="1266" t="str">
        <f t="shared" si="21"/>
        <v>-</v>
      </c>
      <c r="S24" s="1267" t="str">
        <f t="shared" si="21"/>
        <v>-</v>
      </c>
      <c r="T24" s="1252"/>
      <c r="W24" s="1247" t="s">
        <v>962</v>
      </c>
      <c r="X24" s="1247" t="s">
        <v>1744</v>
      </c>
      <c r="Y24" s="1266" t="str">
        <f t="shared" si="22"/>
        <v>-</v>
      </c>
      <c r="Z24" s="1266" t="str">
        <f t="shared" si="22"/>
        <v>-</v>
      </c>
      <c r="AA24" s="1266" t="str">
        <f t="shared" si="22"/>
        <v>-</v>
      </c>
      <c r="AB24" s="1266" t="str">
        <f t="shared" si="22"/>
        <v>-</v>
      </c>
      <c r="AC24" s="1266" t="str">
        <f t="shared" si="22"/>
        <v>-</v>
      </c>
      <c r="AD24" s="1266" t="str">
        <f t="shared" si="22"/>
        <v>-</v>
      </c>
      <c r="AE24" s="1266" t="str">
        <f t="shared" si="22"/>
        <v>-</v>
      </c>
      <c r="AF24" s="1266" t="str">
        <f t="shared" si="22"/>
        <v>-</v>
      </c>
      <c r="AG24" s="1266" t="str">
        <f t="shared" si="22"/>
        <v>-</v>
      </c>
      <c r="AH24" s="1266" t="str">
        <f t="shared" si="22"/>
        <v>-</v>
      </c>
      <c r="AI24" s="1267" t="str">
        <f t="shared" si="22"/>
        <v>-</v>
      </c>
      <c r="AK24" s="269">
        <f>AL24/3.516</f>
        <v>0</v>
      </c>
      <c r="AL24" s="269">
        <f>AN24/3412</f>
        <v>0</v>
      </c>
      <c r="AM24" s="269">
        <f>AL24/2.6</f>
        <v>0</v>
      </c>
      <c r="AN24" s="269">
        <f>IF($D$9=$D$13,$C$9,0)</f>
        <v>0</v>
      </c>
      <c r="AO24" s="269">
        <f>AL24*860</f>
        <v>0</v>
      </c>
      <c r="AV24" s="1248"/>
      <c r="AW24" s="1259"/>
      <c r="AX24" s="1308"/>
      <c r="AY24" s="1260"/>
      <c r="AZ24" s="1260"/>
      <c r="BA24" s="1260"/>
      <c r="BB24" s="1260"/>
      <c r="BC24" s="1260"/>
      <c r="BD24" s="1260"/>
      <c r="BE24" s="1260"/>
      <c r="BF24" s="1260"/>
      <c r="BG24" s="1260"/>
      <c r="BL24" s="1306"/>
      <c r="BM24" s="1306"/>
      <c r="BN24" s="1306"/>
      <c r="BO24" s="1306"/>
      <c r="BP24" s="1306"/>
      <c r="BQ24" s="1306"/>
      <c r="BR24" s="1306"/>
      <c r="BS24" s="1306"/>
      <c r="BT24" s="1306"/>
      <c r="CE24" s="45"/>
      <c r="CF24" s="45"/>
      <c r="CG24" s="45"/>
      <c r="CH24" s="45"/>
      <c r="CI24" s="290"/>
      <c r="CJ24" s="290"/>
      <c r="CK24" s="290"/>
      <c r="CL24" s="290"/>
      <c r="CM24" s="290"/>
      <c r="CN24" s="290"/>
      <c r="CO24" s="290"/>
      <c r="CP24" s="290"/>
      <c r="CQ24" s="290"/>
      <c r="CR24" s="290"/>
    </row>
    <row r="25" spans="7:96" ht="12.5">
      <c r="G25" s="1313"/>
      <c r="H25" s="1312"/>
      <c r="I25" s="1266"/>
      <c r="J25" s="1266"/>
      <c r="K25" s="1266"/>
      <c r="L25" s="1266"/>
      <c r="M25" s="1266"/>
      <c r="N25" s="1266"/>
      <c r="O25" s="1266"/>
      <c r="P25" s="1266"/>
      <c r="Q25" s="1266"/>
      <c r="R25" s="1266"/>
      <c r="S25" s="1267"/>
      <c r="T25" s="1252"/>
      <c r="X25" s="1247"/>
      <c r="Y25" s="1266"/>
      <c r="Z25" s="1266"/>
      <c r="AA25" s="1266"/>
      <c r="AB25" s="1266"/>
      <c r="AC25" s="1266"/>
      <c r="AD25" s="1266"/>
      <c r="AE25" s="1266"/>
      <c r="AF25" s="1266"/>
      <c r="AG25" s="1266"/>
      <c r="AH25" s="1266"/>
      <c r="AI25" s="1267"/>
      <c r="AK25" s="269">
        <f>AL25/3.516</f>
        <v>0</v>
      </c>
      <c r="AL25" s="269">
        <f>AN25/3412</f>
        <v>0</v>
      </c>
      <c r="AM25" s="269">
        <f>AL25/2.6</f>
        <v>0</v>
      </c>
      <c r="AN25" s="269">
        <f>AO25/860*3412</f>
        <v>0</v>
      </c>
      <c r="AO25" s="269">
        <f>IF($D$9=$D$14,$C$9,0)</f>
        <v>0</v>
      </c>
      <c r="AV25" s="1248"/>
      <c r="AW25" s="1309" t="s">
        <v>1962</v>
      </c>
      <c r="AX25" s="1310"/>
      <c r="AY25" s="1258"/>
      <c r="AZ25" s="1258"/>
      <c r="BA25" s="1258"/>
      <c r="BB25" s="1258"/>
      <c r="BC25" s="1258"/>
      <c r="BD25" s="1258"/>
      <c r="BE25" s="1258"/>
      <c r="BF25" s="1258"/>
      <c r="BG25" s="1258"/>
      <c r="BL25" s="1258"/>
      <c r="BM25" s="1258"/>
      <c r="BN25" s="1258"/>
      <c r="BO25" s="1258"/>
      <c r="BP25" s="1258"/>
      <c r="BQ25" s="1258"/>
      <c r="BR25" s="1258"/>
      <c r="BS25" s="1258"/>
      <c r="BT25" s="1258"/>
      <c r="CE25" s="45"/>
      <c r="CF25" s="45"/>
      <c r="CG25" s="45"/>
      <c r="CH25" s="45"/>
      <c r="CI25" s="290"/>
      <c r="CJ25" s="290"/>
      <c r="CK25" s="290"/>
      <c r="CL25" s="290"/>
      <c r="CM25" s="290"/>
      <c r="CN25" s="290"/>
      <c r="CO25" s="290"/>
      <c r="CP25" s="290"/>
      <c r="CQ25" s="290"/>
      <c r="CR25" s="290"/>
    </row>
    <row r="26" spans="7:96" ht="12.5">
      <c r="G26" s="1309" t="s">
        <v>1962</v>
      </c>
      <c r="H26" s="1310"/>
      <c r="I26" s="1257"/>
      <c r="J26" s="1257"/>
      <c r="K26" s="1257"/>
      <c r="L26" s="1257"/>
      <c r="M26" s="1257"/>
      <c r="N26" s="1257"/>
      <c r="O26" s="1257"/>
      <c r="P26" s="1257"/>
      <c r="Q26" s="1257"/>
      <c r="R26" s="1257"/>
      <c r="S26" s="1258"/>
      <c r="T26" s="1252"/>
      <c r="X26" s="1247"/>
      <c r="Y26" s="1257"/>
      <c r="Z26" s="1257"/>
      <c r="AA26" s="1257"/>
      <c r="AB26" s="1257"/>
      <c r="AC26" s="1257"/>
      <c r="AD26" s="1257"/>
      <c r="AE26" s="1257"/>
      <c r="AF26" s="1257"/>
      <c r="AG26" s="1257"/>
      <c r="AH26" s="1257"/>
      <c r="AI26" s="1258"/>
      <c r="AV26" s="1248"/>
      <c r="AW26" s="2280" t="s">
        <v>179</v>
      </c>
      <c r="AX26" s="2293"/>
      <c r="AY26" s="2282" t="str">
        <f t="shared" ref="AY26:BG26" si="23">IF($BL$39="C","-",BL26)</f>
        <v>-</v>
      </c>
      <c r="AZ26" s="2282" t="str">
        <f t="shared" si="23"/>
        <v>-</v>
      </c>
      <c r="BA26" s="2282" t="str">
        <f t="shared" si="23"/>
        <v>-</v>
      </c>
      <c r="BB26" s="2282" t="str">
        <f t="shared" si="23"/>
        <v>-</v>
      </c>
      <c r="BC26" s="2282" t="str">
        <f t="shared" si="23"/>
        <v>-</v>
      </c>
      <c r="BD26" s="2282" t="str">
        <f t="shared" si="23"/>
        <v>-</v>
      </c>
      <c r="BE26" s="2282" t="str">
        <f t="shared" si="23"/>
        <v>-</v>
      </c>
      <c r="BF26" s="2282" t="str">
        <f t="shared" si="23"/>
        <v>-</v>
      </c>
      <c r="BG26" s="2282" t="str">
        <f t="shared" si="23"/>
        <v>-</v>
      </c>
      <c r="BL26" s="2290" t="str">
        <f t="shared" ref="BL26:BT26" si="24">BU62&amp;BU83</f>
        <v/>
      </c>
      <c r="BM26" s="2290" t="str">
        <f t="shared" si="24"/>
        <v/>
      </c>
      <c r="BN26" s="2290" t="str">
        <f t="shared" si="24"/>
        <v/>
      </c>
      <c r="BO26" s="2290" t="str">
        <f t="shared" si="24"/>
        <v/>
      </c>
      <c r="BP26" s="2290" t="str">
        <f t="shared" si="24"/>
        <v/>
      </c>
      <c r="BQ26" s="2290" t="str">
        <f t="shared" si="24"/>
        <v/>
      </c>
      <c r="BR26" s="2290" t="str">
        <f t="shared" si="24"/>
        <v/>
      </c>
      <c r="BS26" s="2290" t="str">
        <f t="shared" si="24"/>
        <v/>
      </c>
      <c r="BT26" s="2290" t="str">
        <f t="shared" si="24"/>
        <v/>
      </c>
      <c r="CE26" s="45"/>
      <c r="CF26" s="45"/>
      <c r="CG26" s="45"/>
      <c r="CH26" s="45"/>
      <c r="CI26" s="290"/>
      <c r="CJ26" s="290"/>
      <c r="CK26" s="290"/>
      <c r="CL26" s="290"/>
      <c r="CM26" s="290"/>
      <c r="CN26" s="290"/>
      <c r="CO26" s="290"/>
      <c r="CP26" s="290"/>
      <c r="CQ26" s="290"/>
      <c r="CR26" s="290"/>
    </row>
    <row r="27" spans="7:96" ht="12.5">
      <c r="G27" s="2280" t="s">
        <v>179</v>
      </c>
      <c r="H27" s="2281"/>
      <c r="I27" s="2282" t="str">
        <f t="shared" ref="I27:S27" si="25">IF($X$30="CC","-",Y27)</f>
        <v>-</v>
      </c>
      <c r="J27" s="2282" t="str">
        <f t="shared" si="25"/>
        <v>-</v>
      </c>
      <c r="K27" s="2282" t="str">
        <f t="shared" si="25"/>
        <v>-</v>
      </c>
      <c r="L27" s="2282" t="str">
        <f t="shared" si="25"/>
        <v>-</v>
      </c>
      <c r="M27" s="2282" t="str">
        <f t="shared" si="25"/>
        <v>-</v>
      </c>
      <c r="N27" s="2282" t="str">
        <f t="shared" si="25"/>
        <v>-</v>
      </c>
      <c r="O27" s="2282" t="str">
        <f t="shared" si="25"/>
        <v>-</v>
      </c>
      <c r="P27" s="2282" t="str">
        <f t="shared" si="25"/>
        <v>-</v>
      </c>
      <c r="Q27" s="2282" t="str">
        <f t="shared" si="25"/>
        <v>-</v>
      </c>
      <c r="R27" s="2282" t="str">
        <f t="shared" si="25"/>
        <v>-</v>
      </c>
      <c r="S27" s="2282" t="str">
        <f t="shared" si="25"/>
        <v>-</v>
      </c>
      <c r="T27" s="1252"/>
      <c r="X27" s="1247" t="str">
        <f>IF(H4=0,"C",VLOOKUP(H4,W23:X24,2,FALSE))</f>
        <v>C</v>
      </c>
      <c r="Y27" s="2290" t="str">
        <f t="shared" ref="Y27:AI27" si="26">AK59&amp;AK82&amp;AK105&amp;AK132&amp;AK155&amp;AK178&amp;AK201</f>
        <v/>
      </c>
      <c r="Z27" s="2290" t="str">
        <f t="shared" si="26"/>
        <v/>
      </c>
      <c r="AA27" s="2290" t="str">
        <f t="shared" si="26"/>
        <v/>
      </c>
      <c r="AB27" s="2290" t="str">
        <f t="shared" si="26"/>
        <v/>
      </c>
      <c r="AC27" s="2290" t="str">
        <f t="shared" si="26"/>
        <v/>
      </c>
      <c r="AD27" s="2290" t="str">
        <f t="shared" si="26"/>
        <v/>
      </c>
      <c r="AE27" s="2290" t="str">
        <f t="shared" si="26"/>
        <v/>
      </c>
      <c r="AF27" s="2290" t="str">
        <f t="shared" si="26"/>
        <v/>
      </c>
      <c r="AG27" s="2290" t="str">
        <f t="shared" si="26"/>
        <v/>
      </c>
      <c r="AH27" s="2290" t="str">
        <f t="shared" si="26"/>
        <v/>
      </c>
      <c r="AI27" s="2290" t="str">
        <f t="shared" si="26"/>
        <v/>
      </c>
      <c r="AV27" s="1248"/>
      <c r="AW27" s="2280"/>
      <c r="AX27" s="2293"/>
      <c r="AY27" s="2282"/>
      <c r="AZ27" s="2282"/>
      <c r="BA27" s="2282"/>
      <c r="BB27" s="2282"/>
      <c r="BC27" s="2282"/>
      <c r="BD27" s="2282"/>
      <c r="BE27" s="2282"/>
      <c r="BF27" s="2282"/>
      <c r="BG27" s="2282"/>
      <c r="BL27" s="2290"/>
      <c r="BM27" s="2290"/>
      <c r="BN27" s="2290"/>
      <c r="BO27" s="2290"/>
      <c r="BP27" s="2290"/>
      <c r="BQ27" s="2290"/>
      <c r="BR27" s="2290"/>
      <c r="BS27" s="2290"/>
      <c r="BT27" s="2290"/>
      <c r="CE27" s="45"/>
      <c r="CF27" s="45"/>
      <c r="CG27" s="45"/>
      <c r="CH27" s="45"/>
      <c r="CI27" s="290"/>
      <c r="CJ27" s="290"/>
      <c r="CK27" s="290"/>
      <c r="CL27" s="290"/>
      <c r="CM27" s="290"/>
      <c r="CN27" s="290"/>
      <c r="CO27" s="290"/>
      <c r="CP27" s="290"/>
      <c r="CQ27" s="290"/>
      <c r="CR27" s="290"/>
    </row>
    <row r="28" spans="7:96" ht="12.5">
      <c r="G28" s="2280"/>
      <c r="H28" s="2281"/>
      <c r="I28" s="2282"/>
      <c r="J28" s="2282"/>
      <c r="K28" s="2282"/>
      <c r="L28" s="2282"/>
      <c r="M28" s="2282"/>
      <c r="N28" s="2282"/>
      <c r="O28" s="2282"/>
      <c r="P28" s="2282"/>
      <c r="Q28" s="2282"/>
      <c r="R28" s="2282"/>
      <c r="S28" s="2282"/>
      <c r="T28" s="1252"/>
      <c r="X28" s="1247"/>
      <c r="Y28" s="2290"/>
      <c r="Z28" s="2290"/>
      <c r="AA28" s="2290"/>
      <c r="AB28" s="2290"/>
      <c r="AC28" s="2290"/>
      <c r="AD28" s="2290"/>
      <c r="AE28" s="2290"/>
      <c r="AF28" s="2290"/>
      <c r="AG28" s="2290"/>
      <c r="AH28" s="2290"/>
      <c r="AI28" s="2290"/>
      <c r="AV28" s="1248"/>
      <c r="AW28" s="1259" t="s">
        <v>479</v>
      </c>
      <c r="AX28" s="1308"/>
      <c r="AY28" s="1254"/>
      <c r="AZ28" s="1254"/>
      <c r="BA28" s="1351"/>
      <c r="BB28" s="1254"/>
      <c r="BC28" s="1254"/>
      <c r="BD28" s="1254"/>
      <c r="BE28" s="1254"/>
      <c r="BF28" s="1254"/>
      <c r="BG28" s="1254"/>
      <c r="BL28" s="1254"/>
      <c r="BM28" s="1254"/>
      <c r="BN28" s="1351"/>
      <c r="BO28" s="1254"/>
      <c r="BP28" s="1254"/>
      <c r="BQ28" s="1254"/>
      <c r="BR28" s="1254"/>
      <c r="BS28" s="1254"/>
      <c r="BT28" s="1254"/>
      <c r="CE28" s="45"/>
      <c r="CF28" s="45"/>
      <c r="CG28" s="45"/>
      <c r="CH28" s="45"/>
      <c r="CI28" s="290"/>
      <c r="CJ28" s="290"/>
      <c r="CK28" s="290"/>
      <c r="CL28" s="290"/>
      <c r="CM28" s="290"/>
      <c r="CN28" s="290"/>
      <c r="CO28" s="290"/>
      <c r="CP28" s="290"/>
      <c r="CQ28" s="290"/>
      <c r="CR28" s="290"/>
    </row>
    <row r="29" spans="7:96" ht="12.5">
      <c r="G29" s="1259" t="s">
        <v>479</v>
      </c>
      <c r="H29" s="1308"/>
      <c r="I29" s="1253"/>
      <c r="J29" s="1253"/>
      <c r="K29" s="1314"/>
      <c r="L29" s="1253"/>
      <c r="M29" s="1253"/>
      <c r="N29" s="1253"/>
      <c r="O29" s="1253"/>
      <c r="P29" s="1253"/>
      <c r="Q29" s="1253"/>
      <c r="R29" s="1253"/>
      <c r="S29" s="1254"/>
      <c r="T29" s="1252"/>
      <c r="X29" s="1247" t="str">
        <f>IF(H6=0,"C",VLOOKUP(H6,W16:X20,2,FALSE))</f>
        <v>C</v>
      </c>
      <c r="Y29" s="1253"/>
      <c r="Z29" s="1253"/>
      <c r="AA29" s="1314"/>
      <c r="AB29" s="1253"/>
      <c r="AC29" s="1253"/>
      <c r="AD29" s="1253"/>
      <c r="AE29" s="1253"/>
      <c r="AF29" s="1253"/>
      <c r="AG29" s="1253"/>
      <c r="AH29" s="1253"/>
      <c r="AI29" s="1254"/>
      <c r="AV29" s="1248"/>
      <c r="AW29" s="1313" t="s">
        <v>1909</v>
      </c>
      <c r="AX29" s="1312" t="s">
        <v>0</v>
      </c>
      <c r="AY29" s="1267" t="str">
        <f t="shared" ref="AY29:BG31" si="27">IF($BL$39="C","-",BL29)</f>
        <v>-</v>
      </c>
      <c r="AZ29" s="1267" t="str">
        <f t="shared" si="27"/>
        <v>-</v>
      </c>
      <c r="BA29" s="1267" t="str">
        <f t="shared" si="27"/>
        <v>-</v>
      </c>
      <c r="BB29" s="1267" t="str">
        <f t="shared" si="27"/>
        <v>-</v>
      </c>
      <c r="BC29" s="1267" t="str">
        <f t="shared" si="27"/>
        <v>-</v>
      </c>
      <c r="BD29" s="1267" t="str">
        <f t="shared" si="27"/>
        <v>-</v>
      </c>
      <c r="BE29" s="1267" t="str">
        <f t="shared" si="27"/>
        <v>-</v>
      </c>
      <c r="BF29" s="1267" t="str">
        <f t="shared" si="27"/>
        <v>-</v>
      </c>
      <c r="BG29" s="1267" t="str">
        <f t="shared" si="27"/>
        <v>-</v>
      </c>
      <c r="BL29" s="1267" t="str">
        <f t="shared" ref="BL29:BT31" si="28">IF(SUM(BU64,BU85)=0,"-",SUM(BU64,BU85))</f>
        <v>-</v>
      </c>
      <c r="BM29" s="1267" t="str">
        <f t="shared" si="28"/>
        <v>-</v>
      </c>
      <c r="BN29" s="1267" t="str">
        <f t="shared" si="28"/>
        <v>-</v>
      </c>
      <c r="BO29" s="1267" t="str">
        <f t="shared" si="28"/>
        <v>-</v>
      </c>
      <c r="BP29" s="1267" t="str">
        <f t="shared" si="28"/>
        <v>-</v>
      </c>
      <c r="BQ29" s="1267" t="str">
        <f t="shared" si="28"/>
        <v>-</v>
      </c>
      <c r="BR29" s="1267" t="str">
        <f t="shared" si="28"/>
        <v>-</v>
      </c>
      <c r="BS29" s="1267" t="str">
        <f t="shared" si="28"/>
        <v>-</v>
      </c>
      <c r="BT29" s="1267" t="str">
        <f t="shared" si="28"/>
        <v>-</v>
      </c>
      <c r="CE29" s="45"/>
      <c r="CF29" s="45"/>
      <c r="CG29" s="45"/>
      <c r="CH29" s="45"/>
      <c r="CI29" s="290"/>
      <c r="CJ29" s="290"/>
      <c r="CK29" s="290"/>
      <c r="CL29" s="290"/>
      <c r="CM29" s="290"/>
      <c r="CN29" s="290"/>
      <c r="CO29" s="290"/>
      <c r="CP29" s="290"/>
      <c r="CQ29" s="290"/>
      <c r="CR29" s="290"/>
    </row>
    <row r="30" spans="7:96" ht="12.5">
      <c r="G30" s="1313" t="s">
        <v>1909</v>
      </c>
      <c r="H30" s="1312" t="s">
        <v>0</v>
      </c>
      <c r="I30" s="1266" t="str">
        <f t="shared" ref="I30:S33" si="29">IF($X$30="CC","-",Y30)</f>
        <v>-</v>
      </c>
      <c r="J30" s="1266" t="str">
        <f t="shared" si="29"/>
        <v>-</v>
      </c>
      <c r="K30" s="1266" t="str">
        <f t="shared" si="29"/>
        <v>-</v>
      </c>
      <c r="L30" s="1266" t="str">
        <f t="shared" si="29"/>
        <v>-</v>
      </c>
      <c r="M30" s="1266" t="str">
        <f t="shared" si="29"/>
        <v>-</v>
      </c>
      <c r="N30" s="1266" t="str">
        <f t="shared" si="29"/>
        <v>-</v>
      </c>
      <c r="O30" s="1266" t="str">
        <f t="shared" si="29"/>
        <v>-</v>
      </c>
      <c r="P30" s="1266" t="str">
        <f t="shared" si="29"/>
        <v>-</v>
      </c>
      <c r="Q30" s="1266" t="str">
        <f t="shared" si="29"/>
        <v>-</v>
      </c>
      <c r="R30" s="1266" t="str">
        <f t="shared" si="29"/>
        <v>-</v>
      </c>
      <c r="S30" s="1267" t="str">
        <f t="shared" si="29"/>
        <v>-</v>
      </c>
      <c r="T30" s="1252"/>
      <c r="X30" s="1247" t="str">
        <f>X27&amp;X29</f>
        <v>CC</v>
      </c>
      <c r="Y30" s="1266" t="str">
        <f t="shared" ref="Y30:AI33" si="30">IF(SUM(AK61,AK84,AK107,AK134,AK157,AK180,AK203,)=0,"-",SUM(AK61,AK84,AK107,AK134,AK157,AK180,AK203,))</f>
        <v>-</v>
      </c>
      <c r="Z30" s="1266" t="str">
        <f t="shared" si="30"/>
        <v>-</v>
      </c>
      <c r="AA30" s="1266" t="str">
        <f t="shared" si="30"/>
        <v>-</v>
      </c>
      <c r="AB30" s="1266" t="str">
        <f t="shared" si="30"/>
        <v>-</v>
      </c>
      <c r="AC30" s="1266" t="str">
        <f t="shared" si="30"/>
        <v>-</v>
      </c>
      <c r="AD30" s="1266" t="str">
        <f t="shared" si="30"/>
        <v>-</v>
      </c>
      <c r="AE30" s="1266" t="str">
        <f t="shared" si="30"/>
        <v>-</v>
      </c>
      <c r="AF30" s="1266" t="str">
        <f t="shared" si="30"/>
        <v>-</v>
      </c>
      <c r="AG30" s="1266" t="str">
        <f t="shared" si="30"/>
        <v>-</v>
      </c>
      <c r="AH30" s="1266" t="str">
        <f t="shared" si="30"/>
        <v>-</v>
      </c>
      <c r="AI30" s="1267" t="str">
        <f t="shared" si="30"/>
        <v>-</v>
      </c>
      <c r="AV30" s="1248"/>
      <c r="AW30" s="1313" t="s">
        <v>1910</v>
      </c>
      <c r="AX30" s="1312" t="s">
        <v>0</v>
      </c>
      <c r="AY30" s="1267" t="str">
        <f t="shared" si="27"/>
        <v>-</v>
      </c>
      <c r="AZ30" s="1267" t="str">
        <f t="shared" si="27"/>
        <v>-</v>
      </c>
      <c r="BA30" s="1267" t="str">
        <f t="shared" si="27"/>
        <v>-</v>
      </c>
      <c r="BB30" s="1267" t="str">
        <f t="shared" si="27"/>
        <v>-</v>
      </c>
      <c r="BC30" s="1267" t="str">
        <f t="shared" si="27"/>
        <v>-</v>
      </c>
      <c r="BD30" s="1267" t="str">
        <f t="shared" si="27"/>
        <v>-</v>
      </c>
      <c r="BE30" s="1267" t="str">
        <f t="shared" si="27"/>
        <v>-</v>
      </c>
      <c r="BF30" s="1267" t="str">
        <f t="shared" si="27"/>
        <v>-</v>
      </c>
      <c r="BG30" s="1267" t="str">
        <f t="shared" si="27"/>
        <v>-</v>
      </c>
      <c r="BL30" s="1267" t="str">
        <f t="shared" si="28"/>
        <v>-</v>
      </c>
      <c r="BM30" s="1267" t="str">
        <f t="shared" si="28"/>
        <v>-</v>
      </c>
      <c r="BN30" s="1267" t="str">
        <f t="shared" si="28"/>
        <v>-</v>
      </c>
      <c r="BO30" s="1267" t="str">
        <f t="shared" si="28"/>
        <v>-</v>
      </c>
      <c r="BP30" s="1267" t="str">
        <f t="shared" si="28"/>
        <v>-</v>
      </c>
      <c r="BQ30" s="1267" t="str">
        <f t="shared" si="28"/>
        <v>-</v>
      </c>
      <c r="BR30" s="1267" t="str">
        <f t="shared" si="28"/>
        <v>-</v>
      </c>
      <c r="BS30" s="1267" t="str">
        <f t="shared" si="28"/>
        <v>-</v>
      </c>
      <c r="BT30" s="1267" t="str">
        <f t="shared" si="28"/>
        <v>-</v>
      </c>
      <c r="CE30" s="45"/>
      <c r="CF30" s="45"/>
      <c r="CG30" s="45"/>
      <c r="CH30" s="45"/>
      <c r="CI30" s="290"/>
      <c r="CJ30" s="290"/>
      <c r="CK30" s="290"/>
      <c r="CL30" s="290"/>
      <c r="CM30" s="290"/>
      <c r="CN30" s="290"/>
      <c r="CO30" s="290"/>
      <c r="CP30" s="290"/>
      <c r="CQ30" s="290"/>
      <c r="CR30" s="290"/>
    </row>
    <row r="31" spans="7:96" ht="12.5">
      <c r="G31" s="1313" t="s">
        <v>1910</v>
      </c>
      <c r="H31" s="1312" t="s">
        <v>0</v>
      </c>
      <c r="I31" s="1266" t="str">
        <f t="shared" si="29"/>
        <v>-</v>
      </c>
      <c r="J31" s="1266" t="str">
        <f t="shared" si="29"/>
        <v>-</v>
      </c>
      <c r="K31" s="1266" t="str">
        <f t="shared" si="29"/>
        <v>-</v>
      </c>
      <c r="L31" s="1266" t="str">
        <f t="shared" si="29"/>
        <v>-</v>
      </c>
      <c r="M31" s="1266" t="str">
        <f t="shared" si="29"/>
        <v>-</v>
      </c>
      <c r="N31" s="1266" t="str">
        <f t="shared" si="29"/>
        <v>-</v>
      </c>
      <c r="O31" s="1266" t="str">
        <f t="shared" si="29"/>
        <v>-</v>
      </c>
      <c r="P31" s="1266" t="str">
        <f t="shared" si="29"/>
        <v>-</v>
      </c>
      <c r="Q31" s="1266" t="str">
        <f t="shared" si="29"/>
        <v>-</v>
      </c>
      <c r="R31" s="1266" t="str">
        <f t="shared" si="29"/>
        <v>-</v>
      </c>
      <c r="S31" s="1267" t="str">
        <f t="shared" si="29"/>
        <v>-</v>
      </c>
      <c r="T31" s="1252"/>
      <c r="Y31" s="1266" t="str">
        <f t="shared" si="30"/>
        <v>-</v>
      </c>
      <c r="Z31" s="1266" t="str">
        <f t="shared" si="30"/>
        <v>-</v>
      </c>
      <c r="AA31" s="1266" t="str">
        <f t="shared" si="30"/>
        <v>-</v>
      </c>
      <c r="AB31" s="1266" t="str">
        <f t="shared" si="30"/>
        <v>-</v>
      </c>
      <c r="AC31" s="1266" t="str">
        <f t="shared" si="30"/>
        <v>-</v>
      </c>
      <c r="AD31" s="1266" t="str">
        <f t="shared" si="30"/>
        <v>-</v>
      </c>
      <c r="AE31" s="1266" t="str">
        <f t="shared" si="30"/>
        <v>-</v>
      </c>
      <c r="AF31" s="1266" t="str">
        <f t="shared" si="30"/>
        <v>-</v>
      </c>
      <c r="AG31" s="1266" t="str">
        <f t="shared" si="30"/>
        <v>-</v>
      </c>
      <c r="AH31" s="1266" t="str">
        <f t="shared" si="30"/>
        <v>-</v>
      </c>
      <c r="AI31" s="1267" t="str">
        <f t="shared" si="30"/>
        <v>-</v>
      </c>
      <c r="AV31" s="1248"/>
      <c r="AW31" s="1313" t="s">
        <v>1911</v>
      </c>
      <c r="AX31" s="1312" t="s">
        <v>0</v>
      </c>
      <c r="AY31" s="1267" t="str">
        <f t="shared" si="27"/>
        <v>-</v>
      </c>
      <c r="AZ31" s="1267" t="str">
        <f t="shared" si="27"/>
        <v>-</v>
      </c>
      <c r="BA31" s="1267" t="str">
        <f t="shared" si="27"/>
        <v>-</v>
      </c>
      <c r="BB31" s="1267" t="str">
        <f t="shared" si="27"/>
        <v>-</v>
      </c>
      <c r="BC31" s="1267" t="str">
        <f t="shared" si="27"/>
        <v>-</v>
      </c>
      <c r="BD31" s="1267" t="str">
        <f t="shared" si="27"/>
        <v>-</v>
      </c>
      <c r="BE31" s="1267" t="str">
        <f t="shared" si="27"/>
        <v>-</v>
      </c>
      <c r="BF31" s="1267" t="str">
        <f t="shared" si="27"/>
        <v>-</v>
      </c>
      <c r="BG31" s="1267" t="str">
        <f t="shared" si="27"/>
        <v>-</v>
      </c>
      <c r="BL31" s="1267" t="str">
        <f t="shared" si="28"/>
        <v>-</v>
      </c>
      <c r="BM31" s="1267" t="str">
        <f t="shared" si="28"/>
        <v>-</v>
      </c>
      <c r="BN31" s="1267" t="str">
        <f t="shared" si="28"/>
        <v>-</v>
      </c>
      <c r="BO31" s="1267" t="str">
        <f t="shared" si="28"/>
        <v>-</v>
      </c>
      <c r="BP31" s="1267" t="str">
        <f t="shared" si="28"/>
        <v>-</v>
      </c>
      <c r="BQ31" s="1267" t="str">
        <f t="shared" si="28"/>
        <v>-</v>
      </c>
      <c r="BR31" s="1267" t="str">
        <f t="shared" si="28"/>
        <v>-</v>
      </c>
      <c r="BS31" s="1267" t="str">
        <f t="shared" si="28"/>
        <v>-</v>
      </c>
      <c r="BT31" s="1267" t="str">
        <f t="shared" si="28"/>
        <v>-</v>
      </c>
      <c r="CE31" s="45"/>
      <c r="CF31" s="45"/>
      <c r="CG31" s="45"/>
      <c r="CH31" s="45"/>
      <c r="CI31" s="290"/>
      <c r="CJ31" s="290"/>
      <c r="CK31" s="290"/>
      <c r="CL31" s="290"/>
      <c r="CM31" s="290"/>
      <c r="CN31" s="290"/>
      <c r="CO31" s="290"/>
      <c r="CP31" s="290"/>
      <c r="CQ31" s="290"/>
      <c r="CR31" s="290"/>
    </row>
    <row r="32" spans="7:96" ht="12.75" customHeight="1">
      <c r="G32" s="1313" t="s">
        <v>1911</v>
      </c>
      <c r="H32" s="1312" t="s">
        <v>0</v>
      </c>
      <c r="I32" s="1266" t="str">
        <f t="shared" si="29"/>
        <v>-</v>
      </c>
      <c r="J32" s="1266" t="str">
        <f t="shared" si="29"/>
        <v>-</v>
      </c>
      <c r="K32" s="1266" t="str">
        <f t="shared" si="29"/>
        <v>-</v>
      </c>
      <c r="L32" s="1266" t="str">
        <f t="shared" si="29"/>
        <v>-</v>
      </c>
      <c r="M32" s="1266" t="str">
        <f t="shared" si="29"/>
        <v>-</v>
      </c>
      <c r="N32" s="1266" t="str">
        <f t="shared" si="29"/>
        <v>-</v>
      </c>
      <c r="O32" s="1266" t="str">
        <f t="shared" si="29"/>
        <v>-</v>
      </c>
      <c r="P32" s="1266" t="str">
        <f t="shared" si="29"/>
        <v>-</v>
      </c>
      <c r="Q32" s="1266" t="str">
        <f t="shared" si="29"/>
        <v>-</v>
      </c>
      <c r="R32" s="1266" t="str">
        <f t="shared" si="29"/>
        <v>-</v>
      </c>
      <c r="S32" s="1267" t="str">
        <f t="shared" si="29"/>
        <v>-</v>
      </c>
      <c r="T32" s="1252"/>
      <c r="Y32" s="1266" t="str">
        <f t="shared" si="30"/>
        <v>-</v>
      </c>
      <c r="Z32" s="1266" t="str">
        <f t="shared" si="30"/>
        <v>-</v>
      </c>
      <c r="AA32" s="1266" t="str">
        <f t="shared" si="30"/>
        <v>-</v>
      </c>
      <c r="AB32" s="1266" t="str">
        <f t="shared" si="30"/>
        <v>-</v>
      </c>
      <c r="AC32" s="1266" t="str">
        <f t="shared" si="30"/>
        <v>-</v>
      </c>
      <c r="AD32" s="1266" t="str">
        <f t="shared" si="30"/>
        <v>-</v>
      </c>
      <c r="AE32" s="1266" t="str">
        <f t="shared" si="30"/>
        <v>-</v>
      </c>
      <c r="AF32" s="1266" t="str">
        <f t="shared" si="30"/>
        <v>-</v>
      </c>
      <c r="AG32" s="1266" t="str">
        <f t="shared" si="30"/>
        <v>-</v>
      </c>
      <c r="AH32" s="1266" t="str">
        <f t="shared" si="30"/>
        <v>-</v>
      </c>
      <c r="AI32" s="1267" t="str">
        <f t="shared" si="30"/>
        <v>-</v>
      </c>
      <c r="AV32" s="1248"/>
      <c r="AW32" s="1352"/>
      <c r="AX32" s="1353"/>
      <c r="AY32" s="1354"/>
      <c r="AZ32" s="1354"/>
      <c r="BA32" s="1354"/>
      <c r="BB32" s="1354"/>
      <c r="BC32" s="1354"/>
      <c r="BD32" s="1354"/>
      <c r="BE32" s="1354"/>
      <c r="BF32" s="1354"/>
      <c r="BG32" s="1354"/>
      <c r="BL32" s="1307"/>
      <c r="BM32" s="1307"/>
      <c r="BN32" s="1307"/>
      <c r="BO32" s="1307"/>
      <c r="BP32" s="1307"/>
      <c r="BQ32" s="1307"/>
      <c r="BR32" s="1307"/>
      <c r="BS32" s="1307"/>
      <c r="BT32" s="1307"/>
      <c r="CE32" s="45"/>
      <c r="CF32" s="45"/>
      <c r="CG32" s="45"/>
      <c r="CH32" s="45"/>
      <c r="CI32" s="290"/>
      <c r="CJ32" s="290"/>
      <c r="CK32" s="290"/>
      <c r="CL32" s="290"/>
      <c r="CM32" s="290"/>
      <c r="CN32" s="290"/>
      <c r="CO32" s="290"/>
      <c r="CP32" s="290"/>
      <c r="CQ32" s="290"/>
      <c r="CR32" s="290"/>
    </row>
    <row r="33" spans="7:96" ht="12.5">
      <c r="G33" s="1259" t="s">
        <v>1746</v>
      </c>
      <c r="H33" s="1312" t="s">
        <v>212</v>
      </c>
      <c r="I33" s="1253" t="str">
        <f t="shared" si="29"/>
        <v>-</v>
      </c>
      <c r="J33" s="1253" t="str">
        <f t="shared" si="29"/>
        <v>-</v>
      </c>
      <c r="K33" s="1253" t="str">
        <f t="shared" si="29"/>
        <v>-</v>
      </c>
      <c r="L33" s="1253" t="str">
        <f t="shared" si="29"/>
        <v>-</v>
      </c>
      <c r="M33" s="1253" t="str">
        <f t="shared" si="29"/>
        <v>-</v>
      </c>
      <c r="N33" s="1253" t="str">
        <f t="shared" si="29"/>
        <v>-</v>
      </c>
      <c r="O33" s="1253" t="str">
        <f t="shared" si="29"/>
        <v>-</v>
      </c>
      <c r="P33" s="1253" t="str">
        <f t="shared" si="29"/>
        <v>-</v>
      </c>
      <c r="Q33" s="1253" t="str">
        <f t="shared" si="29"/>
        <v>-</v>
      </c>
      <c r="R33" s="1253" t="str">
        <f t="shared" si="29"/>
        <v>-</v>
      </c>
      <c r="S33" s="1254" t="str">
        <f t="shared" si="29"/>
        <v>-</v>
      </c>
      <c r="T33" s="1252"/>
      <c r="Y33" s="1253" t="str">
        <f t="shared" si="30"/>
        <v>-</v>
      </c>
      <c r="Z33" s="1253" t="str">
        <f t="shared" si="30"/>
        <v>-</v>
      </c>
      <c r="AA33" s="1253" t="str">
        <f t="shared" si="30"/>
        <v>-</v>
      </c>
      <c r="AB33" s="1253" t="str">
        <f t="shared" si="30"/>
        <v>-</v>
      </c>
      <c r="AC33" s="1253" t="str">
        <f t="shared" si="30"/>
        <v>-</v>
      </c>
      <c r="AD33" s="1253" t="str">
        <f t="shared" si="30"/>
        <v>-</v>
      </c>
      <c r="AE33" s="1253" t="str">
        <f t="shared" si="30"/>
        <v>-</v>
      </c>
      <c r="AF33" s="1253" t="str">
        <f t="shared" si="30"/>
        <v>-</v>
      </c>
      <c r="AG33" s="1253" t="str">
        <f t="shared" si="30"/>
        <v>-</v>
      </c>
      <c r="AH33" s="1253" t="str">
        <f t="shared" si="30"/>
        <v>-</v>
      </c>
      <c r="AI33" s="1254" t="str">
        <f t="shared" si="30"/>
        <v>-</v>
      </c>
      <c r="AV33" s="1248"/>
      <c r="CE33" s="45"/>
      <c r="CF33" s="45"/>
      <c r="CG33" s="45"/>
      <c r="CH33" s="45"/>
      <c r="CI33" s="290"/>
      <c r="CJ33" s="290"/>
      <c r="CK33" s="290"/>
      <c r="CL33" s="290"/>
      <c r="CM33" s="290"/>
      <c r="CN33" s="290"/>
      <c r="CO33" s="290"/>
      <c r="CP33" s="290"/>
      <c r="CQ33" s="290"/>
      <c r="CR33" s="290"/>
    </row>
    <row r="34" spans="7:96" ht="12.5">
      <c r="G34" s="1259"/>
      <c r="H34" s="1312"/>
      <c r="I34" s="1253"/>
      <c r="J34" s="1253"/>
      <c r="K34" s="1253"/>
      <c r="L34" s="1253"/>
      <c r="M34" s="1253"/>
      <c r="N34" s="1253"/>
      <c r="O34" s="1253"/>
      <c r="P34" s="1253"/>
      <c r="Q34" s="1253"/>
      <c r="R34" s="1253"/>
      <c r="S34" s="1254"/>
      <c r="T34" s="1252"/>
      <c r="Y34" s="1253"/>
      <c r="Z34" s="1253"/>
      <c r="AA34" s="1253"/>
      <c r="AB34" s="1253"/>
      <c r="AC34" s="1253"/>
      <c r="AD34" s="1253"/>
      <c r="AE34" s="1253"/>
      <c r="AF34" s="1253"/>
      <c r="AG34" s="1253"/>
      <c r="AH34" s="1253"/>
      <c r="AI34" s="1254"/>
      <c r="AV34" s="1248"/>
      <c r="CE34" s="45"/>
      <c r="CF34" s="45"/>
      <c r="CG34" s="45"/>
      <c r="CH34" s="45"/>
      <c r="CI34" s="290"/>
      <c r="CJ34" s="290"/>
      <c r="CK34" s="290"/>
      <c r="CL34" s="290"/>
      <c r="CM34" s="290"/>
      <c r="CN34" s="290"/>
      <c r="CO34" s="290"/>
      <c r="CP34" s="290"/>
      <c r="CQ34" s="290"/>
      <c r="CR34" s="290"/>
    </row>
    <row r="35" spans="7:96" ht="12.5">
      <c r="G35" s="2278" t="s">
        <v>1966</v>
      </c>
      <c r="H35" s="2279"/>
      <c r="I35" s="1257"/>
      <c r="J35" s="1257"/>
      <c r="K35" s="1257"/>
      <c r="L35" s="1257"/>
      <c r="M35" s="1257"/>
      <c r="N35" s="1257"/>
      <c r="O35" s="1257"/>
      <c r="P35" s="1257"/>
      <c r="Q35" s="1257"/>
      <c r="R35" s="1257"/>
      <c r="S35" s="1258"/>
      <c r="T35" s="1252"/>
      <c r="Y35" s="1257"/>
      <c r="Z35" s="1257"/>
      <c r="AA35" s="1257"/>
      <c r="AB35" s="1257"/>
      <c r="AC35" s="1257"/>
      <c r="AD35" s="1257"/>
      <c r="AE35" s="1257"/>
      <c r="AF35" s="1257"/>
      <c r="AG35" s="1257"/>
      <c r="AH35" s="1257"/>
      <c r="AI35" s="1258"/>
      <c r="AV35" s="1248"/>
      <c r="CE35" s="45"/>
      <c r="CF35" s="45"/>
      <c r="CG35" s="45"/>
      <c r="CH35" s="45"/>
      <c r="CI35" s="290"/>
      <c r="CJ35" s="290"/>
      <c r="CK35" s="290"/>
      <c r="CL35" s="290"/>
      <c r="CM35" s="290"/>
      <c r="CN35" s="290"/>
      <c r="CO35" s="290"/>
      <c r="CP35" s="290"/>
      <c r="CQ35" s="290"/>
      <c r="CR35" s="290"/>
    </row>
    <row r="36" spans="7:96" ht="12.5">
      <c r="G36" s="1259" t="s">
        <v>158</v>
      </c>
      <c r="H36" s="1312" t="s">
        <v>173</v>
      </c>
      <c r="I36" s="1253" t="str">
        <f t="shared" ref="I36:I38" si="31">IF($X$30="CC","-",Y36)</f>
        <v>-</v>
      </c>
      <c r="J36" s="1253" t="str">
        <f t="shared" ref="J36:J38" si="32">IF($X$30="CC","-",Z36)</f>
        <v>-</v>
      </c>
      <c r="K36" s="1253" t="str">
        <f t="shared" ref="K36:K38" si="33">IF($X$30="CC","-",AA36)</f>
        <v>-</v>
      </c>
      <c r="L36" s="1253" t="str">
        <f t="shared" ref="L36:L38" si="34">IF($X$30="CC","-",AB36)</f>
        <v>-</v>
      </c>
      <c r="M36" s="1253" t="str">
        <f t="shared" ref="M36:M38" si="35">IF($X$30="CC","-",AC36)</f>
        <v>-</v>
      </c>
      <c r="N36" s="1253" t="str">
        <f t="shared" ref="N36:N38" si="36">IF($X$30="CC","-",AD36)</f>
        <v>-</v>
      </c>
      <c r="O36" s="1253" t="str">
        <f t="shared" ref="O36:O38" si="37">IF($X$30="CC","-",AE36)</f>
        <v>-</v>
      </c>
      <c r="P36" s="1253" t="str">
        <f t="shared" ref="P36:P38" si="38">IF($X$30="CC","-",AF36)</f>
        <v>-</v>
      </c>
      <c r="Q36" s="1253" t="str">
        <f t="shared" ref="Q36:Q38" si="39">IF($X$30="CC","-",AG36)</f>
        <v>-</v>
      </c>
      <c r="R36" s="1253" t="str">
        <f t="shared" ref="R36:R38" si="40">IF($X$30="CC","-",AH36)</f>
        <v>-</v>
      </c>
      <c r="S36" s="1254" t="str">
        <f t="shared" ref="S36:S38" si="41">IF($X$30="CC","-",AI36)</f>
        <v>-</v>
      </c>
      <c r="T36" s="1252"/>
      <c r="Y36" s="1253" t="str">
        <f t="shared" ref="Y36:AI37" si="42">IF(SUM(AK66,AK89,AK112,AK139,AK162,AK185,AK208,)=0,"-",SUM(AK66,AK89,AK112,AK139,AK162,AK185,AK208,))</f>
        <v>-</v>
      </c>
      <c r="Z36" s="1253" t="str">
        <f t="shared" si="42"/>
        <v>-</v>
      </c>
      <c r="AA36" s="1253" t="str">
        <f t="shared" si="42"/>
        <v>-</v>
      </c>
      <c r="AB36" s="1253" t="str">
        <f t="shared" si="42"/>
        <v>-</v>
      </c>
      <c r="AC36" s="1253" t="str">
        <f t="shared" si="42"/>
        <v>-</v>
      </c>
      <c r="AD36" s="1253" t="str">
        <f t="shared" si="42"/>
        <v>-</v>
      </c>
      <c r="AE36" s="1253" t="str">
        <f t="shared" si="42"/>
        <v>-</v>
      </c>
      <c r="AF36" s="1253" t="str">
        <f t="shared" si="42"/>
        <v>-</v>
      </c>
      <c r="AG36" s="1253" t="str">
        <f t="shared" si="42"/>
        <v>-</v>
      </c>
      <c r="AH36" s="1253" t="str">
        <f t="shared" si="42"/>
        <v>-</v>
      </c>
      <c r="AI36" s="1254" t="str">
        <f t="shared" si="42"/>
        <v>-</v>
      </c>
      <c r="AV36" s="1248"/>
      <c r="BL36" s="1247" t="s">
        <v>1960</v>
      </c>
      <c r="BM36" s="1261" t="s">
        <v>1739</v>
      </c>
      <c r="CE36" s="45"/>
      <c r="CF36" s="45"/>
      <c r="CG36" s="45"/>
      <c r="CH36" s="45"/>
      <c r="CI36" s="290"/>
      <c r="CJ36" s="290"/>
      <c r="CK36" s="290"/>
      <c r="CL36" s="290"/>
      <c r="CR36" s="290"/>
    </row>
    <row r="37" spans="7:96" ht="12.5">
      <c r="G37" s="1259" t="s">
        <v>1748</v>
      </c>
      <c r="H37" s="1312" t="s">
        <v>1246</v>
      </c>
      <c r="I37" s="1253" t="str">
        <f t="shared" si="31"/>
        <v>-</v>
      </c>
      <c r="J37" s="1253" t="str">
        <f t="shared" si="32"/>
        <v>-</v>
      </c>
      <c r="K37" s="1253" t="str">
        <f t="shared" si="33"/>
        <v>-</v>
      </c>
      <c r="L37" s="1253" t="str">
        <f t="shared" si="34"/>
        <v>-</v>
      </c>
      <c r="M37" s="1253" t="str">
        <f t="shared" si="35"/>
        <v>-</v>
      </c>
      <c r="N37" s="1253" t="str">
        <f t="shared" si="36"/>
        <v>-</v>
      </c>
      <c r="O37" s="1253" t="str">
        <f t="shared" si="37"/>
        <v>-</v>
      </c>
      <c r="P37" s="1253" t="str">
        <f t="shared" si="38"/>
        <v>-</v>
      </c>
      <c r="Q37" s="1253" t="str">
        <f t="shared" si="39"/>
        <v>-</v>
      </c>
      <c r="R37" s="1253" t="str">
        <f t="shared" si="40"/>
        <v>-</v>
      </c>
      <c r="S37" s="1254" t="str">
        <f t="shared" si="41"/>
        <v>-</v>
      </c>
      <c r="T37" s="1252"/>
      <c r="Y37" s="1253" t="str">
        <f t="shared" si="42"/>
        <v>-</v>
      </c>
      <c r="Z37" s="1253" t="str">
        <f t="shared" si="42"/>
        <v>-</v>
      </c>
      <c r="AA37" s="1253" t="str">
        <f t="shared" si="42"/>
        <v>-</v>
      </c>
      <c r="AB37" s="1253" t="str">
        <f t="shared" si="42"/>
        <v>-</v>
      </c>
      <c r="AC37" s="1253" t="str">
        <f t="shared" si="42"/>
        <v>-</v>
      </c>
      <c r="AD37" s="1253" t="str">
        <f t="shared" si="42"/>
        <v>-</v>
      </c>
      <c r="AE37" s="1253" t="str">
        <f t="shared" si="42"/>
        <v>-</v>
      </c>
      <c r="AF37" s="1253" t="str">
        <f t="shared" si="42"/>
        <v>-</v>
      </c>
      <c r="AG37" s="1253" t="str">
        <f t="shared" si="42"/>
        <v>-</v>
      </c>
      <c r="AH37" s="1253" t="str">
        <f t="shared" si="42"/>
        <v>-</v>
      </c>
      <c r="AI37" s="1254" t="str">
        <f t="shared" si="42"/>
        <v>-</v>
      </c>
      <c r="AV37" s="1248"/>
      <c r="BL37" s="1247" t="s">
        <v>1961</v>
      </c>
      <c r="BM37" s="1261" t="s">
        <v>1740</v>
      </c>
      <c r="CE37" s="45"/>
      <c r="CF37" s="45"/>
      <c r="CG37" s="45"/>
      <c r="CH37" s="45"/>
      <c r="CI37" s="290"/>
      <c r="CJ37" s="290"/>
      <c r="CK37" s="290"/>
      <c r="CL37" s="290"/>
      <c r="CR37" s="290"/>
    </row>
    <row r="38" spans="7:96" ht="12.5">
      <c r="G38" s="1259" t="s">
        <v>1749</v>
      </c>
      <c r="H38" s="1312"/>
      <c r="I38" s="1253" t="str">
        <f t="shared" si="31"/>
        <v>-</v>
      </c>
      <c r="J38" s="1253" t="str">
        <f t="shared" si="32"/>
        <v>-</v>
      </c>
      <c r="K38" s="1253" t="str">
        <f t="shared" si="33"/>
        <v>-</v>
      </c>
      <c r="L38" s="1253" t="str">
        <f t="shared" si="34"/>
        <v>-</v>
      </c>
      <c r="M38" s="1253" t="str">
        <f t="shared" si="35"/>
        <v>-</v>
      </c>
      <c r="N38" s="1253" t="str">
        <f t="shared" si="36"/>
        <v>-</v>
      </c>
      <c r="O38" s="1253" t="str">
        <f t="shared" si="37"/>
        <v>-</v>
      </c>
      <c r="P38" s="1253" t="str">
        <f t="shared" si="38"/>
        <v>-</v>
      </c>
      <c r="Q38" s="1253" t="str">
        <f t="shared" si="39"/>
        <v>-</v>
      </c>
      <c r="R38" s="1253" t="str">
        <f t="shared" si="40"/>
        <v>-</v>
      </c>
      <c r="S38" s="1254" t="str">
        <f t="shared" si="41"/>
        <v>-</v>
      </c>
      <c r="T38" s="1252"/>
      <c r="Y38" s="1253" t="str">
        <f t="shared" ref="Y38:AI38" si="43">AK70&amp;AK93&amp;AK116&amp;AK143&amp;AK166&amp;AK189&amp;AK212</f>
        <v/>
      </c>
      <c r="Z38" s="1253" t="str">
        <f t="shared" si="43"/>
        <v/>
      </c>
      <c r="AA38" s="1253" t="str">
        <f t="shared" si="43"/>
        <v/>
      </c>
      <c r="AB38" s="1253" t="str">
        <f t="shared" si="43"/>
        <v/>
      </c>
      <c r="AC38" s="1253" t="str">
        <f t="shared" si="43"/>
        <v/>
      </c>
      <c r="AD38" s="1253" t="str">
        <f t="shared" si="43"/>
        <v/>
      </c>
      <c r="AE38" s="1253" t="str">
        <f t="shared" si="43"/>
        <v/>
      </c>
      <c r="AF38" s="1253" t="str">
        <f t="shared" si="43"/>
        <v/>
      </c>
      <c r="AG38" s="1253" t="str">
        <f t="shared" si="43"/>
        <v/>
      </c>
      <c r="AH38" s="1253" t="str">
        <f t="shared" si="43"/>
        <v/>
      </c>
      <c r="AI38" s="1253" t="str">
        <f t="shared" si="43"/>
        <v/>
      </c>
      <c r="AV38" s="1248"/>
      <c r="BM38" s="1261"/>
      <c r="CE38" s="45"/>
      <c r="CF38" s="45"/>
      <c r="CG38" s="45"/>
      <c r="CH38" s="45"/>
      <c r="CI38" s="290"/>
      <c r="CJ38" s="290"/>
      <c r="CK38" s="290"/>
      <c r="CL38" s="290"/>
      <c r="CR38" s="290"/>
    </row>
    <row r="39" spans="7:96" ht="12.5">
      <c r="G39" s="1259"/>
      <c r="H39" s="1308"/>
      <c r="I39" s="1259"/>
      <c r="J39" s="1259"/>
      <c r="K39" s="1259"/>
      <c r="L39" s="1259"/>
      <c r="M39" s="1259"/>
      <c r="N39" s="1259"/>
      <c r="O39" s="1259"/>
      <c r="P39" s="1259"/>
      <c r="Q39" s="1259"/>
      <c r="R39" s="1259"/>
      <c r="S39" s="1260"/>
      <c r="T39" s="1252"/>
      <c r="Y39" s="1259"/>
      <c r="Z39" s="1259"/>
      <c r="AA39" s="1259"/>
      <c r="AB39" s="1259"/>
      <c r="AC39" s="1259"/>
      <c r="AD39" s="1259"/>
      <c r="AE39" s="1259"/>
      <c r="AF39" s="1259"/>
      <c r="AG39" s="1259"/>
      <c r="AH39" s="1259"/>
      <c r="AI39" s="1260"/>
      <c r="AV39" s="1248"/>
      <c r="BL39" s="1247" t="str">
        <f>IF(AX4=0,"C",VLOOKUP(AX4,BL36:BM37,2,FALSE))</f>
        <v>C</v>
      </c>
      <c r="BM39" s="1261"/>
      <c r="CE39" s="45"/>
      <c r="CF39" s="45"/>
      <c r="CG39" s="45"/>
      <c r="CH39" s="45"/>
      <c r="CI39" s="290"/>
      <c r="CJ39" s="290"/>
      <c r="CK39" s="290"/>
      <c r="CL39" s="290"/>
      <c r="CR39" s="290"/>
    </row>
    <row r="40" spans="7:96" ht="12.5">
      <c r="G40" s="1309" t="s">
        <v>1750</v>
      </c>
      <c r="H40" s="1310"/>
      <c r="I40" s="1257"/>
      <c r="J40" s="1257"/>
      <c r="K40" s="1257"/>
      <c r="L40" s="1257"/>
      <c r="M40" s="1257"/>
      <c r="N40" s="1257"/>
      <c r="O40" s="1257"/>
      <c r="P40" s="1257"/>
      <c r="Q40" s="1257"/>
      <c r="R40" s="1257"/>
      <c r="S40" s="1258"/>
      <c r="T40" s="1252"/>
      <c r="Y40" s="1257"/>
      <c r="Z40" s="1257"/>
      <c r="AA40" s="1257"/>
      <c r="AB40" s="1257"/>
      <c r="AC40" s="1257"/>
      <c r="AD40" s="1257"/>
      <c r="AE40" s="1257"/>
      <c r="AF40" s="1257"/>
      <c r="AG40" s="1257"/>
      <c r="AH40" s="1257"/>
      <c r="AI40" s="1258"/>
      <c r="AV40" s="1248"/>
      <c r="CE40" s="45"/>
      <c r="CF40" s="45"/>
      <c r="CG40" s="45"/>
      <c r="CH40" s="45"/>
      <c r="CI40" s="290"/>
      <c r="CJ40" s="290"/>
      <c r="CK40" s="290"/>
      <c r="CL40" s="290"/>
      <c r="CR40" s="290"/>
    </row>
    <row r="41" spans="7:96" ht="12.5">
      <c r="G41" s="2274" t="s">
        <v>1751</v>
      </c>
      <c r="H41" s="2275"/>
      <c r="I41" s="1253" t="str">
        <f t="shared" ref="I41:I42" si="44">IF($X$30="CC","-",Y41)</f>
        <v>-</v>
      </c>
      <c r="J41" s="1253" t="str">
        <f t="shared" ref="J41:J42" si="45">IF($X$30="CC","-",Z41)</f>
        <v>-</v>
      </c>
      <c r="K41" s="1253" t="str">
        <f t="shared" ref="K41:K42" si="46">IF($X$30="CC","-",AA41)</f>
        <v>-</v>
      </c>
      <c r="L41" s="1253" t="str">
        <f t="shared" ref="L41:L42" si="47">IF($X$30="CC","-",AB41)</f>
        <v>-</v>
      </c>
      <c r="M41" s="1253" t="str">
        <f t="shared" ref="M41:M42" si="48">IF($X$30="CC","-",AC41)</f>
        <v>-</v>
      </c>
      <c r="N41" s="1253" t="str">
        <f t="shared" ref="N41:N42" si="49">IF($X$30="CC","-",AD41)</f>
        <v>-</v>
      </c>
      <c r="O41" s="1253" t="str">
        <f t="shared" ref="O41:O42" si="50">IF($X$30="CC","-",AE41)</f>
        <v>-</v>
      </c>
      <c r="P41" s="1253" t="str">
        <f t="shared" ref="P41:P42" si="51">IF($X$30="CC","-",AF41)</f>
        <v>-</v>
      </c>
      <c r="Q41" s="1253" t="str">
        <f t="shared" ref="Q41:Q42" si="52">IF($X$30="CC","-",AG41)</f>
        <v>-</v>
      </c>
      <c r="R41" s="1253" t="str">
        <f t="shared" ref="R41:R42" si="53">IF($X$30="CC","-",AH41)</f>
        <v>-</v>
      </c>
      <c r="S41" s="1254" t="str">
        <f t="shared" ref="S41:S42" si="54">IF($X$30="CC","-",AI41)</f>
        <v>-</v>
      </c>
      <c r="T41" s="1252"/>
      <c r="Y41" s="1253" t="str">
        <f t="shared" ref="Y41:AI42" si="55">IF(SUM(AK68,AK91,AK114,AK141,AK164,AK187,AK210,)=0,"-",SUM(AK68,AK91,AK114,AK141,AK164,AK187,AK210,))</f>
        <v>-</v>
      </c>
      <c r="Z41" s="1253" t="str">
        <f t="shared" si="55"/>
        <v>-</v>
      </c>
      <c r="AA41" s="1253" t="str">
        <f t="shared" si="55"/>
        <v>-</v>
      </c>
      <c r="AB41" s="1253" t="str">
        <f t="shared" si="55"/>
        <v>-</v>
      </c>
      <c r="AC41" s="1253" t="str">
        <f t="shared" si="55"/>
        <v>-</v>
      </c>
      <c r="AD41" s="1253" t="str">
        <f t="shared" si="55"/>
        <v>-</v>
      </c>
      <c r="AE41" s="1253" t="str">
        <f t="shared" si="55"/>
        <v>-</v>
      </c>
      <c r="AF41" s="1253" t="str">
        <f t="shared" si="55"/>
        <v>-</v>
      </c>
      <c r="AG41" s="1253" t="str">
        <f t="shared" si="55"/>
        <v>-</v>
      </c>
      <c r="AH41" s="1253" t="str">
        <f t="shared" si="55"/>
        <v>-</v>
      </c>
      <c r="AI41" s="1254" t="str">
        <f t="shared" si="55"/>
        <v>-</v>
      </c>
      <c r="AV41" s="1248"/>
      <c r="CE41" s="45"/>
      <c r="CF41" s="45"/>
      <c r="CG41" s="45"/>
      <c r="CH41" s="45"/>
      <c r="CI41" s="290"/>
      <c r="CJ41" s="290"/>
      <c r="CK41" s="290"/>
      <c r="CL41" s="290"/>
      <c r="CR41" s="290"/>
    </row>
    <row r="42" spans="7:96">
      <c r="G42" s="2274" t="s">
        <v>1752</v>
      </c>
      <c r="H42" s="2275"/>
      <c r="I42" s="1253" t="str">
        <f t="shared" si="44"/>
        <v>-</v>
      </c>
      <c r="J42" s="1253" t="str">
        <f t="shared" si="45"/>
        <v>-</v>
      </c>
      <c r="K42" s="1253" t="str">
        <f t="shared" si="46"/>
        <v>-</v>
      </c>
      <c r="L42" s="1253" t="str">
        <f t="shared" si="47"/>
        <v>-</v>
      </c>
      <c r="M42" s="1253" t="str">
        <f t="shared" si="48"/>
        <v>-</v>
      </c>
      <c r="N42" s="1253" t="str">
        <f t="shared" si="49"/>
        <v>-</v>
      </c>
      <c r="O42" s="1253" t="str">
        <f t="shared" si="50"/>
        <v>-</v>
      </c>
      <c r="P42" s="1253" t="str">
        <f t="shared" si="51"/>
        <v>-</v>
      </c>
      <c r="Q42" s="1253" t="str">
        <f t="shared" si="52"/>
        <v>-</v>
      </c>
      <c r="R42" s="1253" t="str">
        <f t="shared" si="53"/>
        <v>-</v>
      </c>
      <c r="S42" s="1254" t="str">
        <f t="shared" si="54"/>
        <v>-</v>
      </c>
      <c r="T42" s="1252"/>
      <c r="Y42" s="1269" t="str">
        <f t="shared" si="55"/>
        <v>-</v>
      </c>
      <c r="Z42" s="1269" t="str">
        <f t="shared" si="55"/>
        <v>-</v>
      </c>
      <c r="AA42" s="1269" t="str">
        <f t="shared" si="55"/>
        <v>-</v>
      </c>
      <c r="AB42" s="1269" t="str">
        <f t="shared" si="55"/>
        <v>-</v>
      </c>
      <c r="AC42" s="1269" t="str">
        <f t="shared" si="55"/>
        <v>-</v>
      </c>
      <c r="AD42" s="1269" t="str">
        <f t="shared" si="55"/>
        <v>-</v>
      </c>
      <c r="AE42" s="1269" t="str">
        <f t="shared" si="55"/>
        <v>-</v>
      </c>
      <c r="AF42" s="1269" t="str">
        <f t="shared" si="55"/>
        <v>-</v>
      </c>
      <c r="AG42" s="1269" t="str">
        <f t="shared" si="55"/>
        <v>-</v>
      </c>
      <c r="AH42" s="1269" t="str">
        <f t="shared" si="55"/>
        <v>-</v>
      </c>
      <c r="AI42" s="1270" t="str">
        <f t="shared" si="55"/>
        <v>-</v>
      </c>
      <c r="AV42" s="1248"/>
    </row>
    <row r="43" spans="7:96">
      <c r="G43" s="2296"/>
      <c r="H43" s="2297"/>
      <c r="I43" s="1269"/>
      <c r="J43" s="1269"/>
      <c r="K43" s="1269"/>
      <c r="L43" s="1269"/>
      <c r="M43" s="1269"/>
      <c r="N43" s="1269"/>
      <c r="O43" s="1269"/>
      <c r="P43" s="1269"/>
      <c r="Q43" s="1269"/>
      <c r="R43" s="1269"/>
      <c r="S43" s="1270"/>
      <c r="AV43" s="1248"/>
    </row>
    <row r="44" spans="7:96">
      <c r="AV44" s="1248"/>
    </row>
    <row r="45" spans="7:96">
      <c r="U45" s="2271" t="s">
        <v>1753</v>
      </c>
      <c r="Y45" s="1248">
        <v>1</v>
      </c>
      <c r="Z45" s="1248">
        <v>2</v>
      </c>
      <c r="AA45" s="1248">
        <v>3</v>
      </c>
      <c r="AB45" s="1248">
        <v>4</v>
      </c>
      <c r="AC45" s="1248">
        <v>5</v>
      </c>
      <c r="AD45" s="1248">
        <v>6</v>
      </c>
      <c r="AE45" s="1248">
        <v>7</v>
      </c>
      <c r="AF45" s="1248">
        <v>8</v>
      </c>
      <c r="AG45" s="1248">
        <v>9</v>
      </c>
      <c r="AH45" s="1248">
        <v>10</v>
      </c>
      <c r="AI45" s="1248">
        <v>11</v>
      </c>
      <c r="AK45" s="1319">
        <v>1</v>
      </c>
      <c r="AL45" s="1320">
        <v>2</v>
      </c>
      <c r="AM45" s="1320">
        <v>3</v>
      </c>
      <c r="AN45" s="1320">
        <v>4</v>
      </c>
      <c r="AO45" s="1320">
        <v>5</v>
      </c>
      <c r="AP45" s="1320">
        <v>6</v>
      </c>
      <c r="AQ45" s="1320">
        <v>7</v>
      </c>
      <c r="AR45" s="1320">
        <v>8</v>
      </c>
      <c r="AS45" s="1320">
        <v>9</v>
      </c>
      <c r="AT45" s="1320">
        <v>10</v>
      </c>
      <c r="AU45" s="1321"/>
      <c r="BK45" s="1248"/>
      <c r="BL45" s="1248">
        <v>1</v>
      </c>
      <c r="BM45" s="1248">
        <v>2</v>
      </c>
      <c r="BN45" s="1248">
        <v>3</v>
      </c>
      <c r="BO45" s="1248">
        <v>4</v>
      </c>
      <c r="BP45" s="1248">
        <v>5</v>
      </c>
      <c r="BQ45" s="1248">
        <v>6</v>
      </c>
      <c r="BR45" s="1248">
        <v>7</v>
      </c>
      <c r="BS45" s="1248">
        <v>8</v>
      </c>
      <c r="BT45" s="1248">
        <v>9</v>
      </c>
      <c r="BU45" s="1248">
        <v>1</v>
      </c>
      <c r="BV45" s="1248">
        <v>2</v>
      </c>
      <c r="BW45" s="1248">
        <v>3</v>
      </c>
      <c r="BX45" s="1248">
        <v>4</v>
      </c>
      <c r="BY45" s="1248">
        <v>5</v>
      </c>
      <c r="BZ45" s="1248">
        <v>6</v>
      </c>
      <c r="CA45" s="1248">
        <v>7</v>
      </c>
      <c r="CB45" s="1248">
        <v>8</v>
      </c>
      <c r="CC45" s="1248">
        <v>9</v>
      </c>
    </row>
    <row r="46" spans="7:96" ht="23">
      <c r="U46" s="2271"/>
      <c r="W46" s="1247" t="s">
        <v>746</v>
      </c>
      <c r="X46" s="1249" t="s">
        <v>1754</v>
      </c>
      <c r="Y46" s="1249" t="s">
        <v>406</v>
      </c>
      <c r="Z46" s="1249" t="s">
        <v>764</v>
      </c>
      <c r="AA46" s="1249" t="s">
        <v>797</v>
      </c>
      <c r="AB46" s="1249" t="s">
        <v>1710</v>
      </c>
      <c r="AC46" s="1249" t="s">
        <v>891</v>
      </c>
      <c r="AD46" s="1249" t="s">
        <v>1755</v>
      </c>
      <c r="AE46" s="1249" t="s">
        <v>863</v>
      </c>
      <c r="AF46" s="1249" t="s">
        <v>884</v>
      </c>
      <c r="AG46" s="1249" t="s">
        <v>1756</v>
      </c>
      <c r="AH46" s="1249" t="s">
        <v>1709</v>
      </c>
      <c r="AI46" s="1249" t="s">
        <v>243</v>
      </c>
      <c r="AJ46" s="1249"/>
      <c r="AK46" s="1322" t="str">
        <f t="shared" ref="AK46:AT48" si="56">IF($X$27=$X$23,Y46,"")</f>
        <v/>
      </c>
      <c r="AL46" s="1323" t="str">
        <f t="shared" si="56"/>
        <v/>
      </c>
      <c r="AM46" s="1323" t="str">
        <f t="shared" si="56"/>
        <v/>
      </c>
      <c r="AN46" s="1323" t="str">
        <f t="shared" si="56"/>
        <v/>
      </c>
      <c r="AO46" s="1323" t="str">
        <f t="shared" si="56"/>
        <v/>
      </c>
      <c r="AP46" s="1323" t="str">
        <f t="shared" si="56"/>
        <v/>
      </c>
      <c r="AQ46" s="1323" t="str">
        <f t="shared" si="56"/>
        <v/>
      </c>
      <c r="AR46" s="1323" t="str">
        <f t="shared" si="56"/>
        <v/>
      </c>
      <c r="AS46" s="1323" t="str">
        <f t="shared" si="56"/>
        <v/>
      </c>
      <c r="AT46" s="1323" t="str">
        <f t="shared" si="56"/>
        <v/>
      </c>
      <c r="AU46" s="1324"/>
      <c r="BJ46" s="1247" t="s">
        <v>746</v>
      </c>
      <c r="BK46" s="1249" t="s">
        <v>1754</v>
      </c>
      <c r="BL46" s="1249" t="s">
        <v>406</v>
      </c>
      <c r="BM46" s="1249" t="s">
        <v>852</v>
      </c>
      <c r="BN46" s="1249" t="s">
        <v>403</v>
      </c>
      <c r="BO46" s="1249" t="s">
        <v>405</v>
      </c>
      <c r="BP46" s="1249" t="s">
        <v>764</v>
      </c>
      <c r="BQ46" s="1249" t="s">
        <v>863</v>
      </c>
      <c r="BR46" s="1249" t="s">
        <v>797</v>
      </c>
      <c r="BS46" s="1249" t="s">
        <v>1710</v>
      </c>
      <c r="BT46" s="1249" t="s">
        <v>1822</v>
      </c>
      <c r="BU46" s="1325"/>
      <c r="BV46" s="1325"/>
      <c r="BW46" s="1325"/>
      <c r="BX46" s="1325"/>
      <c r="BY46" s="1325"/>
      <c r="BZ46" s="1325"/>
      <c r="CA46" s="1325"/>
      <c r="CB46" s="1325"/>
      <c r="CC46" s="1325"/>
    </row>
    <row r="47" spans="7:96">
      <c r="U47" s="2271"/>
      <c r="W47" s="1271" t="s">
        <v>1735</v>
      </c>
      <c r="X47" s="1249"/>
      <c r="Y47" s="1272" t="s">
        <v>1757</v>
      </c>
      <c r="Z47" s="1272" t="s">
        <v>1757</v>
      </c>
      <c r="AA47" s="1272" t="s">
        <v>1757</v>
      </c>
      <c r="AB47" s="1272" t="s">
        <v>1757</v>
      </c>
      <c r="AC47" s="1272" t="s">
        <v>1757</v>
      </c>
      <c r="AD47" s="1272" t="s">
        <v>1757</v>
      </c>
      <c r="AE47" s="1272" t="s">
        <v>1757</v>
      </c>
      <c r="AF47" s="1272" t="s">
        <v>1757</v>
      </c>
      <c r="AG47" s="1272" t="s">
        <v>1757</v>
      </c>
      <c r="AH47" s="1272" t="s">
        <v>1757</v>
      </c>
      <c r="AI47" s="1272" t="s">
        <v>243</v>
      </c>
      <c r="AJ47" s="1249"/>
      <c r="AK47" s="1322" t="str">
        <f t="shared" si="56"/>
        <v/>
      </c>
      <c r="AL47" s="1323" t="str">
        <f t="shared" si="56"/>
        <v/>
      </c>
      <c r="AM47" s="1323" t="str">
        <f t="shared" si="56"/>
        <v/>
      </c>
      <c r="AN47" s="1323" t="str">
        <f t="shared" si="56"/>
        <v/>
      </c>
      <c r="AO47" s="1323" t="str">
        <f t="shared" si="56"/>
        <v/>
      </c>
      <c r="AP47" s="1323" t="str">
        <f t="shared" si="56"/>
        <v/>
      </c>
      <c r="AQ47" s="1323" t="str">
        <f t="shared" si="56"/>
        <v/>
      </c>
      <c r="AR47" s="1323" t="str">
        <f t="shared" si="56"/>
        <v/>
      </c>
      <c r="AS47" s="1323" t="str">
        <f t="shared" si="56"/>
        <v/>
      </c>
      <c r="AT47" s="1323" t="str">
        <f t="shared" si="56"/>
        <v/>
      </c>
      <c r="AU47" s="1324"/>
      <c r="BI47" s="2266" t="s">
        <v>1739</v>
      </c>
      <c r="BJ47" s="1346" t="s">
        <v>1956</v>
      </c>
      <c r="BK47" s="1274"/>
      <c r="BL47" s="1304">
        <v>2</v>
      </c>
      <c r="BM47" s="1304">
        <v>2</v>
      </c>
      <c r="BN47" s="1304">
        <v>2</v>
      </c>
      <c r="BO47" s="1304">
        <v>2</v>
      </c>
      <c r="BP47" s="1304">
        <v>1</v>
      </c>
      <c r="BQ47" s="1304">
        <v>1</v>
      </c>
      <c r="BR47" s="1304">
        <v>1</v>
      </c>
      <c r="BS47" s="1304">
        <v>1</v>
      </c>
      <c r="BT47" s="1305">
        <v>1</v>
      </c>
      <c r="BU47" s="1325">
        <f t="shared" ref="BU47:CC47" si="57">IF($BL$39=$BI$47,BL47,0)</f>
        <v>0</v>
      </c>
      <c r="BV47" s="1325">
        <f t="shared" si="57"/>
        <v>0</v>
      </c>
      <c r="BW47" s="1325">
        <f t="shared" si="57"/>
        <v>0</v>
      </c>
      <c r="BX47" s="1325">
        <f t="shared" si="57"/>
        <v>0</v>
      </c>
      <c r="BY47" s="1325">
        <f t="shared" si="57"/>
        <v>0</v>
      </c>
      <c r="BZ47" s="1325">
        <f t="shared" si="57"/>
        <v>0</v>
      </c>
      <c r="CA47" s="1325">
        <f t="shared" si="57"/>
        <v>0</v>
      </c>
      <c r="CB47" s="1325">
        <f t="shared" si="57"/>
        <v>0</v>
      </c>
      <c r="CC47" s="1325">
        <f t="shared" si="57"/>
        <v>0</v>
      </c>
    </row>
    <row r="48" spans="7:96">
      <c r="U48" s="2271"/>
      <c r="W48" s="1271" t="s">
        <v>1737</v>
      </c>
      <c r="X48" s="1249"/>
      <c r="Y48" s="1249" t="s">
        <v>1758</v>
      </c>
      <c r="Z48" s="1249" t="s">
        <v>1758</v>
      </c>
      <c r="AA48" s="1249" t="s">
        <v>1758</v>
      </c>
      <c r="AB48" s="1249" t="s">
        <v>1758</v>
      </c>
      <c r="AC48" s="1249" t="s">
        <v>1758</v>
      </c>
      <c r="AD48" s="1249" t="s">
        <v>1758</v>
      </c>
      <c r="AE48" s="1249" t="s">
        <v>1758</v>
      </c>
      <c r="AF48" s="1249" t="s">
        <v>1758</v>
      </c>
      <c r="AG48" s="1249" t="s">
        <v>1758</v>
      </c>
      <c r="AH48" s="1249" t="s">
        <v>1758</v>
      </c>
      <c r="AI48" s="1249" t="s">
        <v>243</v>
      </c>
      <c r="AJ48" s="1249"/>
      <c r="AK48" s="1322" t="str">
        <f t="shared" si="56"/>
        <v/>
      </c>
      <c r="AL48" s="1323" t="str">
        <f t="shared" si="56"/>
        <v/>
      </c>
      <c r="AM48" s="1323" t="str">
        <f t="shared" si="56"/>
        <v/>
      </c>
      <c r="AN48" s="1323" t="str">
        <f t="shared" si="56"/>
        <v/>
      </c>
      <c r="AO48" s="1323" t="str">
        <f t="shared" si="56"/>
        <v/>
      </c>
      <c r="AP48" s="1323" t="str">
        <f t="shared" si="56"/>
        <v/>
      </c>
      <c r="AQ48" s="1323" t="str">
        <f t="shared" si="56"/>
        <v/>
      </c>
      <c r="AR48" s="1323" t="str">
        <f t="shared" si="56"/>
        <v/>
      </c>
      <c r="AS48" s="1323" t="str">
        <f t="shared" si="56"/>
        <v/>
      </c>
      <c r="AT48" s="1323" t="str">
        <f t="shared" si="56"/>
        <v/>
      </c>
      <c r="AU48" s="1324"/>
      <c r="BI48" s="2267"/>
      <c r="BJ48" s="1347"/>
      <c r="BK48" s="1249"/>
      <c r="BL48" s="1249" t="s">
        <v>1957</v>
      </c>
      <c r="BM48" s="1249" t="s">
        <v>1957</v>
      </c>
      <c r="BN48" s="1249" t="s">
        <v>1957</v>
      </c>
      <c r="BO48" s="1249" t="s">
        <v>1957</v>
      </c>
      <c r="BP48" s="1249" t="s">
        <v>1957</v>
      </c>
      <c r="BQ48" s="1249" t="s">
        <v>1957</v>
      </c>
      <c r="BR48" s="1249" t="s">
        <v>1957</v>
      </c>
      <c r="BS48" s="1249" t="s">
        <v>1957</v>
      </c>
      <c r="BT48" s="1276" t="s">
        <v>1957</v>
      </c>
      <c r="BU48" s="1325" t="str">
        <f t="shared" ref="BU48:CC48" si="58">IF($BL$39=$BI$47,BL48,"")</f>
        <v/>
      </c>
      <c r="BV48" s="1325" t="str">
        <f t="shared" si="58"/>
        <v/>
      </c>
      <c r="BW48" s="1325" t="str">
        <f t="shared" si="58"/>
        <v/>
      </c>
      <c r="BX48" s="1325" t="str">
        <f t="shared" si="58"/>
        <v/>
      </c>
      <c r="BY48" s="1325" t="str">
        <f t="shared" si="58"/>
        <v/>
      </c>
      <c r="BZ48" s="1325" t="str">
        <f t="shared" si="58"/>
        <v/>
      </c>
      <c r="CA48" s="1325" t="str">
        <f t="shared" si="58"/>
        <v/>
      </c>
      <c r="CB48" s="1325" t="str">
        <f t="shared" si="58"/>
        <v/>
      </c>
      <c r="CC48" s="1325" t="str">
        <f t="shared" si="58"/>
        <v/>
      </c>
    </row>
    <row r="49" spans="21:81">
      <c r="U49" s="2271"/>
      <c r="V49" s="2263" t="s">
        <v>1759</v>
      </c>
      <c r="W49" s="1273" t="s">
        <v>1738</v>
      </c>
      <c r="X49" s="1274"/>
      <c r="Y49" s="1274"/>
      <c r="Z49" s="1274"/>
      <c r="AA49" s="1274"/>
      <c r="AB49" s="1274"/>
      <c r="AC49" s="1274"/>
      <c r="AD49" s="1274"/>
      <c r="AE49" s="1274"/>
      <c r="AF49" s="1274"/>
      <c r="AG49" s="1274"/>
      <c r="AH49" s="1274"/>
      <c r="AI49" s="1275"/>
      <c r="AJ49" s="1249"/>
      <c r="AK49" s="1325"/>
      <c r="AL49" s="1326"/>
      <c r="AM49" s="1326"/>
      <c r="AN49" s="1326"/>
      <c r="AO49" s="1326"/>
      <c r="AP49" s="1326"/>
      <c r="AQ49" s="1326"/>
      <c r="AR49" s="1326"/>
      <c r="AS49" s="1326"/>
      <c r="AT49" s="1326"/>
      <c r="AU49" s="1324"/>
      <c r="BI49" s="2267"/>
      <c r="BJ49" s="1348" t="s">
        <v>1738</v>
      </c>
      <c r="BK49" s="1274"/>
      <c r="BL49" s="1339"/>
      <c r="BM49" s="1339"/>
      <c r="BN49" s="1339"/>
      <c r="BO49" s="1339"/>
      <c r="BP49" s="1339"/>
      <c r="BQ49" s="1339"/>
      <c r="BR49" s="1339"/>
      <c r="BS49" s="1339"/>
      <c r="BT49" s="1340"/>
    </row>
    <row r="50" spans="21:81">
      <c r="U50" s="2271"/>
      <c r="V50" s="2264"/>
      <c r="W50" s="1247" t="s">
        <v>179</v>
      </c>
      <c r="X50" s="1249"/>
      <c r="Y50" s="1249" t="s">
        <v>1760</v>
      </c>
      <c r="Z50" s="1249" t="s">
        <v>1761</v>
      </c>
      <c r="AA50" s="1249" t="s">
        <v>1762</v>
      </c>
      <c r="AB50" s="1249" t="s">
        <v>1763</v>
      </c>
      <c r="AC50" s="1249" t="s">
        <v>1764</v>
      </c>
      <c r="AD50" s="1249" t="s">
        <v>1765</v>
      </c>
      <c r="AE50" s="1249" t="s">
        <v>1766</v>
      </c>
      <c r="AF50" s="1249" t="s">
        <v>1767</v>
      </c>
      <c r="AG50" s="1249" t="s">
        <v>1768</v>
      </c>
      <c r="AH50" s="1249" t="s">
        <v>1769</v>
      </c>
      <c r="AI50" s="1276" t="s">
        <v>243</v>
      </c>
      <c r="AJ50" s="1249"/>
      <c r="AK50" s="1325" t="str">
        <f t="shared" ref="AK50:AT50" si="59">IF($X$30=$V$49,Y50,"")</f>
        <v/>
      </c>
      <c r="AL50" s="1326" t="str">
        <f t="shared" si="59"/>
        <v/>
      </c>
      <c r="AM50" s="1326" t="str">
        <f t="shared" si="59"/>
        <v/>
      </c>
      <c r="AN50" s="1326" t="str">
        <f t="shared" si="59"/>
        <v/>
      </c>
      <c r="AO50" s="1326" t="str">
        <f t="shared" si="59"/>
        <v/>
      </c>
      <c r="AP50" s="1326" t="str">
        <f t="shared" si="59"/>
        <v/>
      </c>
      <c r="AQ50" s="1326" t="str">
        <f t="shared" si="59"/>
        <v/>
      </c>
      <c r="AR50" s="1326" t="str">
        <f t="shared" si="59"/>
        <v/>
      </c>
      <c r="AS50" s="1326" t="str">
        <f t="shared" si="59"/>
        <v/>
      </c>
      <c r="AT50" s="1326" t="str">
        <f t="shared" si="59"/>
        <v/>
      </c>
      <c r="AU50" s="1324"/>
      <c r="BI50" s="2267"/>
      <c r="BJ50" s="1317" t="s">
        <v>179</v>
      </c>
      <c r="BK50" s="1249"/>
      <c r="BL50" s="1341" t="s">
        <v>1922</v>
      </c>
      <c r="BM50" s="1341" t="s">
        <v>1926</v>
      </c>
      <c r="BN50" s="1341" t="s">
        <v>1928</v>
      </c>
      <c r="BO50" s="1341" t="s">
        <v>1932</v>
      </c>
      <c r="BP50" s="1341" t="s">
        <v>1936</v>
      </c>
      <c r="BQ50" s="1341" t="s">
        <v>1940</v>
      </c>
      <c r="BR50" s="1341" t="s">
        <v>1944</v>
      </c>
      <c r="BS50" s="1341" t="s">
        <v>1948</v>
      </c>
      <c r="BT50" s="1342" t="s">
        <v>1952</v>
      </c>
      <c r="BU50" s="1325" t="str">
        <f t="shared" ref="BU50:CC50" si="60">IF($BL$39=$BI$47,BL50,"")</f>
        <v/>
      </c>
      <c r="BV50" s="1325" t="str">
        <f t="shared" si="60"/>
        <v/>
      </c>
      <c r="BW50" s="1325" t="str">
        <f t="shared" si="60"/>
        <v/>
      </c>
      <c r="BX50" s="1325" t="str">
        <f t="shared" si="60"/>
        <v/>
      </c>
      <c r="BY50" s="1325" t="str">
        <f t="shared" si="60"/>
        <v/>
      </c>
      <c r="BZ50" s="1325" t="str">
        <f t="shared" si="60"/>
        <v/>
      </c>
      <c r="CA50" s="1325" t="str">
        <f t="shared" si="60"/>
        <v/>
      </c>
      <c r="CB50" s="1325" t="str">
        <f t="shared" si="60"/>
        <v/>
      </c>
      <c r="CC50" s="1325" t="str">
        <f t="shared" si="60"/>
        <v/>
      </c>
    </row>
    <row r="51" spans="21:81">
      <c r="U51" s="2271"/>
      <c r="V51" s="2264"/>
      <c r="W51" s="1247" t="s">
        <v>1914</v>
      </c>
      <c r="X51" s="1248" t="s">
        <v>6</v>
      </c>
      <c r="Y51" s="1277">
        <v>2.63</v>
      </c>
      <c r="Z51" s="1277">
        <v>2.5</v>
      </c>
      <c r="AA51" s="1277">
        <v>2.6</v>
      </c>
      <c r="AB51" s="1277">
        <v>2.7</v>
      </c>
      <c r="AC51" s="1277">
        <v>2.63</v>
      </c>
      <c r="AD51" s="1277">
        <v>2.5</v>
      </c>
      <c r="AE51" s="1277">
        <v>2.65</v>
      </c>
      <c r="AF51" s="1277">
        <v>2.65</v>
      </c>
      <c r="AG51" s="1277">
        <v>2.64</v>
      </c>
      <c r="AH51" s="1277">
        <v>2.73</v>
      </c>
      <c r="AI51" s="1278" t="s">
        <v>243</v>
      </c>
      <c r="AJ51" s="1279"/>
      <c r="AK51" s="1325">
        <f t="shared" ref="AK51:AT53" si="61">IF($X$30=$V$49,Y51,0)</f>
        <v>0</v>
      </c>
      <c r="AL51" s="1326">
        <f t="shared" si="61"/>
        <v>0</v>
      </c>
      <c r="AM51" s="1326">
        <f t="shared" si="61"/>
        <v>0</v>
      </c>
      <c r="AN51" s="1326">
        <f t="shared" si="61"/>
        <v>0</v>
      </c>
      <c r="AO51" s="1326">
        <f t="shared" si="61"/>
        <v>0</v>
      </c>
      <c r="AP51" s="1326">
        <f t="shared" si="61"/>
        <v>0</v>
      </c>
      <c r="AQ51" s="1326">
        <f t="shared" si="61"/>
        <v>0</v>
      </c>
      <c r="AR51" s="1326">
        <f t="shared" si="61"/>
        <v>0</v>
      </c>
      <c r="AS51" s="1326">
        <f t="shared" si="61"/>
        <v>0</v>
      </c>
      <c r="AT51" s="1326">
        <f t="shared" si="61"/>
        <v>0</v>
      </c>
      <c r="AU51" s="1324"/>
      <c r="AV51" s="1248"/>
      <c r="BI51" s="2267"/>
      <c r="BJ51" s="1317" t="s">
        <v>479</v>
      </c>
      <c r="BK51" s="1248"/>
      <c r="BT51" s="1317"/>
      <c r="BU51" s="1325"/>
      <c r="BV51" s="1325"/>
      <c r="BW51" s="1325"/>
      <c r="BX51" s="1325"/>
      <c r="BY51" s="1325"/>
      <c r="BZ51" s="1325"/>
      <c r="CA51" s="1325"/>
      <c r="CB51" s="1325"/>
      <c r="CC51" s="1325"/>
    </row>
    <row r="52" spans="21:81">
      <c r="U52" s="2271"/>
      <c r="V52" s="2264"/>
      <c r="W52" s="1247" t="s">
        <v>1770</v>
      </c>
      <c r="X52" s="1248" t="s">
        <v>6</v>
      </c>
      <c r="Y52" s="1280">
        <v>0</v>
      </c>
      <c r="Z52" s="1280">
        <v>0</v>
      </c>
      <c r="AA52" s="1280">
        <v>0</v>
      </c>
      <c r="AB52" s="1280">
        <v>0</v>
      </c>
      <c r="AC52" s="1280">
        <v>0</v>
      </c>
      <c r="AD52" s="1280">
        <v>0</v>
      </c>
      <c r="AE52" s="1280">
        <v>0</v>
      </c>
      <c r="AF52" s="1280">
        <v>0</v>
      </c>
      <c r="AG52" s="1280">
        <v>0</v>
      </c>
      <c r="AH52" s="1280">
        <v>0</v>
      </c>
      <c r="AI52" s="1281" t="s">
        <v>243</v>
      </c>
      <c r="AJ52" s="1279"/>
      <c r="AK52" s="1325">
        <f t="shared" si="61"/>
        <v>0</v>
      </c>
      <c r="AL52" s="1326">
        <f t="shared" si="61"/>
        <v>0</v>
      </c>
      <c r="AM52" s="1326">
        <f t="shared" si="61"/>
        <v>0</v>
      </c>
      <c r="AN52" s="1326">
        <f t="shared" si="61"/>
        <v>0</v>
      </c>
      <c r="AO52" s="1326">
        <f t="shared" si="61"/>
        <v>0</v>
      </c>
      <c r="AP52" s="1326">
        <f t="shared" si="61"/>
        <v>0</v>
      </c>
      <c r="AQ52" s="1326">
        <f t="shared" si="61"/>
        <v>0</v>
      </c>
      <c r="AR52" s="1326">
        <f t="shared" si="61"/>
        <v>0</v>
      </c>
      <c r="AS52" s="1326">
        <f t="shared" si="61"/>
        <v>0</v>
      </c>
      <c r="AT52" s="1326">
        <f t="shared" si="61"/>
        <v>0</v>
      </c>
      <c r="AU52" s="1324"/>
      <c r="AV52" s="1248"/>
      <c r="BI52" s="2267"/>
      <c r="BJ52" s="1317" t="s">
        <v>1311</v>
      </c>
      <c r="BK52" s="1248" t="s">
        <v>0</v>
      </c>
      <c r="BL52" s="1247">
        <v>250</v>
      </c>
      <c r="BM52" s="1247">
        <v>260</v>
      </c>
      <c r="BN52" s="1247">
        <v>265</v>
      </c>
      <c r="BO52" s="1247">
        <v>250</v>
      </c>
      <c r="BP52" s="1247">
        <v>283</v>
      </c>
      <c r="BQ52" s="1247">
        <v>290</v>
      </c>
      <c r="BR52" s="1247">
        <v>275</v>
      </c>
      <c r="BS52" s="1247">
        <v>280</v>
      </c>
      <c r="BT52" s="1317">
        <v>309</v>
      </c>
      <c r="BU52" s="1325">
        <f t="shared" ref="BU52:CC54" si="62">IF($BL$39=$BI$47,BL52,0)</f>
        <v>0</v>
      </c>
      <c r="BV52" s="1325">
        <f t="shared" si="62"/>
        <v>0</v>
      </c>
      <c r="BW52" s="1325">
        <f t="shared" si="62"/>
        <v>0</v>
      </c>
      <c r="BX52" s="1325">
        <f t="shared" si="62"/>
        <v>0</v>
      </c>
      <c r="BY52" s="1325">
        <f t="shared" si="62"/>
        <v>0</v>
      </c>
      <c r="BZ52" s="1325">
        <f t="shared" si="62"/>
        <v>0</v>
      </c>
      <c r="CA52" s="1325">
        <f t="shared" si="62"/>
        <v>0</v>
      </c>
      <c r="CB52" s="1325">
        <f t="shared" si="62"/>
        <v>0</v>
      </c>
      <c r="CC52" s="1325">
        <f t="shared" si="62"/>
        <v>0</v>
      </c>
    </row>
    <row r="53" spans="21:81">
      <c r="U53" s="2271"/>
      <c r="V53" s="2264"/>
      <c r="W53" s="1247" t="s">
        <v>1915</v>
      </c>
      <c r="X53" s="1248" t="s">
        <v>6</v>
      </c>
      <c r="Y53" s="1280"/>
      <c r="Z53" s="1280"/>
      <c r="AA53" s="1280">
        <v>2.44</v>
      </c>
      <c r="AB53" s="1280"/>
      <c r="AC53" s="1280">
        <v>2.2999999999999998</v>
      </c>
      <c r="AD53" s="1280">
        <v>2.4500000000000002</v>
      </c>
      <c r="AE53" s="1280"/>
      <c r="AF53" s="1280"/>
      <c r="AG53" s="1280"/>
      <c r="AH53" s="1280"/>
      <c r="AI53" s="1281"/>
      <c r="AJ53" s="1279"/>
      <c r="AK53" s="1325">
        <f t="shared" si="61"/>
        <v>0</v>
      </c>
      <c r="AL53" s="1326">
        <f t="shared" si="61"/>
        <v>0</v>
      </c>
      <c r="AM53" s="1326">
        <f t="shared" si="61"/>
        <v>0</v>
      </c>
      <c r="AN53" s="1326">
        <f t="shared" si="61"/>
        <v>0</v>
      </c>
      <c r="AO53" s="1326">
        <f t="shared" si="61"/>
        <v>0</v>
      </c>
      <c r="AP53" s="1326">
        <f t="shared" si="61"/>
        <v>0</v>
      </c>
      <c r="AQ53" s="1326">
        <f t="shared" si="61"/>
        <v>0</v>
      </c>
      <c r="AR53" s="1326">
        <f t="shared" si="61"/>
        <v>0</v>
      </c>
      <c r="AS53" s="1326">
        <f t="shared" si="61"/>
        <v>0</v>
      </c>
      <c r="AT53" s="1326">
        <f t="shared" si="61"/>
        <v>0</v>
      </c>
      <c r="AU53" s="1324"/>
      <c r="AV53" s="1248"/>
      <c r="BI53" s="2267"/>
      <c r="BJ53" s="1317" t="s">
        <v>446</v>
      </c>
      <c r="BK53" s="1248" t="s">
        <v>0</v>
      </c>
      <c r="BL53" s="1247">
        <v>710</v>
      </c>
      <c r="BM53" s="1247">
        <v>785</v>
      </c>
      <c r="BN53" s="1247">
        <v>789</v>
      </c>
      <c r="BO53" s="1247">
        <v>750</v>
      </c>
      <c r="BP53" s="1247">
        <v>800</v>
      </c>
      <c r="BQ53" s="1247">
        <v>870</v>
      </c>
      <c r="BR53" s="1247">
        <v>790</v>
      </c>
      <c r="BS53" s="1247">
        <v>780</v>
      </c>
      <c r="BT53" s="1317">
        <v>890</v>
      </c>
      <c r="BU53" s="1325">
        <f t="shared" si="62"/>
        <v>0</v>
      </c>
      <c r="BV53" s="1325">
        <f t="shared" si="62"/>
        <v>0</v>
      </c>
      <c r="BW53" s="1325">
        <f t="shared" si="62"/>
        <v>0</v>
      </c>
      <c r="BX53" s="1325">
        <f t="shared" si="62"/>
        <v>0</v>
      </c>
      <c r="BY53" s="1325">
        <f t="shared" si="62"/>
        <v>0</v>
      </c>
      <c r="BZ53" s="1325">
        <f t="shared" si="62"/>
        <v>0</v>
      </c>
      <c r="CA53" s="1325">
        <f t="shared" si="62"/>
        <v>0</v>
      </c>
      <c r="CB53" s="1325">
        <f t="shared" si="62"/>
        <v>0</v>
      </c>
      <c r="CC53" s="1325">
        <f t="shared" si="62"/>
        <v>0</v>
      </c>
    </row>
    <row r="54" spans="21:81">
      <c r="U54" s="2271"/>
      <c r="V54" s="2264"/>
      <c r="W54" s="1247" t="s">
        <v>479</v>
      </c>
      <c r="AI54" s="1282" t="s">
        <v>243</v>
      </c>
      <c r="AK54" s="1325"/>
      <c r="AL54" s="1326"/>
      <c r="AM54" s="1326"/>
      <c r="AN54" s="1326"/>
      <c r="AO54" s="1326"/>
      <c r="AP54" s="1326"/>
      <c r="AQ54" s="1326"/>
      <c r="AR54" s="1326"/>
      <c r="AS54" s="1326"/>
      <c r="AT54" s="1326"/>
      <c r="AU54" s="1324"/>
      <c r="AV54" s="1248"/>
      <c r="BI54" s="2267"/>
      <c r="BJ54" s="1317" t="s">
        <v>1771</v>
      </c>
      <c r="BK54" s="1248" t="s">
        <v>0</v>
      </c>
      <c r="BL54" s="1247">
        <v>195</v>
      </c>
      <c r="BM54" s="1247">
        <v>195</v>
      </c>
      <c r="BN54" s="1247">
        <v>167</v>
      </c>
      <c r="BO54" s="1247">
        <v>188</v>
      </c>
      <c r="BP54" s="1247">
        <v>195</v>
      </c>
      <c r="BQ54" s="1247">
        <v>204</v>
      </c>
      <c r="BR54" s="1247">
        <v>215</v>
      </c>
      <c r="BS54" s="1247">
        <v>220</v>
      </c>
      <c r="BT54" s="1317">
        <v>220</v>
      </c>
      <c r="BU54" s="1325">
        <f t="shared" si="62"/>
        <v>0</v>
      </c>
      <c r="BV54" s="1325">
        <f t="shared" si="62"/>
        <v>0</v>
      </c>
      <c r="BW54" s="1325">
        <f t="shared" si="62"/>
        <v>0</v>
      </c>
      <c r="BX54" s="1325">
        <f t="shared" si="62"/>
        <v>0</v>
      </c>
      <c r="BY54" s="1325">
        <f t="shared" si="62"/>
        <v>0</v>
      </c>
      <c r="BZ54" s="1325">
        <f t="shared" si="62"/>
        <v>0</v>
      </c>
      <c r="CA54" s="1325">
        <f t="shared" si="62"/>
        <v>0</v>
      </c>
      <c r="CB54" s="1325">
        <f t="shared" si="62"/>
        <v>0</v>
      </c>
      <c r="CC54" s="1325">
        <f t="shared" si="62"/>
        <v>0</v>
      </c>
    </row>
    <row r="55" spans="21:81">
      <c r="U55" s="2271"/>
      <c r="V55" s="2264"/>
      <c r="W55" s="1247" t="s">
        <v>1311</v>
      </c>
      <c r="X55" s="1248" t="s">
        <v>0</v>
      </c>
      <c r="Y55" s="1248">
        <v>275</v>
      </c>
      <c r="Z55" s="1248">
        <v>283</v>
      </c>
      <c r="AA55" s="1248">
        <v>260</v>
      </c>
      <c r="AB55" s="1248">
        <v>280</v>
      </c>
      <c r="AC55" s="1248">
        <v>250</v>
      </c>
      <c r="AD55" s="1248">
        <v>278</v>
      </c>
      <c r="AE55" s="1248">
        <v>290</v>
      </c>
      <c r="AF55" s="1248">
        <v>290</v>
      </c>
      <c r="AG55" s="1248">
        <v>265</v>
      </c>
      <c r="AH55" s="1248">
        <v>250</v>
      </c>
      <c r="AI55" s="1282" t="s">
        <v>243</v>
      </c>
      <c r="AK55" s="1325">
        <f t="shared" ref="AK55:AT57" si="63">IF($X$30=$V$49,Y55,0)</f>
        <v>0</v>
      </c>
      <c r="AL55" s="1326">
        <f t="shared" si="63"/>
        <v>0</v>
      </c>
      <c r="AM55" s="1326">
        <f t="shared" si="63"/>
        <v>0</v>
      </c>
      <c r="AN55" s="1326">
        <f t="shared" si="63"/>
        <v>0</v>
      </c>
      <c r="AO55" s="1326">
        <f t="shared" si="63"/>
        <v>0</v>
      </c>
      <c r="AP55" s="1326">
        <f t="shared" si="63"/>
        <v>0</v>
      </c>
      <c r="AQ55" s="1326">
        <f t="shared" si="63"/>
        <v>0</v>
      </c>
      <c r="AR55" s="1326">
        <f t="shared" si="63"/>
        <v>0</v>
      </c>
      <c r="AS55" s="1326">
        <f t="shared" si="63"/>
        <v>0</v>
      </c>
      <c r="AT55" s="1326">
        <f t="shared" si="63"/>
        <v>0</v>
      </c>
      <c r="AU55" s="1324"/>
      <c r="AV55" s="1248"/>
      <c r="BI55" s="2267"/>
      <c r="BJ55" s="1317" t="s">
        <v>179</v>
      </c>
      <c r="BK55" s="1249"/>
      <c r="BL55" s="1341" t="s">
        <v>1922</v>
      </c>
      <c r="BM55" s="1341" t="s">
        <v>1926</v>
      </c>
      <c r="BN55" s="1341" t="s">
        <v>1928</v>
      </c>
      <c r="BO55" s="1341" t="s">
        <v>1932</v>
      </c>
      <c r="BP55" s="1341" t="s">
        <v>1936</v>
      </c>
      <c r="BQ55" s="1341" t="s">
        <v>1940</v>
      </c>
      <c r="BR55" s="1341" t="s">
        <v>1944</v>
      </c>
      <c r="BS55" s="1341" t="s">
        <v>1948</v>
      </c>
      <c r="BT55" s="1342" t="s">
        <v>1952</v>
      </c>
      <c r="BU55" s="1325" t="str">
        <f t="shared" ref="BU55:CC55" si="64">IF($BL$39=$BI$47,BL55,"")</f>
        <v/>
      </c>
      <c r="BV55" s="1325" t="str">
        <f t="shared" si="64"/>
        <v/>
      </c>
      <c r="BW55" s="1325" t="str">
        <f t="shared" si="64"/>
        <v/>
      </c>
      <c r="BX55" s="1325" t="str">
        <f t="shared" si="64"/>
        <v/>
      </c>
      <c r="BY55" s="1325" t="str">
        <f t="shared" si="64"/>
        <v/>
      </c>
      <c r="BZ55" s="1325" t="str">
        <f t="shared" si="64"/>
        <v/>
      </c>
      <c r="CA55" s="1325" t="str">
        <f t="shared" si="64"/>
        <v/>
      </c>
      <c r="CB55" s="1325" t="str">
        <f t="shared" si="64"/>
        <v/>
      </c>
      <c r="CC55" s="1325" t="str">
        <f t="shared" si="64"/>
        <v/>
      </c>
    </row>
    <row r="56" spans="21:81">
      <c r="U56" s="2271"/>
      <c r="V56" s="2264"/>
      <c r="W56" s="1247" t="s">
        <v>446</v>
      </c>
      <c r="X56" s="1248" t="s">
        <v>0</v>
      </c>
      <c r="Y56" s="1248">
        <v>790</v>
      </c>
      <c r="Z56" s="1248">
        <v>800</v>
      </c>
      <c r="AA56" s="1248">
        <v>790</v>
      </c>
      <c r="AB56" s="1248">
        <v>780</v>
      </c>
      <c r="AC56" s="1248">
        <v>710</v>
      </c>
      <c r="AD56" s="1248">
        <v>815</v>
      </c>
      <c r="AE56" s="1248">
        <v>870</v>
      </c>
      <c r="AF56" s="1248">
        <v>870</v>
      </c>
      <c r="AG56" s="1248">
        <v>790</v>
      </c>
      <c r="AH56" s="1248">
        <v>740</v>
      </c>
      <c r="AI56" s="1282" t="s">
        <v>243</v>
      </c>
      <c r="AK56" s="1325">
        <f t="shared" si="63"/>
        <v>0</v>
      </c>
      <c r="AL56" s="1326">
        <f t="shared" si="63"/>
        <v>0</v>
      </c>
      <c r="AM56" s="1326">
        <f t="shared" si="63"/>
        <v>0</v>
      </c>
      <c r="AN56" s="1326">
        <f t="shared" si="63"/>
        <v>0</v>
      </c>
      <c r="AO56" s="1326">
        <f t="shared" si="63"/>
        <v>0</v>
      </c>
      <c r="AP56" s="1326">
        <f t="shared" si="63"/>
        <v>0</v>
      </c>
      <c r="AQ56" s="1326">
        <f t="shared" si="63"/>
        <v>0</v>
      </c>
      <c r="AR56" s="1326">
        <f t="shared" si="63"/>
        <v>0</v>
      </c>
      <c r="AS56" s="1326">
        <f t="shared" si="63"/>
        <v>0</v>
      </c>
      <c r="AT56" s="1326">
        <f t="shared" si="63"/>
        <v>0</v>
      </c>
      <c r="AU56" s="1324"/>
      <c r="AV56" s="1248"/>
      <c r="BI56" s="2267"/>
      <c r="BJ56" s="1317" t="s">
        <v>479</v>
      </c>
      <c r="BK56" s="1248"/>
      <c r="BT56" s="1317"/>
    </row>
    <row r="57" spans="21:81">
      <c r="U57" s="2271"/>
      <c r="V57" s="2264"/>
      <c r="W57" s="1247" t="s">
        <v>1771</v>
      </c>
      <c r="X57" s="1248" t="s">
        <v>0</v>
      </c>
      <c r="Y57" s="1248">
        <v>190</v>
      </c>
      <c r="Z57" s="1248">
        <v>195</v>
      </c>
      <c r="AA57" s="1248">
        <v>198</v>
      </c>
      <c r="AB57" s="1248">
        <v>221</v>
      </c>
      <c r="AC57" s="1248">
        <v>195</v>
      </c>
      <c r="AD57" s="1248">
        <v>244</v>
      </c>
      <c r="AE57" s="1248">
        <v>204</v>
      </c>
      <c r="AF57" s="1248">
        <v>204</v>
      </c>
      <c r="AG57" s="1248">
        <v>170</v>
      </c>
      <c r="AH57" s="1248">
        <v>195</v>
      </c>
      <c r="AI57" s="1282" t="s">
        <v>243</v>
      </c>
      <c r="AK57" s="1325">
        <f t="shared" si="63"/>
        <v>0</v>
      </c>
      <c r="AL57" s="1326">
        <f t="shared" si="63"/>
        <v>0</v>
      </c>
      <c r="AM57" s="1326">
        <f t="shared" si="63"/>
        <v>0</v>
      </c>
      <c r="AN57" s="1326">
        <f t="shared" si="63"/>
        <v>0</v>
      </c>
      <c r="AO57" s="1326">
        <f t="shared" si="63"/>
        <v>0</v>
      </c>
      <c r="AP57" s="1326">
        <f t="shared" si="63"/>
        <v>0</v>
      </c>
      <c r="AQ57" s="1326">
        <f t="shared" si="63"/>
        <v>0</v>
      </c>
      <c r="AR57" s="1326">
        <f t="shared" si="63"/>
        <v>0</v>
      </c>
      <c r="AS57" s="1326">
        <f t="shared" si="63"/>
        <v>0</v>
      </c>
      <c r="AT57" s="1326">
        <f t="shared" si="63"/>
        <v>0</v>
      </c>
      <c r="AU57" s="1324"/>
      <c r="AV57" s="1248"/>
      <c r="BI57" s="2267"/>
      <c r="BJ57" s="1317" t="s">
        <v>1311</v>
      </c>
      <c r="BK57" s="1248" t="s">
        <v>0</v>
      </c>
      <c r="BL57" s="1247">
        <v>250</v>
      </c>
      <c r="BM57" s="1247">
        <v>260</v>
      </c>
      <c r="BN57" s="1247">
        <v>265</v>
      </c>
      <c r="BO57" s="1247">
        <v>250</v>
      </c>
      <c r="BP57" s="1247">
        <v>283</v>
      </c>
      <c r="BQ57" s="1247">
        <v>290</v>
      </c>
      <c r="BR57" s="1247">
        <v>275</v>
      </c>
      <c r="BS57" s="1247">
        <v>280</v>
      </c>
      <c r="BT57" s="1317">
        <v>309</v>
      </c>
      <c r="BU57" s="1325">
        <f t="shared" ref="BU57:CC59" si="65">IF($BL$39=$BI$47,BL57,0)</f>
        <v>0</v>
      </c>
      <c r="BV57" s="1325">
        <f t="shared" si="65"/>
        <v>0</v>
      </c>
      <c r="BW57" s="1325">
        <f t="shared" si="65"/>
        <v>0</v>
      </c>
      <c r="BX57" s="1325">
        <f t="shared" si="65"/>
        <v>0</v>
      </c>
      <c r="BY57" s="1325">
        <f t="shared" si="65"/>
        <v>0</v>
      </c>
      <c r="BZ57" s="1325">
        <f t="shared" si="65"/>
        <v>0</v>
      </c>
      <c r="CA57" s="1325">
        <f t="shared" si="65"/>
        <v>0</v>
      </c>
      <c r="CB57" s="1325">
        <f t="shared" si="65"/>
        <v>0</v>
      </c>
      <c r="CC57" s="1325">
        <f t="shared" si="65"/>
        <v>0</v>
      </c>
    </row>
    <row r="58" spans="21:81">
      <c r="U58" s="2271"/>
      <c r="V58" s="2264"/>
      <c r="W58" s="1283" t="s">
        <v>1745</v>
      </c>
      <c r="AI58" s="1282"/>
      <c r="AK58" s="1325"/>
      <c r="AL58" s="1326"/>
      <c r="AM58" s="1326"/>
      <c r="AN58" s="1326"/>
      <c r="AO58" s="1326"/>
      <c r="AP58" s="1326"/>
      <c r="AQ58" s="1326"/>
      <c r="AR58" s="1326"/>
      <c r="AS58" s="1326"/>
      <c r="AT58" s="1326"/>
      <c r="AU58" s="1324"/>
      <c r="AV58" s="1248"/>
      <c r="BI58" s="2267"/>
      <c r="BJ58" s="1317" t="s">
        <v>446</v>
      </c>
      <c r="BK58" s="1248" t="s">
        <v>0</v>
      </c>
      <c r="BL58" s="1247">
        <v>710</v>
      </c>
      <c r="BM58" s="1247">
        <v>785</v>
      </c>
      <c r="BN58" s="1247">
        <v>789</v>
      </c>
      <c r="BO58" s="1247">
        <v>750</v>
      </c>
      <c r="BP58" s="1247">
        <v>800</v>
      </c>
      <c r="BQ58" s="1247">
        <v>870</v>
      </c>
      <c r="BR58" s="1247">
        <v>790</v>
      </c>
      <c r="BS58" s="1247">
        <v>780</v>
      </c>
      <c r="BT58" s="1317">
        <v>890</v>
      </c>
      <c r="BU58" s="1325">
        <f t="shared" si="65"/>
        <v>0</v>
      </c>
      <c r="BV58" s="1325">
        <f t="shared" si="65"/>
        <v>0</v>
      </c>
      <c r="BW58" s="1325">
        <f t="shared" si="65"/>
        <v>0</v>
      </c>
      <c r="BX58" s="1325">
        <f t="shared" si="65"/>
        <v>0</v>
      </c>
      <c r="BY58" s="1325">
        <f t="shared" si="65"/>
        <v>0</v>
      </c>
      <c r="BZ58" s="1325">
        <f t="shared" si="65"/>
        <v>0</v>
      </c>
      <c r="CA58" s="1325">
        <f t="shared" si="65"/>
        <v>0</v>
      </c>
      <c r="CB58" s="1325">
        <f t="shared" si="65"/>
        <v>0</v>
      </c>
      <c r="CC58" s="1325">
        <f t="shared" si="65"/>
        <v>0</v>
      </c>
    </row>
    <row r="59" spans="21:81">
      <c r="U59" s="2271"/>
      <c r="V59" s="2264"/>
      <c r="W59" s="1247" t="s">
        <v>179</v>
      </c>
      <c r="X59" s="1249"/>
      <c r="Y59" s="1284" t="s">
        <v>1772</v>
      </c>
      <c r="Z59" s="1284" t="s">
        <v>1773</v>
      </c>
      <c r="AA59" s="1284" t="s">
        <v>1774</v>
      </c>
      <c r="AB59" s="1284" t="s">
        <v>1775</v>
      </c>
      <c r="AC59" s="1284" t="s">
        <v>243</v>
      </c>
      <c r="AD59" s="1284" t="s">
        <v>1776</v>
      </c>
      <c r="AE59" s="1284" t="s">
        <v>1777</v>
      </c>
      <c r="AF59" s="1248" t="s">
        <v>243</v>
      </c>
      <c r="AG59" s="1248" t="s">
        <v>243</v>
      </c>
      <c r="AH59" s="1284" t="s">
        <v>1778</v>
      </c>
      <c r="AI59" s="1285" t="s">
        <v>243</v>
      </c>
      <c r="AJ59" s="1249"/>
      <c r="AK59" s="1325" t="str">
        <f t="shared" ref="AK59:AT59" si="66">IF($X$30=$V$49,Y59,"")</f>
        <v/>
      </c>
      <c r="AL59" s="1326" t="str">
        <f t="shared" si="66"/>
        <v/>
      </c>
      <c r="AM59" s="1326" t="str">
        <f t="shared" si="66"/>
        <v/>
      </c>
      <c r="AN59" s="1326" t="str">
        <f t="shared" si="66"/>
        <v/>
      </c>
      <c r="AO59" s="1326" t="str">
        <f t="shared" si="66"/>
        <v/>
      </c>
      <c r="AP59" s="1326" t="str">
        <f t="shared" si="66"/>
        <v/>
      </c>
      <c r="AQ59" s="1326" t="str">
        <f t="shared" si="66"/>
        <v/>
      </c>
      <c r="AR59" s="1326" t="str">
        <f t="shared" si="66"/>
        <v/>
      </c>
      <c r="AS59" s="1326" t="str">
        <f t="shared" si="66"/>
        <v/>
      </c>
      <c r="AT59" s="1326" t="str">
        <f t="shared" si="66"/>
        <v/>
      </c>
      <c r="AU59" s="1324"/>
      <c r="AV59" s="1248"/>
      <c r="BI59" s="2267"/>
      <c r="BJ59" s="1317" t="s">
        <v>1771</v>
      </c>
      <c r="BK59" s="1248" t="s">
        <v>0</v>
      </c>
      <c r="BL59" s="1247">
        <v>195</v>
      </c>
      <c r="BM59" s="1247">
        <v>195</v>
      </c>
      <c r="BN59" s="1247">
        <v>167</v>
      </c>
      <c r="BO59" s="1247">
        <v>188</v>
      </c>
      <c r="BP59" s="1247">
        <v>195</v>
      </c>
      <c r="BQ59" s="1247">
        <v>204</v>
      </c>
      <c r="BR59" s="1247">
        <v>215</v>
      </c>
      <c r="BS59" s="1247">
        <v>220</v>
      </c>
      <c r="BT59" s="1317">
        <v>220</v>
      </c>
      <c r="BU59" s="1325">
        <f t="shared" si="65"/>
        <v>0</v>
      </c>
      <c r="BV59" s="1325">
        <f t="shared" si="65"/>
        <v>0</v>
      </c>
      <c r="BW59" s="1325">
        <f t="shared" si="65"/>
        <v>0</v>
      </c>
      <c r="BX59" s="1325">
        <f t="shared" si="65"/>
        <v>0</v>
      </c>
      <c r="BY59" s="1325">
        <f t="shared" si="65"/>
        <v>0</v>
      </c>
      <c r="BZ59" s="1325">
        <f t="shared" si="65"/>
        <v>0</v>
      </c>
      <c r="CA59" s="1325">
        <f t="shared" si="65"/>
        <v>0</v>
      </c>
      <c r="CB59" s="1325">
        <f t="shared" si="65"/>
        <v>0</v>
      </c>
      <c r="CC59" s="1325">
        <f t="shared" si="65"/>
        <v>0</v>
      </c>
    </row>
    <row r="60" spans="21:81">
      <c r="U60" s="2271"/>
      <c r="V60" s="2264"/>
      <c r="W60" s="1247" t="s">
        <v>479</v>
      </c>
      <c r="Y60" s="1286"/>
      <c r="Z60" s="1286"/>
      <c r="AA60" s="1286"/>
      <c r="AB60" s="1286"/>
      <c r="AC60" s="1286"/>
      <c r="AD60" s="1286"/>
      <c r="AE60" s="1286"/>
      <c r="AF60" s="1286"/>
      <c r="AG60" s="1286"/>
      <c r="AH60" s="1286"/>
      <c r="AI60" s="1287" t="s">
        <v>243</v>
      </c>
      <c r="AK60" s="1325"/>
      <c r="AL60" s="1326"/>
      <c r="AM60" s="1326"/>
      <c r="AN60" s="1326"/>
      <c r="AO60" s="1326"/>
      <c r="AP60" s="1326"/>
      <c r="AQ60" s="1326"/>
      <c r="AR60" s="1326"/>
      <c r="AS60" s="1326"/>
      <c r="AT60" s="1326"/>
      <c r="AU60" s="1324"/>
      <c r="AV60" s="1248"/>
      <c r="BI60" s="2267"/>
      <c r="BJ60" s="1317"/>
      <c r="BK60" s="1248"/>
      <c r="BT60" s="1317"/>
    </row>
    <row r="61" spans="21:81">
      <c r="U61" s="2271"/>
      <c r="V61" s="2264"/>
      <c r="W61" s="1247" t="s">
        <v>1311</v>
      </c>
      <c r="X61" s="1248" t="s">
        <v>0</v>
      </c>
      <c r="Y61" s="1286">
        <v>535</v>
      </c>
      <c r="Z61" s="1286">
        <v>420</v>
      </c>
      <c r="AA61" s="1286">
        <v>540</v>
      </c>
      <c r="AB61" s="1286">
        <v>505</v>
      </c>
      <c r="AC61" s="1286">
        <v>540</v>
      </c>
      <c r="AD61" s="1286">
        <v>550</v>
      </c>
      <c r="AE61" s="1286">
        <v>510</v>
      </c>
      <c r="AF61" s="1286">
        <v>510</v>
      </c>
      <c r="AG61" s="1286">
        <v>540</v>
      </c>
      <c r="AH61" s="1286">
        <v>550</v>
      </c>
      <c r="AI61" s="1287" t="s">
        <v>243</v>
      </c>
      <c r="AK61" s="1325">
        <f t="shared" ref="AK61:AT64" si="67">IF($X$30=$V$49,Y61,0)</f>
        <v>0</v>
      </c>
      <c r="AL61" s="1326">
        <f t="shared" si="67"/>
        <v>0</v>
      </c>
      <c r="AM61" s="1326">
        <f t="shared" si="67"/>
        <v>0</v>
      </c>
      <c r="AN61" s="1326">
        <f t="shared" si="67"/>
        <v>0</v>
      </c>
      <c r="AO61" s="1326">
        <f t="shared" si="67"/>
        <v>0</v>
      </c>
      <c r="AP61" s="1326">
        <f t="shared" si="67"/>
        <v>0</v>
      </c>
      <c r="AQ61" s="1326">
        <f t="shared" si="67"/>
        <v>0</v>
      </c>
      <c r="AR61" s="1326">
        <f t="shared" si="67"/>
        <v>0</v>
      </c>
      <c r="AS61" s="1326">
        <f t="shared" si="67"/>
        <v>0</v>
      </c>
      <c r="AT61" s="1326">
        <f t="shared" si="67"/>
        <v>0</v>
      </c>
      <c r="AU61" s="1324"/>
      <c r="AV61" s="1248"/>
      <c r="BI61" s="2267"/>
      <c r="BJ61" s="1349" t="s">
        <v>1745</v>
      </c>
      <c r="BK61" s="1248"/>
      <c r="BT61" s="1317"/>
    </row>
    <row r="62" spans="21:81">
      <c r="U62" s="2271"/>
      <c r="V62" s="2264"/>
      <c r="W62" s="1247" t="s">
        <v>446</v>
      </c>
      <c r="X62" s="1248" t="s">
        <v>0</v>
      </c>
      <c r="Y62" s="1286">
        <v>700</v>
      </c>
      <c r="Z62" s="1286">
        <v>695</v>
      </c>
      <c r="AA62" s="1286">
        <v>660</v>
      </c>
      <c r="AB62" s="1286">
        <v>700</v>
      </c>
      <c r="AC62" s="1286">
        <v>780</v>
      </c>
      <c r="AD62" s="1286">
        <v>800</v>
      </c>
      <c r="AE62" s="1286">
        <v>650</v>
      </c>
      <c r="AF62" s="1286">
        <v>650</v>
      </c>
      <c r="AG62" s="1286">
        <v>848</v>
      </c>
      <c r="AH62" s="1286">
        <v>780</v>
      </c>
      <c r="AI62" s="1287" t="s">
        <v>243</v>
      </c>
      <c r="AK62" s="1325">
        <f t="shared" si="67"/>
        <v>0</v>
      </c>
      <c r="AL62" s="1326">
        <f t="shared" si="67"/>
        <v>0</v>
      </c>
      <c r="AM62" s="1326">
        <f t="shared" si="67"/>
        <v>0</v>
      </c>
      <c r="AN62" s="1326">
        <f t="shared" si="67"/>
        <v>0</v>
      </c>
      <c r="AO62" s="1326">
        <f t="shared" si="67"/>
        <v>0</v>
      </c>
      <c r="AP62" s="1326">
        <f t="shared" si="67"/>
        <v>0</v>
      </c>
      <c r="AQ62" s="1326">
        <f t="shared" si="67"/>
        <v>0</v>
      </c>
      <c r="AR62" s="1326">
        <f t="shared" si="67"/>
        <v>0</v>
      </c>
      <c r="AS62" s="1326">
        <f t="shared" si="67"/>
        <v>0</v>
      </c>
      <c r="AT62" s="1326">
        <f t="shared" si="67"/>
        <v>0</v>
      </c>
      <c r="AU62" s="1324"/>
      <c r="AV62" s="1248"/>
      <c r="BI62" s="2267"/>
      <c r="BJ62" s="1317" t="s">
        <v>179</v>
      </c>
      <c r="BK62" s="1249"/>
      <c r="BL62" s="1343" t="s">
        <v>1924</v>
      </c>
      <c r="BM62" s="1343" t="s">
        <v>243</v>
      </c>
      <c r="BN62" s="1343" t="s">
        <v>1930</v>
      </c>
      <c r="BO62" s="1343" t="s">
        <v>1934</v>
      </c>
      <c r="BP62" s="1343" t="s">
        <v>1938</v>
      </c>
      <c r="BQ62" s="1343" t="s">
        <v>1942</v>
      </c>
      <c r="BR62" s="1343" t="s">
        <v>1946</v>
      </c>
      <c r="BS62" s="1247" t="s">
        <v>1950</v>
      </c>
      <c r="BT62" s="1317" t="s">
        <v>1954</v>
      </c>
      <c r="BU62" s="1325" t="str">
        <f t="shared" ref="BU62:CC62" si="68">IF($BL$39=$BI$47,BL62,"")</f>
        <v/>
      </c>
      <c r="BV62" s="1325" t="str">
        <f t="shared" si="68"/>
        <v/>
      </c>
      <c r="BW62" s="1325" t="str">
        <f t="shared" si="68"/>
        <v/>
      </c>
      <c r="BX62" s="1325" t="str">
        <f t="shared" si="68"/>
        <v/>
      </c>
      <c r="BY62" s="1325" t="str">
        <f t="shared" si="68"/>
        <v/>
      </c>
      <c r="BZ62" s="1325" t="str">
        <f t="shared" si="68"/>
        <v/>
      </c>
      <c r="CA62" s="1325" t="str">
        <f t="shared" si="68"/>
        <v/>
      </c>
      <c r="CB62" s="1325" t="str">
        <f t="shared" si="68"/>
        <v/>
      </c>
      <c r="CC62" s="1325" t="str">
        <f t="shared" si="68"/>
        <v/>
      </c>
    </row>
    <row r="63" spans="21:81">
      <c r="U63" s="2271"/>
      <c r="V63" s="2264"/>
      <c r="W63" s="1247" t="s">
        <v>1771</v>
      </c>
      <c r="X63" s="1248" t="s">
        <v>0</v>
      </c>
      <c r="Y63" s="1286">
        <v>235</v>
      </c>
      <c r="Z63" s="1286">
        <v>245</v>
      </c>
      <c r="AA63" s="1286">
        <v>290</v>
      </c>
      <c r="AB63" s="1286">
        <v>258</v>
      </c>
      <c r="AC63" s="1286">
        <v>250</v>
      </c>
      <c r="AD63" s="1286">
        <v>285</v>
      </c>
      <c r="AE63" s="1286">
        <v>230</v>
      </c>
      <c r="AF63" s="1286">
        <v>230</v>
      </c>
      <c r="AG63" s="1286">
        <v>320</v>
      </c>
      <c r="AH63" s="1286">
        <v>290</v>
      </c>
      <c r="AI63" s="1287" t="s">
        <v>243</v>
      </c>
      <c r="AK63" s="1325">
        <f t="shared" si="67"/>
        <v>0</v>
      </c>
      <c r="AL63" s="1326">
        <f t="shared" si="67"/>
        <v>0</v>
      </c>
      <c r="AM63" s="1326">
        <f t="shared" si="67"/>
        <v>0</v>
      </c>
      <c r="AN63" s="1326">
        <f t="shared" si="67"/>
        <v>0</v>
      </c>
      <c r="AO63" s="1326">
        <f t="shared" si="67"/>
        <v>0</v>
      </c>
      <c r="AP63" s="1326">
        <f t="shared" si="67"/>
        <v>0</v>
      </c>
      <c r="AQ63" s="1326">
        <f t="shared" si="67"/>
        <v>0</v>
      </c>
      <c r="AR63" s="1326">
        <f t="shared" si="67"/>
        <v>0</v>
      </c>
      <c r="AS63" s="1326">
        <f t="shared" si="67"/>
        <v>0</v>
      </c>
      <c r="AT63" s="1326">
        <f t="shared" si="67"/>
        <v>0</v>
      </c>
      <c r="AU63" s="1324"/>
      <c r="AV63" s="1248"/>
      <c r="BI63" s="2267"/>
      <c r="BJ63" s="1317" t="s">
        <v>479</v>
      </c>
      <c r="BK63" s="1248"/>
      <c r="BL63" s="1344"/>
      <c r="BM63" s="1344"/>
      <c r="BN63" s="1344"/>
      <c r="BO63" s="1344"/>
      <c r="BP63" s="1344"/>
      <c r="BQ63" s="1344"/>
      <c r="BR63" s="1344"/>
      <c r="BS63" s="1344"/>
      <c r="BT63" s="1345"/>
    </row>
    <row r="64" spans="21:81">
      <c r="U64" s="2271"/>
      <c r="V64" s="2264"/>
      <c r="W64" s="1247" t="s">
        <v>1746</v>
      </c>
      <c r="X64" s="1248" t="s">
        <v>212</v>
      </c>
      <c r="Y64" s="1284" t="s">
        <v>243</v>
      </c>
      <c r="Z64" s="1286">
        <v>48</v>
      </c>
      <c r="AA64" s="1284" t="s">
        <v>243</v>
      </c>
      <c r="AB64" s="1284" t="s">
        <v>243</v>
      </c>
      <c r="AC64" s="1284" t="s">
        <v>243</v>
      </c>
      <c r="AD64" s="1286">
        <v>45</v>
      </c>
      <c r="AE64" s="1284" t="s">
        <v>243</v>
      </c>
      <c r="AF64" s="1284" t="s">
        <v>243</v>
      </c>
      <c r="AG64" s="1284" t="s">
        <v>243</v>
      </c>
      <c r="AH64" s="1284" t="s">
        <v>243</v>
      </c>
      <c r="AI64" s="1287" t="s">
        <v>243</v>
      </c>
      <c r="AK64" s="1325">
        <f t="shared" si="67"/>
        <v>0</v>
      </c>
      <c r="AL64" s="1326">
        <f t="shared" si="67"/>
        <v>0</v>
      </c>
      <c r="AM64" s="1326">
        <f t="shared" si="67"/>
        <v>0</v>
      </c>
      <c r="AN64" s="1326">
        <f t="shared" si="67"/>
        <v>0</v>
      </c>
      <c r="AO64" s="1326">
        <f t="shared" si="67"/>
        <v>0</v>
      </c>
      <c r="AP64" s="1326">
        <f t="shared" si="67"/>
        <v>0</v>
      </c>
      <c r="AQ64" s="1326">
        <f t="shared" si="67"/>
        <v>0</v>
      </c>
      <c r="AR64" s="1326">
        <f t="shared" si="67"/>
        <v>0</v>
      </c>
      <c r="AS64" s="1326">
        <f t="shared" si="67"/>
        <v>0</v>
      </c>
      <c r="AT64" s="1326">
        <f t="shared" si="67"/>
        <v>0</v>
      </c>
      <c r="AU64" s="1324"/>
      <c r="AV64" s="1248"/>
      <c r="BI64" s="2267"/>
      <c r="BJ64" s="1317" t="s">
        <v>1311</v>
      </c>
      <c r="BK64" s="1248" t="s">
        <v>0</v>
      </c>
      <c r="BL64" s="1344">
        <v>700</v>
      </c>
      <c r="BM64" s="1344">
        <v>605</v>
      </c>
      <c r="BN64" s="1344">
        <v>700</v>
      </c>
      <c r="BO64" s="1344">
        <v>655</v>
      </c>
      <c r="BP64" s="1344">
        <v>735</v>
      </c>
      <c r="BQ64" s="1344">
        <v>540</v>
      </c>
      <c r="BR64" s="1344">
        <v>650</v>
      </c>
      <c r="BS64" s="1344">
        <v>650</v>
      </c>
      <c r="BT64" s="1345">
        <v>640</v>
      </c>
      <c r="BU64" s="1325">
        <f t="shared" ref="BU64:CC66" si="69">IF($BL$39=$BI$47,BL64,0)</f>
        <v>0</v>
      </c>
      <c r="BV64" s="1325">
        <f t="shared" si="69"/>
        <v>0</v>
      </c>
      <c r="BW64" s="1325">
        <f t="shared" si="69"/>
        <v>0</v>
      </c>
      <c r="BX64" s="1325">
        <f t="shared" si="69"/>
        <v>0</v>
      </c>
      <c r="BY64" s="1325">
        <f t="shared" si="69"/>
        <v>0</v>
      </c>
      <c r="BZ64" s="1325">
        <f t="shared" si="69"/>
        <v>0</v>
      </c>
      <c r="CA64" s="1325">
        <f t="shared" si="69"/>
        <v>0</v>
      </c>
      <c r="CB64" s="1325">
        <f t="shared" si="69"/>
        <v>0</v>
      </c>
      <c r="CC64" s="1325">
        <f t="shared" si="69"/>
        <v>0</v>
      </c>
    </row>
    <row r="65" spans="21:81">
      <c r="U65" s="2271"/>
      <c r="V65" s="2264"/>
      <c r="W65" s="1247" t="s">
        <v>1747</v>
      </c>
      <c r="AI65" s="1282"/>
      <c r="AK65" s="1325"/>
      <c r="AL65" s="1326"/>
      <c r="AM65" s="1326"/>
      <c r="AN65" s="1326"/>
      <c r="AO65" s="1326"/>
      <c r="AP65" s="1326"/>
      <c r="AQ65" s="1326"/>
      <c r="AR65" s="1326"/>
      <c r="AS65" s="1326"/>
      <c r="AT65" s="1326"/>
      <c r="AU65" s="1324"/>
      <c r="AV65" s="1248"/>
      <c r="BI65" s="2267"/>
      <c r="BJ65" s="1317" t="s">
        <v>446</v>
      </c>
      <c r="BK65" s="1248" t="s">
        <v>0</v>
      </c>
      <c r="BL65" s="1344">
        <v>900</v>
      </c>
      <c r="BM65" s="1344">
        <v>835</v>
      </c>
      <c r="BN65" s="1344">
        <v>1018</v>
      </c>
      <c r="BO65" s="1344">
        <v>895</v>
      </c>
      <c r="BP65" s="1344">
        <v>915</v>
      </c>
      <c r="BQ65" s="1344">
        <v>850</v>
      </c>
      <c r="BR65" s="1344">
        <v>830</v>
      </c>
      <c r="BS65" s="1344">
        <v>850</v>
      </c>
      <c r="BT65" s="1345">
        <v>936</v>
      </c>
      <c r="BU65" s="1325">
        <f t="shared" si="69"/>
        <v>0</v>
      </c>
      <c r="BV65" s="1325">
        <f t="shared" si="69"/>
        <v>0</v>
      </c>
      <c r="BW65" s="1325">
        <f t="shared" si="69"/>
        <v>0</v>
      </c>
      <c r="BX65" s="1325">
        <f t="shared" si="69"/>
        <v>0</v>
      </c>
      <c r="BY65" s="1325">
        <f t="shared" si="69"/>
        <v>0</v>
      </c>
      <c r="BZ65" s="1325">
        <f t="shared" si="69"/>
        <v>0</v>
      </c>
      <c r="CA65" s="1325">
        <f t="shared" si="69"/>
        <v>0</v>
      </c>
      <c r="CB65" s="1325">
        <f t="shared" si="69"/>
        <v>0</v>
      </c>
      <c r="CC65" s="1325">
        <f t="shared" si="69"/>
        <v>0</v>
      </c>
    </row>
    <row r="66" spans="21:81">
      <c r="U66" s="2271"/>
      <c r="V66" s="2264"/>
      <c r="W66" s="1247" t="s">
        <v>1779</v>
      </c>
      <c r="X66" s="1248" t="s">
        <v>173</v>
      </c>
      <c r="Y66" s="1248">
        <v>820</v>
      </c>
      <c r="Z66" s="1248">
        <v>820</v>
      </c>
      <c r="AA66" s="1248">
        <v>790</v>
      </c>
      <c r="AB66" s="1248">
        <v>830</v>
      </c>
      <c r="AC66" s="1248">
        <v>780</v>
      </c>
      <c r="AD66" s="1248">
        <v>775</v>
      </c>
      <c r="AE66" s="1248">
        <v>780</v>
      </c>
      <c r="AG66" s="1248">
        <v>860</v>
      </c>
      <c r="AH66" s="1248">
        <v>830</v>
      </c>
      <c r="AI66" s="1282" t="s">
        <v>243</v>
      </c>
      <c r="AK66" s="1325">
        <f t="shared" ref="AK66:AT69" si="70">IF($X$30=$V$49,Y66,0)</f>
        <v>0</v>
      </c>
      <c r="AL66" s="1326">
        <f t="shared" si="70"/>
        <v>0</v>
      </c>
      <c r="AM66" s="1326">
        <f t="shared" si="70"/>
        <v>0</v>
      </c>
      <c r="AN66" s="1326">
        <f t="shared" si="70"/>
        <v>0</v>
      </c>
      <c r="AO66" s="1326">
        <f t="shared" si="70"/>
        <v>0</v>
      </c>
      <c r="AP66" s="1326">
        <f t="shared" si="70"/>
        <v>0</v>
      </c>
      <c r="AQ66" s="1326">
        <f t="shared" si="70"/>
        <v>0</v>
      </c>
      <c r="AR66" s="1326">
        <f t="shared" si="70"/>
        <v>0</v>
      </c>
      <c r="AS66" s="1326">
        <f t="shared" si="70"/>
        <v>0</v>
      </c>
      <c r="AT66" s="1326">
        <f t="shared" si="70"/>
        <v>0</v>
      </c>
      <c r="AU66" s="1324"/>
      <c r="AV66" s="1248"/>
      <c r="BI66" s="2267"/>
      <c r="BJ66" s="1317" t="s">
        <v>1771</v>
      </c>
      <c r="BK66" s="1248" t="s">
        <v>0</v>
      </c>
      <c r="BL66" s="1344">
        <v>350</v>
      </c>
      <c r="BM66" s="1344">
        <v>285</v>
      </c>
      <c r="BN66" s="1344">
        <v>412</v>
      </c>
      <c r="BO66" s="1344">
        <v>345</v>
      </c>
      <c r="BP66" s="1344">
        <v>300</v>
      </c>
      <c r="BQ66" s="1344">
        <v>289</v>
      </c>
      <c r="BR66" s="1344">
        <v>320</v>
      </c>
      <c r="BS66" s="1344">
        <v>298</v>
      </c>
      <c r="BT66" s="1345">
        <v>290</v>
      </c>
      <c r="BU66" s="1325">
        <f t="shared" si="69"/>
        <v>0</v>
      </c>
      <c r="BV66" s="1325">
        <f t="shared" si="69"/>
        <v>0</v>
      </c>
      <c r="BW66" s="1325">
        <f t="shared" si="69"/>
        <v>0</v>
      </c>
      <c r="BX66" s="1325">
        <f t="shared" si="69"/>
        <v>0</v>
      </c>
      <c r="BY66" s="1325">
        <f t="shared" si="69"/>
        <v>0</v>
      </c>
      <c r="BZ66" s="1325">
        <f t="shared" si="69"/>
        <v>0</v>
      </c>
      <c r="CA66" s="1325">
        <f t="shared" si="69"/>
        <v>0</v>
      </c>
      <c r="CB66" s="1325">
        <f t="shared" si="69"/>
        <v>0</v>
      </c>
      <c r="CC66" s="1325">
        <f t="shared" si="69"/>
        <v>0</v>
      </c>
    </row>
    <row r="67" spans="21:81">
      <c r="U67" s="2271"/>
      <c r="V67" s="2264"/>
      <c r="W67" s="1247" t="s">
        <v>123</v>
      </c>
      <c r="X67" s="1248" t="s">
        <v>1246</v>
      </c>
      <c r="Y67" s="1248">
        <v>3.9</v>
      </c>
      <c r="Z67" s="1248">
        <v>3.8</v>
      </c>
      <c r="AA67" s="1248">
        <v>4</v>
      </c>
      <c r="AB67" s="1248">
        <v>3.81</v>
      </c>
      <c r="AC67" s="1248">
        <v>3.6</v>
      </c>
      <c r="AD67" s="1248">
        <v>5.6</v>
      </c>
      <c r="AE67" s="1248">
        <v>3.6</v>
      </c>
      <c r="AG67" s="1248">
        <v>5</v>
      </c>
      <c r="AH67" s="1248">
        <v>3.86</v>
      </c>
      <c r="AI67" s="1282" t="s">
        <v>243</v>
      </c>
      <c r="AK67" s="1325">
        <f t="shared" si="70"/>
        <v>0</v>
      </c>
      <c r="AL67" s="1326">
        <f t="shared" si="70"/>
        <v>0</v>
      </c>
      <c r="AM67" s="1326">
        <f t="shared" si="70"/>
        <v>0</v>
      </c>
      <c r="AN67" s="1326">
        <f t="shared" si="70"/>
        <v>0</v>
      </c>
      <c r="AO67" s="1326">
        <f t="shared" si="70"/>
        <v>0</v>
      </c>
      <c r="AP67" s="1326">
        <f t="shared" si="70"/>
        <v>0</v>
      </c>
      <c r="AQ67" s="1326">
        <f t="shared" si="70"/>
        <v>0</v>
      </c>
      <c r="AR67" s="1326">
        <f t="shared" si="70"/>
        <v>0</v>
      </c>
      <c r="AS67" s="1326">
        <f t="shared" si="70"/>
        <v>0</v>
      </c>
      <c r="AT67" s="1326">
        <f t="shared" si="70"/>
        <v>0</v>
      </c>
      <c r="AU67" s="1324"/>
      <c r="AV67" s="1248"/>
      <c r="BI67" s="2268"/>
      <c r="BJ67" s="1337"/>
      <c r="BK67" s="1268"/>
      <c r="BL67" s="1268"/>
      <c r="BM67" s="1268"/>
      <c r="BN67" s="1268"/>
      <c r="BO67" s="1268"/>
      <c r="BP67" s="1268"/>
      <c r="BQ67" s="1268"/>
      <c r="BR67" s="1268"/>
      <c r="BS67" s="1268"/>
      <c r="BT67" s="1337"/>
    </row>
    <row r="68" spans="21:81">
      <c r="U68" s="2271"/>
      <c r="V68" s="2264"/>
      <c r="W68" s="1271" t="s">
        <v>1780</v>
      </c>
      <c r="Y68" s="1248" t="s">
        <v>243</v>
      </c>
      <c r="Z68" s="1248">
        <v>15</v>
      </c>
      <c r="AA68" s="1248" t="s">
        <v>243</v>
      </c>
      <c r="AB68" s="1248" t="s">
        <v>243</v>
      </c>
      <c r="AC68" s="1248" t="s">
        <v>243</v>
      </c>
      <c r="AD68" s="1248">
        <v>20</v>
      </c>
      <c r="AE68" s="1248" t="s">
        <v>243</v>
      </c>
      <c r="AF68" s="1248" t="s">
        <v>243</v>
      </c>
      <c r="AG68" s="1248" t="s">
        <v>243</v>
      </c>
      <c r="AH68" s="1248" t="s">
        <v>243</v>
      </c>
      <c r="AI68" s="1282" t="s">
        <v>243</v>
      </c>
      <c r="AK68" s="1325">
        <f t="shared" si="70"/>
        <v>0</v>
      </c>
      <c r="AL68" s="1326">
        <f t="shared" si="70"/>
        <v>0</v>
      </c>
      <c r="AM68" s="1326">
        <f t="shared" si="70"/>
        <v>0</v>
      </c>
      <c r="AN68" s="1326">
        <f t="shared" si="70"/>
        <v>0</v>
      </c>
      <c r="AO68" s="1326">
        <f t="shared" si="70"/>
        <v>0</v>
      </c>
      <c r="AP68" s="1326">
        <f t="shared" si="70"/>
        <v>0</v>
      </c>
      <c r="AQ68" s="1326">
        <f t="shared" si="70"/>
        <v>0</v>
      </c>
      <c r="AR68" s="1326">
        <f t="shared" si="70"/>
        <v>0</v>
      </c>
      <c r="AS68" s="1326">
        <f t="shared" si="70"/>
        <v>0</v>
      </c>
      <c r="AT68" s="1326">
        <f t="shared" si="70"/>
        <v>0</v>
      </c>
      <c r="AU68" s="1324"/>
      <c r="AV68" s="1248"/>
      <c r="BI68" s="2266" t="s">
        <v>1740</v>
      </c>
      <c r="BJ68" s="1346" t="s">
        <v>1956</v>
      </c>
      <c r="BK68" s="1274"/>
      <c r="BL68" s="1304">
        <v>2</v>
      </c>
      <c r="BM68" s="1304">
        <v>2</v>
      </c>
      <c r="BN68" s="1304">
        <v>2</v>
      </c>
      <c r="BO68" s="1304">
        <v>2</v>
      </c>
      <c r="BP68" s="1304">
        <v>1</v>
      </c>
      <c r="BQ68" s="1304">
        <v>1</v>
      </c>
      <c r="BR68" s="1304">
        <v>1</v>
      </c>
      <c r="BS68" s="1304">
        <v>1</v>
      </c>
      <c r="BT68" s="1305">
        <v>1</v>
      </c>
      <c r="BU68" s="1325">
        <f t="shared" ref="BU68:CC68" si="71">IF($BL$39=$BI$68,BL68,0)</f>
        <v>0</v>
      </c>
      <c r="BV68" s="1325">
        <f t="shared" si="71"/>
        <v>0</v>
      </c>
      <c r="BW68" s="1325">
        <f t="shared" si="71"/>
        <v>0</v>
      </c>
      <c r="BX68" s="1325">
        <f t="shared" si="71"/>
        <v>0</v>
      </c>
      <c r="BY68" s="1325">
        <f t="shared" si="71"/>
        <v>0</v>
      </c>
      <c r="BZ68" s="1325">
        <f t="shared" si="71"/>
        <v>0</v>
      </c>
      <c r="CA68" s="1325">
        <f t="shared" si="71"/>
        <v>0</v>
      </c>
      <c r="CB68" s="1325">
        <f t="shared" si="71"/>
        <v>0</v>
      </c>
      <c r="CC68" s="1325">
        <f t="shared" si="71"/>
        <v>0</v>
      </c>
    </row>
    <row r="69" spans="21:81">
      <c r="U69" s="2271"/>
      <c r="V69" s="2264"/>
      <c r="W69" s="1271" t="s">
        <v>1752</v>
      </c>
      <c r="Y69" s="1248" t="s">
        <v>243</v>
      </c>
      <c r="Z69" s="1248">
        <v>10</v>
      </c>
      <c r="AA69" s="1248" t="s">
        <v>243</v>
      </c>
      <c r="AB69" s="1248" t="s">
        <v>243</v>
      </c>
      <c r="AC69" s="1248" t="s">
        <v>243</v>
      </c>
      <c r="AD69" s="1248">
        <v>10</v>
      </c>
      <c r="AE69" s="1248" t="s">
        <v>243</v>
      </c>
      <c r="AF69" s="1248" t="s">
        <v>243</v>
      </c>
      <c r="AG69" s="1248" t="s">
        <v>243</v>
      </c>
      <c r="AH69" s="1248" t="s">
        <v>243</v>
      </c>
      <c r="AI69" s="1282" t="s">
        <v>243</v>
      </c>
      <c r="AK69" s="1325">
        <f t="shared" si="70"/>
        <v>0</v>
      </c>
      <c r="AL69" s="1326">
        <f t="shared" si="70"/>
        <v>0</v>
      </c>
      <c r="AM69" s="1326">
        <f t="shared" si="70"/>
        <v>0</v>
      </c>
      <c r="AN69" s="1326">
        <f t="shared" si="70"/>
        <v>0</v>
      </c>
      <c r="AO69" s="1326">
        <f t="shared" si="70"/>
        <v>0</v>
      </c>
      <c r="AP69" s="1326">
        <f t="shared" si="70"/>
        <v>0</v>
      </c>
      <c r="AQ69" s="1326">
        <f t="shared" si="70"/>
        <v>0</v>
      </c>
      <c r="AR69" s="1326">
        <f t="shared" si="70"/>
        <v>0</v>
      </c>
      <c r="AS69" s="1326">
        <f t="shared" si="70"/>
        <v>0</v>
      </c>
      <c r="AT69" s="1326">
        <f t="shared" si="70"/>
        <v>0</v>
      </c>
      <c r="AU69" s="1324"/>
      <c r="AV69" s="1248"/>
      <c r="BI69" s="2267"/>
      <c r="BJ69" s="1347"/>
      <c r="BK69" s="1249"/>
      <c r="BL69" s="1249" t="s">
        <v>1958</v>
      </c>
      <c r="BM69" s="1249" t="s">
        <v>1958</v>
      </c>
      <c r="BN69" s="1249" t="s">
        <v>1958</v>
      </c>
      <c r="BO69" s="1249" t="s">
        <v>1958</v>
      </c>
      <c r="BP69" s="1249" t="s">
        <v>1958</v>
      </c>
      <c r="BQ69" s="1249" t="s">
        <v>1958</v>
      </c>
      <c r="BR69" s="1249" t="s">
        <v>1958</v>
      </c>
      <c r="BS69" s="1249" t="s">
        <v>1958</v>
      </c>
      <c r="BT69" s="1276" t="s">
        <v>1958</v>
      </c>
      <c r="BU69" s="1325" t="str">
        <f t="shared" ref="BU69:CC69" si="72">IF($BL$39=$BI$68,BL69,"")</f>
        <v/>
      </c>
      <c r="BV69" s="1325" t="str">
        <f t="shared" si="72"/>
        <v/>
      </c>
      <c r="BW69" s="1325" t="str">
        <f t="shared" si="72"/>
        <v/>
      </c>
      <c r="BX69" s="1325" t="str">
        <f t="shared" si="72"/>
        <v/>
      </c>
      <c r="BY69" s="1325" t="str">
        <f t="shared" si="72"/>
        <v/>
      </c>
      <c r="BZ69" s="1325" t="str">
        <f t="shared" si="72"/>
        <v/>
      </c>
      <c r="CA69" s="1325" t="str">
        <f t="shared" si="72"/>
        <v/>
      </c>
      <c r="CB69" s="1325" t="str">
        <f t="shared" si="72"/>
        <v/>
      </c>
      <c r="CC69" s="1325" t="str">
        <f t="shared" si="72"/>
        <v/>
      </c>
    </row>
    <row r="70" spans="21:81">
      <c r="U70" s="2271"/>
      <c r="V70" s="2265"/>
      <c r="W70" s="1268" t="s">
        <v>1749</v>
      </c>
      <c r="X70" s="1288"/>
      <c r="Y70" s="1288" t="s">
        <v>1781</v>
      </c>
      <c r="Z70" s="1288" t="s">
        <v>1781</v>
      </c>
      <c r="AA70" s="1288" t="s">
        <v>1781</v>
      </c>
      <c r="AB70" s="1288" t="s">
        <v>1782</v>
      </c>
      <c r="AC70" s="1288" t="s">
        <v>1781</v>
      </c>
      <c r="AD70" s="1288" t="s">
        <v>243</v>
      </c>
      <c r="AE70" s="1288" t="s">
        <v>1781</v>
      </c>
      <c r="AF70" s="1288" t="s">
        <v>1781</v>
      </c>
      <c r="AG70" s="1288" t="s">
        <v>1781</v>
      </c>
      <c r="AH70" s="1288" t="s">
        <v>1781</v>
      </c>
      <c r="AI70" s="1289" t="s">
        <v>243</v>
      </c>
      <c r="AK70" s="1325" t="str">
        <f t="shared" ref="AK70:AT71" si="73">IF($X$30=$V$49,Y70,"")</f>
        <v/>
      </c>
      <c r="AL70" s="1326" t="str">
        <f t="shared" si="73"/>
        <v/>
      </c>
      <c r="AM70" s="1326" t="str">
        <f t="shared" si="73"/>
        <v/>
      </c>
      <c r="AN70" s="1326" t="str">
        <f t="shared" si="73"/>
        <v/>
      </c>
      <c r="AO70" s="1326" t="str">
        <f t="shared" si="73"/>
        <v/>
      </c>
      <c r="AP70" s="1326" t="str">
        <f t="shared" si="73"/>
        <v/>
      </c>
      <c r="AQ70" s="1326" t="str">
        <f t="shared" si="73"/>
        <v/>
      </c>
      <c r="AR70" s="1326" t="str">
        <f t="shared" si="73"/>
        <v/>
      </c>
      <c r="AS70" s="1326" t="str">
        <f t="shared" si="73"/>
        <v/>
      </c>
      <c r="AT70" s="1326" t="str">
        <f t="shared" si="73"/>
        <v/>
      </c>
      <c r="AU70" s="1324"/>
      <c r="AV70" s="1248"/>
      <c r="BI70" s="2267"/>
      <c r="BJ70" s="1348" t="s">
        <v>1738</v>
      </c>
      <c r="BK70" s="1274"/>
      <c r="BL70" s="1251"/>
      <c r="BM70" s="1251"/>
      <c r="BN70" s="1251"/>
      <c r="BO70" s="1251"/>
      <c r="BP70" s="1251"/>
      <c r="BQ70" s="1251"/>
      <c r="BR70" s="1251"/>
      <c r="BS70" s="1251"/>
      <c r="BT70" s="1338"/>
    </row>
    <row r="71" spans="21:81">
      <c r="U71" s="2271"/>
      <c r="AK71" s="1325" t="str">
        <f t="shared" si="73"/>
        <v/>
      </c>
      <c r="AL71" s="1326" t="str">
        <f t="shared" si="73"/>
        <v/>
      </c>
      <c r="AM71" s="1326" t="str">
        <f t="shared" si="73"/>
        <v/>
      </c>
      <c r="AN71" s="1326" t="str">
        <f t="shared" si="73"/>
        <v/>
      </c>
      <c r="AO71" s="1326" t="str">
        <f t="shared" si="73"/>
        <v/>
      </c>
      <c r="AP71" s="1326" t="str">
        <f t="shared" si="73"/>
        <v/>
      </c>
      <c r="AQ71" s="1326" t="str">
        <f t="shared" si="73"/>
        <v/>
      </c>
      <c r="AR71" s="1326" t="str">
        <f t="shared" si="73"/>
        <v/>
      </c>
      <c r="AS71" s="1326" t="str">
        <f t="shared" si="73"/>
        <v/>
      </c>
      <c r="AT71" s="1326" t="str">
        <f t="shared" si="73"/>
        <v/>
      </c>
      <c r="AU71" s="1324"/>
      <c r="AV71" s="1248"/>
      <c r="BI71" s="2267"/>
      <c r="BJ71" s="1317" t="s">
        <v>179</v>
      </c>
      <c r="BK71" s="1249"/>
      <c r="BL71" s="1247" t="s">
        <v>1922</v>
      </c>
      <c r="BM71" s="1247" t="s">
        <v>1927</v>
      </c>
      <c r="BN71" s="1247" t="s">
        <v>1928</v>
      </c>
      <c r="BO71" s="1247" t="s">
        <v>1932</v>
      </c>
      <c r="BP71" s="1247" t="s">
        <v>1936</v>
      </c>
      <c r="BQ71" s="1247" t="s">
        <v>1940</v>
      </c>
      <c r="BR71" s="1247" t="s">
        <v>1944</v>
      </c>
      <c r="BS71" s="1247" t="s">
        <v>1948</v>
      </c>
      <c r="BT71" s="1317" t="s">
        <v>1952</v>
      </c>
      <c r="BU71" s="1325" t="str">
        <f t="shared" ref="BU71:CC71" si="74">IF($BL$39=$BI$68,BL71,"")</f>
        <v/>
      </c>
      <c r="BV71" s="1325" t="str">
        <f t="shared" si="74"/>
        <v/>
      </c>
      <c r="BW71" s="1325" t="str">
        <f t="shared" si="74"/>
        <v/>
      </c>
      <c r="BX71" s="1325" t="str">
        <f t="shared" si="74"/>
        <v/>
      </c>
      <c r="BY71" s="1325" t="str">
        <f t="shared" si="74"/>
        <v/>
      </c>
      <c r="BZ71" s="1325" t="str">
        <f t="shared" si="74"/>
        <v/>
      </c>
      <c r="CA71" s="1325" t="str">
        <f t="shared" si="74"/>
        <v/>
      </c>
      <c r="CB71" s="1325" t="str">
        <f t="shared" si="74"/>
        <v/>
      </c>
      <c r="CC71" s="1325" t="str">
        <f t="shared" si="74"/>
        <v/>
      </c>
    </row>
    <row r="72" spans="21:81">
      <c r="U72" s="2271"/>
      <c r="V72" s="2263" t="s">
        <v>1783</v>
      </c>
      <c r="W72" s="1251" t="s">
        <v>1738</v>
      </c>
      <c r="X72" s="1274"/>
      <c r="Y72" s="1274"/>
      <c r="Z72" s="1274"/>
      <c r="AA72" s="1274"/>
      <c r="AB72" s="1274"/>
      <c r="AC72" s="1274"/>
      <c r="AD72" s="1274"/>
      <c r="AE72" s="1274"/>
      <c r="AF72" s="1274"/>
      <c r="AG72" s="1274"/>
      <c r="AH72" s="1274"/>
      <c r="AI72" s="1275"/>
      <c r="AJ72" s="1249"/>
      <c r="AK72" s="1325"/>
      <c r="AL72" s="1326"/>
      <c r="AM72" s="1326"/>
      <c r="AN72" s="1326"/>
      <c r="AO72" s="1326"/>
      <c r="AP72" s="1326"/>
      <c r="AQ72" s="1326"/>
      <c r="AR72" s="1326"/>
      <c r="AS72" s="1326"/>
      <c r="AT72" s="1326"/>
      <c r="AU72" s="1324"/>
      <c r="AV72" s="1248"/>
      <c r="BI72" s="2267"/>
      <c r="BJ72" s="1317" t="s">
        <v>479</v>
      </c>
      <c r="BK72" s="1248"/>
      <c r="BT72" s="1317"/>
    </row>
    <row r="73" spans="21:81">
      <c r="U73" s="2271"/>
      <c r="V73" s="2264"/>
      <c r="W73" s="1247" t="s">
        <v>179</v>
      </c>
      <c r="X73" s="1249"/>
      <c r="Y73" s="1249" t="s">
        <v>1784</v>
      </c>
      <c r="Z73" s="1249" t="s">
        <v>1785</v>
      </c>
      <c r="AA73" s="1249" t="s">
        <v>1786</v>
      </c>
      <c r="AB73" s="1248" t="s">
        <v>1787</v>
      </c>
      <c r="AC73" s="1249" t="s">
        <v>1788</v>
      </c>
      <c r="AD73" s="1249" t="s">
        <v>1789</v>
      </c>
      <c r="AE73" s="1249" t="s">
        <v>1790</v>
      </c>
      <c r="AF73" s="1249" t="s">
        <v>1791</v>
      </c>
      <c r="AG73" s="1249" t="s">
        <v>1792</v>
      </c>
      <c r="AH73" s="1249" t="s">
        <v>1793</v>
      </c>
      <c r="AI73" s="1276" t="s">
        <v>243</v>
      </c>
      <c r="AJ73" s="1249"/>
      <c r="AK73" s="1325" t="str">
        <f t="shared" ref="AK73:AT73" si="75">IF($X$30=$V$72,Y73,"")</f>
        <v/>
      </c>
      <c r="AL73" s="1326" t="str">
        <f t="shared" si="75"/>
        <v/>
      </c>
      <c r="AM73" s="1326" t="str">
        <f t="shared" si="75"/>
        <v/>
      </c>
      <c r="AN73" s="1326" t="str">
        <f t="shared" si="75"/>
        <v/>
      </c>
      <c r="AO73" s="1326" t="str">
        <f t="shared" si="75"/>
        <v/>
      </c>
      <c r="AP73" s="1326" t="str">
        <f t="shared" si="75"/>
        <v/>
      </c>
      <c r="AQ73" s="1326" t="str">
        <f t="shared" si="75"/>
        <v/>
      </c>
      <c r="AR73" s="1326" t="str">
        <f t="shared" si="75"/>
        <v/>
      </c>
      <c r="AS73" s="1326" t="str">
        <f t="shared" si="75"/>
        <v/>
      </c>
      <c r="AT73" s="1326" t="str">
        <f t="shared" si="75"/>
        <v/>
      </c>
      <c r="AU73" s="1324"/>
      <c r="AV73" s="1248"/>
      <c r="BI73" s="2267"/>
      <c r="BJ73" s="1317" t="s">
        <v>1311</v>
      </c>
      <c r="BK73" s="1248" t="s">
        <v>0</v>
      </c>
      <c r="BL73" s="1247">
        <v>250</v>
      </c>
      <c r="BM73" s="1247">
        <v>260</v>
      </c>
      <c r="BN73" s="1247">
        <v>265</v>
      </c>
      <c r="BO73" s="1247">
        <v>250</v>
      </c>
      <c r="BP73" s="1247">
        <v>283</v>
      </c>
      <c r="BQ73" s="1247">
        <v>290</v>
      </c>
      <c r="BR73" s="1247">
        <v>275</v>
      </c>
      <c r="BS73" s="1247">
        <v>280</v>
      </c>
      <c r="BT73" s="1317">
        <v>309</v>
      </c>
      <c r="BU73" s="1325">
        <f t="shared" ref="BU73:CC75" si="76">IF($BL$39=$BI$68,BL73,0)</f>
        <v>0</v>
      </c>
      <c r="BV73" s="1325">
        <f t="shared" si="76"/>
        <v>0</v>
      </c>
      <c r="BW73" s="1325">
        <f t="shared" si="76"/>
        <v>0</v>
      </c>
      <c r="BX73" s="1325">
        <f t="shared" si="76"/>
        <v>0</v>
      </c>
      <c r="BY73" s="1325">
        <f t="shared" si="76"/>
        <v>0</v>
      </c>
      <c r="BZ73" s="1325">
        <f t="shared" si="76"/>
        <v>0</v>
      </c>
      <c r="CA73" s="1325">
        <f t="shared" si="76"/>
        <v>0</v>
      </c>
      <c r="CB73" s="1325">
        <f t="shared" si="76"/>
        <v>0</v>
      </c>
      <c r="CC73" s="1325">
        <f t="shared" si="76"/>
        <v>0</v>
      </c>
    </row>
    <row r="74" spans="21:81">
      <c r="U74" s="2271"/>
      <c r="V74" s="2264"/>
      <c r="W74" s="1247" t="s">
        <v>1914</v>
      </c>
      <c r="X74" s="1248" t="s">
        <v>6</v>
      </c>
      <c r="Y74" s="1277">
        <v>3.51</v>
      </c>
      <c r="Z74" s="1277">
        <v>3.2</v>
      </c>
      <c r="AA74" s="1277">
        <v>3.5</v>
      </c>
      <c r="AB74" s="1277">
        <v>3.6</v>
      </c>
      <c r="AC74" s="1277">
        <v>3.51</v>
      </c>
      <c r="AD74" s="1290">
        <v>3.45</v>
      </c>
      <c r="AE74" s="1277">
        <v>3.52</v>
      </c>
      <c r="AF74" s="1277">
        <v>3.52</v>
      </c>
      <c r="AG74" s="1277">
        <v>3.37</v>
      </c>
      <c r="AH74" s="1277">
        <v>3.75</v>
      </c>
      <c r="AI74" s="1278" t="s">
        <v>243</v>
      </c>
      <c r="AJ74" s="1279"/>
      <c r="AK74" s="1325">
        <f t="shared" ref="AK74:AT76" si="77">IF($X$30=$V$72,Y74,0)</f>
        <v>0</v>
      </c>
      <c r="AL74" s="1326">
        <f t="shared" si="77"/>
        <v>0</v>
      </c>
      <c r="AM74" s="1326">
        <f t="shared" si="77"/>
        <v>0</v>
      </c>
      <c r="AN74" s="1326">
        <f t="shared" si="77"/>
        <v>0</v>
      </c>
      <c r="AO74" s="1326">
        <f t="shared" si="77"/>
        <v>0</v>
      </c>
      <c r="AP74" s="1326">
        <f t="shared" si="77"/>
        <v>0</v>
      </c>
      <c r="AQ74" s="1326">
        <f t="shared" si="77"/>
        <v>0</v>
      </c>
      <c r="AR74" s="1326">
        <f t="shared" si="77"/>
        <v>0</v>
      </c>
      <c r="AS74" s="1326">
        <f t="shared" si="77"/>
        <v>0</v>
      </c>
      <c r="AT74" s="1326">
        <f t="shared" si="77"/>
        <v>0</v>
      </c>
      <c r="AU74" s="1324"/>
      <c r="AV74" s="1248"/>
      <c r="BI74" s="2267"/>
      <c r="BJ74" s="1317" t="s">
        <v>446</v>
      </c>
      <c r="BK74" s="1248" t="s">
        <v>0</v>
      </c>
      <c r="BL74" s="1247">
        <v>710</v>
      </c>
      <c r="BM74" s="1247">
        <v>785</v>
      </c>
      <c r="BN74" s="1247">
        <v>789</v>
      </c>
      <c r="BO74" s="1247">
        <v>750</v>
      </c>
      <c r="BP74" s="1247">
        <v>800</v>
      </c>
      <c r="BQ74" s="1247">
        <v>870</v>
      </c>
      <c r="BR74" s="1247">
        <v>790</v>
      </c>
      <c r="BS74" s="1247">
        <v>780</v>
      </c>
      <c r="BT74" s="1317">
        <v>890</v>
      </c>
      <c r="BU74" s="1325">
        <f t="shared" si="76"/>
        <v>0</v>
      </c>
      <c r="BV74" s="1325">
        <f t="shared" si="76"/>
        <v>0</v>
      </c>
      <c r="BW74" s="1325">
        <f t="shared" si="76"/>
        <v>0</v>
      </c>
      <c r="BX74" s="1325">
        <f t="shared" si="76"/>
        <v>0</v>
      </c>
      <c r="BY74" s="1325">
        <f t="shared" si="76"/>
        <v>0</v>
      </c>
      <c r="BZ74" s="1325">
        <f t="shared" si="76"/>
        <v>0</v>
      </c>
      <c r="CA74" s="1325">
        <f t="shared" si="76"/>
        <v>0</v>
      </c>
      <c r="CB74" s="1325">
        <f t="shared" si="76"/>
        <v>0</v>
      </c>
      <c r="CC74" s="1325">
        <f t="shared" si="76"/>
        <v>0</v>
      </c>
    </row>
    <row r="75" spans="21:81">
      <c r="U75" s="2271"/>
      <c r="V75" s="2264"/>
      <c r="W75" s="1247" t="s">
        <v>1770</v>
      </c>
      <c r="X75" s="1248" t="s">
        <v>6</v>
      </c>
      <c r="Y75" s="1280">
        <v>0</v>
      </c>
      <c r="Z75" s="1280">
        <v>0</v>
      </c>
      <c r="AA75" s="1280">
        <v>0</v>
      </c>
      <c r="AB75" s="1280">
        <v>0</v>
      </c>
      <c r="AC75" s="1280">
        <v>0</v>
      </c>
      <c r="AD75" s="1280">
        <v>0</v>
      </c>
      <c r="AE75" s="1280">
        <v>0</v>
      </c>
      <c r="AF75" s="1280">
        <v>0</v>
      </c>
      <c r="AG75" s="1280">
        <v>0</v>
      </c>
      <c r="AH75" s="1280">
        <v>0</v>
      </c>
      <c r="AI75" s="1281" t="s">
        <v>243</v>
      </c>
      <c r="AJ75" s="1279"/>
      <c r="AK75" s="1325">
        <f t="shared" si="77"/>
        <v>0</v>
      </c>
      <c r="AL75" s="1326">
        <f t="shared" si="77"/>
        <v>0</v>
      </c>
      <c r="AM75" s="1326">
        <f t="shared" si="77"/>
        <v>0</v>
      </c>
      <c r="AN75" s="1326">
        <f t="shared" si="77"/>
        <v>0</v>
      </c>
      <c r="AO75" s="1326">
        <f t="shared" si="77"/>
        <v>0</v>
      </c>
      <c r="AP75" s="1326">
        <f t="shared" si="77"/>
        <v>0</v>
      </c>
      <c r="AQ75" s="1326">
        <f t="shared" si="77"/>
        <v>0</v>
      </c>
      <c r="AR75" s="1326">
        <f t="shared" si="77"/>
        <v>0</v>
      </c>
      <c r="AS75" s="1326">
        <f t="shared" si="77"/>
        <v>0</v>
      </c>
      <c r="AT75" s="1326">
        <f t="shared" si="77"/>
        <v>0</v>
      </c>
      <c r="AU75" s="1324"/>
      <c r="AV75" s="1248"/>
      <c r="BI75" s="2267"/>
      <c r="BJ75" s="1317" t="s">
        <v>1771</v>
      </c>
      <c r="BK75" s="1248" t="s">
        <v>0</v>
      </c>
      <c r="BL75" s="1247">
        <v>195</v>
      </c>
      <c r="BM75" s="1247">
        <v>195</v>
      </c>
      <c r="BN75" s="1247">
        <v>167</v>
      </c>
      <c r="BO75" s="1247">
        <v>188</v>
      </c>
      <c r="BP75" s="1247">
        <v>195</v>
      </c>
      <c r="BQ75" s="1247">
        <v>204</v>
      </c>
      <c r="BR75" s="1247">
        <v>215</v>
      </c>
      <c r="BS75" s="1247">
        <v>220</v>
      </c>
      <c r="BT75" s="1317">
        <v>220</v>
      </c>
      <c r="BU75" s="1325">
        <f t="shared" si="76"/>
        <v>0</v>
      </c>
      <c r="BV75" s="1325">
        <f t="shared" si="76"/>
        <v>0</v>
      </c>
      <c r="BW75" s="1325">
        <f t="shared" si="76"/>
        <v>0</v>
      </c>
      <c r="BX75" s="1325">
        <f t="shared" si="76"/>
        <v>0</v>
      </c>
      <c r="BY75" s="1325">
        <f t="shared" si="76"/>
        <v>0</v>
      </c>
      <c r="BZ75" s="1325">
        <f t="shared" si="76"/>
        <v>0</v>
      </c>
      <c r="CA75" s="1325">
        <f t="shared" si="76"/>
        <v>0</v>
      </c>
      <c r="CB75" s="1325">
        <f t="shared" si="76"/>
        <v>0</v>
      </c>
      <c r="CC75" s="1325">
        <f t="shared" si="76"/>
        <v>0</v>
      </c>
    </row>
    <row r="76" spans="21:81">
      <c r="U76" s="2271"/>
      <c r="V76" s="2264"/>
      <c r="W76" s="1247" t="s">
        <v>1915</v>
      </c>
      <c r="X76" s="1248" t="s">
        <v>6</v>
      </c>
      <c r="Y76" s="1280"/>
      <c r="Z76" s="1280"/>
      <c r="AA76" s="1280">
        <v>3.29</v>
      </c>
      <c r="AB76" s="1280"/>
      <c r="AC76" s="1280">
        <v>3.08</v>
      </c>
      <c r="AD76" s="1280">
        <v>3.38</v>
      </c>
      <c r="AE76" s="1280"/>
      <c r="AF76" s="1280"/>
      <c r="AG76" s="1280"/>
      <c r="AH76" s="1280"/>
      <c r="AI76" s="1281"/>
      <c r="AJ76" s="1279"/>
      <c r="AK76" s="1325">
        <f t="shared" si="77"/>
        <v>0</v>
      </c>
      <c r="AL76" s="1326">
        <f t="shared" si="77"/>
        <v>0</v>
      </c>
      <c r="AM76" s="1326">
        <f t="shared" si="77"/>
        <v>0</v>
      </c>
      <c r="AN76" s="1326">
        <f t="shared" si="77"/>
        <v>0</v>
      </c>
      <c r="AO76" s="1326">
        <f t="shared" si="77"/>
        <v>0</v>
      </c>
      <c r="AP76" s="1326">
        <f t="shared" si="77"/>
        <v>0</v>
      </c>
      <c r="AQ76" s="1326">
        <f t="shared" si="77"/>
        <v>0</v>
      </c>
      <c r="AR76" s="1326">
        <f t="shared" si="77"/>
        <v>0</v>
      </c>
      <c r="AS76" s="1326">
        <f t="shared" si="77"/>
        <v>0</v>
      </c>
      <c r="AT76" s="1326">
        <f t="shared" si="77"/>
        <v>0</v>
      </c>
      <c r="AU76" s="1324"/>
      <c r="AV76" s="1248"/>
      <c r="BI76" s="2267"/>
      <c r="BJ76" s="1349" t="s">
        <v>1738</v>
      </c>
      <c r="BK76" s="1249"/>
      <c r="BT76" s="1317"/>
    </row>
    <row r="77" spans="21:81">
      <c r="U77" s="2271"/>
      <c r="V77" s="2264"/>
      <c r="W77" s="1247" t="s">
        <v>479</v>
      </c>
      <c r="AI77" s="1282"/>
      <c r="AK77" s="1325"/>
      <c r="AL77" s="1326"/>
      <c r="AM77" s="1326"/>
      <c r="AN77" s="1326"/>
      <c r="AO77" s="1326"/>
      <c r="AP77" s="1326"/>
      <c r="AQ77" s="1326"/>
      <c r="AR77" s="1326"/>
      <c r="AS77" s="1326"/>
      <c r="AT77" s="1326"/>
      <c r="AU77" s="1324"/>
      <c r="AV77" s="1248"/>
      <c r="BI77" s="2267"/>
      <c r="BJ77" s="1317" t="s">
        <v>179</v>
      </c>
      <c r="BK77" s="1249"/>
      <c r="BL77" s="1247" t="s">
        <v>1923</v>
      </c>
      <c r="BM77" s="1247" t="s">
        <v>1927</v>
      </c>
      <c r="BN77" s="1247" t="s">
        <v>1929</v>
      </c>
      <c r="BO77" s="1247" t="s">
        <v>1933</v>
      </c>
      <c r="BP77" s="1247" t="s">
        <v>1937</v>
      </c>
      <c r="BQ77" s="1247" t="s">
        <v>1941</v>
      </c>
      <c r="BR77" s="1247" t="s">
        <v>1945</v>
      </c>
      <c r="BS77" s="1247" t="s">
        <v>1949</v>
      </c>
      <c r="BT77" s="1317" t="s">
        <v>1953</v>
      </c>
      <c r="BU77" s="1325" t="str">
        <f t="shared" ref="BU77:CC77" si="78">IF($BL$39=$BI$68,BL77,"")</f>
        <v/>
      </c>
      <c r="BV77" s="1325" t="str">
        <f t="shared" si="78"/>
        <v/>
      </c>
      <c r="BW77" s="1325" t="str">
        <f t="shared" si="78"/>
        <v/>
      </c>
      <c r="BX77" s="1325" t="str">
        <f t="shared" si="78"/>
        <v/>
      </c>
      <c r="BY77" s="1325" t="str">
        <f t="shared" si="78"/>
        <v/>
      </c>
      <c r="BZ77" s="1325" t="str">
        <f t="shared" si="78"/>
        <v/>
      </c>
      <c r="CA77" s="1325" t="str">
        <f t="shared" si="78"/>
        <v/>
      </c>
      <c r="CB77" s="1325" t="str">
        <f t="shared" si="78"/>
        <v/>
      </c>
      <c r="CC77" s="1325" t="str">
        <f t="shared" si="78"/>
        <v/>
      </c>
    </row>
    <row r="78" spans="21:81">
      <c r="U78" s="2271"/>
      <c r="V78" s="2264"/>
      <c r="W78" s="1247" t="s">
        <v>1311</v>
      </c>
      <c r="X78" s="1248" t="s">
        <v>0</v>
      </c>
      <c r="Y78" s="1248">
        <v>275</v>
      </c>
      <c r="Z78" s="1248">
        <v>283</v>
      </c>
      <c r="AA78" s="1248">
        <v>260</v>
      </c>
      <c r="AB78" s="1248">
        <v>280</v>
      </c>
      <c r="AC78" s="1248">
        <v>265</v>
      </c>
      <c r="AD78" s="1248">
        <v>278</v>
      </c>
      <c r="AE78" s="1248">
        <v>290</v>
      </c>
      <c r="AF78" s="1248">
        <v>290</v>
      </c>
      <c r="AG78" s="1248">
        <v>275</v>
      </c>
      <c r="AH78" s="1248">
        <v>275</v>
      </c>
      <c r="AI78" s="1282" t="s">
        <v>243</v>
      </c>
      <c r="AK78" s="1325">
        <f t="shared" ref="AK78:AT80" si="79">IF($X$30=$V$72,Y78,0)</f>
        <v>0</v>
      </c>
      <c r="AL78" s="1326">
        <f t="shared" si="79"/>
        <v>0</v>
      </c>
      <c r="AM78" s="1326">
        <f t="shared" si="79"/>
        <v>0</v>
      </c>
      <c r="AN78" s="1326">
        <f t="shared" si="79"/>
        <v>0</v>
      </c>
      <c r="AO78" s="1326">
        <f t="shared" si="79"/>
        <v>0</v>
      </c>
      <c r="AP78" s="1326">
        <f t="shared" si="79"/>
        <v>0</v>
      </c>
      <c r="AQ78" s="1326">
        <f t="shared" si="79"/>
        <v>0</v>
      </c>
      <c r="AR78" s="1326">
        <f t="shared" si="79"/>
        <v>0</v>
      </c>
      <c r="AS78" s="1326">
        <f t="shared" si="79"/>
        <v>0</v>
      </c>
      <c r="AT78" s="1326">
        <f t="shared" si="79"/>
        <v>0</v>
      </c>
      <c r="AU78" s="1324"/>
      <c r="AV78" s="1248"/>
      <c r="BI78" s="2267"/>
      <c r="BJ78" s="1317" t="s">
        <v>479</v>
      </c>
      <c r="BK78" s="1248"/>
      <c r="BT78" s="1317"/>
    </row>
    <row r="79" spans="21:81">
      <c r="U79" s="2271"/>
      <c r="V79" s="2264"/>
      <c r="W79" s="1247" t="s">
        <v>446</v>
      </c>
      <c r="X79" s="1248" t="s">
        <v>0</v>
      </c>
      <c r="Y79" s="1248">
        <v>790</v>
      </c>
      <c r="Z79" s="1248">
        <v>800</v>
      </c>
      <c r="AA79" s="1248">
        <v>790</v>
      </c>
      <c r="AB79" s="1248">
        <v>780</v>
      </c>
      <c r="AC79" s="1248">
        <v>790</v>
      </c>
      <c r="AD79" s="1248">
        <v>815</v>
      </c>
      <c r="AE79" s="1248">
        <v>870</v>
      </c>
      <c r="AF79" s="1248">
        <v>870</v>
      </c>
      <c r="AG79" s="1248">
        <v>745</v>
      </c>
      <c r="AH79" s="1248">
        <v>790</v>
      </c>
      <c r="AI79" s="1282" t="s">
        <v>243</v>
      </c>
      <c r="AK79" s="1325">
        <f t="shared" si="79"/>
        <v>0</v>
      </c>
      <c r="AL79" s="1326">
        <f t="shared" si="79"/>
        <v>0</v>
      </c>
      <c r="AM79" s="1326">
        <f t="shared" si="79"/>
        <v>0</v>
      </c>
      <c r="AN79" s="1326">
        <f t="shared" si="79"/>
        <v>0</v>
      </c>
      <c r="AO79" s="1326">
        <f t="shared" si="79"/>
        <v>0</v>
      </c>
      <c r="AP79" s="1326">
        <f t="shared" si="79"/>
        <v>0</v>
      </c>
      <c r="AQ79" s="1326">
        <f t="shared" si="79"/>
        <v>0</v>
      </c>
      <c r="AR79" s="1326">
        <f t="shared" si="79"/>
        <v>0</v>
      </c>
      <c r="AS79" s="1326">
        <f t="shared" si="79"/>
        <v>0</v>
      </c>
      <c r="AT79" s="1326">
        <f t="shared" si="79"/>
        <v>0</v>
      </c>
      <c r="AU79" s="1324"/>
      <c r="AV79" s="1248"/>
      <c r="BI79" s="2267"/>
      <c r="BJ79" s="1317" t="s">
        <v>1311</v>
      </c>
      <c r="BK79" s="1248" t="s">
        <v>0</v>
      </c>
      <c r="BL79" s="1247">
        <v>275</v>
      </c>
      <c r="BM79" s="1247">
        <v>260</v>
      </c>
      <c r="BN79" s="1247">
        <v>275</v>
      </c>
      <c r="BO79" s="1247">
        <v>250</v>
      </c>
      <c r="BP79" s="1247">
        <v>283</v>
      </c>
      <c r="BQ79" s="1247">
        <v>290</v>
      </c>
      <c r="BR79" s="1247">
        <v>275</v>
      </c>
      <c r="BS79" s="1247">
        <v>280</v>
      </c>
      <c r="BT79" s="1317">
        <v>309</v>
      </c>
      <c r="BU79" s="1325">
        <f t="shared" ref="BU79:CC81" si="80">IF($BL$39=$BI$68,BL79,0)</f>
        <v>0</v>
      </c>
      <c r="BV79" s="1325">
        <f t="shared" si="80"/>
        <v>0</v>
      </c>
      <c r="BW79" s="1325">
        <f t="shared" si="80"/>
        <v>0</v>
      </c>
      <c r="BX79" s="1325">
        <f t="shared" si="80"/>
        <v>0</v>
      </c>
      <c r="BY79" s="1325">
        <f t="shared" si="80"/>
        <v>0</v>
      </c>
      <c r="BZ79" s="1325">
        <f t="shared" si="80"/>
        <v>0</v>
      </c>
      <c r="CA79" s="1325">
        <f t="shared" si="80"/>
        <v>0</v>
      </c>
      <c r="CB79" s="1325">
        <f t="shared" si="80"/>
        <v>0</v>
      </c>
      <c r="CC79" s="1325">
        <f t="shared" si="80"/>
        <v>0</v>
      </c>
    </row>
    <row r="80" spans="21:81">
      <c r="U80" s="2271"/>
      <c r="V80" s="2264"/>
      <c r="W80" s="1247" t="s">
        <v>1771</v>
      </c>
      <c r="X80" s="1248" t="s">
        <v>0</v>
      </c>
      <c r="Y80" s="1248">
        <v>190</v>
      </c>
      <c r="Z80" s="1248">
        <v>195</v>
      </c>
      <c r="AA80" s="1248">
        <v>198</v>
      </c>
      <c r="AB80" s="1248">
        <v>220</v>
      </c>
      <c r="AC80" s="1248">
        <v>195</v>
      </c>
      <c r="AD80" s="1248">
        <v>244</v>
      </c>
      <c r="AE80" s="1248">
        <v>204</v>
      </c>
      <c r="AF80" s="1248">
        <v>204</v>
      </c>
      <c r="AG80" s="1248">
        <v>180</v>
      </c>
      <c r="AH80" s="1248">
        <v>205</v>
      </c>
      <c r="AI80" s="1282" t="s">
        <v>243</v>
      </c>
      <c r="AK80" s="1325">
        <f t="shared" si="79"/>
        <v>0</v>
      </c>
      <c r="AL80" s="1326">
        <f t="shared" si="79"/>
        <v>0</v>
      </c>
      <c r="AM80" s="1326">
        <f t="shared" si="79"/>
        <v>0</v>
      </c>
      <c r="AN80" s="1326">
        <f t="shared" si="79"/>
        <v>0</v>
      </c>
      <c r="AO80" s="1326">
        <f t="shared" si="79"/>
        <v>0</v>
      </c>
      <c r="AP80" s="1326">
        <f t="shared" si="79"/>
        <v>0</v>
      </c>
      <c r="AQ80" s="1326">
        <f t="shared" si="79"/>
        <v>0</v>
      </c>
      <c r="AR80" s="1326">
        <f t="shared" si="79"/>
        <v>0</v>
      </c>
      <c r="AS80" s="1326">
        <f t="shared" si="79"/>
        <v>0</v>
      </c>
      <c r="AT80" s="1326">
        <f t="shared" si="79"/>
        <v>0</v>
      </c>
      <c r="AU80" s="1324"/>
      <c r="AV80" s="1248"/>
      <c r="BI80" s="2267"/>
      <c r="BJ80" s="1317" t="s">
        <v>446</v>
      </c>
      <c r="BK80" s="1248" t="s">
        <v>0</v>
      </c>
      <c r="BL80" s="1247">
        <v>790</v>
      </c>
      <c r="BM80" s="1247">
        <v>785</v>
      </c>
      <c r="BN80" s="1247">
        <v>845</v>
      </c>
      <c r="BO80" s="1247">
        <v>750</v>
      </c>
      <c r="BP80" s="1247">
        <v>800</v>
      </c>
      <c r="BQ80" s="1247">
        <v>870</v>
      </c>
      <c r="BR80" s="1247">
        <v>790</v>
      </c>
      <c r="BS80" s="1247">
        <v>780</v>
      </c>
      <c r="BT80" s="1317">
        <v>890</v>
      </c>
      <c r="BU80" s="1325">
        <f t="shared" si="80"/>
        <v>0</v>
      </c>
      <c r="BV80" s="1325">
        <f t="shared" si="80"/>
        <v>0</v>
      </c>
      <c r="BW80" s="1325">
        <f t="shared" si="80"/>
        <v>0</v>
      </c>
      <c r="BX80" s="1325">
        <f t="shared" si="80"/>
        <v>0</v>
      </c>
      <c r="BY80" s="1325">
        <f t="shared" si="80"/>
        <v>0</v>
      </c>
      <c r="BZ80" s="1325">
        <f t="shared" si="80"/>
        <v>0</v>
      </c>
      <c r="CA80" s="1325">
        <f t="shared" si="80"/>
        <v>0</v>
      </c>
      <c r="CB80" s="1325">
        <f t="shared" si="80"/>
        <v>0</v>
      </c>
      <c r="CC80" s="1325">
        <f t="shared" si="80"/>
        <v>0</v>
      </c>
    </row>
    <row r="81" spans="21:81">
      <c r="U81" s="2271"/>
      <c r="V81" s="2264"/>
      <c r="W81" s="1247" t="s">
        <v>1745</v>
      </c>
      <c r="AI81" s="1282"/>
      <c r="AK81" s="1325"/>
      <c r="AL81" s="1326"/>
      <c r="AM81" s="1326"/>
      <c r="AN81" s="1326"/>
      <c r="AO81" s="1326"/>
      <c r="AP81" s="1326"/>
      <c r="AQ81" s="1326"/>
      <c r="AR81" s="1326"/>
      <c r="AS81" s="1326"/>
      <c r="AT81" s="1326"/>
      <c r="AU81" s="1324"/>
      <c r="AV81" s="1248"/>
      <c r="BI81" s="2267"/>
      <c r="BJ81" s="1317" t="s">
        <v>1771</v>
      </c>
      <c r="BK81" s="1248" t="s">
        <v>0</v>
      </c>
      <c r="BL81" s="1247">
        <v>190</v>
      </c>
      <c r="BM81" s="1247">
        <v>195</v>
      </c>
      <c r="BN81" s="1247">
        <v>175</v>
      </c>
      <c r="BO81" s="1247">
        <v>188</v>
      </c>
      <c r="BP81" s="1247">
        <v>195</v>
      </c>
      <c r="BQ81" s="1247">
        <v>204</v>
      </c>
      <c r="BR81" s="1247">
        <v>215</v>
      </c>
      <c r="BS81" s="1247">
        <v>220</v>
      </c>
      <c r="BT81" s="1317">
        <v>220</v>
      </c>
      <c r="BU81" s="1325">
        <f t="shared" si="80"/>
        <v>0</v>
      </c>
      <c r="BV81" s="1325">
        <f t="shared" si="80"/>
        <v>0</v>
      </c>
      <c r="BW81" s="1325">
        <f t="shared" si="80"/>
        <v>0</v>
      </c>
      <c r="BX81" s="1325">
        <f t="shared" si="80"/>
        <v>0</v>
      </c>
      <c r="BY81" s="1325">
        <f t="shared" si="80"/>
        <v>0</v>
      </c>
      <c r="BZ81" s="1325">
        <f t="shared" si="80"/>
        <v>0</v>
      </c>
      <c r="CA81" s="1325">
        <f t="shared" si="80"/>
        <v>0</v>
      </c>
      <c r="CB81" s="1325">
        <f t="shared" si="80"/>
        <v>0</v>
      </c>
      <c r="CC81" s="1325">
        <f t="shared" si="80"/>
        <v>0</v>
      </c>
    </row>
    <row r="82" spans="21:81">
      <c r="U82" s="2271"/>
      <c r="V82" s="2264"/>
      <c r="W82" s="1247" t="s">
        <v>179</v>
      </c>
      <c r="X82" s="1249"/>
      <c r="Y82" s="1249" t="s">
        <v>1794</v>
      </c>
      <c r="Z82" s="1249" t="s">
        <v>1795</v>
      </c>
      <c r="AA82" s="1249" t="s">
        <v>1796</v>
      </c>
      <c r="AB82" s="1249" t="s">
        <v>1797</v>
      </c>
      <c r="AC82" s="1249" t="s">
        <v>243</v>
      </c>
      <c r="AD82" s="1249" t="s">
        <v>1798</v>
      </c>
      <c r="AE82" s="1249" t="s">
        <v>1799</v>
      </c>
      <c r="AF82" s="1248" t="s">
        <v>243</v>
      </c>
      <c r="AG82" s="1248" t="s">
        <v>243</v>
      </c>
      <c r="AH82" s="1249" t="s">
        <v>1800</v>
      </c>
      <c r="AI82" s="1276" t="s">
        <v>243</v>
      </c>
      <c r="AJ82" s="1249"/>
      <c r="AK82" s="1325" t="str">
        <f t="shared" ref="AK82:AT82" si="81">IF($X$30=$V$72,Y82,"")</f>
        <v/>
      </c>
      <c r="AL82" s="1326" t="str">
        <f t="shared" si="81"/>
        <v/>
      </c>
      <c r="AM82" s="1326" t="str">
        <f t="shared" si="81"/>
        <v/>
      </c>
      <c r="AN82" s="1326" t="str">
        <f t="shared" si="81"/>
        <v/>
      </c>
      <c r="AO82" s="1326" t="str">
        <f t="shared" si="81"/>
        <v/>
      </c>
      <c r="AP82" s="1326" t="str">
        <f t="shared" si="81"/>
        <v/>
      </c>
      <c r="AQ82" s="1326" t="str">
        <f t="shared" si="81"/>
        <v/>
      </c>
      <c r="AR82" s="1326" t="str">
        <f t="shared" si="81"/>
        <v/>
      </c>
      <c r="AS82" s="1326" t="str">
        <f t="shared" si="81"/>
        <v/>
      </c>
      <c r="AT82" s="1326" t="str">
        <f t="shared" si="81"/>
        <v/>
      </c>
      <c r="AU82" s="1324"/>
      <c r="AV82" s="1248"/>
      <c r="BI82" s="2267"/>
      <c r="BJ82" s="1349" t="s">
        <v>1745</v>
      </c>
      <c r="BK82" s="1248"/>
      <c r="BT82" s="1317"/>
    </row>
    <row r="83" spans="21:81">
      <c r="U83" s="2271"/>
      <c r="V83" s="2264"/>
      <c r="W83" s="1247" t="s">
        <v>479</v>
      </c>
      <c r="AI83" s="1282" t="s">
        <v>243</v>
      </c>
      <c r="AK83" s="1325"/>
      <c r="AL83" s="1326"/>
      <c r="AM83" s="1326"/>
      <c r="AN83" s="1326"/>
      <c r="AO83" s="1326"/>
      <c r="AP83" s="1326"/>
      <c r="AQ83" s="1326"/>
      <c r="AR83" s="1326"/>
      <c r="AS83" s="1326"/>
      <c r="AT83" s="1326"/>
      <c r="AU83" s="1324"/>
      <c r="AV83" s="1248"/>
      <c r="BI83" s="2267"/>
      <c r="BJ83" s="1317" t="s">
        <v>179</v>
      </c>
      <c r="BK83" s="1249"/>
      <c r="BL83" s="1247" t="s">
        <v>1925</v>
      </c>
      <c r="BM83" s="1247" t="s">
        <v>1927</v>
      </c>
      <c r="BN83" s="1247" t="s">
        <v>1931</v>
      </c>
      <c r="BO83" s="1247" t="s">
        <v>1935</v>
      </c>
      <c r="BP83" s="1247" t="s">
        <v>1939</v>
      </c>
      <c r="BQ83" s="1247" t="s">
        <v>1943</v>
      </c>
      <c r="BR83" s="1247" t="s">
        <v>1947</v>
      </c>
      <c r="BS83" s="1247" t="s">
        <v>1951</v>
      </c>
      <c r="BT83" s="1317" t="s">
        <v>1955</v>
      </c>
      <c r="BU83" s="1325" t="str">
        <f t="shared" ref="BU83:CC83" si="82">IF($BL$39=$BI$68,BL83,"")</f>
        <v/>
      </c>
      <c r="BV83" s="1325" t="str">
        <f t="shared" si="82"/>
        <v/>
      </c>
      <c r="BW83" s="1325" t="str">
        <f t="shared" si="82"/>
        <v/>
      </c>
      <c r="BX83" s="1325" t="str">
        <f t="shared" si="82"/>
        <v/>
      </c>
      <c r="BY83" s="1325" t="str">
        <f t="shared" si="82"/>
        <v/>
      </c>
      <c r="BZ83" s="1325" t="str">
        <f t="shared" si="82"/>
        <v/>
      </c>
      <c r="CA83" s="1325" t="str">
        <f t="shared" si="82"/>
        <v/>
      </c>
      <c r="CB83" s="1325" t="str">
        <f t="shared" si="82"/>
        <v/>
      </c>
      <c r="CC83" s="1325" t="str">
        <f t="shared" si="82"/>
        <v/>
      </c>
    </row>
    <row r="84" spans="21:81">
      <c r="U84" s="2271"/>
      <c r="V84" s="2264"/>
      <c r="W84" s="1247" t="s">
        <v>1311</v>
      </c>
      <c r="X84" s="1248" t="s">
        <v>0</v>
      </c>
      <c r="Y84" s="1248">
        <v>540</v>
      </c>
      <c r="Z84" s="1248">
        <v>420</v>
      </c>
      <c r="AA84" s="1248">
        <v>540</v>
      </c>
      <c r="AB84" s="1248">
        <v>548</v>
      </c>
      <c r="AC84" s="1248">
        <v>540</v>
      </c>
      <c r="AD84" s="1248">
        <v>550</v>
      </c>
      <c r="AE84" s="1248">
        <v>540</v>
      </c>
      <c r="AF84" s="1248">
        <v>540</v>
      </c>
      <c r="AG84" s="1248">
        <v>540</v>
      </c>
      <c r="AH84" s="1248">
        <v>550</v>
      </c>
      <c r="AI84" s="1282" t="s">
        <v>243</v>
      </c>
      <c r="AK84" s="1325">
        <f t="shared" ref="AK84:AT87" si="83">IF($X$30=$V$72,Y84,0)</f>
        <v>0</v>
      </c>
      <c r="AL84" s="1326">
        <f t="shared" si="83"/>
        <v>0</v>
      </c>
      <c r="AM84" s="1326">
        <f t="shared" si="83"/>
        <v>0</v>
      </c>
      <c r="AN84" s="1326">
        <f t="shared" si="83"/>
        <v>0</v>
      </c>
      <c r="AO84" s="1326">
        <f t="shared" si="83"/>
        <v>0</v>
      </c>
      <c r="AP84" s="1326">
        <f t="shared" si="83"/>
        <v>0</v>
      </c>
      <c r="AQ84" s="1326">
        <f t="shared" si="83"/>
        <v>0</v>
      </c>
      <c r="AR84" s="1326">
        <f t="shared" si="83"/>
        <v>0</v>
      </c>
      <c r="AS84" s="1326">
        <f t="shared" si="83"/>
        <v>0</v>
      </c>
      <c r="AT84" s="1326">
        <f t="shared" si="83"/>
        <v>0</v>
      </c>
      <c r="AU84" s="1324"/>
      <c r="AV84" s="1248"/>
      <c r="BI84" s="2267"/>
      <c r="BJ84" s="1317" t="s">
        <v>479</v>
      </c>
      <c r="BK84" s="1248"/>
      <c r="BT84" s="1317"/>
    </row>
    <row r="85" spans="21:81">
      <c r="U85" s="2271"/>
      <c r="V85" s="2264"/>
      <c r="W85" s="1247" t="s">
        <v>446</v>
      </c>
      <c r="X85" s="1248" t="s">
        <v>0</v>
      </c>
      <c r="Y85" s="1248">
        <v>780</v>
      </c>
      <c r="Z85" s="1248">
        <v>695</v>
      </c>
      <c r="AA85" s="1248">
        <v>660</v>
      </c>
      <c r="AB85" s="1248">
        <v>750</v>
      </c>
      <c r="AC85" s="1248">
        <v>780</v>
      </c>
      <c r="AD85" s="1248">
        <v>800</v>
      </c>
      <c r="AE85" s="1248">
        <v>780</v>
      </c>
      <c r="AF85" s="1248">
        <v>780</v>
      </c>
      <c r="AG85" s="1248">
        <v>848</v>
      </c>
      <c r="AH85" s="1248">
        <v>780</v>
      </c>
      <c r="AI85" s="1282" t="s">
        <v>243</v>
      </c>
      <c r="AK85" s="1325">
        <f t="shared" si="83"/>
        <v>0</v>
      </c>
      <c r="AL85" s="1326">
        <f t="shared" si="83"/>
        <v>0</v>
      </c>
      <c r="AM85" s="1326">
        <f t="shared" si="83"/>
        <v>0</v>
      </c>
      <c r="AN85" s="1326">
        <f t="shared" si="83"/>
        <v>0</v>
      </c>
      <c r="AO85" s="1326">
        <f t="shared" si="83"/>
        <v>0</v>
      </c>
      <c r="AP85" s="1326">
        <f t="shared" si="83"/>
        <v>0</v>
      </c>
      <c r="AQ85" s="1326">
        <f t="shared" si="83"/>
        <v>0</v>
      </c>
      <c r="AR85" s="1326">
        <f t="shared" si="83"/>
        <v>0</v>
      </c>
      <c r="AS85" s="1326">
        <f t="shared" si="83"/>
        <v>0</v>
      </c>
      <c r="AT85" s="1326">
        <f t="shared" si="83"/>
        <v>0</v>
      </c>
      <c r="AU85" s="1324"/>
      <c r="AV85" s="1248"/>
      <c r="BI85" s="2267"/>
      <c r="BJ85" s="1317" t="s">
        <v>1311</v>
      </c>
      <c r="BK85" s="1248" t="s">
        <v>0</v>
      </c>
      <c r="BL85" s="1247">
        <v>700</v>
      </c>
      <c r="BM85" s="1247">
        <v>710</v>
      </c>
      <c r="BN85" s="1247">
        <v>700</v>
      </c>
      <c r="BO85" s="1247">
        <v>655</v>
      </c>
      <c r="BP85" s="1247">
        <v>735</v>
      </c>
      <c r="BQ85" s="1247">
        <v>795</v>
      </c>
      <c r="BR85" s="1247">
        <v>700</v>
      </c>
      <c r="BS85" s="1247">
        <v>800</v>
      </c>
      <c r="BT85" s="1317">
        <v>750</v>
      </c>
      <c r="BU85" s="1325">
        <f t="shared" ref="BU85:CC87" si="84">IF($BL$39=$BI$68,BL85,0)</f>
        <v>0</v>
      </c>
      <c r="BV85" s="1325">
        <f t="shared" si="84"/>
        <v>0</v>
      </c>
      <c r="BW85" s="1325">
        <f t="shared" si="84"/>
        <v>0</v>
      </c>
      <c r="BX85" s="1325">
        <f t="shared" si="84"/>
        <v>0</v>
      </c>
      <c r="BY85" s="1325">
        <f t="shared" si="84"/>
        <v>0</v>
      </c>
      <c r="BZ85" s="1325">
        <f t="shared" si="84"/>
        <v>0</v>
      </c>
      <c r="CA85" s="1325">
        <f t="shared" si="84"/>
        <v>0</v>
      </c>
      <c r="CB85" s="1325">
        <f t="shared" si="84"/>
        <v>0</v>
      </c>
      <c r="CC85" s="1325">
        <f t="shared" si="84"/>
        <v>0</v>
      </c>
    </row>
    <row r="86" spans="21:81">
      <c r="U86" s="2271"/>
      <c r="V86" s="2264"/>
      <c r="W86" s="1247" t="s">
        <v>1771</v>
      </c>
      <c r="X86" s="1248" t="s">
        <v>0</v>
      </c>
      <c r="Y86" s="1248">
        <v>250</v>
      </c>
      <c r="Z86" s="1248">
        <v>245</v>
      </c>
      <c r="AA86" s="1248">
        <v>290</v>
      </c>
      <c r="AB86" s="1248">
        <v>288</v>
      </c>
      <c r="AC86" s="1248">
        <v>250</v>
      </c>
      <c r="AD86" s="1248">
        <v>285</v>
      </c>
      <c r="AE86" s="1248">
        <v>289</v>
      </c>
      <c r="AF86" s="1248">
        <v>289</v>
      </c>
      <c r="AG86" s="1248">
        <v>320</v>
      </c>
      <c r="AH86" s="1248">
        <v>290</v>
      </c>
      <c r="AI86" s="1282" t="s">
        <v>243</v>
      </c>
      <c r="AK86" s="1325">
        <f t="shared" si="83"/>
        <v>0</v>
      </c>
      <c r="AL86" s="1326">
        <f t="shared" si="83"/>
        <v>0</v>
      </c>
      <c r="AM86" s="1326">
        <f t="shared" si="83"/>
        <v>0</v>
      </c>
      <c r="AN86" s="1326">
        <f t="shared" si="83"/>
        <v>0</v>
      </c>
      <c r="AO86" s="1326">
        <f t="shared" si="83"/>
        <v>0</v>
      </c>
      <c r="AP86" s="1326">
        <f t="shared" si="83"/>
        <v>0</v>
      </c>
      <c r="AQ86" s="1326">
        <f t="shared" si="83"/>
        <v>0</v>
      </c>
      <c r="AR86" s="1326">
        <f t="shared" si="83"/>
        <v>0</v>
      </c>
      <c r="AS86" s="1326">
        <f t="shared" si="83"/>
        <v>0</v>
      </c>
      <c r="AT86" s="1326">
        <f t="shared" si="83"/>
        <v>0</v>
      </c>
      <c r="AU86" s="1324"/>
      <c r="AV86" s="1248"/>
      <c r="BI86" s="2267"/>
      <c r="BJ86" s="1317" t="s">
        <v>446</v>
      </c>
      <c r="BK86" s="1248" t="s">
        <v>0</v>
      </c>
      <c r="BL86" s="1247">
        <v>900</v>
      </c>
      <c r="BM86" s="1247">
        <v>830</v>
      </c>
      <c r="BN86" s="1247">
        <v>1018</v>
      </c>
      <c r="BO86" s="1247">
        <v>895</v>
      </c>
      <c r="BP86" s="1247">
        <v>936</v>
      </c>
      <c r="BQ86" s="1247">
        <v>970</v>
      </c>
      <c r="BR86" s="1247">
        <v>900</v>
      </c>
      <c r="BS86" s="1247">
        <v>850</v>
      </c>
      <c r="BT86" s="1317">
        <v>953</v>
      </c>
      <c r="BU86" s="1325">
        <f t="shared" si="84"/>
        <v>0</v>
      </c>
      <c r="BV86" s="1325">
        <f t="shared" si="84"/>
        <v>0</v>
      </c>
      <c r="BW86" s="1325">
        <f t="shared" si="84"/>
        <v>0</v>
      </c>
      <c r="BX86" s="1325">
        <f t="shared" si="84"/>
        <v>0</v>
      </c>
      <c r="BY86" s="1325">
        <f t="shared" si="84"/>
        <v>0</v>
      </c>
      <c r="BZ86" s="1325">
        <f t="shared" si="84"/>
        <v>0</v>
      </c>
      <c r="CA86" s="1325">
        <f t="shared" si="84"/>
        <v>0</v>
      </c>
      <c r="CB86" s="1325">
        <f t="shared" si="84"/>
        <v>0</v>
      </c>
      <c r="CC86" s="1325">
        <f t="shared" si="84"/>
        <v>0</v>
      </c>
    </row>
    <row r="87" spans="21:81">
      <c r="U87" s="2271"/>
      <c r="V87" s="2264"/>
      <c r="W87" s="1247" t="s">
        <v>1746</v>
      </c>
      <c r="X87" s="1248" t="s">
        <v>212</v>
      </c>
      <c r="Y87" s="1248" t="s">
        <v>243</v>
      </c>
      <c r="Z87" s="1248">
        <v>49</v>
      </c>
      <c r="AA87" s="1248" t="s">
        <v>243</v>
      </c>
      <c r="AB87" s="1248" t="s">
        <v>243</v>
      </c>
      <c r="AC87" s="1248" t="s">
        <v>243</v>
      </c>
      <c r="AD87" s="1248">
        <v>49</v>
      </c>
      <c r="AE87" s="1248" t="s">
        <v>243</v>
      </c>
      <c r="AF87" s="1248" t="s">
        <v>243</v>
      </c>
      <c r="AG87" s="1248" t="s">
        <v>243</v>
      </c>
      <c r="AH87" s="1248" t="s">
        <v>243</v>
      </c>
      <c r="AI87" s="1282" t="s">
        <v>243</v>
      </c>
      <c r="AK87" s="1325">
        <f t="shared" si="83"/>
        <v>0</v>
      </c>
      <c r="AL87" s="1326">
        <f t="shared" si="83"/>
        <v>0</v>
      </c>
      <c r="AM87" s="1326">
        <f t="shared" si="83"/>
        <v>0</v>
      </c>
      <c r="AN87" s="1326">
        <f t="shared" si="83"/>
        <v>0</v>
      </c>
      <c r="AO87" s="1326">
        <f t="shared" si="83"/>
        <v>0</v>
      </c>
      <c r="AP87" s="1326">
        <f t="shared" si="83"/>
        <v>0</v>
      </c>
      <c r="AQ87" s="1326">
        <f t="shared" si="83"/>
        <v>0</v>
      </c>
      <c r="AR87" s="1326">
        <f t="shared" si="83"/>
        <v>0</v>
      </c>
      <c r="AS87" s="1326">
        <f t="shared" si="83"/>
        <v>0</v>
      </c>
      <c r="AT87" s="1326">
        <f t="shared" si="83"/>
        <v>0</v>
      </c>
      <c r="AU87" s="1324"/>
      <c r="AV87" s="1248"/>
      <c r="BI87" s="2268"/>
      <c r="BJ87" s="1337" t="s">
        <v>1771</v>
      </c>
      <c r="BK87" s="1288" t="s">
        <v>0</v>
      </c>
      <c r="BL87" s="1268">
        <v>350</v>
      </c>
      <c r="BM87" s="1268">
        <v>310</v>
      </c>
      <c r="BN87" s="1268">
        <v>412</v>
      </c>
      <c r="BO87" s="1268">
        <v>345</v>
      </c>
      <c r="BP87" s="1268">
        <v>300</v>
      </c>
      <c r="BQ87" s="1268">
        <v>320</v>
      </c>
      <c r="BR87" s="1268">
        <v>330</v>
      </c>
      <c r="BS87" s="1268">
        <v>298</v>
      </c>
      <c r="BT87" s="1337">
        <v>340</v>
      </c>
      <c r="BU87" s="1325">
        <f t="shared" si="84"/>
        <v>0</v>
      </c>
      <c r="BV87" s="1325">
        <f t="shared" si="84"/>
        <v>0</v>
      </c>
      <c r="BW87" s="1325">
        <f t="shared" si="84"/>
        <v>0</v>
      </c>
      <c r="BX87" s="1325">
        <f t="shared" si="84"/>
        <v>0</v>
      </c>
      <c r="BY87" s="1325">
        <f t="shared" si="84"/>
        <v>0</v>
      </c>
      <c r="BZ87" s="1325">
        <f t="shared" si="84"/>
        <v>0</v>
      </c>
      <c r="CA87" s="1325">
        <f t="shared" si="84"/>
        <v>0</v>
      </c>
      <c r="CB87" s="1325">
        <f t="shared" si="84"/>
        <v>0</v>
      </c>
      <c r="CC87" s="1325">
        <f t="shared" si="84"/>
        <v>0</v>
      </c>
    </row>
    <row r="88" spans="21:81">
      <c r="U88" s="2271"/>
      <c r="V88" s="2264"/>
      <c r="W88" s="1247" t="s">
        <v>1747</v>
      </c>
      <c r="AI88" s="1282"/>
      <c r="AK88" s="1325"/>
      <c r="AL88" s="1326"/>
      <c r="AM88" s="1326"/>
      <c r="AN88" s="1326"/>
      <c r="AO88" s="1326"/>
      <c r="AP88" s="1326"/>
      <c r="AQ88" s="1326"/>
      <c r="AR88" s="1326"/>
      <c r="AS88" s="1326"/>
      <c r="AT88" s="1326"/>
      <c r="AU88" s="1324"/>
      <c r="AV88" s="1248"/>
    </row>
    <row r="89" spans="21:81">
      <c r="U89" s="2271"/>
      <c r="V89" s="2264"/>
      <c r="W89" s="1247" t="s">
        <v>1779</v>
      </c>
      <c r="X89" s="1248" t="s">
        <v>173</v>
      </c>
      <c r="Y89" s="1248">
        <v>1099</v>
      </c>
      <c r="Z89" s="1248">
        <v>1170</v>
      </c>
      <c r="AA89" s="1248">
        <v>1090</v>
      </c>
      <c r="AB89" s="1248">
        <v>1040</v>
      </c>
      <c r="AC89" s="1248">
        <v>1060</v>
      </c>
      <c r="AD89" s="1248">
        <v>1120</v>
      </c>
      <c r="AE89" s="1248">
        <v>1050</v>
      </c>
      <c r="AF89" s="1284" t="s">
        <v>243</v>
      </c>
      <c r="AG89" s="1248">
        <v>1100</v>
      </c>
      <c r="AH89" s="1248">
        <v>1130</v>
      </c>
      <c r="AI89" s="1282" t="s">
        <v>243</v>
      </c>
      <c r="AK89" s="1325">
        <f t="shared" ref="AK89:AT92" si="85">IF($X$30=$V$72,Y89,0)</f>
        <v>0</v>
      </c>
      <c r="AL89" s="1326">
        <f t="shared" si="85"/>
        <v>0</v>
      </c>
      <c r="AM89" s="1326">
        <f t="shared" si="85"/>
        <v>0</v>
      </c>
      <c r="AN89" s="1326">
        <f t="shared" si="85"/>
        <v>0</v>
      </c>
      <c r="AO89" s="1326">
        <f t="shared" si="85"/>
        <v>0</v>
      </c>
      <c r="AP89" s="1326">
        <f t="shared" si="85"/>
        <v>0</v>
      </c>
      <c r="AQ89" s="1326">
        <f t="shared" si="85"/>
        <v>0</v>
      </c>
      <c r="AR89" s="1326">
        <f t="shared" si="85"/>
        <v>0</v>
      </c>
      <c r="AS89" s="1326">
        <f t="shared" si="85"/>
        <v>0</v>
      </c>
      <c r="AT89" s="1326">
        <f t="shared" si="85"/>
        <v>0</v>
      </c>
      <c r="AU89" s="1324"/>
      <c r="AV89" s="1248"/>
    </row>
    <row r="90" spans="21:81">
      <c r="U90" s="2271"/>
      <c r="V90" s="2264"/>
      <c r="W90" s="1247" t="s">
        <v>123</v>
      </c>
      <c r="X90" s="1248" t="s">
        <v>1246</v>
      </c>
      <c r="Y90" s="1248">
        <v>5.2</v>
      </c>
      <c r="Z90" s="1248">
        <v>5.6</v>
      </c>
      <c r="AA90" s="1248">
        <v>4</v>
      </c>
      <c r="AB90" s="1248">
        <v>4.78</v>
      </c>
      <c r="AC90" s="1248">
        <v>4.5999999999999996</v>
      </c>
      <c r="AD90" s="1248">
        <v>8.3000000000000007</v>
      </c>
      <c r="AE90" s="1248">
        <v>5.0999999999999996</v>
      </c>
      <c r="AF90" s="1284" t="s">
        <v>243</v>
      </c>
      <c r="AG90" s="1248">
        <v>8.5</v>
      </c>
      <c r="AH90" s="1248">
        <v>5.4</v>
      </c>
      <c r="AI90" s="1282" t="s">
        <v>243</v>
      </c>
      <c r="AK90" s="1325">
        <f t="shared" si="85"/>
        <v>0</v>
      </c>
      <c r="AL90" s="1326">
        <f t="shared" si="85"/>
        <v>0</v>
      </c>
      <c r="AM90" s="1326">
        <f t="shared" si="85"/>
        <v>0</v>
      </c>
      <c r="AN90" s="1326">
        <f t="shared" si="85"/>
        <v>0</v>
      </c>
      <c r="AO90" s="1326">
        <f t="shared" si="85"/>
        <v>0</v>
      </c>
      <c r="AP90" s="1326">
        <f t="shared" si="85"/>
        <v>0</v>
      </c>
      <c r="AQ90" s="1326">
        <f t="shared" si="85"/>
        <v>0</v>
      </c>
      <c r="AR90" s="1326">
        <f t="shared" si="85"/>
        <v>0</v>
      </c>
      <c r="AS90" s="1326">
        <f t="shared" si="85"/>
        <v>0</v>
      </c>
      <c r="AT90" s="1326">
        <f t="shared" si="85"/>
        <v>0</v>
      </c>
      <c r="AU90" s="1324"/>
      <c r="AV90" s="1248"/>
    </row>
    <row r="91" spans="21:81">
      <c r="U91" s="2271"/>
      <c r="V91" s="2264"/>
      <c r="W91" s="1271" t="s">
        <v>1780</v>
      </c>
      <c r="Y91" s="1248" t="s">
        <v>243</v>
      </c>
      <c r="Z91" s="1248">
        <v>15</v>
      </c>
      <c r="AA91" s="1248" t="s">
        <v>243</v>
      </c>
      <c r="AB91" s="1248" t="s">
        <v>243</v>
      </c>
      <c r="AC91" s="1248" t="s">
        <v>243</v>
      </c>
      <c r="AD91" s="1248">
        <v>25</v>
      </c>
      <c r="AE91" s="1248" t="s">
        <v>243</v>
      </c>
      <c r="AF91" s="1248" t="s">
        <v>243</v>
      </c>
      <c r="AG91" s="1248" t="s">
        <v>243</v>
      </c>
      <c r="AH91" s="1248" t="s">
        <v>243</v>
      </c>
      <c r="AI91" s="1282" t="s">
        <v>243</v>
      </c>
      <c r="AK91" s="1325">
        <f t="shared" si="85"/>
        <v>0</v>
      </c>
      <c r="AL91" s="1326">
        <f t="shared" si="85"/>
        <v>0</v>
      </c>
      <c r="AM91" s="1326">
        <f t="shared" si="85"/>
        <v>0</v>
      </c>
      <c r="AN91" s="1326">
        <f t="shared" si="85"/>
        <v>0</v>
      </c>
      <c r="AO91" s="1326">
        <f t="shared" si="85"/>
        <v>0</v>
      </c>
      <c r="AP91" s="1326">
        <f t="shared" si="85"/>
        <v>0</v>
      </c>
      <c r="AQ91" s="1326">
        <f t="shared" si="85"/>
        <v>0</v>
      </c>
      <c r="AR91" s="1326">
        <f t="shared" si="85"/>
        <v>0</v>
      </c>
      <c r="AS91" s="1326">
        <f t="shared" si="85"/>
        <v>0</v>
      </c>
      <c r="AT91" s="1326">
        <f t="shared" si="85"/>
        <v>0</v>
      </c>
      <c r="AU91" s="1324"/>
      <c r="AV91" s="1248"/>
    </row>
    <row r="92" spans="21:81">
      <c r="U92" s="2271"/>
      <c r="V92" s="2264"/>
      <c r="W92" s="1271" t="s">
        <v>1752</v>
      </c>
      <c r="Y92" s="1248" t="s">
        <v>243</v>
      </c>
      <c r="Z92" s="1248">
        <v>10</v>
      </c>
      <c r="AA92" s="1248" t="s">
        <v>243</v>
      </c>
      <c r="AB92" s="1248" t="s">
        <v>243</v>
      </c>
      <c r="AC92" s="1248" t="s">
        <v>243</v>
      </c>
      <c r="AD92" s="1248">
        <v>10</v>
      </c>
      <c r="AE92" s="1248" t="s">
        <v>243</v>
      </c>
      <c r="AF92" s="1248" t="s">
        <v>243</v>
      </c>
      <c r="AG92" s="1248" t="s">
        <v>243</v>
      </c>
      <c r="AH92" s="1248" t="s">
        <v>243</v>
      </c>
      <c r="AI92" s="1282" t="s">
        <v>243</v>
      </c>
      <c r="AK92" s="1325">
        <f t="shared" si="85"/>
        <v>0</v>
      </c>
      <c r="AL92" s="1326">
        <f t="shared" si="85"/>
        <v>0</v>
      </c>
      <c r="AM92" s="1326">
        <f t="shared" si="85"/>
        <v>0</v>
      </c>
      <c r="AN92" s="1326">
        <f t="shared" si="85"/>
        <v>0</v>
      </c>
      <c r="AO92" s="1326">
        <f t="shared" si="85"/>
        <v>0</v>
      </c>
      <c r="AP92" s="1326">
        <f t="shared" si="85"/>
        <v>0</v>
      </c>
      <c r="AQ92" s="1326">
        <f t="shared" si="85"/>
        <v>0</v>
      </c>
      <c r="AR92" s="1326">
        <f t="shared" si="85"/>
        <v>0</v>
      </c>
      <c r="AS92" s="1326">
        <f t="shared" si="85"/>
        <v>0</v>
      </c>
      <c r="AT92" s="1326">
        <f t="shared" si="85"/>
        <v>0</v>
      </c>
      <c r="AU92" s="1324"/>
      <c r="AV92" s="1248"/>
    </row>
    <row r="93" spans="21:81">
      <c r="U93" s="2271"/>
      <c r="V93" s="2265"/>
      <c r="W93" s="1268" t="s">
        <v>1749</v>
      </c>
      <c r="X93" s="1288"/>
      <c r="Y93" s="1288" t="s">
        <v>1781</v>
      </c>
      <c r="Z93" s="1288" t="s">
        <v>1781</v>
      </c>
      <c r="AA93" s="1288" t="s">
        <v>1781</v>
      </c>
      <c r="AB93" s="1288" t="s">
        <v>1782</v>
      </c>
      <c r="AC93" s="1288" t="s">
        <v>1781</v>
      </c>
      <c r="AD93" s="1288" t="s">
        <v>243</v>
      </c>
      <c r="AE93" s="1288" t="s">
        <v>1781</v>
      </c>
      <c r="AF93" s="1288" t="s">
        <v>1781</v>
      </c>
      <c r="AG93" s="1288" t="s">
        <v>1781</v>
      </c>
      <c r="AH93" s="1288" t="s">
        <v>1781</v>
      </c>
      <c r="AI93" s="1289" t="s">
        <v>243</v>
      </c>
      <c r="AK93" s="1325" t="str">
        <f t="shared" ref="AK93:AT93" si="86">IF($X$30=$V$72,Y93,"")</f>
        <v/>
      </c>
      <c r="AL93" s="1326" t="str">
        <f t="shared" si="86"/>
        <v/>
      </c>
      <c r="AM93" s="1326" t="str">
        <f t="shared" si="86"/>
        <v/>
      </c>
      <c r="AN93" s="1326" t="str">
        <f t="shared" si="86"/>
        <v/>
      </c>
      <c r="AO93" s="1326" t="str">
        <f t="shared" si="86"/>
        <v/>
      </c>
      <c r="AP93" s="1326" t="str">
        <f t="shared" si="86"/>
        <v/>
      </c>
      <c r="AQ93" s="1326" t="str">
        <f t="shared" si="86"/>
        <v/>
      </c>
      <c r="AR93" s="1326" t="str">
        <f t="shared" si="86"/>
        <v/>
      </c>
      <c r="AS93" s="1326" t="str">
        <f t="shared" si="86"/>
        <v/>
      </c>
      <c r="AT93" s="1326" t="str">
        <f t="shared" si="86"/>
        <v/>
      </c>
      <c r="AU93" s="1324"/>
      <c r="AV93" s="1248"/>
    </row>
    <row r="94" spans="21:81">
      <c r="U94" s="2271"/>
      <c r="AI94" s="1248" t="s">
        <v>243</v>
      </c>
      <c r="AK94" s="1325" t="str">
        <f t="shared" ref="AK94:AT94" si="87">IF($X$30=$V$49,Y94,"")</f>
        <v/>
      </c>
      <c r="AL94" s="1326" t="str">
        <f t="shared" si="87"/>
        <v/>
      </c>
      <c r="AM94" s="1326" t="str">
        <f t="shared" si="87"/>
        <v/>
      </c>
      <c r="AN94" s="1326" t="str">
        <f t="shared" si="87"/>
        <v/>
      </c>
      <c r="AO94" s="1326" t="str">
        <f t="shared" si="87"/>
        <v/>
      </c>
      <c r="AP94" s="1326" t="str">
        <f t="shared" si="87"/>
        <v/>
      </c>
      <c r="AQ94" s="1326" t="str">
        <f t="shared" si="87"/>
        <v/>
      </c>
      <c r="AR94" s="1326" t="str">
        <f t="shared" si="87"/>
        <v/>
      </c>
      <c r="AS94" s="1326" t="str">
        <f t="shared" si="87"/>
        <v/>
      </c>
      <c r="AT94" s="1326" t="str">
        <f t="shared" si="87"/>
        <v/>
      </c>
      <c r="AU94" s="1324"/>
      <c r="AV94" s="1248"/>
    </row>
    <row r="95" spans="21:81">
      <c r="U95" s="2271"/>
      <c r="V95" s="2263" t="s">
        <v>1801</v>
      </c>
      <c r="W95" s="1251" t="s">
        <v>1738</v>
      </c>
      <c r="X95" s="1274"/>
      <c r="Y95" s="1274"/>
      <c r="Z95" s="1274"/>
      <c r="AA95" s="1274"/>
      <c r="AB95" s="1274"/>
      <c r="AC95" s="1274"/>
      <c r="AD95" s="1274"/>
      <c r="AE95" s="1274"/>
      <c r="AF95" s="1274"/>
      <c r="AG95" s="1274"/>
      <c r="AH95" s="1274"/>
      <c r="AI95" s="1275"/>
      <c r="AJ95" s="1249"/>
      <c r="AK95" s="1325"/>
      <c r="AL95" s="1326"/>
      <c r="AM95" s="1326"/>
      <c r="AN95" s="1326"/>
      <c r="AO95" s="1326"/>
      <c r="AP95" s="1326"/>
      <c r="AQ95" s="1326"/>
      <c r="AR95" s="1326"/>
      <c r="AS95" s="1326"/>
      <c r="AT95" s="1326"/>
      <c r="AU95" s="1324"/>
      <c r="AV95" s="1248"/>
    </row>
    <row r="96" spans="21:81">
      <c r="U96" s="2271"/>
      <c r="V96" s="2264"/>
      <c r="W96" s="1247" t="s">
        <v>179</v>
      </c>
      <c r="X96" s="1249"/>
      <c r="Y96" s="1249" t="s">
        <v>1802</v>
      </c>
      <c r="Z96" s="1248" t="s">
        <v>1803</v>
      </c>
      <c r="AA96" s="1249" t="s">
        <v>1804</v>
      </c>
      <c r="AB96" s="1248" t="s">
        <v>1805</v>
      </c>
      <c r="AC96" s="1249" t="s">
        <v>1806</v>
      </c>
      <c r="AD96" s="1249" t="s">
        <v>1807</v>
      </c>
      <c r="AE96" s="1249" t="s">
        <v>1808</v>
      </c>
      <c r="AF96" s="1249" t="s">
        <v>1809</v>
      </c>
      <c r="AG96" s="1249" t="s">
        <v>1810</v>
      </c>
      <c r="AH96" s="1249" t="s">
        <v>1811</v>
      </c>
      <c r="AI96" s="1276" t="s">
        <v>243</v>
      </c>
      <c r="AJ96" s="1249"/>
      <c r="AK96" s="1325" t="str">
        <f t="shared" ref="AK96:AT96" si="88">IF($X$30=$V$95,Y96,"")</f>
        <v/>
      </c>
      <c r="AL96" s="1326" t="str">
        <f t="shared" si="88"/>
        <v/>
      </c>
      <c r="AM96" s="1326" t="str">
        <f t="shared" si="88"/>
        <v/>
      </c>
      <c r="AN96" s="1326" t="str">
        <f t="shared" si="88"/>
        <v/>
      </c>
      <c r="AO96" s="1326" t="str">
        <f t="shared" si="88"/>
        <v/>
      </c>
      <c r="AP96" s="1326" t="str">
        <f t="shared" si="88"/>
        <v/>
      </c>
      <c r="AQ96" s="1326" t="str">
        <f t="shared" si="88"/>
        <v/>
      </c>
      <c r="AR96" s="1326" t="str">
        <f t="shared" si="88"/>
        <v/>
      </c>
      <c r="AS96" s="1326" t="str">
        <f t="shared" si="88"/>
        <v/>
      </c>
      <c r="AT96" s="1326" t="str">
        <f t="shared" si="88"/>
        <v/>
      </c>
      <c r="AU96" s="1324"/>
      <c r="AV96" s="1248"/>
    </row>
    <row r="97" spans="21:48">
      <c r="U97" s="2271"/>
      <c r="V97" s="2264"/>
      <c r="W97" s="1247" t="s">
        <v>1914</v>
      </c>
      <c r="X97" s="1248" t="s">
        <v>6</v>
      </c>
      <c r="Y97" s="1277">
        <v>5.28</v>
      </c>
      <c r="Z97" s="1277">
        <v>5.3</v>
      </c>
      <c r="AA97" s="1277">
        <v>5.2</v>
      </c>
      <c r="AB97" s="1277">
        <v>5.0999999999999996</v>
      </c>
      <c r="AC97" s="1277">
        <v>5.28</v>
      </c>
      <c r="AD97" s="1277">
        <v>5</v>
      </c>
      <c r="AE97" s="1277">
        <v>5.35</v>
      </c>
      <c r="AF97" s="1277">
        <v>5.33</v>
      </c>
      <c r="AG97" s="1277">
        <v>5.13</v>
      </c>
      <c r="AH97" s="1277">
        <v>5.3</v>
      </c>
      <c r="AI97" s="1278" t="s">
        <v>243</v>
      </c>
      <c r="AJ97" s="1279"/>
      <c r="AK97" s="1325">
        <f t="shared" ref="AK97:AT99" si="89">IF($X$30=$V$95,Y97,0)</f>
        <v>0</v>
      </c>
      <c r="AL97" s="1326">
        <f t="shared" si="89"/>
        <v>0</v>
      </c>
      <c r="AM97" s="1326">
        <f t="shared" si="89"/>
        <v>0</v>
      </c>
      <c r="AN97" s="1326">
        <f t="shared" si="89"/>
        <v>0</v>
      </c>
      <c r="AO97" s="1326">
        <f t="shared" si="89"/>
        <v>0</v>
      </c>
      <c r="AP97" s="1326">
        <f t="shared" si="89"/>
        <v>0</v>
      </c>
      <c r="AQ97" s="1326">
        <f t="shared" si="89"/>
        <v>0</v>
      </c>
      <c r="AR97" s="1326">
        <f t="shared" si="89"/>
        <v>0</v>
      </c>
      <c r="AS97" s="1326">
        <f t="shared" si="89"/>
        <v>0</v>
      </c>
      <c r="AT97" s="1326">
        <f t="shared" si="89"/>
        <v>0</v>
      </c>
      <c r="AU97" s="1324"/>
      <c r="AV97" s="1248"/>
    </row>
    <row r="98" spans="21:48">
      <c r="U98" s="2271"/>
      <c r="V98" s="2264"/>
      <c r="W98" s="1247" t="s">
        <v>1770</v>
      </c>
      <c r="X98" s="1248" t="s">
        <v>6</v>
      </c>
      <c r="Y98" s="1280">
        <v>0</v>
      </c>
      <c r="Z98" s="1280">
        <v>0</v>
      </c>
      <c r="AA98" s="1280">
        <v>0</v>
      </c>
      <c r="AB98" s="1280">
        <v>0</v>
      </c>
      <c r="AC98" s="1280">
        <v>0</v>
      </c>
      <c r="AD98" s="1280">
        <v>0</v>
      </c>
      <c r="AE98" s="1280">
        <v>0</v>
      </c>
      <c r="AF98" s="1280">
        <v>0</v>
      </c>
      <c r="AG98" s="1280">
        <v>0</v>
      </c>
      <c r="AH98" s="1280">
        <v>0</v>
      </c>
      <c r="AI98" s="1281" t="s">
        <v>243</v>
      </c>
      <c r="AJ98" s="1279"/>
      <c r="AK98" s="1325">
        <f t="shared" si="89"/>
        <v>0</v>
      </c>
      <c r="AL98" s="1326">
        <f t="shared" si="89"/>
        <v>0</v>
      </c>
      <c r="AM98" s="1326">
        <f t="shared" si="89"/>
        <v>0</v>
      </c>
      <c r="AN98" s="1326">
        <f t="shared" si="89"/>
        <v>0</v>
      </c>
      <c r="AO98" s="1326">
        <f t="shared" si="89"/>
        <v>0</v>
      </c>
      <c r="AP98" s="1326">
        <f t="shared" si="89"/>
        <v>0</v>
      </c>
      <c r="AQ98" s="1326">
        <f t="shared" si="89"/>
        <v>0</v>
      </c>
      <c r="AR98" s="1326">
        <f t="shared" si="89"/>
        <v>0</v>
      </c>
      <c r="AS98" s="1326">
        <f t="shared" si="89"/>
        <v>0</v>
      </c>
      <c r="AT98" s="1326">
        <f t="shared" si="89"/>
        <v>0</v>
      </c>
      <c r="AU98" s="1324"/>
      <c r="AV98" s="1248"/>
    </row>
    <row r="99" spans="21:48">
      <c r="U99" s="2271"/>
      <c r="V99" s="2264"/>
      <c r="W99" s="1247" t="s">
        <v>1915</v>
      </c>
      <c r="X99" s="1248" t="s">
        <v>6</v>
      </c>
      <c r="Y99" s="1280"/>
      <c r="Z99" s="1280"/>
      <c r="AA99" s="1280">
        <v>4.88</v>
      </c>
      <c r="AB99" s="1280"/>
      <c r="AC99" s="1280">
        <v>4.4000000000000004</v>
      </c>
      <c r="AD99" s="1280">
        <v>4.9000000000000004</v>
      </c>
      <c r="AE99" s="1280"/>
      <c r="AF99" s="1280"/>
      <c r="AG99" s="1280"/>
      <c r="AH99" s="1280"/>
      <c r="AI99" s="1281"/>
      <c r="AJ99" s="1279"/>
      <c r="AK99" s="1325">
        <f t="shared" si="89"/>
        <v>0</v>
      </c>
      <c r="AL99" s="1326">
        <f t="shared" si="89"/>
        <v>0</v>
      </c>
      <c r="AM99" s="1326">
        <f t="shared" si="89"/>
        <v>0</v>
      </c>
      <c r="AN99" s="1326">
        <f t="shared" si="89"/>
        <v>0</v>
      </c>
      <c r="AO99" s="1326">
        <f t="shared" si="89"/>
        <v>0</v>
      </c>
      <c r="AP99" s="1326">
        <f t="shared" si="89"/>
        <v>0</v>
      </c>
      <c r="AQ99" s="1326">
        <f t="shared" si="89"/>
        <v>0</v>
      </c>
      <c r="AR99" s="1326">
        <f t="shared" si="89"/>
        <v>0</v>
      </c>
      <c r="AS99" s="1326">
        <f t="shared" si="89"/>
        <v>0</v>
      </c>
      <c r="AT99" s="1326">
        <f t="shared" si="89"/>
        <v>0</v>
      </c>
      <c r="AU99" s="1324"/>
      <c r="AV99" s="1248"/>
    </row>
    <row r="100" spans="21:48">
      <c r="U100" s="2271"/>
      <c r="V100" s="2264"/>
      <c r="W100" s="1247" t="s">
        <v>479</v>
      </c>
      <c r="AI100" s="1282"/>
      <c r="AK100" s="1325"/>
      <c r="AL100" s="1326"/>
      <c r="AM100" s="1326"/>
      <c r="AN100" s="1326"/>
      <c r="AO100" s="1326"/>
      <c r="AP100" s="1326"/>
      <c r="AQ100" s="1326"/>
      <c r="AR100" s="1326"/>
      <c r="AS100" s="1326"/>
      <c r="AT100" s="1326"/>
      <c r="AU100" s="1324"/>
      <c r="AV100" s="1248"/>
    </row>
    <row r="101" spans="21:48">
      <c r="U101" s="2271"/>
      <c r="V101" s="2264"/>
      <c r="W101" s="1247" t="s">
        <v>1311</v>
      </c>
      <c r="X101" s="1248" t="s">
        <v>0</v>
      </c>
      <c r="Y101" s="1248">
        <v>313</v>
      </c>
      <c r="Z101" s="1248">
        <v>290</v>
      </c>
      <c r="AA101" s="1248">
        <v>320</v>
      </c>
      <c r="AB101" s="1248">
        <v>295</v>
      </c>
      <c r="AC101" s="1248">
        <v>330</v>
      </c>
      <c r="AD101" s="1248">
        <v>325</v>
      </c>
      <c r="AE101" s="1248">
        <v>290</v>
      </c>
      <c r="AF101" s="1248">
        <v>290</v>
      </c>
      <c r="AG101" s="1248">
        <v>298</v>
      </c>
      <c r="AH101" s="1248">
        <v>320</v>
      </c>
      <c r="AI101" s="1282" t="s">
        <v>243</v>
      </c>
      <c r="AK101" s="1325">
        <f t="shared" ref="AK101:AT103" si="90">IF($X$30=$V$95,Y101,0)</f>
        <v>0</v>
      </c>
      <c r="AL101" s="1326">
        <f t="shared" si="90"/>
        <v>0</v>
      </c>
      <c r="AM101" s="1326">
        <f t="shared" si="90"/>
        <v>0</v>
      </c>
      <c r="AN101" s="1326">
        <f t="shared" si="90"/>
        <v>0</v>
      </c>
      <c r="AO101" s="1326">
        <f t="shared" si="90"/>
        <v>0</v>
      </c>
      <c r="AP101" s="1326">
        <f t="shared" si="90"/>
        <v>0</v>
      </c>
      <c r="AQ101" s="1326">
        <f t="shared" si="90"/>
        <v>0</v>
      </c>
      <c r="AR101" s="1326">
        <f t="shared" si="90"/>
        <v>0</v>
      </c>
      <c r="AS101" s="1326">
        <f t="shared" si="90"/>
        <v>0</v>
      </c>
      <c r="AT101" s="1326">
        <f t="shared" si="90"/>
        <v>0</v>
      </c>
      <c r="AU101" s="1324"/>
      <c r="AV101" s="1248"/>
    </row>
    <row r="102" spans="21:48">
      <c r="U102" s="2271"/>
      <c r="V102" s="2264"/>
      <c r="W102" s="1247" t="s">
        <v>446</v>
      </c>
      <c r="X102" s="1248" t="s">
        <v>0</v>
      </c>
      <c r="Y102" s="1248">
        <v>1030</v>
      </c>
      <c r="Z102" s="1248">
        <v>1050</v>
      </c>
      <c r="AA102" s="1248">
        <v>998</v>
      </c>
      <c r="AB102" s="1248">
        <v>1030</v>
      </c>
      <c r="AC102" s="1248">
        <v>1080</v>
      </c>
      <c r="AD102" s="1248">
        <v>1100</v>
      </c>
      <c r="AE102" s="1248">
        <v>1070</v>
      </c>
      <c r="AF102" s="1248">
        <v>1070</v>
      </c>
      <c r="AG102" s="1248">
        <v>940</v>
      </c>
      <c r="AH102" s="1248">
        <v>1050</v>
      </c>
      <c r="AI102" s="1282" t="s">
        <v>243</v>
      </c>
      <c r="AK102" s="1325">
        <f t="shared" si="90"/>
        <v>0</v>
      </c>
      <c r="AL102" s="1326">
        <f t="shared" si="90"/>
        <v>0</v>
      </c>
      <c r="AM102" s="1326">
        <f t="shared" si="90"/>
        <v>0</v>
      </c>
      <c r="AN102" s="1326">
        <f t="shared" si="90"/>
        <v>0</v>
      </c>
      <c r="AO102" s="1326">
        <f t="shared" si="90"/>
        <v>0</v>
      </c>
      <c r="AP102" s="1326">
        <f t="shared" si="90"/>
        <v>0</v>
      </c>
      <c r="AQ102" s="1326">
        <f t="shared" si="90"/>
        <v>0</v>
      </c>
      <c r="AR102" s="1326">
        <f t="shared" si="90"/>
        <v>0</v>
      </c>
      <c r="AS102" s="1326">
        <f t="shared" si="90"/>
        <v>0</v>
      </c>
      <c r="AT102" s="1326">
        <f t="shared" si="90"/>
        <v>0</v>
      </c>
      <c r="AU102" s="1324"/>
      <c r="AV102" s="1248"/>
    </row>
    <row r="103" spans="21:48">
      <c r="U103" s="2271"/>
      <c r="V103" s="2264"/>
      <c r="W103" s="1247" t="s">
        <v>1771</v>
      </c>
      <c r="X103" s="1248" t="s">
        <v>0</v>
      </c>
      <c r="Y103" s="1248">
        <v>221</v>
      </c>
      <c r="Z103" s="1248">
        <v>238</v>
      </c>
      <c r="AA103" s="1248">
        <v>228</v>
      </c>
      <c r="AB103" s="1248">
        <v>207</v>
      </c>
      <c r="AC103" s="1248">
        <v>228</v>
      </c>
      <c r="AD103" s="1248">
        <v>258</v>
      </c>
      <c r="AE103" s="1248">
        <v>235</v>
      </c>
      <c r="AF103" s="1248">
        <v>235</v>
      </c>
      <c r="AG103" s="1248">
        <v>200</v>
      </c>
      <c r="AH103" s="1248">
        <v>228</v>
      </c>
      <c r="AI103" s="1282" t="s">
        <v>243</v>
      </c>
      <c r="AK103" s="1325">
        <f t="shared" si="90"/>
        <v>0</v>
      </c>
      <c r="AL103" s="1326">
        <f t="shared" si="90"/>
        <v>0</v>
      </c>
      <c r="AM103" s="1326">
        <f t="shared" si="90"/>
        <v>0</v>
      </c>
      <c r="AN103" s="1326">
        <f t="shared" si="90"/>
        <v>0</v>
      </c>
      <c r="AO103" s="1326">
        <f t="shared" si="90"/>
        <v>0</v>
      </c>
      <c r="AP103" s="1326">
        <f t="shared" si="90"/>
        <v>0</v>
      </c>
      <c r="AQ103" s="1326">
        <f t="shared" si="90"/>
        <v>0</v>
      </c>
      <c r="AR103" s="1326">
        <f t="shared" si="90"/>
        <v>0</v>
      </c>
      <c r="AS103" s="1326">
        <f t="shared" si="90"/>
        <v>0</v>
      </c>
      <c r="AT103" s="1326">
        <f t="shared" si="90"/>
        <v>0</v>
      </c>
      <c r="AU103" s="1324"/>
      <c r="AV103" s="1248"/>
    </row>
    <row r="104" spans="21:48">
      <c r="U104" s="2271"/>
      <c r="V104" s="2264"/>
      <c r="W104" s="1247" t="s">
        <v>1745</v>
      </c>
      <c r="AI104" s="1282"/>
      <c r="AK104" s="1325"/>
      <c r="AL104" s="1326"/>
      <c r="AM104" s="1326"/>
      <c r="AN104" s="1326"/>
      <c r="AO104" s="1326"/>
      <c r="AP104" s="1326"/>
      <c r="AQ104" s="1326"/>
      <c r="AR104" s="1326"/>
      <c r="AS104" s="1326"/>
      <c r="AT104" s="1326"/>
      <c r="AU104" s="1324"/>
      <c r="AV104" s="1248"/>
    </row>
    <row r="105" spans="21:48">
      <c r="U105" s="2271"/>
      <c r="V105" s="2264"/>
      <c r="W105" s="1247" t="s">
        <v>179</v>
      </c>
      <c r="X105" s="1249"/>
      <c r="Y105" s="1249" t="s">
        <v>1812</v>
      </c>
      <c r="Z105" s="1249" t="s">
        <v>1813</v>
      </c>
      <c r="AA105" s="1249" t="s">
        <v>1814</v>
      </c>
      <c r="AB105" s="1249" t="s">
        <v>1815</v>
      </c>
      <c r="AC105" s="1249" t="s">
        <v>243</v>
      </c>
      <c r="AD105" s="1249" t="s">
        <v>1816</v>
      </c>
      <c r="AE105" s="1249" t="s">
        <v>1817</v>
      </c>
      <c r="AF105" s="1248" t="s">
        <v>243</v>
      </c>
      <c r="AG105" s="1248" t="s">
        <v>243</v>
      </c>
      <c r="AH105" s="1249" t="s">
        <v>1818</v>
      </c>
      <c r="AI105" s="1276" t="s">
        <v>243</v>
      </c>
      <c r="AJ105" s="1249"/>
      <c r="AK105" s="1325" t="str">
        <f t="shared" ref="AK105:AT105" si="91">IF($X$30=$V$95,Y105,"")</f>
        <v/>
      </c>
      <c r="AL105" s="1326" t="str">
        <f t="shared" si="91"/>
        <v/>
      </c>
      <c r="AM105" s="1326" t="str">
        <f t="shared" si="91"/>
        <v/>
      </c>
      <c r="AN105" s="1326" t="str">
        <f t="shared" si="91"/>
        <v/>
      </c>
      <c r="AO105" s="1326" t="str">
        <f t="shared" si="91"/>
        <v/>
      </c>
      <c r="AP105" s="1326" t="str">
        <f t="shared" si="91"/>
        <v/>
      </c>
      <c r="AQ105" s="1326" t="str">
        <f t="shared" si="91"/>
        <v/>
      </c>
      <c r="AR105" s="1326" t="str">
        <f t="shared" si="91"/>
        <v/>
      </c>
      <c r="AS105" s="1326" t="str">
        <f t="shared" si="91"/>
        <v/>
      </c>
      <c r="AT105" s="1326" t="str">
        <f t="shared" si="91"/>
        <v/>
      </c>
      <c r="AU105" s="1324"/>
      <c r="AV105" s="1248"/>
    </row>
    <row r="106" spans="21:48">
      <c r="U106" s="2271"/>
      <c r="V106" s="2264"/>
      <c r="W106" s="1247" t="s">
        <v>479</v>
      </c>
      <c r="AI106" s="1282"/>
      <c r="AK106" s="1325"/>
      <c r="AL106" s="1326"/>
      <c r="AM106" s="1326"/>
      <c r="AN106" s="1326"/>
      <c r="AO106" s="1326"/>
      <c r="AP106" s="1326"/>
      <c r="AQ106" s="1326"/>
      <c r="AR106" s="1326"/>
      <c r="AS106" s="1326"/>
      <c r="AT106" s="1326"/>
      <c r="AU106" s="1324"/>
      <c r="AV106" s="1248"/>
    </row>
    <row r="107" spans="21:48">
      <c r="U107" s="2271"/>
      <c r="V107" s="2264"/>
      <c r="W107" s="1247" t="s">
        <v>1311</v>
      </c>
      <c r="X107" s="1248" t="s">
        <v>0</v>
      </c>
      <c r="Y107" s="1248">
        <v>695</v>
      </c>
      <c r="Z107" s="1248">
        <v>735</v>
      </c>
      <c r="AA107" s="1248">
        <v>620</v>
      </c>
      <c r="AB107" s="1248">
        <v>570</v>
      </c>
      <c r="AC107" s="1248">
        <v>695</v>
      </c>
      <c r="AD107" s="1248">
        <v>550</v>
      </c>
      <c r="AE107" s="1248">
        <v>750</v>
      </c>
      <c r="AF107" s="1248">
        <v>750</v>
      </c>
      <c r="AG107" s="1248">
        <v>680</v>
      </c>
      <c r="AH107" s="1248">
        <v>715</v>
      </c>
      <c r="AI107" s="1282" t="s">
        <v>243</v>
      </c>
      <c r="AK107" s="1325">
        <f t="shared" ref="AK107:AT110" si="92">IF($X$30=$V$95,Y107,0)</f>
        <v>0</v>
      </c>
      <c r="AL107" s="1326">
        <f t="shared" si="92"/>
        <v>0</v>
      </c>
      <c r="AM107" s="1326">
        <f t="shared" si="92"/>
        <v>0</v>
      </c>
      <c r="AN107" s="1326">
        <f t="shared" si="92"/>
        <v>0</v>
      </c>
      <c r="AO107" s="1326">
        <f t="shared" si="92"/>
        <v>0</v>
      </c>
      <c r="AP107" s="1326">
        <f t="shared" si="92"/>
        <v>0</v>
      </c>
      <c r="AQ107" s="1326">
        <f t="shared" si="92"/>
        <v>0</v>
      </c>
      <c r="AR107" s="1326">
        <f t="shared" si="92"/>
        <v>0</v>
      </c>
      <c r="AS107" s="1326">
        <f t="shared" si="92"/>
        <v>0</v>
      </c>
      <c r="AT107" s="1326">
        <f t="shared" si="92"/>
        <v>0</v>
      </c>
      <c r="AU107" s="1324"/>
      <c r="AV107" s="1248"/>
    </row>
    <row r="108" spans="21:48">
      <c r="U108" s="2271"/>
      <c r="V108" s="2264"/>
      <c r="W108" s="1247" t="s">
        <v>446</v>
      </c>
      <c r="X108" s="1248" t="s">
        <v>0</v>
      </c>
      <c r="Y108" s="1248">
        <v>845</v>
      </c>
      <c r="Z108" s="1248">
        <v>825</v>
      </c>
      <c r="AA108" s="1248">
        <v>790</v>
      </c>
      <c r="AB108" s="1248">
        <v>750</v>
      </c>
      <c r="AC108" s="1248">
        <v>845</v>
      </c>
      <c r="AD108" s="1248">
        <v>800</v>
      </c>
      <c r="AE108" s="1248">
        <v>875</v>
      </c>
      <c r="AF108" s="1248">
        <v>875</v>
      </c>
      <c r="AG108" s="1248">
        <v>913</v>
      </c>
      <c r="AH108" s="1248">
        <v>780</v>
      </c>
      <c r="AI108" s="1282" t="s">
        <v>243</v>
      </c>
      <c r="AK108" s="1325">
        <f t="shared" si="92"/>
        <v>0</v>
      </c>
      <c r="AL108" s="1326">
        <f t="shared" si="92"/>
        <v>0</v>
      </c>
      <c r="AM108" s="1326">
        <f t="shared" si="92"/>
        <v>0</v>
      </c>
      <c r="AN108" s="1326">
        <f t="shared" si="92"/>
        <v>0</v>
      </c>
      <c r="AO108" s="1326">
        <f t="shared" si="92"/>
        <v>0</v>
      </c>
      <c r="AP108" s="1326">
        <f t="shared" si="92"/>
        <v>0</v>
      </c>
      <c r="AQ108" s="1326">
        <f t="shared" si="92"/>
        <v>0</v>
      </c>
      <c r="AR108" s="1326">
        <f t="shared" si="92"/>
        <v>0</v>
      </c>
      <c r="AS108" s="1326">
        <f t="shared" si="92"/>
        <v>0</v>
      </c>
      <c r="AT108" s="1326">
        <f t="shared" si="92"/>
        <v>0</v>
      </c>
      <c r="AU108" s="1324"/>
      <c r="AV108" s="1248"/>
    </row>
    <row r="109" spans="21:48">
      <c r="U109" s="2271"/>
      <c r="V109" s="2264"/>
      <c r="W109" s="1247" t="s">
        <v>1771</v>
      </c>
      <c r="X109" s="1248" t="s">
        <v>0</v>
      </c>
      <c r="Y109" s="1248">
        <v>335</v>
      </c>
      <c r="Z109" s="1248">
        <v>300</v>
      </c>
      <c r="AA109" s="1248">
        <v>298</v>
      </c>
      <c r="AB109" s="1248">
        <v>280</v>
      </c>
      <c r="AC109" s="1248">
        <v>335</v>
      </c>
      <c r="AD109" s="1248">
        <v>285</v>
      </c>
      <c r="AE109" s="1248">
        <v>345</v>
      </c>
      <c r="AF109" s="1248">
        <v>345</v>
      </c>
      <c r="AG109" s="1248">
        <v>378</v>
      </c>
      <c r="AH109" s="1248">
        <v>290</v>
      </c>
      <c r="AI109" s="1282" t="s">
        <v>243</v>
      </c>
      <c r="AK109" s="1325">
        <f t="shared" si="92"/>
        <v>0</v>
      </c>
      <c r="AL109" s="1326">
        <f t="shared" si="92"/>
        <v>0</v>
      </c>
      <c r="AM109" s="1326">
        <f t="shared" si="92"/>
        <v>0</v>
      </c>
      <c r="AN109" s="1326">
        <f t="shared" si="92"/>
        <v>0</v>
      </c>
      <c r="AO109" s="1326">
        <f t="shared" si="92"/>
        <v>0</v>
      </c>
      <c r="AP109" s="1326">
        <f t="shared" si="92"/>
        <v>0</v>
      </c>
      <c r="AQ109" s="1326">
        <f t="shared" si="92"/>
        <v>0</v>
      </c>
      <c r="AR109" s="1326">
        <f t="shared" si="92"/>
        <v>0</v>
      </c>
      <c r="AS109" s="1326">
        <f t="shared" si="92"/>
        <v>0</v>
      </c>
      <c r="AT109" s="1326">
        <f t="shared" si="92"/>
        <v>0</v>
      </c>
      <c r="AU109" s="1324"/>
      <c r="AV109" s="1248"/>
    </row>
    <row r="110" spans="21:48">
      <c r="U110" s="2271"/>
      <c r="V110" s="2264"/>
      <c r="W110" s="1247" t="s">
        <v>1746</v>
      </c>
      <c r="X110" s="1248" t="s">
        <v>212</v>
      </c>
      <c r="Z110" s="1248">
        <v>50</v>
      </c>
      <c r="AA110" s="1248" t="s">
        <v>243</v>
      </c>
      <c r="AB110" s="1248" t="s">
        <v>243</v>
      </c>
      <c r="AC110" s="1248" t="s">
        <v>243</v>
      </c>
      <c r="AD110" s="1248">
        <v>52</v>
      </c>
      <c r="AE110" s="1248" t="s">
        <v>243</v>
      </c>
      <c r="AF110" s="1248" t="s">
        <v>243</v>
      </c>
      <c r="AG110" s="1248" t="s">
        <v>243</v>
      </c>
      <c r="AH110" s="1248" t="s">
        <v>243</v>
      </c>
      <c r="AI110" s="1282" t="s">
        <v>243</v>
      </c>
      <c r="AK110" s="1325">
        <f t="shared" si="92"/>
        <v>0</v>
      </c>
      <c r="AL110" s="1326">
        <f t="shared" si="92"/>
        <v>0</v>
      </c>
      <c r="AM110" s="1326">
        <f t="shared" si="92"/>
        <v>0</v>
      </c>
      <c r="AN110" s="1326">
        <f t="shared" si="92"/>
        <v>0</v>
      </c>
      <c r="AO110" s="1326">
        <f t="shared" si="92"/>
        <v>0</v>
      </c>
      <c r="AP110" s="1326">
        <f t="shared" si="92"/>
        <v>0</v>
      </c>
      <c r="AQ110" s="1326">
        <f t="shared" si="92"/>
        <v>0</v>
      </c>
      <c r="AR110" s="1326">
        <f t="shared" si="92"/>
        <v>0</v>
      </c>
      <c r="AS110" s="1326">
        <f t="shared" si="92"/>
        <v>0</v>
      </c>
      <c r="AT110" s="1326">
        <f t="shared" si="92"/>
        <v>0</v>
      </c>
      <c r="AU110" s="1327"/>
      <c r="AV110" s="1248"/>
    </row>
    <row r="111" spans="21:48">
      <c r="U111" s="2271"/>
      <c r="V111" s="2264"/>
      <c r="W111" s="1247" t="s">
        <v>1747</v>
      </c>
      <c r="AI111" s="1282"/>
      <c r="AK111" s="1325"/>
      <c r="AL111" s="1326"/>
      <c r="AM111" s="1326"/>
      <c r="AN111" s="1326"/>
      <c r="AO111" s="1326"/>
      <c r="AP111" s="1326"/>
      <c r="AQ111" s="1326"/>
      <c r="AR111" s="1326"/>
      <c r="AS111" s="1326"/>
      <c r="AT111" s="1326"/>
      <c r="AU111" s="1327"/>
      <c r="AV111" s="1248"/>
    </row>
    <row r="112" spans="21:48">
      <c r="U112" s="2271"/>
      <c r="V112" s="2264"/>
      <c r="W112" s="1247" t="s">
        <v>1779</v>
      </c>
      <c r="X112" s="1248" t="s">
        <v>173</v>
      </c>
      <c r="Y112" s="1248">
        <v>1650</v>
      </c>
      <c r="Z112" s="1248">
        <v>1640</v>
      </c>
      <c r="AA112" s="1248">
        <v>1580</v>
      </c>
      <c r="AB112" s="1248">
        <v>1790</v>
      </c>
      <c r="AC112" s="1248">
        <v>1650</v>
      </c>
      <c r="AD112" s="1248">
        <v>1810</v>
      </c>
      <c r="AE112" s="1248">
        <v>1660</v>
      </c>
      <c r="AF112" s="1248" t="s">
        <v>243</v>
      </c>
      <c r="AG112" s="1248">
        <v>1870</v>
      </c>
      <c r="AH112" s="1248">
        <v>1640</v>
      </c>
      <c r="AI112" s="1282" t="s">
        <v>243</v>
      </c>
      <c r="AK112" s="1325">
        <f t="shared" ref="AK112:AT115" si="93">IF($X$30=$V$95,Y112,0)</f>
        <v>0</v>
      </c>
      <c r="AL112" s="1326">
        <f t="shared" si="93"/>
        <v>0</v>
      </c>
      <c r="AM112" s="1326">
        <f t="shared" si="93"/>
        <v>0</v>
      </c>
      <c r="AN112" s="1326">
        <f t="shared" si="93"/>
        <v>0</v>
      </c>
      <c r="AO112" s="1326">
        <f t="shared" si="93"/>
        <v>0</v>
      </c>
      <c r="AP112" s="1326">
        <f t="shared" si="93"/>
        <v>0</v>
      </c>
      <c r="AQ112" s="1326">
        <f t="shared" si="93"/>
        <v>0</v>
      </c>
      <c r="AR112" s="1326">
        <f t="shared" si="93"/>
        <v>0</v>
      </c>
      <c r="AS112" s="1326">
        <f t="shared" si="93"/>
        <v>0</v>
      </c>
      <c r="AT112" s="1326">
        <f t="shared" si="93"/>
        <v>0</v>
      </c>
      <c r="AU112" s="1327"/>
      <c r="AV112" s="1248"/>
    </row>
    <row r="113" spans="21:48">
      <c r="U113" s="2271"/>
      <c r="V113" s="2264"/>
      <c r="W113" s="1247" t="s">
        <v>123</v>
      </c>
      <c r="X113" s="1248" t="s">
        <v>1246</v>
      </c>
      <c r="Y113" s="1248">
        <v>7.6</v>
      </c>
      <c r="Z113" s="1248">
        <v>7.5</v>
      </c>
      <c r="AA113" s="1248">
        <v>7.4</v>
      </c>
      <c r="AB113" s="1248">
        <v>8.3000000000000007</v>
      </c>
      <c r="AC113" s="1248">
        <v>7.5</v>
      </c>
      <c r="AD113" s="1248">
        <v>12</v>
      </c>
      <c r="AE113" s="1248">
        <v>7.7</v>
      </c>
      <c r="AF113" s="1248" t="s">
        <v>243</v>
      </c>
      <c r="AG113" s="1248">
        <v>10.9</v>
      </c>
      <c r="AH113" s="1248">
        <v>7.6</v>
      </c>
      <c r="AI113" s="1282" t="s">
        <v>243</v>
      </c>
      <c r="AK113" s="1325">
        <f t="shared" si="93"/>
        <v>0</v>
      </c>
      <c r="AL113" s="1326">
        <f t="shared" si="93"/>
        <v>0</v>
      </c>
      <c r="AM113" s="1326">
        <f t="shared" si="93"/>
        <v>0</v>
      </c>
      <c r="AN113" s="1326">
        <f t="shared" si="93"/>
        <v>0</v>
      </c>
      <c r="AO113" s="1326">
        <f t="shared" si="93"/>
        <v>0</v>
      </c>
      <c r="AP113" s="1326">
        <f t="shared" si="93"/>
        <v>0</v>
      </c>
      <c r="AQ113" s="1326">
        <f t="shared" si="93"/>
        <v>0</v>
      </c>
      <c r="AR113" s="1326">
        <f t="shared" si="93"/>
        <v>0</v>
      </c>
      <c r="AS113" s="1326">
        <f t="shared" si="93"/>
        <v>0</v>
      </c>
      <c r="AT113" s="1326">
        <f t="shared" si="93"/>
        <v>0</v>
      </c>
      <c r="AU113" s="1327"/>
      <c r="AV113" s="1248"/>
    </row>
    <row r="114" spans="21:48">
      <c r="U114" s="2271"/>
      <c r="V114" s="2264"/>
      <c r="W114" s="1271" t="s">
        <v>1780</v>
      </c>
      <c r="Y114" s="1248" t="s">
        <v>243</v>
      </c>
      <c r="Z114" s="1248">
        <v>30</v>
      </c>
      <c r="AA114" s="1248" t="s">
        <v>243</v>
      </c>
      <c r="AB114" s="1248" t="s">
        <v>243</v>
      </c>
      <c r="AC114" s="1248" t="s">
        <v>243</v>
      </c>
      <c r="AD114" s="1248">
        <v>25</v>
      </c>
      <c r="AE114" s="1248" t="s">
        <v>243</v>
      </c>
      <c r="AF114" s="1248" t="s">
        <v>243</v>
      </c>
      <c r="AG114" s="1248" t="s">
        <v>243</v>
      </c>
      <c r="AH114" s="1248" t="s">
        <v>243</v>
      </c>
      <c r="AI114" s="1282" t="s">
        <v>243</v>
      </c>
      <c r="AK114" s="1325">
        <f t="shared" si="93"/>
        <v>0</v>
      </c>
      <c r="AL114" s="1326">
        <f t="shared" si="93"/>
        <v>0</v>
      </c>
      <c r="AM114" s="1326">
        <f t="shared" si="93"/>
        <v>0</v>
      </c>
      <c r="AN114" s="1326">
        <f t="shared" si="93"/>
        <v>0</v>
      </c>
      <c r="AO114" s="1326">
        <f t="shared" si="93"/>
        <v>0</v>
      </c>
      <c r="AP114" s="1326">
        <f t="shared" si="93"/>
        <v>0</v>
      </c>
      <c r="AQ114" s="1326">
        <f t="shared" si="93"/>
        <v>0</v>
      </c>
      <c r="AR114" s="1326">
        <f t="shared" si="93"/>
        <v>0</v>
      </c>
      <c r="AS114" s="1326">
        <f t="shared" si="93"/>
        <v>0</v>
      </c>
      <c r="AT114" s="1326">
        <f t="shared" si="93"/>
        <v>0</v>
      </c>
      <c r="AU114" s="1327"/>
      <c r="AV114" s="1248"/>
    </row>
    <row r="115" spans="21:48">
      <c r="U115" s="2271"/>
      <c r="V115" s="2264"/>
      <c r="W115" s="1271" t="s">
        <v>1752</v>
      </c>
      <c r="Y115" s="1248" t="s">
        <v>243</v>
      </c>
      <c r="Z115" s="1248">
        <v>20</v>
      </c>
      <c r="AA115" s="1248" t="s">
        <v>243</v>
      </c>
      <c r="AB115" s="1248" t="s">
        <v>243</v>
      </c>
      <c r="AC115" s="1248" t="s">
        <v>243</v>
      </c>
      <c r="AD115" s="1248">
        <v>10</v>
      </c>
      <c r="AE115" s="1248" t="s">
        <v>243</v>
      </c>
      <c r="AF115" s="1248" t="s">
        <v>243</v>
      </c>
      <c r="AG115" s="1248" t="s">
        <v>243</v>
      </c>
      <c r="AH115" s="1248" t="s">
        <v>243</v>
      </c>
      <c r="AI115" s="1282" t="s">
        <v>243</v>
      </c>
      <c r="AK115" s="1325">
        <f t="shared" si="93"/>
        <v>0</v>
      </c>
      <c r="AL115" s="1326">
        <f t="shared" si="93"/>
        <v>0</v>
      </c>
      <c r="AM115" s="1326">
        <f t="shared" si="93"/>
        <v>0</v>
      </c>
      <c r="AN115" s="1326">
        <f t="shared" si="93"/>
        <v>0</v>
      </c>
      <c r="AO115" s="1326">
        <f t="shared" si="93"/>
        <v>0</v>
      </c>
      <c r="AP115" s="1326">
        <f t="shared" si="93"/>
        <v>0</v>
      </c>
      <c r="AQ115" s="1326">
        <f t="shared" si="93"/>
        <v>0</v>
      </c>
      <c r="AR115" s="1326">
        <f t="shared" si="93"/>
        <v>0</v>
      </c>
      <c r="AS115" s="1326">
        <f t="shared" si="93"/>
        <v>0</v>
      </c>
      <c r="AT115" s="1326">
        <f t="shared" si="93"/>
        <v>0</v>
      </c>
      <c r="AU115" s="1327"/>
      <c r="AV115" s="1248"/>
    </row>
    <row r="116" spans="21:48">
      <c r="U116" s="2271"/>
      <c r="V116" s="2265"/>
      <c r="W116" s="1268" t="s">
        <v>1749</v>
      </c>
      <c r="X116" s="1288"/>
      <c r="Y116" s="1288" t="s">
        <v>1781</v>
      </c>
      <c r="Z116" s="1288" t="s">
        <v>1781</v>
      </c>
      <c r="AA116" s="1288" t="s">
        <v>1781</v>
      </c>
      <c r="AB116" s="1288" t="s">
        <v>1782</v>
      </c>
      <c r="AC116" s="1288" t="s">
        <v>1781</v>
      </c>
      <c r="AD116" s="1288" t="s">
        <v>243</v>
      </c>
      <c r="AE116" s="1288" t="s">
        <v>1781</v>
      </c>
      <c r="AF116" s="1288" t="s">
        <v>1781</v>
      </c>
      <c r="AG116" s="1288" t="s">
        <v>1819</v>
      </c>
      <c r="AH116" s="1288" t="s">
        <v>1781</v>
      </c>
      <c r="AI116" s="1289" t="s">
        <v>243</v>
      </c>
      <c r="AK116" s="1325" t="str">
        <f t="shared" ref="AK116:AT116" si="94">IF($X$30=$V$95,Y116,"")</f>
        <v/>
      </c>
      <c r="AL116" s="1326" t="str">
        <f t="shared" si="94"/>
        <v/>
      </c>
      <c r="AM116" s="1326" t="str">
        <f t="shared" si="94"/>
        <v/>
      </c>
      <c r="AN116" s="1326" t="str">
        <f t="shared" si="94"/>
        <v/>
      </c>
      <c r="AO116" s="1326" t="str">
        <f t="shared" si="94"/>
        <v/>
      </c>
      <c r="AP116" s="1326" t="str">
        <f t="shared" si="94"/>
        <v/>
      </c>
      <c r="AQ116" s="1326" t="str">
        <f t="shared" si="94"/>
        <v/>
      </c>
      <c r="AR116" s="1326" t="str">
        <f t="shared" si="94"/>
        <v/>
      </c>
      <c r="AS116" s="1326" t="str">
        <f t="shared" si="94"/>
        <v/>
      </c>
      <c r="AT116" s="1326" t="str">
        <f t="shared" si="94"/>
        <v/>
      </c>
      <c r="AU116" s="1327"/>
      <c r="AV116" s="1248"/>
    </row>
    <row r="117" spans="21:48">
      <c r="U117" s="1291"/>
      <c r="AK117" s="1325"/>
      <c r="AL117" s="1328"/>
      <c r="AM117" s="1328"/>
      <c r="AN117" s="1328"/>
      <c r="AO117" s="1328"/>
      <c r="AP117" s="1328"/>
      <c r="AQ117" s="1328"/>
      <c r="AR117" s="1328"/>
      <c r="AS117" s="1328"/>
      <c r="AT117" s="1328"/>
      <c r="AU117" s="1327"/>
      <c r="AV117" s="1248"/>
    </row>
    <row r="118" spans="21:48">
      <c r="U118" s="2262" t="s">
        <v>962</v>
      </c>
      <c r="W118" s="1292" t="s">
        <v>1820</v>
      </c>
      <c r="X118" s="1272"/>
      <c r="Y118" s="1272">
        <v>1</v>
      </c>
      <c r="Z118" s="1272">
        <v>2</v>
      </c>
      <c r="AA118" s="1272">
        <v>3</v>
      </c>
      <c r="AB118" s="1272">
        <v>4</v>
      </c>
      <c r="AC118" s="1247"/>
      <c r="AD118" s="1272">
        <v>6</v>
      </c>
      <c r="AE118" s="1272">
        <v>7</v>
      </c>
      <c r="AF118" s="1272">
        <v>8</v>
      </c>
      <c r="AG118" s="1272">
        <v>9</v>
      </c>
      <c r="AH118" s="1272">
        <v>10</v>
      </c>
      <c r="AI118" s="1272">
        <v>11</v>
      </c>
      <c r="AJ118" s="1272"/>
      <c r="AK118" s="1329">
        <v>1</v>
      </c>
      <c r="AL118" s="1330">
        <v>2</v>
      </c>
      <c r="AM118" s="1330">
        <v>3</v>
      </c>
      <c r="AN118" s="1330">
        <v>4</v>
      </c>
      <c r="AO118" s="1328"/>
      <c r="AP118" s="1330">
        <v>6</v>
      </c>
      <c r="AQ118" s="1330">
        <v>7</v>
      </c>
      <c r="AR118" s="1330">
        <v>8</v>
      </c>
      <c r="AS118" s="1330">
        <v>9</v>
      </c>
      <c r="AT118" s="1330">
        <v>10</v>
      </c>
      <c r="AU118" s="1331">
        <v>11</v>
      </c>
      <c r="AV118" s="1248"/>
    </row>
    <row r="119" spans="21:48" ht="23">
      <c r="U119" s="2262"/>
      <c r="V119" s="2263" t="s">
        <v>1821</v>
      </c>
      <c r="W119" s="1293" t="s">
        <v>746</v>
      </c>
      <c r="X119" s="1294" t="s">
        <v>1754</v>
      </c>
      <c r="Y119" s="1294" t="s">
        <v>406</v>
      </c>
      <c r="Z119" s="1294" t="s">
        <v>764</v>
      </c>
      <c r="AA119" s="1294" t="s">
        <v>797</v>
      </c>
      <c r="AB119" s="1294" t="s">
        <v>1710</v>
      </c>
      <c r="AC119" s="1294" t="s">
        <v>891</v>
      </c>
      <c r="AD119" s="1294" t="s">
        <v>1755</v>
      </c>
      <c r="AE119" s="1294" t="s">
        <v>1822</v>
      </c>
      <c r="AF119" s="1294" t="s">
        <v>863</v>
      </c>
      <c r="AG119" s="1294" t="s">
        <v>1709</v>
      </c>
      <c r="AH119" s="1294" t="s">
        <v>403</v>
      </c>
      <c r="AI119" s="1295" t="s">
        <v>405</v>
      </c>
      <c r="AJ119" s="1247"/>
      <c r="AK119" s="1322" t="str">
        <f t="shared" ref="AK119:AU121" si="95">IF($X$27=$X$24,Y119,"")</f>
        <v/>
      </c>
      <c r="AL119" s="1323" t="str">
        <f t="shared" si="95"/>
        <v/>
      </c>
      <c r="AM119" s="1323" t="str">
        <f t="shared" si="95"/>
        <v/>
      </c>
      <c r="AN119" s="1323" t="str">
        <f t="shared" si="95"/>
        <v/>
      </c>
      <c r="AO119" s="1323" t="str">
        <f t="shared" si="95"/>
        <v/>
      </c>
      <c r="AP119" s="1323" t="str">
        <f t="shared" si="95"/>
        <v/>
      </c>
      <c r="AQ119" s="1323" t="str">
        <f t="shared" si="95"/>
        <v/>
      </c>
      <c r="AR119" s="1323" t="str">
        <f t="shared" si="95"/>
        <v/>
      </c>
      <c r="AS119" s="1323" t="str">
        <f t="shared" si="95"/>
        <v/>
      </c>
      <c r="AT119" s="1323" t="str">
        <f t="shared" si="95"/>
        <v/>
      </c>
      <c r="AU119" s="1332" t="str">
        <f t="shared" si="95"/>
        <v/>
      </c>
      <c r="AV119" s="1248"/>
    </row>
    <row r="120" spans="21:48">
      <c r="U120" s="2262"/>
      <c r="V120" s="2264"/>
      <c r="W120" s="1271" t="s">
        <v>1735</v>
      </c>
      <c r="X120" s="1296"/>
      <c r="Y120" s="1272" t="s">
        <v>1757</v>
      </c>
      <c r="Z120" s="1272" t="s">
        <v>1736</v>
      </c>
      <c r="AA120" s="1272" t="s">
        <v>1736</v>
      </c>
      <c r="AB120" s="1272" t="s">
        <v>1736</v>
      </c>
      <c r="AC120" s="1272" t="s">
        <v>1757</v>
      </c>
      <c r="AD120" s="1272" t="s">
        <v>1757</v>
      </c>
      <c r="AE120" s="1272" t="s">
        <v>1736</v>
      </c>
      <c r="AF120" s="1272" t="s">
        <v>1736</v>
      </c>
      <c r="AG120" s="1272" t="s">
        <v>1757</v>
      </c>
      <c r="AH120" s="1272" t="s">
        <v>1757</v>
      </c>
      <c r="AI120" s="1297" t="s">
        <v>1757</v>
      </c>
      <c r="AJ120" s="1247"/>
      <c r="AK120" s="1322" t="str">
        <f t="shared" si="95"/>
        <v/>
      </c>
      <c r="AL120" s="1323" t="str">
        <f t="shared" si="95"/>
        <v/>
      </c>
      <c r="AM120" s="1323" t="str">
        <f t="shared" si="95"/>
        <v/>
      </c>
      <c r="AN120" s="1323" t="str">
        <f t="shared" si="95"/>
        <v/>
      </c>
      <c r="AO120" s="1323" t="str">
        <f t="shared" si="95"/>
        <v/>
      </c>
      <c r="AP120" s="1323" t="str">
        <f t="shared" si="95"/>
        <v/>
      </c>
      <c r="AQ120" s="1323" t="str">
        <f t="shared" si="95"/>
        <v/>
      </c>
      <c r="AR120" s="1323" t="str">
        <f t="shared" si="95"/>
        <v/>
      </c>
      <c r="AS120" s="1323" t="str">
        <f t="shared" si="95"/>
        <v/>
      </c>
      <c r="AT120" s="1323" t="str">
        <f t="shared" si="95"/>
        <v/>
      </c>
      <c r="AU120" s="1332" t="str">
        <f t="shared" si="95"/>
        <v/>
      </c>
      <c r="AV120" s="1248"/>
    </row>
    <row r="121" spans="21:48">
      <c r="U121" s="2262"/>
      <c r="V121" s="2264"/>
      <c r="W121" s="1271" t="s">
        <v>1737</v>
      </c>
      <c r="X121" s="1296"/>
      <c r="Y121" s="1296" t="s">
        <v>1758</v>
      </c>
      <c r="Z121" s="1296" t="s">
        <v>1758</v>
      </c>
      <c r="AA121" s="1296" t="s">
        <v>1758</v>
      </c>
      <c r="AB121" s="1296" t="s">
        <v>1758</v>
      </c>
      <c r="AC121" s="1296" t="s">
        <v>1758</v>
      </c>
      <c r="AD121" s="1296" t="s">
        <v>1758</v>
      </c>
      <c r="AE121" s="1296" t="s">
        <v>1758</v>
      </c>
      <c r="AF121" s="1296" t="s">
        <v>1758</v>
      </c>
      <c r="AG121" s="1296" t="s">
        <v>1758</v>
      </c>
      <c r="AH121" s="1296" t="s">
        <v>1758</v>
      </c>
      <c r="AI121" s="1298" t="s">
        <v>1758</v>
      </c>
      <c r="AJ121" s="1247"/>
      <c r="AK121" s="1322" t="str">
        <f t="shared" si="95"/>
        <v/>
      </c>
      <c r="AL121" s="1323" t="str">
        <f t="shared" si="95"/>
        <v/>
      </c>
      <c r="AM121" s="1323" t="str">
        <f t="shared" si="95"/>
        <v/>
      </c>
      <c r="AN121" s="1323" t="str">
        <f t="shared" si="95"/>
        <v/>
      </c>
      <c r="AO121" s="1323" t="str">
        <f t="shared" si="95"/>
        <v/>
      </c>
      <c r="AP121" s="1323" t="str">
        <f t="shared" si="95"/>
        <v/>
      </c>
      <c r="AQ121" s="1323" t="str">
        <f t="shared" si="95"/>
        <v/>
      </c>
      <c r="AR121" s="1323" t="str">
        <f t="shared" si="95"/>
        <v/>
      </c>
      <c r="AS121" s="1323" t="str">
        <f t="shared" si="95"/>
        <v/>
      </c>
      <c r="AT121" s="1323" t="str">
        <f t="shared" si="95"/>
        <v/>
      </c>
      <c r="AU121" s="1332" t="str">
        <f t="shared" si="95"/>
        <v/>
      </c>
      <c r="AV121" s="1248"/>
    </row>
    <row r="122" spans="21:48">
      <c r="U122" s="2262"/>
      <c r="V122" s="2264"/>
      <c r="W122" s="1271" t="s">
        <v>1738</v>
      </c>
      <c r="X122" s="1296"/>
      <c r="Y122" s="1296"/>
      <c r="Z122" s="1296"/>
      <c r="AA122" s="1296"/>
      <c r="AB122" s="1296"/>
      <c r="AC122" s="1296"/>
      <c r="AD122" s="1296"/>
      <c r="AE122" s="1272"/>
      <c r="AF122" s="1296"/>
      <c r="AG122" s="1296"/>
      <c r="AH122" s="1296"/>
      <c r="AI122" s="1298"/>
      <c r="AJ122" s="1247"/>
      <c r="AK122" s="1333"/>
      <c r="AL122" s="1328"/>
      <c r="AM122" s="1328"/>
      <c r="AN122" s="1328"/>
      <c r="AO122" s="1328"/>
      <c r="AP122" s="1326"/>
      <c r="AQ122" s="1328"/>
      <c r="AR122" s="1328"/>
      <c r="AS122" s="1328"/>
      <c r="AT122" s="1328"/>
      <c r="AU122" s="1327"/>
      <c r="AV122" s="1248"/>
    </row>
    <row r="123" spans="21:48" ht="23">
      <c r="U123" s="2262"/>
      <c r="V123" s="2264"/>
      <c r="W123" s="1271" t="s">
        <v>179</v>
      </c>
      <c r="X123" s="1296"/>
      <c r="Y123" s="1296" t="s">
        <v>1823</v>
      </c>
      <c r="Z123" s="1296" t="s">
        <v>1917</v>
      </c>
      <c r="AA123" s="1296" t="s">
        <v>1824</v>
      </c>
      <c r="AB123" s="1296" t="s">
        <v>1825</v>
      </c>
      <c r="AC123" s="1296" t="s">
        <v>1826</v>
      </c>
      <c r="AD123" s="1296" t="s">
        <v>1765</v>
      </c>
      <c r="AE123" s="1296" t="s">
        <v>1827</v>
      </c>
      <c r="AF123" s="1296" t="s">
        <v>1828</v>
      </c>
      <c r="AG123" s="1296" t="s">
        <v>1829</v>
      </c>
      <c r="AH123" s="1296" t="s">
        <v>1830</v>
      </c>
      <c r="AI123" s="1298" t="s">
        <v>1831</v>
      </c>
      <c r="AJ123" s="1247"/>
      <c r="AK123" s="1325" t="str">
        <f t="shared" ref="AK123:AU123" si="96">IF($X$30=$V$119,Y123,"")</f>
        <v/>
      </c>
      <c r="AL123" s="1326" t="str">
        <f t="shared" si="96"/>
        <v/>
      </c>
      <c r="AM123" s="1326" t="str">
        <f t="shared" si="96"/>
        <v/>
      </c>
      <c r="AN123" s="1326" t="str">
        <f t="shared" si="96"/>
        <v/>
      </c>
      <c r="AO123" s="1326" t="str">
        <f t="shared" si="96"/>
        <v/>
      </c>
      <c r="AP123" s="1326" t="str">
        <f t="shared" si="96"/>
        <v/>
      </c>
      <c r="AQ123" s="1326" t="str">
        <f t="shared" si="96"/>
        <v/>
      </c>
      <c r="AR123" s="1326" t="str">
        <f t="shared" si="96"/>
        <v/>
      </c>
      <c r="AS123" s="1326" t="str">
        <f t="shared" si="96"/>
        <v/>
      </c>
      <c r="AT123" s="1326" t="str">
        <f t="shared" si="96"/>
        <v/>
      </c>
      <c r="AU123" s="1324" t="str">
        <f t="shared" si="96"/>
        <v/>
      </c>
      <c r="AV123" s="1248"/>
    </row>
    <row r="124" spans="21:48">
      <c r="U124" s="2262"/>
      <c r="V124" s="2264"/>
      <c r="W124" s="1247" t="s">
        <v>1914</v>
      </c>
      <c r="X124" s="1272" t="s">
        <v>6</v>
      </c>
      <c r="Y124" s="1277">
        <v>2.64</v>
      </c>
      <c r="Z124" s="1277">
        <v>2.5</v>
      </c>
      <c r="AA124" s="1277">
        <v>2.6</v>
      </c>
      <c r="AB124" s="1277">
        <v>2.5</v>
      </c>
      <c r="AC124" s="1277">
        <v>2.68</v>
      </c>
      <c r="AD124" s="1277">
        <v>2.65</v>
      </c>
      <c r="AE124" s="1277">
        <v>2.5</v>
      </c>
      <c r="AF124" s="1277">
        <v>2.5</v>
      </c>
      <c r="AG124" s="1277">
        <v>2.73</v>
      </c>
      <c r="AH124" s="1277">
        <v>2.6</v>
      </c>
      <c r="AI124" s="1278">
        <v>2.6</v>
      </c>
      <c r="AJ124" s="1247"/>
      <c r="AK124" s="1325">
        <f t="shared" ref="AK124:AU126" si="97">IF($X$30=$V$119,Y124,0)</f>
        <v>0</v>
      </c>
      <c r="AL124" s="1326">
        <f t="shared" si="97"/>
        <v>0</v>
      </c>
      <c r="AM124" s="1326">
        <f t="shared" si="97"/>
        <v>0</v>
      </c>
      <c r="AN124" s="1326">
        <f t="shared" si="97"/>
        <v>0</v>
      </c>
      <c r="AO124" s="1326">
        <f t="shared" si="97"/>
        <v>0</v>
      </c>
      <c r="AP124" s="1326">
        <f t="shared" si="97"/>
        <v>0</v>
      </c>
      <c r="AQ124" s="1326">
        <f t="shared" si="97"/>
        <v>0</v>
      </c>
      <c r="AR124" s="1326">
        <f t="shared" si="97"/>
        <v>0</v>
      </c>
      <c r="AS124" s="1326">
        <f t="shared" si="97"/>
        <v>0</v>
      </c>
      <c r="AT124" s="1326">
        <f t="shared" si="97"/>
        <v>0</v>
      </c>
      <c r="AU124" s="1324">
        <f t="shared" si="97"/>
        <v>0</v>
      </c>
      <c r="AV124" s="1248"/>
    </row>
    <row r="125" spans="21:48">
      <c r="U125" s="2262"/>
      <c r="V125" s="2264"/>
      <c r="W125" s="1247" t="s">
        <v>1770</v>
      </c>
      <c r="X125" s="1272" t="s">
        <v>6</v>
      </c>
      <c r="Y125" s="1299">
        <v>2.7</v>
      </c>
      <c r="Z125" s="1299">
        <v>3.4</v>
      </c>
      <c r="AA125" s="1299">
        <v>3.6</v>
      </c>
      <c r="AB125" s="1299">
        <v>3.4</v>
      </c>
      <c r="AC125" s="1299">
        <v>2.68</v>
      </c>
      <c r="AD125" s="1299">
        <v>3</v>
      </c>
      <c r="AE125" s="1272">
        <v>3.4</v>
      </c>
      <c r="AF125" s="1299">
        <v>3.3</v>
      </c>
      <c r="AG125" s="1299">
        <v>2.92</v>
      </c>
      <c r="AH125" s="1299">
        <v>2.8</v>
      </c>
      <c r="AI125" s="1300">
        <v>2.7</v>
      </c>
      <c r="AJ125" s="1247"/>
      <c r="AK125" s="1325">
        <f t="shared" si="97"/>
        <v>0</v>
      </c>
      <c r="AL125" s="1326">
        <f t="shared" si="97"/>
        <v>0</v>
      </c>
      <c r="AM125" s="1326">
        <f t="shared" si="97"/>
        <v>0</v>
      </c>
      <c r="AN125" s="1326">
        <f t="shared" si="97"/>
        <v>0</v>
      </c>
      <c r="AO125" s="1326">
        <f t="shared" si="97"/>
        <v>0</v>
      </c>
      <c r="AP125" s="1326">
        <f t="shared" si="97"/>
        <v>0</v>
      </c>
      <c r="AQ125" s="1326">
        <f t="shared" si="97"/>
        <v>0</v>
      </c>
      <c r="AR125" s="1326">
        <f t="shared" si="97"/>
        <v>0</v>
      </c>
      <c r="AS125" s="1326">
        <f t="shared" si="97"/>
        <v>0</v>
      </c>
      <c r="AT125" s="1326">
        <f t="shared" si="97"/>
        <v>0</v>
      </c>
      <c r="AU125" s="1324">
        <f t="shared" si="97"/>
        <v>0</v>
      </c>
      <c r="AV125" s="1248"/>
    </row>
    <row r="126" spans="21:48">
      <c r="U126" s="2262"/>
      <c r="V126" s="2264"/>
      <c r="W126" s="1247" t="s">
        <v>1915</v>
      </c>
      <c r="X126" s="1272"/>
      <c r="Y126" s="1299" t="s">
        <v>243</v>
      </c>
      <c r="Z126" s="1299">
        <v>2.4</v>
      </c>
      <c r="AA126" s="1299">
        <v>2.4500000000000002</v>
      </c>
      <c r="AB126" s="1299">
        <v>2.34</v>
      </c>
      <c r="AC126" s="1299" t="s">
        <v>243</v>
      </c>
      <c r="AD126" s="1299">
        <v>2.6</v>
      </c>
      <c r="AE126" s="1272" t="s">
        <v>243</v>
      </c>
      <c r="AF126" s="1299" t="s">
        <v>243</v>
      </c>
      <c r="AG126" s="1299" t="s">
        <v>243</v>
      </c>
      <c r="AH126" s="1299" t="s">
        <v>243</v>
      </c>
      <c r="AI126" s="1300" t="s">
        <v>243</v>
      </c>
      <c r="AJ126" s="1247"/>
      <c r="AK126" s="1325">
        <f t="shared" si="97"/>
        <v>0</v>
      </c>
      <c r="AL126" s="1326">
        <f t="shared" si="97"/>
        <v>0</v>
      </c>
      <c r="AM126" s="1326">
        <f t="shared" si="97"/>
        <v>0</v>
      </c>
      <c r="AN126" s="1326">
        <f t="shared" si="97"/>
        <v>0</v>
      </c>
      <c r="AO126" s="1326">
        <f t="shared" si="97"/>
        <v>0</v>
      </c>
      <c r="AP126" s="1326">
        <f t="shared" si="97"/>
        <v>0</v>
      </c>
      <c r="AQ126" s="1326">
        <f t="shared" si="97"/>
        <v>0</v>
      </c>
      <c r="AR126" s="1326">
        <f t="shared" si="97"/>
        <v>0</v>
      </c>
      <c r="AS126" s="1326">
        <f t="shared" si="97"/>
        <v>0</v>
      </c>
      <c r="AT126" s="1326">
        <f t="shared" si="97"/>
        <v>0</v>
      </c>
      <c r="AU126" s="1324">
        <f t="shared" si="97"/>
        <v>0</v>
      </c>
      <c r="AV126" s="1248"/>
    </row>
    <row r="127" spans="21:48">
      <c r="U127" s="2262"/>
      <c r="V127" s="2264"/>
      <c r="W127" s="1271" t="s">
        <v>479</v>
      </c>
      <c r="X127" s="1272"/>
      <c r="Y127" s="1272"/>
      <c r="Z127" s="1272"/>
      <c r="AA127" s="1272"/>
      <c r="AB127" s="1272"/>
      <c r="AC127" s="1272"/>
      <c r="AD127" s="1272"/>
      <c r="AE127" s="1272"/>
      <c r="AF127" s="1272"/>
      <c r="AG127" s="1272"/>
      <c r="AH127" s="1272"/>
      <c r="AI127" s="1297"/>
      <c r="AJ127" s="1247"/>
      <c r="AK127" s="1325"/>
      <c r="AL127" s="1326"/>
      <c r="AM127" s="1326"/>
      <c r="AN127" s="1326"/>
      <c r="AO127" s="1326"/>
      <c r="AP127" s="1326"/>
      <c r="AQ127" s="1326"/>
      <c r="AR127" s="1326"/>
      <c r="AS127" s="1326"/>
      <c r="AT127" s="1326"/>
      <c r="AU127" s="1324"/>
      <c r="AV127" s="1248"/>
    </row>
    <row r="128" spans="21:48">
      <c r="U128" s="2262"/>
      <c r="V128" s="2264"/>
      <c r="W128" s="1271" t="s">
        <v>1311</v>
      </c>
      <c r="X128" s="1272" t="s">
        <v>0</v>
      </c>
      <c r="Y128" s="1272">
        <v>275</v>
      </c>
      <c r="Z128" s="1272">
        <v>283</v>
      </c>
      <c r="AA128" s="1272">
        <v>275</v>
      </c>
      <c r="AB128" s="1272">
        <v>280</v>
      </c>
      <c r="AC128" s="1272">
        <v>275</v>
      </c>
      <c r="AD128" s="1272">
        <v>278</v>
      </c>
      <c r="AE128" s="1272">
        <v>216</v>
      </c>
      <c r="AF128" s="1272">
        <v>290</v>
      </c>
      <c r="AG128" s="1272">
        <v>250</v>
      </c>
      <c r="AH128" s="1272">
        <v>265</v>
      </c>
      <c r="AI128" s="1297">
        <v>290</v>
      </c>
      <c r="AJ128" s="1247"/>
      <c r="AK128" s="1325">
        <f t="shared" ref="AK128:AU131" si="98">IF($X$30=$V$119,Y128,0)</f>
        <v>0</v>
      </c>
      <c r="AL128" s="1326">
        <f t="shared" si="98"/>
        <v>0</v>
      </c>
      <c r="AM128" s="1326">
        <f t="shared" si="98"/>
        <v>0</v>
      </c>
      <c r="AN128" s="1326">
        <f t="shared" si="98"/>
        <v>0</v>
      </c>
      <c r="AO128" s="1326">
        <f t="shared" si="98"/>
        <v>0</v>
      </c>
      <c r="AP128" s="1326">
        <f t="shared" si="98"/>
        <v>0</v>
      </c>
      <c r="AQ128" s="1326">
        <f t="shared" si="98"/>
        <v>0</v>
      </c>
      <c r="AR128" s="1326">
        <f t="shared" si="98"/>
        <v>0</v>
      </c>
      <c r="AS128" s="1326">
        <f t="shared" si="98"/>
        <v>0</v>
      </c>
      <c r="AT128" s="1326">
        <f t="shared" si="98"/>
        <v>0</v>
      </c>
      <c r="AU128" s="1324">
        <f t="shared" si="98"/>
        <v>0</v>
      </c>
      <c r="AV128" s="1248"/>
    </row>
    <row r="129" spans="21:53">
      <c r="U129" s="2262"/>
      <c r="V129" s="2264"/>
      <c r="W129" s="1271" t="s">
        <v>446</v>
      </c>
      <c r="X129" s="1272" t="s">
        <v>0</v>
      </c>
      <c r="Y129" s="1272">
        <v>790</v>
      </c>
      <c r="Z129" s="1272">
        <v>800</v>
      </c>
      <c r="AA129" s="1272">
        <v>790</v>
      </c>
      <c r="AB129" s="1272">
        <v>780</v>
      </c>
      <c r="AC129" s="1272">
        <v>790</v>
      </c>
      <c r="AD129" s="1272">
        <v>815</v>
      </c>
      <c r="AE129" s="1272">
        <v>790</v>
      </c>
      <c r="AF129" s="1272">
        <v>848</v>
      </c>
      <c r="AG129" s="1272">
        <v>740</v>
      </c>
      <c r="AH129" s="1272">
        <v>790</v>
      </c>
      <c r="AI129" s="1297">
        <v>799</v>
      </c>
      <c r="AJ129" s="1247"/>
      <c r="AK129" s="1325">
        <f t="shared" si="98"/>
        <v>0</v>
      </c>
      <c r="AL129" s="1326">
        <f t="shared" si="98"/>
        <v>0</v>
      </c>
      <c r="AM129" s="1326">
        <f t="shared" si="98"/>
        <v>0</v>
      </c>
      <c r="AN129" s="1326">
        <f t="shared" si="98"/>
        <v>0</v>
      </c>
      <c r="AO129" s="1326">
        <f t="shared" si="98"/>
        <v>0</v>
      </c>
      <c r="AP129" s="1326">
        <f t="shared" si="98"/>
        <v>0</v>
      </c>
      <c r="AQ129" s="1326">
        <f t="shared" si="98"/>
        <v>0</v>
      </c>
      <c r="AR129" s="1326">
        <f t="shared" si="98"/>
        <v>0</v>
      </c>
      <c r="AS129" s="1326">
        <f t="shared" si="98"/>
        <v>0</v>
      </c>
      <c r="AT129" s="1326">
        <f t="shared" si="98"/>
        <v>0</v>
      </c>
      <c r="AU129" s="1324">
        <f t="shared" si="98"/>
        <v>0</v>
      </c>
      <c r="AV129" s="1248"/>
    </row>
    <row r="130" spans="21:53">
      <c r="U130" s="2262"/>
      <c r="V130" s="2264"/>
      <c r="W130" s="1271" t="s">
        <v>1771</v>
      </c>
      <c r="X130" s="1272" t="s">
        <v>0</v>
      </c>
      <c r="Y130" s="1272">
        <v>190</v>
      </c>
      <c r="Z130" s="1272">
        <v>195</v>
      </c>
      <c r="AA130" s="1272">
        <v>215</v>
      </c>
      <c r="AB130" s="1272">
        <v>220</v>
      </c>
      <c r="AC130" s="1272">
        <v>190</v>
      </c>
      <c r="AD130" s="1272">
        <v>244</v>
      </c>
      <c r="AE130" s="1272">
        <v>268</v>
      </c>
      <c r="AF130" s="1272">
        <v>204</v>
      </c>
      <c r="AG130" s="1272">
        <v>195</v>
      </c>
      <c r="AH130" s="1272">
        <v>170</v>
      </c>
      <c r="AI130" s="1297">
        <v>181</v>
      </c>
      <c r="AJ130" s="1247"/>
      <c r="AK130" s="1325">
        <f t="shared" si="98"/>
        <v>0</v>
      </c>
      <c r="AL130" s="1326">
        <f t="shared" si="98"/>
        <v>0</v>
      </c>
      <c r="AM130" s="1326">
        <f t="shared" si="98"/>
        <v>0</v>
      </c>
      <c r="AN130" s="1326">
        <f t="shared" si="98"/>
        <v>0</v>
      </c>
      <c r="AO130" s="1326">
        <f t="shared" si="98"/>
        <v>0</v>
      </c>
      <c r="AP130" s="1326">
        <f t="shared" si="98"/>
        <v>0</v>
      </c>
      <c r="AQ130" s="1326">
        <f t="shared" si="98"/>
        <v>0</v>
      </c>
      <c r="AR130" s="1326">
        <f t="shared" si="98"/>
        <v>0</v>
      </c>
      <c r="AS130" s="1326">
        <f t="shared" si="98"/>
        <v>0</v>
      </c>
      <c r="AT130" s="1326">
        <f t="shared" si="98"/>
        <v>0</v>
      </c>
      <c r="AU130" s="1324">
        <f t="shared" si="98"/>
        <v>0</v>
      </c>
      <c r="AV130" s="1248"/>
    </row>
    <row r="131" spans="21:53">
      <c r="U131" s="2262"/>
      <c r="V131" s="2264"/>
      <c r="W131" s="1271" t="s">
        <v>1745</v>
      </c>
      <c r="X131" s="1272"/>
      <c r="Y131" s="1272"/>
      <c r="Z131" s="1272"/>
      <c r="AA131" s="1272"/>
      <c r="AB131" s="1272"/>
      <c r="AC131" s="1272"/>
      <c r="AD131" s="1272"/>
      <c r="AE131" s="1272"/>
      <c r="AF131" s="1272"/>
      <c r="AG131" s="1272"/>
      <c r="AH131" s="1272"/>
      <c r="AI131" s="1297"/>
      <c r="AJ131" s="1247"/>
      <c r="AK131" s="1325">
        <f t="shared" si="98"/>
        <v>0</v>
      </c>
      <c r="AL131" s="1326">
        <f t="shared" si="98"/>
        <v>0</v>
      </c>
      <c r="AM131" s="1326">
        <f t="shared" si="98"/>
        <v>0</v>
      </c>
      <c r="AN131" s="1326">
        <f t="shared" si="98"/>
        <v>0</v>
      </c>
      <c r="AO131" s="1326">
        <f t="shared" si="98"/>
        <v>0</v>
      </c>
      <c r="AP131" s="1326">
        <f t="shared" si="98"/>
        <v>0</v>
      </c>
      <c r="AQ131" s="1326">
        <f t="shared" si="98"/>
        <v>0</v>
      </c>
      <c r="AR131" s="1326">
        <f t="shared" si="98"/>
        <v>0</v>
      </c>
      <c r="AS131" s="1326">
        <f t="shared" si="98"/>
        <v>0</v>
      </c>
      <c r="AT131" s="1326">
        <f t="shared" si="98"/>
        <v>0</v>
      </c>
      <c r="AU131" s="1324">
        <f t="shared" si="98"/>
        <v>0</v>
      </c>
      <c r="AV131" s="1248"/>
    </row>
    <row r="132" spans="21:53">
      <c r="U132" s="2262"/>
      <c r="V132" s="2264"/>
      <c r="W132" s="1271" t="s">
        <v>179</v>
      </c>
      <c r="X132" s="1296"/>
      <c r="Y132" s="1296" t="s">
        <v>1832</v>
      </c>
      <c r="Z132" s="1296" t="s">
        <v>1833</v>
      </c>
      <c r="AA132" s="1296" t="s">
        <v>1834</v>
      </c>
      <c r="AB132" s="1296" t="s">
        <v>1835</v>
      </c>
      <c r="AC132" s="1296" t="s">
        <v>1826</v>
      </c>
      <c r="AD132" s="1296" t="s">
        <v>1836</v>
      </c>
      <c r="AE132" s="1272" t="s">
        <v>1837</v>
      </c>
      <c r="AF132" s="1296" t="s">
        <v>1838</v>
      </c>
      <c r="AG132" s="1296" t="s">
        <v>1839</v>
      </c>
      <c r="AH132" s="1296" t="s">
        <v>1840</v>
      </c>
      <c r="AI132" s="1298" t="s">
        <v>1841</v>
      </c>
      <c r="AJ132" s="1247"/>
      <c r="AK132" s="1325" t="str">
        <f t="shared" ref="AK132:AU132" si="99">IF($X$30=$V$119,Y132,"")</f>
        <v/>
      </c>
      <c r="AL132" s="1326" t="str">
        <f t="shared" si="99"/>
        <v/>
      </c>
      <c r="AM132" s="1326" t="str">
        <f t="shared" si="99"/>
        <v/>
      </c>
      <c r="AN132" s="1326" t="str">
        <f t="shared" si="99"/>
        <v/>
      </c>
      <c r="AO132" s="1326" t="str">
        <f t="shared" si="99"/>
        <v/>
      </c>
      <c r="AP132" s="1326" t="str">
        <f t="shared" si="99"/>
        <v/>
      </c>
      <c r="AQ132" s="1326" t="str">
        <f t="shared" si="99"/>
        <v/>
      </c>
      <c r="AR132" s="1326" t="str">
        <f t="shared" si="99"/>
        <v/>
      </c>
      <c r="AS132" s="1326" t="str">
        <f t="shared" si="99"/>
        <v/>
      </c>
      <c r="AT132" s="1326" t="str">
        <f t="shared" si="99"/>
        <v/>
      </c>
      <c r="AU132" s="1324" t="str">
        <f t="shared" si="99"/>
        <v/>
      </c>
      <c r="AV132" s="1248"/>
    </row>
    <row r="133" spans="21:53">
      <c r="U133" s="2262"/>
      <c r="V133" s="2264"/>
      <c r="W133" s="1271" t="s">
        <v>479</v>
      </c>
      <c r="X133" s="1272"/>
      <c r="Y133" s="1272"/>
      <c r="Z133" s="1272"/>
      <c r="AA133" s="1272"/>
      <c r="AB133" s="1272"/>
      <c r="AC133" s="1272"/>
      <c r="AD133" s="1272"/>
      <c r="AE133" s="1272"/>
      <c r="AF133" s="1272"/>
      <c r="AG133" s="1272"/>
      <c r="AH133" s="1272"/>
      <c r="AI133" s="1297"/>
      <c r="AJ133" s="1247"/>
      <c r="AK133" s="1325"/>
      <c r="AL133" s="1326"/>
      <c r="AM133" s="1326"/>
      <c r="AN133" s="1326"/>
      <c r="AO133" s="1326"/>
      <c r="AP133" s="1326"/>
      <c r="AQ133" s="1326"/>
      <c r="AR133" s="1326"/>
      <c r="AS133" s="1326"/>
      <c r="AT133" s="1326"/>
      <c r="AU133" s="1324"/>
      <c r="AV133" s="1248"/>
    </row>
    <row r="134" spans="21:53">
      <c r="U134" s="2262"/>
      <c r="V134" s="2264"/>
      <c r="W134" s="1271" t="s">
        <v>1311</v>
      </c>
      <c r="X134" s="1272" t="s">
        <v>0</v>
      </c>
      <c r="Y134" s="1272">
        <v>535</v>
      </c>
      <c r="Z134" s="1272">
        <v>550</v>
      </c>
      <c r="AA134" s="1272">
        <v>540</v>
      </c>
      <c r="AB134" s="1272">
        <v>505</v>
      </c>
      <c r="AC134" s="1272">
        <v>535</v>
      </c>
      <c r="AD134" s="1272">
        <v>550</v>
      </c>
      <c r="AE134" s="1272">
        <v>540</v>
      </c>
      <c r="AF134" s="1272">
        <v>540</v>
      </c>
      <c r="AG134" s="1272">
        <v>550</v>
      </c>
      <c r="AH134" s="1272">
        <v>540</v>
      </c>
      <c r="AI134" s="1297">
        <v>492</v>
      </c>
      <c r="AJ134" s="1247"/>
      <c r="AK134" s="1325">
        <f t="shared" ref="AK134:AU137" si="100">IF($X$30=$V$119,Y134,0)</f>
        <v>0</v>
      </c>
      <c r="AL134" s="1326">
        <f t="shared" si="100"/>
        <v>0</v>
      </c>
      <c r="AM134" s="1326">
        <f t="shared" si="100"/>
        <v>0</v>
      </c>
      <c r="AN134" s="1326">
        <f t="shared" si="100"/>
        <v>0</v>
      </c>
      <c r="AO134" s="1326">
        <f t="shared" si="100"/>
        <v>0</v>
      </c>
      <c r="AP134" s="1326">
        <f t="shared" si="100"/>
        <v>0</v>
      </c>
      <c r="AQ134" s="1326">
        <f t="shared" si="100"/>
        <v>0</v>
      </c>
      <c r="AR134" s="1326">
        <f t="shared" si="100"/>
        <v>0</v>
      </c>
      <c r="AS134" s="1326">
        <f t="shared" si="100"/>
        <v>0</v>
      </c>
      <c r="AT134" s="1326">
        <f t="shared" si="100"/>
        <v>0</v>
      </c>
      <c r="AU134" s="1324">
        <f t="shared" si="100"/>
        <v>0</v>
      </c>
      <c r="AV134" s="1248"/>
    </row>
    <row r="135" spans="21:53">
      <c r="U135" s="2262"/>
      <c r="V135" s="2264"/>
      <c r="W135" s="1271" t="s">
        <v>446</v>
      </c>
      <c r="X135" s="1272" t="s">
        <v>0</v>
      </c>
      <c r="Y135" s="1272">
        <v>700</v>
      </c>
      <c r="Z135" s="1272">
        <v>765</v>
      </c>
      <c r="AA135" s="1272">
        <v>660</v>
      </c>
      <c r="AB135" s="1272">
        <v>700</v>
      </c>
      <c r="AC135" s="1272">
        <v>700</v>
      </c>
      <c r="AD135" s="1272">
        <v>800</v>
      </c>
      <c r="AE135" s="1272">
        <v>780</v>
      </c>
      <c r="AF135" s="1272">
        <v>780</v>
      </c>
      <c r="AG135" s="1272">
        <v>780</v>
      </c>
      <c r="AH135" s="1272">
        <v>848</v>
      </c>
      <c r="AI135" s="1297">
        <v>764</v>
      </c>
      <c r="AJ135" s="1247"/>
      <c r="AK135" s="1325">
        <f t="shared" si="100"/>
        <v>0</v>
      </c>
      <c r="AL135" s="1326">
        <f t="shared" si="100"/>
        <v>0</v>
      </c>
      <c r="AM135" s="1326">
        <f t="shared" si="100"/>
        <v>0</v>
      </c>
      <c r="AN135" s="1326">
        <f t="shared" si="100"/>
        <v>0</v>
      </c>
      <c r="AO135" s="1326">
        <f t="shared" si="100"/>
        <v>0</v>
      </c>
      <c r="AP135" s="1326">
        <f t="shared" si="100"/>
        <v>0</v>
      </c>
      <c r="AQ135" s="1326">
        <f t="shared" si="100"/>
        <v>0</v>
      </c>
      <c r="AR135" s="1326">
        <f t="shared" si="100"/>
        <v>0</v>
      </c>
      <c r="AS135" s="1326">
        <f t="shared" si="100"/>
        <v>0</v>
      </c>
      <c r="AT135" s="1326">
        <f t="shared" si="100"/>
        <v>0</v>
      </c>
      <c r="AU135" s="1324">
        <f t="shared" si="100"/>
        <v>0</v>
      </c>
      <c r="AV135" s="1248"/>
    </row>
    <row r="136" spans="21:53">
      <c r="U136" s="2262"/>
      <c r="V136" s="2264"/>
      <c r="W136" s="1271" t="s">
        <v>1771</v>
      </c>
      <c r="X136" s="1272" t="s">
        <v>0</v>
      </c>
      <c r="Y136" s="1272">
        <v>235</v>
      </c>
      <c r="Z136" s="1272">
        <v>285</v>
      </c>
      <c r="AA136" s="1272">
        <v>290</v>
      </c>
      <c r="AB136" s="1272">
        <v>258</v>
      </c>
      <c r="AC136" s="1272">
        <v>235</v>
      </c>
      <c r="AD136" s="1272">
        <v>285</v>
      </c>
      <c r="AE136" s="1272">
        <v>290</v>
      </c>
      <c r="AF136" s="1272">
        <v>289</v>
      </c>
      <c r="AG136" s="1272">
        <v>290</v>
      </c>
      <c r="AH136" s="1272">
        <v>320</v>
      </c>
      <c r="AI136" s="1297">
        <v>230</v>
      </c>
      <c r="AJ136" s="1247"/>
      <c r="AK136" s="1325">
        <f t="shared" si="100"/>
        <v>0</v>
      </c>
      <c r="AL136" s="1326">
        <f t="shared" si="100"/>
        <v>0</v>
      </c>
      <c r="AM136" s="1326">
        <f t="shared" si="100"/>
        <v>0</v>
      </c>
      <c r="AN136" s="1326">
        <f t="shared" si="100"/>
        <v>0</v>
      </c>
      <c r="AO136" s="1326">
        <f t="shared" si="100"/>
        <v>0</v>
      </c>
      <c r="AP136" s="1326">
        <f t="shared" si="100"/>
        <v>0</v>
      </c>
      <c r="AQ136" s="1326">
        <f t="shared" si="100"/>
        <v>0</v>
      </c>
      <c r="AR136" s="1326">
        <f t="shared" si="100"/>
        <v>0</v>
      </c>
      <c r="AS136" s="1326">
        <f t="shared" si="100"/>
        <v>0</v>
      </c>
      <c r="AT136" s="1326">
        <f t="shared" si="100"/>
        <v>0</v>
      </c>
      <c r="AU136" s="1324">
        <f t="shared" si="100"/>
        <v>0</v>
      </c>
      <c r="AV136" s="1248"/>
    </row>
    <row r="137" spans="21:53">
      <c r="U137" s="2262"/>
      <c r="V137" s="2264"/>
      <c r="W137" s="1271" t="s">
        <v>1746</v>
      </c>
      <c r="X137" s="1272" t="s">
        <v>212</v>
      </c>
      <c r="Y137" s="1272" t="s">
        <v>243</v>
      </c>
      <c r="Z137" s="1272">
        <v>46</v>
      </c>
      <c r="AA137" s="1272" t="s">
        <v>243</v>
      </c>
      <c r="AB137" s="1272">
        <v>38</v>
      </c>
      <c r="AC137" s="1272" t="s">
        <v>243</v>
      </c>
      <c r="AD137" s="1272">
        <v>49</v>
      </c>
      <c r="AE137" s="1272">
        <v>48</v>
      </c>
      <c r="AF137" s="1272" t="s">
        <v>243</v>
      </c>
      <c r="AG137" s="1272">
        <v>62</v>
      </c>
      <c r="AH137" s="1272">
        <v>50</v>
      </c>
      <c r="AI137" s="1297" t="s">
        <v>243</v>
      </c>
      <c r="AJ137" s="1247"/>
      <c r="AK137" s="1325">
        <f t="shared" si="100"/>
        <v>0</v>
      </c>
      <c r="AL137" s="1326">
        <f t="shared" si="100"/>
        <v>0</v>
      </c>
      <c r="AM137" s="1326">
        <f t="shared" si="100"/>
        <v>0</v>
      </c>
      <c r="AN137" s="1326">
        <f t="shared" si="100"/>
        <v>0</v>
      </c>
      <c r="AO137" s="1326">
        <f t="shared" si="100"/>
        <v>0</v>
      </c>
      <c r="AP137" s="1326">
        <f t="shared" si="100"/>
        <v>0</v>
      </c>
      <c r="AQ137" s="1326">
        <f t="shared" si="100"/>
        <v>0</v>
      </c>
      <c r="AR137" s="1326">
        <f t="shared" si="100"/>
        <v>0</v>
      </c>
      <c r="AS137" s="1326">
        <f t="shared" si="100"/>
        <v>0</v>
      </c>
      <c r="AT137" s="1326">
        <f t="shared" si="100"/>
        <v>0</v>
      </c>
      <c r="AU137" s="1324">
        <f t="shared" si="100"/>
        <v>0</v>
      </c>
      <c r="AV137" s="1248"/>
    </row>
    <row r="138" spans="21:53">
      <c r="U138" s="2262"/>
      <c r="V138" s="2264"/>
      <c r="W138" s="1271" t="s">
        <v>1747</v>
      </c>
      <c r="X138" s="1272"/>
      <c r="Y138" s="1272"/>
      <c r="Z138" s="1272"/>
      <c r="AA138" s="1272"/>
      <c r="AB138" s="1272"/>
      <c r="AC138" s="1272"/>
      <c r="AD138" s="1272"/>
      <c r="AE138" s="1272"/>
      <c r="AF138" s="1272"/>
      <c r="AG138" s="1272"/>
      <c r="AH138" s="1272"/>
      <c r="AI138" s="1297"/>
      <c r="AJ138" s="1247"/>
      <c r="AK138" s="1325"/>
      <c r="AL138" s="1326"/>
      <c r="AM138" s="1326"/>
      <c r="AN138" s="1326"/>
      <c r="AO138" s="1326"/>
      <c r="AP138" s="1326"/>
      <c r="AQ138" s="1326"/>
      <c r="AR138" s="1326"/>
      <c r="AS138" s="1326"/>
      <c r="AT138" s="1326"/>
      <c r="AU138" s="1324"/>
      <c r="AV138" s="1248"/>
      <c r="AZ138" s="1248"/>
      <c r="BA138" s="1248"/>
    </row>
    <row r="139" spans="21:53">
      <c r="U139" s="2262"/>
      <c r="V139" s="2264"/>
      <c r="W139" s="1271" t="s">
        <v>1779</v>
      </c>
      <c r="X139" s="1272" t="s">
        <v>173</v>
      </c>
      <c r="Y139" s="1272">
        <v>824</v>
      </c>
      <c r="Z139" s="1272">
        <v>600</v>
      </c>
      <c r="AA139" s="1272">
        <v>840</v>
      </c>
      <c r="AB139" s="1272">
        <v>700</v>
      </c>
      <c r="AC139" s="1272">
        <v>1025</v>
      </c>
      <c r="AD139" s="1272" t="s">
        <v>243</v>
      </c>
      <c r="AE139" s="1272">
        <v>650</v>
      </c>
      <c r="AF139" s="1272">
        <v>820</v>
      </c>
      <c r="AG139" s="1272">
        <v>850</v>
      </c>
      <c r="AH139" s="1272">
        <v>809</v>
      </c>
      <c r="AI139" s="1297" t="s">
        <v>243</v>
      </c>
      <c r="AJ139" s="1247"/>
      <c r="AK139" s="1325">
        <f t="shared" ref="AK139:AU142" si="101">IF($X$30=$V$119,Y139,0)</f>
        <v>0</v>
      </c>
      <c r="AL139" s="1326">
        <f t="shared" si="101"/>
        <v>0</v>
      </c>
      <c r="AM139" s="1326">
        <f t="shared" si="101"/>
        <v>0</v>
      </c>
      <c r="AN139" s="1326">
        <f t="shared" si="101"/>
        <v>0</v>
      </c>
      <c r="AO139" s="1326">
        <f t="shared" si="101"/>
        <v>0</v>
      </c>
      <c r="AP139" s="1326">
        <f t="shared" si="101"/>
        <v>0</v>
      </c>
      <c r="AQ139" s="1326">
        <f t="shared" si="101"/>
        <v>0</v>
      </c>
      <c r="AR139" s="1326">
        <f t="shared" si="101"/>
        <v>0</v>
      </c>
      <c r="AS139" s="1326">
        <f t="shared" si="101"/>
        <v>0</v>
      </c>
      <c r="AT139" s="1326">
        <f t="shared" si="101"/>
        <v>0</v>
      </c>
      <c r="AU139" s="1324">
        <f t="shared" si="101"/>
        <v>0</v>
      </c>
      <c r="AV139" s="1248"/>
      <c r="AW139" s="1248"/>
    </row>
    <row r="140" spans="21:53">
      <c r="U140" s="2262"/>
      <c r="V140" s="2265"/>
      <c r="W140" s="1301" t="s">
        <v>123</v>
      </c>
      <c r="X140" s="1302" t="s">
        <v>1246</v>
      </c>
      <c r="Y140" s="1302">
        <v>3.9</v>
      </c>
      <c r="Z140" s="1302">
        <v>3.5</v>
      </c>
      <c r="AA140" s="1302">
        <v>4.0999999999999996</v>
      </c>
      <c r="AB140" s="1302">
        <v>5.2</v>
      </c>
      <c r="AC140" s="1302">
        <v>3.9</v>
      </c>
      <c r="AD140" s="1302">
        <v>5.8</v>
      </c>
      <c r="AE140" s="1302">
        <v>3.4</v>
      </c>
      <c r="AF140" s="1302">
        <v>3.9</v>
      </c>
      <c r="AG140" s="1302">
        <v>3.86</v>
      </c>
      <c r="AH140" s="1302">
        <v>5.2</v>
      </c>
      <c r="AI140" s="1303" t="s">
        <v>243</v>
      </c>
      <c r="AJ140" s="1247"/>
      <c r="AK140" s="1325">
        <f t="shared" si="101"/>
        <v>0</v>
      </c>
      <c r="AL140" s="1326">
        <f t="shared" si="101"/>
        <v>0</v>
      </c>
      <c r="AM140" s="1326">
        <f t="shared" si="101"/>
        <v>0</v>
      </c>
      <c r="AN140" s="1326">
        <f t="shared" si="101"/>
        <v>0</v>
      </c>
      <c r="AO140" s="1326">
        <f t="shared" si="101"/>
        <v>0</v>
      </c>
      <c r="AP140" s="1326">
        <f t="shared" si="101"/>
        <v>0</v>
      </c>
      <c r="AQ140" s="1326">
        <f t="shared" si="101"/>
        <v>0</v>
      </c>
      <c r="AR140" s="1326">
        <f t="shared" si="101"/>
        <v>0</v>
      </c>
      <c r="AS140" s="1326">
        <f t="shared" si="101"/>
        <v>0</v>
      </c>
      <c r="AT140" s="1326">
        <f t="shared" si="101"/>
        <v>0</v>
      </c>
      <c r="AU140" s="1324">
        <f t="shared" si="101"/>
        <v>0</v>
      </c>
      <c r="AV140" s="1248"/>
    </row>
    <row r="141" spans="21:53">
      <c r="U141" s="2262"/>
      <c r="W141" s="1271" t="s">
        <v>1780</v>
      </c>
      <c r="X141" s="1272" t="s">
        <v>216</v>
      </c>
      <c r="Y141" s="1272" t="s">
        <v>243</v>
      </c>
      <c r="Z141" s="1272">
        <v>20</v>
      </c>
      <c r="AA141" s="1272" t="s">
        <v>243</v>
      </c>
      <c r="AB141" s="1272">
        <v>12</v>
      </c>
      <c r="AC141" s="1272">
        <v>20</v>
      </c>
      <c r="AD141" s="1272">
        <v>20</v>
      </c>
      <c r="AE141" s="1272">
        <v>15</v>
      </c>
      <c r="AF141" s="1272" t="s">
        <v>243</v>
      </c>
      <c r="AG141" s="1272">
        <v>10</v>
      </c>
      <c r="AH141" s="1272">
        <v>15</v>
      </c>
      <c r="AI141" s="1272" t="s">
        <v>243</v>
      </c>
      <c r="AJ141" s="1247"/>
      <c r="AK141" s="1325">
        <f t="shared" si="101"/>
        <v>0</v>
      </c>
      <c r="AL141" s="1326">
        <f t="shared" si="101"/>
        <v>0</v>
      </c>
      <c r="AM141" s="1326">
        <f t="shared" si="101"/>
        <v>0</v>
      </c>
      <c r="AN141" s="1326">
        <f t="shared" si="101"/>
        <v>0</v>
      </c>
      <c r="AO141" s="1326">
        <f t="shared" si="101"/>
        <v>0</v>
      </c>
      <c r="AP141" s="1326">
        <f t="shared" si="101"/>
        <v>0</v>
      </c>
      <c r="AQ141" s="1326">
        <f t="shared" si="101"/>
        <v>0</v>
      </c>
      <c r="AR141" s="1326">
        <f t="shared" si="101"/>
        <v>0</v>
      </c>
      <c r="AS141" s="1326">
        <f t="shared" si="101"/>
        <v>0</v>
      </c>
      <c r="AT141" s="1326">
        <f t="shared" si="101"/>
        <v>0</v>
      </c>
      <c r="AU141" s="1324">
        <f t="shared" si="101"/>
        <v>0</v>
      </c>
    </row>
    <row r="142" spans="21:53">
      <c r="U142" s="2262"/>
      <c r="V142" s="2263" t="s">
        <v>1842</v>
      </c>
      <c r="W142" s="1293" t="s">
        <v>1752</v>
      </c>
      <c r="X142" s="1304" t="s">
        <v>216</v>
      </c>
      <c r="Y142" s="1304" t="s">
        <v>243</v>
      </c>
      <c r="Z142" s="1304">
        <v>15</v>
      </c>
      <c r="AA142" s="1304" t="s">
        <v>243</v>
      </c>
      <c r="AB142" s="1304" t="s">
        <v>243</v>
      </c>
      <c r="AC142" s="1304">
        <v>8</v>
      </c>
      <c r="AD142" s="1304">
        <v>10</v>
      </c>
      <c r="AE142" s="1304">
        <v>10</v>
      </c>
      <c r="AF142" s="1304" t="s">
        <v>243</v>
      </c>
      <c r="AG142" s="1304"/>
      <c r="AH142" s="1304">
        <v>5</v>
      </c>
      <c r="AI142" s="1305" t="s">
        <v>243</v>
      </c>
      <c r="AJ142" s="1247"/>
      <c r="AK142" s="1325">
        <f t="shared" si="101"/>
        <v>0</v>
      </c>
      <c r="AL142" s="1326">
        <f t="shared" si="101"/>
        <v>0</v>
      </c>
      <c r="AM142" s="1326">
        <f t="shared" si="101"/>
        <v>0</v>
      </c>
      <c r="AN142" s="1326">
        <f t="shared" si="101"/>
        <v>0</v>
      </c>
      <c r="AO142" s="1326">
        <f t="shared" si="101"/>
        <v>0</v>
      </c>
      <c r="AP142" s="1326">
        <f t="shared" si="101"/>
        <v>0</v>
      </c>
      <c r="AQ142" s="1326">
        <f t="shared" si="101"/>
        <v>0</v>
      </c>
      <c r="AR142" s="1326">
        <f t="shared" si="101"/>
        <v>0</v>
      </c>
      <c r="AS142" s="1326">
        <f t="shared" si="101"/>
        <v>0</v>
      </c>
      <c r="AT142" s="1326">
        <f t="shared" si="101"/>
        <v>0</v>
      </c>
      <c r="AU142" s="1324">
        <f t="shared" si="101"/>
        <v>0</v>
      </c>
    </row>
    <row r="143" spans="21:53">
      <c r="U143" s="2262"/>
      <c r="V143" s="2264"/>
      <c r="W143" s="1271" t="s">
        <v>1749</v>
      </c>
      <c r="X143" s="1272"/>
      <c r="Y143" s="1272" t="s">
        <v>1781</v>
      </c>
      <c r="Z143" s="1272" t="s">
        <v>1781</v>
      </c>
      <c r="AA143" s="1272" t="s">
        <v>1781</v>
      </c>
      <c r="AB143" s="1272" t="s">
        <v>1781</v>
      </c>
      <c r="AC143" s="1272" t="s">
        <v>1781</v>
      </c>
      <c r="AD143" s="1272" t="s">
        <v>1843</v>
      </c>
      <c r="AE143" s="1272" t="s">
        <v>1781</v>
      </c>
      <c r="AF143" s="1272" t="s">
        <v>1781</v>
      </c>
      <c r="AG143" s="1272" t="s">
        <v>1844</v>
      </c>
      <c r="AH143" s="1272" t="s">
        <v>1781</v>
      </c>
      <c r="AI143" s="1297" t="s">
        <v>243</v>
      </c>
      <c r="AJ143" s="1247"/>
      <c r="AK143" s="1325" t="str">
        <f t="shared" ref="AK143:AU143" si="102">IF($X$30=$V$119,Y143,"")</f>
        <v/>
      </c>
      <c r="AL143" s="1326" t="str">
        <f t="shared" si="102"/>
        <v/>
      </c>
      <c r="AM143" s="1326" t="str">
        <f t="shared" si="102"/>
        <v/>
      </c>
      <c r="AN143" s="1326" t="str">
        <f t="shared" si="102"/>
        <v/>
      </c>
      <c r="AO143" s="1326" t="str">
        <f t="shared" si="102"/>
        <v/>
      </c>
      <c r="AP143" s="1326" t="str">
        <f t="shared" si="102"/>
        <v/>
      </c>
      <c r="AQ143" s="1326" t="str">
        <f t="shared" si="102"/>
        <v/>
      </c>
      <c r="AR143" s="1326" t="str">
        <f t="shared" si="102"/>
        <v/>
      </c>
      <c r="AS143" s="1326" t="str">
        <f t="shared" si="102"/>
        <v/>
      </c>
      <c r="AT143" s="1326" t="str">
        <f t="shared" si="102"/>
        <v/>
      </c>
      <c r="AU143" s="1324" t="str">
        <f t="shared" si="102"/>
        <v/>
      </c>
    </row>
    <row r="144" spans="21:53">
      <c r="U144" s="2262"/>
      <c r="V144" s="2264"/>
      <c r="W144" s="1271"/>
      <c r="X144" s="1272"/>
      <c r="Y144" s="1272"/>
      <c r="Z144" s="1272"/>
      <c r="AA144" s="1272"/>
      <c r="AB144" s="1272"/>
      <c r="AC144" s="1272"/>
      <c r="AD144" s="1272"/>
      <c r="AE144" s="1272"/>
      <c r="AF144" s="1272"/>
      <c r="AG144" s="1272"/>
      <c r="AH144" s="1272"/>
      <c r="AI144" s="1297"/>
      <c r="AJ144" s="1247"/>
      <c r="AK144" s="1325"/>
      <c r="AL144" s="1326"/>
      <c r="AM144" s="1326"/>
      <c r="AN144" s="1326"/>
      <c r="AO144" s="1326"/>
      <c r="AP144" s="1326"/>
      <c r="AQ144" s="1326"/>
      <c r="AR144" s="1326"/>
      <c r="AS144" s="1326"/>
      <c r="AT144" s="1326"/>
      <c r="AU144" s="1324"/>
    </row>
    <row r="145" spans="21:47">
      <c r="U145" s="2262"/>
      <c r="V145" s="2264"/>
      <c r="W145" s="1271" t="s">
        <v>1738</v>
      </c>
      <c r="X145" s="1296"/>
      <c r="Y145" s="1296"/>
      <c r="Z145" s="1296"/>
      <c r="AA145" s="1296"/>
      <c r="AB145" s="1296"/>
      <c r="AC145" s="1296"/>
      <c r="AD145" s="1296"/>
      <c r="AE145" s="1272"/>
      <c r="AF145" s="1296"/>
      <c r="AG145" s="1296"/>
      <c r="AH145" s="1296"/>
      <c r="AI145" s="1298"/>
      <c r="AJ145" s="1247"/>
      <c r="AK145" s="1325"/>
      <c r="AL145" s="1326"/>
      <c r="AM145" s="1326"/>
      <c r="AN145" s="1326"/>
      <c r="AO145" s="1326"/>
      <c r="AP145" s="1326"/>
      <c r="AQ145" s="1326"/>
      <c r="AR145" s="1326"/>
      <c r="AS145" s="1326"/>
      <c r="AT145" s="1326"/>
      <c r="AU145" s="1324"/>
    </row>
    <row r="146" spans="21:47" ht="23">
      <c r="U146" s="2262"/>
      <c r="V146" s="2264"/>
      <c r="W146" s="1271" t="s">
        <v>179</v>
      </c>
      <c r="X146" s="1296"/>
      <c r="Y146" s="1296" t="s">
        <v>1845</v>
      </c>
      <c r="Z146" s="1296" t="s">
        <v>1918</v>
      </c>
      <c r="AA146" s="1296" t="s">
        <v>1846</v>
      </c>
      <c r="AB146" s="1272" t="s">
        <v>1847</v>
      </c>
      <c r="AC146" s="1296" t="s">
        <v>1848</v>
      </c>
      <c r="AD146" s="1296" t="s">
        <v>1789</v>
      </c>
      <c r="AE146" s="1296" t="s">
        <v>1849</v>
      </c>
      <c r="AF146" s="1296" t="s">
        <v>1850</v>
      </c>
      <c r="AG146" s="1296" t="s">
        <v>1851</v>
      </c>
      <c r="AH146" s="1296" t="s">
        <v>1852</v>
      </c>
      <c r="AI146" s="1298" t="s">
        <v>1853</v>
      </c>
      <c r="AJ146" s="1247"/>
      <c r="AK146" s="1325" t="str">
        <f t="shared" ref="AK146:AU146" si="103">IF($X$30=$V$142,Y146,"")</f>
        <v/>
      </c>
      <c r="AL146" s="1326" t="str">
        <f t="shared" si="103"/>
        <v/>
      </c>
      <c r="AM146" s="1326" t="str">
        <f t="shared" si="103"/>
        <v/>
      </c>
      <c r="AN146" s="1326" t="str">
        <f t="shared" si="103"/>
        <v/>
      </c>
      <c r="AO146" s="1326" t="str">
        <f t="shared" si="103"/>
        <v/>
      </c>
      <c r="AP146" s="1326" t="str">
        <f t="shared" si="103"/>
        <v/>
      </c>
      <c r="AQ146" s="1326" t="str">
        <f t="shared" si="103"/>
        <v/>
      </c>
      <c r="AR146" s="1326" t="str">
        <f t="shared" si="103"/>
        <v/>
      </c>
      <c r="AS146" s="1326" t="str">
        <f t="shared" si="103"/>
        <v/>
      </c>
      <c r="AT146" s="1326" t="str">
        <f t="shared" si="103"/>
        <v/>
      </c>
      <c r="AU146" s="1324" t="str">
        <f t="shared" si="103"/>
        <v/>
      </c>
    </row>
    <row r="147" spans="21:47">
      <c r="U147" s="2262"/>
      <c r="V147" s="2264"/>
      <c r="W147" s="1247" t="s">
        <v>1914</v>
      </c>
      <c r="X147" s="1272" t="s">
        <v>6</v>
      </c>
      <c r="Y147" s="1277">
        <v>3.52</v>
      </c>
      <c r="Z147" s="1277">
        <v>3.5</v>
      </c>
      <c r="AA147" s="1277">
        <v>3.5</v>
      </c>
      <c r="AB147" s="1277">
        <v>3.5</v>
      </c>
      <c r="AC147" s="1277">
        <v>3.49</v>
      </c>
      <c r="AD147" s="1277">
        <v>3.5</v>
      </c>
      <c r="AE147" s="1277">
        <v>3.5</v>
      </c>
      <c r="AF147" s="1277">
        <v>3.5</v>
      </c>
      <c r="AG147" s="1277">
        <v>3.74</v>
      </c>
      <c r="AH147" s="1277">
        <v>3.5</v>
      </c>
      <c r="AI147" s="1278">
        <v>3.5</v>
      </c>
      <c r="AJ147" s="1247"/>
      <c r="AK147" s="1325">
        <f t="shared" ref="AK147:AU149" si="104">IF($X$30=$V$142,Y147,0)</f>
        <v>0</v>
      </c>
      <c r="AL147" s="1326">
        <f t="shared" si="104"/>
        <v>0</v>
      </c>
      <c r="AM147" s="1326">
        <f t="shared" si="104"/>
        <v>0</v>
      </c>
      <c r="AN147" s="1326">
        <f t="shared" si="104"/>
        <v>0</v>
      </c>
      <c r="AO147" s="1326">
        <f t="shared" si="104"/>
        <v>0</v>
      </c>
      <c r="AP147" s="1326">
        <f t="shared" si="104"/>
        <v>0</v>
      </c>
      <c r="AQ147" s="1326">
        <f t="shared" si="104"/>
        <v>0</v>
      </c>
      <c r="AR147" s="1326">
        <f t="shared" si="104"/>
        <v>0</v>
      </c>
      <c r="AS147" s="1326">
        <f t="shared" si="104"/>
        <v>0</v>
      </c>
      <c r="AT147" s="1326">
        <f t="shared" si="104"/>
        <v>0</v>
      </c>
      <c r="AU147" s="1324">
        <f t="shared" si="104"/>
        <v>0</v>
      </c>
    </row>
    <row r="148" spans="21:47">
      <c r="U148" s="2262"/>
      <c r="V148" s="2264"/>
      <c r="W148" s="1247" t="s">
        <v>1770</v>
      </c>
      <c r="X148" s="1272" t="s">
        <v>6</v>
      </c>
      <c r="Y148" s="1299">
        <v>3.66</v>
      </c>
      <c r="Z148" s="1299">
        <v>4</v>
      </c>
      <c r="AA148" s="1299">
        <v>4.8</v>
      </c>
      <c r="AB148" s="1299">
        <v>4.2</v>
      </c>
      <c r="AC148" s="1299">
        <v>3.49</v>
      </c>
      <c r="AD148" s="1299">
        <v>3.7</v>
      </c>
      <c r="AE148" s="1272">
        <v>4.2</v>
      </c>
      <c r="AF148" s="1299">
        <v>4.25</v>
      </c>
      <c r="AG148" s="1299">
        <v>4.2</v>
      </c>
      <c r="AH148" s="1299">
        <v>4</v>
      </c>
      <c r="AI148" s="1300">
        <v>3.6</v>
      </c>
      <c r="AJ148" s="1247"/>
      <c r="AK148" s="1325">
        <f t="shared" si="104"/>
        <v>0</v>
      </c>
      <c r="AL148" s="1326">
        <f t="shared" si="104"/>
        <v>0</v>
      </c>
      <c r="AM148" s="1326">
        <f t="shared" si="104"/>
        <v>0</v>
      </c>
      <c r="AN148" s="1326">
        <f t="shared" si="104"/>
        <v>0</v>
      </c>
      <c r="AO148" s="1326">
        <f t="shared" si="104"/>
        <v>0</v>
      </c>
      <c r="AP148" s="1326">
        <f t="shared" si="104"/>
        <v>0</v>
      </c>
      <c r="AQ148" s="1326">
        <f t="shared" si="104"/>
        <v>0</v>
      </c>
      <c r="AR148" s="1326">
        <f t="shared" si="104"/>
        <v>0</v>
      </c>
      <c r="AS148" s="1326">
        <f t="shared" si="104"/>
        <v>0</v>
      </c>
      <c r="AT148" s="1326">
        <f t="shared" si="104"/>
        <v>0</v>
      </c>
      <c r="AU148" s="1324">
        <f t="shared" si="104"/>
        <v>0</v>
      </c>
    </row>
    <row r="149" spans="21:47">
      <c r="U149" s="2262"/>
      <c r="V149" s="2264"/>
      <c r="W149" s="1247" t="s">
        <v>1915</v>
      </c>
      <c r="X149" s="1272"/>
      <c r="Y149" s="1299" t="s">
        <v>243</v>
      </c>
      <c r="Z149" s="1299">
        <v>3.36</v>
      </c>
      <c r="AA149" s="1299">
        <v>3.3</v>
      </c>
      <c r="AB149" s="1299">
        <v>3.27</v>
      </c>
      <c r="AC149" s="1299" t="s">
        <v>243</v>
      </c>
      <c r="AD149" s="1299">
        <v>3.43</v>
      </c>
      <c r="AE149" s="1272" t="s">
        <v>243</v>
      </c>
      <c r="AF149" s="1299" t="s">
        <v>243</v>
      </c>
      <c r="AG149" s="1299" t="s">
        <v>243</v>
      </c>
      <c r="AH149" s="1299" t="s">
        <v>243</v>
      </c>
      <c r="AI149" s="1300" t="s">
        <v>243</v>
      </c>
      <c r="AJ149" s="1247"/>
      <c r="AK149" s="1325">
        <f t="shared" si="104"/>
        <v>0</v>
      </c>
      <c r="AL149" s="1326">
        <f t="shared" si="104"/>
        <v>0</v>
      </c>
      <c r="AM149" s="1326">
        <f t="shared" si="104"/>
        <v>0</v>
      </c>
      <c r="AN149" s="1326">
        <f t="shared" si="104"/>
        <v>0</v>
      </c>
      <c r="AO149" s="1326">
        <f t="shared" si="104"/>
        <v>0</v>
      </c>
      <c r="AP149" s="1326">
        <f t="shared" si="104"/>
        <v>0</v>
      </c>
      <c r="AQ149" s="1326">
        <f t="shared" si="104"/>
        <v>0</v>
      </c>
      <c r="AR149" s="1326">
        <f t="shared" si="104"/>
        <v>0</v>
      </c>
      <c r="AS149" s="1326">
        <f t="shared" si="104"/>
        <v>0</v>
      </c>
      <c r="AT149" s="1326">
        <f t="shared" si="104"/>
        <v>0</v>
      </c>
      <c r="AU149" s="1324">
        <f t="shared" si="104"/>
        <v>0</v>
      </c>
    </row>
    <row r="150" spans="21:47">
      <c r="U150" s="2262"/>
      <c r="V150" s="2264"/>
      <c r="W150" s="1271" t="s">
        <v>479</v>
      </c>
      <c r="X150" s="1272"/>
      <c r="Y150" s="1272"/>
      <c r="Z150" s="1272"/>
      <c r="AA150" s="1272"/>
      <c r="AB150" s="1272"/>
      <c r="AC150" s="1272"/>
      <c r="AD150" s="1272"/>
      <c r="AE150" s="1272"/>
      <c r="AF150" s="1272"/>
      <c r="AG150" s="1272"/>
      <c r="AH150" s="1272"/>
      <c r="AI150" s="1297"/>
      <c r="AJ150" s="1247"/>
      <c r="AK150" s="1325"/>
      <c r="AL150" s="1326"/>
      <c r="AM150" s="1326"/>
      <c r="AN150" s="1326"/>
      <c r="AO150" s="1326"/>
      <c r="AP150" s="1326"/>
      <c r="AQ150" s="1326"/>
      <c r="AR150" s="1326"/>
      <c r="AS150" s="1326"/>
      <c r="AT150" s="1326"/>
      <c r="AU150" s="1324"/>
    </row>
    <row r="151" spans="21:47">
      <c r="U151" s="2262"/>
      <c r="V151" s="2264"/>
      <c r="W151" s="1271" t="s">
        <v>1311</v>
      </c>
      <c r="X151" s="1272" t="s">
        <v>0</v>
      </c>
      <c r="Y151" s="1272">
        <v>275</v>
      </c>
      <c r="Z151" s="1272">
        <v>283</v>
      </c>
      <c r="AA151" s="1272">
        <v>275</v>
      </c>
      <c r="AB151" s="1272">
        <v>280</v>
      </c>
      <c r="AC151" s="1272">
        <v>275</v>
      </c>
      <c r="AD151" s="1272">
        <v>278</v>
      </c>
      <c r="AE151" s="1272">
        <v>216</v>
      </c>
      <c r="AF151" s="1272">
        <v>290</v>
      </c>
      <c r="AG151" s="1272">
        <v>275</v>
      </c>
      <c r="AH151" s="1272">
        <v>275</v>
      </c>
      <c r="AI151" s="1297">
        <v>290</v>
      </c>
      <c r="AJ151" s="1247"/>
      <c r="AK151" s="1325">
        <f t="shared" ref="AK151:AU154" si="105">IF($X$30=$V$142,Y151,0)</f>
        <v>0</v>
      </c>
      <c r="AL151" s="1326">
        <f t="shared" si="105"/>
        <v>0</v>
      </c>
      <c r="AM151" s="1326">
        <f t="shared" si="105"/>
        <v>0</v>
      </c>
      <c r="AN151" s="1326">
        <f t="shared" si="105"/>
        <v>0</v>
      </c>
      <c r="AO151" s="1326">
        <f t="shared" si="105"/>
        <v>0</v>
      </c>
      <c r="AP151" s="1326">
        <f t="shared" si="105"/>
        <v>0</v>
      </c>
      <c r="AQ151" s="1326">
        <f t="shared" si="105"/>
        <v>0</v>
      </c>
      <c r="AR151" s="1326">
        <f t="shared" si="105"/>
        <v>0</v>
      </c>
      <c r="AS151" s="1326">
        <f t="shared" si="105"/>
        <v>0</v>
      </c>
      <c r="AT151" s="1326">
        <f t="shared" si="105"/>
        <v>0</v>
      </c>
      <c r="AU151" s="1324">
        <f t="shared" si="105"/>
        <v>0</v>
      </c>
    </row>
    <row r="152" spans="21:47">
      <c r="U152" s="2262"/>
      <c r="V152" s="2264"/>
      <c r="W152" s="1271" t="s">
        <v>446</v>
      </c>
      <c r="X152" s="1272" t="s">
        <v>0</v>
      </c>
      <c r="Y152" s="1272">
        <v>790</v>
      </c>
      <c r="Z152" s="1272">
        <v>800</v>
      </c>
      <c r="AA152" s="1272">
        <v>790</v>
      </c>
      <c r="AB152" s="1272">
        <v>780</v>
      </c>
      <c r="AC152" s="1272">
        <v>790</v>
      </c>
      <c r="AD152" s="1272">
        <v>815</v>
      </c>
      <c r="AE152" s="1272">
        <v>790</v>
      </c>
      <c r="AF152" s="1272">
        <v>848</v>
      </c>
      <c r="AG152" s="1272">
        <v>790</v>
      </c>
      <c r="AH152" s="1272">
        <v>845</v>
      </c>
      <c r="AI152" s="1297">
        <v>799</v>
      </c>
      <c r="AJ152" s="1247"/>
      <c r="AK152" s="1325">
        <f t="shared" si="105"/>
        <v>0</v>
      </c>
      <c r="AL152" s="1326">
        <f t="shared" si="105"/>
        <v>0</v>
      </c>
      <c r="AM152" s="1326">
        <f t="shared" si="105"/>
        <v>0</v>
      </c>
      <c r="AN152" s="1326">
        <f t="shared" si="105"/>
        <v>0</v>
      </c>
      <c r="AO152" s="1326">
        <f t="shared" si="105"/>
        <v>0</v>
      </c>
      <c r="AP152" s="1326">
        <f t="shared" si="105"/>
        <v>0</v>
      </c>
      <c r="AQ152" s="1326">
        <f t="shared" si="105"/>
        <v>0</v>
      </c>
      <c r="AR152" s="1326">
        <f t="shared" si="105"/>
        <v>0</v>
      </c>
      <c r="AS152" s="1326">
        <f t="shared" si="105"/>
        <v>0</v>
      </c>
      <c r="AT152" s="1326">
        <f t="shared" si="105"/>
        <v>0</v>
      </c>
      <c r="AU152" s="1324">
        <f t="shared" si="105"/>
        <v>0</v>
      </c>
    </row>
    <row r="153" spans="21:47">
      <c r="U153" s="2262"/>
      <c r="V153" s="2264"/>
      <c r="W153" s="1271" t="s">
        <v>1771</v>
      </c>
      <c r="X153" s="1272" t="s">
        <v>0</v>
      </c>
      <c r="Y153" s="1272">
        <v>190</v>
      </c>
      <c r="Z153" s="1272">
        <v>195</v>
      </c>
      <c r="AA153" s="1272">
        <v>215</v>
      </c>
      <c r="AB153" s="1272">
        <v>220</v>
      </c>
      <c r="AC153" s="1272">
        <v>190</v>
      </c>
      <c r="AD153" s="1272">
        <v>244</v>
      </c>
      <c r="AE153" s="1272">
        <v>268</v>
      </c>
      <c r="AF153" s="1272">
        <v>204</v>
      </c>
      <c r="AG153" s="1272">
        <v>205</v>
      </c>
      <c r="AH153" s="1272">
        <v>180</v>
      </c>
      <c r="AI153" s="1297">
        <v>181</v>
      </c>
      <c r="AJ153" s="1247"/>
      <c r="AK153" s="1325">
        <f t="shared" si="105"/>
        <v>0</v>
      </c>
      <c r="AL153" s="1326">
        <f t="shared" si="105"/>
        <v>0</v>
      </c>
      <c r="AM153" s="1326">
        <f t="shared" si="105"/>
        <v>0</v>
      </c>
      <c r="AN153" s="1326">
        <f t="shared" si="105"/>
        <v>0</v>
      </c>
      <c r="AO153" s="1326">
        <f t="shared" si="105"/>
        <v>0</v>
      </c>
      <c r="AP153" s="1326">
        <f t="shared" si="105"/>
        <v>0</v>
      </c>
      <c r="AQ153" s="1326">
        <f t="shared" si="105"/>
        <v>0</v>
      </c>
      <c r="AR153" s="1326">
        <f t="shared" si="105"/>
        <v>0</v>
      </c>
      <c r="AS153" s="1326">
        <f t="shared" si="105"/>
        <v>0</v>
      </c>
      <c r="AT153" s="1326">
        <f t="shared" si="105"/>
        <v>0</v>
      </c>
      <c r="AU153" s="1324">
        <f t="shared" si="105"/>
        <v>0</v>
      </c>
    </row>
    <row r="154" spans="21:47">
      <c r="U154" s="2262"/>
      <c r="V154" s="2264"/>
      <c r="W154" s="1271" t="s">
        <v>1745</v>
      </c>
      <c r="X154" s="1272"/>
      <c r="Y154" s="1272"/>
      <c r="Z154" s="1272"/>
      <c r="AA154" s="1272"/>
      <c r="AB154" s="1272"/>
      <c r="AC154" s="1272"/>
      <c r="AD154" s="1272"/>
      <c r="AE154" s="1272"/>
      <c r="AF154" s="1272"/>
      <c r="AG154" s="1272"/>
      <c r="AH154" s="1272"/>
      <c r="AI154" s="1297"/>
      <c r="AJ154" s="1247"/>
      <c r="AK154" s="1325">
        <f t="shared" si="105"/>
        <v>0</v>
      </c>
      <c r="AL154" s="1326">
        <f t="shared" si="105"/>
        <v>0</v>
      </c>
      <c r="AM154" s="1326">
        <f t="shared" si="105"/>
        <v>0</v>
      </c>
      <c r="AN154" s="1326">
        <f t="shared" si="105"/>
        <v>0</v>
      </c>
      <c r="AO154" s="1326">
        <f t="shared" si="105"/>
        <v>0</v>
      </c>
      <c r="AP154" s="1326">
        <f t="shared" si="105"/>
        <v>0</v>
      </c>
      <c r="AQ154" s="1326">
        <f t="shared" si="105"/>
        <v>0</v>
      </c>
      <c r="AR154" s="1326">
        <f t="shared" si="105"/>
        <v>0</v>
      </c>
      <c r="AS154" s="1326">
        <f t="shared" si="105"/>
        <v>0</v>
      </c>
      <c r="AT154" s="1326">
        <f t="shared" si="105"/>
        <v>0</v>
      </c>
      <c r="AU154" s="1324">
        <f t="shared" si="105"/>
        <v>0</v>
      </c>
    </row>
    <row r="155" spans="21:47">
      <c r="U155" s="2262"/>
      <c r="V155" s="2264"/>
      <c r="W155" s="1271" t="s">
        <v>179</v>
      </c>
      <c r="X155" s="1296"/>
      <c r="Y155" s="1296" t="s">
        <v>1854</v>
      </c>
      <c r="Z155" s="1296" t="s">
        <v>1855</v>
      </c>
      <c r="AA155" s="1296" t="s">
        <v>1856</v>
      </c>
      <c r="AB155" s="1296" t="s">
        <v>1857</v>
      </c>
      <c r="AC155" s="1296" t="s">
        <v>1848</v>
      </c>
      <c r="AD155" s="1296" t="s">
        <v>1858</v>
      </c>
      <c r="AE155" s="1272" t="s">
        <v>1859</v>
      </c>
      <c r="AF155" s="1296" t="s">
        <v>1860</v>
      </c>
      <c r="AG155" s="1296" t="s">
        <v>1861</v>
      </c>
      <c r="AH155" s="1296" t="s">
        <v>1862</v>
      </c>
      <c r="AI155" s="1298" t="s">
        <v>1863</v>
      </c>
      <c r="AJ155" s="1247"/>
      <c r="AK155" s="1325" t="str">
        <f t="shared" ref="AK155:AU155" si="106">IF($X$30=$V$142,Y155,"")</f>
        <v/>
      </c>
      <c r="AL155" s="1326" t="str">
        <f t="shared" si="106"/>
        <v/>
      </c>
      <c r="AM155" s="1326" t="str">
        <f t="shared" si="106"/>
        <v/>
      </c>
      <c r="AN155" s="1326" t="str">
        <f t="shared" si="106"/>
        <v/>
      </c>
      <c r="AO155" s="1326" t="str">
        <f t="shared" si="106"/>
        <v/>
      </c>
      <c r="AP155" s="1326" t="str">
        <f t="shared" si="106"/>
        <v/>
      </c>
      <c r="AQ155" s="1326" t="str">
        <f t="shared" si="106"/>
        <v/>
      </c>
      <c r="AR155" s="1326" t="str">
        <f t="shared" si="106"/>
        <v/>
      </c>
      <c r="AS155" s="1326" t="str">
        <f t="shared" si="106"/>
        <v/>
      </c>
      <c r="AT155" s="1326" t="str">
        <f t="shared" si="106"/>
        <v/>
      </c>
      <c r="AU155" s="1324" t="str">
        <f t="shared" si="106"/>
        <v/>
      </c>
    </row>
    <row r="156" spans="21:47">
      <c r="U156" s="2262"/>
      <c r="V156" s="2264"/>
      <c r="W156" s="1271" t="s">
        <v>479</v>
      </c>
      <c r="X156" s="1272"/>
      <c r="Y156" s="1272"/>
      <c r="Z156" s="1272"/>
      <c r="AA156" s="1272"/>
      <c r="AB156" s="1272"/>
      <c r="AC156" s="1272"/>
      <c r="AD156" s="1272"/>
      <c r="AE156" s="1272"/>
      <c r="AF156" s="1272"/>
      <c r="AG156" s="1272"/>
      <c r="AH156" s="1272"/>
      <c r="AI156" s="1297"/>
      <c r="AJ156" s="1247"/>
      <c r="AK156" s="1325"/>
      <c r="AL156" s="1326"/>
      <c r="AM156" s="1326"/>
      <c r="AN156" s="1326"/>
      <c r="AO156" s="1326"/>
      <c r="AP156" s="1326"/>
      <c r="AQ156" s="1326"/>
      <c r="AR156" s="1326"/>
      <c r="AS156" s="1326"/>
      <c r="AT156" s="1326"/>
      <c r="AU156" s="1324"/>
    </row>
    <row r="157" spans="21:47">
      <c r="U157" s="2262"/>
      <c r="V157" s="2264"/>
      <c r="W157" s="1271" t="s">
        <v>1311</v>
      </c>
      <c r="X157" s="1272" t="s">
        <v>0</v>
      </c>
      <c r="Y157" s="1272">
        <v>540</v>
      </c>
      <c r="Z157" s="1272">
        <v>550</v>
      </c>
      <c r="AA157" s="1272">
        <v>540</v>
      </c>
      <c r="AB157" s="1272">
        <v>548</v>
      </c>
      <c r="AC157" s="1272">
        <v>540</v>
      </c>
      <c r="AD157" s="1272">
        <v>550</v>
      </c>
      <c r="AE157" s="1272">
        <v>540</v>
      </c>
      <c r="AF157" s="1272">
        <v>540</v>
      </c>
      <c r="AG157" s="1272">
        <v>550</v>
      </c>
      <c r="AH157" s="1272">
        <v>540</v>
      </c>
      <c r="AI157" s="1297">
        <v>492</v>
      </c>
      <c r="AJ157" s="1247"/>
      <c r="AK157" s="1325">
        <f t="shared" ref="AK157:AU160" si="107">IF($X$30=$V$142,Y157,0)</f>
        <v>0</v>
      </c>
      <c r="AL157" s="1326">
        <f t="shared" si="107"/>
        <v>0</v>
      </c>
      <c r="AM157" s="1326">
        <f t="shared" si="107"/>
        <v>0</v>
      </c>
      <c r="AN157" s="1326">
        <f t="shared" si="107"/>
        <v>0</v>
      </c>
      <c r="AO157" s="1326">
        <f t="shared" si="107"/>
        <v>0</v>
      </c>
      <c r="AP157" s="1326">
        <f t="shared" si="107"/>
        <v>0</v>
      </c>
      <c r="AQ157" s="1326">
        <f t="shared" si="107"/>
        <v>0</v>
      </c>
      <c r="AR157" s="1326">
        <f t="shared" si="107"/>
        <v>0</v>
      </c>
      <c r="AS157" s="1326">
        <f t="shared" si="107"/>
        <v>0</v>
      </c>
      <c r="AT157" s="1326">
        <f t="shared" si="107"/>
        <v>0</v>
      </c>
      <c r="AU157" s="1324">
        <f t="shared" si="107"/>
        <v>0</v>
      </c>
    </row>
    <row r="158" spans="21:47">
      <c r="U158" s="2262"/>
      <c r="V158" s="2264"/>
      <c r="W158" s="1271" t="s">
        <v>446</v>
      </c>
      <c r="X158" s="1272" t="s">
        <v>0</v>
      </c>
      <c r="Y158" s="1272">
        <v>780</v>
      </c>
      <c r="Z158" s="1272">
        <v>765</v>
      </c>
      <c r="AA158" s="1272">
        <v>790</v>
      </c>
      <c r="AB158" s="1272">
        <v>750</v>
      </c>
      <c r="AC158" s="1272">
        <v>780</v>
      </c>
      <c r="AD158" s="1272">
        <v>800</v>
      </c>
      <c r="AE158" s="1272">
        <v>780</v>
      </c>
      <c r="AF158" s="1272">
        <v>780</v>
      </c>
      <c r="AG158" s="1272">
        <v>780</v>
      </c>
      <c r="AH158" s="1272">
        <v>848</v>
      </c>
      <c r="AI158" s="1297">
        <v>764</v>
      </c>
      <c r="AJ158" s="1247"/>
      <c r="AK158" s="1325">
        <f t="shared" si="107"/>
        <v>0</v>
      </c>
      <c r="AL158" s="1326">
        <f t="shared" si="107"/>
        <v>0</v>
      </c>
      <c r="AM158" s="1326">
        <f t="shared" si="107"/>
        <v>0</v>
      </c>
      <c r="AN158" s="1326">
        <f t="shared" si="107"/>
        <v>0</v>
      </c>
      <c r="AO158" s="1326">
        <f t="shared" si="107"/>
        <v>0</v>
      </c>
      <c r="AP158" s="1326">
        <f t="shared" si="107"/>
        <v>0</v>
      </c>
      <c r="AQ158" s="1326">
        <f t="shared" si="107"/>
        <v>0</v>
      </c>
      <c r="AR158" s="1326">
        <f t="shared" si="107"/>
        <v>0</v>
      </c>
      <c r="AS158" s="1326">
        <f t="shared" si="107"/>
        <v>0</v>
      </c>
      <c r="AT158" s="1326">
        <f t="shared" si="107"/>
        <v>0</v>
      </c>
      <c r="AU158" s="1324">
        <f t="shared" si="107"/>
        <v>0</v>
      </c>
    </row>
    <row r="159" spans="21:47">
      <c r="U159" s="2262"/>
      <c r="V159" s="2264"/>
      <c r="W159" s="1271" t="s">
        <v>1771</v>
      </c>
      <c r="X159" s="1272" t="s">
        <v>0</v>
      </c>
      <c r="Y159" s="1272">
        <v>250</v>
      </c>
      <c r="Z159" s="1272">
        <v>285</v>
      </c>
      <c r="AA159" s="1272">
        <v>290</v>
      </c>
      <c r="AB159" s="1272">
        <v>288</v>
      </c>
      <c r="AC159" s="1272">
        <v>250</v>
      </c>
      <c r="AD159" s="1272">
        <v>285</v>
      </c>
      <c r="AE159" s="1272">
        <v>290</v>
      </c>
      <c r="AF159" s="1272">
        <v>289</v>
      </c>
      <c r="AG159" s="1272">
        <v>290</v>
      </c>
      <c r="AH159" s="1272">
        <v>320</v>
      </c>
      <c r="AI159" s="1297">
        <v>230</v>
      </c>
      <c r="AJ159" s="1247"/>
      <c r="AK159" s="1325">
        <f t="shared" si="107"/>
        <v>0</v>
      </c>
      <c r="AL159" s="1326">
        <f t="shared" si="107"/>
        <v>0</v>
      </c>
      <c r="AM159" s="1326">
        <f t="shared" si="107"/>
        <v>0</v>
      </c>
      <c r="AN159" s="1326">
        <f t="shared" si="107"/>
        <v>0</v>
      </c>
      <c r="AO159" s="1326">
        <f t="shared" si="107"/>
        <v>0</v>
      </c>
      <c r="AP159" s="1326">
        <f t="shared" si="107"/>
        <v>0</v>
      </c>
      <c r="AQ159" s="1326">
        <f t="shared" si="107"/>
        <v>0</v>
      </c>
      <c r="AR159" s="1326">
        <f t="shared" si="107"/>
        <v>0</v>
      </c>
      <c r="AS159" s="1326">
        <f t="shared" si="107"/>
        <v>0</v>
      </c>
      <c r="AT159" s="1326">
        <f t="shared" si="107"/>
        <v>0</v>
      </c>
      <c r="AU159" s="1324">
        <f t="shared" si="107"/>
        <v>0</v>
      </c>
    </row>
    <row r="160" spans="21:47">
      <c r="U160" s="2262"/>
      <c r="V160" s="2264"/>
      <c r="W160" s="1271" t="s">
        <v>1746</v>
      </c>
      <c r="X160" s="1272" t="s">
        <v>212</v>
      </c>
      <c r="Y160" s="1272" t="s">
        <v>243</v>
      </c>
      <c r="Z160" s="1272">
        <v>47</v>
      </c>
      <c r="AA160" s="1272" t="s">
        <v>243</v>
      </c>
      <c r="AB160" s="1272">
        <v>41</v>
      </c>
      <c r="AC160" s="1272" t="s">
        <v>243</v>
      </c>
      <c r="AD160" s="1272">
        <v>49</v>
      </c>
      <c r="AE160" s="1272">
        <v>50</v>
      </c>
      <c r="AF160" s="1272" t="s">
        <v>243</v>
      </c>
      <c r="AG160" s="1272">
        <v>64</v>
      </c>
      <c r="AH160" s="1272">
        <v>51</v>
      </c>
      <c r="AI160" s="1297" t="s">
        <v>243</v>
      </c>
      <c r="AJ160" s="1247"/>
      <c r="AK160" s="1325">
        <f t="shared" si="107"/>
        <v>0</v>
      </c>
      <c r="AL160" s="1326">
        <f t="shared" si="107"/>
        <v>0</v>
      </c>
      <c r="AM160" s="1326">
        <f t="shared" si="107"/>
        <v>0</v>
      </c>
      <c r="AN160" s="1326">
        <f t="shared" si="107"/>
        <v>0</v>
      </c>
      <c r="AO160" s="1326">
        <f t="shared" si="107"/>
        <v>0</v>
      </c>
      <c r="AP160" s="1326">
        <f t="shared" si="107"/>
        <v>0</v>
      </c>
      <c r="AQ160" s="1326">
        <f t="shared" si="107"/>
        <v>0</v>
      </c>
      <c r="AR160" s="1326">
        <f t="shared" si="107"/>
        <v>0</v>
      </c>
      <c r="AS160" s="1326">
        <f t="shared" si="107"/>
        <v>0</v>
      </c>
      <c r="AT160" s="1326">
        <f t="shared" si="107"/>
        <v>0</v>
      </c>
      <c r="AU160" s="1324">
        <f t="shared" si="107"/>
        <v>0</v>
      </c>
    </row>
    <row r="161" spans="21:47">
      <c r="U161" s="2262"/>
      <c r="V161" s="2264"/>
      <c r="W161" s="1271" t="s">
        <v>1747</v>
      </c>
      <c r="X161" s="1272"/>
      <c r="Y161" s="1272"/>
      <c r="Z161" s="1272"/>
      <c r="AA161" s="1272"/>
      <c r="AB161" s="1272"/>
      <c r="AC161" s="1272"/>
      <c r="AD161" s="1272"/>
      <c r="AE161" s="1272"/>
      <c r="AF161" s="1272"/>
      <c r="AG161" s="1272"/>
      <c r="AH161" s="1272"/>
      <c r="AI161" s="1297"/>
      <c r="AJ161" s="1247"/>
      <c r="AK161" s="1325"/>
      <c r="AL161" s="1326"/>
      <c r="AM161" s="1326"/>
      <c r="AN161" s="1326"/>
      <c r="AO161" s="1326"/>
      <c r="AP161" s="1326"/>
      <c r="AQ161" s="1326"/>
      <c r="AR161" s="1326"/>
      <c r="AS161" s="1326"/>
      <c r="AT161" s="1326"/>
      <c r="AU161" s="1324"/>
    </row>
    <row r="162" spans="21:47">
      <c r="U162" s="2262"/>
      <c r="V162" s="2264"/>
      <c r="W162" s="1271" t="s">
        <v>1779</v>
      </c>
      <c r="X162" s="1272" t="s">
        <v>173</v>
      </c>
      <c r="Y162" s="1272">
        <v>1099</v>
      </c>
      <c r="Z162" s="1272">
        <v>1020</v>
      </c>
      <c r="AA162" s="1272">
        <v>1250</v>
      </c>
      <c r="AB162" s="1272">
        <v>1090</v>
      </c>
      <c r="AC162" s="1272">
        <v>1330</v>
      </c>
      <c r="AD162" s="1272" t="s">
        <v>243</v>
      </c>
      <c r="AE162" s="1272">
        <v>1020</v>
      </c>
      <c r="AF162" s="1272">
        <v>1120</v>
      </c>
      <c r="AG162" s="1272">
        <v>1190</v>
      </c>
      <c r="AH162" s="1272">
        <v>1100</v>
      </c>
      <c r="AI162" s="1297" t="s">
        <v>243</v>
      </c>
      <c r="AJ162" s="1247"/>
      <c r="AK162" s="1325">
        <f t="shared" ref="AK162:AU165" si="108">IF($X$30=$V$142,Y162,0)</f>
        <v>0</v>
      </c>
      <c r="AL162" s="1326">
        <f t="shared" si="108"/>
        <v>0</v>
      </c>
      <c r="AM162" s="1326">
        <f t="shared" si="108"/>
        <v>0</v>
      </c>
      <c r="AN162" s="1326">
        <f t="shared" si="108"/>
        <v>0</v>
      </c>
      <c r="AO162" s="1326">
        <f t="shared" si="108"/>
        <v>0</v>
      </c>
      <c r="AP162" s="1326">
        <f t="shared" si="108"/>
        <v>0</v>
      </c>
      <c r="AQ162" s="1326">
        <f t="shared" si="108"/>
        <v>0</v>
      </c>
      <c r="AR162" s="1326">
        <f t="shared" si="108"/>
        <v>0</v>
      </c>
      <c r="AS162" s="1326">
        <f t="shared" si="108"/>
        <v>0</v>
      </c>
      <c r="AT162" s="1326">
        <f t="shared" si="108"/>
        <v>0</v>
      </c>
      <c r="AU162" s="1324">
        <f t="shared" si="108"/>
        <v>0</v>
      </c>
    </row>
    <row r="163" spans="21:47">
      <c r="U163" s="2262"/>
      <c r="V163" s="2265"/>
      <c r="W163" s="1301" t="s">
        <v>123</v>
      </c>
      <c r="X163" s="1302" t="s">
        <v>1246</v>
      </c>
      <c r="Y163" s="1302">
        <v>5.2</v>
      </c>
      <c r="Z163" s="1302">
        <v>4.0999999999999996</v>
      </c>
      <c r="AA163" s="1302">
        <v>5.9</v>
      </c>
      <c r="AB163" s="1302">
        <v>3.7</v>
      </c>
      <c r="AC163" s="1302">
        <v>5.2</v>
      </c>
      <c r="AD163" s="1302">
        <v>7.7</v>
      </c>
      <c r="AE163" s="1302">
        <v>5.0999999999999996</v>
      </c>
      <c r="AF163" s="1302">
        <v>5.4</v>
      </c>
      <c r="AG163" s="1302">
        <v>5.35</v>
      </c>
      <c r="AH163" s="1302">
        <v>7</v>
      </c>
      <c r="AI163" s="1303" t="s">
        <v>243</v>
      </c>
      <c r="AJ163" s="1247"/>
      <c r="AK163" s="1325">
        <f t="shared" si="108"/>
        <v>0</v>
      </c>
      <c r="AL163" s="1326">
        <f t="shared" si="108"/>
        <v>0</v>
      </c>
      <c r="AM163" s="1326">
        <f t="shared" si="108"/>
        <v>0</v>
      </c>
      <c r="AN163" s="1326">
        <f t="shared" si="108"/>
        <v>0</v>
      </c>
      <c r="AO163" s="1326">
        <f t="shared" si="108"/>
        <v>0</v>
      </c>
      <c r="AP163" s="1326">
        <f t="shared" si="108"/>
        <v>0</v>
      </c>
      <c r="AQ163" s="1326">
        <f t="shared" si="108"/>
        <v>0</v>
      </c>
      <c r="AR163" s="1326">
        <f t="shared" si="108"/>
        <v>0</v>
      </c>
      <c r="AS163" s="1326">
        <f t="shared" si="108"/>
        <v>0</v>
      </c>
      <c r="AT163" s="1326">
        <f t="shared" si="108"/>
        <v>0</v>
      </c>
      <c r="AU163" s="1324">
        <f t="shared" si="108"/>
        <v>0</v>
      </c>
    </row>
    <row r="164" spans="21:47">
      <c r="U164" s="2262"/>
      <c r="W164" s="1271" t="s">
        <v>1780</v>
      </c>
      <c r="X164" s="1272" t="s">
        <v>216</v>
      </c>
      <c r="Y164" s="1272" t="s">
        <v>243</v>
      </c>
      <c r="Z164" s="1272">
        <v>20</v>
      </c>
      <c r="AA164" s="1272" t="s">
        <v>243</v>
      </c>
      <c r="AB164" s="1272">
        <v>12</v>
      </c>
      <c r="AC164" s="1272">
        <v>20</v>
      </c>
      <c r="AD164" s="1272">
        <v>25</v>
      </c>
      <c r="AE164" s="1272">
        <v>15</v>
      </c>
      <c r="AF164" s="1272" t="s">
        <v>243</v>
      </c>
      <c r="AG164" s="1272">
        <v>15</v>
      </c>
      <c r="AH164" s="1272">
        <v>15</v>
      </c>
      <c r="AI164" s="1272" t="s">
        <v>243</v>
      </c>
      <c r="AJ164" s="1247"/>
      <c r="AK164" s="1325">
        <f t="shared" si="108"/>
        <v>0</v>
      </c>
      <c r="AL164" s="1326">
        <f t="shared" si="108"/>
        <v>0</v>
      </c>
      <c r="AM164" s="1326">
        <f t="shared" si="108"/>
        <v>0</v>
      </c>
      <c r="AN164" s="1326">
        <f t="shared" si="108"/>
        <v>0</v>
      </c>
      <c r="AO164" s="1326">
        <f t="shared" si="108"/>
        <v>0</v>
      </c>
      <c r="AP164" s="1326">
        <f t="shared" si="108"/>
        <v>0</v>
      </c>
      <c r="AQ164" s="1326">
        <f t="shared" si="108"/>
        <v>0</v>
      </c>
      <c r="AR164" s="1326">
        <f t="shared" si="108"/>
        <v>0</v>
      </c>
      <c r="AS164" s="1326">
        <f t="shared" si="108"/>
        <v>0</v>
      </c>
      <c r="AT164" s="1326">
        <f t="shared" si="108"/>
        <v>0</v>
      </c>
      <c r="AU164" s="1324">
        <f t="shared" si="108"/>
        <v>0</v>
      </c>
    </row>
    <row r="165" spans="21:47">
      <c r="U165" s="2262"/>
      <c r="V165" s="2263" t="s">
        <v>1864</v>
      </c>
      <c r="W165" s="1293" t="s">
        <v>1752</v>
      </c>
      <c r="X165" s="1304" t="s">
        <v>216</v>
      </c>
      <c r="Y165" s="1304" t="s">
        <v>243</v>
      </c>
      <c r="Z165" s="1304">
        <v>15</v>
      </c>
      <c r="AA165" s="1304" t="s">
        <v>243</v>
      </c>
      <c r="AB165" s="1304" t="s">
        <v>243</v>
      </c>
      <c r="AC165" s="1304">
        <v>8</v>
      </c>
      <c r="AD165" s="1304">
        <v>10</v>
      </c>
      <c r="AE165" s="1304">
        <v>10</v>
      </c>
      <c r="AF165" s="1304" t="s">
        <v>243</v>
      </c>
      <c r="AG165" s="1304" t="s">
        <v>243</v>
      </c>
      <c r="AH165" s="1304">
        <v>5</v>
      </c>
      <c r="AI165" s="1305" t="s">
        <v>243</v>
      </c>
      <c r="AJ165" s="1247"/>
      <c r="AK165" s="1325">
        <f t="shared" si="108"/>
        <v>0</v>
      </c>
      <c r="AL165" s="1326">
        <f t="shared" si="108"/>
        <v>0</v>
      </c>
      <c r="AM165" s="1326">
        <f t="shared" si="108"/>
        <v>0</v>
      </c>
      <c r="AN165" s="1326">
        <f t="shared" si="108"/>
        <v>0</v>
      </c>
      <c r="AO165" s="1326">
        <f t="shared" si="108"/>
        <v>0</v>
      </c>
      <c r="AP165" s="1326">
        <f t="shared" si="108"/>
        <v>0</v>
      </c>
      <c r="AQ165" s="1326">
        <f t="shared" si="108"/>
        <v>0</v>
      </c>
      <c r="AR165" s="1326">
        <f t="shared" si="108"/>
        <v>0</v>
      </c>
      <c r="AS165" s="1326">
        <f t="shared" si="108"/>
        <v>0</v>
      </c>
      <c r="AT165" s="1326">
        <f t="shared" si="108"/>
        <v>0</v>
      </c>
      <c r="AU165" s="1324">
        <f t="shared" si="108"/>
        <v>0</v>
      </c>
    </row>
    <row r="166" spans="21:47">
      <c r="U166" s="2262"/>
      <c r="V166" s="2264"/>
      <c r="W166" s="1271" t="s">
        <v>1749</v>
      </c>
      <c r="X166" s="1272"/>
      <c r="Y166" s="1272" t="s">
        <v>1781</v>
      </c>
      <c r="Z166" s="1272" t="s">
        <v>1781</v>
      </c>
      <c r="AA166" s="1272" t="s">
        <v>1781</v>
      </c>
      <c r="AB166" s="1272" t="s">
        <v>1781</v>
      </c>
      <c r="AC166" s="1272" t="s">
        <v>1781</v>
      </c>
      <c r="AD166" s="1272" t="s">
        <v>1843</v>
      </c>
      <c r="AE166" s="1272" t="s">
        <v>1781</v>
      </c>
      <c r="AF166" s="1272" t="s">
        <v>1781</v>
      </c>
      <c r="AG166" s="1272" t="s">
        <v>1844</v>
      </c>
      <c r="AH166" s="1272" t="s">
        <v>1781</v>
      </c>
      <c r="AI166" s="1297" t="s">
        <v>243</v>
      </c>
      <c r="AJ166" s="1247"/>
      <c r="AK166" s="1325" t="str">
        <f t="shared" ref="AK166:AU166" si="109">IF($X$30=$V$142,Y166,"")</f>
        <v/>
      </c>
      <c r="AL166" s="1326" t="str">
        <f t="shared" si="109"/>
        <v/>
      </c>
      <c r="AM166" s="1326" t="str">
        <f t="shared" si="109"/>
        <v/>
      </c>
      <c r="AN166" s="1326" t="str">
        <f t="shared" si="109"/>
        <v/>
      </c>
      <c r="AO166" s="1326" t="str">
        <f t="shared" si="109"/>
        <v/>
      </c>
      <c r="AP166" s="1326" t="str">
        <f t="shared" si="109"/>
        <v/>
      </c>
      <c r="AQ166" s="1326" t="str">
        <f t="shared" si="109"/>
        <v/>
      </c>
      <c r="AR166" s="1326" t="str">
        <f t="shared" si="109"/>
        <v/>
      </c>
      <c r="AS166" s="1326" t="str">
        <f t="shared" si="109"/>
        <v/>
      </c>
      <c r="AT166" s="1326" t="str">
        <f t="shared" si="109"/>
        <v/>
      </c>
      <c r="AU166" s="1324" t="str">
        <f t="shared" si="109"/>
        <v/>
      </c>
    </row>
    <row r="167" spans="21:47">
      <c r="U167" s="2262"/>
      <c r="V167" s="2264"/>
      <c r="W167" s="1271"/>
      <c r="X167" s="1272"/>
      <c r="Y167" s="1272"/>
      <c r="Z167" s="1272"/>
      <c r="AA167" s="1272"/>
      <c r="AB167" s="1272"/>
      <c r="AC167" s="1272"/>
      <c r="AD167" s="1272"/>
      <c r="AE167" s="1272"/>
      <c r="AF167" s="1272"/>
      <c r="AG167" s="1272"/>
      <c r="AH167" s="1272"/>
      <c r="AI167" s="1297"/>
      <c r="AJ167" s="1247"/>
      <c r="AK167" s="1325"/>
      <c r="AL167" s="1326"/>
      <c r="AM167" s="1326"/>
      <c r="AN167" s="1326"/>
      <c r="AO167" s="1326"/>
      <c r="AP167" s="1326"/>
      <c r="AQ167" s="1326"/>
      <c r="AR167" s="1326"/>
      <c r="AS167" s="1326"/>
      <c r="AT167" s="1326"/>
      <c r="AU167" s="1324"/>
    </row>
    <row r="168" spans="21:47">
      <c r="U168" s="2262"/>
      <c r="V168" s="2264"/>
      <c r="W168" s="1271" t="s">
        <v>1738</v>
      </c>
      <c r="X168" s="1296"/>
      <c r="Y168" s="1296"/>
      <c r="Z168" s="1296"/>
      <c r="AA168" s="1296"/>
      <c r="AB168" s="1296"/>
      <c r="AC168" s="1296"/>
      <c r="AD168" s="1296"/>
      <c r="AE168" s="1272"/>
      <c r="AF168" s="1296"/>
      <c r="AG168" s="1296"/>
      <c r="AH168" s="1296"/>
      <c r="AI168" s="1298"/>
      <c r="AJ168" s="1247"/>
      <c r="AK168" s="1325"/>
      <c r="AL168" s="1326"/>
      <c r="AM168" s="1326"/>
      <c r="AN168" s="1326"/>
      <c r="AO168" s="1326"/>
      <c r="AP168" s="1326"/>
      <c r="AQ168" s="1326"/>
      <c r="AR168" s="1326"/>
      <c r="AS168" s="1326"/>
      <c r="AT168" s="1326"/>
      <c r="AU168" s="1324"/>
    </row>
    <row r="169" spans="21:47" ht="23">
      <c r="U169" s="2262"/>
      <c r="V169" s="2264"/>
      <c r="W169" s="1271" t="s">
        <v>179</v>
      </c>
      <c r="X169" s="1296"/>
      <c r="Y169" s="1296" t="s">
        <v>1865</v>
      </c>
      <c r="Z169" s="1272" t="s">
        <v>1919</v>
      </c>
      <c r="AA169" s="1296" t="s">
        <v>1866</v>
      </c>
      <c r="AB169" s="1272" t="s">
        <v>1867</v>
      </c>
      <c r="AC169" s="1296" t="s">
        <v>1868</v>
      </c>
      <c r="AD169" s="1296" t="s">
        <v>1869</v>
      </c>
      <c r="AE169" s="1296" t="s">
        <v>1870</v>
      </c>
      <c r="AF169" s="1296" t="s">
        <v>1871</v>
      </c>
      <c r="AG169" s="1296" t="s">
        <v>1872</v>
      </c>
      <c r="AH169" s="1296" t="s">
        <v>1873</v>
      </c>
      <c r="AI169" s="1298" t="s">
        <v>1874</v>
      </c>
      <c r="AJ169" s="1247"/>
      <c r="AK169" s="1325" t="str">
        <f t="shared" ref="AK169:AU169" si="110">IF($X$30=$V$165,Y169,"")</f>
        <v/>
      </c>
      <c r="AL169" s="1326" t="str">
        <f t="shared" si="110"/>
        <v/>
      </c>
      <c r="AM169" s="1326" t="str">
        <f t="shared" si="110"/>
        <v/>
      </c>
      <c r="AN169" s="1326" t="str">
        <f t="shared" si="110"/>
        <v/>
      </c>
      <c r="AO169" s="1326" t="str">
        <f t="shared" si="110"/>
        <v/>
      </c>
      <c r="AP169" s="1326" t="str">
        <f t="shared" si="110"/>
        <v/>
      </c>
      <c r="AQ169" s="1326" t="str">
        <f t="shared" si="110"/>
        <v/>
      </c>
      <c r="AR169" s="1326" t="str">
        <f t="shared" si="110"/>
        <v/>
      </c>
      <c r="AS169" s="1326" t="str">
        <f t="shared" si="110"/>
        <v/>
      </c>
      <c r="AT169" s="1326" t="str">
        <f t="shared" si="110"/>
        <v/>
      </c>
      <c r="AU169" s="1324" t="str">
        <f t="shared" si="110"/>
        <v/>
      </c>
    </row>
    <row r="170" spans="21:47">
      <c r="U170" s="2262"/>
      <c r="V170" s="2264"/>
      <c r="W170" s="1247" t="s">
        <v>1914</v>
      </c>
      <c r="X170" s="1272" t="s">
        <v>6</v>
      </c>
      <c r="Y170" s="1277">
        <v>5.28</v>
      </c>
      <c r="Z170" s="1277">
        <v>5</v>
      </c>
      <c r="AA170" s="1277">
        <v>5.2</v>
      </c>
      <c r="AB170" s="1277">
        <v>5.2</v>
      </c>
      <c r="AC170" s="1277">
        <v>5.18</v>
      </c>
      <c r="AD170" s="1277">
        <v>5</v>
      </c>
      <c r="AE170" s="1277">
        <v>5</v>
      </c>
      <c r="AF170" s="1277">
        <v>5</v>
      </c>
      <c r="AG170" s="1277">
        <v>5.0999999999999996</v>
      </c>
      <c r="AH170" s="1277">
        <v>5.3</v>
      </c>
      <c r="AI170" s="1278">
        <v>5.3</v>
      </c>
      <c r="AJ170" s="1247"/>
      <c r="AK170" s="1325">
        <f t="shared" ref="AK170:AU172" si="111">IF($X$30=$V$165,Y170,0)</f>
        <v>0</v>
      </c>
      <c r="AL170" s="1326">
        <f t="shared" si="111"/>
        <v>0</v>
      </c>
      <c r="AM170" s="1326">
        <f t="shared" si="111"/>
        <v>0</v>
      </c>
      <c r="AN170" s="1326">
        <f t="shared" si="111"/>
        <v>0</v>
      </c>
      <c r="AO170" s="1326">
        <f t="shared" si="111"/>
        <v>0</v>
      </c>
      <c r="AP170" s="1326">
        <f t="shared" si="111"/>
        <v>0</v>
      </c>
      <c r="AQ170" s="1326">
        <f t="shared" si="111"/>
        <v>0</v>
      </c>
      <c r="AR170" s="1326">
        <f t="shared" si="111"/>
        <v>0</v>
      </c>
      <c r="AS170" s="1326">
        <f t="shared" si="111"/>
        <v>0</v>
      </c>
      <c r="AT170" s="1326">
        <f t="shared" si="111"/>
        <v>0</v>
      </c>
      <c r="AU170" s="1324">
        <f t="shared" si="111"/>
        <v>0</v>
      </c>
    </row>
    <row r="171" spans="21:47">
      <c r="U171" s="2262"/>
      <c r="V171" s="2264"/>
      <c r="W171" s="1247" t="s">
        <v>1770</v>
      </c>
      <c r="X171" s="1272" t="s">
        <v>6</v>
      </c>
      <c r="Y171" s="1299">
        <v>5.65</v>
      </c>
      <c r="Z171" s="1299">
        <v>5.8</v>
      </c>
      <c r="AA171" s="1299">
        <v>6.25</v>
      </c>
      <c r="AB171" s="1299">
        <v>5.5</v>
      </c>
      <c r="AC171" s="1299">
        <v>5.18</v>
      </c>
      <c r="AD171" s="1299">
        <v>5.2</v>
      </c>
      <c r="AE171" s="1272">
        <v>6.1</v>
      </c>
      <c r="AF171" s="1299">
        <v>5.8</v>
      </c>
      <c r="AG171" s="1299">
        <v>5.45</v>
      </c>
      <c r="AH171" s="1299">
        <v>5.85</v>
      </c>
      <c r="AI171" s="1300">
        <v>5.4</v>
      </c>
      <c r="AJ171" s="1247"/>
      <c r="AK171" s="1325">
        <f t="shared" si="111"/>
        <v>0</v>
      </c>
      <c r="AL171" s="1326">
        <f t="shared" si="111"/>
        <v>0</v>
      </c>
      <c r="AM171" s="1326">
        <f t="shared" si="111"/>
        <v>0</v>
      </c>
      <c r="AN171" s="1326">
        <f t="shared" si="111"/>
        <v>0</v>
      </c>
      <c r="AO171" s="1326">
        <f t="shared" si="111"/>
        <v>0</v>
      </c>
      <c r="AP171" s="1326">
        <f t="shared" si="111"/>
        <v>0</v>
      </c>
      <c r="AQ171" s="1326">
        <f t="shared" si="111"/>
        <v>0</v>
      </c>
      <c r="AR171" s="1326">
        <f t="shared" si="111"/>
        <v>0</v>
      </c>
      <c r="AS171" s="1326">
        <f t="shared" si="111"/>
        <v>0</v>
      </c>
      <c r="AT171" s="1326">
        <f t="shared" si="111"/>
        <v>0</v>
      </c>
      <c r="AU171" s="1324">
        <f t="shared" si="111"/>
        <v>0</v>
      </c>
    </row>
    <row r="172" spans="21:47">
      <c r="U172" s="2262"/>
      <c r="V172" s="2264"/>
      <c r="W172" s="1247" t="s">
        <v>1915</v>
      </c>
      <c r="X172" s="1272"/>
      <c r="Y172" s="1299" t="s">
        <v>243</v>
      </c>
      <c r="Z172" s="1299">
        <v>4.8</v>
      </c>
      <c r="AA172" s="1299">
        <v>4.8899999999999997</v>
      </c>
      <c r="AB172" s="1299">
        <v>4.67</v>
      </c>
      <c r="AC172" s="1299" t="s">
        <v>243</v>
      </c>
      <c r="AD172" s="1299">
        <v>4.9000000000000004</v>
      </c>
      <c r="AE172" s="1272" t="s">
        <v>243</v>
      </c>
      <c r="AF172" s="1299" t="s">
        <v>243</v>
      </c>
      <c r="AG172" s="1299" t="s">
        <v>243</v>
      </c>
      <c r="AH172" s="1299" t="s">
        <v>243</v>
      </c>
      <c r="AI172" s="1300" t="s">
        <v>243</v>
      </c>
      <c r="AJ172" s="1247"/>
      <c r="AK172" s="1325">
        <f t="shared" si="111"/>
        <v>0</v>
      </c>
      <c r="AL172" s="1326">
        <f t="shared" si="111"/>
        <v>0</v>
      </c>
      <c r="AM172" s="1326">
        <f t="shared" si="111"/>
        <v>0</v>
      </c>
      <c r="AN172" s="1326">
        <f t="shared" si="111"/>
        <v>0</v>
      </c>
      <c r="AO172" s="1326">
        <f t="shared" si="111"/>
        <v>0</v>
      </c>
      <c r="AP172" s="1326">
        <f t="shared" si="111"/>
        <v>0</v>
      </c>
      <c r="AQ172" s="1326">
        <f t="shared" si="111"/>
        <v>0</v>
      </c>
      <c r="AR172" s="1326">
        <f t="shared" si="111"/>
        <v>0</v>
      </c>
      <c r="AS172" s="1326">
        <f t="shared" si="111"/>
        <v>0</v>
      </c>
      <c r="AT172" s="1326">
        <f t="shared" si="111"/>
        <v>0</v>
      </c>
      <c r="AU172" s="1324">
        <f t="shared" si="111"/>
        <v>0</v>
      </c>
    </row>
    <row r="173" spans="21:47">
      <c r="U173" s="2262"/>
      <c r="V173" s="2264"/>
      <c r="W173" s="1271" t="s">
        <v>479</v>
      </c>
      <c r="X173" s="1272"/>
      <c r="Y173" s="1272"/>
      <c r="Z173" s="1272"/>
      <c r="AA173" s="1272"/>
      <c r="AB173" s="1272"/>
      <c r="AC173" s="1272"/>
      <c r="AD173" s="1272"/>
      <c r="AE173" s="1272"/>
      <c r="AF173" s="1272"/>
      <c r="AG173" s="1272"/>
      <c r="AH173" s="1272"/>
      <c r="AI173" s="1297"/>
      <c r="AJ173" s="1247"/>
      <c r="AK173" s="1325"/>
      <c r="AL173" s="1326"/>
      <c r="AM173" s="1326"/>
      <c r="AN173" s="1326"/>
      <c r="AO173" s="1326"/>
      <c r="AP173" s="1326"/>
      <c r="AQ173" s="1326"/>
      <c r="AR173" s="1326"/>
      <c r="AS173" s="1326"/>
      <c r="AT173" s="1326"/>
      <c r="AU173" s="1324"/>
    </row>
    <row r="174" spans="21:47">
      <c r="U174" s="2262"/>
      <c r="V174" s="2264"/>
      <c r="W174" s="1271" t="s">
        <v>1311</v>
      </c>
      <c r="X174" s="1272" t="s">
        <v>0</v>
      </c>
      <c r="Y174" s="1272">
        <v>313</v>
      </c>
      <c r="Z174" s="1272">
        <v>290</v>
      </c>
      <c r="AA174" s="1272">
        <v>275</v>
      </c>
      <c r="AB174" s="1272">
        <v>290</v>
      </c>
      <c r="AC174" s="1272">
        <v>313</v>
      </c>
      <c r="AD174" s="1272">
        <v>325</v>
      </c>
      <c r="AE174" s="1272">
        <v>294</v>
      </c>
      <c r="AF174" s="1272">
        <v>290</v>
      </c>
      <c r="AG174" s="1272">
        <v>320</v>
      </c>
      <c r="AH174" s="1272">
        <v>298</v>
      </c>
      <c r="AI174" s="1297">
        <v>315</v>
      </c>
      <c r="AJ174" s="1247"/>
      <c r="AK174" s="1325">
        <f t="shared" ref="AK174:AU176" si="112">IF($X$30=$V$165,Y174,0)</f>
        <v>0</v>
      </c>
      <c r="AL174" s="1326">
        <f t="shared" si="112"/>
        <v>0</v>
      </c>
      <c r="AM174" s="1326">
        <f t="shared" si="112"/>
        <v>0</v>
      </c>
      <c r="AN174" s="1326">
        <f t="shared" si="112"/>
        <v>0</v>
      </c>
      <c r="AO174" s="1326">
        <f t="shared" si="112"/>
        <v>0</v>
      </c>
      <c r="AP174" s="1326">
        <f t="shared" si="112"/>
        <v>0</v>
      </c>
      <c r="AQ174" s="1326">
        <f t="shared" si="112"/>
        <v>0</v>
      </c>
      <c r="AR174" s="1326">
        <f t="shared" si="112"/>
        <v>0</v>
      </c>
      <c r="AS174" s="1326">
        <f t="shared" si="112"/>
        <v>0</v>
      </c>
      <c r="AT174" s="1326">
        <f t="shared" si="112"/>
        <v>0</v>
      </c>
      <c r="AU174" s="1324">
        <f t="shared" si="112"/>
        <v>0</v>
      </c>
    </row>
    <row r="175" spans="21:47">
      <c r="U175" s="2262"/>
      <c r="V175" s="2264"/>
      <c r="W175" s="1271" t="s">
        <v>446</v>
      </c>
      <c r="X175" s="1272" t="s">
        <v>0</v>
      </c>
      <c r="Y175" s="1272">
        <v>1030</v>
      </c>
      <c r="Z175" s="1272">
        <v>1050</v>
      </c>
      <c r="AA175" s="1272">
        <v>790</v>
      </c>
      <c r="AB175" s="1272">
        <v>1050</v>
      </c>
      <c r="AC175" s="1272">
        <v>1030</v>
      </c>
      <c r="AD175" s="1272">
        <v>1100</v>
      </c>
      <c r="AE175" s="1272">
        <v>798</v>
      </c>
      <c r="AF175" s="1272">
        <v>1070</v>
      </c>
      <c r="AG175" s="1272">
        <v>1050</v>
      </c>
      <c r="AH175" s="1272">
        <v>940</v>
      </c>
      <c r="AI175" s="1297">
        <v>1019</v>
      </c>
      <c r="AJ175" s="1247"/>
      <c r="AK175" s="1325">
        <f t="shared" si="112"/>
        <v>0</v>
      </c>
      <c r="AL175" s="1326">
        <f t="shared" si="112"/>
        <v>0</v>
      </c>
      <c r="AM175" s="1326">
        <f t="shared" si="112"/>
        <v>0</v>
      </c>
      <c r="AN175" s="1326">
        <f t="shared" si="112"/>
        <v>0</v>
      </c>
      <c r="AO175" s="1326">
        <f t="shared" si="112"/>
        <v>0</v>
      </c>
      <c r="AP175" s="1326">
        <f t="shared" si="112"/>
        <v>0</v>
      </c>
      <c r="AQ175" s="1326">
        <f t="shared" si="112"/>
        <v>0</v>
      </c>
      <c r="AR175" s="1326">
        <f t="shared" si="112"/>
        <v>0</v>
      </c>
      <c r="AS175" s="1326">
        <f t="shared" si="112"/>
        <v>0</v>
      </c>
      <c r="AT175" s="1326">
        <f t="shared" si="112"/>
        <v>0</v>
      </c>
      <c r="AU175" s="1324">
        <f t="shared" si="112"/>
        <v>0</v>
      </c>
    </row>
    <row r="176" spans="21:47">
      <c r="U176" s="2262"/>
      <c r="V176" s="2264"/>
      <c r="W176" s="1271" t="s">
        <v>1771</v>
      </c>
      <c r="X176" s="1272" t="s">
        <v>0</v>
      </c>
      <c r="Y176" s="1272">
        <v>221</v>
      </c>
      <c r="Z176" s="1272">
        <v>238</v>
      </c>
      <c r="AA176" s="1272">
        <v>215</v>
      </c>
      <c r="AB176" s="1272">
        <v>220</v>
      </c>
      <c r="AC176" s="1272">
        <v>221</v>
      </c>
      <c r="AD176" s="1272">
        <v>258</v>
      </c>
      <c r="AE176" s="1272">
        <v>230</v>
      </c>
      <c r="AF176" s="1272">
        <v>235</v>
      </c>
      <c r="AG176" s="1272">
        <v>228</v>
      </c>
      <c r="AH176" s="1272">
        <v>200</v>
      </c>
      <c r="AI176" s="1297">
        <v>180</v>
      </c>
      <c r="AJ176" s="1247"/>
      <c r="AK176" s="1325">
        <f t="shared" si="112"/>
        <v>0</v>
      </c>
      <c r="AL176" s="1326">
        <f t="shared" si="112"/>
        <v>0</v>
      </c>
      <c r="AM176" s="1326">
        <f t="shared" si="112"/>
        <v>0</v>
      </c>
      <c r="AN176" s="1326">
        <f t="shared" si="112"/>
        <v>0</v>
      </c>
      <c r="AO176" s="1326">
        <f t="shared" si="112"/>
        <v>0</v>
      </c>
      <c r="AP176" s="1326">
        <f t="shared" si="112"/>
        <v>0</v>
      </c>
      <c r="AQ176" s="1326">
        <f t="shared" si="112"/>
        <v>0</v>
      </c>
      <c r="AR176" s="1326">
        <f t="shared" si="112"/>
        <v>0</v>
      </c>
      <c r="AS176" s="1326">
        <f t="shared" si="112"/>
        <v>0</v>
      </c>
      <c r="AT176" s="1326">
        <f t="shared" si="112"/>
        <v>0</v>
      </c>
      <c r="AU176" s="1324">
        <f t="shared" si="112"/>
        <v>0</v>
      </c>
    </row>
    <row r="177" spans="21:47">
      <c r="U177" s="2262"/>
      <c r="V177" s="2264"/>
      <c r="W177" s="1271" t="s">
        <v>1745</v>
      </c>
      <c r="X177" s="1272"/>
      <c r="Y177" s="1272"/>
      <c r="Z177" s="1272"/>
      <c r="AA177" s="1272"/>
      <c r="AB177" s="1272"/>
      <c r="AC177" s="1272"/>
      <c r="AD177" s="1272"/>
      <c r="AE177" s="1272"/>
      <c r="AF177" s="1272"/>
      <c r="AG177" s="1272"/>
      <c r="AH177" s="1272"/>
      <c r="AI177" s="1297"/>
      <c r="AJ177" s="1247"/>
      <c r="AK177" s="1325"/>
      <c r="AL177" s="1326"/>
      <c r="AM177" s="1326"/>
      <c r="AN177" s="1326"/>
      <c r="AO177" s="1326"/>
      <c r="AP177" s="1326"/>
      <c r="AQ177" s="1326"/>
      <c r="AR177" s="1326"/>
      <c r="AS177" s="1326"/>
      <c r="AT177" s="1326"/>
      <c r="AU177" s="1324"/>
    </row>
    <row r="178" spans="21:47">
      <c r="U178" s="2262"/>
      <c r="V178" s="2264"/>
      <c r="W178" s="1271" t="s">
        <v>179</v>
      </c>
      <c r="X178" s="1296"/>
      <c r="Y178" s="1296" t="s">
        <v>1875</v>
      </c>
      <c r="Z178" s="1296" t="s">
        <v>1876</v>
      </c>
      <c r="AA178" s="1296" t="s">
        <v>1877</v>
      </c>
      <c r="AB178" s="1296" t="s">
        <v>1878</v>
      </c>
      <c r="AC178" s="1296" t="s">
        <v>1868</v>
      </c>
      <c r="AD178" s="1296" t="s">
        <v>1879</v>
      </c>
      <c r="AE178" s="1296" t="s">
        <v>1880</v>
      </c>
      <c r="AF178" s="1296" t="s">
        <v>1881</v>
      </c>
      <c r="AG178" s="1296" t="s">
        <v>1882</v>
      </c>
      <c r="AH178" s="1296" t="s">
        <v>1883</v>
      </c>
      <c r="AI178" s="1298" t="s">
        <v>1884</v>
      </c>
      <c r="AJ178" s="1247"/>
      <c r="AK178" s="1325" t="str">
        <f t="shared" ref="AK178:AU178" si="113">IF($X$30=$V$165,Y178,"")</f>
        <v/>
      </c>
      <c r="AL178" s="1326" t="str">
        <f t="shared" si="113"/>
        <v/>
      </c>
      <c r="AM178" s="1326" t="str">
        <f t="shared" si="113"/>
        <v/>
      </c>
      <c r="AN178" s="1326" t="str">
        <f t="shared" si="113"/>
        <v/>
      </c>
      <c r="AO178" s="1326" t="str">
        <f t="shared" si="113"/>
        <v/>
      </c>
      <c r="AP178" s="1326" t="str">
        <f t="shared" si="113"/>
        <v/>
      </c>
      <c r="AQ178" s="1326" t="str">
        <f t="shared" si="113"/>
        <v/>
      </c>
      <c r="AR178" s="1326" t="str">
        <f t="shared" si="113"/>
        <v/>
      </c>
      <c r="AS178" s="1326" t="str">
        <f t="shared" si="113"/>
        <v/>
      </c>
      <c r="AT178" s="1326" t="str">
        <f t="shared" si="113"/>
        <v/>
      </c>
      <c r="AU178" s="1324" t="str">
        <f t="shared" si="113"/>
        <v/>
      </c>
    </row>
    <row r="179" spans="21:47">
      <c r="U179" s="2262"/>
      <c r="V179" s="2264"/>
      <c r="W179" s="1271" t="s">
        <v>479</v>
      </c>
      <c r="X179" s="1272"/>
      <c r="Y179" s="1272"/>
      <c r="Z179" s="1272"/>
      <c r="AA179" s="1272"/>
      <c r="AB179" s="1272"/>
      <c r="AC179" s="1272"/>
      <c r="AD179" s="1272"/>
      <c r="AE179" s="1272"/>
      <c r="AF179" s="1272"/>
      <c r="AG179" s="1272"/>
      <c r="AH179" s="1272"/>
      <c r="AI179" s="1297"/>
      <c r="AJ179" s="1247"/>
      <c r="AK179" s="1325"/>
      <c r="AL179" s="1326"/>
      <c r="AM179" s="1326"/>
      <c r="AN179" s="1326"/>
      <c r="AO179" s="1326"/>
      <c r="AP179" s="1326"/>
      <c r="AQ179" s="1326"/>
      <c r="AR179" s="1326"/>
      <c r="AS179" s="1326"/>
      <c r="AT179" s="1326"/>
      <c r="AU179" s="1324"/>
    </row>
    <row r="180" spans="21:47">
      <c r="U180" s="2262"/>
      <c r="V180" s="2264"/>
      <c r="W180" s="1271" t="s">
        <v>1311</v>
      </c>
      <c r="X180" s="1272" t="s">
        <v>0</v>
      </c>
      <c r="Y180" s="1272">
        <v>695</v>
      </c>
      <c r="Z180" s="1272">
        <v>735</v>
      </c>
      <c r="AA180" s="1272">
        <v>578</v>
      </c>
      <c r="AB180" s="1272">
        <v>600</v>
      </c>
      <c r="AC180" s="1272">
        <v>695</v>
      </c>
      <c r="AD180" s="1272">
        <v>550</v>
      </c>
      <c r="AE180" s="1272">
        <v>640</v>
      </c>
      <c r="AF180" s="1272">
        <v>695</v>
      </c>
      <c r="AG180" s="1272">
        <v>715</v>
      </c>
      <c r="AH180" s="1272">
        <v>680</v>
      </c>
      <c r="AI180" s="1297">
        <v>590</v>
      </c>
      <c r="AJ180" s="1247"/>
      <c r="AK180" s="1325">
        <f t="shared" ref="AK180:AU183" si="114">IF($X$30=$V$165,Y180,0)</f>
        <v>0</v>
      </c>
      <c r="AL180" s="1326">
        <f t="shared" si="114"/>
        <v>0</v>
      </c>
      <c r="AM180" s="1326">
        <f t="shared" si="114"/>
        <v>0</v>
      </c>
      <c r="AN180" s="1326">
        <f t="shared" si="114"/>
        <v>0</v>
      </c>
      <c r="AO180" s="1326">
        <f t="shared" si="114"/>
        <v>0</v>
      </c>
      <c r="AP180" s="1326">
        <f t="shared" si="114"/>
        <v>0</v>
      </c>
      <c r="AQ180" s="1326">
        <f t="shared" si="114"/>
        <v>0</v>
      </c>
      <c r="AR180" s="1326">
        <f t="shared" si="114"/>
        <v>0</v>
      </c>
      <c r="AS180" s="1326">
        <f t="shared" si="114"/>
        <v>0</v>
      </c>
      <c r="AT180" s="1326">
        <f t="shared" si="114"/>
        <v>0</v>
      </c>
      <c r="AU180" s="1324">
        <f t="shared" si="114"/>
        <v>0</v>
      </c>
    </row>
    <row r="181" spans="21:47">
      <c r="U181" s="2262"/>
      <c r="V181" s="2264"/>
      <c r="W181" s="1271" t="s">
        <v>446</v>
      </c>
      <c r="X181" s="1272" t="s">
        <v>0</v>
      </c>
      <c r="Y181" s="1272">
        <v>845</v>
      </c>
      <c r="Z181" s="1272">
        <v>825</v>
      </c>
      <c r="AA181" s="1272">
        <v>790</v>
      </c>
      <c r="AB181" s="1272">
        <v>792</v>
      </c>
      <c r="AC181" s="1272">
        <v>845</v>
      </c>
      <c r="AD181" s="1272">
        <v>800</v>
      </c>
      <c r="AE181" s="1272">
        <v>850</v>
      </c>
      <c r="AF181" s="1272">
        <v>875</v>
      </c>
      <c r="AG181" s="1272">
        <v>780</v>
      </c>
      <c r="AH181" s="1272">
        <v>913</v>
      </c>
      <c r="AI181" s="1297">
        <v>820</v>
      </c>
      <c r="AJ181" s="1247"/>
      <c r="AK181" s="1325">
        <f t="shared" si="114"/>
        <v>0</v>
      </c>
      <c r="AL181" s="1326">
        <f t="shared" si="114"/>
        <v>0</v>
      </c>
      <c r="AM181" s="1326">
        <f t="shared" si="114"/>
        <v>0</v>
      </c>
      <c r="AN181" s="1326">
        <f t="shared" si="114"/>
        <v>0</v>
      </c>
      <c r="AO181" s="1326">
        <f t="shared" si="114"/>
        <v>0</v>
      </c>
      <c r="AP181" s="1326">
        <f t="shared" si="114"/>
        <v>0</v>
      </c>
      <c r="AQ181" s="1326">
        <f t="shared" si="114"/>
        <v>0</v>
      </c>
      <c r="AR181" s="1326">
        <f t="shared" si="114"/>
        <v>0</v>
      </c>
      <c r="AS181" s="1326">
        <f t="shared" si="114"/>
        <v>0</v>
      </c>
      <c r="AT181" s="1326">
        <f t="shared" si="114"/>
        <v>0</v>
      </c>
      <c r="AU181" s="1324">
        <f t="shared" si="114"/>
        <v>0</v>
      </c>
    </row>
    <row r="182" spans="21:47">
      <c r="U182" s="2262"/>
      <c r="V182" s="2264"/>
      <c r="W182" s="1271" t="s">
        <v>1771</v>
      </c>
      <c r="X182" s="1272" t="s">
        <v>0</v>
      </c>
      <c r="Y182" s="1272">
        <v>335</v>
      </c>
      <c r="Z182" s="1272">
        <v>300</v>
      </c>
      <c r="AA182" s="1272">
        <v>300</v>
      </c>
      <c r="AB182" s="1272">
        <v>299</v>
      </c>
      <c r="AC182" s="1272">
        <v>335</v>
      </c>
      <c r="AD182" s="1272">
        <v>285</v>
      </c>
      <c r="AE182" s="1272">
        <v>290</v>
      </c>
      <c r="AF182" s="1272">
        <v>320</v>
      </c>
      <c r="AG182" s="1272">
        <v>290</v>
      </c>
      <c r="AH182" s="1272">
        <v>378</v>
      </c>
      <c r="AI182" s="1297">
        <v>280</v>
      </c>
      <c r="AJ182" s="1247"/>
      <c r="AK182" s="1325">
        <f t="shared" si="114"/>
        <v>0</v>
      </c>
      <c r="AL182" s="1326">
        <f t="shared" si="114"/>
        <v>0</v>
      </c>
      <c r="AM182" s="1326">
        <f t="shared" si="114"/>
        <v>0</v>
      </c>
      <c r="AN182" s="1326">
        <f t="shared" si="114"/>
        <v>0</v>
      </c>
      <c r="AO182" s="1326">
        <f t="shared" si="114"/>
        <v>0</v>
      </c>
      <c r="AP182" s="1326">
        <f t="shared" si="114"/>
        <v>0</v>
      </c>
      <c r="AQ182" s="1326">
        <f t="shared" si="114"/>
        <v>0</v>
      </c>
      <c r="AR182" s="1326">
        <f t="shared" si="114"/>
        <v>0</v>
      </c>
      <c r="AS182" s="1326">
        <f t="shared" si="114"/>
        <v>0</v>
      </c>
      <c r="AT182" s="1326">
        <f t="shared" si="114"/>
        <v>0</v>
      </c>
      <c r="AU182" s="1324">
        <f t="shared" si="114"/>
        <v>0</v>
      </c>
    </row>
    <row r="183" spans="21:47">
      <c r="U183" s="2262"/>
      <c r="V183" s="2264"/>
      <c r="W183" s="1271" t="s">
        <v>1746</v>
      </c>
      <c r="X183" s="1272" t="s">
        <v>212</v>
      </c>
      <c r="Y183" s="1272" t="s">
        <v>243</v>
      </c>
      <c r="Z183" s="1272">
        <v>47</v>
      </c>
      <c r="AA183" s="1272" t="s">
        <v>243</v>
      </c>
      <c r="AB183" s="1272">
        <v>48</v>
      </c>
      <c r="AC183" s="1272" t="s">
        <v>243</v>
      </c>
      <c r="AD183" s="1272">
        <v>52</v>
      </c>
      <c r="AE183" s="1272">
        <v>53</v>
      </c>
      <c r="AF183" s="1272" t="s">
        <v>243</v>
      </c>
      <c r="AG183" s="1272">
        <v>71</v>
      </c>
      <c r="AH183" s="1272">
        <v>56</v>
      </c>
      <c r="AI183" s="1297" t="s">
        <v>243</v>
      </c>
      <c r="AJ183" s="1247"/>
      <c r="AK183" s="1325">
        <f t="shared" si="114"/>
        <v>0</v>
      </c>
      <c r="AL183" s="1326">
        <f t="shared" si="114"/>
        <v>0</v>
      </c>
      <c r="AM183" s="1326">
        <f t="shared" si="114"/>
        <v>0</v>
      </c>
      <c r="AN183" s="1326">
        <f t="shared" si="114"/>
        <v>0</v>
      </c>
      <c r="AO183" s="1326">
        <f t="shared" si="114"/>
        <v>0</v>
      </c>
      <c r="AP183" s="1326">
        <f t="shared" si="114"/>
        <v>0</v>
      </c>
      <c r="AQ183" s="1326">
        <f t="shared" si="114"/>
        <v>0</v>
      </c>
      <c r="AR183" s="1326">
        <f t="shared" si="114"/>
        <v>0</v>
      </c>
      <c r="AS183" s="1326">
        <f t="shared" si="114"/>
        <v>0</v>
      </c>
      <c r="AT183" s="1326">
        <f t="shared" si="114"/>
        <v>0</v>
      </c>
      <c r="AU183" s="1324">
        <f t="shared" si="114"/>
        <v>0</v>
      </c>
    </row>
    <row r="184" spans="21:47">
      <c r="U184" s="2262"/>
      <c r="V184" s="2264"/>
      <c r="W184" s="1271" t="s">
        <v>1747</v>
      </c>
      <c r="X184" s="1272"/>
      <c r="Y184" s="1272"/>
      <c r="Z184" s="1272"/>
      <c r="AA184" s="1272"/>
      <c r="AB184" s="1272"/>
      <c r="AC184" s="1272"/>
      <c r="AD184" s="1272"/>
      <c r="AE184" s="1272"/>
      <c r="AF184" s="1272"/>
      <c r="AG184" s="1272"/>
      <c r="AH184" s="1272"/>
      <c r="AI184" s="1297"/>
      <c r="AJ184" s="1247"/>
      <c r="AK184" s="1325"/>
      <c r="AL184" s="1326"/>
      <c r="AM184" s="1326"/>
      <c r="AN184" s="1326"/>
      <c r="AO184" s="1326"/>
      <c r="AP184" s="1326"/>
      <c r="AQ184" s="1326"/>
      <c r="AR184" s="1326"/>
      <c r="AS184" s="1326"/>
      <c r="AT184" s="1326"/>
      <c r="AU184" s="1324"/>
    </row>
    <row r="185" spans="21:47">
      <c r="U185" s="2262"/>
      <c r="V185" s="2264"/>
      <c r="W185" s="1271" t="s">
        <v>1779</v>
      </c>
      <c r="X185" s="1272" t="s">
        <v>173</v>
      </c>
      <c r="Y185" s="1272">
        <v>1680</v>
      </c>
      <c r="Z185" s="1272">
        <v>1550</v>
      </c>
      <c r="AA185" s="1272">
        <v>1730</v>
      </c>
      <c r="AB185" s="1272">
        <v>1620</v>
      </c>
      <c r="AC185" s="1272">
        <v>2004</v>
      </c>
      <c r="AD185" s="1272" t="s">
        <v>243</v>
      </c>
      <c r="AE185" s="1272">
        <v>1650</v>
      </c>
      <c r="AF185" s="1272">
        <v>1540</v>
      </c>
      <c r="AG185" s="1272">
        <v>1580</v>
      </c>
      <c r="AH185" s="1272">
        <v>1620</v>
      </c>
      <c r="AI185" s="1297" t="s">
        <v>243</v>
      </c>
      <c r="AJ185" s="1247"/>
      <c r="AK185" s="1325">
        <f t="shared" ref="AK185:AU188" si="115">IF($X$30=$V$165,Y185,0)</f>
        <v>0</v>
      </c>
      <c r="AL185" s="1326">
        <f t="shared" si="115"/>
        <v>0</v>
      </c>
      <c r="AM185" s="1326">
        <f t="shared" si="115"/>
        <v>0</v>
      </c>
      <c r="AN185" s="1326">
        <f t="shared" si="115"/>
        <v>0</v>
      </c>
      <c r="AO185" s="1326">
        <f t="shared" si="115"/>
        <v>0</v>
      </c>
      <c r="AP185" s="1326">
        <f t="shared" si="115"/>
        <v>0</v>
      </c>
      <c r="AQ185" s="1326">
        <f t="shared" si="115"/>
        <v>0</v>
      </c>
      <c r="AR185" s="1326">
        <f t="shared" si="115"/>
        <v>0</v>
      </c>
      <c r="AS185" s="1326">
        <f t="shared" si="115"/>
        <v>0</v>
      </c>
      <c r="AT185" s="1326">
        <f t="shared" si="115"/>
        <v>0</v>
      </c>
      <c r="AU185" s="1324">
        <f t="shared" si="115"/>
        <v>0</v>
      </c>
    </row>
    <row r="186" spans="21:47">
      <c r="U186" s="2262"/>
      <c r="V186" s="2265"/>
      <c r="W186" s="1301" t="s">
        <v>123</v>
      </c>
      <c r="X186" s="1302" t="s">
        <v>1246</v>
      </c>
      <c r="Y186" s="1302">
        <v>7.8</v>
      </c>
      <c r="Z186" s="1302">
        <v>7.2</v>
      </c>
      <c r="AA186" s="1302">
        <v>8</v>
      </c>
      <c r="AB186" s="1302">
        <v>7.4</v>
      </c>
      <c r="AC186" s="1302">
        <v>7.8</v>
      </c>
      <c r="AD186" s="1302">
        <v>11.5</v>
      </c>
      <c r="AE186" s="1302">
        <v>6</v>
      </c>
      <c r="AF186" s="1302">
        <v>7.2</v>
      </c>
      <c r="AG186" s="1302">
        <v>7.15</v>
      </c>
      <c r="AH186" s="1302">
        <v>10.5</v>
      </c>
      <c r="AI186" s="1303" t="s">
        <v>243</v>
      </c>
      <c r="AJ186" s="1247"/>
      <c r="AK186" s="1325">
        <f t="shared" si="115"/>
        <v>0</v>
      </c>
      <c r="AL186" s="1326">
        <f t="shared" si="115"/>
        <v>0</v>
      </c>
      <c r="AM186" s="1326">
        <f t="shared" si="115"/>
        <v>0</v>
      </c>
      <c r="AN186" s="1326">
        <f t="shared" si="115"/>
        <v>0</v>
      </c>
      <c r="AO186" s="1326">
        <f t="shared" si="115"/>
        <v>0</v>
      </c>
      <c r="AP186" s="1326">
        <f t="shared" si="115"/>
        <v>0</v>
      </c>
      <c r="AQ186" s="1326">
        <f t="shared" si="115"/>
        <v>0</v>
      </c>
      <c r="AR186" s="1326">
        <f t="shared" si="115"/>
        <v>0</v>
      </c>
      <c r="AS186" s="1326">
        <f t="shared" si="115"/>
        <v>0</v>
      </c>
      <c r="AT186" s="1326">
        <f t="shared" si="115"/>
        <v>0</v>
      </c>
      <c r="AU186" s="1324">
        <f t="shared" si="115"/>
        <v>0</v>
      </c>
    </row>
    <row r="187" spans="21:47">
      <c r="U187" s="2262"/>
      <c r="W187" s="1271" t="s">
        <v>1780</v>
      </c>
      <c r="X187" s="1272" t="s">
        <v>216</v>
      </c>
      <c r="Y187" s="1272" t="s">
        <v>243</v>
      </c>
      <c r="Z187" s="1272">
        <v>30</v>
      </c>
      <c r="AA187" s="1272" t="s">
        <v>243</v>
      </c>
      <c r="AB187" s="1272">
        <v>20</v>
      </c>
      <c r="AC187" s="1272">
        <v>25</v>
      </c>
      <c r="AD187" s="1272">
        <v>25</v>
      </c>
      <c r="AE187" s="1272">
        <v>30</v>
      </c>
      <c r="AF187" s="1272" t="s">
        <v>243</v>
      </c>
      <c r="AG187" s="1272">
        <v>20</v>
      </c>
      <c r="AH187" s="1272">
        <v>20</v>
      </c>
      <c r="AI187" s="1272" t="s">
        <v>243</v>
      </c>
      <c r="AJ187" s="1247"/>
      <c r="AK187" s="1325">
        <f t="shared" si="115"/>
        <v>0</v>
      </c>
      <c r="AL187" s="1326">
        <f t="shared" si="115"/>
        <v>0</v>
      </c>
      <c r="AM187" s="1326">
        <f t="shared" si="115"/>
        <v>0</v>
      </c>
      <c r="AN187" s="1326">
        <f t="shared" si="115"/>
        <v>0</v>
      </c>
      <c r="AO187" s="1326">
        <f t="shared" si="115"/>
        <v>0</v>
      </c>
      <c r="AP187" s="1326">
        <f t="shared" si="115"/>
        <v>0</v>
      </c>
      <c r="AQ187" s="1326">
        <f t="shared" si="115"/>
        <v>0</v>
      </c>
      <c r="AR187" s="1326">
        <f t="shared" si="115"/>
        <v>0</v>
      </c>
      <c r="AS187" s="1326">
        <f t="shared" si="115"/>
        <v>0</v>
      </c>
      <c r="AT187" s="1326">
        <f t="shared" si="115"/>
        <v>0</v>
      </c>
      <c r="AU187" s="1324">
        <f t="shared" si="115"/>
        <v>0</v>
      </c>
    </row>
    <row r="188" spans="21:47">
      <c r="U188" s="2262"/>
      <c r="V188" s="2263" t="s">
        <v>1885</v>
      </c>
      <c r="W188" s="1293" t="s">
        <v>1752</v>
      </c>
      <c r="X188" s="1304" t="s">
        <v>216</v>
      </c>
      <c r="Y188" s="1304" t="s">
        <v>243</v>
      </c>
      <c r="Z188" s="1304">
        <v>20</v>
      </c>
      <c r="AA188" s="1304" t="s">
        <v>243</v>
      </c>
      <c r="AB188" s="1304" t="s">
        <v>243</v>
      </c>
      <c r="AC188" s="1304">
        <v>10</v>
      </c>
      <c r="AD188" s="1304">
        <v>10</v>
      </c>
      <c r="AE188" s="1304">
        <v>20</v>
      </c>
      <c r="AF188" s="1304" t="s">
        <v>243</v>
      </c>
      <c r="AG188" s="1304" t="s">
        <v>243</v>
      </c>
      <c r="AH188" s="1304">
        <v>5</v>
      </c>
      <c r="AI188" s="1305" t="s">
        <v>243</v>
      </c>
      <c r="AJ188" s="1247"/>
      <c r="AK188" s="1325">
        <f t="shared" si="115"/>
        <v>0</v>
      </c>
      <c r="AL188" s="1326">
        <f t="shared" si="115"/>
        <v>0</v>
      </c>
      <c r="AM188" s="1326">
        <f t="shared" si="115"/>
        <v>0</v>
      </c>
      <c r="AN188" s="1326">
        <f t="shared" si="115"/>
        <v>0</v>
      </c>
      <c r="AO188" s="1326">
        <f t="shared" si="115"/>
        <v>0</v>
      </c>
      <c r="AP188" s="1326">
        <f t="shared" si="115"/>
        <v>0</v>
      </c>
      <c r="AQ188" s="1326">
        <f t="shared" si="115"/>
        <v>0</v>
      </c>
      <c r="AR188" s="1326">
        <f t="shared" si="115"/>
        <v>0</v>
      </c>
      <c r="AS188" s="1326">
        <f t="shared" si="115"/>
        <v>0</v>
      </c>
      <c r="AT188" s="1326">
        <f t="shared" si="115"/>
        <v>0</v>
      </c>
      <c r="AU188" s="1324">
        <f t="shared" si="115"/>
        <v>0</v>
      </c>
    </row>
    <row r="189" spans="21:47">
      <c r="U189" s="2262"/>
      <c r="V189" s="2264"/>
      <c r="W189" s="1271" t="s">
        <v>1749</v>
      </c>
      <c r="X189" s="1272"/>
      <c r="Y189" s="1272" t="s">
        <v>1781</v>
      </c>
      <c r="Z189" s="1272" t="s">
        <v>1781</v>
      </c>
      <c r="AA189" s="1272" t="s">
        <v>1819</v>
      </c>
      <c r="AB189" s="1272" t="s">
        <v>1781</v>
      </c>
      <c r="AC189" s="1272" t="s">
        <v>1781</v>
      </c>
      <c r="AD189" s="1272" t="s">
        <v>1886</v>
      </c>
      <c r="AE189" s="1272" t="s">
        <v>243</v>
      </c>
      <c r="AF189" s="1272" t="s">
        <v>1781</v>
      </c>
      <c r="AG189" s="1272" t="s">
        <v>1844</v>
      </c>
      <c r="AH189" s="1272" t="s">
        <v>1781</v>
      </c>
      <c r="AI189" s="1297" t="s">
        <v>243</v>
      </c>
      <c r="AJ189" s="1247"/>
      <c r="AK189" s="1325" t="str">
        <f t="shared" ref="AK189:AU189" si="116">IF($X$30=$V$165,Y189,"")</f>
        <v/>
      </c>
      <c r="AL189" s="1326" t="str">
        <f t="shared" si="116"/>
        <v/>
      </c>
      <c r="AM189" s="1326" t="str">
        <f t="shared" si="116"/>
        <v/>
      </c>
      <c r="AN189" s="1326" t="str">
        <f t="shared" si="116"/>
        <v/>
      </c>
      <c r="AO189" s="1326" t="str">
        <f t="shared" si="116"/>
        <v/>
      </c>
      <c r="AP189" s="1326" t="str">
        <f t="shared" si="116"/>
        <v/>
      </c>
      <c r="AQ189" s="1326" t="str">
        <f t="shared" si="116"/>
        <v/>
      </c>
      <c r="AR189" s="1326" t="str">
        <f t="shared" si="116"/>
        <v/>
      </c>
      <c r="AS189" s="1326" t="str">
        <f t="shared" si="116"/>
        <v/>
      </c>
      <c r="AT189" s="1326" t="str">
        <f t="shared" si="116"/>
        <v/>
      </c>
      <c r="AU189" s="1324" t="str">
        <f t="shared" si="116"/>
        <v/>
      </c>
    </row>
    <row r="190" spans="21:47">
      <c r="U190" s="2262"/>
      <c r="V190" s="2264"/>
      <c r="W190" s="1271"/>
      <c r="X190" s="1272"/>
      <c r="Y190" s="1272"/>
      <c r="Z190" s="1272"/>
      <c r="AA190" s="1272"/>
      <c r="AB190" s="1272"/>
      <c r="AC190" s="1272"/>
      <c r="AD190" s="1272"/>
      <c r="AE190" s="1272"/>
      <c r="AF190" s="1272"/>
      <c r="AG190" s="1272"/>
      <c r="AH190" s="1272"/>
      <c r="AI190" s="1297"/>
      <c r="AJ190" s="1247"/>
      <c r="AK190" s="1325"/>
      <c r="AL190" s="1326"/>
      <c r="AM190" s="1326"/>
      <c r="AN190" s="1326"/>
      <c r="AO190" s="1326"/>
      <c r="AP190" s="1326"/>
      <c r="AQ190" s="1326"/>
      <c r="AR190" s="1326"/>
      <c r="AS190" s="1326"/>
      <c r="AT190" s="1326"/>
      <c r="AU190" s="1324"/>
    </row>
    <row r="191" spans="21:47">
      <c r="U191" s="2262"/>
      <c r="V191" s="2264"/>
      <c r="W191" s="1271" t="s">
        <v>1738</v>
      </c>
      <c r="X191" s="1296"/>
      <c r="Y191" s="1272"/>
      <c r="Z191" s="1272"/>
      <c r="AA191" s="1272"/>
      <c r="AB191" s="1272"/>
      <c r="AC191" s="1272"/>
      <c r="AD191" s="1272"/>
      <c r="AE191" s="1272"/>
      <c r="AF191" s="1272"/>
      <c r="AG191" s="1272"/>
      <c r="AH191" s="1272"/>
      <c r="AI191" s="1297"/>
      <c r="AJ191" s="1247"/>
      <c r="AK191" s="1325"/>
      <c r="AL191" s="1326"/>
      <c r="AM191" s="1326"/>
      <c r="AN191" s="1326"/>
      <c r="AO191" s="1326"/>
      <c r="AP191" s="1326"/>
      <c r="AQ191" s="1326"/>
      <c r="AR191" s="1326"/>
      <c r="AS191" s="1326"/>
      <c r="AT191" s="1326"/>
      <c r="AU191" s="1324"/>
    </row>
    <row r="192" spans="21:47" ht="23">
      <c r="U192" s="2262"/>
      <c r="V192" s="2264"/>
      <c r="W192" s="1271" t="s">
        <v>179</v>
      </c>
      <c r="X192" s="1296"/>
      <c r="Y192" s="1296" t="s">
        <v>1887</v>
      </c>
      <c r="Z192" s="1272" t="s">
        <v>1920</v>
      </c>
      <c r="AA192" s="1272" t="s">
        <v>1888</v>
      </c>
      <c r="AB192" s="1272" t="s">
        <v>1889</v>
      </c>
      <c r="AC192" s="1272" t="s">
        <v>1890</v>
      </c>
      <c r="AD192" s="1272" t="s">
        <v>1891</v>
      </c>
      <c r="AE192" s="1272" t="s">
        <v>1892</v>
      </c>
      <c r="AF192" s="1296" t="s">
        <v>1893</v>
      </c>
      <c r="AG192" s="1296" t="s">
        <v>1894</v>
      </c>
      <c r="AH192" s="1296" t="s">
        <v>1895</v>
      </c>
      <c r="AI192" s="1298" t="s">
        <v>1896</v>
      </c>
      <c r="AJ192" s="1247"/>
      <c r="AK192" s="1325" t="str">
        <f t="shared" ref="AK192:AU192" si="117">IF($X$30=$V$188,Y192,"")</f>
        <v/>
      </c>
      <c r="AL192" s="1326" t="str">
        <f t="shared" si="117"/>
        <v/>
      </c>
      <c r="AM192" s="1326" t="str">
        <f t="shared" si="117"/>
        <v/>
      </c>
      <c r="AN192" s="1326" t="str">
        <f t="shared" si="117"/>
        <v/>
      </c>
      <c r="AO192" s="1326" t="str">
        <f t="shared" si="117"/>
        <v/>
      </c>
      <c r="AP192" s="1326" t="str">
        <f t="shared" si="117"/>
        <v/>
      </c>
      <c r="AQ192" s="1326" t="str">
        <f t="shared" si="117"/>
        <v/>
      </c>
      <c r="AR192" s="1326" t="str">
        <f t="shared" si="117"/>
        <v/>
      </c>
      <c r="AS192" s="1326" t="str">
        <f t="shared" si="117"/>
        <v/>
      </c>
      <c r="AT192" s="1326" t="str">
        <f t="shared" si="117"/>
        <v/>
      </c>
      <c r="AU192" s="1324" t="str">
        <f t="shared" si="117"/>
        <v/>
      </c>
    </row>
    <row r="193" spans="21:47">
      <c r="U193" s="2262"/>
      <c r="V193" s="2264"/>
      <c r="W193" s="1247" t="s">
        <v>1914</v>
      </c>
      <c r="X193" s="1272" t="s">
        <v>6</v>
      </c>
      <c r="Y193" s="1277">
        <v>6.15</v>
      </c>
      <c r="Z193" s="1277">
        <v>6</v>
      </c>
      <c r="AA193" s="1277">
        <v>7.1</v>
      </c>
      <c r="AB193" s="1277">
        <v>7</v>
      </c>
      <c r="AC193" s="1277">
        <v>6.83</v>
      </c>
      <c r="AD193" s="1277">
        <v>6.3</v>
      </c>
      <c r="AE193" s="1277">
        <v>7.1</v>
      </c>
      <c r="AF193" s="1277">
        <v>6.8</v>
      </c>
      <c r="AG193" s="1277">
        <v>6.3</v>
      </c>
      <c r="AH193" s="1277">
        <v>6.6</v>
      </c>
      <c r="AI193" s="1278">
        <v>7</v>
      </c>
      <c r="AJ193" s="1247"/>
      <c r="AK193" s="1325">
        <f t="shared" ref="AK193:AU195" si="118">IF($X$30=$V$188,Y193,0)</f>
        <v>0</v>
      </c>
      <c r="AL193" s="1326">
        <f t="shared" si="118"/>
        <v>0</v>
      </c>
      <c r="AM193" s="1326">
        <f t="shared" si="118"/>
        <v>0</v>
      </c>
      <c r="AN193" s="1326">
        <f t="shared" si="118"/>
        <v>0</v>
      </c>
      <c r="AO193" s="1326">
        <f t="shared" si="118"/>
        <v>0</v>
      </c>
      <c r="AP193" s="1326">
        <f t="shared" si="118"/>
        <v>0</v>
      </c>
      <c r="AQ193" s="1326">
        <f t="shared" si="118"/>
        <v>0</v>
      </c>
      <c r="AR193" s="1326">
        <f t="shared" si="118"/>
        <v>0</v>
      </c>
      <c r="AS193" s="1326">
        <f t="shared" si="118"/>
        <v>0</v>
      </c>
      <c r="AT193" s="1326">
        <f t="shared" si="118"/>
        <v>0</v>
      </c>
      <c r="AU193" s="1324">
        <f t="shared" si="118"/>
        <v>0</v>
      </c>
    </row>
    <row r="194" spans="21:47">
      <c r="U194" s="2262"/>
      <c r="V194" s="2264"/>
      <c r="W194" s="1247" t="s">
        <v>1770</v>
      </c>
      <c r="X194" s="1272" t="s">
        <v>6</v>
      </c>
      <c r="Y194" s="1299">
        <v>6.8</v>
      </c>
      <c r="Z194" s="1272">
        <v>7</v>
      </c>
      <c r="AA194" s="1299">
        <v>8.1</v>
      </c>
      <c r="AB194" s="1272">
        <v>8</v>
      </c>
      <c r="AC194" s="1272">
        <v>6.83</v>
      </c>
      <c r="AD194" s="1299">
        <v>7.2</v>
      </c>
      <c r="AE194" s="1272">
        <v>8</v>
      </c>
      <c r="AF194" s="1299">
        <v>8.6</v>
      </c>
      <c r="AG194" s="1299">
        <v>6.8</v>
      </c>
      <c r="AH194" s="1299">
        <v>7.25</v>
      </c>
      <c r="AI194" s="1300">
        <v>7.1</v>
      </c>
      <c r="AJ194" s="1247"/>
      <c r="AK194" s="1325">
        <f t="shared" si="118"/>
        <v>0</v>
      </c>
      <c r="AL194" s="1326">
        <f t="shared" si="118"/>
        <v>0</v>
      </c>
      <c r="AM194" s="1326">
        <f t="shared" si="118"/>
        <v>0</v>
      </c>
      <c r="AN194" s="1326">
        <f t="shared" si="118"/>
        <v>0</v>
      </c>
      <c r="AO194" s="1326">
        <f t="shared" si="118"/>
        <v>0</v>
      </c>
      <c r="AP194" s="1326">
        <f t="shared" si="118"/>
        <v>0</v>
      </c>
      <c r="AQ194" s="1326">
        <f t="shared" si="118"/>
        <v>0</v>
      </c>
      <c r="AR194" s="1326">
        <f t="shared" si="118"/>
        <v>0</v>
      </c>
      <c r="AS194" s="1326">
        <f t="shared" si="118"/>
        <v>0</v>
      </c>
      <c r="AT194" s="1326">
        <f t="shared" si="118"/>
        <v>0</v>
      </c>
      <c r="AU194" s="1324">
        <f t="shared" si="118"/>
        <v>0</v>
      </c>
    </row>
    <row r="195" spans="21:47">
      <c r="U195" s="2262"/>
      <c r="V195" s="2264"/>
      <c r="W195" s="1247" t="s">
        <v>1915</v>
      </c>
      <c r="X195" s="1272"/>
      <c r="Y195" s="1299" t="s">
        <v>243</v>
      </c>
      <c r="Z195" s="1272">
        <v>5.77</v>
      </c>
      <c r="AA195" s="1299">
        <v>6.68</v>
      </c>
      <c r="AB195" s="1272" t="s">
        <v>243</v>
      </c>
      <c r="AC195" s="1272" t="s">
        <v>243</v>
      </c>
      <c r="AD195" s="1299">
        <v>6.17</v>
      </c>
      <c r="AE195" s="1272" t="s">
        <v>243</v>
      </c>
      <c r="AF195" s="1299" t="s">
        <v>243</v>
      </c>
      <c r="AG195" s="1299" t="s">
        <v>243</v>
      </c>
      <c r="AH195" s="1299" t="s">
        <v>243</v>
      </c>
      <c r="AI195" s="1300" t="s">
        <v>243</v>
      </c>
      <c r="AJ195" s="1247"/>
      <c r="AK195" s="1325">
        <f t="shared" si="118"/>
        <v>0</v>
      </c>
      <c r="AL195" s="1326">
        <f t="shared" si="118"/>
        <v>0</v>
      </c>
      <c r="AM195" s="1326">
        <f t="shared" si="118"/>
        <v>0</v>
      </c>
      <c r="AN195" s="1326">
        <f t="shared" si="118"/>
        <v>0</v>
      </c>
      <c r="AO195" s="1326">
        <f t="shared" si="118"/>
        <v>0</v>
      </c>
      <c r="AP195" s="1326">
        <f t="shared" si="118"/>
        <v>0</v>
      </c>
      <c r="AQ195" s="1326">
        <f t="shared" si="118"/>
        <v>0</v>
      </c>
      <c r="AR195" s="1326">
        <f t="shared" si="118"/>
        <v>0</v>
      </c>
      <c r="AS195" s="1326">
        <f t="shared" si="118"/>
        <v>0</v>
      </c>
      <c r="AT195" s="1326">
        <f t="shared" si="118"/>
        <v>0</v>
      </c>
      <c r="AU195" s="1324">
        <f t="shared" si="118"/>
        <v>0</v>
      </c>
    </row>
    <row r="196" spans="21:47">
      <c r="U196" s="2262"/>
      <c r="V196" s="2264"/>
      <c r="W196" s="1271" t="s">
        <v>479</v>
      </c>
      <c r="X196" s="1272"/>
      <c r="Y196" s="1272"/>
      <c r="Z196" s="1272"/>
      <c r="AA196" s="1272"/>
      <c r="AB196" s="1272"/>
      <c r="AC196" s="1272"/>
      <c r="AD196" s="1272"/>
      <c r="AE196" s="1272"/>
      <c r="AF196" s="1272"/>
      <c r="AG196" s="1272"/>
      <c r="AH196" s="1272"/>
      <c r="AI196" s="1297"/>
      <c r="AJ196" s="1247"/>
      <c r="AK196" s="1325"/>
      <c r="AL196" s="1326"/>
      <c r="AM196" s="1326"/>
      <c r="AN196" s="1326"/>
      <c r="AO196" s="1326"/>
      <c r="AP196" s="1326"/>
      <c r="AQ196" s="1326"/>
      <c r="AR196" s="1326"/>
      <c r="AS196" s="1326"/>
      <c r="AT196" s="1326"/>
      <c r="AU196" s="1324"/>
    </row>
    <row r="197" spans="21:47">
      <c r="U197" s="2262"/>
      <c r="V197" s="2264"/>
      <c r="W197" s="1271" t="s">
        <v>1311</v>
      </c>
      <c r="X197" s="1272" t="s">
        <v>0</v>
      </c>
      <c r="Y197" s="1272">
        <v>313</v>
      </c>
      <c r="Z197" s="1272">
        <v>290</v>
      </c>
      <c r="AA197" s="1272">
        <v>320</v>
      </c>
      <c r="AB197" s="1272">
        <v>333</v>
      </c>
      <c r="AC197" s="1272">
        <v>313</v>
      </c>
      <c r="AD197" s="1272">
        <v>325</v>
      </c>
      <c r="AE197" s="1272">
        <v>318</v>
      </c>
      <c r="AF197" s="1272">
        <v>290</v>
      </c>
      <c r="AG197" s="1272">
        <v>320</v>
      </c>
      <c r="AH197" s="1272">
        <v>315</v>
      </c>
      <c r="AI197" s="1297">
        <v>315</v>
      </c>
      <c r="AJ197" s="1247"/>
      <c r="AK197" s="1325">
        <f t="shared" ref="AK197:AU199" si="119">IF($X$30=$V$188,Y197,0)</f>
        <v>0</v>
      </c>
      <c r="AL197" s="1326">
        <f t="shared" si="119"/>
        <v>0</v>
      </c>
      <c r="AM197" s="1326">
        <f t="shared" si="119"/>
        <v>0</v>
      </c>
      <c r="AN197" s="1326">
        <f t="shared" si="119"/>
        <v>0</v>
      </c>
      <c r="AO197" s="1326">
        <f t="shared" si="119"/>
        <v>0</v>
      </c>
      <c r="AP197" s="1326">
        <f t="shared" si="119"/>
        <v>0</v>
      </c>
      <c r="AQ197" s="1326">
        <f t="shared" si="119"/>
        <v>0</v>
      </c>
      <c r="AR197" s="1326">
        <f t="shared" si="119"/>
        <v>0</v>
      </c>
      <c r="AS197" s="1326">
        <f t="shared" si="119"/>
        <v>0</v>
      </c>
      <c r="AT197" s="1326">
        <f t="shared" si="119"/>
        <v>0</v>
      </c>
      <c r="AU197" s="1324">
        <f t="shared" si="119"/>
        <v>0</v>
      </c>
    </row>
    <row r="198" spans="21:47">
      <c r="U198" s="2262"/>
      <c r="V198" s="2264"/>
      <c r="W198" s="1271" t="s">
        <v>446</v>
      </c>
      <c r="X198" s="1272" t="s">
        <v>0</v>
      </c>
      <c r="Y198" s="1272">
        <v>1030</v>
      </c>
      <c r="Z198" s="1272">
        <v>1050</v>
      </c>
      <c r="AA198" s="1272">
        <v>998</v>
      </c>
      <c r="AB198" s="1272">
        <v>1150</v>
      </c>
      <c r="AC198" s="1272">
        <v>1030</v>
      </c>
      <c r="AD198" s="1272">
        <v>1100</v>
      </c>
      <c r="AE198" s="1272">
        <v>1098</v>
      </c>
      <c r="AF198" s="1272">
        <v>1070</v>
      </c>
      <c r="AG198" s="1272">
        <v>1050</v>
      </c>
      <c r="AH198" s="1272">
        <v>1007</v>
      </c>
      <c r="AI198" s="1297">
        <v>1019</v>
      </c>
      <c r="AJ198" s="1247"/>
      <c r="AK198" s="1325">
        <f t="shared" si="119"/>
        <v>0</v>
      </c>
      <c r="AL198" s="1326">
        <f t="shared" si="119"/>
        <v>0</v>
      </c>
      <c r="AM198" s="1326">
        <f t="shared" si="119"/>
        <v>0</v>
      </c>
      <c r="AN198" s="1326">
        <f t="shared" si="119"/>
        <v>0</v>
      </c>
      <c r="AO198" s="1326">
        <f t="shared" si="119"/>
        <v>0</v>
      </c>
      <c r="AP198" s="1326">
        <f t="shared" si="119"/>
        <v>0</v>
      </c>
      <c r="AQ198" s="1326">
        <f t="shared" si="119"/>
        <v>0</v>
      </c>
      <c r="AR198" s="1326">
        <f t="shared" si="119"/>
        <v>0</v>
      </c>
      <c r="AS198" s="1326">
        <f t="shared" si="119"/>
        <v>0</v>
      </c>
      <c r="AT198" s="1326">
        <f t="shared" si="119"/>
        <v>0</v>
      </c>
      <c r="AU198" s="1324">
        <f t="shared" si="119"/>
        <v>0</v>
      </c>
    </row>
    <row r="199" spans="21:47">
      <c r="U199" s="2262"/>
      <c r="V199" s="2264"/>
      <c r="W199" s="1271" t="s">
        <v>1771</v>
      </c>
      <c r="X199" s="1272" t="s">
        <v>0</v>
      </c>
      <c r="Y199" s="1272">
        <v>221</v>
      </c>
      <c r="Z199" s="1272">
        <v>238</v>
      </c>
      <c r="AA199" s="1272">
        <v>228</v>
      </c>
      <c r="AB199" s="1272">
        <v>245</v>
      </c>
      <c r="AC199" s="1272">
        <v>221</v>
      </c>
      <c r="AD199" s="1272">
        <v>258</v>
      </c>
      <c r="AE199" s="1272">
        <v>298</v>
      </c>
      <c r="AF199" s="1272">
        <v>235</v>
      </c>
      <c r="AG199" s="1272">
        <v>228</v>
      </c>
      <c r="AH199" s="1272">
        <v>219</v>
      </c>
      <c r="AI199" s="1297">
        <v>180</v>
      </c>
      <c r="AJ199" s="1247"/>
      <c r="AK199" s="1325">
        <f t="shared" si="119"/>
        <v>0</v>
      </c>
      <c r="AL199" s="1326">
        <f t="shared" si="119"/>
        <v>0</v>
      </c>
      <c r="AM199" s="1326">
        <f t="shared" si="119"/>
        <v>0</v>
      </c>
      <c r="AN199" s="1326">
        <f t="shared" si="119"/>
        <v>0</v>
      </c>
      <c r="AO199" s="1326">
        <f t="shared" si="119"/>
        <v>0</v>
      </c>
      <c r="AP199" s="1326">
        <f t="shared" si="119"/>
        <v>0</v>
      </c>
      <c r="AQ199" s="1326">
        <f t="shared" si="119"/>
        <v>0</v>
      </c>
      <c r="AR199" s="1326">
        <f t="shared" si="119"/>
        <v>0</v>
      </c>
      <c r="AS199" s="1326">
        <f t="shared" si="119"/>
        <v>0</v>
      </c>
      <c r="AT199" s="1326">
        <f t="shared" si="119"/>
        <v>0</v>
      </c>
      <c r="AU199" s="1324">
        <f t="shared" si="119"/>
        <v>0</v>
      </c>
    </row>
    <row r="200" spans="21:47">
      <c r="U200" s="2262"/>
      <c r="V200" s="2264"/>
      <c r="W200" s="1271" t="s">
        <v>1745</v>
      </c>
      <c r="X200" s="1272"/>
      <c r="Y200" s="1272"/>
      <c r="Z200" s="1272"/>
      <c r="AA200" s="1272"/>
      <c r="AB200" s="1272"/>
      <c r="AC200" s="1272"/>
      <c r="AD200" s="1272"/>
      <c r="AE200" s="1272"/>
      <c r="AF200" s="1272"/>
      <c r="AG200" s="1272"/>
      <c r="AH200" s="1272"/>
      <c r="AI200" s="1297"/>
      <c r="AJ200" s="1247"/>
      <c r="AK200" s="1325"/>
      <c r="AL200" s="1326"/>
      <c r="AM200" s="1326"/>
      <c r="AN200" s="1326"/>
      <c r="AO200" s="1326"/>
      <c r="AP200" s="1326"/>
      <c r="AQ200" s="1326"/>
      <c r="AR200" s="1326"/>
      <c r="AS200" s="1326"/>
      <c r="AT200" s="1326"/>
      <c r="AU200" s="1324"/>
    </row>
    <row r="201" spans="21:47">
      <c r="U201" s="2262"/>
      <c r="V201" s="2264"/>
      <c r="W201" s="1271" t="s">
        <v>179</v>
      </c>
      <c r="X201" s="1296"/>
      <c r="Y201" s="1296" t="s">
        <v>1897</v>
      </c>
      <c r="Z201" s="1272" t="s">
        <v>1898</v>
      </c>
      <c r="AA201" s="1272" t="s">
        <v>1899</v>
      </c>
      <c r="AB201" s="1272" t="s">
        <v>1900</v>
      </c>
      <c r="AC201" s="1272" t="s">
        <v>1890</v>
      </c>
      <c r="AD201" s="1272" t="s">
        <v>1901</v>
      </c>
      <c r="AE201" s="1272"/>
      <c r="AF201" s="1296" t="s">
        <v>1902</v>
      </c>
      <c r="AG201" s="1296" t="s">
        <v>1903</v>
      </c>
      <c r="AH201" s="1296" t="s">
        <v>1904</v>
      </c>
      <c r="AI201" s="1298" t="s">
        <v>1905</v>
      </c>
      <c r="AJ201" s="1247"/>
      <c r="AK201" s="1325" t="str">
        <f t="shared" ref="AK201:AU201" si="120">IF($X$30=$V$188,Y201,"")</f>
        <v/>
      </c>
      <c r="AL201" s="1326" t="str">
        <f t="shared" si="120"/>
        <v/>
      </c>
      <c r="AM201" s="1326" t="str">
        <f t="shared" si="120"/>
        <v/>
      </c>
      <c r="AN201" s="1326" t="str">
        <f t="shared" si="120"/>
        <v/>
      </c>
      <c r="AO201" s="1326" t="str">
        <f t="shared" si="120"/>
        <v/>
      </c>
      <c r="AP201" s="1326" t="str">
        <f t="shared" si="120"/>
        <v/>
      </c>
      <c r="AQ201" s="1326" t="str">
        <f t="shared" si="120"/>
        <v/>
      </c>
      <c r="AR201" s="1326" t="str">
        <f t="shared" si="120"/>
        <v/>
      </c>
      <c r="AS201" s="1326" t="str">
        <f t="shared" si="120"/>
        <v/>
      </c>
      <c r="AT201" s="1326" t="str">
        <f t="shared" si="120"/>
        <v/>
      </c>
      <c r="AU201" s="1324" t="str">
        <f t="shared" si="120"/>
        <v/>
      </c>
    </row>
    <row r="202" spans="21:47">
      <c r="U202" s="2262"/>
      <c r="V202" s="2264"/>
      <c r="W202" s="1271" t="s">
        <v>479</v>
      </c>
      <c r="X202" s="1272"/>
      <c r="Y202" s="1272"/>
      <c r="Z202" s="1272"/>
      <c r="AA202" s="1272"/>
      <c r="AB202" s="1272"/>
      <c r="AC202" s="1272"/>
      <c r="AD202" s="1272"/>
      <c r="AE202" s="1272"/>
      <c r="AF202" s="1272"/>
      <c r="AG202" s="1272"/>
      <c r="AH202" s="1272"/>
      <c r="AI202" s="1297"/>
      <c r="AJ202" s="1247"/>
      <c r="AK202" s="1325">
        <f t="shared" ref="AK202:AU206" si="121">IF($X$30=$V$188,Y202,0)</f>
        <v>0</v>
      </c>
      <c r="AL202" s="1326">
        <f t="shared" si="121"/>
        <v>0</v>
      </c>
      <c r="AM202" s="1326">
        <f t="shared" si="121"/>
        <v>0</v>
      </c>
      <c r="AN202" s="1326">
        <f t="shared" si="121"/>
        <v>0</v>
      </c>
      <c r="AO202" s="1326">
        <f t="shared" si="121"/>
        <v>0</v>
      </c>
      <c r="AP202" s="1326">
        <f t="shared" si="121"/>
        <v>0</v>
      </c>
      <c r="AQ202" s="1326">
        <f t="shared" si="121"/>
        <v>0</v>
      </c>
      <c r="AR202" s="1326">
        <f t="shared" si="121"/>
        <v>0</v>
      </c>
      <c r="AS202" s="1326">
        <f t="shared" si="121"/>
        <v>0</v>
      </c>
      <c r="AT202" s="1326">
        <f t="shared" si="121"/>
        <v>0</v>
      </c>
      <c r="AU202" s="1324">
        <f t="shared" si="121"/>
        <v>0</v>
      </c>
    </row>
    <row r="203" spans="21:47">
      <c r="U203" s="2262"/>
      <c r="V203" s="2264"/>
      <c r="W203" s="1271" t="s">
        <v>1311</v>
      </c>
      <c r="X203" s="1272" t="s">
        <v>0</v>
      </c>
      <c r="Y203" s="1272">
        <v>695</v>
      </c>
      <c r="Z203" s="1272">
        <v>735</v>
      </c>
      <c r="AA203" s="1272">
        <v>578</v>
      </c>
      <c r="AB203" s="1272">
        <v>800</v>
      </c>
      <c r="AC203" s="1272">
        <v>695</v>
      </c>
      <c r="AD203" s="1272">
        <v>850</v>
      </c>
      <c r="AE203" s="1272">
        <v>750</v>
      </c>
      <c r="AF203" s="1272">
        <v>795</v>
      </c>
      <c r="AG203" s="1272">
        <v>715</v>
      </c>
      <c r="AH203" s="1272">
        <v>700</v>
      </c>
      <c r="AI203" s="1297">
        <v>696</v>
      </c>
      <c r="AJ203" s="1247"/>
      <c r="AK203" s="1325">
        <f t="shared" si="121"/>
        <v>0</v>
      </c>
      <c r="AL203" s="1326">
        <f t="shared" si="121"/>
        <v>0</v>
      </c>
      <c r="AM203" s="1326">
        <f t="shared" si="121"/>
        <v>0</v>
      </c>
      <c r="AN203" s="1326">
        <f t="shared" si="121"/>
        <v>0</v>
      </c>
      <c r="AO203" s="1326">
        <f t="shared" si="121"/>
        <v>0</v>
      </c>
      <c r="AP203" s="1326">
        <f t="shared" si="121"/>
        <v>0</v>
      </c>
      <c r="AQ203" s="1326">
        <f t="shared" si="121"/>
        <v>0</v>
      </c>
      <c r="AR203" s="1326">
        <f t="shared" si="121"/>
        <v>0</v>
      </c>
      <c r="AS203" s="1326">
        <f t="shared" si="121"/>
        <v>0</v>
      </c>
      <c r="AT203" s="1326">
        <f t="shared" si="121"/>
        <v>0</v>
      </c>
      <c r="AU203" s="1324">
        <f t="shared" si="121"/>
        <v>0</v>
      </c>
    </row>
    <row r="204" spans="21:47">
      <c r="U204" s="2262"/>
      <c r="V204" s="2264"/>
      <c r="W204" s="1271" t="s">
        <v>446</v>
      </c>
      <c r="X204" s="1272" t="s">
        <v>0</v>
      </c>
      <c r="Y204" s="1272">
        <v>845</v>
      </c>
      <c r="Z204" s="1272">
        <v>825</v>
      </c>
      <c r="AA204" s="1272">
        <v>790</v>
      </c>
      <c r="AB204" s="1272">
        <v>850</v>
      </c>
      <c r="AC204" s="1272">
        <v>845</v>
      </c>
      <c r="AD204" s="1272">
        <v>840</v>
      </c>
      <c r="AE204" s="1272">
        <v>880</v>
      </c>
      <c r="AF204" s="1272">
        <v>875</v>
      </c>
      <c r="AG204" s="1272">
        <v>780</v>
      </c>
      <c r="AH204" s="1272">
        <v>955</v>
      </c>
      <c r="AI204" s="1297">
        <v>850</v>
      </c>
      <c r="AJ204" s="1247"/>
      <c r="AK204" s="1325">
        <f t="shared" si="121"/>
        <v>0</v>
      </c>
      <c r="AL204" s="1326">
        <f t="shared" si="121"/>
        <v>0</v>
      </c>
      <c r="AM204" s="1326">
        <f t="shared" si="121"/>
        <v>0</v>
      </c>
      <c r="AN204" s="1326">
        <f t="shared" si="121"/>
        <v>0</v>
      </c>
      <c r="AO204" s="1326">
        <f t="shared" si="121"/>
        <v>0</v>
      </c>
      <c r="AP204" s="1326">
        <f t="shared" si="121"/>
        <v>0</v>
      </c>
      <c r="AQ204" s="1326">
        <f t="shared" si="121"/>
        <v>0</v>
      </c>
      <c r="AR204" s="1326">
        <f t="shared" si="121"/>
        <v>0</v>
      </c>
      <c r="AS204" s="1326">
        <f t="shared" si="121"/>
        <v>0</v>
      </c>
      <c r="AT204" s="1326">
        <f t="shared" si="121"/>
        <v>0</v>
      </c>
      <c r="AU204" s="1324">
        <f t="shared" si="121"/>
        <v>0</v>
      </c>
    </row>
    <row r="205" spans="21:47">
      <c r="U205" s="2262"/>
      <c r="V205" s="2264"/>
      <c r="W205" s="1271" t="s">
        <v>1771</v>
      </c>
      <c r="X205" s="1272" t="s">
        <v>0</v>
      </c>
      <c r="Y205" s="1272">
        <v>335</v>
      </c>
      <c r="Z205" s="1272">
        <v>300</v>
      </c>
      <c r="AA205" s="1272">
        <v>300</v>
      </c>
      <c r="AB205" s="1272">
        <v>298</v>
      </c>
      <c r="AC205" s="1272">
        <v>335</v>
      </c>
      <c r="AD205" s="1272">
        <v>330</v>
      </c>
      <c r="AE205" s="1272">
        <v>340</v>
      </c>
      <c r="AF205" s="1272">
        <v>320</v>
      </c>
      <c r="AG205" s="1272">
        <v>290</v>
      </c>
      <c r="AH205" s="1272">
        <v>424</v>
      </c>
      <c r="AI205" s="1297">
        <v>287</v>
      </c>
      <c r="AJ205" s="1247"/>
      <c r="AK205" s="1325">
        <f t="shared" si="121"/>
        <v>0</v>
      </c>
      <c r="AL205" s="1326">
        <f t="shared" si="121"/>
        <v>0</v>
      </c>
      <c r="AM205" s="1326">
        <f t="shared" si="121"/>
        <v>0</v>
      </c>
      <c r="AN205" s="1326">
        <f t="shared" si="121"/>
        <v>0</v>
      </c>
      <c r="AO205" s="1326">
        <f t="shared" si="121"/>
        <v>0</v>
      </c>
      <c r="AP205" s="1326">
        <f t="shared" si="121"/>
        <v>0</v>
      </c>
      <c r="AQ205" s="1326">
        <f t="shared" si="121"/>
        <v>0</v>
      </c>
      <c r="AR205" s="1326">
        <f t="shared" si="121"/>
        <v>0</v>
      </c>
      <c r="AS205" s="1326">
        <f t="shared" si="121"/>
        <v>0</v>
      </c>
      <c r="AT205" s="1326">
        <f t="shared" si="121"/>
        <v>0</v>
      </c>
      <c r="AU205" s="1324">
        <f t="shared" si="121"/>
        <v>0</v>
      </c>
    </row>
    <row r="206" spans="21:47">
      <c r="U206" s="2262"/>
      <c r="V206" s="2264"/>
      <c r="W206" s="1271" t="s">
        <v>1746</v>
      </c>
      <c r="X206" s="1272" t="s">
        <v>212</v>
      </c>
      <c r="Y206" s="1272"/>
      <c r="Z206" s="1272">
        <v>49</v>
      </c>
      <c r="AA206" s="1272"/>
      <c r="AB206" s="1272" t="s">
        <v>1906</v>
      </c>
      <c r="AC206" s="1272"/>
      <c r="AD206" s="1272">
        <v>53</v>
      </c>
      <c r="AE206" s="1272">
        <v>63</v>
      </c>
      <c r="AF206" s="1272"/>
      <c r="AG206" s="1272">
        <v>71</v>
      </c>
      <c r="AH206" s="1272">
        <v>57</v>
      </c>
      <c r="AI206" s="1297"/>
      <c r="AJ206" s="1247"/>
      <c r="AK206" s="1325">
        <f t="shared" si="121"/>
        <v>0</v>
      </c>
      <c r="AL206" s="1326">
        <f t="shared" si="121"/>
        <v>0</v>
      </c>
      <c r="AM206" s="1326">
        <f t="shared" si="121"/>
        <v>0</v>
      </c>
      <c r="AN206" s="1326">
        <f t="shared" si="121"/>
        <v>0</v>
      </c>
      <c r="AO206" s="1326">
        <f t="shared" si="121"/>
        <v>0</v>
      </c>
      <c r="AP206" s="1326">
        <f t="shared" si="121"/>
        <v>0</v>
      </c>
      <c r="AQ206" s="1326">
        <f t="shared" si="121"/>
        <v>0</v>
      </c>
      <c r="AR206" s="1326">
        <f t="shared" si="121"/>
        <v>0</v>
      </c>
      <c r="AS206" s="1326">
        <f t="shared" si="121"/>
        <v>0</v>
      </c>
      <c r="AT206" s="1326">
        <f t="shared" si="121"/>
        <v>0</v>
      </c>
      <c r="AU206" s="1324">
        <f t="shared" si="121"/>
        <v>0</v>
      </c>
    </row>
    <row r="207" spans="21:47">
      <c r="U207" s="2262"/>
      <c r="V207" s="2264"/>
      <c r="W207" s="1271" t="s">
        <v>1747</v>
      </c>
      <c r="X207" s="1272"/>
      <c r="Y207" s="1272"/>
      <c r="Z207" s="1272"/>
      <c r="AA207" s="1272"/>
      <c r="AB207" s="1272"/>
      <c r="AC207" s="1272"/>
      <c r="AD207" s="1272"/>
      <c r="AE207" s="1272"/>
      <c r="AF207" s="1272"/>
      <c r="AG207" s="1272"/>
      <c r="AH207" s="1272"/>
      <c r="AI207" s="1297"/>
      <c r="AJ207" s="1247"/>
      <c r="AK207" s="1325"/>
      <c r="AL207" s="1326"/>
      <c r="AM207" s="1326"/>
      <c r="AN207" s="1326"/>
      <c r="AO207" s="1326"/>
      <c r="AP207" s="1326"/>
      <c r="AQ207" s="1326"/>
      <c r="AR207" s="1326"/>
      <c r="AS207" s="1326"/>
      <c r="AT207" s="1326"/>
      <c r="AU207" s="1324"/>
    </row>
    <row r="208" spans="21:47">
      <c r="U208" s="2262"/>
      <c r="V208" s="2264"/>
      <c r="W208" s="1271" t="s">
        <v>1779</v>
      </c>
      <c r="X208" s="1272" t="s">
        <v>173</v>
      </c>
      <c r="Y208" s="1272">
        <v>2000</v>
      </c>
      <c r="Z208" s="1272">
        <v>1980</v>
      </c>
      <c r="AA208" s="1272">
        <v>2240</v>
      </c>
      <c r="AB208" s="1272">
        <v>2170</v>
      </c>
      <c r="AC208" s="1272">
        <v>3005</v>
      </c>
      <c r="AD208" s="1272" t="s">
        <v>243</v>
      </c>
      <c r="AE208" s="1272">
        <v>2160</v>
      </c>
      <c r="AF208" s="1272">
        <v>2660</v>
      </c>
      <c r="AG208" s="1272">
        <v>2250</v>
      </c>
      <c r="AH208" s="1272">
        <v>2126</v>
      </c>
      <c r="AI208" s="1297" t="s">
        <v>243</v>
      </c>
      <c r="AJ208" s="1247"/>
      <c r="AK208" s="1325">
        <f t="shared" ref="AK208:AU211" si="122">IF($X$30=$V$188,Y208,0)</f>
        <v>0</v>
      </c>
      <c r="AL208" s="1326">
        <f t="shared" si="122"/>
        <v>0</v>
      </c>
      <c r="AM208" s="1326">
        <f t="shared" si="122"/>
        <v>0</v>
      </c>
      <c r="AN208" s="1326">
        <f t="shared" si="122"/>
        <v>0</v>
      </c>
      <c r="AO208" s="1326">
        <f t="shared" si="122"/>
        <v>0</v>
      </c>
      <c r="AP208" s="1326">
        <f t="shared" si="122"/>
        <v>0</v>
      </c>
      <c r="AQ208" s="1326">
        <f t="shared" si="122"/>
        <v>0</v>
      </c>
      <c r="AR208" s="1326">
        <f t="shared" si="122"/>
        <v>0</v>
      </c>
      <c r="AS208" s="1326">
        <f t="shared" si="122"/>
        <v>0</v>
      </c>
      <c r="AT208" s="1326">
        <f t="shared" si="122"/>
        <v>0</v>
      </c>
      <c r="AU208" s="1324">
        <f t="shared" si="122"/>
        <v>0</v>
      </c>
    </row>
    <row r="209" spans="21:47">
      <c r="U209" s="2262"/>
      <c r="V209" s="2264"/>
      <c r="W209" s="1271" t="s">
        <v>123</v>
      </c>
      <c r="X209" s="1272" t="s">
        <v>1246</v>
      </c>
      <c r="Y209" s="1272">
        <v>9.4</v>
      </c>
      <c r="Z209" s="1272">
        <v>9.1999999999999993</v>
      </c>
      <c r="AA209" s="1272">
        <v>10.3</v>
      </c>
      <c r="AB209" s="1272">
        <v>9.9499999999999993</v>
      </c>
      <c r="AC209" s="1272">
        <v>11.5</v>
      </c>
      <c r="AD209" s="1272">
        <v>15.5</v>
      </c>
      <c r="AE209" s="1272">
        <v>10.1</v>
      </c>
      <c r="AF209" s="1272">
        <v>12.5</v>
      </c>
      <c r="AG209" s="1272">
        <v>10.199999999999999</v>
      </c>
      <c r="AH209" s="1272">
        <v>14.5</v>
      </c>
      <c r="AI209" s="1297" t="s">
        <v>243</v>
      </c>
      <c r="AJ209" s="1247"/>
      <c r="AK209" s="1325">
        <f t="shared" si="122"/>
        <v>0</v>
      </c>
      <c r="AL209" s="1326">
        <f t="shared" si="122"/>
        <v>0</v>
      </c>
      <c r="AM209" s="1326">
        <f t="shared" si="122"/>
        <v>0</v>
      </c>
      <c r="AN209" s="1326">
        <f t="shared" si="122"/>
        <v>0</v>
      </c>
      <c r="AO209" s="1326">
        <f t="shared" si="122"/>
        <v>0</v>
      </c>
      <c r="AP209" s="1326">
        <f t="shared" si="122"/>
        <v>0</v>
      </c>
      <c r="AQ209" s="1326">
        <f t="shared" si="122"/>
        <v>0</v>
      </c>
      <c r="AR209" s="1326">
        <f t="shared" si="122"/>
        <v>0</v>
      </c>
      <c r="AS209" s="1326">
        <f t="shared" si="122"/>
        <v>0</v>
      </c>
      <c r="AT209" s="1326">
        <f t="shared" si="122"/>
        <v>0</v>
      </c>
      <c r="AU209" s="1324">
        <f t="shared" si="122"/>
        <v>0</v>
      </c>
    </row>
    <row r="210" spans="21:47">
      <c r="U210" s="2262"/>
      <c r="V210" s="2264"/>
      <c r="W210" s="1271" t="s">
        <v>1780</v>
      </c>
      <c r="X210" s="1272" t="s">
        <v>216</v>
      </c>
      <c r="Y210" s="1272" t="s">
        <v>243</v>
      </c>
      <c r="Z210" s="1272">
        <v>30</v>
      </c>
      <c r="AA210" s="1272" t="s">
        <v>243</v>
      </c>
      <c r="AB210" s="1272">
        <v>20</v>
      </c>
      <c r="AC210" s="1272">
        <v>25</v>
      </c>
      <c r="AD210" s="1272">
        <v>25</v>
      </c>
      <c r="AE210" s="1272">
        <v>30</v>
      </c>
      <c r="AF210" s="1272" t="s">
        <v>243</v>
      </c>
      <c r="AG210" s="1272">
        <v>25</v>
      </c>
      <c r="AH210" s="1272">
        <v>20</v>
      </c>
      <c r="AI210" s="1297" t="s">
        <v>243</v>
      </c>
      <c r="AJ210" s="1247"/>
      <c r="AK210" s="1325">
        <f t="shared" si="122"/>
        <v>0</v>
      </c>
      <c r="AL210" s="1326">
        <f t="shared" si="122"/>
        <v>0</v>
      </c>
      <c r="AM210" s="1326">
        <f t="shared" si="122"/>
        <v>0</v>
      </c>
      <c r="AN210" s="1326">
        <f t="shared" si="122"/>
        <v>0</v>
      </c>
      <c r="AO210" s="1326">
        <f t="shared" si="122"/>
        <v>0</v>
      </c>
      <c r="AP210" s="1326">
        <f t="shared" si="122"/>
        <v>0</v>
      </c>
      <c r="AQ210" s="1326">
        <f t="shared" si="122"/>
        <v>0</v>
      </c>
      <c r="AR210" s="1326">
        <f t="shared" si="122"/>
        <v>0</v>
      </c>
      <c r="AS210" s="1326">
        <f t="shared" si="122"/>
        <v>0</v>
      </c>
      <c r="AT210" s="1326">
        <f t="shared" si="122"/>
        <v>0</v>
      </c>
      <c r="AU210" s="1324">
        <f t="shared" si="122"/>
        <v>0</v>
      </c>
    </row>
    <row r="211" spans="21:47">
      <c r="U211" s="2262"/>
      <c r="V211" s="2264"/>
      <c r="W211" s="1271" t="s">
        <v>1752</v>
      </c>
      <c r="X211" s="1272" t="s">
        <v>216</v>
      </c>
      <c r="Y211" s="1272" t="s">
        <v>243</v>
      </c>
      <c r="Z211" s="1272">
        <v>20</v>
      </c>
      <c r="AA211" s="1272" t="s">
        <v>243</v>
      </c>
      <c r="AB211" s="1272" t="s">
        <v>243</v>
      </c>
      <c r="AC211" s="1272">
        <v>10</v>
      </c>
      <c r="AD211" s="1272">
        <v>10</v>
      </c>
      <c r="AE211" s="1272">
        <v>20</v>
      </c>
      <c r="AF211" s="1272" t="s">
        <v>243</v>
      </c>
      <c r="AG211" s="1272" t="s">
        <v>243</v>
      </c>
      <c r="AH211" s="1272">
        <v>5</v>
      </c>
      <c r="AI211" s="1297" t="s">
        <v>243</v>
      </c>
      <c r="AJ211" s="1247"/>
      <c r="AK211" s="1325">
        <f t="shared" si="122"/>
        <v>0</v>
      </c>
      <c r="AL211" s="1326">
        <f t="shared" si="122"/>
        <v>0</v>
      </c>
      <c r="AM211" s="1326">
        <f t="shared" si="122"/>
        <v>0</v>
      </c>
      <c r="AN211" s="1326">
        <f t="shared" si="122"/>
        <v>0</v>
      </c>
      <c r="AO211" s="1326">
        <f t="shared" si="122"/>
        <v>0</v>
      </c>
      <c r="AP211" s="1326">
        <f t="shared" si="122"/>
        <v>0</v>
      </c>
      <c r="AQ211" s="1326">
        <f t="shared" si="122"/>
        <v>0</v>
      </c>
      <c r="AR211" s="1326">
        <f t="shared" si="122"/>
        <v>0</v>
      </c>
      <c r="AS211" s="1326">
        <f t="shared" si="122"/>
        <v>0</v>
      </c>
      <c r="AT211" s="1326">
        <f t="shared" si="122"/>
        <v>0</v>
      </c>
      <c r="AU211" s="1324">
        <f t="shared" si="122"/>
        <v>0</v>
      </c>
    </row>
    <row r="212" spans="21:47">
      <c r="U212" s="2262"/>
      <c r="V212" s="2265"/>
      <c r="W212" s="1301" t="s">
        <v>1749</v>
      </c>
      <c r="X212" s="1302"/>
      <c r="Y212" s="1302" t="s">
        <v>1781</v>
      </c>
      <c r="Z212" s="1302" t="s">
        <v>243</v>
      </c>
      <c r="AA212" s="1302" t="s">
        <v>1819</v>
      </c>
      <c r="AB212" s="1302" t="s">
        <v>1781</v>
      </c>
      <c r="AC212" s="1302" t="s">
        <v>1819</v>
      </c>
      <c r="AD212" s="1302" t="s">
        <v>1907</v>
      </c>
      <c r="AE212" s="1302" t="s">
        <v>243</v>
      </c>
      <c r="AF212" s="1302" t="s">
        <v>1781</v>
      </c>
      <c r="AG212" s="1302" t="s">
        <v>1908</v>
      </c>
      <c r="AH212" s="1302" t="s">
        <v>1781</v>
      </c>
      <c r="AI212" s="1303" t="s">
        <v>243</v>
      </c>
      <c r="AJ212" s="1247"/>
      <c r="AK212" s="1334"/>
      <c r="AL212" s="1335" t="str">
        <f t="shared" ref="AL212:AU212" si="123">IF($X$30=$V$188,Z212,"")</f>
        <v/>
      </c>
      <c r="AM212" s="1335" t="str">
        <f t="shared" si="123"/>
        <v/>
      </c>
      <c r="AN212" s="1335" t="str">
        <f t="shared" si="123"/>
        <v/>
      </c>
      <c r="AO212" s="1335" t="str">
        <f t="shared" si="123"/>
        <v/>
      </c>
      <c r="AP212" s="1335" t="str">
        <f t="shared" si="123"/>
        <v/>
      </c>
      <c r="AQ212" s="1335" t="str">
        <f t="shared" si="123"/>
        <v/>
      </c>
      <c r="AR212" s="1335" t="str">
        <f t="shared" si="123"/>
        <v/>
      </c>
      <c r="AS212" s="1335" t="str">
        <f t="shared" si="123"/>
        <v/>
      </c>
      <c r="AT212" s="1335" t="str">
        <f t="shared" si="123"/>
        <v/>
      </c>
      <c r="AU212" s="1336" t="str">
        <f t="shared" si="123"/>
        <v/>
      </c>
    </row>
    <row r="213" spans="21:47">
      <c r="AB213" s="1247"/>
      <c r="AD213" s="1247"/>
      <c r="AG213" s="1247"/>
    </row>
  </sheetData>
  <sheetProtection password="DFE4" sheet="1" objects="1" scenarios="1" formatColumns="0"/>
  <protectedRanges>
    <protectedRange sqref="AK21 CG23 AL22 AM23 AN24 AO25" name="範圍1_1"/>
  </protectedRanges>
  <mergeCells count="171">
    <mergeCell ref="B2:C2"/>
    <mergeCell ref="G43:H43"/>
    <mergeCell ref="AX4:AY4"/>
    <mergeCell ref="BI2:CC2"/>
    <mergeCell ref="B7:E7"/>
    <mergeCell ref="BQ26:BQ27"/>
    <mergeCell ref="BR26:BR27"/>
    <mergeCell ref="BS26:BS27"/>
    <mergeCell ref="BT26:BT27"/>
    <mergeCell ref="AW8:AX8"/>
    <mergeCell ref="BL26:BL27"/>
    <mergeCell ref="BM26:BM27"/>
    <mergeCell ref="BN26:BN27"/>
    <mergeCell ref="BO26:BO27"/>
    <mergeCell ref="BP26:BP27"/>
    <mergeCell ref="BQ18:BQ19"/>
    <mergeCell ref="BR18:BR19"/>
    <mergeCell ref="BS18:BS19"/>
    <mergeCell ref="BT18:BT19"/>
    <mergeCell ref="AW26:AX27"/>
    <mergeCell ref="AY26:AY27"/>
    <mergeCell ref="AZ26:AZ27"/>
    <mergeCell ref="BA26:BA27"/>
    <mergeCell ref="BB26:BB27"/>
    <mergeCell ref="BC26:BC27"/>
    <mergeCell ref="BD26:BD27"/>
    <mergeCell ref="BE26:BE27"/>
    <mergeCell ref="BF26:BF27"/>
    <mergeCell ref="BG26:BG27"/>
    <mergeCell ref="BL18:BL19"/>
    <mergeCell ref="BM18:BM19"/>
    <mergeCell ref="BN18:BN19"/>
    <mergeCell ref="BO18:BO19"/>
    <mergeCell ref="BP18:BP19"/>
    <mergeCell ref="BS10:BS11"/>
    <mergeCell ref="BT10:BT11"/>
    <mergeCell ref="AW18:AX19"/>
    <mergeCell ref="AY18:AY19"/>
    <mergeCell ref="AZ18:AZ19"/>
    <mergeCell ref="BA18:BA19"/>
    <mergeCell ref="BN10:BN11"/>
    <mergeCell ref="BO10:BO11"/>
    <mergeCell ref="BP10:BP11"/>
    <mergeCell ref="BQ10:BQ11"/>
    <mergeCell ref="BR10:BR11"/>
    <mergeCell ref="AW17:AX17"/>
    <mergeCell ref="BQ6:BQ7"/>
    <mergeCell ref="BR6:BR7"/>
    <mergeCell ref="BS6:BS7"/>
    <mergeCell ref="BT6:BT7"/>
    <mergeCell ref="AW10:AX11"/>
    <mergeCell ref="AY10:AY11"/>
    <mergeCell ref="AZ10:AZ11"/>
    <mergeCell ref="BA10:BA11"/>
    <mergeCell ref="BB10:BB11"/>
    <mergeCell ref="BC10:BC11"/>
    <mergeCell ref="BD10:BD11"/>
    <mergeCell ref="BE10:BE11"/>
    <mergeCell ref="BF10:BF11"/>
    <mergeCell ref="BG10:BG11"/>
    <mergeCell ref="BL10:BL11"/>
    <mergeCell ref="BM10:BM11"/>
    <mergeCell ref="BL6:BL7"/>
    <mergeCell ref="BM6:BM7"/>
    <mergeCell ref="BN6:BN7"/>
    <mergeCell ref="BO6:BO7"/>
    <mergeCell ref="BP6:BP7"/>
    <mergeCell ref="AZ6:AZ7"/>
    <mergeCell ref="BA6:BA7"/>
    <mergeCell ref="BB6:BB7"/>
    <mergeCell ref="BC6:BC7"/>
    <mergeCell ref="BD6:BD7"/>
    <mergeCell ref="BE6:BE7"/>
    <mergeCell ref="BF6:BF7"/>
    <mergeCell ref="BG6:BG7"/>
    <mergeCell ref="BB18:BB19"/>
    <mergeCell ref="BC18:BC19"/>
    <mergeCell ref="BD18:BD19"/>
    <mergeCell ref="BE18:BE19"/>
    <mergeCell ref="BF18:BF19"/>
    <mergeCell ref="BG18:BG19"/>
    <mergeCell ref="AI27:AI28"/>
    <mergeCell ref="AW6:AX7"/>
    <mergeCell ref="AY6:AY7"/>
    <mergeCell ref="AD27:AD28"/>
    <mergeCell ref="AE27:AE28"/>
    <mergeCell ref="AF27:AF28"/>
    <mergeCell ref="AG27:AG28"/>
    <mergeCell ref="AH27:AH28"/>
    <mergeCell ref="Y27:Y28"/>
    <mergeCell ref="Z27:Z28"/>
    <mergeCell ref="AA27:AA28"/>
    <mergeCell ref="AB27:AB28"/>
    <mergeCell ref="AC27:AC28"/>
    <mergeCell ref="AG8:AG9"/>
    <mergeCell ref="AH8:AH9"/>
    <mergeCell ref="AI8:AI9"/>
    <mergeCell ref="Y14:Y15"/>
    <mergeCell ref="Z14:Z15"/>
    <mergeCell ref="AA14:AA15"/>
    <mergeCell ref="AB14:AB15"/>
    <mergeCell ref="AC14:AC15"/>
    <mergeCell ref="AD14:AD15"/>
    <mergeCell ref="AE14:AE15"/>
    <mergeCell ref="AF14:AF15"/>
    <mergeCell ref="J8:J9"/>
    <mergeCell ref="K8:K9"/>
    <mergeCell ref="L8:L9"/>
    <mergeCell ref="AG14:AG15"/>
    <mergeCell ref="AH14:AH15"/>
    <mergeCell ref="AI14:AI15"/>
    <mergeCell ref="AB8:AB9"/>
    <mergeCell ref="AC8:AC9"/>
    <mergeCell ref="AD8:AD9"/>
    <mergeCell ref="AE8:AE9"/>
    <mergeCell ref="AF8:AF9"/>
    <mergeCell ref="R8:R9"/>
    <mergeCell ref="S8:S9"/>
    <mergeCell ref="Y8:Y9"/>
    <mergeCell ref="Z8:Z9"/>
    <mergeCell ref="AA8:AA9"/>
    <mergeCell ref="R14:R15"/>
    <mergeCell ref="S14:S15"/>
    <mergeCell ref="R27:R28"/>
    <mergeCell ref="S27:S28"/>
    <mergeCell ref="M14:M15"/>
    <mergeCell ref="N14:N15"/>
    <mergeCell ref="O14:O15"/>
    <mergeCell ref="P14:P15"/>
    <mergeCell ref="Q14:Q15"/>
    <mergeCell ref="AW2:BG2"/>
    <mergeCell ref="G27:H28"/>
    <mergeCell ref="I27:I28"/>
    <mergeCell ref="J27:J28"/>
    <mergeCell ref="K27:K28"/>
    <mergeCell ref="L27:L28"/>
    <mergeCell ref="M27:M28"/>
    <mergeCell ref="N27:N28"/>
    <mergeCell ref="O27:O28"/>
    <mergeCell ref="P27:P28"/>
    <mergeCell ref="M8:M9"/>
    <mergeCell ref="N8:N9"/>
    <mergeCell ref="O8:O9"/>
    <mergeCell ref="P8:P9"/>
    <mergeCell ref="Q8:Q9"/>
    <mergeCell ref="G8:H9"/>
    <mergeCell ref="I8:I9"/>
    <mergeCell ref="U118:U212"/>
    <mergeCell ref="V119:V140"/>
    <mergeCell ref="V142:V163"/>
    <mergeCell ref="V165:V186"/>
    <mergeCell ref="V188:V212"/>
    <mergeCell ref="BI47:BI67"/>
    <mergeCell ref="BI68:BI87"/>
    <mergeCell ref="G2:S2"/>
    <mergeCell ref="U2:AU2"/>
    <mergeCell ref="U45:U116"/>
    <mergeCell ref="V49:V70"/>
    <mergeCell ref="V72:V93"/>
    <mergeCell ref="V95:V116"/>
    <mergeCell ref="H4:I4"/>
    <mergeCell ref="G41:H41"/>
    <mergeCell ref="G42:H42"/>
    <mergeCell ref="G16:H16"/>
    <mergeCell ref="G35:H35"/>
    <mergeCell ref="G14:H15"/>
    <mergeCell ref="I14:I15"/>
    <mergeCell ref="J14:J15"/>
    <mergeCell ref="K14:K15"/>
    <mergeCell ref="L14:L15"/>
    <mergeCell ref="Q27:Q28"/>
  </mergeCells>
  <phoneticPr fontId="143" type="noConversion"/>
  <conditionalFormatting sqref="J22:S22">
    <cfRule type="top10" dxfId="21" priority="44" stopIfTrue="1" rank="1"/>
  </conditionalFormatting>
  <conditionalFormatting sqref="J23:S23">
    <cfRule type="top10" dxfId="20" priority="43" stopIfTrue="1" rank="1"/>
  </conditionalFormatting>
  <conditionalFormatting sqref="J24:S25">
    <cfRule type="top10" dxfId="19" priority="42" stopIfTrue="1" rank="1"/>
  </conditionalFormatting>
  <conditionalFormatting sqref="J30:S30">
    <cfRule type="top10" dxfId="18" priority="41" stopIfTrue="1" rank="1"/>
  </conditionalFormatting>
  <conditionalFormatting sqref="J31:S31">
    <cfRule type="top10" dxfId="17" priority="40" stopIfTrue="1" rank="1"/>
  </conditionalFormatting>
  <conditionalFormatting sqref="J32:S32">
    <cfRule type="top10" dxfId="16" priority="39" stopIfTrue="1" rank="1"/>
  </conditionalFormatting>
  <conditionalFormatting sqref="I36:S36">
    <cfRule type="top10" dxfId="15" priority="38" rank="1"/>
  </conditionalFormatting>
  <conditionalFormatting sqref="I37:S37">
    <cfRule type="top10" dxfId="14" priority="37" rank="1"/>
  </conditionalFormatting>
  <conditionalFormatting sqref="I10:S10">
    <cfRule type="cellIs" dxfId="13" priority="45" stopIfTrue="1" operator="equal">
      <formula>$W$10</formula>
    </cfRule>
  </conditionalFormatting>
  <conditionalFormatting sqref="AY8:BG8">
    <cfRule type="cellIs" dxfId="12" priority="1" operator="equal">
      <formula>1</formula>
    </cfRule>
    <cfRule type="cellIs" dxfId="11" priority="27" stopIfTrue="1" operator="equal">
      <formula>$W$10</formula>
    </cfRule>
  </conditionalFormatting>
  <conditionalFormatting sqref="AZ13:BG13">
    <cfRule type="top10" dxfId="10" priority="223" stopIfTrue="1" rank="1"/>
  </conditionalFormatting>
  <conditionalFormatting sqref="AZ14:BG14">
    <cfRule type="top10" dxfId="9" priority="224" stopIfTrue="1" rank="1"/>
  </conditionalFormatting>
  <conditionalFormatting sqref="AZ21:BG21">
    <cfRule type="top10" dxfId="8" priority="226" stopIfTrue="1" rank="1"/>
  </conditionalFormatting>
  <conditionalFormatting sqref="AZ22:BG22">
    <cfRule type="top10" dxfId="7" priority="227" stopIfTrue="1" rank="1"/>
  </conditionalFormatting>
  <conditionalFormatting sqref="AZ23:BG23">
    <cfRule type="top10" dxfId="6" priority="228" stopIfTrue="1" rank="1"/>
  </conditionalFormatting>
  <conditionalFormatting sqref="AZ30:BG30">
    <cfRule type="top10" dxfId="5" priority="17" stopIfTrue="1" rank="1"/>
  </conditionalFormatting>
  <conditionalFormatting sqref="AZ31:BG31">
    <cfRule type="top10" dxfId="4" priority="18" stopIfTrue="1" rank="1"/>
  </conditionalFormatting>
  <conditionalFormatting sqref="AZ15:BG15">
    <cfRule type="top10" dxfId="3" priority="229" stopIfTrue="1" rank="1"/>
  </conditionalFormatting>
  <conditionalFormatting sqref="AZ29:BG29">
    <cfRule type="top10" dxfId="2" priority="230" stopIfTrue="1" rank="1"/>
  </conditionalFormatting>
  <conditionalFormatting sqref="D10:D14">
    <cfRule type="cellIs" dxfId="1" priority="3" operator="equal">
      <formula>$F$10</formula>
    </cfRule>
  </conditionalFormatting>
  <dataValidations count="5">
    <dataValidation type="list" allowBlank="1" showInputMessage="1" showErrorMessage="1" sqref="HK4 H4:I4 RG4 ABC4 AKY4 AUU4 BEQ4 BOM4 BYI4 CIE4 CSA4 DBW4 DLS4 DVO4 EFK4 EPG4 EZC4 FIY4 FSU4 GCQ4 GMM4 GWI4 HGE4 HQA4 HZW4 IJS4 ITO4 JDK4 JNG4 JXC4 KGY4 KQU4 LAQ4 LKM4 LUI4 MEE4 MOA4 MXW4 NHS4 NRO4 OBK4 OLG4 OVC4 PEY4 POU4 PYQ4 QIM4 QSI4 RCE4 RMA4 RVW4 SFS4 SPO4 SZK4 TJG4 TTC4 UCY4 UMU4 UWQ4 VGM4 VQI4 WAE4 WKA4 WTW4 I65553 HK65553 RG65553 ABC65553 AKY65553 AUU65553 BEQ65553 BOM65553 BYI65553 CIE65553 CSA65553 DBW65553 DLS65553 DVO65553 EFK65553 EPG65553 EZC65553 FIY65553 FSU65553 GCQ65553 GMM65553 GWI65553 HGE65553 HQA65553 HZW65553 IJS65553 ITO65553 JDK65553 JNG65553 JXC65553 KGY65553 KQU65553 LAQ65553 LKM65553 LUI65553 MEE65553 MOA65553 MXW65553 NHS65553 NRO65553 OBK65553 OLG65553 OVC65553 PEY65553 POU65553 PYQ65553 QIM65553 QSI65553 RCE65553 RMA65553 RVW65553 SFS65553 SPO65553 SZK65553 TJG65553 TTC65553 UCY65553 UMU65553 UWQ65553 VGM65553 VQI65553 WAE65553 WKA65553 WTW65553 I131089 HK131089 RG131089 ABC131089 AKY131089 AUU131089 BEQ131089 BOM131089 BYI131089 CIE131089 CSA131089 DBW131089 DLS131089 DVO131089 EFK131089 EPG131089 EZC131089 FIY131089 FSU131089 GCQ131089 GMM131089 GWI131089 HGE131089 HQA131089 HZW131089 IJS131089 ITO131089 JDK131089 JNG131089 JXC131089 KGY131089 KQU131089 LAQ131089 LKM131089 LUI131089 MEE131089 MOA131089 MXW131089 NHS131089 NRO131089 OBK131089 OLG131089 OVC131089 PEY131089 POU131089 PYQ131089 QIM131089 QSI131089 RCE131089 RMA131089 RVW131089 SFS131089 SPO131089 SZK131089 TJG131089 TTC131089 UCY131089 UMU131089 UWQ131089 VGM131089 VQI131089 WAE131089 WKA131089 WTW131089 I196625 HK196625 RG196625 ABC196625 AKY196625 AUU196625 BEQ196625 BOM196625 BYI196625 CIE196625 CSA196625 DBW196625 DLS196625 DVO196625 EFK196625 EPG196625 EZC196625 FIY196625 FSU196625 GCQ196625 GMM196625 GWI196625 HGE196625 HQA196625 HZW196625 IJS196625 ITO196625 JDK196625 JNG196625 JXC196625 KGY196625 KQU196625 LAQ196625 LKM196625 LUI196625 MEE196625 MOA196625 MXW196625 NHS196625 NRO196625 OBK196625 OLG196625 OVC196625 PEY196625 POU196625 PYQ196625 QIM196625 QSI196625 RCE196625 RMA196625 RVW196625 SFS196625 SPO196625 SZK196625 TJG196625 TTC196625 UCY196625 UMU196625 UWQ196625 VGM196625 VQI196625 WAE196625 WKA196625 WTW196625 I262161 HK262161 RG262161 ABC262161 AKY262161 AUU262161 BEQ262161 BOM262161 BYI262161 CIE262161 CSA262161 DBW262161 DLS262161 DVO262161 EFK262161 EPG262161 EZC262161 FIY262161 FSU262161 GCQ262161 GMM262161 GWI262161 HGE262161 HQA262161 HZW262161 IJS262161 ITO262161 JDK262161 JNG262161 JXC262161 KGY262161 KQU262161 LAQ262161 LKM262161 LUI262161 MEE262161 MOA262161 MXW262161 NHS262161 NRO262161 OBK262161 OLG262161 OVC262161 PEY262161 POU262161 PYQ262161 QIM262161 QSI262161 RCE262161 RMA262161 RVW262161 SFS262161 SPO262161 SZK262161 TJG262161 TTC262161 UCY262161 UMU262161 UWQ262161 VGM262161 VQI262161 WAE262161 WKA262161 WTW262161 I327697 HK327697 RG327697 ABC327697 AKY327697 AUU327697 BEQ327697 BOM327697 BYI327697 CIE327697 CSA327697 DBW327697 DLS327697 DVO327697 EFK327697 EPG327697 EZC327697 FIY327697 FSU327697 GCQ327697 GMM327697 GWI327697 HGE327697 HQA327697 HZW327697 IJS327697 ITO327697 JDK327697 JNG327697 JXC327697 KGY327697 KQU327697 LAQ327697 LKM327697 LUI327697 MEE327697 MOA327697 MXW327697 NHS327697 NRO327697 OBK327697 OLG327697 OVC327697 PEY327697 POU327697 PYQ327697 QIM327697 QSI327697 RCE327697 RMA327697 RVW327697 SFS327697 SPO327697 SZK327697 TJG327697 TTC327697 UCY327697 UMU327697 UWQ327697 VGM327697 VQI327697 WAE327697 WKA327697 WTW327697 I393233 HK393233 RG393233 ABC393233 AKY393233 AUU393233 BEQ393233 BOM393233 BYI393233 CIE393233 CSA393233 DBW393233 DLS393233 DVO393233 EFK393233 EPG393233 EZC393233 FIY393233 FSU393233 GCQ393233 GMM393233 GWI393233 HGE393233 HQA393233 HZW393233 IJS393233 ITO393233 JDK393233 JNG393233 JXC393233 KGY393233 KQU393233 LAQ393233 LKM393233 LUI393233 MEE393233 MOA393233 MXW393233 NHS393233 NRO393233 OBK393233 OLG393233 OVC393233 PEY393233 POU393233 PYQ393233 QIM393233 QSI393233 RCE393233 RMA393233 RVW393233 SFS393233 SPO393233 SZK393233 TJG393233 TTC393233 UCY393233 UMU393233 UWQ393233 VGM393233 VQI393233 WAE393233 WKA393233 WTW393233 I458769 HK458769 RG458769 ABC458769 AKY458769 AUU458769 BEQ458769 BOM458769 BYI458769 CIE458769 CSA458769 DBW458769 DLS458769 DVO458769 EFK458769 EPG458769 EZC458769 FIY458769 FSU458769 GCQ458769 GMM458769 GWI458769 HGE458769 HQA458769 HZW458769 IJS458769 ITO458769 JDK458769 JNG458769 JXC458769 KGY458769 KQU458769 LAQ458769 LKM458769 LUI458769 MEE458769 MOA458769 MXW458769 NHS458769 NRO458769 OBK458769 OLG458769 OVC458769 PEY458769 POU458769 PYQ458769 QIM458769 QSI458769 RCE458769 RMA458769 RVW458769 SFS458769 SPO458769 SZK458769 TJG458769 TTC458769 UCY458769 UMU458769 UWQ458769 VGM458769 VQI458769 WAE458769 WKA458769 WTW458769 I524305 HK524305 RG524305 ABC524305 AKY524305 AUU524305 BEQ524305 BOM524305 BYI524305 CIE524305 CSA524305 DBW524305 DLS524305 DVO524305 EFK524305 EPG524305 EZC524305 FIY524305 FSU524305 GCQ524305 GMM524305 GWI524305 HGE524305 HQA524305 HZW524305 IJS524305 ITO524305 JDK524305 JNG524305 JXC524305 KGY524305 KQU524305 LAQ524305 LKM524305 LUI524305 MEE524305 MOA524305 MXW524305 NHS524305 NRO524305 OBK524305 OLG524305 OVC524305 PEY524305 POU524305 PYQ524305 QIM524305 QSI524305 RCE524305 RMA524305 RVW524305 SFS524305 SPO524305 SZK524305 TJG524305 TTC524305 UCY524305 UMU524305 UWQ524305 VGM524305 VQI524305 WAE524305 WKA524305 WTW524305 I589841 HK589841 RG589841 ABC589841 AKY589841 AUU589841 BEQ589841 BOM589841 BYI589841 CIE589841 CSA589841 DBW589841 DLS589841 DVO589841 EFK589841 EPG589841 EZC589841 FIY589841 FSU589841 GCQ589841 GMM589841 GWI589841 HGE589841 HQA589841 HZW589841 IJS589841 ITO589841 JDK589841 JNG589841 JXC589841 KGY589841 KQU589841 LAQ589841 LKM589841 LUI589841 MEE589841 MOA589841 MXW589841 NHS589841 NRO589841 OBK589841 OLG589841 OVC589841 PEY589841 POU589841 PYQ589841 QIM589841 QSI589841 RCE589841 RMA589841 RVW589841 SFS589841 SPO589841 SZK589841 TJG589841 TTC589841 UCY589841 UMU589841 UWQ589841 VGM589841 VQI589841 WAE589841 WKA589841 WTW589841 I655377 HK655377 RG655377 ABC655377 AKY655377 AUU655377 BEQ655377 BOM655377 BYI655377 CIE655377 CSA655377 DBW655377 DLS655377 DVO655377 EFK655377 EPG655377 EZC655377 FIY655377 FSU655377 GCQ655377 GMM655377 GWI655377 HGE655377 HQA655377 HZW655377 IJS655377 ITO655377 JDK655377 JNG655377 JXC655377 KGY655377 KQU655377 LAQ655377 LKM655377 LUI655377 MEE655377 MOA655377 MXW655377 NHS655377 NRO655377 OBK655377 OLG655377 OVC655377 PEY655377 POU655377 PYQ655377 QIM655377 QSI655377 RCE655377 RMA655377 RVW655377 SFS655377 SPO655377 SZK655377 TJG655377 TTC655377 UCY655377 UMU655377 UWQ655377 VGM655377 VQI655377 WAE655377 WKA655377 WTW655377 I720913 HK720913 RG720913 ABC720913 AKY720913 AUU720913 BEQ720913 BOM720913 BYI720913 CIE720913 CSA720913 DBW720913 DLS720913 DVO720913 EFK720913 EPG720913 EZC720913 FIY720913 FSU720913 GCQ720913 GMM720913 GWI720913 HGE720913 HQA720913 HZW720913 IJS720913 ITO720913 JDK720913 JNG720913 JXC720913 KGY720913 KQU720913 LAQ720913 LKM720913 LUI720913 MEE720913 MOA720913 MXW720913 NHS720913 NRO720913 OBK720913 OLG720913 OVC720913 PEY720913 POU720913 PYQ720913 QIM720913 QSI720913 RCE720913 RMA720913 RVW720913 SFS720913 SPO720913 SZK720913 TJG720913 TTC720913 UCY720913 UMU720913 UWQ720913 VGM720913 VQI720913 WAE720913 WKA720913 WTW720913 I786449 HK786449 RG786449 ABC786449 AKY786449 AUU786449 BEQ786449 BOM786449 BYI786449 CIE786449 CSA786449 DBW786449 DLS786449 DVO786449 EFK786449 EPG786449 EZC786449 FIY786449 FSU786449 GCQ786449 GMM786449 GWI786449 HGE786449 HQA786449 HZW786449 IJS786449 ITO786449 JDK786449 JNG786449 JXC786449 KGY786449 KQU786449 LAQ786449 LKM786449 LUI786449 MEE786449 MOA786449 MXW786449 NHS786449 NRO786449 OBK786449 OLG786449 OVC786449 PEY786449 POU786449 PYQ786449 QIM786449 QSI786449 RCE786449 RMA786449 RVW786449 SFS786449 SPO786449 SZK786449 TJG786449 TTC786449 UCY786449 UMU786449 UWQ786449 VGM786449 VQI786449 WAE786449 WKA786449 WTW786449 I851985 HK851985 RG851985 ABC851985 AKY851985 AUU851985 BEQ851985 BOM851985 BYI851985 CIE851985 CSA851985 DBW851985 DLS851985 DVO851985 EFK851985 EPG851985 EZC851985 FIY851985 FSU851985 GCQ851985 GMM851985 GWI851985 HGE851985 HQA851985 HZW851985 IJS851985 ITO851985 JDK851985 JNG851985 JXC851985 KGY851985 KQU851985 LAQ851985 LKM851985 LUI851985 MEE851985 MOA851985 MXW851985 NHS851985 NRO851985 OBK851985 OLG851985 OVC851985 PEY851985 POU851985 PYQ851985 QIM851985 QSI851985 RCE851985 RMA851985 RVW851985 SFS851985 SPO851985 SZK851985 TJG851985 TTC851985 UCY851985 UMU851985 UWQ851985 VGM851985 VQI851985 WAE851985 WKA851985 WTW851985 I917521 HK917521 RG917521 ABC917521 AKY917521 AUU917521 BEQ917521 BOM917521 BYI917521 CIE917521 CSA917521 DBW917521 DLS917521 DVO917521 EFK917521 EPG917521 EZC917521 FIY917521 FSU917521 GCQ917521 GMM917521 GWI917521 HGE917521 HQA917521 HZW917521 IJS917521 ITO917521 JDK917521 JNG917521 JXC917521 KGY917521 KQU917521 LAQ917521 LKM917521 LUI917521 MEE917521 MOA917521 MXW917521 NHS917521 NRO917521 OBK917521 OLG917521 OVC917521 PEY917521 POU917521 PYQ917521 QIM917521 QSI917521 RCE917521 RMA917521 RVW917521 SFS917521 SPO917521 SZK917521 TJG917521 TTC917521 UCY917521 UMU917521 UWQ917521 VGM917521 VQI917521 WAE917521 WKA917521 WTW917521 I983057 HK983057 RG983057 ABC983057 AKY983057 AUU983057 BEQ983057 BOM983057 BYI983057 CIE983057 CSA983057 DBW983057 DLS983057 DVO983057 EFK983057 EPG983057 EZC983057 FIY983057 FSU983057 GCQ983057 GMM983057 GWI983057 HGE983057 HQA983057 HZW983057 IJS983057 ITO983057 JDK983057 JNG983057 JXC983057 KGY983057 KQU983057 LAQ983057 LKM983057 LUI983057 MEE983057 MOA983057 MXW983057 NHS983057 NRO983057 OBK983057 OLG983057 OVC983057 PEY983057 POU983057 PYQ983057 QIM983057 QSI983057 RCE983057 RMA983057 RVW983057 SFS983057 SPO983057 SZK983057 TJG983057 TTC983057 UCY983057 UMU983057 UWQ983057 VGM983057 VQI983057 WAE983057 WKA983057 WTW983057" xr:uid="{00000000-0002-0000-1B00-000000000000}">
      <formula1>$W$23:$W$24</formula1>
    </dataValidation>
    <dataValidation type="list" allowBlank="1" showInputMessage="1" showErrorMessage="1" sqref="I65555 WKA983059 WAE983059 VQI983059 VGM983059 UWQ983059 UMU983059 UCY983059 TTC983059 TJG983059 SZK983059 SPO983059 SFS983059 RVW983059 RMA983059 RCE983059 QSI983059 QIM983059 PYQ983059 POU983059 PEY983059 OVC983059 OLG983059 OBK983059 NRO983059 NHS983059 MXW983059 MOA983059 MEE983059 LUI983059 LKM983059 LAQ983059 KQU983059 KGY983059 JXC983059 JNG983059 JDK983059 ITO983059 IJS983059 HZW983059 HQA983059 HGE983059 GWI983059 GMM983059 GCQ983059 FSU983059 FIY983059 EZC983059 EPG983059 EFK983059 DVO983059 DLS983059 DBW983059 CSA983059 CIE983059 BYI983059 BOM983059 BEQ983059 AUU983059 AKY983059 ABC983059 RG983059 HK983059 I983059 WTW917523 WKA917523 WAE917523 VQI917523 VGM917523 UWQ917523 UMU917523 UCY917523 TTC917523 TJG917523 SZK917523 SPO917523 SFS917523 RVW917523 RMA917523 RCE917523 QSI917523 QIM917523 PYQ917523 POU917523 PEY917523 OVC917523 OLG917523 OBK917523 NRO917523 NHS917523 MXW917523 MOA917523 MEE917523 LUI917523 LKM917523 LAQ917523 KQU917523 KGY917523 JXC917523 JNG917523 JDK917523 ITO917523 IJS917523 HZW917523 HQA917523 HGE917523 GWI917523 GMM917523 GCQ917523 FSU917523 FIY917523 EZC917523 EPG917523 EFK917523 DVO917523 DLS917523 DBW917523 CSA917523 CIE917523 BYI917523 BOM917523 BEQ917523 AUU917523 AKY917523 ABC917523 RG917523 HK917523 I917523 WTW851987 WKA851987 WAE851987 VQI851987 VGM851987 UWQ851987 UMU851987 UCY851987 TTC851987 TJG851987 SZK851987 SPO851987 SFS851987 RVW851987 RMA851987 RCE851987 QSI851987 QIM851987 PYQ851987 POU851987 PEY851987 OVC851987 OLG851987 OBK851987 NRO851987 NHS851987 MXW851987 MOA851987 MEE851987 LUI851987 LKM851987 LAQ851987 KQU851987 KGY851987 JXC851987 JNG851987 JDK851987 ITO851987 IJS851987 HZW851987 HQA851987 HGE851987 GWI851987 GMM851987 GCQ851987 FSU851987 FIY851987 EZC851987 EPG851987 EFK851987 DVO851987 DLS851987 DBW851987 CSA851987 CIE851987 BYI851987 BOM851987 BEQ851987 AUU851987 AKY851987 ABC851987 RG851987 HK851987 I851987 WTW786451 WKA786451 WAE786451 VQI786451 VGM786451 UWQ786451 UMU786451 UCY786451 TTC786451 TJG786451 SZK786451 SPO786451 SFS786451 RVW786451 RMA786451 RCE786451 QSI786451 QIM786451 PYQ786451 POU786451 PEY786451 OVC786451 OLG786451 OBK786451 NRO786451 NHS786451 MXW786451 MOA786451 MEE786451 LUI786451 LKM786451 LAQ786451 KQU786451 KGY786451 JXC786451 JNG786451 JDK786451 ITO786451 IJS786451 HZW786451 HQA786451 HGE786451 GWI786451 GMM786451 GCQ786451 FSU786451 FIY786451 EZC786451 EPG786451 EFK786451 DVO786451 DLS786451 DBW786451 CSA786451 CIE786451 BYI786451 BOM786451 BEQ786451 AUU786451 AKY786451 ABC786451 RG786451 HK786451 I786451 WTW720915 WKA720915 WAE720915 VQI720915 VGM720915 UWQ720915 UMU720915 UCY720915 TTC720915 TJG720915 SZK720915 SPO720915 SFS720915 RVW720915 RMA720915 RCE720915 QSI720915 QIM720915 PYQ720915 POU720915 PEY720915 OVC720915 OLG720915 OBK720915 NRO720915 NHS720915 MXW720915 MOA720915 MEE720915 LUI720915 LKM720915 LAQ720915 KQU720915 KGY720915 JXC720915 JNG720915 JDK720915 ITO720915 IJS720915 HZW720915 HQA720915 HGE720915 GWI720915 GMM720915 GCQ720915 FSU720915 FIY720915 EZC720915 EPG720915 EFK720915 DVO720915 DLS720915 DBW720915 CSA720915 CIE720915 BYI720915 BOM720915 BEQ720915 AUU720915 AKY720915 ABC720915 RG720915 HK720915 I720915 WTW655379 WKA655379 WAE655379 VQI655379 VGM655379 UWQ655379 UMU655379 UCY655379 TTC655379 TJG655379 SZK655379 SPO655379 SFS655379 RVW655379 RMA655379 RCE655379 QSI655379 QIM655379 PYQ655379 POU655379 PEY655379 OVC655379 OLG655379 OBK655379 NRO655379 NHS655379 MXW655379 MOA655379 MEE655379 LUI655379 LKM655379 LAQ655379 KQU655379 KGY655379 JXC655379 JNG655379 JDK655379 ITO655379 IJS655379 HZW655379 HQA655379 HGE655379 GWI655379 GMM655379 GCQ655379 FSU655379 FIY655379 EZC655379 EPG655379 EFK655379 DVO655379 DLS655379 DBW655379 CSA655379 CIE655379 BYI655379 BOM655379 BEQ655379 AUU655379 AKY655379 ABC655379 RG655379 HK655379 I655379 WTW589843 WKA589843 WAE589843 VQI589843 VGM589843 UWQ589843 UMU589843 UCY589843 TTC589843 TJG589843 SZK589843 SPO589843 SFS589843 RVW589843 RMA589843 RCE589843 QSI589843 QIM589843 PYQ589843 POU589843 PEY589843 OVC589843 OLG589843 OBK589843 NRO589843 NHS589843 MXW589843 MOA589843 MEE589843 LUI589843 LKM589843 LAQ589843 KQU589843 KGY589843 JXC589843 JNG589843 JDK589843 ITO589843 IJS589843 HZW589843 HQA589843 HGE589843 GWI589843 GMM589843 GCQ589843 FSU589843 FIY589843 EZC589843 EPG589843 EFK589843 DVO589843 DLS589843 DBW589843 CSA589843 CIE589843 BYI589843 BOM589843 BEQ589843 AUU589843 AKY589843 ABC589843 RG589843 HK589843 I589843 WTW524307 WKA524307 WAE524307 VQI524307 VGM524307 UWQ524307 UMU524307 UCY524307 TTC524307 TJG524307 SZK524307 SPO524307 SFS524307 RVW524307 RMA524307 RCE524307 QSI524307 QIM524307 PYQ524307 POU524307 PEY524307 OVC524307 OLG524307 OBK524307 NRO524307 NHS524307 MXW524307 MOA524307 MEE524307 LUI524307 LKM524307 LAQ524307 KQU524307 KGY524307 JXC524307 JNG524307 JDK524307 ITO524307 IJS524307 HZW524307 HQA524307 HGE524307 GWI524307 GMM524307 GCQ524307 FSU524307 FIY524307 EZC524307 EPG524307 EFK524307 DVO524307 DLS524307 DBW524307 CSA524307 CIE524307 BYI524307 BOM524307 BEQ524307 AUU524307 AKY524307 ABC524307 RG524307 HK524307 I524307 WTW458771 WKA458771 WAE458771 VQI458771 VGM458771 UWQ458771 UMU458771 UCY458771 TTC458771 TJG458771 SZK458771 SPO458771 SFS458771 RVW458771 RMA458771 RCE458771 QSI458771 QIM458771 PYQ458771 POU458771 PEY458771 OVC458771 OLG458771 OBK458771 NRO458771 NHS458771 MXW458771 MOA458771 MEE458771 LUI458771 LKM458771 LAQ458771 KQU458771 KGY458771 JXC458771 JNG458771 JDK458771 ITO458771 IJS458771 HZW458771 HQA458771 HGE458771 GWI458771 GMM458771 GCQ458771 FSU458771 FIY458771 EZC458771 EPG458771 EFK458771 DVO458771 DLS458771 DBW458771 CSA458771 CIE458771 BYI458771 BOM458771 BEQ458771 AUU458771 AKY458771 ABC458771 RG458771 HK458771 I458771 WTW393235 WKA393235 WAE393235 VQI393235 VGM393235 UWQ393235 UMU393235 UCY393235 TTC393235 TJG393235 SZK393235 SPO393235 SFS393235 RVW393235 RMA393235 RCE393235 QSI393235 QIM393235 PYQ393235 POU393235 PEY393235 OVC393235 OLG393235 OBK393235 NRO393235 NHS393235 MXW393235 MOA393235 MEE393235 LUI393235 LKM393235 LAQ393235 KQU393235 KGY393235 JXC393235 JNG393235 JDK393235 ITO393235 IJS393235 HZW393235 HQA393235 HGE393235 GWI393235 GMM393235 GCQ393235 FSU393235 FIY393235 EZC393235 EPG393235 EFK393235 DVO393235 DLS393235 DBW393235 CSA393235 CIE393235 BYI393235 BOM393235 BEQ393235 AUU393235 AKY393235 ABC393235 RG393235 HK393235 I393235 WTW327699 WKA327699 WAE327699 VQI327699 VGM327699 UWQ327699 UMU327699 UCY327699 TTC327699 TJG327699 SZK327699 SPO327699 SFS327699 RVW327699 RMA327699 RCE327699 QSI327699 QIM327699 PYQ327699 POU327699 PEY327699 OVC327699 OLG327699 OBK327699 NRO327699 NHS327699 MXW327699 MOA327699 MEE327699 LUI327699 LKM327699 LAQ327699 KQU327699 KGY327699 JXC327699 JNG327699 JDK327699 ITO327699 IJS327699 HZW327699 HQA327699 HGE327699 GWI327699 GMM327699 GCQ327699 FSU327699 FIY327699 EZC327699 EPG327699 EFK327699 DVO327699 DLS327699 DBW327699 CSA327699 CIE327699 BYI327699 BOM327699 BEQ327699 AUU327699 AKY327699 ABC327699 RG327699 HK327699 I327699 WTW262163 WKA262163 WAE262163 VQI262163 VGM262163 UWQ262163 UMU262163 UCY262163 TTC262163 TJG262163 SZK262163 SPO262163 SFS262163 RVW262163 RMA262163 RCE262163 QSI262163 QIM262163 PYQ262163 POU262163 PEY262163 OVC262163 OLG262163 OBK262163 NRO262163 NHS262163 MXW262163 MOA262163 MEE262163 LUI262163 LKM262163 LAQ262163 KQU262163 KGY262163 JXC262163 JNG262163 JDK262163 ITO262163 IJS262163 HZW262163 HQA262163 HGE262163 GWI262163 GMM262163 GCQ262163 FSU262163 FIY262163 EZC262163 EPG262163 EFK262163 DVO262163 DLS262163 DBW262163 CSA262163 CIE262163 BYI262163 BOM262163 BEQ262163 AUU262163 AKY262163 ABC262163 RG262163 HK262163 I262163 WTW196627 WKA196627 WAE196627 VQI196627 VGM196627 UWQ196627 UMU196627 UCY196627 TTC196627 TJG196627 SZK196627 SPO196627 SFS196627 RVW196627 RMA196627 RCE196627 QSI196627 QIM196627 PYQ196627 POU196627 PEY196627 OVC196627 OLG196627 OBK196627 NRO196627 NHS196627 MXW196627 MOA196627 MEE196627 LUI196627 LKM196627 LAQ196627 KQU196627 KGY196627 JXC196627 JNG196627 JDK196627 ITO196627 IJS196627 HZW196627 HQA196627 HGE196627 GWI196627 GMM196627 GCQ196627 FSU196627 FIY196627 EZC196627 EPG196627 EFK196627 DVO196627 DLS196627 DBW196627 CSA196627 CIE196627 BYI196627 BOM196627 BEQ196627 AUU196627 AKY196627 ABC196627 RG196627 HK196627 I196627 WTW131091 WKA131091 WAE131091 VQI131091 VGM131091 UWQ131091 UMU131091 UCY131091 TTC131091 TJG131091 SZK131091 SPO131091 SFS131091 RVW131091 RMA131091 RCE131091 QSI131091 QIM131091 PYQ131091 POU131091 PEY131091 OVC131091 OLG131091 OBK131091 NRO131091 NHS131091 MXW131091 MOA131091 MEE131091 LUI131091 LKM131091 LAQ131091 KQU131091 KGY131091 JXC131091 JNG131091 JDK131091 ITO131091 IJS131091 HZW131091 HQA131091 HGE131091 GWI131091 GMM131091 GCQ131091 FSU131091 FIY131091 EZC131091 EPG131091 EFK131091 DVO131091 DLS131091 DBW131091 CSA131091 CIE131091 BYI131091 BOM131091 BEQ131091 AUU131091 AKY131091 ABC131091 RG131091 HK131091 I131091 WTW65555 WKA65555 WAE65555 VQI65555 VGM65555 UWQ65555 UMU65555 UCY65555 TTC65555 TJG65555 SZK65555 SPO65555 SFS65555 RVW65555 RMA65555 RCE65555 QSI65555 QIM65555 PYQ65555 POU65555 PEY65555 OVC65555 OLG65555 OBK65555 NRO65555 NHS65555 MXW65555 MOA65555 MEE65555 LUI65555 LKM65555 LAQ65555 KQU65555 KGY65555 JXC65555 JNG65555 JDK65555 ITO65555 IJS65555 HZW65555 HQA65555 HGE65555 GWI65555 GMM65555 GCQ65555 FSU65555 FIY65555 EZC65555 EPG65555 EFK65555 DVO65555 DLS65555 DBW65555 CSA65555 CIE65555 BYI65555 BOM65555 BEQ65555 AUU65555 AKY65555 ABC65555 RG65555 HK65555 WTW6 WKA6 WAE6 VQI6 VGM6 UWQ6 UMU6 UCY6 TTC6 TJG6 SZK6 SPO6 SFS6 RVW6 RMA6 RCE6 QSI6 QIM6 PYQ6 POU6 PEY6 OVC6 OLG6 OBK6 NRO6 NHS6 MXW6 MOA6 MEE6 LUI6 LKM6 LAQ6 KQU6 KGY6 JXC6 JNG6 JDK6 ITO6 IJS6 HZW6 HQA6 HGE6 GWI6 GMM6 GCQ6 FSU6 FIY6 EZC6 EPG6 EFK6 DVO6 DLS6 DBW6 CSA6 CIE6 BYI6 BOM6 BEQ6 AUU6 AKY6 ABC6 RG6 HK6 WTW983059" xr:uid="{00000000-0002-0000-1B00-000001000000}">
      <formula1>$W$16:$W$20</formula1>
    </dataValidation>
    <dataValidation type="list" allowBlank="1" showInputMessage="1" showErrorMessage="1" sqref="H6" xr:uid="{00000000-0002-0000-1B00-000002000000}">
      <formula1>$W$16:$W$19</formula1>
    </dataValidation>
    <dataValidation type="list" allowBlank="1" showInputMessage="1" showErrorMessage="1" sqref="AX4" xr:uid="{00000000-0002-0000-1B00-000003000000}">
      <formula1>$BL$36:$BL$37</formula1>
    </dataValidation>
    <dataValidation type="list" allowBlank="1" showInputMessage="1" showErrorMessage="1" sqref="D9" xr:uid="{00000000-0002-0000-1B00-000004000000}">
      <formula1>$D$10:$D$14</formula1>
    </dataValidation>
  </dataValidations>
  <pageMargins left="0.75" right="0.75" top="1" bottom="1" header="0.5" footer="0.5"/>
  <pageSetup paperSize="9" scale="78"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1240" r:id="rId4" name="Button 8">
              <controlPr defaultSize="0" autoFill="0" autoPict="0" macro="[0]!Home">
                <anchor moveWithCells="1">
                  <from>
                    <xdr:col>0</xdr:col>
                    <xdr:colOff>171450</xdr:colOff>
                    <xdr:row>15</xdr:row>
                    <xdr:rowOff>38100</xdr:rowOff>
                  </from>
                  <to>
                    <xdr:col>2</xdr:col>
                    <xdr:colOff>184150</xdr:colOff>
                    <xdr:row>17</xdr:row>
                    <xdr:rowOff>50800</xdr:rowOff>
                  </to>
                </anchor>
              </controlPr>
            </control>
          </mc:Choice>
        </mc:AlternateContent>
        <mc:AlternateContent xmlns:mc="http://schemas.openxmlformats.org/markup-compatibility/2006">
          <mc:Choice Requires="x14">
            <control shapeId="351241" r:id="rId5" name="Button 9">
              <controlPr defaultSize="0" autoFill="0" autoPict="0" macro="[0]!SAC_Clear">
                <anchor moveWithCells="1">
                  <from>
                    <xdr:col>0</xdr:col>
                    <xdr:colOff>171450</xdr:colOff>
                    <xdr:row>17</xdr:row>
                    <xdr:rowOff>114300</xdr:rowOff>
                  </from>
                  <to>
                    <xdr:col>2</xdr:col>
                    <xdr:colOff>184150</xdr:colOff>
                    <xdr:row>19</xdr:row>
                    <xdr:rowOff>114300</xdr:rowOff>
                  </to>
                </anchor>
              </controlPr>
            </control>
          </mc:Choice>
        </mc:AlternateContent>
        <mc:AlternateContent xmlns:mc="http://schemas.openxmlformats.org/markup-compatibility/2006">
          <mc:Choice Requires="x14">
            <control shapeId="351244" r:id="rId6" name="Option Button 12">
              <controlPr defaultSize="0" autoFill="0" autoLine="0" autoPict="0" macro="[0]!SAC_Single">
                <anchor moveWithCells="1">
                  <from>
                    <xdr:col>1</xdr:col>
                    <xdr:colOff>12700</xdr:colOff>
                    <xdr:row>2</xdr:row>
                    <xdr:rowOff>19050</xdr:rowOff>
                  </from>
                  <to>
                    <xdr:col>2</xdr:col>
                    <xdr:colOff>647700</xdr:colOff>
                    <xdr:row>3</xdr:row>
                    <xdr:rowOff>133350</xdr:rowOff>
                  </to>
                </anchor>
              </controlPr>
            </control>
          </mc:Choice>
        </mc:AlternateContent>
        <mc:AlternateContent xmlns:mc="http://schemas.openxmlformats.org/markup-compatibility/2006">
          <mc:Choice Requires="x14">
            <control shapeId="351245" r:id="rId7" name="Option Button 13">
              <controlPr defaultSize="0" autoFill="0" autoLine="0" autoPict="0" macro="[0]!SAC_multi">
                <anchor moveWithCells="1">
                  <from>
                    <xdr:col>1</xdr:col>
                    <xdr:colOff>12700</xdr:colOff>
                    <xdr:row>3</xdr:row>
                    <xdr:rowOff>31750</xdr:rowOff>
                  </from>
                  <to>
                    <xdr:col>2</xdr:col>
                    <xdr:colOff>647700</xdr:colOff>
                    <xdr:row>4</xdr:row>
                    <xdr:rowOff>133350</xdr:rowOff>
                  </to>
                </anchor>
              </controlPr>
            </control>
          </mc:Choice>
        </mc:AlternateContent>
        <mc:AlternateContent xmlns:mc="http://schemas.openxmlformats.org/markup-compatibility/2006">
          <mc:Choice Requires="x14">
            <control shapeId="351262" r:id="rId8" name="Button 30">
              <controlPr defaultSize="0" autoFill="0" autoPict="0" macro="[0]!SAC_Single_clear">
                <anchor moveWithCells="1" sizeWithCells="1">
                  <from>
                    <xdr:col>9</xdr:col>
                    <xdr:colOff>247650</xdr:colOff>
                    <xdr:row>4</xdr:row>
                    <xdr:rowOff>38100</xdr:rowOff>
                  </from>
                  <to>
                    <xdr:col>10</xdr:col>
                    <xdr:colOff>127000</xdr:colOff>
                    <xdr:row>5</xdr:row>
                    <xdr:rowOff>114300</xdr:rowOff>
                  </to>
                </anchor>
              </controlPr>
            </control>
          </mc:Choice>
        </mc:AlternateContent>
        <mc:AlternateContent xmlns:mc="http://schemas.openxmlformats.org/markup-compatibility/2006">
          <mc:Choice Requires="x14">
            <control shapeId="351263" r:id="rId9" name="Button 31">
              <controlPr defaultSize="0" autoFill="0" autoPict="0" macro="[0]!SAC_multi_clear">
                <anchor moveWithCells="1" sizeWithCells="1">
                  <from>
                    <xdr:col>52</xdr:col>
                    <xdr:colOff>76200</xdr:colOff>
                    <xdr:row>3</xdr:row>
                    <xdr:rowOff>0</xdr:rowOff>
                  </from>
                  <to>
                    <xdr:col>52</xdr:col>
                    <xdr:colOff>666750</xdr:colOff>
                    <xdr:row>4</xdr:row>
                    <xdr:rowOff>69850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1">
    <tabColor theme="7"/>
    <pageSetUpPr fitToPage="1"/>
  </sheetPr>
  <dimension ref="B1:BH5739"/>
  <sheetViews>
    <sheetView showGridLines="0" showRowColHeaders="0" zoomScaleNormal="100" workbookViewId="0"/>
  </sheetViews>
  <sheetFormatPr defaultColWidth="9.1796875" defaultRowHeight="14"/>
  <cols>
    <col min="1" max="1" width="2.7265625" style="1711" customWidth="1"/>
    <col min="2" max="2" width="24.453125" style="1711" customWidth="1"/>
    <col min="3" max="3" width="3.7265625" style="1711" customWidth="1"/>
    <col min="4" max="4" width="17.54296875" style="1711" customWidth="1"/>
    <col min="5" max="5" width="12.453125" style="1711" customWidth="1"/>
    <col min="6" max="6" width="12.7265625" style="1714" customWidth="1"/>
    <col min="7" max="7" width="3.7265625" style="1711" customWidth="1"/>
    <col min="8" max="8" width="11.1796875" style="1711" customWidth="1"/>
    <col min="9" max="9" width="12.7265625" style="1711" customWidth="1"/>
    <col min="10" max="10" width="3.7265625" style="1711" customWidth="1"/>
    <col min="11" max="11" width="8.26953125" style="1711" customWidth="1"/>
    <col min="12" max="14" width="5.7265625" style="1711" customWidth="1"/>
    <col min="15" max="16" width="2.7265625" style="1711" customWidth="1"/>
    <col min="17" max="17" width="26" style="1744" customWidth="1"/>
    <col min="18" max="18" width="4.54296875" style="1744" customWidth="1"/>
    <col min="19" max="19" width="8" style="1744" customWidth="1"/>
    <col min="20" max="20" width="7.26953125" style="1745" customWidth="1"/>
    <col min="21" max="21" width="9.1796875" style="1744" hidden="1" customWidth="1"/>
    <col min="22" max="22" width="12.7265625" style="1755" hidden="1" customWidth="1"/>
    <col min="23" max="23" width="6" style="1755" hidden="1" customWidth="1"/>
    <col min="24" max="24" width="5" style="1755" hidden="1" customWidth="1"/>
    <col min="25" max="25" width="6.26953125" style="1755" hidden="1" customWidth="1"/>
    <col min="26" max="27" width="8.26953125" style="1755" hidden="1" customWidth="1"/>
    <col min="28" max="31" width="7.54296875" style="1755" hidden="1" customWidth="1"/>
    <col min="32" max="35" width="12.7265625" style="1755" hidden="1" customWidth="1"/>
    <col min="36" max="37" width="10.7265625" style="1755" hidden="1" customWidth="1"/>
    <col min="38" max="41" width="9.1796875" style="1755" hidden="1" customWidth="1"/>
    <col min="42" max="42" width="10.26953125" style="1756" hidden="1" customWidth="1"/>
    <col min="43" max="43" width="9.1796875" style="1759" hidden="1" customWidth="1"/>
    <col min="44" max="44" width="10.26953125" style="1758" hidden="1" customWidth="1"/>
    <col min="45" max="45" width="3.7265625" style="1807" hidden="1" customWidth="1"/>
    <col min="46" max="46" width="25.54296875" style="1808" hidden="1" customWidth="1"/>
    <col min="47" max="47" width="9.54296875" style="1809" hidden="1" customWidth="1"/>
    <col min="48" max="48" width="12.453125" style="1809" hidden="1" customWidth="1"/>
    <col min="49" max="49" width="3.7265625" style="1807" hidden="1" customWidth="1"/>
    <col min="50" max="50" width="22.1796875" style="1807" hidden="1" customWidth="1"/>
    <col min="51" max="51" width="12.54296875" style="1807" hidden="1" customWidth="1"/>
    <col min="52" max="52" width="21" style="1807" hidden="1" customWidth="1"/>
    <col min="53" max="53" width="3.7265625" style="1807" hidden="1" customWidth="1"/>
    <col min="54" max="54" width="2.26953125" style="1807" hidden="1" customWidth="1"/>
    <col min="55" max="55" width="14.81640625" style="1807" hidden="1" customWidth="1"/>
    <col min="56" max="56" width="12.54296875" style="1807" hidden="1" customWidth="1"/>
    <col min="57" max="57" width="29.7265625" style="1807" hidden="1" customWidth="1"/>
    <col min="58" max="58" width="22.81640625" style="1807" hidden="1" customWidth="1"/>
    <col min="59" max="59" width="17.81640625" style="1807" hidden="1" customWidth="1"/>
    <col min="60" max="60" width="30" style="1807" hidden="1" customWidth="1"/>
    <col min="61" max="74" width="9.1796875" style="1711" customWidth="1"/>
    <col min="75" max="16384" width="9.1796875" style="1711"/>
  </cols>
  <sheetData>
    <row r="1" spans="2:60">
      <c r="AQ1" s="1757" t="s">
        <v>2393</v>
      </c>
    </row>
    <row r="2" spans="2:60">
      <c r="B2" s="1710" t="s">
        <v>2370</v>
      </c>
      <c r="D2" s="2338" t="s">
        <v>2428</v>
      </c>
      <c r="E2" s="2338"/>
      <c r="F2" s="2338"/>
      <c r="G2" s="2338"/>
      <c r="H2" s="2338"/>
      <c r="I2" s="2338"/>
      <c r="J2" s="2338"/>
      <c r="K2" s="2338"/>
      <c r="L2" s="2338"/>
      <c r="M2" s="2338"/>
      <c r="N2" s="2338"/>
      <c r="P2" s="1784"/>
      <c r="Q2" s="2338" t="s">
        <v>2394</v>
      </c>
      <c r="R2" s="2338"/>
      <c r="S2" s="2338"/>
      <c r="T2" s="2338"/>
      <c r="AT2" s="1810" t="s">
        <v>2459</v>
      </c>
      <c r="AU2" s="1810"/>
      <c r="AV2" s="1811"/>
      <c r="AX2" s="2328" t="s">
        <v>365</v>
      </c>
      <c r="AY2" s="2328"/>
      <c r="AZ2" s="2328"/>
      <c r="BA2" s="2328"/>
      <c r="BB2" s="2328"/>
      <c r="BC2" s="2328"/>
      <c r="BD2" s="2328"/>
      <c r="BE2" s="2328"/>
      <c r="BF2" s="2328"/>
      <c r="BG2" s="2328"/>
      <c r="BH2" s="2328"/>
    </row>
    <row r="3" spans="2:60" ht="14.5">
      <c r="B3" s="1767">
        <v>3</v>
      </c>
      <c r="D3" s="1716" t="s">
        <v>2384</v>
      </c>
      <c r="E3" s="1716"/>
      <c r="F3" s="1716"/>
      <c r="P3" s="1784"/>
      <c r="Q3" s="2349" t="s">
        <v>2431</v>
      </c>
      <c r="R3" s="2349" t="s">
        <v>2384</v>
      </c>
      <c r="S3" s="2349" t="s">
        <v>2384</v>
      </c>
      <c r="T3" s="2349" t="s">
        <v>2384</v>
      </c>
      <c r="X3" s="1760"/>
      <c r="Y3" s="1760"/>
      <c r="AB3" s="1761">
        <f>AB6*AB7*AB8</f>
        <v>0.216</v>
      </c>
      <c r="AC3" s="1761">
        <f t="shared" ref="AC3:AI3" si="0">AC6*AC7*AC8</f>
        <v>0.32400000000000001</v>
      </c>
      <c r="AD3" s="1761">
        <f t="shared" si="0"/>
        <v>0.36</v>
      </c>
      <c r="AE3" s="1761">
        <f t="shared" si="0"/>
        <v>0.54</v>
      </c>
      <c r="AF3" s="1761">
        <f t="shared" si="0"/>
        <v>0.27360000000000001</v>
      </c>
      <c r="AG3" s="1761">
        <f t="shared" si="0"/>
        <v>0.48</v>
      </c>
      <c r="AH3" s="1761">
        <f t="shared" si="0"/>
        <v>0.45600000000000002</v>
      </c>
      <c r="AI3" s="1761">
        <f t="shared" si="0"/>
        <v>0.8</v>
      </c>
      <c r="AJ3" s="1761">
        <f>AJ6*AJ7</f>
        <v>7.2000000000000008E-2</v>
      </c>
      <c r="AK3" s="1761">
        <f>AK6*AK7</f>
        <v>0.12</v>
      </c>
      <c r="AP3" s="1762" t="s">
        <v>2424</v>
      </c>
      <c r="AQ3" s="1763" t="s">
        <v>2425</v>
      </c>
      <c r="AR3" s="1762" t="s">
        <v>2426</v>
      </c>
      <c r="AT3" s="1809"/>
      <c r="AV3" s="1808"/>
      <c r="AX3" s="1809"/>
      <c r="AY3" s="1809"/>
      <c r="AZ3" s="1809"/>
      <c r="BA3" s="1809"/>
      <c r="BB3" s="1809"/>
      <c r="BC3" s="1809"/>
      <c r="BD3" s="1809"/>
      <c r="BE3" s="1809"/>
      <c r="BF3" s="1809"/>
      <c r="BG3" s="1809"/>
      <c r="BH3" s="1809"/>
    </row>
    <row r="4" spans="2:60">
      <c r="B4" s="1306"/>
      <c r="D4" s="1716"/>
      <c r="E4" s="1716"/>
      <c r="F4" s="1716"/>
      <c r="P4" s="1784"/>
      <c r="Q4" s="2349" t="s">
        <v>2384</v>
      </c>
      <c r="R4" s="2349" t="s">
        <v>2384</v>
      </c>
      <c r="S4" s="2349" t="s">
        <v>2384</v>
      </c>
      <c r="T4" s="2349" t="s">
        <v>2384</v>
      </c>
      <c r="V4" s="1764"/>
      <c r="X4" s="1760"/>
      <c r="Y4" s="1760"/>
      <c r="Z4" s="1764"/>
      <c r="AA4" s="1764"/>
      <c r="AQ4" s="1759">
        <v>1</v>
      </c>
      <c r="AR4" s="1756" t="e">
        <f>0.5*(S18+2*AQ4)*LN(1+2*AQ4/S18)</f>
        <v>#VALUE!</v>
      </c>
      <c r="AT4" s="1813"/>
      <c r="AU4" s="1813"/>
      <c r="AV4" s="1812" t="s">
        <v>1193</v>
      </c>
      <c r="AX4" s="2329" t="s">
        <v>2460</v>
      </c>
      <c r="AY4" s="2330"/>
      <c r="AZ4" s="2331"/>
      <c r="BA4" s="1809"/>
      <c r="BB4" s="2332" t="s">
        <v>2461</v>
      </c>
      <c r="BC4" s="2332"/>
      <c r="BD4" s="1812" t="s">
        <v>2462</v>
      </c>
      <c r="BE4" s="1812" t="s">
        <v>2463</v>
      </c>
      <c r="BF4" s="1812" t="s">
        <v>2464</v>
      </c>
      <c r="BG4" s="1812" t="s">
        <v>2465</v>
      </c>
      <c r="BH4" s="1812" t="s">
        <v>2466</v>
      </c>
    </row>
    <row r="5" spans="2:60" ht="12" customHeight="1">
      <c r="B5" s="1306"/>
      <c r="D5" s="1711" t="s">
        <v>2429</v>
      </c>
      <c r="E5" s="1430"/>
      <c r="F5" s="1715" t="str">
        <f>IF(X11=W13,"","at 28.8 oC, dew point at 27 oC")</f>
        <v/>
      </c>
      <c r="P5" s="1784"/>
      <c r="Q5" s="1711"/>
      <c r="R5" s="1711"/>
      <c r="S5" s="1711"/>
      <c r="V5" s="1764"/>
      <c r="X5" s="1760"/>
      <c r="Y5" s="1760"/>
      <c r="Z5" s="1765"/>
      <c r="AA5" s="1765"/>
      <c r="AB5" s="1764" t="s">
        <v>2372</v>
      </c>
      <c r="AC5" s="1764" t="s">
        <v>2372</v>
      </c>
      <c r="AD5" s="1764" t="s">
        <v>2372</v>
      </c>
      <c r="AE5" s="1764" t="s">
        <v>2372</v>
      </c>
      <c r="AF5" s="1764" t="s">
        <v>2374</v>
      </c>
      <c r="AG5" s="1764" t="s">
        <v>2374</v>
      </c>
      <c r="AH5" s="1764" t="s">
        <v>2374</v>
      </c>
      <c r="AI5" s="1764" t="s">
        <v>2374</v>
      </c>
      <c r="AJ5" s="1764" t="s">
        <v>2375</v>
      </c>
      <c r="AK5" s="1764" t="s">
        <v>2375</v>
      </c>
      <c r="AM5" s="1755" t="s">
        <v>2373</v>
      </c>
      <c r="AN5" s="1755" t="e">
        <f>IF(#REF!=AM5,TRUE,FALSE)</f>
        <v>#REF!</v>
      </c>
      <c r="AQ5" s="1759">
        <f>AQ4+1</f>
        <v>2</v>
      </c>
      <c r="AR5" s="1756" t="e">
        <f>0.5*(S18+2*AQ5)*LN(1+2*AQ5/S18)</f>
        <v>#VALUE!</v>
      </c>
      <c r="AT5" s="2324" t="s">
        <v>2473</v>
      </c>
      <c r="AU5" s="1815" t="s">
        <v>2474</v>
      </c>
      <c r="AV5" s="1816">
        <v>32</v>
      </c>
      <c r="AX5" s="1813" t="s">
        <v>376</v>
      </c>
      <c r="AY5" s="1813" t="s">
        <v>377</v>
      </c>
      <c r="AZ5" s="1812" t="s">
        <v>383</v>
      </c>
      <c r="BA5" s="1809"/>
      <c r="BB5" s="2333" t="s">
        <v>1246</v>
      </c>
      <c r="BC5" s="2334" t="s">
        <v>2467</v>
      </c>
      <c r="BD5" s="2303" t="s">
        <v>2468</v>
      </c>
      <c r="BE5" s="2303" t="s">
        <v>2469</v>
      </c>
      <c r="BF5" s="2335" t="s">
        <v>2470</v>
      </c>
      <c r="BG5" s="2335" t="s">
        <v>2471</v>
      </c>
      <c r="BH5" s="2335" t="s">
        <v>2472</v>
      </c>
    </row>
    <row r="6" spans="2:60" ht="13.5" customHeight="1">
      <c r="B6" s="1768"/>
      <c r="P6" s="1784"/>
      <c r="Q6" s="1744" t="s">
        <v>2417</v>
      </c>
      <c r="R6" s="1747" t="s">
        <v>2395</v>
      </c>
      <c r="S6" s="1430"/>
      <c r="T6" s="1711" t="s">
        <v>2414</v>
      </c>
      <c r="V6" s="1764"/>
      <c r="X6" s="1760"/>
      <c r="Y6" s="1760"/>
      <c r="Z6" s="1764"/>
      <c r="AA6" s="1764"/>
      <c r="AB6" s="1765">
        <v>1</v>
      </c>
      <c r="AC6" s="1765">
        <v>1</v>
      </c>
      <c r="AD6" s="1765">
        <v>1</v>
      </c>
      <c r="AE6" s="1765">
        <v>1</v>
      </c>
      <c r="AF6" s="1764">
        <v>2</v>
      </c>
      <c r="AG6" s="1764">
        <v>2</v>
      </c>
      <c r="AH6" s="1764">
        <v>2</v>
      </c>
      <c r="AI6" s="1764">
        <v>2</v>
      </c>
      <c r="AJ6" s="1764">
        <v>3</v>
      </c>
      <c r="AK6" s="1764">
        <v>3</v>
      </c>
      <c r="AM6" s="1755" t="s">
        <v>2397</v>
      </c>
      <c r="AQ6" s="1759">
        <f t="shared" ref="AQ6:AQ69" si="1">AQ5+1</f>
        <v>3</v>
      </c>
      <c r="AR6" s="1756" t="e">
        <f>0.5*(S18+2*AQ6)*LN(1+2*AQ6/S18)</f>
        <v>#VALUE!</v>
      </c>
      <c r="AT6" s="2325"/>
      <c r="AU6" s="1815" t="s">
        <v>2477</v>
      </c>
      <c r="AV6" s="1816">
        <v>40</v>
      </c>
      <c r="AX6" s="2300" t="s">
        <v>2528</v>
      </c>
      <c r="AY6" s="1814" t="s">
        <v>371</v>
      </c>
      <c r="AZ6" s="1827" t="s">
        <v>2529</v>
      </c>
      <c r="BA6" s="1809"/>
      <c r="BB6" s="2333"/>
      <c r="BC6" s="2334"/>
      <c r="BD6" s="2303"/>
      <c r="BE6" s="2303"/>
      <c r="BF6" s="2335"/>
      <c r="BG6" s="2335"/>
      <c r="BH6" s="2335"/>
    </row>
    <row r="7" spans="2:60">
      <c r="B7" s="1119"/>
      <c r="D7" s="1711" t="s">
        <v>2380</v>
      </c>
      <c r="E7" s="1430"/>
      <c r="P7" s="1784"/>
      <c r="Q7" s="1744" t="s">
        <v>2415</v>
      </c>
      <c r="R7" s="1746" t="s">
        <v>134</v>
      </c>
      <c r="S7" s="1713"/>
      <c r="T7" s="1711" t="s">
        <v>2413</v>
      </c>
      <c r="V7" s="1764"/>
      <c r="X7" s="1760"/>
      <c r="Y7" s="1760"/>
      <c r="Z7" s="1764"/>
      <c r="AA7" s="1764"/>
      <c r="AB7" s="1765">
        <v>2.4E-2</v>
      </c>
      <c r="AC7" s="1765">
        <v>2.4E-2</v>
      </c>
      <c r="AD7" s="1765">
        <v>0.04</v>
      </c>
      <c r="AE7" s="1765">
        <v>0.04</v>
      </c>
      <c r="AF7" s="1764">
        <v>2.4E-2</v>
      </c>
      <c r="AG7" s="1764">
        <v>2.4E-2</v>
      </c>
      <c r="AH7" s="1765">
        <v>0.04</v>
      </c>
      <c r="AI7" s="1765">
        <v>0.04</v>
      </c>
      <c r="AJ7" s="1764">
        <v>2.4E-2</v>
      </c>
      <c r="AK7" s="1764">
        <v>0.04</v>
      </c>
      <c r="AQ7" s="1759">
        <f t="shared" si="1"/>
        <v>4</v>
      </c>
      <c r="AR7" s="1756" t="e">
        <f>0.5*(S18+2*AQ7)*LN(1+2*AQ7/S18)</f>
        <v>#VALUE!</v>
      </c>
      <c r="AT7" s="2325"/>
      <c r="AU7" s="1815" t="s">
        <v>2479</v>
      </c>
      <c r="AV7" s="1816">
        <v>50</v>
      </c>
      <c r="AX7" s="2310"/>
      <c r="AY7" s="1814" t="s">
        <v>372</v>
      </c>
      <c r="AZ7" s="1828" t="s">
        <v>2530</v>
      </c>
      <c r="BA7" s="1809"/>
      <c r="BB7" s="2333"/>
      <c r="BC7" s="2334"/>
      <c r="BD7" s="2303" t="s">
        <v>2475</v>
      </c>
      <c r="BE7" s="2303" t="s">
        <v>2476</v>
      </c>
      <c r="BF7" s="2335"/>
      <c r="BG7" s="2335"/>
      <c r="BH7" s="2335"/>
    </row>
    <row r="8" spans="2:60" ht="13.5" customHeight="1">
      <c r="P8" s="1784"/>
      <c r="Q8" s="1744" t="s">
        <v>2416</v>
      </c>
      <c r="R8" s="1747" t="s">
        <v>2402</v>
      </c>
      <c r="S8" s="1713"/>
      <c r="T8" s="1711" t="s">
        <v>2412</v>
      </c>
      <c r="V8" s="1764"/>
      <c r="Z8" s="2340" t="s">
        <v>1212</v>
      </c>
      <c r="AA8" s="2340" t="s">
        <v>1213</v>
      </c>
      <c r="AB8" s="1765">
        <v>9</v>
      </c>
      <c r="AC8" s="1765">
        <v>13.5</v>
      </c>
      <c r="AD8" s="1765">
        <v>9</v>
      </c>
      <c r="AE8" s="1765">
        <v>13.5</v>
      </c>
      <c r="AF8" s="1764">
        <v>5.7</v>
      </c>
      <c r="AG8" s="1764">
        <v>10</v>
      </c>
      <c r="AH8" s="1764">
        <v>5.7</v>
      </c>
      <c r="AI8" s="1764">
        <v>10</v>
      </c>
      <c r="AJ8" s="1764" t="s">
        <v>243</v>
      </c>
      <c r="AK8" s="1764" t="s">
        <v>243</v>
      </c>
      <c r="AQ8" s="1759">
        <f t="shared" si="1"/>
        <v>5</v>
      </c>
      <c r="AR8" s="1756" t="e">
        <f>0.5*(S18+2*AQ8)*LN(1+2*AQ8/S18)</f>
        <v>#VALUE!</v>
      </c>
      <c r="AT8" s="2300" t="s">
        <v>2481</v>
      </c>
      <c r="AU8" s="2314" t="s">
        <v>1194</v>
      </c>
      <c r="AV8" s="2315">
        <v>50</v>
      </c>
      <c r="AX8" s="2310"/>
      <c r="AY8" s="1814" t="s">
        <v>2478</v>
      </c>
      <c r="AZ8" s="1830" t="s">
        <v>2531</v>
      </c>
      <c r="BA8" s="1809"/>
      <c r="BB8" s="2333"/>
      <c r="BC8" s="2334"/>
      <c r="BD8" s="2303"/>
      <c r="BE8" s="2303"/>
      <c r="BF8" s="2335"/>
      <c r="BG8" s="2335"/>
      <c r="BH8" s="2335"/>
    </row>
    <row r="9" spans="2:60" ht="13.5" customHeight="1">
      <c r="D9" s="1711" t="s">
        <v>2383</v>
      </c>
      <c r="E9" s="1717" t="str">
        <f>IF(E7&gt;0,VLOOKUP(E7,V15:W17,2,FALSE),"-")</f>
        <v>-</v>
      </c>
      <c r="F9" s="1711" t="s">
        <v>2401</v>
      </c>
      <c r="P9" s="1784"/>
      <c r="Q9" s="1744" t="s">
        <v>2427</v>
      </c>
      <c r="R9" s="1747" t="s">
        <v>2403</v>
      </c>
      <c r="S9" s="1713"/>
      <c r="T9" s="1711" t="s">
        <v>2412</v>
      </c>
      <c r="V9" s="1764"/>
      <c r="Z9" s="2341"/>
      <c r="AA9" s="2341"/>
      <c r="AB9" s="1764"/>
      <c r="AC9" s="1764"/>
      <c r="AD9" s="1764"/>
      <c r="AE9" s="1764"/>
      <c r="AF9" s="1764"/>
      <c r="AG9" s="1764"/>
      <c r="AH9" s="1764"/>
      <c r="AI9" s="1764"/>
      <c r="AJ9" s="1764"/>
      <c r="AK9" s="1764"/>
      <c r="AQ9" s="1759">
        <f t="shared" si="1"/>
        <v>6</v>
      </c>
      <c r="AR9" s="1756" t="e">
        <f>0.5*(S18+2*AQ9)*LN(1+2*AQ9/S18)</f>
        <v>#VALUE!</v>
      </c>
      <c r="AT9" s="2300"/>
      <c r="AU9" s="2314"/>
      <c r="AV9" s="2315"/>
      <c r="AX9" s="2310" t="s">
        <v>2532</v>
      </c>
      <c r="AY9" s="1815" t="s">
        <v>371</v>
      </c>
      <c r="AZ9" s="1829" t="s">
        <v>2533</v>
      </c>
      <c r="BA9" s="1809"/>
      <c r="BB9" s="2326" t="s">
        <v>1744</v>
      </c>
      <c r="BC9" s="2327" t="s">
        <v>2480</v>
      </c>
      <c r="BD9" s="2303" t="s">
        <v>372</v>
      </c>
      <c r="BE9" s="2303" t="s">
        <v>2526</v>
      </c>
      <c r="BF9" s="2335"/>
      <c r="BG9" s="2335"/>
      <c r="BH9" s="2335"/>
    </row>
    <row r="10" spans="2:60" ht="14.5">
      <c r="P10" s="1784"/>
      <c r="Q10" s="1744" t="s">
        <v>2411</v>
      </c>
      <c r="R10" s="1747" t="s">
        <v>2404</v>
      </c>
      <c r="S10" s="1713"/>
      <c r="T10" s="1711" t="s">
        <v>2412</v>
      </c>
      <c r="V10" s="1764"/>
      <c r="Z10" s="1765">
        <v>15</v>
      </c>
      <c r="AA10" s="1765">
        <v>21.3</v>
      </c>
      <c r="AB10" s="1764">
        <v>20</v>
      </c>
      <c r="AC10" s="1764">
        <v>15</v>
      </c>
      <c r="AD10" s="1764">
        <v>30</v>
      </c>
      <c r="AE10" s="1764">
        <v>22</v>
      </c>
      <c r="AF10" s="1764">
        <v>29</v>
      </c>
      <c r="AG10" s="1764">
        <v>19</v>
      </c>
      <c r="AH10" s="1764">
        <v>43</v>
      </c>
      <c r="AI10" s="1764">
        <v>28</v>
      </c>
      <c r="AJ10" s="1764">
        <v>13</v>
      </c>
      <c r="AK10" s="1764">
        <v>13</v>
      </c>
      <c r="AM10" s="1755" t="s">
        <v>1212</v>
      </c>
      <c r="AN10" s="1755" t="s">
        <v>1213</v>
      </c>
      <c r="AP10" s="1756" t="e">
        <f>IF(OR(AR10=S13,AR10&gt;S13),AR10,"")</f>
        <v>#VALUE!</v>
      </c>
      <c r="AQ10" s="1759">
        <f t="shared" si="1"/>
        <v>7</v>
      </c>
      <c r="AR10" s="1756" t="e">
        <f>0.5*(S18+2*AQ10)*LN(1+2*AQ10/S18)</f>
        <v>#VALUE!</v>
      </c>
      <c r="AT10" s="1815" t="s">
        <v>2483</v>
      </c>
      <c r="AU10" s="1815" t="s">
        <v>1194</v>
      </c>
      <c r="AV10" s="1816">
        <v>13</v>
      </c>
      <c r="AX10" s="2310"/>
      <c r="AY10" s="1814" t="s">
        <v>2482</v>
      </c>
      <c r="AZ10" s="1828" t="s">
        <v>2530</v>
      </c>
      <c r="BA10" s="1809"/>
      <c r="BB10" s="2326"/>
      <c r="BC10" s="2327"/>
      <c r="BD10" s="2303"/>
      <c r="BE10" s="2303"/>
      <c r="BF10" s="2335"/>
      <c r="BG10" s="2335"/>
      <c r="BH10" s="2335"/>
    </row>
    <row r="11" spans="2:60" ht="12" customHeight="1">
      <c r="D11" s="1711" t="s">
        <v>2381</v>
      </c>
      <c r="E11" s="1430"/>
      <c r="P11" s="1784"/>
      <c r="Q11" s="1711"/>
      <c r="R11" s="1711"/>
      <c r="S11" s="1711"/>
      <c r="T11" s="1711"/>
      <c r="V11" s="1764" t="s">
        <v>2372</v>
      </c>
      <c r="W11" s="1764">
        <v>1</v>
      </c>
      <c r="X11" s="1764">
        <f>IF(E5=0,3,MATCH(E5,V11:V13,0))</f>
        <v>3</v>
      </c>
      <c r="Y11" s="1764"/>
      <c r="Z11" s="1764">
        <v>20</v>
      </c>
      <c r="AA11" s="1764">
        <v>26.9</v>
      </c>
      <c r="AB11" s="1764">
        <v>21</v>
      </c>
      <c r="AC11" s="1764">
        <v>15</v>
      </c>
      <c r="AD11" s="1764">
        <v>32</v>
      </c>
      <c r="AE11" s="1764">
        <v>23</v>
      </c>
      <c r="AF11" s="1764">
        <v>31</v>
      </c>
      <c r="AG11" s="1764">
        <v>20</v>
      </c>
      <c r="AH11" s="1764">
        <v>46</v>
      </c>
      <c r="AI11" s="1764">
        <v>29</v>
      </c>
      <c r="AJ11" s="1764">
        <v>13</v>
      </c>
      <c r="AK11" s="1764">
        <v>13</v>
      </c>
      <c r="AP11" s="1756" t="e">
        <f>IF(OR(AR11=S13,AR11&gt;S13),AR11,"")</f>
        <v>#VALUE!</v>
      </c>
      <c r="AQ11" s="1759">
        <f t="shared" si="1"/>
        <v>8</v>
      </c>
      <c r="AR11" s="1756" t="e">
        <f>0.5*(S18+2*AQ11)*LN(1+2*AQ11/S18)</f>
        <v>#VALUE!</v>
      </c>
      <c r="AT11" s="1815" t="s">
        <v>2484</v>
      </c>
      <c r="AU11" s="1815" t="s">
        <v>1194</v>
      </c>
      <c r="AV11" s="1816">
        <v>20</v>
      </c>
      <c r="AX11" s="2300" t="s">
        <v>2534</v>
      </c>
      <c r="AY11" s="2310" t="s">
        <v>371</v>
      </c>
      <c r="AZ11" s="2316" t="s">
        <v>2535</v>
      </c>
      <c r="BA11" s="1809"/>
      <c r="BB11" s="2326"/>
      <c r="BC11" s="2327"/>
      <c r="BD11" s="2303"/>
      <c r="BE11" s="2303"/>
      <c r="BF11" s="2335"/>
      <c r="BG11" s="2335"/>
      <c r="BH11" s="2335"/>
    </row>
    <row r="12" spans="2:60">
      <c r="P12" s="1784"/>
      <c r="Q12" s="1744" t="s">
        <v>2418</v>
      </c>
      <c r="T12" s="1711"/>
      <c r="V12" s="1764" t="s">
        <v>2374</v>
      </c>
      <c r="W12" s="1764">
        <v>2</v>
      </c>
      <c r="X12" s="1764"/>
      <c r="Y12" s="1764"/>
      <c r="Z12" s="1764">
        <v>25</v>
      </c>
      <c r="AA12" s="1764">
        <v>33.700000000000003</v>
      </c>
      <c r="AB12" s="1764">
        <v>22</v>
      </c>
      <c r="AC12" s="1764">
        <v>16</v>
      </c>
      <c r="AD12" s="1764">
        <v>34</v>
      </c>
      <c r="AE12" s="1764">
        <v>24</v>
      </c>
      <c r="AF12" s="1764">
        <v>32</v>
      </c>
      <c r="AG12" s="1764">
        <v>21</v>
      </c>
      <c r="AH12" s="1764">
        <v>48</v>
      </c>
      <c r="AI12" s="1764">
        <v>31</v>
      </c>
      <c r="AJ12" s="1764">
        <v>13</v>
      </c>
      <c r="AK12" s="1764">
        <v>13</v>
      </c>
      <c r="AM12" s="1755" t="s">
        <v>0</v>
      </c>
      <c r="AN12" s="1755" t="s">
        <v>0</v>
      </c>
      <c r="AP12" s="1756" t="e">
        <f>IF(OR(AR12=S13,AR12&gt;S13),AR12,"")</f>
        <v>#VALUE!</v>
      </c>
      <c r="AQ12" s="1759">
        <f t="shared" si="1"/>
        <v>9</v>
      </c>
      <c r="AR12" s="1756" t="e">
        <f>0.5*(S18+2*AQ12)*LN(1+2*AQ12/S18)</f>
        <v>#VALUE!</v>
      </c>
      <c r="AT12" s="1815" t="s">
        <v>2486</v>
      </c>
      <c r="AU12" s="1815" t="s">
        <v>1194</v>
      </c>
      <c r="AV12" s="1817">
        <v>20</v>
      </c>
      <c r="AX12" s="2300"/>
      <c r="AY12" s="2310"/>
      <c r="AZ12" s="2316"/>
      <c r="BA12" s="1809"/>
      <c r="BB12" s="2326"/>
      <c r="BC12" s="2327"/>
      <c r="BD12" s="2303"/>
      <c r="BE12" s="2303"/>
      <c r="BF12" s="2335"/>
      <c r="BG12" s="2335"/>
      <c r="BH12" s="2335"/>
    </row>
    <row r="13" spans="2:60" ht="13.5" customHeight="1">
      <c r="D13" s="1711" t="s">
        <v>2382</v>
      </c>
      <c r="E13" s="1717" t="str">
        <f>IF(E11=0,"-",VLOOKUP(E11,V23:W24,2,FALSE))</f>
        <v>-</v>
      </c>
      <c r="F13" s="1711" t="s">
        <v>2413</v>
      </c>
      <c r="P13" s="1784"/>
      <c r="Q13" s="1749" t="s">
        <v>2398</v>
      </c>
      <c r="R13" s="1747" t="s">
        <v>2396</v>
      </c>
      <c r="S13" s="1753" t="str">
        <f>IF(S6*S7*S8*S9*S10=0,"-",1000*(S6/S7)*((S8-S9)/(S10-S8)))</f>
        <v>-</v>
      </c>
      <c r="T13" s="1711" t="s">
        <v>0</v>
      </c>
      <c r="V13" s="1764" t="s">
        <v>2375</v>
      </c>
      <c r="W13" s="1764">
        <v>3</v>
      </c>
      <c r="X13" s="1764"/>
      <c r="Y13" s="1764"/>
      <c r="Z13" s="1764">
        <v>32</v>
      </c>
      <c r="AA13" s="1764">
        <v>42.4</v>
      </c>
      <c r="AB13" s="1764">
        <v>23</v>
      </c>
      <c r="AC13" s="1764">
        <v>17</v>
      </c>
      <c r="AD13" s="1764">
        <v>35</v>
      </c>
      <c r="AE13" s="1764">
        <v>25</v>
      </c>
      <c r="AF13" s="1764">
        <v>34</v>
      </c>
      <c r="AG13" s="1764">
        <v>21</v>
      </c>
      <c r="AH13" s="1764">
        <v>50</v>
      </c>
      <c r="AI13" s="1764">
        <v>32</v>
      </c>
      <c r="AJ13" s="1764">
        <v>13</v>
      </c>
      <c r="AK13" s="1764">
        <v>25</v>
      </c>
      <c r="AM13" s="1755">
        <v>15</v>
      </c>
      <c r="AN13" s="1755">
        <v>21.4</v>
      </c>
      <c r="AP13" s="1756" t="e">
        <f>IF(OR(AR13=S13,AR13&gt;S13),AR13,"")</f>
        <v>#VALUE!</v>
      </c>
      <c r="AQ13" s="1759">
        <f t="shared" si="1"/>
        <v>10</v>
      </c>
      <c r="AR13" s="1756" t="e">
        <f>0.5*(S18+2*AQ13)*LN(1+2*AQ13/S18)</f>
        <v>#VALUE!</v>
      </c>
      <c r="AT13" s="2319" t="s">
        <v>2487</v>
      </c>
      <c r="AU13" s="1815" t="s">
        <v>2488</v>
      </c>
      <c r="AV13" s="1818">
        <v>35</v>
      </c>
      <c r="AX13" s="2300"/>
      <c r="AY13" s="2310"/>
      <c r="AZ13" s="2316"/>
      <c r="BA13" s="1809"/>
      <c r="BB13" s="2317" t="s">
        <v>1251</v>
      </c>
      <c r="BC13" s="2318" t="s">
        <v>2485</v>
      </c>
      <c r="BD13" s="2303" t="s">
        <v>2478</v>
      </c>
      <c r="BE13" s="2303" t="s">
        <v>2527</v>
      </c>
      <c r="BF13" s="2335"/>
      <c r="BG13" s="2335"/>
      <c r="BH13" s="2335"/>
    </row>
    <row r="14" spans="2:60">
      <c r="P14" s="1784"/>
      <c r="V14" s="1764"/>
      <c r="W14" s="1764"/>
      <c r="X14" s="1764"/>
      <c r="Y14" s="1764"/>
      <c r="Z14" s="1764">
        <v>40</v>
      </c>
      <c r="AA14" s="1764">
        <v>48.3</v>
      </c>
      <c r="AB14" s="1764">
        <v>24</v>
      </c>
      <c r="AC14" s="1764">
        <v>17</v>
      </c>
      <c r="AD14" s="1764">
        <v>36</v>
      </c>
      <c r="AE14" s="1764">
        <v>26</v>
      </c>
      <c r="AF14" s="1764">
        <v>35</v>
      </c>
      <c r="AG14" s="1764">
        <v>22</v>
      </c>
      <c r="AH14" s="1764">
        <v>52</v>
      </c>
      <c r="AI14" s="1764">
        <v>33</v>
      </c>
      <c r="AJ14" s="1764">
        <v>13</v>
      </c>
      <c r="AK14" s="1764">
        <v>25</v>
      </c>
      <c r="AM14" s="1755">
        <v>20</v>
      </c>
      <c r="AN14" s="1755">
        <v>26.9</v>
      </c>
      <c r="AP14" s="1756" t="e">
        <f>IF(OR(AR14=S13,AR14&gt;S13),AR14,"")</f>
        <v>#VALUE!</v>
      </c>
      <c r="AQ14" s="1759">
        <f t="shared" si="1"/>
        <v>11</v>
      </c>
      <c r="AR14" s="1756" t="e">
        <f>0.5*(S18+2*AQ14)*LN(1+2*AQ14/S18)</f>
        <v>#VALUE!</v>
      </c>
      <c r="AT14" s="2320"/>
      <c r="AU14" s="1815" t="s">
        <v>2491</v>
      </c>
      <c r="AV14" s="1818">
        <v>45</v>
      </c>
      <c r="AX14" s="1815" t="s">
        <v>2536</v>
      </c>
      <c r="AY14" s="1815" t="s">
        <v>373</v>
      </c>
      <c r="AZ14" s="1833" t="s">
        <v>2537</v>
      </c>
      <c r="BA14" s="1809"/>
      <c r="BB14" s="2317"/>
      <c r="BC14" s="2318"/>
      <c r="BD14" s="2303"/>
      <c r="BE14" s="2303"/>
      <c r="BF14" s="2335"/>
      <c r="BG14" s="2335"/>
      <c r="BH14" s="2335"/>
    </row>
    <row r="15" spans="2:60">
      <c r="D15" s="2339" t="s">
        <v>2385</v>
      </c>
      <c r="E15" s="2339"/>
      <c r="F15" s="2339"/>
      <c r="H15" s="2339" t="s">
        <v>2387</v>
      </c>
      <c r="I15" s="2339"/>
      <c r="K15" s="2339" t="s">
        <v>2388</v>
      </c>
      <c r="L15" s="2339"/>
      <c r="M15" s="2339"/>
      <c r="N15" s="2339"/>
      <c r="P15" s="1784"/>
      <c r="Q15" s="2343" t="s">
        <v>2422</v>
      </c>
      <c r="R15" s="2344"/>
      <c r="S15" s="2344"/>
      <c r="T15" s="2345"/>
      <c r="V15" s="1764" t="s">
        <v>345</v>
      </c>
      <c r="W15" s="1764">
        <v>2.4E-2</v>
      </c>
      <c r="X15" s="1764"/>
      <c r="Y15" s="1764"/>
      <c r="Z15" s="1764">
        <v>50</v>
      </c>
      <c r="AA15" s="1764">
        <v>60.3</v>
      </c>
      <c r="AB15" s="1764">
        <v>25</v>
      </c>
      <c r="AC15" s="1764">
        <v>18</v>
      </c>
      <c r="AD15" s="1764">
        <v>38</v>
      </c>
      <c r="AE15" s="1764">
        <v>27</v>
      </c>
      <c r="AF15" s="1764">
        <v>36</v>
      </c>
      <c r="AG15" s="1764">
        <v>23</v>
      </c>
      <c r="AH15" s="1764">
        <v>54</v>
      </c>
      <c r="AI15" s="1764">
        <v>35</v>
      </c>
      <c r="AJ15" s="1764">
        <v>13</v>
      </c>
      <c r="AK15" s="1764">
        <v>25</v>
      </c>
      <c r="AM15" s="1755">
        <v>25</v>
      </c>
      <c r="AN15" s="1755">
        <v>33.799999999999997</v>
      </c>
      <c r="AP15" s="1756" t="e">
        <f>IF(OR(AR15=S13,AR15&gt;S13),AR15,"")</f>
        <v>#VALUE!</v>
      </c>
      <c r="AQ15" s="1759">
        <f t="shared" si="1"/>
        <v>12</v>
      </c>
      <c r="AR15" s="1756" t="e">
        <f>0.5*(S18+2*AQ15)*LN(1+2*AQ15/S18)</f>
        <v>#VALUE!</v>
      </c>
      <c r="AT15" s="2321"/>
      <c r="AU15" s="1815" t="s">
        <v>2493</v>
      </c>
      <c r="AV15" s="1818">
        <v>65</v>
      </c>
      <c r="AX15" s="1815" t="s">
        <v>374</v>
      </c>
      <c r="AY15" s="1815" t="s">
        <v>375</v>
      </c>
      <c r="AZ15" s="1831" t="s">
        <v>2538</v>
      </c>
      <c r="BA15" s="1809"/>
      <c r="BB15" s="2322" t="s">
        <v>1253</v>
      </c>
      <c r="BC15" s="2323" t="s">
        <v>2489</v>
      </c>
      <c r="BD15" s="2303" t="s">
        <v>371</v>
      </c>
      <c r="BE15" s="2303" t="s">
        <v>2490</v>
      </c>
      <c r="BF15" s="2335"/>
      <c r="BG15" s="2335"/>
      <c r="BH15" s="2335"/>
    </row>
    <row r="16" spans="2:60" ht="12" customHeight="1">
      <c r="D16" s="1850" t="s">
        <v>1212</v>
      </c>
      <c r="E16" s="1850" t="s">
        <v>1213</v>
      </c>
      <c r="F16" s="1850" t="s">
        <v>2430</v>
      </c>
      <c r="H16" s="1866" t="s">
        <v>2405</v>
      </c>
      <c r="I16" s="1850" t="s">
        <v>2430</v>
      </c>
      <c r="K16" s="1863" t="s">
        <v>1213</v>
      </c>
      <c r="L16" s="1866" t="s">
        <v>2430</v>
      </c>
      <c r="M16" s="2352"/>
      <c r="N16" s="2353"/>
      <c r="P16" s="1784"/>
      <c r="Q16" s="1769"/>
      <c r="T16" s="1770"/>
      <c r="V16" s="1764" t="s">
        <v>2376</v>
      </c>
      <c r="W16" s="1764">
        <v>0.04</v>
      </c>
      <c r="X16" s="1764"/>
      <c r="Y16" s="1764"/>
      <c r="Z16" s="1764">
        <v>65</v>
      </c>
      <c r="AA16" s="1764">
        <v>76.099999999999994</v>
      </c>
      <c r="AB16" s="1764">
        <v>26</v>
      </c>
      <c r="AC16" s="1764">
        <v>18</v>
      </c>
      <c r="AD16" s="1764">
        <v>40</v>
      </c>
      <c r="AE16" s="1764">
        <v>28</v>
      </c>
      <c r="AF16" s="1764">
        <v>38</v>
      </c>
      <c r="AG16" s="1764">
        <v>24</v>
      </c>
      <c r="AH16" s="1764">
        <v>57</v>
      </c>
      <c r="AI16" s="1764">
        <v>36</v>
      </c>
      <c r="AJ16" s="1764">
        <v>14</v>
      </c>
      <c r="AK16" s="1764">
        <v>25</v>
      </c>
      <c r="AM16" s="1755">
        <v>32</v>
      </c>
      <c r="AN16" s="1755">
        <v>42.5</v>
      </c>
      <c r="AP16" s="1756" t="e">
        <f>IF(OR(AR16=S13,AR16&gt;S13),AR16,"")</f>
        <v>#VALUE!</v>
      </c>
      <c r="AQ16" s="1759">
        <f t="shared" si="1"/>
        <v>13</v>
      </c>
      <c r="AR16" s="1756" t="e">
        <f>0.5*(S18+2*AQ16)*LN(1+2*AQ16/S18)</f>
        <v>#VALUE!</v>
      </c>
      <c r="AT16" s="2301" t="s">
        <v>2494</v>
      </c>
      <c r="AU16" s="1815" t="s">
        <v>2495</v>
      </c>
      <c r="AV16" s="1819">
        <v>76</v>
      </c>
      <c r="AX16" s="2310" t="s">
        <v>2492</v>
      </c>
      <c r="AY16" s="1815" t="s">
        <v>371</v>
      </c>
      <c r="AZ16" s="1832" t="s">
        <v>2535</v>
      </c>
      <c r="BA16" s="1809"/>
      <c r="BB16" s="2322"/>
      <c r="BC16" s="2323"/>
      <c r="BD16" s="2303"/>
      <c r="BE16" s="2303"/>
      <c r="BF16" s="2335"/>
      <c r="BG16" s="2335"/>
      <c r="BH16" s="2335"/>
    </row>
    <row r="17" spans="4:60">
      <c r="D17" s="1850"/>
      <c r="E17" s="1850"/>
      <c r="F17" s="1850"/>
      <c r="H17" s="1864"/>
      <c r="I17" s="1850"/>
      <c r="K17" s="1945"/>
      <c r="L17" s="1867"/>
      <c r="M17" s="2354"/>
      <c r="N17" s="2355"/>
      <c r="P17" s="1784"/>
      <c r="Q17" s="1769" t="s">
        <v>367</v>
      </c>
      <c r="R17" s="1119"/>
      <c r="S17" s="1743"/>
      <c r="T17" s="1771"/>
      <c r="V17" s="1764" t="s">
        <v>2377</v>
      </c>
      <c r="W17" s="1764">
        <v>0.04</v>
      </c>
      <c r="X17" s="1764"/>
      <c r="Y17" s="1764"/>
      <c r="Z17" s="1764">
        <v>80</v>
      </c>
      <c r="AA17" s="1764">
        <v>88.9</v>
      </c>
      <c r="AB17" s="1764">
        <v>26</v>
      </c>
      <c r="AC17" s="1764">
        <v>19</v>
      </c>
      <c r="AD17" s="1764">
        <v>41</v>
      </c>
      <c r="AE17" s="1764">
        <v>29</v>
      </c>
      <c r="AF17" s="1764">
        <v>39</v>
      </c>
      <c r="AG17" s="1764">
        <v>24</v>
      </c>
      <c r="AH17" s="1764">
        <v>59</v>
      </c>
      <c r="AI17" s="1764">
        <v>37</v>
      </c>
      <c r="AJ17" s="1764">
        <v>14</v>
      </c>
      <c r="AK17" s="1764">
        <v>25</v>
      </c>
      <c r="AM17" s="1755">
        <v>40</v>
      </c>
      <c r="AN17" s="1755">
        <v>48.4</v>
      </c>
      <c r="AP17" s="1756" t="e">
        <f>IF(OR(AR17=S13,AR17&gt;S13),AR17,"")</f>
        <v>#VALUE!</v>
      </c>
      <c r="AQ17" s="1759">
        <f t="shared" si="1"/>
        <v>14</v>
      </c>
      <c r="AR17" s="1756" t="e">
        <f>0.5*(S18+2*AQ17)*LN(1+2*AQ17/S18)</f>
        <v>#VALUE!</v>
      </c>
      <c r="AT17" s="2302"/>
      <c r="AU17" s="1815" t="s">
        <v>2499</v>
      </c>
      <c r="AV17" s="1819">
        <v>100</v>
      </c>
      <c r="AX17" s="2310"/>
      <c r="AY17" s="1814" t="s">
        <v>2482</v>
      </c>
      <c r="AZ17" s="1834" t="s">
        <v>2539</v>
      </c>
      <c r="BA17" s="1809"/>
      <c r="BB17" s="2322"/>
      <c r="BC17" s="2323"/>
      <c r="BD17" s="2303"/>
      <c r="BE17" s="2303"/>
      <c r="BF17" s="2335"/>
      <c r="BG17" s="2335"/>
      <c r="BH17" s="2335"/>
    </row>
    <row r="18" spans="4:60" ht="13.5" customHeight="1">
      <c r="D18" s="1718">
        <v>15</v>
      </c>
      <c r="E18" s="1719">
        <v>21.3</v>
      </c>
      <c r="F18" s="1720" t="str">
        <f t="shared" ref="F18:F33" si="2">IF(SUM(AB27:AK27)=0,"-",SUM(AB27:AK27))</f>
        <v>-</v>
      </c>
      <c r="H18" s="1721">
        <v>10</v>
      </c>
      <c r="I18" s="1720" t="str">
        <f>IF(SUM(AB54:AK54)=0,"-",SUM(AB54:AK54))</f>
        <v>-</v>
      </c>
      <c r="K18" s="1945"/>
      <c r="L18" s="1850" t="s">
        <v>2389</v>
      </c>
      <c r="M18" s="1850"/>
      <c r="N18" s="1850"/>
      <c r="P18" s="1784"/>
      <c r="Q18" s="1772" t="s">
        <v>2410</v>
      </c>
      <c r="R18" s="1746" t="s">
        <v>2406</v>
      </c>
      <c r="S18" s="1748" t="str">
        <f>IF(S17=0,"-",VLOOKUP(S17,AM13:AN45,2,FALSE))</f>
        <v>-</v>
      </c>
      <c r="T18" s="1773" t="s">
        <v>0</v>
      </c>
      <c r="V18" s="1764"/>
      <c r="W18" s="1764"/>
      <c r="X18" s="1764"/>
      <c r="Y18" s="1764"/>
      <c r="Z18" s="1764">
        <v>100</v>
      </c>
      <c r="AA18" s="1764">
        <v>114.3</v>
      </c>
      <c r="AB18" s="1764">
        <v>27</v>
      </c>
      <c r="AC18" s="1764">
        <v>19</v>
      </c>
      <c r="AD18" s="1764">
        <v>42</v>
      </c>
      <c r="AE18" s="1764">
        <v>30</v>
      </c>
      <c r="AF18" s="1764">
        <v>41</v>
      </c>
      <c r="AG18" s="1764">
        <v>25</v>
      </c>
      <c r="AH18" s="1764">
        <v>62</v>
      </c>
      <c r="AI18" s="1764">
        <v>39</v>
      </c>
      <c r="AJ18" s="1764">
        <v>14</v>
      </c>
      <c r="AK18" s="1764">
        <v>25</v>
      </c>
      <c r="AM18" s="1755">
        <v>50</v>
      </c>
      <c r="AN18" s="1755">
        <v>60.3</v>
      </c>
      <c r="AP18" s="1756" t="e">
        <f>IF(OR(AR18=S13,AR18&gt;S13),AR18,"")</f>
        <v>#VALUE!</v>
      </c>
      <c r="AQ18" s="1759">
        <f t="shared" si="1"/>
        <v>15</v>
      </c>
      <c r="AR18" s="1756" t="e">
        <f>0.5*(S18+2*AQ18)*LN(1+2*AQ18/S18)</f>
        <v>#VALUE!</v>
      </c>
      <c r="AT18" s="2301" t="s">
        <v>2500</v>
      </c>
      <c r="AU18" s="1815" t="s">
        <v>2501</v>
      </c>
      <c r="AV18" s="1820">
        <v>40</v>
      </c>
      <c r="AX18" s="1815" t="s">
        <v>2496</v>
      </c>
      <c r="AY18" s="1815" t="s">
        <v>371</v>
      </c>
      <c r="AZ18" s="1835" t="s">
        <v>2540</v>
      </c>
      <c r="BA18" s="1809"/>
      <c r="BB18" s="2336" t="s">
        <v>2497</v>
      </c>
      <c r="BC18" s="2337" t="s">
        <v>2467</v>
      </c>
      <c r="BD18" s="2303" t="s">
        <v>2468</v>
      </c>
      <c r="BE18" s="2303" t="s">
        <v>2498</v>
      </c>
      <c r="BF18" s="2335"/>
      <c r="BG18" s="2335"/>
      <c r="BH18" s="2335"/>
    </row>
    <row r="19" spans="4:60" ht="13.5" customHeight="1">
      <c r="D19" s="1724">
        <v>20</v>
      </c>
      <c r="E19" s="1725">
        <v>26.9</v>
      </c>
      <c r="F19" s="1726" t="str">
        <f t="shared" si="2"/>
        <v>-</v>
      </c>
      <c r="H19" s="1727">
        <v>15</v>
      </c>
      <c r="I19" s="1726" t="str">
        <f>IF(SUM(AB55:AK55)=0,"-",SUM(AB55:AK55))</f>
        <v>-</v>
      </c>
      <c r="K19" s="1864"/>
      <c r="L19" s="1709" t="s">
        <v>2390</v>
      </c>
      <c r="M19" s="1712" t="s">
        <v>2391</v>
      </c>
      <c r="N19" s="1712" t="s">
        <v>2392</v>
      </c>
      <c r="P19" s="1784"/>
      <c r="Q19" s="1769"/>
      <c r="T19" s="1770"/>
      <c r="V19" s="1764"/>
      <c r="W19" s="1764" t="s">
        <v>134</v>
      </c>
      <c r="X19" s="1764" t="s">
        <v>134</v>
      </c>
      <c r="Y19" s="1764"/>
      <c r="Z19" s="1764">
        <v>125</v>
      </c>
      <c r="AA19" s="1764">
        <v>139.69999999999999</v>
      </c>
      <c r="AB19" s="1764">
        <v>28</v>
      </c>
      <c r="AC19" s="1764">
        <v>20</v>
      </c>
      <c r="AD19" s="1764">
        <v>44</v>
      </c>
      <c r="AE19" s="1764">
        <v>31</v>
      </c>
      <c r="AF19" s="1764">
        <v>42</v>
      </c>
      <c r="AG19" s="1764">
        <v>26</v>
      </c>
      <c r="AH19" s="1764">
        <v>64</v>
      </c>
      <c r="AI19" s="1764">
        <v>40</v>
      </c>
      <c r="AJ19" s="1764">
        <v>14</v>
      </c>
      <c r="AK19" s="1764">
        <v>25</v>
      </c>
      <c r="AM19" s="1755">
        <v>65</v>
      </c>
      <c r="AN19" s="1755">
        <v>76</v>
      </c>
      <c r="AP19" s="1756" t="e">
        <f>IF(OR(AR19=S13,AR19&gt;S13),AR19,"")</f>
        <v>#VALUE!</v>
      </c>
      <c r="AQ19" s="1759">
        <f t="shared" si="1"/>
        <v>16</v>
      </c>
      <c r="AR19" s="1756" t="e">
        <f>0.5*(S18+2*AQ19)*LN(1+2*AQ19/S18)</f>
        <v>#VALUE!</v>
      </c>
      <c r="AT19" s="2302"/>
      <c r="AU19" s="1815" t="s">
        <v>2503</v>
      </c>
      <c r="AV19" s="1820">
        <v>51</v>
      </c>
      <c r="AX19" s="1809"/>
      <c r="AY19" s="1809"/>
      <c r="AZ19" s="1809"/>
      <c r="BA19" s="1809"/>
      <c r="BB19" s="2336"/>
      <c r="BC19" s="2337"/>
      <c r="BD19" s="2303"/>
      <c r="BE19" s="2303"/>
      <c r="BF19" s="2335"/>
      <c r="BG19" s="2335"/>
      <c r="BH19" s="2335"/>
    </row>
    <row r="20" spans="4:60">
      <c r="D20" s="1730">
        <v>25</v>
      </c>
      <c r="E20" s="1731">
        <v>33.700000000000003</v>
      </c>
      <c r="F20" s="1732" t="str">
        <f t="shared" si="2"/>
        <v>-</v>
      </c>
      <c r="H20" s="1733">
        <v>20</v>
      </c>
      <c r="I20" s="1734" t="str">
        <f>IF(SUM(AB56:AK56)=0,"-",SUM(AB56:AK56))</f>
        <v>-</v>
      </c>
      <c r="K20" s="1721">
        <v>6</v>
      </c>
      <c r="L20" s="1722" t="str">
        <f t="shared" ref="L20:L30" si="3">IF(SUM(AB100:AK100)=0,"-",SUM(AB100:AK100))</f>
        <v>-</v>
      </c>
      <c r="M20" s="1723" t="str">
        <f t="shared" ref="M20:M30" si="4">IF(SUM(AB112:AK112)=0,"-",SUM(AB112:AK112))</f>
        <v>-</v>
      </c>
      <c r="N20" s="1722" t="str">
        <f t="shared" ref="N20:N30" si="5">IF(SUM(AB124:AK124)=0,"-",SUM(AB124:AK124))</f>
        <v>-</v>
      </c>
      <c r="P20" s="1784"/>
      <c r="Q20" s="2346" t="s">
        <v>2420</v>
      </c>
      <c r="R20" s="2347"/>
      <c r="S20" s="2347"/>
      <c r="T20" s="2348"/>
      <c r="V20" s="1764" t="s">
        <v>2372</v>
      </c>
      <c r="W20" s="1764">
        <v>9</v>
      </c>
      <c r="X20" s="1764">
        <v>13.5</v>
      </c>
      <c r="Y20" s="1764"/>
      <c r="Z20" s="1764">
        <v>150</v>
      </c>
      <c r="AA20" s="1764">
        <v>168.3</v>
      </c>
      <c r="AB20" s="1764">
        <v>29</v>
      </c>
      <c r="AC20" s="1764">
        <v>20</v>
      </c>
      <c r="AD20" s="1764">
        <v>45</v>
      </c>
      <c r="AE20" s="1764">
        <v>32</v>
      </c>
      <c r="AF20" s="1764">
        <v>43</v>
      </c>
      <c r="AG20" s="1764">
        <v>26</v>
      </c>
      <c r="AH20" s="1764">
        <v>66</v>
      </c>
      <c r="AI20" s="1764">
        <v>41</v>
      </c>
      <c r="AJ20" s="1764">
        <v>14</v>
      </c>
      <c r="AK20" s="1764">
        <v>25</v>
      </c>
      <c r="AM20" s="1755">
        <v>80</v>
      </c>
      <c r="AN20" s="1755">
        <v>88.8</v>
      </c>
      <c r="AP20" s="1756" t="e">
        <f>IF(OR(AR20=S13,AR20&gt;S13),AR20,"")</f>
        <v>#VALUE!</v>
      </c>
      <c r="AQ20" s="1759">
        <f t="shared" si="1"/>
        <v>17</v>
      </c>
      <c r="AR20" s="1756" t="e">
        <f>0.5*(S18+2*AQ20)*LN(1+2*AQ20/S18)</f>
        <v>#VALUE!</v>
      </c>
      <c r="AT20" s="1815" t="s">
        <v>1195</v>
      </c>
      <c r="AU20" s="1815" t="s">
        <v>1191</v>
      </c>
      <c r="AV20" s="1825">
        <v>50</v>
      </c>
      <c r="AX20" s="1821" t="s">
        <v>2371</v>
      </c>
      <c r="AY20" s="1822"/>
      <c r="AZ20" s="1823"/>
      <c r="BA20" s="1809"/>
      <c r="BB20" s="2336"/>
      <c r="BC20" s="2337"/>
      <c r="BD20" s="2303" t="s">
        <v>2475</v>
      </c>
      <c r="BE20" s="2303" t="s">
        <v>2502</v>
      </c>
      <c r="BF20" s="2335"/>
      <c r="BG20" s="2335"/>
      <c r="BH20" s="2335"/>
    </row>
    <row r="21" spans="4:60" ht="13.5" customHeight="1">
      <c r="D21" s="1724">
        <v>32</v>
      </c>
      <c r="E21" s="1725">
        <v>42.4</v>
      </c>
      <c r="F21" s="1726" t="str">
        <f t="shared" si="2"/>
        <v>-</v>
      </c>
      <c r="H21" s="2350" t="s">
        <v>2386</v>
      </c>
      <c r="I21" s="2350"/>
      <c r="K21" s="1727">
        <v>8</v>
      </c>
      <c r="L21" s="1728" t="str">
        <f t="shared" si="3"/>
        <v>-</v>
      </c>
      <c r="M21" s="1729" t="str">
        <f t="shared" si="4"/>
        <v>-</v>
      </c>
      <c r="N21" s="1728" t="str">
        <f t="shared" si="5"/>
        <v>-</v>
      </c>
      <c r="P21" s="1784"/>
      <c r="Q21" s="1774" t="s">
        <v>2399</v>
      </c>
      <c r="R21" s="1747" t="s">
        <v>2407</v>
      </c>
      <c r="S21" s="1750" t="str">
        <f>IF(S17=0,"-",MIN(AP4:AP5003))</f>
        <v>-</v>
      </c>
      <c r="T21" s="1770" t="s">
        <v>0</v>
      </c>
      <c r="V21" s="1764" t="s">
        <v>2374</v>
      </c>
      <c r="W21" s="1764">
        <v>5.7</v>
      </c>
      <c r="X21" s="1764">
        <v>10</v>
      </c>
      <c r="Y21" s="1764"/>
      <c r="Z21" s="1764">
        <v>200</v>
      </c>
      <c r="AA21" s="1764">
        <v>219.1</v>
      </c>
      <c r="AB21" s="1764">
        <v>29</v>
      </c>
      <c r="AC21" s="1764">
        <v>20</v>
      </c>
      <c r="AD21" s="1764">
        <v>47</v>
      </c>
      <c r="AE21" s="1764">
        <v>32</v>
      </c>
      <c r="AF21" s="1764">
        <v>44</v>
      </c>
      <c r="AG21" s="1764">
        <v>27</v>
      </c>
      <c r="AH21" s="1764">
        <v>69</v>
      </c>
      <c r="AI21" s="1764">
        <v>42</v>
      </c>
      <c r="AJ21" s="1764">
        <v>15</v>
      </c>
      <c r="AK21" s="1764">
        <v>25</v>
      </c>
      <c r="AM21" s="1755">
        <v>100</v>
      </c>
      <c r="AN21" s="1755">
        <v>114.1</v>
      </c>
      <c r="AP21" s="1756" t="e">
        <f>IF(OR(AR21=S13,AR21&gt;S13),AR21,"")</f>
        <v>#VALUE!</v>
      </c>
      <c r="AQ21" s="1759">
        <f t="shared" si="1"/>
        <v>18</v>
      </c>
      <c r="AR21" s="1756" t="e">
        <f>0.5*(S18+2*AQ21)*LN(1+2*AQ21/S18)</f>
        <v>#VALUE!</v>
      </c>
      <c r="AT21" s="2301" t="s">
        <v>1196</v>
      </c>
      <c r="AU21" s="1815" t="s">
        <v>1197</v>
      </c>
      <c r="AV21" s="1825">
        <v>25</v>
      </c>
      <c r="AX21" s="1824" t="s">
        <v>341</v>
      </c>
      <c r="AY21" s="1824" t="s">
        <v>369</v>
      </c>
      <c r="AZ21" s="1824" t="s">
        <v>340</v>
      </c>
      <c r="BA21" s="1809"/>
      <c r="BB21" s="2336"/>
      <c r="BC21" s="2337"/>
      <c r="BD21" s="2303"/>
      <c r="BE21" s="2303"/>
      <c r="BF21" s="2335"/>
      <c r="BG21" s="2335"/>
      <c r="BH21" s="2335"/>
    </row>
    <row r="22" spans="4:60">
      <c r="D22" s="1730">
        <v>40</v>
      </c>
      <c r="E22" s="1731">
        <v>48.3</v>
      </c>
      <c r="F22" s="1732" t="str">
        <f t="shared" si="2"/>
        <v>-</v>
      </c>
      <c r="H22" s="2351"/>
      <c r="I22" s="2351"/>
      <c r="K22" s="1735">
        <v>10</v>
      </c>
      <c r="L22" s="1736" t="str">
        <f t="shared" si="3"/>
        <v>-</v>
      </c>
      <c r="M22" s="1737" t="str">
        <f t="shared" si="4"/>
        <v>-</v>
      </c>
      <c r="N22" s="1736" t="str">
        <f t="shared" si="5"/>
        <v>-</v>
      </c>
      <c r="P22" s="1784"/>
      <c r="Q22" s="1769"/>
      <c r="T22" s="1770"/>
      <c r="V22" s="1764"/>
      <c r="W22" s="1764"/>
      <c r="X22" s="1764"/>
      <c r="Y22" s="1764"/>
      <c r="Z22" s="1764">
        <v>250</v>
      </c>
      <c r="AA22" s="1764">
        <v>273</v>
      </c>
      <c r="AB22" s="1764">
        <v>30</v>
      </c>
      <c r="AC22" s="1764">
        <v>21</v>
      </c>
      <c r="AD22" s="1764">
        <v>48</v>
      </c>
      <c r="AE22" s="1764">
        <v>33</v>
      </c>
      <c r="AF22" s="1764">
        <v>45</v>
      </c>
      <c r="AG22" s="1764">
        <v>27</v>
      </c>
      <c r="AH22" s="1764">
        <v>71</v>
      </c>
      <c r="AI22" s="1764">
        <v>43</v>
      </c>
      <c r="AJ22" s="1764">
        <v>15</v>
      </c>
      <c r="AK22" s="1764">
        <v>25</v>
      </c>
      <c r="AM22" s="1755">
        <v>125</v>
      </c>
      <c r="AN22" s="1755">
        <v>139.65</v>
      </c>
      <c r="AP22" s="1756" t="e">
        <f>IF(OR(AR22=S13,AR22&gt;S13),AR22,"")</f>
        <v>#VALUE!</v>
      </c>
      <c r="AQ22" s="1759">
        <f t="shared" si="1"/>
        <v>19</v>
      </c>
      <c r="AR22" s="1756" t="e">
        <f>0.5*(S18+2*AQ22)*LN(1+2*AQ22/S18)</f>
        <v>#VALUE!</v>
      </c>
      <c r="AT22" s="2302"/>
      <c r="AU22" s="1815" t="s">
        <v>1198</v>
      </c>
      <c r="AV22" s="1825">
        <v>25</v>
      </c>
      <c r="AX22" s="2310" t="s">
        <v>348</v>
      </c>
      <c r="AY22" s="2310" t="s">
        <v>339</v>
      </c>
      <c r="AZ22" s="2300" t="s">
        <v>378</v>
      </c>
      <c r="BA22" s="1809"/>
      <c r="BB22" s="2311" t="s">
        <v>2504</v>
      </c>
      <c r="BC22" s="2312" t="s">
        <v>2505</v>
      </c>
      <c r="BD22" s="2303" t="s">
        <v>371</v>
      </c>
      <c r="BE22" s="2303" t="s">
        <v>2506</v>
      </c>
      <c r="BF22" s="2303" t="s">
        <v>2507</v>
      </c>
      <c r="BG22" s="2303" t="s">
        <v>2508</v>
      </c>
      <c r="BH22" s="2303" t="s">
        <v>2509</v>
      </c>
    </row>
    <row r="23" spans="4:60" ht="15" customHeight="1">
      <c r="D23" s="1724">
        <v>50</v>
      </c>
      <c r="E23" s="1725">
        <v>60.3</v>
      </c>
      <c r="F23" s="1726" t="str">
        <f t="shared" si="2"/>
        <v>-</v>
      </c>
      <c r="H23" s="2351"/>
      <c r="I23" s="2351"/>
      <c r="K23" s="1727">
        <v>12</v>
      </c>
      <c r="L23" s="1728" t="str">
        <f t="shared" si="3"/>
        <v>-</v>
      </c>
      <c r="M23" s="1729" t="str">
        <f t="shared" si="4"/>
        <v>-</v>
      </c>
      <c r="N23" s="1728" t="str">
        <f t="shared" si="5"/>
        <v>-</v>
      </c>
      <c r="P23" s="1784"/>
      <c r="Q23" s="1769" t="s">
        <v>2419</v>
      </c>
      <c r="R23" s="1746" t="s">
        <v>2408</v>
      </c>
      <c r="S23" s="1754" t="str">
        <f>IF(S21="-","-",VLOOKUP(S21,AP4:AR5003,2))</f>
        <v>-</v>
      </c>
      <c r="T23" s="1770" t="s">
        <v>0</v>
      </c>
      <c r="V23" s="1764" t="s">
        <v>2378</v>
      </c>
      <c r="W23" s="1764" t="str">
        <f>IF(X11=1,W20,IF(X11=2,W21,IF(X11=3,"Any","-")))</f>
        <v>Any</v>
      </c>
      <c r="X23" s="1764" t="str">
        <f>IF(E13="Any",1,E13)</f>
        <v>-</v>
      </c>
      <c r="Y23" s="1764"/>
      <c r="Z23" s="1764">
        <v>300</v>
      </c>
      <c r="AA23" s="1764">
        <v>323.89999999999998</v>
      </c>
      <c r="AB23" s="1764">
        <v>30</v>
      </c>
      <c r="AC23" s="1764">
        <v>21</v>
      </c>
      <c r="AD23" s="1764">
        <v>49</v>
      </c>
      <c r="AE23" s="1764">
        <v>34</v>
      </c>
      <c r="AF23" s="1764">
        <v>46</v>
      </c>
      <c r="AG23" s="1764">
        <v>28</v>
      </c>
      <c r="AH23" s="1764">
        <v>73</v>
      </c>
      <c r="AI23" s="1764">
        <v>44</v>
      </c>
      <c r="AJ23" s="1764">
        <v>15</v>
      </c>
      <c r="AK23" s="1764">
        <v>25</v>
      </c>
      <c r="AM23" s="1755">
        <v>150</v>
      </c>
      <c r="AN23" s="1755">
        <v>165.1</v>
      </c>
      <c r="AP23" s="1756" t="e">
        <f>IF(OR(AR23=S13,AR23&gt;S13),AR23,"")</f>
        <v>#VALUE!</v>
      </c>
      <c r="AQ23" s="1759">
        <f t="shared" si="1"/>
        <v>20</v>
      </c>
      <c r="AR23" s="1756" t="e">
        <f>0.5*(S18+2*AQ23)*LN(1+2*AQ23/S18)</f>
        <v>#VALUE!</v>
      </c>
      <c r="AT23" s="1826" t="s">
        <v>1192</v>
      </c>
      <c r="AU23" s="1815" t="s">
        <v>1199</v>
      </c>
      <c r="AV23" s="1820">
        <v>25</v>
      </c>
      <c r="AX23" s="2310"/>
      <c r="AY23" s="2310"/>
      <c r="AZ23" s="2300"/>
      <c r="BA23" s="1809"/>
      <c r="BB23" s="2311"/>
      <c r="BC23" s="2312"/>
      <c r="BD23" s="2303"/>
      <c r="BE23" s="2303"/>
      <c r="BF23" s="2303"/>
      <c r="BG23" s="2303"/>
      <c r="BH23" s="2303"/>
    </row>
    <row r="24" spans="4:60">
      <c r="D24" s="1730">
        <v>65</v>
      </c>
      <c r="E24" s="1731">
        <v>76.099999999999994</v>
      </c>
      <c r="F24" s="1732" t="str">
        <f t="shared" si="2"/>
        <v>-</v>
      </c>
      <c r="K24" s="1735">
        <v>15</v>
      </c>
      <c r="L24" s="1736" t="str">
        <f t="shared" si="3"/>
        <v>-</v>
      </c>
      <c r="M24" s="1737" t="str">
        <f t="shared" si="4"/>
        <v>-</v>
      </c>
      <c r="N24" s="1736" t="str">
        <f t="shared" si="5"/>
        <v>-</v>
      </c>
      <c r="P24" s="1784"/>
      <c r="Q24" s="1775"/>
      <c r="R24" s="1776"/>
      <c r="S24" s="1776"/>
      <c r="T24" s="1777"/>
      <c r="V24" s="1764" t="s">
        <v>2379</v>
      </c>
      <c r="W24" s="1764" t="str">
        <f>IF(X11=1,X20,IF(X11=2,X21,IF(X11=3,"Any","-")))</f>
        <v>Any</v>
      </c>
      <c r="X24" s="1764"/>
      <c r="Y24" s="1764"/>
      <c r="Z24" s="1764">
        <v>350</v>
      </c>
      <c r="AA24" s="1764">
        <v>355.6</v>
      </c>
      <c r="AB24" s="1764">
        <v>31</v>
      </c>
      <c r="AC24" s="1764">
        <v>21</v>
      </c>
      <c r="AD24" s="1764">
        <v>49</v>
      </c>
      <c r="AE24" s="1764">
        <v>34</v>
      </c>
      <c r="AF24" s="1764">
        <v>47</v>
      </c>
      <c r="AG24" s="1764">
        <v>28</v>
      </c>
      <c r="AH24" s="1764">
        <v>74</v>
      </c>
      <c r="AI24" s="1764">
        <v>45</v>
      </c>
      <c r="AJ24" s="1764">
        <v>15</v>
      </c>
      <c r="AK24" s="1764">
        <v>25</v>
      </c>
      <c r="AM24" s="1755">
        <v>200</v>
      </c>
      <c r="AN24" s="1755">
        <v>219.1</v>
      </c>
      <c r="AP24" s="1756" t="e">
        <f>IF(OR(AR24=S13,AR24&gt;S13),AR24,"")</f>
        <v>#VALUE!</v>
      </c>
      <c r="AQ24" s="1759">
        <f t="shared" si="1"/>
        <v>21</v>
      </c>
      <c r="AR24" s="1756" t="e">
        <f>0.5*(S18+2*AQ24)*LN(1+2*AQ24/S18)</f>
        <v>#VALUE!</v>
      </c>
      <c r="AT24" s="1815" t="s">
        <v>1200</v>
      </c>
      <c r="AU24" s="1815" t="s">
        <v>1199</v>
      </c>
      <c r="AV24" s="1820">
        <v>25</v>
      </c>
      <c r="AX24" s="2300" t="s">
        <v>380</v>
      </c>
      <c r="AY24" s="2300" t="s">
        <v>381</v>
      </c>
      <c r="AZ24" s="2300" t="s">
        <v>342</v>
      </c>
      <c r="BA24" s="1809"/>
      <c r="BB24" s="2311"/>
      <c r="BC24" s="2312"/>
      <c r="BD24" s="2303"/>
      <c r="BE24" s="2303"/>
      <c r="BF24" s="2303"/>
      <c r="BG24" s="2303"/>
      <c r="BH24" s="2303"/>
    </row>
    <row r="25" spans="4:60">
      <c r="D25" s="1724">
        <v>80</v>
      </c>
      <c r="E25" s="1725">
        <v>88.9</v>
      </c>
      <c r="F25" s="1726" t="str">
        <f t="shared" si="2"/>
        <v>-</v>
      </c>
      <c r="K25" s="1727">
        <v>22</v>
      </c>
      <c r="L25" s="1728" t="str">
        <f t="shared" si="3"/>
        <v>-</v>
      </c>
      <c r="M25" s="1729" t="str">
        <f t="shared" si="4"/>
        <v>-</v>
      </c>
      <c r="N25" s="1728" t="str">
        <f t="shared" si="5"/>
        <v>-</v>
      </c>
      <c r="P25" s="1784"/>
      <c r="V25" s="1764"/>
      <c r="W25" s="1764"/>
      <c r="X25" s="1764"/>
      <c r="Y25" s="1764"/>
      <c r="Z25" s="1764">
        <v>400</v>
      </c>
      <c r="AA25" s="1764">
        <v>406.4</v>
      </c>
      <c r="AB25" s="1764">
        <v>31</v>
      </c>
      <c r="AC25" s="1764">
        <v>21</v>
      </c>
      <c r="AD25" s="1764">
        <v>50</v>
      </c>
      <c r="AE25" s="1764">
        <v>34</v>
      </c>
      <c r="AF25" s="1764">
        <v>47</v>
      </c>
      <c r="AG25" s="1764">
        <v>28</v>
      </c>
      <c r="AH25" s="1764">
        <v>75</v>
      </c>
      <c r="AI25" s="1764">
        <v>45</v>
      </c>
      <c r="AJ25" s="1764">
        <v>15</v>
      </c>
      <c r="AK25" s="1764">
        <v>25</v>
      </c>
      <c r="AM25" s="1755">
        <v>250</v>
      </c>
      <c r="AN25" s="1755">
        <v>273</v>
      </c>
      <c r="AP25" s="1756" t="e">
        <f>IF(OR(AR25=S13,AR25&gt;S13),AR25,"")</f>
        <v>#VALUE!</v>
      </c>
      <c r="AQ25" s="1759">
        <f t="shared" si="1"/>
        <v>22</v>
      </c>
      <c r="AR25" s="1756" t="e">
        <f>0.5*(S18+2*AQ25)*LN(1+2*AQ25/S18)</f>
        <v>#VALUE!</v>
      </c>
      <c r="AX25" s="2300"/>
      <c r="AY25" s="2300"/>
      <c r="AZ25" s="2300"/>
      <c r="BA25" s="1809"/>
      <c r="BB25" s="2313" t="s">
        <v>2510</v>
      </c>
      <c r="BC25" s="2303" t="s">
        <v>2511</v>
      </c>
      <c r="BD25" s="2303" t="s">
        <v>371</v>
      </c>
      <c r="BE25" s="2303"/>
      <c r="BF25" s="2303"/>
      <c r="BG25" s="2303"/>
      <c r="BH25" s="2303"/>
    </row>
    <row r="26" spans="4:60">
      <c r="D26" s="1730">
        <v>100</v>
      </c>
      <c r="E26" s="1731">
        <v>114.3</v>
      </c>
      <c r="F26" s="1732" t="str">
        <f t="shared" si="2"/>
        <v>-</v>
      </c>
      <c r="K26" s="1735">
        <v>28</v>
      </c>
      <c r="L26" s="1736" t="str">
        <f t="shared" si="3"/>
        <v>-</v>
      </c>
      <c r="M26" s="1737" t="str">
        <f t="shared" si="4"/>
        <v>-</v>
      </c>
      <c r="N26" s="1736" t="str">
        <f t="shared" si="5"/>
        <v>-</v>
      </c>
      <c r="P26" s="1784"/>
      <c r="Q26" s="2343" t="s">
        <v>2423</v>
      </c>
      <c r="R26" s="2344"/>
      <c r="S26" s="2344"/>
      <c r="T26" s="2345"/>
      <c r="V26" s="1766" t="str">
        <f>IF(E9="-","-",X11*E9*X23)</f>
        <v>-</v>
      </c>
      <c r="W26" s="1764"/>
      <c r="X26" s="1764"/>
      <c r="Y26" s="1764"/>
      <c r="Z26" s="1764"/>
      <c r="AA26" s="1764"/>
      <c r="AB26" s="1764"/>
      <c r="AC26" s="1764"/>
      <c r="AD26" s="1764"/>
      <c r="AE26" s="1764"/>
      <c r="AF26" s="1764"/>
      <c r="AG26" s="1764"/>
      <c r="AH26" s="1764"/>
      <c r="AI26" s="1764"/>
      <c r="AJ26" s="1764"/>
      <c r="AK26" s="1764"/>
      <c r="AM26" s="1755">
        <v>300</v>
      </c>
      <c r="AN26" s="1755">
        <v>323.89999999999998</v>
      </c>
      <c r="AP26" s="1756" t="e">
        <f>IF(OR(AR26=S13,AR26&gt;S13),AR26,"")</f>
        <v>#VALUE!</v>
      </c>
      <c r="AQ26" s="1759">
        <f t="shared" si="1"/>
        <v>23</v>
      </c>
      <c r="AR26" s="1756" t="e">
        <f>0.5*(S18+2*AQ26)*LN(1+2*AQ26/S18)</f>
        <v>#VALUE!</v>
      </c>
      <c r="AT26" s="1809"/>
      <c r="AX26" s="2300" t="s">
        <v>379</v>
      </c>
      <c r="AY26" s="2300" t="s">
        <v>343</v>
      </c>
      <c r="AZ26" s="2300" t="s">
        <v>344</v>
      </c>
      <c r="BA26" s="1809"/>
      <c r="BB26" s="2313"/>
      <c r="BC26" s="2303"/>
      <c r="BD26" s="2303"/>
      <c r="BE26" s="2303"/>
      <c r="BF26" s="2303"/>
      <c r="BG26" s="2303"/>
      <c r="BH26" s="2303"/>
    </row>
    <row r="27" spans="4:60">
      <c r="D27" s="1724">
        <v>125</v>
      </c>
      <c r="E27" s="1725">
        <v>139.69999999999999</v>
      </c>
      <c r="F27" s="1726" t="str">
        <f t="shared" si="2"/>
        <v>-</v>
      </c>
      <c r="K27" s="1727">
        <v>35</v>
      </c>
      <c r="L27" s="1728" t="str">
        <f t="shared" si="3"/>
        <v>-</v>
      </c>
      <c r="M27" s="1729" t="str">
        <f t="shared" si="4"/>
        <v>-</v>
      </c>
      <c r="N27" s="1728" t="str">
        <f t="shared" si="5"/>
        <v>-</v>
      </c>
      <c r="P27" s="1784"/>
      <c r="Q27" s="1778" t="s">
        <v>2421</v>
      </c>
      <c r="R27" s="1779"/>
      <c r="S27" s="1779"/>
      <c r="T27" s="1780"/>
      <c r="V27" s="1764"/>
      <c r="Z27" s="1765">
        <v>15</v>
      </c>
      <c r="AA27" s="1765">
        <v>21.3</v>
      </c>
      <c r="AB27" s="1764">
        <f t="shared" ref="AB27:AK27" si="6">IF($V$26=AB$3,AB10,0)</f>
        <v>0</v>
      </c>
      <c r="AC27" s="1764">
        <f t="shared" si="6"/>
        <v>0</v>
      </c>
      <c r="AD27" s="1764">
        <f t="shared" si="6"/>
        <v>0</v>
      </c>
      <c r="AE27" s="1764">
        <f t="shared" si="6"/>
        <v>0</v>
      </c>
      <c r="AF27" s="1764">
        <f t="shared" si="6"/>
        <v>0</v>
      </c>
      <c r="AG27" s="1764">
        <f t="shared" si="6"/>
        <v>0</v>
      </c>
      <c r="AH27" s="1764">
        <f t="shared" si="6"/>
        <v>0</v>
      </c>
      <c r="AI27" s="1764">
        <f t="shared" si="6"/>
        <v>0</v>
      </c>
      <c r="AJ27" s="1764">
        <f t="shared" si="6"/>
        <v>0</v>
      </c>
      <c r="AK27" s="1764">
        <f t="shared" si="6"/>
        <v>0</v>
      </c>
      <c r="AM27" s="1755">
        <v>350</v>
      </c>
      <c r="AN27" s="1755">
        <v>355.6</v>
      </c>
      <c r="AP27" s="1756" t="e">
        <f>IF(OR(AR27=S13,AR27&gt;S13),AR27,"")</f>
        <v>#VALUE!</v>
      </c>
      <c r="AQ27" s="1759">
        <f t="shared" si="1"/>
        <v>24</v>
      </c>
      <c r="AR27" s="1756" t="e">
        <f>0.5*(S18+2*AQ27)*LN(1+2*AQ27/S18)</f>
        <v>#VALUE!</v>
      </c>
      <c r="AX27" s="2300"/>
      <c r="AY27" s="2300"/>
      <c r="AZ27" s="2300"/>
      <c r="BA27" s="1809"/>
      <c r="BB27" s="2313"/>
      <c r="BC27" s="2303"/>
      <c r="BD27" s="2303"/>
      <c r="BE27" s="2303"/>
      <c r="BF27" s="2303"/>
      <c r="BG27" s="2303"/>
      <c r="BH27" s="2303"/>
    </row>
    <row r="28" spans="4:60" ht="14.5">
      <c r="D28" s="1730">
        <v>150</v>
      </c>
      <c r="E28" s="1731">
        <v>168.3</v>
      </c>
      <c r="F28" s="1732" t="str">
        <f t="shared" si="2"/>
        <v>-</v>
      </c>
      <c r="K28" s="1735">
        <v>42</v>
      </c>
      <c r="L28" s="1736" t="str">
        <f t="shared" si="3"/>
        <v>-</v>
      </c>
      <c r="M28" s="1737" t="str">
        <f t="shared" si="4"/>
        <v>-</v>
      </c>
      <c r="N28" s="1736" t="str">
        <f t="shared" si="5"/>
        <v>-</v>
      </c>
      <c r="P28" s="1784"/>
      <c r="Q28" s="1781" t="s">
        <v>2400</v>
      </c>
      <c r="R28" s="1782" t="s">
        <v>2408</v>
      </c>
      <c r="S28" s="1783" t="str">
        <f>IF(S13="-","-",ROUNDUP(S13,0))</f>
        <v>-</v>
      </c>
      <c r="T28" s="1777" t="s">
        <v>0</v>
      </c>
      <c r="V28" s="1764"/>
      <c r="Z28" s="1764">
        <v>20</v>
      </c>
      <c r="AA28" s="1764">
        <v>26.9</v>
      </c>
      <c r="AB28" s="1764">
        <f t="shared" ref="AB28:AK28" si="7">IF($V$26=AB$3,AB11,0)</f>
        <v>0</v>
      </c>
      <c r="AC28" s="1764">
        <f t="shared" si="7"/>
        <v>0</v>
      </c>
      <c r="AD28" s="1764">
        <f t="shared" si="7"/>
        <v>0</v>
      </c>
      <c r="AE28" s="1764">
        <f t="shared" si="7"/>
        <v>0</v>
      </c>
      <c r="AF28" s="1764">
        <f t="shared" si="7"/>
        <v>0</v>
      </c>
      <c r="AG28" s="1764">
        <f t="shared" si="7"/>
        <v>0</v>
      </c>
      <c r="AH28" s="1764">
        <f t="shared" si="7"/>
        <v>0</v>
      </c>
      <c r="AI28" s="1764">
        <f t="shared" si="7"/>
        <v>0</v>
      </c>
      <c r="AJ28" s="1764">
        <f t="shared" si="7"/>
        <v>0</v>
      </c>
      <c r="AK28" s="1764">
        <f t="shared" si="7"/>
        <v>0</v>
      </c>
      <c r="AM28" s="1755">
        <v>400</v>
      </c>
      <c r="AN28" s="1755">
        <v>406.4</v>
      </c>
      <c r="AP28" s="1756" t="e">
        <f>IF(OR(AR28=S13,AR28&gt;S13),AR28,"")</f>
        <v>#VALUE!</v>
      </c>
      <c r="AQ28" s="1759">
        <f t="shared" si="1"/>
        <v>25</v>
      </c>
      <c r="AR28" s="1756" t="e">
        <f>0.5*(S18+2*AQ28)*LN(1+2*AQ28/S18)</f>
        <v>#VALUE!</v>
      </c>
      <c r="AX28" s="1815" t="s">
        <v>345</v>
      </c>
      <c r="AY28" s="1815" t="s">
        <v>346</v>
      </c>
      <c r="AZ28" s="1815" t="s">
        <v>347</v>
      </c>
      <c r="BA28" s="1809"/>
      <c r="BB28" s="2308" t="s">
        <v>183</v>
      </c>
      <c r="BC28" s="2309" t="s">
        <v>2512</v>
      </c>
      <c r="BD28" s="2310" t="s">
        <v>1199</v>
      </c>
      <c r="BE28" s="2303" t="s">
        <v>2513</v>
      </c>
      <c r="BF28" s="2303" t="s">
        <v>2514</v>
      </c>
      <c r="BG28" s="2303" t="s">
        <v>2515</v>
      </c>
      <c r="BH28" s="2303" t="s">
        <v>2516</v>
      </c>
    </row>
    <row r="29" spans="4:60">
      <c r="D29" s="1724">
        <v>200</v>
      </c>
      <c r="E29" s="1725">
        <v>219.1</v>
      </c>
      <c r="F29" s="1726" t="str">
        <f t="shared" si="2"/>
        <v>-</v>
      </c>
      <c r="K29" s="1727">
        <v>54</v>
      </c>
      <c r="L29" s="1728" t="str">
        <f t="shared" si="3"/>
        <v>-</v>
      </c>
      <c r="M29" s="1729" t="str">
        <f t="shared" si="4"/>
        <v>-</v>
      </c>
      <c r="N29" s="1728" t="str">
        <f t="shared" si="5"/>
        <v>-</v>
      </c>
      <c r="P29" s="1784"/>
      <c r="V29" s="1764">
        <v>1</v>
      </c>
      <c r="W29" s="1755">
        <v>27</v>
      </c>
      <c r="Z29" s="1764">
        <v>25</v>
      </c>
      <c r="AA29" s="1764">
        <v>33.700000000000003</v>
      </c>
      <c r="AB29" s="1764">
        <f t="shared" ref="AB29:AK29" si="8">IF($V$26=AB$3,AB12,0)</f>
        <v>0</v>
      </c>
      <c r="AC29" s="1764">
        <f t="shared" si="8"/>
        <v>0</v>
      </c>
      <c r="AD29" s="1764">
        <f t="shared" si="8"/>
        <v>0</v>
      </c>
      <c r="AE29" s="1764">
        <f t="shared" si="8"/>
        <v>0</v>
      </c>
      <c r="AF29" s="1764">
        <f t="shared" si="8"/>
        <v>0</v>
      </c>
      <c r="AG29" s="1764">
        <f t="shared" si="8"/>
        <v>0</v>
      </c>
      <c r="AH29" s="1764">
        <f t="shared" si="8"/>
        <v>0</v>
      </c>
      <c r="AI29" s="1764">
        <f t="shared" si="8"/>
        <v>0</v>
      </c>
      <c r="AJ29" s="1764">
        <f t="shared" si="8"/>
        <v>0</v>
      </c>
      <c r="AK29" s="1764">
        <f t="shared" si="8"/>
        <v>0</v>
      </c>
      <c r="AM29" s="1755">
        <v>450</v>
      </c>
      <c r="AN29" s="1755">
        <v>457</v>
      </c>
      <c r="AP29" s="1756" t="e">
        <f>IF(OR(AR29=S13,AR29&gt;S13),AR29,"")</f>
        <v>#VALUE!</v>
      </c>
      <c r="AQ29" s="1759">
        <f t="shared" si="1"/>
        <v>26</v>
      </c>
      <c r="AR29" s="1756" t="e">
        <f>0.5*(S18+2*AQ29)*LN(1+2*AQ29/S18)</f>
        <v>#VALUE!</v>
      </c>
      <c r="AX29" s="1809"/>
      <c r="AY29" s="1809"/>
      <c r="AZ29" s="1809"/>
      <c r="BA29" s="1809"/>
      <c r="BB29" s="2308"/>
      <c r="BC29" s="2309"/>
      <c r="BD29" s="2310"/>
      <c r="BE29" s="2303"/>
      <c r="BF29" s="2303"/>
      <c r="BG29" s="2303"/>
      <c r="BH29" s="2303"/>
    </row>
    <row r="30" spans="4:60">
      <c r="D30" s="1730">
        <v>250</v>
      </c>
      <c r="E30" s="1731">
        <v>273</v>
      </c>
      <c r="F30" s="1732" t="str">
        <f t="shared" si="2"/>
        <v>-</v>
      </c>
      <c r="K30" s="1733">
        <v>76.099999999999994</v>
      </c>
      <c r="L30" s="1738" t="str">
        <f t="shared" si="3"/>
        <v>-</v>
      </c>
      <c r="M30" s="1739" t="str">
        <f t="shared" si="4"/>
        <v>-</v>
      </c>
      <c r="N30" s="1738" t="str">
        <f t="shared" si="5"/>
        <v>-</v>
      </c>
      <c r="P30" s="1784"/>
      <c r="V30" s="1764">
        <v>2</v>
      </c>
      <c r="Z30" s="1764">
        <v>32</v>
      </c>
      <c r="AA30" s="1764">
        <v>42.4</v>
      </c>
      <c r="AB30" s="1764">
        <f t="shared" ref="AB30:AK30" si="9">IF($V$26=AB$3,AB13,0)</f>
        <v>0</v>
      </c>
      <c r="AC30" s="1764">
        <f t="shared" si="9"/>
        <v>0</v>
      </c>
      <c r="AD30" s="1764">
        <f t="shared" si="9"/>
        <v>0</v>
      </c>
      <c r="AE30" s="1764">
        <f t="shared" si="9"/>
        <v>0</v>
      </c>
      <c r="AF30" s="1764">
        <f t="shared" si="9"/>
        <v>0</v>
      </c>
      <c r="AG30" s="1764">
        <f t="shared" si="9"/>
        <v>0</v>
      </c>
      <c r="AH30" s="1764">
        <f t="shared" si="9"/>
        <v>0</v>
      </c>
      <c r="AI30" s="1764">
        <f t="shared" si="9"/>
        <v>0</v>
      </c>
      <c r="AJ30" s="1764">
        <f t="shared" si="9"/>
        <v>0</v>
      </c>
      <c r="AK30" s="1764">
        <f t="shared" si="9"/>
        <v>0</v>
      </c>
      <c r="AM30" s="1755">
        <v>500</v>
      </c>
      <c r="AN30" s="1755">
        <v>508</v>
      </c>
      <c r="AP30" s="1756" t="e">
        <f>IF(OR(AR30=S13,AR30&gt;S13),AR30,"")</f>
        <v>#VALUE!</v>
      </c>
      <c r="AQ30" s="1759">
        <f t="shared" si="1"/>
        <v>27</v>
      </c>
      <c r="AR30" s="1756" t="e">
        <f>0.5*(S18+2*AQ30)*LN(1+2*AQ30/S18)</f>
        <v>#VALUE!</v>
      </c>
      <c r="AX30" s="1809"/>
      <c r="AY30" s="1809"/>
      <c r="AZ30" s="1809"/>
      <c r="BA30" s="1809"/>
      <c r="BB30" s="2308"/>
      <c r="BC30" s="2309"/>
      <c r="BD30" s="2310"/>
      <c r="BE30" s="2303"/>
      <c r="BF30" s="2303"/>
      <c r="BG30" s="2303"/>
      <c r="BH30" s="2303"/>
    </row>
    <row r="31" spans="4:60">
      <c r="D31" s="1724">
        <v>300</v>
      </c>
      <c r="E31" s="1725">
        <v>323.89999999999998</v>
      </c>
      <c r="F31" s="1726" t="str">
        <f t="shared" si="2"/>
        <v>-</v>
      </c>
      <c r="P31" s="1784"/>
      <c r="R31" s="1119"/>
      <c r="S31" s="1751"/>
      <c r="T31" s="1752"/>
      <c r="V31" s="1764">
        <v>3</v>
      </c>
      <c r="Z31" s="1764">
        <v>40</v>
      </c>
      <c r="AA31" s="1764">
        <v>48.3</v>
      </c>
      <c r="AB31" s="1764">
        <f t="shared" ref="AB31:AK31" si="10">IF($V$26=AB$3,AB14,0)</f>
        <v>0</v>
      </c>
      <c r="AC31" s="1764">
        <f t="shared" si="10"/>
        <v>0</v>
      </c>
      <c r="AD31" s="1764">
        <f t="shared" si="10"/>
        <v>0</v>
      </c>
      <c r="AE31" s="1764">
        <f t="shared" si="10"/>
        <v>0</v>
      </c>
      <c r="AF31" s="1764">
        <f t="shared" si="10"/>
        <v>0</v>
      </c>
      <c r="AG31" s="1764">
        <f t="shared" si="10"/>
        <v>0</v>
      </c>
      <c r="AH31" s="1764">
        <f t="shared" si="10"/>
        <v>0</v>
      </c>
      <c r="AI31" s="1764">
        <f t="shared" si="10"/>
        <v>0</v>
      </c>
      <c r="AJ31" s="1764">
        <f t="shared" si="10"/>
        <v>0</v>
      </c>
      <c r="AK31" s="1764">
        <f t="shared" si="10"/>
        <v>0</v>
      </c>
      <c r="AM31" s="1755">
        <v>550</v>
      </c>
      <c r="AN31" s="1755">
        <v>559</v>
      </c>
      <c r="AP31" s="1756" t="e">
        <f>IF(OR(AR31=S13,AR31&gt;S13),AR31,"")</f>
        <v>#VALUE!</v>
      </c>
      <c r="AQ31" s="1759">
        <f t="shared" si="1"/>
        <v>28</v>
      </c>
      <c r="AR31" s="1756" t="e">
        <f>0.5*(S18+2*AQ31)*LN(1+2*AQ31/S18)</f>
        <v>#VALUE!</v>
      </c>
      <c r="AX31" s="1809"/>
      <c r="AY31" s="1809"/>
      <c r="AZ31" s="1809"/>
      <c r="BA31" s="1809"/>
      <c r="BB31" s="2306" t="s">
        <v>2517</v>
      </c>
      <c r="BC31" s="2307" t="s">
        <v>2518</v>
      </c>
      <c r="BD31" s="2303" t="s">
        <v>1199</v>
      </c>
      <c r="BE31" s="2303" t="s">
        <v>2519</v>
      </c>
      <c r="BF31" s="2303" t="s">
        <v>2520</v>
      </c>
      <c r="BG31" s="2303"/>
      <c r="BH31" s="2303"/>
    </row>
    <row r="32" spans="4:60">
      <c r="D32" s="1730">
        <v>350</v>
      </c>
      <c r="E32" s="1731">
        <v>355.6</v>
      </c>
      <c r="F32" s="1732" t="str">
        <f t="shared" si="2"/>
        <v>-</v>
      </c>
      <c r="P32" s="1784"/>
      <c r="S32" s="1751"/>
      <c r="T32" s="1752"/>
      <c r="V32" s="1764"/>
      <c r="Z32" s="1764">
        <v>50</v>
      </c>
      <c r="AA32" s="1764">
        <v>60.3</v>
      </c>
      <c r="AB32" s="1764">
        <f t="shared" ref="AB32:AK32" si="11">IF($V$26=AB$3,AB15,0)</f>
        <v>0</v>
      </c>
      <c r="AC32" s="1764">
        <f t="shared" si="11"/>
        <v>0</v>
      </c>
      <c r="AD32" s="1764">
        <f t="shared" si="11"/>
        <v>0</v>
      </c>
      <c r="AE32" s="1764">
        <f t="shared" si="11"/>
        <v>0</v>
      </c>
      <c r="AF32" s="1764">
        <f t="shared" si="11"/>
        <v>0</v>
      </c>
      <c r="AG32" s="1764">
        <f t="shared" si="11"/>
        <v>0</v>
      </c>
      <c r="AH32" s="1764">
        <f t="shared" si="11"/>
        <v>0</v>
      </c>
      <c r="AI32" s="1764">
        <f t="shared" si="11"/>
        <v>0</v>
      </c>
      <c r="AJ32" s="1764">
        <f t="shared" si="11"/>
        <v>0</v>
      </c>
      <c r="AK32" s="1764">
        <f t="shared" si="11"/>
        <v>0</v>
      </c>
      <c r="AM32" s="1755">
        <v>600</v>
      </c>
      <c r="AN32" s="1755">
        <v>610</v>
      </c>
      <c r="AP32" s="1756" t="e">
        <f>IF(OR(AR32=S13,AR32&gt;S13),AR32,"")</f>
        <v>#VALUE!</v>
      </c>
      <c r="AQ32" s="1759">
        <f t="shared" si="1"/>
        <v>29</v>
      </c>
      <c r="AR32" s="1756" t="e">
        <f>0.5*(S18+2*AQ32)*LN(1+2*AQ32/S18)</f>
        <v>#VALUE!</v>
      </c>
      <c r="AX32" s="1809"/>
      <c r="AY32" s="1809"/>
      <c r="AZ32" s="1809"/>
      <c r="BA32" s="1809"/>
      <c r="BB32" s="2306"/>
      <c r="BC32" s="2307"/>
      <c r="BD32" s="2303"/>
      <c r="BE32" s="2303"/>
      <c r="BF32" s="2303"/>
      <c r="BG32" s="2303"/>
      <c r="BH32" s="2303"/>
    </row>
    <row r="33" spans="4:60">
      <c r="D33" s="1740">
        <v>400</v>
      </c>
      <c r="E33" s="1741">
        <v>406.4</v>
      </c>
      <c r="F33" s="1742" t="str">
        <f t="shared" si="2"/>
        <v>-</v>
      </c>
      <c r="P33" s="1784"/>
      <c r="R33" s="1119"/>
      <c r="S33" s="1751"/>
      <c r="T33" s="1752"/>
      <c r="V33" s="1764"/>
      <c r="Z33" s="1764">
        <v>65</v>
      </c>
      <c r="AA33" s="1764">
        <v>76.099999999999994</v>
      </c>
      <c r="AB33" s="1764">
        <f t="shared" ref="AB33:AK33" si="12">IF($V$26=AB$3,AB16,0)</f>
        <v>0</v>
      </c>
      <c r="AC33" s="1764">
        <f t="shared" si="12"/>
        <v>0</v>
      </c>
      <c r="AD33" s="1764">
        <f t="shared" si="12"/>
        <v>0</v>
      </c>
      <c r="AE33" s="1764">
        <f t="shared" si="12"/>
        <v>0</v>
      </c>
      <c r="AF33" s="1764">
        <f t="shared" si="12"/>
        <v>0</v>
      </c>
      <c r="AG33" s="1764">
        <f t="shared" si="12"/>
        <v>0</v>
      </c>
      <c r="AH33" s="1764">
        <f t="shared" si="12"/>
        <v>0</v>
      </c>
      <c r="AI33" s="1764">
        <f t="shared" si="12"/>
        <v>0</v>
      </c>
      <c r="AJ33" s="1764">
        <f t="shared" si="12"/>
        <v>0</v>
      </c>
      <c r="AK33" s="1764">
        <f t="shared" si="12"/>
        <v>0</v>
      </c>
      <c r="AM33" s="1755">
        <v>650</v>
      </c>
      <c r="AN33" s="1755">
        <v>660</v>
      </c>
      <c r="AP33" s="1756" t="e">
        <f>IF(OR(AR33=S13,AR33&gt;S13),AR33,"")</f>
        <v>#VALUE!</v>
      </c>
      <c r="AQ33" s="1759">
        <f t="shared" si="1"/>
        <v>30</v>
      </c>
      <c r="AR33" s="1756" t="e">
        <f>0.5*(S18+2*AQ33)*LN(1+2*AQ33/S18)</f>
        <v>#VALUE!</v>
      </c>
      <c r="AX33" s="1809"/>
      <c r="AY33" s="1809"/>
      <c r="AZ33" s="1809"/>
      <c r="BA33" s="1809"/>
      <c r="BB33" s="2304" t="s">
        <v>2521</v>
      </c>
      <c r="BC33" s="2305" t="s">
        <v>2522</v>
      </c>
      <c r="BD33" s="2303" t="s">
        <v>1199</v>
      </c>
      <c r="BE33" s="2303" t="s">
        <v>2523</v>
      </c>
      <c r="BF33" s="2303" t="s">
        <v>2524</v>
      </c>
      <c r="BG33" s="2303"/>
      <c r="BH33" s="2303" t="s">
        <v>2525</v>
      </c>
    </row>
    <row r="34" spans="4:60">
      <c r="D34" s="2342" t="s">
        <v>2409</v>
      </c>
      <c r="E34" s="2342"/>
      <c r="F34" s="2342"/>
      <c r="P34" s="1784"/>
      <c r="V34" s="1764"/>
      <c r="Z34" s="1764">
        <v>80</v>
      </c>
      <c r="AA34" s="1764">
        <v>88.9</v>
      </c>
      <c r="AB34" s="1764">
        <f t="shared" ref="AB34:AK34" si="13">IF($V$26=AB$3,AB17,0)</f>
        <v>0</v>
      </c>
      <c r="AC34" s="1764">
        <f t="shared" si="13"/>
        <v>0</v>
      </c>
      <c r="AD34" s="1764">
        <f t="shared" si="13"/>
        <v>0</v>
      </c>
      <c r="AE34" s="1764">
        <f t="shared" si="13"/>
        <v>0</v>
      </c>
      <c r="AF34" s="1764">
        <f t="shared" si="13"/>
        <v>0</v>
      </c>
      <c r="AG34" s="1764">
        <f t="shared" si="13"/>
        <v>0</v>
      </c>
      <c r="AH34" s="1764">
        <f t="shared" si="13"/>
        <v>0</v>
      </c>
      <c r="AI34" s="1764">
        <f t="shared" si="13"/>
        <v>0</v>
      </c>
      <c r="AJ34" s="1764">
        <f t="shared" si="13"/>
        <v>0</v>
      </c>
      <c r="AK34" s="1764">
        <f t="shared" si="13"/>
        <v>0</v>
      </c>
      <c r="AM34" s="1755">
        <v>700</v>
      </c>
      <c r="AN34" s="1755">
        <v>711</v>
      </c>
      <c r="AP34" s="1756" t="e">
        <f>IF(OR(AR34=S13,AR34&gt;S13),AR34,"")</f>
        <v>#VALUE!</v>
      </c>
      <c r="AQ34" s="1759">
        <f t="shared" si="1"/>
        <v>31</v>
      </c>
      <c r="AR34" s="1756" t="e">
        <f>0.5*(S18+2*AQ34)*LN(1+2*AQ34/S18)</f>
        <v>#VALUE!</v>
      </c>
      <c r="AX34" s="1809"/>
      <c r="AY34" s="1809"/>
      <c r="AZ34" s="1809"/>
      <c r="BA34" s="1809"/>
      <c r="BB34" s="2304"/>
      <c r="BC34" s="2305"/>
      <c r="BD34" s="2303"/>
      <c r="BE34" s="2303"/>
      <c r="BF34" s="2303"/>
      <c r="BG34" s="2303"/>
      <c r="BH34" s="2303"/>
    </row>
    <row r="35" spans="4:60">
      <c r="V35" s="1764"/>
      <c r="Z35" s="1764">
        <v>100</v>
      </c>
      <c r="AA35" s="1764">
        <v>114.3</v>
      </c>
      <c r="AB35" s="1764">
        <f t="shared" ref="AB35:AK35" si="14">IF($V$26=AB$3,AB18,0)</f>
        <v>0</v>
      </c>
      <c r="AC35" s="1764">
        <f t="shared" si="14"/>
        <v>0</v>
      </c>
      <c r="AD35" s="1764">
        <f t="shared" si="14"/>
        <v>0</v>
      </c>
      <c r="AE35" s="1764">
        <f t="shared" si="14"/>
        <v>0</v>
      </c>
      <c r="AF35" s="1764">
        <f t="shared" si="14"/>
        <v>0</v>
      </c>
      <c r="AG35" s="1764">
        <f t="shared" si="14"/>
        <v>0</v>
      </c>
      <c r="AH35" s="1764">
        <f t="shared" si="14"/>
        <v>0</v>
      </c>
      <c r="AI35" s="1764">
        <f t="shared" si="14"/>
        <v>0</v>
      </c>
      <c r="AJ35" s="1764">
        <f t="shared" si="14"/>
        <v>0</v>
      </c>
      <c r="AK35" s="1764">
        <f t="shared" si="14"/>
        <v>0</v>
      </c>
      <c r="AM35" s="1755">
        <v>750</v>
      </c>
      <c r="AN35" s="1755">
        <v>762</v>
      </c>
      <c r="AP35" s="1756" t="e">
        <f>IF(OR(AR35=S13,AR35&gt;S13),AR35,"")</f>
        <v>#VALUE!</v>
      </c>
      <c r="AQ35" s="1759">
        <f t="shared" si="1"/>
        <v>32</v>
      </c>
      <c r="AR35" s="1756" t="e">
        <f>0.5*(S18+2*AQ35)*LN(1+2*AQ35/S18)</f>
        <v>#VALUE!</v>
      </c>
    </row>
    <row r="36" spans="4:60">
      <c r="V36" s="1764"/>
      <c r="Z36" s="1764">
        <v>125</v>
      </c>
      <c r="AA36" s="1764">
        <v>139.69999999999999</v>
      </c>
      <c r="AB36" s="1764">
        <f t="shared" ref="AB36:AK36" si="15">IF($V$26=AB$3,AB19,0)</f>
        <v>0</v>
      </c>
      <c r="AC36" s="1764">
        <f t="shared" si="15"/>
        <v>0</v>
      </c>
      <c r="AD36" s="1764">
        <f t="shared" si="15"/>
        <v>0</v>
      </c>
      <c r="AE36" s="1764">
        <f t="shared" si="15"/>
        <v>0</v>
      </c>
      <c r="AF36" s="1764">
        <f t="shared" si="15"/>
        <v>0</v>
      </c>
      <c r="AG36" s="1764">
        <f t="shared" si="15"/>
        <v>0</v>
      </c>
      <c r="AH36" s="1764">
        <f t="shared" si="15"/>
        <v>0</v>
      </c>
      <c r="AI36" s="1764">
        <f t="shared" si="15"/>
        <v>0</v>
      </c>
      <c r="AJ36" s="1764">
        <f t="shared" si="15"/>
        <v>0</v>
      </c>
      <c r="AK36" s="1764">
        <f t="shared" si="15"/>
        <v>0</v>
      </c>
      <c r="AM36" s="1755">
        <v>800</v>
      </c>
      <c r="AN36" s="1755">
        <v>813</v>
      </c>
      <c r="AP36" s="1756" t="e">
        <f>IF(OR(AR36=S13,AR36&gt;S13),AR36,"")</f>
        <v>#VALUE!</v>
      </c>
      <c r="AQ36" s="1759">
        <f t="shared" si="1"/>
        <v>33</v>
      </c>
      <c r="AR36" s="1756" t="e">
        <f>0.5*(S18+2*AQ36)*LN(1+2*AQ36/S18)</f>
        <v>#VALUE!</v>
      </c>
    </row>
    <row r="37" spans="4:60">
      <c r="V37" s="1764"/>
      <c r="Z37" s="1764">
        <v>150</v>
      </c>
      <c r="AA37" s="1764">
        <v>168.3</v>
      </c>
      <c r="AB37" s="1764">
        <f t="shared" ref="AB37:AK37" si="16">IF($V$26=AB$3,AB20,0)</f>
        <v>0</v>
      </c>
      <c r="AC37" s="1764">
        <f t="shared" si="16"/>
        <v>0</v>
      </c>
      <c r="AD37" s="1764">
        <f t="shared" si="16"/>
        <v>0</v>
      </c>
      <c r="AE37" s="1764">
        <f t="shared" si="16"/>
        <v>0</v>
      </c>
      <c r="AF37" s="1764">
        <f t="shared" si="16"/>
        <v>0</v>
      </c>
      <c r="AG37" s="1764">
        <f t="shared" si="16"/>
        <v>0</v>
      </c>
      <c r="AH37" s="1764">
        <f t="shared" si="16"/>
        <v>0</v>
      </c>
      <c r="AI37" s="1764">
        <f t="shared" si="16"/>
        <v>0</v>
      </c>
      <c r="AJ37" s="1764">
        <f t="shared" si="16"/>
        <v>0</v>
      </c>
      <c r="AK37" s="1764">
        <f t="shared" si="16"/>
        <v>0</v>
      </c>
      <c r="AM37" s="1755">
        <v>850</v>
      </c>
      <c r="AN37" s="1755">
        <v>864</v>
      </c>
      <c r="AP37" s="1756" t="e">
        <f>IF(OR(AR37=S13,AR37&gt;S13),AR37,"")</f>
        <v>#VALUE!</v>
      </c>
      <c r="AQ37" s="1759">
        <f t="shared" si="1"/>
        <v>34</v>
      </c>
      <c r="AR37" s="1756" t="e">
        <f>0.5*(S18+2*AQ37)*LN(1+2*AQ37/S18)</f>
        <v>#VALUE!</v>
      </c>
    </row>
    <row r="38" spans="4:60">
      <c r="V38" s="1764"/>
      <c r="Z38" s="1764">
        <v>200</v>
      </c>
      <c r="AA38" s="1764">
        <v>219.1</v>
      </c>
      <c r="AB38" s="1764">
        <f t="shared" ref="AB38:AK38" si="17">IF($V$26=AB$3,AB21,0)</f>
        <v>0</v>
      </c>
      <c r="AC38" s="1764">
        <f t="shared" si="17"/>
        <v>0</v>
      </c>
      <c r="AD38" s="1764">
        <f t="shared" si="17"/>
        <v>0</v>
      </c>
      <c r="AE38" s="1764">
        <f t="shared" si="17"/>
        <v>0</v>
      </c>
      <c r="AF38" s="1764">
        <f t="shared" si="17"/>
        <v>0</v>
      </c>
      <c r="AG38" s="1764">
        <f t="shared" si="17"/>
        <v>0</v>
      </c>
      <c r="AH38" s="1764">
        <f t="shared" si="17"/>
        <v>0</v>
      </c>
      <c r="AI38" s="1764">
        <f t="shared" si="17"/>
        <v>0</v>
      </c>
      <c r="AJ38" s="1764">
        <f t="shared" si="17"/>
        <v>0</v>
      </c>
      <c r="AK38" s="1764">
        <f t="shared" si="17"/>
        <v>0</v>
      </c>
      <c r="AM38" s="1755">
        <v>900</v>
      </c>
      <c r="AN38" s="1755">
        <v>914</v>
      </c>
      <c r="AP38" s="1756" t="e">
        <f>IF(OR(AR38=S13,AR38&gt;S13),AR38,"")</f>
        <v>#VALUE!</v>
      </c>
      <c r="AQ38" s="1759">
        <f t="shared" si="1"/>
        <v>35</v>
      </c>
      <c r="AR38" s="1756" t="e">
        <f>0.5*(S18+2*AQ38)*LN(1+2*AQ38/S18)</f>
        <v>#VALUE!</v>
      </c>
    </row>
    <row r="39" spans="4:60">
      <c r="V39" s="1764"/>
      <c r="Z39" s="1764">
        <v>250</v>
      </c>
      <c r="AA39" s="1764">
        <v>273</v>
      </c>
      <c r="AB39" s="1764">
        <f t="shared" ref="AB39:AK39" si="18">IF($V$26=AB$3,AB22,0)</f>
        <v>0</v>
      </c>
      <c r="AC39" s="1764">
        <f t="shared" si="18"/>
        <v>0</v>
      </c>
      <c r="AD39" s="1764">
        <f t="shared" si="18"/>
        <v>0</v>
      </c>
      <c r="AE39" s="1764">
        <f t="shared" si="18"/>
        <v>0</v>
      </c>
      <c r="AF39" s="1764">
        <f t="shared" si="18"/>
        <v>0</v>
      </c>
      <c r="AG39" s="1764">
        <f t="shared" si="18"/>
        <v>0</v>
      </c>
      <c r="AH39" s="1764">
        <f t="shared" si="18"/>
        <v>0</v>
      </c>
      <c r="AI39" s="1764">
        <f t="shared" si="18"/>
        <v>0</v>
      </c>
      <c r="AJ39" s="1764">
        <f t="shared" si="18"/>
        <v>0</v>
      </c>
      <c r="AK39" s="1764">
        <f t="shared" si="18"/>
        <v>0</v>
      </c>
      <c r="AM39" s="1755">
        <v>1000</v>
      </c>
      <c r="AN39" s="1755">
        <v>1016</v>
      </c>
      <c r="AP39" s="1756" t="e">
        <f>IF(OR(AR39=S13,AR39&gt;S13),AR39,"")</f>
        <v>#VALUE!</v>
      </c>
      <c r="AQ39" s="1759">
        <f t="shared" si="1"/>
        <v>36</v>
      </c>
      <c r="AR39" s="1756" t="e">
        <f>0.5*(S18+2*AQ39)*LN(1+2*AQ39/S18)</f>
        <v>#VALUE!</v>
      </c>
    </row>
    <row r="40" spans="4:60">
      <c r="V40" s="1764"/>
      <c r="Z40" s="1764">
        <v>300</v>
      </c>
      <c r="AA40" s="1764">
        <v>323.89999999999998</v>
      </c>
      <c r="AB40" s="1764">
        <f t="shared" ref="AB40:AK40" si="19">IF($V$26=AB$3,AB23,0)</f>
        <v>0</v>
      </c>
      <c r="AC40" s="1764">
        <f t="shared" si="19"/>
        <v>0</v>
      </c>
      <c r="AD40" s="1764">
        <f t="shared" si="19"/>
        <v>0</v>
      </c>
      <c r="AE40" s="1764">
        <f t="shared" si="19"/>
        <v>0</v>
      </c>
      <c r="AF40" s="1764">
        <f t="shared" si="19"/>
        <v>0</v>
      </c>
      <c r="AG40" s="1764">
        <f t="shared" si="19"/>
        <v>0</v>
      </c>
      <c r="AH40" s="1764">
        <f t="shared" si="19"/>
        <v>0</v>
      </c>
      <c r="AI40" s="1764">
        <f t="shared" si="19"/>
        <v>0</v>
      </c>
      <c r="AJ40" s="1764">
        <f t="shared" si="19"/>
        <v>0</v>
      </c>
      <c r="AK40" s="1764">
        <f t="shared" si="19"/>
        <v>0</v>
      </c>
      <c r="AM40" s="1755">
        <v>1200</v>
      </c>
      <c r="AN40" s="1755">
        <v>1219</v>
      </c>
      <c r="AP40" s="1756" t="e">
        <f>IF(OR(AR40=S13,AR40&gt;S13),AR40,"")</f>
        <v>#VALUE!</v>
      </c>
      <c r="AQ40" s="1759">
        <f t="shared" si="1"/>
        <v>37</v>
      </c>
      <c r="AR40" s="1756" t="e">
        <f>0.5*(S18+2*AQ40)*LN(1+2*AQ40/S18)</f>
        <v>#VALUE!</v>
      </c>
    </row>
    <row r="41" spans="4:60">
      <c r="V41" s="1764"/>
      <c r="Z41" s="1764">
        <v>350</v>
      </c>
      <c r="AA41" s="1764">
        <v>355.6</v>
      </c>
      <c r="AB41" s="1764">
        <f t="shared" ref="AB41:AK41" si="20">IF($V$26=AB$3,AB24,0)</f>
        <v>0</v>
      </c>
      <c r="AC41" s="1764">
        <f t="shared" si="20"/>
        <v>0</v>
      </c>
      <c r="AD41" s="1764">
        <f t="shared" si="20"/>
        <v>0</v>
      </c>
      <c r="AE41" s="1764">
        <f t="shared" si="20"/>
        <v>0</v>
      </c>
      <c r="AF41" s="1764">
        <f t="shared" si="20"/>
        <v>0</v>
      </c>
      <c r="AG41" s="1764">
        <f t="shared" si="20"/>
        <v>0</v>
      </c>
      <c r="AH41" s="1764">
        <f t="shared" si="20"/>
        <v>0</v>
      </c>
      <c r="AI41" s="1764">
        <f t="shared" si="20"/>
        <v>0</v>
      </c>
      <c r="AJ41" s="1764">
        <f t="shared" si="20"/>
        <v>0</v>
      </c>
      <c r="AK41" s="1764">
        <f t="shared" si="20"/>
        <v>0</v>
      </c>
      <c r="AM41" s="1755">
        <v>1400</v>
      </c>
      <c r="AN41" s="1755">
        <v>1422</v>
      </c>
      <c r="AP41" s="1756" t="e">
        <f>IF(OR(AR41=S13,AR41&gt;S13),AR41,"")</f>
        <v>#VALUE!</v>
      </c>
      <c r="AQ41" s="1759">
        <f t="shared" si="1"/>
        <v>38</v>
      </c>
      <c r="AR41" s="1756" t="e">
        <f>0.5*(S18+2*AQ41)*LN(1+2*AQ41/S18)</f>
        <v>#VALUE!</v>
      </c>
    </row>
    <row r="42" spans="4:60">
      <c r="V42" s="1764"/>
      <c r="Z42" s="1764">
        <v>400</v>
      </c>
      <c r="AA42" s="1764">
        <v>406.4</v>
      </c>
      <c r="AB42" s="1764">
        <f t="shared" ref="AB42:AK42" si="21">IF($V$26=AB$3,AB25,0)</f>
        <v>0</v>
      </c>
      <c r="AC42" s="1764">
        <f t="shared" si="21"/>
        <v>0</v>
      </c>
      <c r="AD42" s="1764">
        <f t="shared" si="21"/>
        <v>0</v>
      </c>
      <c r="AE42" s="1764">
        <f t="shared" si="21"/>
        <v>0</v>
      </c>
      <c r="AF42" s="1764">
        <f t="shared" si="21"/>
        <v>0</v>
      </c>
      <c r="AG42" s="1764">
        <f t="shared" si="21"/>
        <v>0</v>
      </c>
      <c r="AH42" s="1764">
        <f t="shared" si="21"/>
        <v>0</v>
      </c>
      <c r="AI42" s="1764">
        <f t="shared" si="21"/>
        <v>0</v>
      </c>
      <c r="AJ42" s="1764">
        <f t="shared" si="21"/>
        <v>0</v>
      </c>
      <c r="AK42" s="1764">
        <f t="shared" si="21"/>
        <v>0</v>
      </c>
      <c r="AM42" s="1755">
        <v>1600</v>
      </c>
      <c r="AN42" s="1755">
        <v>1626</v>
      </c>
      <c r="AP42" s="1756" t="e">
        <f>IF(OR(AR42=S13,AR42&gt;S13),AR42,"")</f>
        <v>#VALUE!</v>
      </c>
      <c r="AQ42" s="1759">
        <f t="shared" si="1"/>
        <v>39</v>
      </c>
      <c r="AR42" s="1756" t="e">
        <f>0.5*(S18+2*AQ42)*LN(1+2*AQ42/S18)</f>
        <v>#VALUE!</v>
      </c>
    </row>
    <row r="43" spans="4:60">
      <c r="AM43" s="1755">
        <v>1800</v>
      </c>
      <c r="AN43" s="1755">
        <v>1829</v>
      </c>
      <c r="AP43" s="1756" t="e">
        <f>IF(OR(AR43=S13,AR43&gt;S13),AR43,"")</f>
        <v>#VALUE!</v>
      </c>
      <c r="AQ43" s="1759">
        <f t="shared" si="1"/>
        <v>40</v>
      </c>
      <c r="AR43" s="1756" t="e">
        <f>0.5*(S18+2*AQ43)*LN(1+2*AQ43/S18)</f>
        <v>#VALUE!</v>
      </c>
    </row>
    <row r="44" spans="4:60">
      <c r="AM44" s="1755">
        <v>2000</v>
      </c>
      <c r="AN44" s="1755">
        <v>2032</v>
      </c>
      <c r="AP44" s="1756" t="e">
        <f>IF(OR(AR44=S13,AR44&gt;S13),AR44,"")</f>
        <v>#VALUE!</v>
      </c>
      <c r="AQ44" s="1759">
        <f t="shared" si="1"/>
        <v>41</v>
      </c>
      <c r="AR44" s="1756" t="e">
        <f>0.5*(S18+2*AQ44)*LN(1+2*AQ44/S18)</f>
        <v>#VALUE!</v>
      </c>
    </row>
    <row r="45" spans="4:60">
      <c r="AB45" s="1761">
        <f t="shared" ref="AB45:AI45" si="22">AB47*AB48*AB49</f>
        <v>0.216</v>
      </c>
      <c r="AC45" s="1761">
        <f t="shared" si="22"/>
        <v>0.32400000000000001</v>
      </c>
      <c r="AD45" s="1761">
        <f t="shared" si="22"/>
        <v>0.36</v>
      </c>
      <c r="AE45" s="1761">
        <f t="shared" si="22"/>
        <v>0.54</v>
      </c>
      <c r="AF45" s="1761">
        <f t="shared" si="22"/>
        <v>0.27360000000000001</v>
      </c>
      <c r="AG45" s="1761">
        <f t="shared" si="22"/>
        <v>0.48</v>
      </c>
      <c r="AH45" s="1761">
        <f t="shared" si="22"/>
        <v>0.45600000000000002</v>
      </c>
      <c r="AI45" s="1761">
        <f t="shared" si="22"/>
        <v>0.8</v>
      </c>
      <c r="AJ45" s="1761">
        <f>AJ47*AJ48</f>
        <v>7.2000000000000008E-2</v>
      </c>
      <c r="AK45" s="1761">
        <f>AK47*AK48</f>
        <v>0.12</v>
      </c>
      <c r="AM45" s="1755">
        <v>2200</v>
      </c>
      <c r="AN45" s="1755">
        <v>2235</v>
      </c>
      <c r="AP45" s="1756" t="e">
        <f>IF(OR(AR45=S13,AR45&gt;S13),AR45,"")</f>
        <v>#VALUE!</v>
      </c>
      <c r="AQ45" s="1759">
        <f t="shared" si="1"/>
        <v>42</v>
      </c>
      <c r="AR45" s="1756" t="e">
        <f>0.5*(S18+2*AQ45)*LN(1+2*AQ45/S18)</f>
        <v>#VALUE!</v>
      </c>
    </row>
    <row r="46" spans="4:60">
      <c r="AB46" s="1764" t="s">
        <v>2372</v>
      </c>
      <c r="AC46" s="1764" t="s">
        <v>2372</v>
      </c>
      <c r="AD46" s="1764" t="s">
        <v>2372</v>
      </c>
      <c r="AE46" s="1764" t="s">
        <v>2372</v>
      </c>
      <c r="AF46" s="1764" t="s">
        <v>2374</v>
      </c>
      <c r="AG46" s="1764" t="s">
        <v>2374</v>
      </c>
      <c r="AH46" s="1764" t="s">
        <v>2374</v>
      </c>
      <c r="AI46" s="1764" t="s">
        <v>2374</v>
      </c>
      <c r="AJ46" s="1764" t="s">
        <v>2375</v>
      </c>
      <c r="AK46" s="1764" t="s">
        <v>2375</v>
      </c>
      <c r="AP46" s="1756" t="e">
        <f>IF(OR(AR46=S13,AR46&gt;S13),AR46,"")</f>
        <v>#VALUE!</v>
      </c>
      <c r="AQ46" s="1759">
        <f t="shared" si="1"/>
        <v>43</v>
      </c>
      <c r="AR46" s="1756" t="e">
        <f>0.5*(S18+2*AQ46)*LN(1+2*AQ46/S18)</f>
        <v>#VALUE!</v>
      </c>
    </row>
    <row r="47" spans="4:60">
      <c r="AA47" s="1764"/>
      <c r="AB47" s="1765">
        <v>1</v>
      </c>
      <c r="AC47" s="1765">
        <v>1</v>
      </c>
      <c r="AD47" s="1765">
        <v>1</v>
      </c>
      <c r="AE47" s="1765">
        <v>1</v>
      </c>
      <c r="AF47" s="1764">
        <v>2</v>
      </c>
      <c r="AG47" s="1764">
        <v>2</v>
      </c>
      <c r="AH47" s="1764">
        <v>2</v>
      </c>
      <c r="AI47" s="1764">
        <v>2</v>
      </c>
      <c r="AJ47" s="1764">
        <v>3</v>
      </c>
      <c r="AK47" s="1764">
        <v>3</v>
      </c>
      <c r="AP47" s="1756" t="e">
        <f>IF(OR(AR47=S13,AR47&gt;S13),AR47,"")</f>
        <v>#VALUE!</v>
      </c>
      <c r="AQ47" s="1759">
        <f t="shared" si="1"/>
        <v>44</v>
      </c>
      <c r="AR47" s="1756" t="e">
        <f>0.5*(S18+2*AQ47)*LN(1+2*AQ47/S18)</f>
        <v>#VALUE!</v>
      </c>
    </row>
    <row r="48" spans="4:60">
      <c r="AA48" s="1764"/>
      <c r="AB48" s="1765">
        <v>2.4E-2</v>
      </c>
      <c r="AC48" s="1765">
        <v>2.4E-2</v>
      </c>
      <c r="AD48" s="1765">
        <v>0.04</v>
      </c>
      <c r="AE48" s="1765">
        <v>0.04</v>
      </c>
      <c r="AF48" s="1764">
        <v>2.4E-2</v>
      </c>
      <c r="AG48" s="1764">
        <v>2.4E-2</v>
      </c>
      <c r="AH48" s="1765">
        <v>0.04</v>
      </c>
      <c r="AI48" s="1765">
        <v>0.04</v>
      </c>
      <c r="AJ48" s="1764">
        <v>2.4E-2</v>
      </c>
      <c r="AK48" s="1764">
        <v>0.04</v>
      </c>
      <c r="AP48" s="1756" t="e">
        <f>IF(OR(AR48=S13,AR48&gt;S13),AR48,"")</f>
        <v>#VALUE!</v>
      </c>
      <c r="AQ48" s="1759">
        <f t="shared" si="1"/>
        <v>45</v>
      </c>
      <c r="AR48" s="1756" t="e">
        <f>0.5*(S18+2*AQ48)*LN(1+2*AQ48/S18)</f>
        <v>#VALUE!</v>
      </c>
    </row>
    <row r="49" spans="26:44">
      <c r="AA49" s="1764"/>
      <c r="AB49" s="1765">
        <v>9</v>
      </c>
      <c r="AC49" s="1765">
        <v>13.5</v>
      </c>
      <c r="AD49" s="1765">
        <v>9</v>
      </c>
      <c r="AE49" s="1765">
        <v>13.5</v>
      </c>
      <c r="AF49" s="1764">
        <v>5.7</v>
      </c>
      <c r="AG49" s="1764">
        <v>10</v>
      </c>
      <c r="AH49" s="1764">
        <v>5.7</v>
      </c>
      <c r="AI49" s="1764">
        <v>10</v>
      </c>
      <c r="AJ49" s="1764" t="s">
        <v>243</v>
      </c>
      <c r="AK49" s="1764" t="s">
        <v>243</v>
      </c>
      <c r="AP49" s="1756" t="e">
        <f>IF(OR(AR49=S13,AR49&gt;S13),AR49,"")</f>
        <v>#VALUE!</v>
      </c>
      <c r="AQ49" s="1759">
        <f t="shared" si="1"/>
        <v>46</v>
      </c>
      <c r="AR49" s="1756" t="e">
        <f>0.5*(S18+2*AQ49)*LN(1+2*AQ49/S18)</f>
        <v>#VALUE!</v>
      </c>
    </row>
    <row r="50" spans="26:44">
      <c r="AA50" s="1764">
        <v>10</v>
      </c>
      <c r="AB50" s="1764">
        <v>13</v>
      </c>
      <c r="AC50" s="1764">
        <v>13</v>
      </c>
      <c r="AD50" s="1764">
        <v>21</v>
      </c>
      <c r="AE50" s="1764">
        <v>14</v>
      </c>
      <c r="AF50" s="1764">
        <v>20</v>
      </c>
      <c r="AG50" s="1764">
        <v>13</v>
      </c>
      <c r="AH50" s="1764">
        <v>33</v>
      </c>
      <c r="AI50" s="1764">
        <v>19</v>
      </c>
      <c r="AJ50" s="1764">
        <v>13</v>
      </c>
      <c r="AK50" s="1764">
        <v>18</v>
      </c>
      <c r="AP50" s="1756" t="e">
        <f>IF(OR(AR50=S13,AR50&gt;S13),AR50,"")</f>
        <v>#VALUE!</v>
      </c>
      <c r="AQ50" s="1759">
        <f t="shared" si="1"/>
        <v>47</v>
      </c>
      <c r="AR50" s="1756" t="e">
        <f>0.5*(S18+2*AQ50)*LN(1+2*AQ50/S18)</f>
        <v>#VALUE!</v>
      </c>
    </row>
    <row r="51" spans="26:44">
      <c r="AA51" s="1764">
        <v>15</v>
      </c>
      <c r="AB51" s="1764">
        <v>20</v>
      </c>
      <c r="AC51" s="1764">
        <v>13</v>
      </c>
      <c r="AD51" s="1764">
        <v>33</v>
      </c>
      <c r="AE51" s="1764">
        <v>22</v>
      </c>
      <c r="AF51" s="1764">
        <v>31</v>
      </c>
      <c r="AG51" s="1764">
        <v>18</v>
      </c>
      <c r="AH51" s="1764">
        <v>52</v>
      </c>
      <c r="AI51" s="1764">
        <v>30</v>
      </c>
      <c r="AJ51" s="1764">
        <v>15</v>
      </c>
      <c r="AK51" s="1764">
        <v>25</v>
      </c>
      <c r="AP51" s="1756" t="e">
        <f>IF(OR(AR51=S13,AR51&gt;S13),AR51,"")</f>
        <v>#VALUE!</v>
      </c>
      <c r="AQ51" s="1759">
        <f t="shared" si="1"/>
        <v>48</v>
      </c>
      <c r="AR51" s="1756" t="e">
        <f>0.5*(S18+2*AQ51)*LN(1+2*AQ51/S18)</f>
        <v>#VALUE!</v>
      </c>
    </row>
    <row r="52" spans="26:44">
      <c r="AA52" s="1764">
        <v>20</v>
      </c>
      <c r="AB52" s="1764">
        <v>27</v>
      </c>
      <c r="AC52" s="1764">
        <v>18</v>
      </c>
      <c r="AD52" s="1764">
        <v>46</v>
      </c>
      <c r="AE52" s="1764">
        <v>30</v>
      </c>
      <c r="AF52" s="1764">
        <v>43</v>
      </c>
      <c r="AG52" s="1764">
        <v>25</v>
      </c>
      <c r="AH52" s="1764">
        <v>72</v>
      </c>
      <c r="AI52" s="1764">
        <v>41</v>
      </c>
      <c r="AJ52" s="1764">
        <v>15</v>
      </c>
      <c r="AK52" s="1764">
        <v>25</v>
      </c>
      <c r="AP52" s="1756" t="e">
        <f>IF(OR(AR52=S13,AR52&gt;S13),AR52,"")</f>
        <v>#VALUE!</v>
      </c>
      <c r="AQ52" s="1759">
        <f t="shared" si="1"/>
        <v>49</v>
      </c>
      <c r="AR52" s="1756" t="e">
        <f>0.5*(S18+2*AQ52)*LN(1+2*AQ52/S18)</f>
        <v>#VALUE!</v>
      </c>
    </row>
    <row r="53" spans="26:44">
      <c r="AA53" s="1764"/>
      <c r="AB53" s="1764"/>
      <c r="AC53" s="1764"/>
      <c r="AD53" s="1764"/>
      <c r="AE53" s="1764"/>
      <c r="AF53" s="1764"/>
      <c r="AG53" s="1764"/>
      <c r="AH53" s="1764"/>
      <c r="AI53" s="1764"/>
      <c r="AJ53" s="1764"/>
      <c r="AK53" s="1764"/>
      <c r="AP53" s="1756" t="e">
        <f>IF(OR(AR53=S13,AR53&gt;S13),AR53,"")</f>
        <v>#VALUE!</v>
      </c>
      <c r="AQ53" s="1759">
        <f t="shared" si="1"/>
        <v>50</v>
      </c>
      <c r="AR53" s="1756" t="e">
        <f>0.5*(S18+2*AQ53)*LN(1+2*AQ53/S18)</f>
        <v>#VALUE!</v>
      </c>
    </row>
    <row r="54" spans="26:44">
      <c r="AA54" s="1764">
        <v>10</v>
      </c>
      <c r="AB54" s="1764">
        <f t="shared" ref="AB54:AK54" si="23">IF($V$26=AB$45,AB50,0)</f>
        <v>0</v>
      </c>
      <c r="AC54" s="1764">
        <f t="shared" si="23"/>
        <v>0</v>
      </c>
      <c r="AD54" s="1764">
        <f t="shared" si="23"/>
        <v>0</v>
      </c>
      <c r="AE54" s="1764">
        <f t="shared" si="23"/>
        <v>0</v>
      </c>
      <c r="AF54" s="1764">
        <f t="shared" si="23"/>
        <v>0</v>
      </c>
      <c r="AG54" s="1764">
        <f t="shared" si="23"/>
        <v>0</v>
      </c>
      <c r="AH54" s="1764">
        <f t="shared" si="23"/>
        <v>0</v>
      </c>
      <c r="AI54" s="1764">
        <f t="shared" si="23"/>
        <v>0</v>
      </c>
      <c r="AJ54" s="1764">
        <f t="shared" si="23"/>
        <v>0</v>
      </c>
      <c r="AK54" s="1764">
        <f t="shared" si="23"/>
        <v>0</v>
      </c>
      <c r="AP54" s="1756" t="e">
        <f>IF(OR(AR54=S13,AR54&gt;S13),AR54,"")</f>
        <v>#VALUE!</v>
      </c>
      <c r="AQ54" s="1759">
        <f t="shared" si="1"/>
        <v>51</v>
      </c>
      <c r="AR54" s="1756" t="e">
        <f>0.5*(S18+2*AQ54)*LN(1+2*AQ54/S18)</f>
        <v>#VALUE!</v>
      </c>
    </row>
    <row r="55" spans="26:44">
      <c r="AA55" s="1764">
        <v>15</v>
      </c>
      <c r="AB55" s="1764">
        <f t="shared" ref="AB55:AK55" si="24">IF($V$26=AB$45,AB51,0)</f>
        <v>0</v>
      </c>
      <c r="AC55" s="1764">
        <f t="shared" si="24"/>
        <v>0</v>
      </c>
      <c r="AD55" s="1764">
        <f t="shared" si="24"/>
        <v>0</v>
      </c>
      <c r="AE55" s="1764">
        <f t="shared" si="24"/>
        <v>0</v>
      </c>
      <c r="AF55" s="1764">
        <f t="shared" si="24"/>
        <v>0</v>
      </c>
      <c r="AG55" s="1764">
        <f t="shared" si="24"/>
        <v>0</v>
      </c>
      <c r="AH55" s="1764">
        <f t="shared" si="24"/>
        <v>0</v>
      </c>
      <c r="AI55" s="1764">
        <f t="shared" si="24"/>
        <v>0</v>
      </c>
      <c r="AJ55" s="1764">
        <f t="shared" si="24"/>
        <v>0</v>
      </c>
      <c r="AK55" s="1764">
        <f t="shared" si="24"/>
        <v>0</v>
      </c>
      <c r="AP55" s="1756" t="e">
        <f>IF(OR(AR55=S13,AR55&gt;S13),AR55,"")</f>
        <v>#VALUE!</v>
      </c>
      <c r="AQ55" s="1759">
        <f t="shared" si="1"/>
        <v>52</v>
      </c>
      <c r="AR55" s="1756" t="e">
        <f>0.5*(S18+2*AQ55)*LN(1+2*AQ55/S18)</f>
        <v>#VALUE!</v>
      </c>
    </row>
    <row r="56" spans="26:44">
      <c r="AA56" s="1764">
        <v>20</v>
      </c>
      <c r="AB56" s="1764">
        <f t="shared" ref="AB56:AK56" si="25">IF($V$26=AB$45,AB52,0)</f>
        <v>0</v>
      </c>
      <c r="AC56" s="1764">
        <f t="shared" si="25"/>
        <v>0</v>
      </c>
      <c r="AD56" s="1764">
        <f t="shared" si="25"/>
        <v>0</v>
      </c>
      <c r="AE56" s="1764">
        <f t="shared" si="25"/>
        <v>0</v>
      </c>
      <c r="AF56" s="1764">
        <f t="shared" si="25"/>
        <v>0</v>
      </c>
      <c r="AG56" s="1764">
        <f t="shared" si="25"/>
        <v>0</v>
      </c>
      <c r="AH56" s="1764">
        <f t="shared" si="25"/>
        <v>0</v>
      </c>
      <c r="AI56" s="1764">
        <f t="shared" si="25"/>
        <v>0</v>
      </c>
      <c r="AJ56" s="1764">
        <f t="shared" si="25"/>
        <v>0</v>
      </c>
      <c r="AK56" s="1764">
        <f t="shared" si="25"/>
        <v>0</v>
      </c>
      <c r="AP56" s="1756" t="e">
        <f>IF(OR(AR56=S13,AR56&gt;S13),AR56,"")</f>
        <v>#VALUE!</v>
      </c>
      <c r="AQ56" s="1759">
        <f t="shared" si="1"/>
        <v>53</v>
      </c>
      <c r="AR56" s="1756" t="e">
        <f>0.5*(S18+2*AQ56)*LN(1+2*AQ56/S18)</f>
        <v>#VALUE!</v>
      </c>
    </row>
    <row r="57" spans="26:44">
      <c r="AP57" s="1756" t="e">
        <f>IF(OR(AR57=S13,AR57&gt;S13),AR57,"")</f>
        <v>#VALUE!</v>
      </c>
      <c r="AQ57" s="1759">
        <f t="shared" si="1"/>
        <v>54</v>
      </c>
      <c r="AR57" s="1756" t="e">
        <f>0.5*(S18+2*AQ57)*LN(1+2*AQ57/S18)</f>
        <v>#VALUE!</v>
      </c>
    </row>
    <row r="58" spans="26:44">
      <c r="AP58" s="1756" t="e">
        <f>IF(OR(AR58=S13,AR58&gt;S13),AR58,"")</f>
        <v>#VALUE!</v>
      </c>
      <c r="AQ58" s="1759">
        <f t="shared" si="1"/>
        <v>55</v>
      </c>
      <c r="AR58" s="1756" t="e">
        <f>0.5*(S18+2*AQ58)*LN(1+2*AQ58/S18)</f>
        <v>#VALUE!</v>
      </c>
    </row>
    <row r="59" spans="26:44">
      <c r="AB59" s="1761">
        <f t="shared" ref="AB59:AI59" si="26">AB61*AB62*AB63</f>
        <v>0.216</v>
      </c>
      <c r="AC59" s="1761">
        <f t="shared" si="26"/>
        <v>0.32400000000000001</v>
      </c>
      <c r="AD59" s="1761">
        <f t="shared" si="26"/>
        <v>0.36</v>
      </c>
      <c r="AE59" s="1761">
        <f t="shared" si="26"/>
        <v>0.54</v>
      </c>
      <c r="AF59" s="1761">
        <f t="shared" si="26"/>
        <v>0.27360000000000001</v>
      </c>
      <c r="AG59" s="1761">
        <f t="shared" si="26"/>
        <v>0.48</v>
      </c>
      <c r="AH59" s="1761">
        <f t="shared" si="26"/>
        <v>0.45600000000000002</v>
      </c>
      <c r="AI59" s="1761">
        <f t="shared" si="26"/>
        <v>0.8</v>
      </c>
      <c r="AJ59" s="1761">
        <f>AJ61*AJ62</f>
        <v>7.2000000000000008E-2</v>
      </c>
      <c r="AK59" s="1761">
        <f>AK61*AK62</f>
        <v>0.12</v>
      </c>
      <c r="AP59" s="1756" t="e">
        <f>IF(OR(AR59=S13,AR59&gt;S13),AR59,"")</f>
        <v>#VALUE!</v>
      </c>
      <c r="AQ59" s="1759">
        <f t="shared" si="1"/>
        <v>56</v>
      </c>
      <c r="AR59" s="1756" t="e">
        <f>0.5*(S18+2*AQ59)*LN(1+2*AQ59/S18)</f>
        <v>#VALUE!</v>
      </c>
    </row>
    <row r="60" spans="26:44">
      <c r="AB60" s="1764" t="s">
        <v>2372</v>
      </c>
      <c r="AC60" s="1764" t="s">
        <v>2372</v>
      </c>
      <c r="AD60" s="1764" t="s">
        <v>2372</v>
      </c>
      <c r="AE60" s="1764" t="s">
        <v>2372</v>
      </c>
      <c r="AF60" s="1764" t="s">
        <v>2374</v>
      </c>
      <c r="AG60" s="1764" t="s">
        <v>2374</v>
      </c>
      <c r="AH60" s="1764" t="s">
        <v>2374</v>
      </c>
      <c r="AI60" s="1764" t="s">
        <v>2374</v>
      </c>
      <c r="AJ60" s="1764" t="s">
        <v>2375</v>
      </c>
      <c r="AK60" s="1764" t="s">
        <v>2375</v>
      </c>
      <c r="AP60" s="1756" t="e">
        <f>IF(OR(AR60=S13,AR60&gt;S13),AR60,"")</f>
        <v>#VALUE!</v>
      </c>
      <c r="AQ60" s="1759">
        <f t="shared" si="1"/>
        <v>57</v>
      </c>
      <c r="AR60" s="1756" t="e">
        <f>0.5*(S18+2*AQ60)*LN(1+2*AQ60/S18)</f>
        <v>#VALUE!</v>
      </c>
    </row>
    <row r="61" spans="26:44">
      <c r="AB61" s="1765">
        <v>1</v>
      </c>
      <c r="AC61" s="1765">
        <v>1</v>
      </c>
      <c r="AD61" s="1765">
        <v>1</v>
      </c>
      <c r="AE61" s="1765">
        <v>1</v>
      </c>
      <c r="AF61" s="1764">
        <v>2</v>
      </c>
      <c r="AG61" s="1764">
        <v>2</v>
      </c>
      <c r="AH61" s="1764">
        <v>2</v>
      </c>
      <c r="AI61" s="1764">
        <v>2</v>
      </c>
      <c r="AJ61" s="1764">
        <v>3</v>
      </c>
      <c r="AK61" s="1764">
        <v>3</v>
      </c>
      <c r="AP61" s="1756" t="e">
        <f>IF(OR(AR61=S13,AR61&gt;S13),AR61,"")</f>
        <v>#VALUE!</v>
      </c>
      <c r="AQ61" s="1759">
        <f t="shared" si="1"/>
        <v>58</v>
      </c>
      <c r="AR61" s="1756" t="e">
        <f>0.5*(S18+2*AQ61)*LN(1+2*AQ61/S18)</f>
        <v>#VALUE!</v>
      </c>
    </row>
    <row r="62" spans="26:44">
      <c r="AB62" s="1765">
        <v>2.4E-2</v>
      </c>
      <c r="AC62" s="1765">
        <v>2.4E-2</v>
      </c>
      <c r="AD62" s="1765">
        <v>0.04</v>
      </c>
      <c r="AE62" s="1765">
        <v>0.04</v>
      </c>
      <c r="AF62" s="1764">
        <v>2.4E-2</v>
      </c>
      <c r="AG62" s="1764">
        <v>2.4E-2</v>
      </c>
      <c r="AH62" s="1765">
        <v>0.04</v>
      </c>
      <c r="AI62" s="1765">
        <v>0.04</v>
      </c>
      <c r="AJ62" s="1764">
        <v>2.4E-2</v>
      </c>
      <c r="AK62" s="1764">
        <v>0.04</v>
      </c>
      <c r="AP62" s="1756" t="e">
        <f>IF(OR(AR62=S13,AR62&gt;S13),AR62,"")</f>
        <v>#VALUE!</v>
      </c>
      <c r="AQ62" s="1759">
        <f t="shared" si="1"/>
        <v>59</v>
      </c>
      <c r="AR62" s="1756" t="e">
        <f>0.5*(S18+2*AQ62)*LN(1+2*AQ62/S18)</f>
        <v>#VALUE!</v>
      </c>
    </row>
    <row r="63" spans="26:44">
      <c r="AB63" s="1765">
        <v>9</v>
      </c>
      <c r="AC63" s="1765">
        <v>13.5</v>
      </c>
      <c r="AD63" s="1765">
        <v>9</v>
      </c>
      <c r="AE63" s="1765">
        <v>13.5</v>
      </c>
      <c r="AF63" s="1764">
        <v>5.7</v>
      </c>
      <c r="AG63" s="1764">
        <v>10</v>
      </c>
      <c r="AH63" s="1764">
        <v>5.7</v>
      </c>
      <c r="AI63" s="1764">
        <v>10</v>
      </c>
      <c r="AJ63" s="1764" t="s">
        <v>243</v>
      </c>
      <c r="AK63" s="1764" t="s">
        <v>243</v>
      </c>
      <c r="AP63" s="1756" t="e">
        <f>IF(OR(AR63=S13,AR63&gt;S13),AR63,"")</f>
        <v>#VALUE!</v>
      </c>
      <c r="AQ63" s="1759">
        <f t="shared" si="1"/>
        <v>60</v>
      </c>
      <c r="AR63" s="1756" t="e">
        <f>0.5*(S18+2*AQ63)*LN(1+2*AQ63/S18)</f>
        <v>#VALUE!</v>
      </c>
    </row>
    <row r="64" spans="26:44">
      <c r="Z64" s="1755">
        <v>0</v>
      </c>
      <c r="AA64" s="1764">
        <v>6</v>
      </c>
      <c r="AB64" s="1764">
        <v>18</v>
      </c>
      <c r="AC64" s="1764">
        <v>13</v>
      </c>
      <c r="AD64" s="1764">
        <v>27</v>
      </c>
      <c r="AE64" s="1764">
        <v>19</v>
      </c>
      <c r="AF64" s="1764">
        <v>25</v>
      </c>
      <c r="AG64" s="1764">
        <v>17</v>
      </c>
      <c r="AH64" s="1764">
        <v>38</v>
      </c>
      <c r="AI64" s="1764">
        <v>25</v>
      </c>
      <c r="AJ64" s="1764">
        <v>13</v>
      </c>
      <c r="AK64" s="1764">
        <v>13</v>
      </c>
      <c r="AP64" s="1756" t="e">
        <f>IF(OR(AR64=S13,AR64&gt;S13),AR64,"")</f>
        <v>#VALUE!</v>
      </c>
      <c r="AQ64" s="1759">
        <f t="shared" si="1"/>
        <v>61</v>
      </c>
      <c r="AR64" s="1756" t="e">
        <f>0.5*(S18+2*AQ64)*LN(1+2*AQ64/S18)</f>
        <v>#VALUE!</v>
      </c>
    </row>
    <row r="65" spans="26:44">
      <c r="AA65" s="1764">
        <v>8</v>
      </c>
      <c r="AB65" s="1764">
        <v>19</v>
      </c>
      <c r="AC65" s="1764">
        <v>14</v>
      </c>
      <c r="AD65" s="1764">
        <v>28</v>
      </c>
      <c r="AE65" s="1764">
        <v>21</v>
      </c>
      <c r="AF65" s="1764">
        <v>27</v>
      </c>
      <c r="AG65" s="1764">
        <v>18</v>
      </c>
      <c r="AH65" s="1764">
        <v>40</v>
      </c>
      <c r="AI65" s="1764">
        <v>26</v>
      </c>
      <c r="AJ65" s="1764">
        <v>13</v>
      </c>
      <c r="AK65" s="1764">
        <v>13</v>
      </c>
      <c r="AP65" s="1756" t="e">
        <f>IF(OR(AR65=S13,AR65&gt;S13),AR65,"")</f>
        <v>#VALUE!</v>
      </c>
      <c r="AQ65" s="1759">
        <f t="shared" si="1"/>
        <v>62</v>
      </c>
      <c r="AR65" s="1756" t="e">
        <f>0.5*(S18+2*AQ65)*LN(1+2*AQ65/S18)</f>
        <v>#VALUE!</v>
      </c>
    </row>
    <row r="66" spans="26:44">
      <c r="AA66" s="1764">
        <v>10</v>
      </c>
      <c r="AB66" s="1764">
        <v>20</v>
      </c>
      <c r="AC66" s="1764">
        <v>15</v>
      </c>
      <c r="AD66" s="1764">
        <v>30</v>
      </c>
      <c r="AE66" s="1764">
        <v>22</v>
      </c>
      <c r="AF66" s="1764">
        <v>29</v>
      </c>
      <c r="AG66" s="1764">
        <v>19</v>
      </c>
      <c r="AH66" s="1764">
        <v>43</v>
      </c>
      <c r="AI66" s="1764">
        <v>28</v>
      </c>
      <c r="AJ66" s="1764">
        <v>13</v>
      </c>
      <c r="AK66" s="1764">
        <v>13</v>
      </c>
      <c r="AP66" s="1756" t="e">
        <f>IF(OR(AR66=S13,AR66&gt;S13),AR66,"")</f>
        <v>#VALUE!</v>
      </c>
      <c r="AQ66" s="1759">
        <f t="shared" si="1"/>
        <v>63</v>
      </c>
      <c r="AR66" s="1756" t="e">
        <f>0.5*(S18+2*AQ66)*LN(1+2*AQ66/S18)</f>
        <v>#VALUE!</v>
      </c>
    </row>
    <row r="67" spans="26:44">
      <c r="AA67" s="1764">
        <v>12</v>
      </c>
      <c r="AB67" s="1764">
        <v>21</v>
      </c>
      <c r="AC67" s="1764">
        <v>15</v>
      </c>
      <c r="AD67" s="1764">
        <v>31</v>
      </c>
      <c r="AE67" s="1764">
        <v>23</v>
      </c>
      <c r="AF67" s="1764">
        <v>30</v>
      </c>
      <c r="AG67" s="1764">
        <v>19</v>
      </c>
      <c r="AH67" s="1764">
        <v>44</v>
      </c>
      <c r="AI67" s="1764">
        <v>29</v>
      </c>
      <c r="AJ67" s="1764">
        <v>13</v>
      </c>
      <c r="AK67" s="1764">
        <v>13</v>
      </c>
      <c r="AP67" s="1756" t="e">
        <f>IF(OR(AR67=S13,AR67&gt;S13),AR67,"")</f>
        <v>#VALUE!</v>
      </c>
      <c r="AQ67" s="1759">
        <f t="shared" si="1"/>
        <v>64</v>
      </c>
      <c r="AR67" s="1756" t="e">
        <f>0.5*(S18+2*AQ67)*LN(1+2*AQ67/S18)</f>
        <v>#VALUE!</v>
      </c>
    </row>
    <row r="68" spans="26:44">
      <c r="AA68" s="1764">
        <v>15</v>
      </c>
      <c r="AB68" s="1764">
        <v>22</v>
      </c>
      <c r="AC68" s="1764">
        <v>16</v>
      </c>
      <c r="AD68" s="1764">
        <v>33</v>
      </c>
      <c r="AE68" s="1764">
        <v>24</v>
      </c>
      <c r="AF68" s="1764">
        <v>31</v>
      </c>
      <c r="AG68" s="1764">
        <v>20</v>
      </c>
      <c r="AH68" s="1764">
        <v>47</v>
      </c>
      <c r="AI68" s="1764">
        <v>30</v>
      </c>
      <c r="AJ68" s="1764">
        <v>13</v>
      </c>
      <c r="AK68" s="1764">
        <v>13</v>
      </c>
      <c r="AP68" s="1756" t="e">
        <f>IF(OR(AR68=S13,AR68&gt;S13),AR68,"")</f>
        <v>#VALUE!</v>
      </c>
      <c r="AQ68" s="1759">
        <f t="shared" si="1"/>
        <v>65</v>
      </c>
      <c r="AR68" s="1756" t="e">
        <f>0.5*(S18+2*AQ68)*LN(1+2*AQ68/S18)</f>
        <v>#VALUE!</v>
      </c>
    </row>
    <row r="69" spans="26:44">
      <c r="AA69" s="1764">
        <v>22</v>
      </c>
      <c r="AB69" s="1764">
        <v>24</v>
      </c>
      <c r="AC69" s="1764">
        <v>18</v>
      </c>
      <c r="AD69" s="1764">
        <v>36</v>
      </c>
      <c r="AE69" s="1764">
        <v>26</v>
      </c>
      <c r="AF69" s="1764">
        <v>34</v>
      </c>
      <c r="AG69" s="1764">
        <v>22</v>
      </c>
      <c r="AH69" s="1764">
        <v>51</v>
      </c>
      <c r="AI69" s="1764">
        <v>33</v>
      </c>
      <c r="AJ69" s="1764">
        <v>13</v>
      </c>
      <c r="AK69" s="1764">
        <v>13</v>
      </c>
      <c r="AP69" s="1756" t="e">
        <f>IF(OR(AR69=S13,AR69&gt;S13),AR69,"")</f>
        <v>#VALUE!</v>
      </c>
      <c r="AQ69" s="1759">
        <f t="shared" si="1"/>
        <v>66</v>
      </c>
      <c r="AR69" s="1756" t="e">
        <f>0.5*(S18+2*AQ69)*LN(1+2*AQ69/S18)</f>
        <v>#VALUE!</v>
      </c>
    </row>
    <row r="70" spans="26:44">
      <c r="AA70" s="1764">
        <v>28</v>
      </c>
      <c r="AB70" s="1764">
        <v>25</v>
      </c>
      <c r="AC70" s="1764">
        <v>18</v>
      </c>
      <c r="AD70" s="1764">
        <v>38</v>
      </c>
      <c r="AE70" s="1764">
        <v>28</v>
      </c>
      <c r="AF70" s="1764">
        <v>36</v>
      </c>
      <c r="AG70" s="1764">
        <v>23</v>
      </c>
      <c r="AH70" s="1764">
        <v>54</v>
      </c>
      <c r="AI70" s="1764">
        <v>35</v>
      </c>
      <c r="AJ70" s="1764">
        <v>13</v>
      </c>
      <c r="AK70" s="1764">
        <v>25</v>
      </c>
      <c r="AP70" s="1756" t="e">
        <f>IF(OR(AR70=S13,AR70&gt;S13),AR70,"")</f>
        <v>#VALUE!</v>
      </c>
      <c r="AQ70" s="1759">
        <f t="shared" ref="AQ70:AQ133" si="27">AQ69+1</f>
        <v>67</v>
      </c>
      <c r="AR70" s="1756" t="e">
        <f>0.5*(S18+2*AQ70)*LN(1+2*AQ70/S18)</f>
        <v>#VALUE!</v>
      </c>
    </row>
    <row r="71" spans="26:44">
      <c r="AA71" s="1764">
        <v>35</v>
      </c>
      <c r="AB71" s="1764">
        <v>27</v>
      </c>
      <c r="AC71" s="1764">
        <v>19</v>
      </c>
      <c r="AD71" s="1764">
        <v>40</v>
      </c>
      <c r="AE71" s="1764">
        <v>29</v>
      </c>
      <c r="AF71" s="1764">
        <v>38</v>
      </c>
      <c r="AG71" s="1764">
        <v>24</v>
      </c>
      <c r="AH71" s="1764">
        <v>57</v>
      </c>
      <c r="AI71" s="1764">
        <v>37</v>
      </c>
      <c r="AJ71" s="1764">
        <v>13</v>
      </c>
      <c r="AK71" s="1764">
        <v>25</v>
      </c>
      <c r="AP71" s="1756" t="e">
        <f>IF(OR(AR71=S13,AR71&gt;S13),AR71,"")</f>
        <v>#VALUE!</v>
      </c>
      <c r="AQ71" s="1759">
        <f t="shared" si="27"/>
        <v>68</v>
      </c>
      <c r="AR71" s="1756" t="e">
        <f>0.5*(S18+2*AQ71)*LN(1+2*AQ71/S18)</f>
        <v>#VALUE!</v>
      </c>
    </row>
    <row r="72" spans="26:44">
      <c r="AA72" s="1764">
        <v>42</v>
      </c>
      <c r="AB72" s="1764">
        <v>28</v>
      </c>
      <c r="AC72" s="1764">
        <v>20</v>
      </c>
      <c r="AD72" s="1764">
        <v>41</v>
      </c>
      <c r="AE72" s="1764">
        <v>30</v>
      </c>
      <c r="AF72" s="1764">
        <v>40</v>
      </c>
      <c r="AG72" s="1764">
        <v>25</v>
      </c>
      <c r="AH72" s="1764">
        <v>59</v>
      </c>
      <c r="AI72" s="1764">
        <v>38</v>
      </c>
      <c r="AJ72" s="1764">
        <v>13</v>
      </c>
      <c r="AK72" s="1764">
        <v>25</v>
      </c>
      <c r="AP72" s="1756" t="e">
        <f>IF(OR(AR72=S13,AR72&gt;S13),AR72,"")</f>
        <v>#VALUE!</v>
      </c>
      <c r="AQ72" s="1759">
        <f t="shared" si="27"/>
        <v>69</v>
      </c>
      <c r="AR72" s="1756" t="e">
        <f>0.5*(S18+2*AQ72)*LN(1+2*AQ72/S18)</f>
        <v>#VALUE!</v>
      </c>
    </row>
    <row r="73" spans="26:44">
      <c r="AA73" s="1764">
        <v>54</v>
      </c>
      <c r="AB73" s="1764">
        <v>29</v>
      </c>
      <c r="AC73" s="1764">
        <v>21</v>
      </c>
      <c r="AD73" s="1764">
        <v>44</v>
      </c>
      <c r="AE73" s="1764">
        <v>31</v>
      </c>
      <c r="AF73" s="1764">
        <v>42</v>
      </c>
      <c r="AG73" s="1764">
        <v>27</v>
      </c>
      <c r="AH73" s="1764">
        <v>62</v>
      </c>
      <c r="AI73" s="1764">
        <v>40</v>
      </c>
      <c r="AJ73" s="1764">
        <v>13</v>
      </c>
      <c r="AK73" s="1764">
        <v>25</v>
      </c>
      <c r="AP73" s="1756" t="e">
        <f>IF(OR(AR73=S13,AR73&gt;S13),AR73,"")</f>
        <v>#VALUE!</v>
      </c>
      <c r="AQ73" s="1759">
        <f t="shared" si="27"/>
        <v>70</v>
      </c>
      <c r="AR73" s="1756" t="e">
        <f>0.5*(S18+2*AQ73)*LN(1+2*AQ73/S18)</f>
        <v>#VALUE!</v>
      </c>
    </row>
    <row r="74" spans="26:44">
      <c r="AA74" s="1764">
        <v>76.099999999999994</v>
      </c>
      <c r="AB74" s="1764">
        <v>31</v>
      </c>
      <c r="AC74" s="1764">
        <v>22</v>
      </c>
      <c r="AD74" s="1764">
        <v>47</v>
      </c>
      <c r="AE74" s="1764">
        <v>33</v>
      </c>
      <c r="AF74" s="1764">
        <v>45</v>
      </c>
      <c r="AG74" s="1764">
        <v>28</v>
      </c>
      <c r="AH74" s="1764">
        <v>67</v>
      </c>
      <c r="AI74" s="1764">
        <v>43</v>
      </c>
      <c r="AJ74" s="1764">
        <v>14</v>
      </c>
      <c r="AK74" s="1764">
        <v>25</v>
      </c>
      <c r="AP74" s="1756" t="e">
        <f>IF(OR(AR74=S13,AR74&gt;S13),AR74,"")</f>
        <v>#VALUE!</v>
      </c>
      <c r="AQ74" s="1759">
        <f t="shared" si="27"/>
        <v>71</v>
      </c>
      <c r="AR74" s="1756" t="e">
        <f>0.5*(S18+2*AQ74)*LN(1+2*AQ74/S18)</f>
        <v>#VALUE!</v>
      </c>
    </row>
    <row r="75" spans="26:44">
      <c r="AB75" s="1764"/>
      <c r="AC75" s="1764"/>
      <c r="AD75" s="1764"/>
      <c r="AE75" s="1764"/>
      <c r="AF75" s="1764"/>
      <c r="AG75" s="1764"/>
      <c r="AH75" s="1764"/>
      <c r="AI75" s="1764"/>
      <c r="AJ75" s="1764"/>
      <c r="AK75" s="1764"/>
      <c r="AP75" s="1756" t="e">
        <f>IF(OR(AR75=S13,AR75&gt;S13),AR75,"")</f>
        <v>#VALUE!</v>
      </c>
      <c r="AQ75" s="1759">
        <f t="shared" si="27"/>
        <v>72</v>
      </c>
      <c r="AR75" s="1756" t="e">
        <f>0.5*(S18+2*AQ75)*LN(1+2*AQ75/S18)</f>
        <v>#VALUE!</v>
      </c>
    </row>
    <row r="76" spans="26:44">
      <c r="Z76" s="1755">
        <v>-10</v>
      </c>
      <c r="AA76" s="1764">
        <v>6</v>
      </c>
      <c r="AB76" s="1764">
        <v>23</v>
      </c>
      <c r="AC76" s="1764">
        <v>17</v>
      </c>
      <c r="AD76" s="1764">
        <v>34</v>
      </c>
      <c r="AE76" s="1764">
        <v>25</v>
      </c>
      <c r="AF76" s="1764">
        <v>33</v>
      </c>
      <c r="AG76" s="1764">
        <v>21</v>
      </c>
      <c r="AH76" s="1764">
        <v>49</v>
      </c>
      <c r="AI76" s="1764">
        <v>31</v>
      </c>
      <c r="AJ76" s="1764">
        <v>13</v>
      </c>
      <c r="AK76" s="1764">
        <v>13</v>
      </c>
      <c r="AP76" s="1756" t="e">
        <f>IF(OR(AR76=S13,AR76&gt;S13),AR76,"")</f>
        <v>#VALUE!</v>
      </c>
      <c r="AQ76" s="1759">
        <f t="shared" si="27"/>
        <v>73</v>
      </c>
      <c r="AR76" s="1756" t="e">
        <f>0.5*(S18+2*AQ76)*LN(1+2*AQ76/S18)</f>
        <v>#VALUE!</v>
      </c>
    </row>
    <row r="77" spans="26:44">
      <c r="AA77" s="1764">
        <v>8</v>
      </c>
      <c r="AB77" s="1764">
        <v>24</v>
      </c>
      <c r="AC77" s="1764">
        <v>18</v>
      </c>
      <c r="AD77" s="1764">
        <v>36</v>
      </c>
      <c r="AE77" s="1764">
        <v>26</v>
      </c>
      <c r="AF77" s="1764">
        <v>35</v>
      </c>
      <c r="AG77" s="1764">
        <v>23</v>
      </c>
      <c r="AH77" s="1764">
        <v>52</v>
      </c>
      <c r="AI77" s="1764">
        <v>33</v>
      </c>
      <c r="AJ77" s="1764">
        <v>13</v>
      </c>
      <c r="AK77" s="1764">
        <v>13</v>
      </c>
      <c r="AP77" s="1756" t="e">
        <f>IF(OR(AR77=S13,AR77&gt;S13),AR77,"")</f>
        <v>#VALUE!</v>
      </c>
      <c r="AQ77" s="1759">
        <f t="shared" si="27"/>
        <v>74</v>
      </c>
      <c r="AR77" s="1756" t="e">
        <f>0.5*(S18+2*AQ77)*LN(1+2*AQ77/S18)</f>
        <v>#VALUE!</v>
      </c>
    </row>
    <row r="78" spans="26:44">
      <c r="AA78" s="1764">
        <v>10</v>
      </c>
      <c r="AB78" s="1764">
        <v>26</v>
      </c>
      <c r="AC78" s="1764">
        <v>19</v>
      </c>
      <c r="AD78" s="1764">
        <v>38</v>
      </c>
      <c r="AE78" s="1764">
        <v>28</v>
      </c>
      <c r="AF78" s="1764">
        <v>37</v>
      </c>
      <c r="AG78" s="1764">
        <v>24</v>
      </c>
      <c r="AH78" s="1764">
        <v>54</v>
      </c>
      <c r="AI78" s="1764">
        <v>35</v>
      </c>
      <c r="AJ78" s="1764">
        <v>13</v>
      </c>
      <c r="AK78" s="1764">
        <v>13</v>
      </c>
      <c r="AP78" s="1756" t="e">
        <f>IF(OR(AR78=S13,AR78&gt;S13),AR78,"")</f>
        <v>#VALUE!</v>
      </c>
      <c r="AQ78" s="1759">
        <f t="shared" si="27"/>
        <v>75</v>
      </c>
      <c r="AR78" s="1756" t="e">
        <f>0.5*(S18+2*AQ78)*LN(1+2*AQ78/S18)</f>
        <v>#VALUE!</v>
      </c>
    </row>
    <row r="79" spans="26:44">
      <c r="AA79" s="1764">
        <v>12</v>
      </c>
      <c r="AB79" s="1764">
        <v>27</v>
      </c>
      <c r="AC79" s="1764">
        <v>20</v>
      </c>
      <c r="AD79" s="1764">
        <v>40</v>
      </c>
      <c r="AE79" s="1764">
        <v>29</v>
      </c>
      <c r="AF79" s="1764">
        <v>38</v>
      </c>
      <c r="AG79" s="1764">
        <v>25</v>
      </c>
      <c r="AH79" s="1764">
        <v>57</v>
      </c>
      <c r="AI79" s="1764">
        <v>37</v>
      </c>
      <c r="AJ79" s="1764">
        <v>13</v>
      </c>
      <c r="AK79" s="1764">
        <v>13</v>
      </c>
      <c r="AP79" s="1756" t="e">
        <f>IF(OR(AR79=S13,AR79&gt;S13),AR79,"")</f>
        <v>#VALUE!</v>
      </c>
      <c r="AQ79" s="1759">
        <f t="shared" si="27"/>
        <v>76</v>
      </c>
      <c r="AR79" s="1756" t="e">
        <f>0.5*(S18+2*AQ79)*LN(1+2*AQ79/S18)</f>
        <v>#VALUE!</v>
      </c>
    </row>
    <row r="80" spans="26:44">
      <c r="AA80" s="1764">
        <v>15</v>
      </c>
      <c r="AB80" s="1764">
        <v>28</v>
      </c>
      <c r="AC80" s="1764">
        <v>21</v>
      </c>
      <c r="AD80" s="1764">
        <v>42</v>
      </c>
      <c r="AE80" s="1764">
        <v>31</v>
      </c>
      <c r="AF80" s="1764">
        <v>40</v>
      </c>
      <c r="AG80" s="1764">
        <v>26</v>
      </c>
      <c r="AH80" s="1764">
        <v>59</v>
      </c>
      <c r="AI80" s="1764">
        <v>39</v>
      </c>
      <c r="AJ80" s="1764">
        <v>13</v>
      </c>
      <c r="AK80" s="1764">
        <v>13</v>
      </c>
      <c r="AP80" s="1756" t="e">
        <f>IF(OR(AR80=S13,AR80&gt;S13),AR80,"")</f>
        <v>#VALUE!</v>
      </c>
      <c r="AQ80" s="1759">
        <f t="shared" si="27"/>
        <v>77</v>
      </c>
      <c r="AR80" s="1756" t="e">
        <f>0.5*(S18+2*AQ80)*LN(1+2*AQ80/S18)</f>
        <v>#VALUE!</v>
      </c>
    </row>
    <row r="81" spans="26:44">
      <c r="AA81" s="1764">
        <v>22</v>
      </c>
      <c r="AB81" s="1764">
        <v>31</v>
      </c>
      <c r="AC81" s="1764">
        <v>22</v>
      </c>
      <c r="AD81" s="1764">
        <v>46</v>
      </c>
      <c r="AE81" s="1764">
        <v>33</v>
      </c>
      <c r="AF81" s="1764">
        <v>44</v>
      </c>
      <c r="AG81" s="1764">
        <v>28</v>
      </c>
      <c r="AH81" s="1764">
        <v>65</v>
      </c>
      <c r="AI81" s="1764">
        <v>42</v>
      </c>
      <c r="AJ81" s="1764">
        <v>13</v>
      </c>
      <c r="AK81" s="1764">
        <v>13</v>
      </c>
      <c r="AP81" s="1756" t="e">
        <f>IF(OR(AR81=S13,AR81&gt;S13),AR81,"")</f>
        <v>#VALUE!</v>
      </c>
      <c r="AQ81" s="1759">
        <f t="shared" si="27"/>
        <v>78</v>
      </c>
      <c r="AR81" s="1756" t="e">
        <f>0.5*(S18+2*AQ81)*LN(1+2*AQ81/S18)</f>
        <v>#VALUE!</v>
      </c>
    </row>
    <row r="82" spans="26:44">
      <c r="AA82" s="1764">
        <v>28</v>
      </c>
      <c r="AB82" s="1764">
        <v>32</v>
      </c>
      <c r="AC82" s="1764">
        <v>24</v>
      </c>
      <c r="AD82" s="1764">
        <v>48</v>
      </c>
      <c r="AE82" s="1764">
        <v>35</v>
      </c>
      <c r="AF82" s="1764">
        <v>46</v>
      </c>
      <c r="AG82" s="1764">
        <v>30</v>
      </c>
      <c r="AH82" s="1764">
        <v>69</v>
      </c>
      <c r="AI82" s="1764">
        <v>44</v>
      </c>
      <c r="AJ82" s="1764">
        <v>13</v>
      </c>
      <c r="AK82" s="1764">
        <v>25</v>
      </c>
      <c r="AP82" s="1756" t="e">
        <f>IF(OR(AR82=S13,AR82&gt;S13),AR82,"")</f>
        <v>#VALUE!</v>
      </c>
      <c r="AQ82" s="1759">
        <f t="shared" si="27"/>
        <v>79</v>
      </c>
      <c r="AR82" s="1756" t="e">
        <f>0.5*(S18+2*AQ82)*LN(1+2*AQ82/S18)</f>
        <v>#VALUE!</v>
      </c>
    </row>
    <row r="83" spans="26:44">
      <c r="AA83" s="1764">
        <v>35</v>
      </c>
      <c r="AB83" s="1764">
        <v>34</v>
      </c>
      <c r="AC83" s="1764">
        <v>25</v>
      </c>
      <c r="AD83" s="1764">
        <v>51</v>
      </c>
      <c r="AE83" s="1764">
        <v>37</v>
      </c>
      <c r="AF83" s="1764">
        <v>49</v>
      </c>
      <c r="AG83" s="1764">
        <v>31</v>
      </c>
      <c r="AH83" s="1764">
        <v>72</v>
      </c>
      <c r="AI83" s="1764">
        <v>47</v>
      </c>
      <c r="AJ83" s="1764">
        <v>13</v>
      </c>
      <c r="AK83" s="1764">
        <v>25</v>
      </c>
      <c r="AP83" s="1756" t="e">
        <f>IF(OR(AR83=S13,AR83&gt;S13),AR83,"")</f>
        <v>#VALUE!</v>
      </c>
      <c r="AQ83" s="1759">
        <f t="shared" si="27"/>
        <v>80</v>
      </c>
      <c r="AR83" s="1756" t="e">
        <f>0.5*(S18+2*AQ83)*LN(1+2*AQ83/S18)</f>
        <v>#VALUE!</v>
      </c>
    </row>
    <row r="84" spans="26:44">
      <c r="AA84" s="1764">
        <v>42</v>
      </c>
      <c r="AB84" s="1764">
        <v>35</v>
      </c>
      <c r="AC84" s="1764">
        <v>26</v>
      </c>
      <c r="AD84" s="1764">
        <v>53</v>
      </c>
      <c r="AE84" s="1764">
        <v>38</v>
      </c>
      <c r="AF84" s="1764">
        <v>51</v>
      </c>
      <c r="AG84" s="1764">
        <v>33</v>
      </c>
      <c r="AH84" s="1764">
        <v>75</v>
      </c>
      <c r="AI84" s="1764">
        <v>49</v>
      </c>
      <c r="AJ84" s="1764">
        <v>13</v>
      </c>
      <c r="AK84" s="1764">
        <v>25</v>
      </c>
      <c r="AP84" s="1756" t="e">
        <f>IF(OR(AR84=S13,AR84&gt;S13),AR84,"")</f>
        <v>#VALUE!</v>
      </c>
      <c r="AQ84" s="1759">
        <f t="shared" si="27"/>
        <v>81</v>
      </c>
      <c r="AR84" s="1756" t="e">
        <f>0.5*(S18+2*AQ84)*LN(1+2*AQ84/S18)</f>
        <v>#VALUE!</v>
      </c>
    </row>
    <row r="85" spans="26:44">
      <c r="AA85" s="1764">
        <v>54</v>
      </c>
      <c r="AB85" s="1764">
        <v>37</v>
      </c>
      <c r="AC85" s="1764">
        <v>27</v>
      </c>
      <c r="AD85" s="1764">
        <v>56</v>
      </c>
      <c r="AE85" s="1764">
        <v>40</v>
      </c>
      <c r="AF85" s="1764">
        <v>54</v>
      </c>
      <c r="AG85" s="1764">
        <v>34</v>
      </c>
      <c r="AH85" s="1764">
        <v>80</v>
      </c>
      <c r="AI85" s="1764">
        <v>51</v>
      </c>
      <c r="AJ85" s="1764">
        <v>13</v>
      </c>
      <c r="AK85" s="1764">
        <v>25</v>
      </c>
      <c r="AP85" s="1756" t="e">
        <f>IF(OR(AR85=S13,AR85&gt;S13),AR85,"")</f>
        <v>#VALUE!</v>
      </c>
      <c r="AQ85" s="1759">
        <f t="shared" si="27"/>
        <v>82</v>
      </c>
      <c r="AR85" s="1756" t="e">
        <f>0.5*(S18+2*AQ85)*LN(1+2*AQ85/S18)</f>
        <v>#VALUE!</v>
      </c>
    </row>
    <row r="86" spans="26:44">
      <c r="AA86" s="1764">
        <v>76.099999999999994</v>
      </c>
      <c r="AB86" s="1764">
        <v>40</v>
      </c>
      <c r="AC86" s="1764">
        <v>28</v>
      </c>
      <c r="AD86" s="1764">
        <v>60</v>
      </c>
      <c r="AE86" s="1764">
        <v>43</v>
      </c>
      <c r="AF86" s="1764">
        <v>57</v>
      </c>
      <c r="AG86" s="1764">
        <v>36</v>
      </c>
      <c r="AH86" s="1764">
        <v>86</v>
      </c>
      <c r="AI86" s="1764">
        <v>55</v>
      </c>
      <c r="AJ86" s="1764">
        <v>14</v>
      </c>
      <c r="AK86" s="1764">
        <v>25</v>
      </c>
      <c r="AP86" s="1756" t="e">
        <f>IF(OR(AR86=S13,AR86&gt;S13),AR86,"")</f>
        <v>#VALUE!</v>
      </c>
      <c r="AQ86" s="1759">
        <f t="shared" si="27"/>
        <v>83</v>
      </c>
      <c r="AR86" s="1756" t="e">
        <f>0.5*(S18+2*AQ86)*LN(1+2*AQ86/S18)</f>
        <v>#VALUE!</v>
      </c>
    </row>
    <row r="87" spans="26:44">
      <c r="AB87" s="1764"/>
      <c r="AC87" s="1764"/>
      <c r="AD87" s="1764"/>
      <c r="AE87" s="1764"/>
      <c r="AF87" s="1764"/>
      <c r="AG87" s="1764"/>
      <c r="AH87" s="1764"/>
      <c r="AI87" s="1764"/>
      <c r="AJ87" s="1764"/>
      <c r="AK87" s="1764"/>
      <c r="AP87" s="1756" t="e">
        <f>IF(OR(AR87=S13,AR87&gt;S13),AR87,"")</f>
        <v>#VALUE!</v>
      </c>
      <c r="AQ87" s="1759">
        <f t="shared" si="27"/>
        <v>84</v>
      </c>
      <c r="AR87" s="1756" t="e">
        <f>0.5*(S18+2*AQ87)*LN(1+2*AQ87/S18)</f>
        <v>#VALUE!</v>
      </c>
    </row>
    <row r="88" spans="26:44">
      <c r="Z88" s="1755">
        <v>-20</v>
      </c>
      <c r="AA88" s="1764">
        <v>6</v>
      </c>
      <c r="AB88" s="1764">
        <v>28</v>
      </c>
      <c r="AC88" s="1764">
        <v>20</v>
      </c>
      <c r="AD88" s="1764">
        <v>41</v>
      </c>
      <c r="AE88" s="1764">
        <v>30</v>
      </c>
      <c r="AF88" s="1764">
        <v>39</v>
      </c>
      <c r="AG88" s="1764">
        <v>25</v>
      </c>
      <c r="AH88" s="1764">
        <v>59</v>
      </c>
      <c r="AI88" s="1764">
        <v>38</v>
      </c>
      <c r="AJ88" s="1764">
        <v>13</v>
      </c>
      <c r="AK88" s="1764">
        <v>13</v>
      </c>
      <c r="AP88" s="1756" t="e">
        <f>IF(OR(AR88=S13,AR88&gt;S13),AR88,"")</f>
        <v>#VALUE!</v>
      </c>
      <c r="AQ88" s="1759">
        <f t="shared" si="27"/>
        <v>85</v>
      </c>
      <c r="AR88" s="1756" t="e">
        <f>0.5*(S18+2*AQ88)*LN(1+2*AQ88/S18)</f>
        <v>#VALUE!</v>
      </c>
    </row>
    <row r="89" spans="26:44">
      <c r="AA89" s="1764">
        <v>8</v>
      </c>
      <c r="AB89" s="1764">
        <v>29</v>
      </c>
      <c r="AC89" s="1764">
        <v>21</v>
      </c>
      <c r="AD89" s="1764">
        <v>44</v>
      </c>
      <c r="AE89" s="1764">
        <v>32</v>
      </c>
      <c r="AF89" s="1764">
        <v>42</v>
      </c>
      <c r="AG89" s="1764">
        <v>27</v>
      </c>
      <c r="AH89" s="1764">
        <v>62</v>
      </c>
      <c r="AI89" s="1764">
        <v>40</v>
      </c>
      <c r="AJ89" s="1764">
        <v>13</v>
      </c>
      <c r="AK89" s="1764">
        <v>13</v>
      </c>
      <c r="AP89" s="1756" t="e">
        <f>IF(OR(AR89=S13,AR89&gt;S13),AR89,"")</f>
        <v>#VALUE!</v>
      </c>
      <c r="AQ89" s="1759">
        <f t="shared" si="27"/>
        <v>86</v>
      </c>
      <c r="AR89" s="1756" t="e">
        <f>0.5*(S18+2*AQ89)*LN(1+2*AQ89/S18)</f>
        <v>#VALUE!</v>
      </c>
    </row>
    <row r="90" spans="26:44">
      <c r="AA90" s="1764">
        <v>10</v>
      </c>
      <c r="AB90" s="1764">
        <v>31</v>
      </c>
      <c r="AC90" s="1764">
        <v>23</v>
      </c>
      <c r="AD90" s="1764">
        <v>46</v>
      </c>
      <c r="AE90" s="1764">
        <v>33</v>
      </c>
      <c r="AF90" s="1764">
        <v>44</v>
      </c>
      <c r="AG90" s="1764">
        <v>28</v>
      </c>
      <c r="AH90" s="1764">
        <v>65</v>
      </c>
      <c r="AI90" s="1764">
        <v>42</v>
      </c>
      <c r="AJ90" s="1764">
        <v>13</v>
      </c>
      <c r="AK90" s="1764">
        <v>13</v>
      </c>
      <c r="AP90" s="1756" t="e">
        <f>IF(OR(AR90=S13,AR90&gt;S13),AR90,"")</f>
        <v>#VALUE!</v>
      </c>
      <c r="AQ90" s="1759">
        <f t="shared" si="27"/>
        <v>87</v>
      </c>
      <c r="AR90" s="1756" t="e">
        <f>0.5*(S18+2*AQ90)*LN(1+2*AQ90/S18)</f>
        <v>#VALUE!</v>
      </c>
    </row>
    <row r="91" spans="26:44">
      <c r="AA91" s="1764">
        <v>12</v>
      </c>
      <c r="AB91" s="1764">
        <v>32</v>
      </c>
      <c r="AC91" s="1764">
        <v>24</v>
      </c>
      <c r="AD91" s="1764">
        <v>48</v>
      </c>
      <c r="AE91" s="1764">
        <v>35</v>
      </c>
      <c r="AF91" s="1764">
        <v>46</v>
      </c>
      <c r="AG91" s="1764">
        <v>30</v>
      </c>
      <c r="AH91" s="1764">
        <v>58</v>
      </c>
      <c r="AI91" s="1764">
        <v>44</v>
      </c>
      <c r="AJ91" s="1764">
        <v>13</v>
      </c>
      <c r="AK91" s="1764">
        <v>13</v>
      </c>
      <c r="AP91" s="1756" t="e">
        <f>IF(OR(AR91=S13,AR91&gt;S13),AR91,"")</f>
        <v>#VALUE!</v>
      </c>
      <c r="AQ91" s="1759">
        <f t="shared" si="27"/>
        <v>88</v>
      </c>
      <c r="AR91" s="1756" t="e">
        <f>0.5*(S18+2*AQ91)*LN(1+2*AQ91/S18)</f>
        <v>#VALUE!</v>
      </c>
    </row>
    <row r="92" spans="26:44">
      <c r="AA92" s="1764">
        <v>15</v>
      </c>
      <c r="AB92" s="1764">
        <v>34</v>
      </c>
      <c r="AC92" s="1764">
        <v>25</v>
      </c>
      <c r="AD92" s="1764">
        <v>50</v>
      </c>
      <c r="AE92" s="1764">
        <v>37</v>
      </c>
      <c r="AF92" s="1764">
        <v>48</v>
      </c>
      <c r="AG92" s="1764">
        <v>31</v>
      </c>
      <c r="AH92" s="1764">
        <v>72</v>
      </c>
      <c r="AI92" s="1764">
        <v>46</v>
      </c>
      <c r="AJ92" s="1764">
        <v>13</v>
      </c>
      <c r="AK92" s="1764">
        <v>13</v>
      </c>
      <c r="AP92" s="1756" t="e">
        <f>IF(OR(AR92=S13,AR92&gt;S13),AR92,"")</f>
        <v>#VALUE!</v>
      </c>
      <c r="AQ92" s="1759">
        <f t="shared" si="27"/>
        <v>89</v>
      </c>
      <c r="AR92" s="1756" t="e">
        <f>0.5*(S18+2*AQ92)*LN(1+2*AQ92/S18)</f>
        <v>#VALUE!</v>
      </c>
    </row>
    <row r="93" spans="26:44">
      <c r="AA93" s="1764">
        <v>22</v>
      </c>
      <c r="AB93" s="1764">
        <v>37</v>
      </c>
      <c r="AC93" s="1764">
        <v>27</v>
      </c>
      <c r="AD93" s="1764">
        <v>55</v>
      </c>
      <c r="AE93" s="1764">
        <v>40</v>
      </c>
      <c r="AF93" s="1764">
        <v>53</v>
      </c>
      <c r="AG93" s="1764">
        <v>34</v>
      </c>
      <c r="AH93" s="1764">
        <v>78</v>
      </c>
      <c r="AI93" s="1764">
        <v>51</v>
      </c>
      <c r="AJ93" s="1764">
        <v>13</v>
      </c>
      <c r="AK93" s="1764">
        <v>13</v>
      </c>
      <c r="AP93" s="1756" t="e">
        <f>IF(OR(AR93=S13,AR93&gt;S13),AR93,"")</f>
        <v>#VALUE!</v>
      </c>
      <c r="AQ93" s="1759">
        <f t="shared" si="27"/>
        <v>90</v>
      </c>
      <c r="AR93" s="1756" t="e">
        <f>0.5*(S18+2*AQ93)*LN(1+2*AQ93/S18)</f>
        <v>#VALUE!</v>
      </c>
    </row>
    <row r="94" spans="26:44">
      <c r="AA94" s="1764">
        <v>28</v>
      </c>
      <c r="AB94" s="1764">
        <v>39</v>
      </c>
      <c r="AC94" s="1764">
        <v>28</v>
      </c>
      <c r="AD94" s="1764">
        <v>58</v>
      </c>
      <c r="AE94" s="1764">
        <v>42</v>
      </c>
      <c r="AF94" s="1764">
        <v>56</v>
      </c>
      <c r="AG94" s="1764">
        <v>36</v>
      </c>
      <c r="AH94" s="1764">
        <v>82</v>
      </c>
      <c r="AI94" s="1764">
        <v>53</v>
      </c>
      <c r="AJ94" s="1764">
        <v>13</v>
      </c>
      <c r="AK94" s="1764">
        <v>25</v>
      </c>
      <c r="AP94" s="1756" t="e">
        <f>IF(OR(AR94=S13,AR94&gt;S13),AR94,"")</f>
        <v>#VALUE!</v>
      </c>
      <c r="AQ94" s="1759">
        <f t="shared" si="27"/>
        <v>91</v>
      </c>
      <c r="AR94" s="1756" t="e">
        <f>0.5*(S18+2*AQ94)*LN(1+2*AQ94/S18)</f>
        <v>#VALUE!</v>
      </c>
    </row>
    <row r="95" spans="26:44">
      <c r="AA95" s="1764">
        <v>35</v>
      </c>
      <c r="AB95" s="1764">
        <v>41</v>
      </c>
      <c r="AC95" s="1764">
        <v>30</v>
      </c>
      <c r="AD95" s="1764">
        <v>61</v>
      </c>
      <c r="AE95" s="1764">
        <v>45</v>
      </c>
      <c r="AF95" s="1764">
        <v>59</v>
      </c>
      <c r="AG95" s="1764">
        <v>38</v>
      </c>
      <c r="AH95" s="1764">
        <v>87</v>
      </c>
      <c r="AI95" s="1764">
        <v>56</v>
      </c>
      <c r="AJ95" s="1764">
        <v>13</v>
      </c>
      <c r="AK95" s="1764">
        <v>25</v>
      </c>
      <c r="AP95" s="1756" t="e">
        <f>IF(OR(AR95=S13,AR95&gt;S13),AR95,"")</f>
        <v>#VALUE!</v>
      </c>
      <c r="AQ95" s="1759">
        <f t="shared" si="27"/>
        <v>92</v>
      </c>
      <c r="AR95" s="1756" t="e">
        <f>0.5*(S18+2*AQ95)*LN(1+2*AQ95/S18)</f>
        <v>#VALUE!</v>
      </c>
    </row>
    <row r="96" spans="26:44">
      <c r="AA96" s="1764">
        <v>42</v>
      </c>
      <c r="AB96" s="1764">
        <v>43</v>
      </c>
      <c r="AC96" s="1764">
        <v>31</v>
      </c>
      <c r="AD96" s="1764">
        <v>64</v>
      </c>
      <c r="AE96" s="1764">
        <v>46</v>
      </c>
      <c r="AF96" s="1764">
        <v>61</v>
      </c>
      <c r="AG96" s="1764">
        <v>39</v>
      </c>
      <c r="AH96" s="1764">
        <v>90</v>
      </c>
      <c r="AI96" s="1764">
        <v>89</v>
      </c>
      <c r="AJ96" s="1764">
        <v>13</v>
      </c>
      <c r="AK96" s="1764">
        <v>25</v>
      </c>
      <c r="AP96" s="1756" t="e">
        <f>IF(OR(AR96=S13,AR96&gt;S13),AR96,"")</f>
        <v>#VALUE!</v>
      </c>
      <c r="AQ96" s="1759">
        <f t="shared" si="27"/>
        <v>93</v>
      </c>
      <c r="AR96" s="1756" t="e">
        <f>0.5*(S18+2*AQ96)*LN(1+2*AQ96/S18)</f>
        <v>#VALUE!</v>
      </c>
    </row>
    <row r="97" spans="26:44">
      <c r="AA97" s="1764">
        <v>54</v>
      </c>
      <c r="AB97" s="1764">
        <v>45</v>
      </c>
      <c r="AC97" s="1764">
        <v>33</v>
      </c>
      <c r="AD97" s="1764">
        <v>67</v>
      </c>
      <c r="AE97" s="1764">
        <v>49</v>
      </c>
      <c r="AF97" s="1764">
        <v>64</v>
      </c>
      <c r="AG97" s="1764">
        <v>41</v>
      </c>
      <c r="AH97" s="1764">
        <v>96</v>
      </c>
      <c r="AI97" s="1764">
        <v>62</v>
      </c>
      <c r="AJ97" s="1764">
        <v>13</v>
      </c>
      <c r="AK97" s="1764">
        <v>25</v>
      </c>
      <c r="AP97" s="1756" t="e">
        <f>IF(OR(AR97=S13,AR97&gt;S13),AR97,"")</f>
        <v>#VALUE!</v>
      </c>
      <c r="AQ97" s="1759">
        <f t="shared" si="27"/>
        <v>94</v>
      </c>
      <c r="AR97" s="1756" t="e">
        <f>0.5*(S18+2*AQ97)*LN(1+2*AQ97/S18)</f>
        <v>#VALUE!</v>
      </c>
    </row>
    <row r="98" spans="26:44">
      <c r="AA98" s="1764">
        <v>76.099999999999994</v>
      </c>
      <c r="AB98" s="1764">
        <v>48</v>
      </c>
      <c r="AC98" s="1764">
        <v>35</v>
      </c>
      <c r="AD98" s="1764">
        <v>72</v>
      </c>
      <c r="AE98" s="1764">
        <v>53</v>
      </c>
      <c r="AF98" s="1764">
        <v>69</v>
      </c>
      <c r="AG98" s="1764">
        <v>44</v>
      </c>
      <c r="AH98" s="1764">
        <v>104</v>
      </c>
      <c r="AI98" s="1764">
        <v>67</v>
      </c>
      <c r="AJ98" s="1764">
        <v>14</v>
      </c>
      <c r="AK98" s="1764">
        <v>25</v>
      </c>
      <c r="AP98" s="1756" t="e">
        <f>IF(OR(AR98=S13,AR98&gt;S13),AR98,"")</f>
        <v>#VALUE!</v>
      </c>
      <c r="AQ98" s="1759">
        <f t="shared" si="27"/>
        <v>95</v>
      </c>
      <c r="AR98" s="1756" t="e">
        <f>0.5*(S18+2*AQ98)*LN(1+2*AQ98/S18)</f>
        <v>#VALUE!</v>
      </c>
    </row>
    <row r="99" spans="26:44">
      <c r="AP99" s="1756" t="e">
        <f>IF(OR(AR99=S13,AR99&gt;S13),AR99,"")</f>
        <v>#VALUE!</v>
      </c>
      <c r="AQ99" s="1759">
        <f t="shared" si="27"/>
        <v>96</v>
      </c>
      <c r="AR99" s="1756" t="e">
        <f>0.5*(S18+2*AQ99)*LN(1+2*AQ99/S18)</f>
        <v>#VALUE!</v>
      </c>
    </row>
    <row r="100" spans="26:44">
      <c r="Z100" s="1755">
        <v>0</v>
      </c>
      <c r="AA100" s="1764">
        <v>6</v>
      </c>
      <c r="AB100" s="1764">
        <f t="shared" ref="AB100:AK100" si="28">IF($V$26=AB$45,AB64,0)</f>
        <v>0</v>
      </c>
      <c r="AC100" s="1764">
        <f t="shared" si="28"/>
        <v>0</v>
      </c>
      <c r="AD100" s="1764">
        <f t="shared" si="28"/>
        <v>0</v>
      </c>
      <c r="AE100" s="1764">
        <f t="shared" si="28"/>
        <v>0</v>
      </c>
      <c r="AF100" s="1764">
        <f t="shared" si="28"/>
        <v>0</v>
      </c>
      <c r="AG100" s="1764">
        <f t="shared" si="28"/>
        <v>0</v>
      </c>
      <c r="AH100" s="1764">
        <f t="shared" si="28"/>
        <v>0</v>
      </c>
      <c r="AI100" s="1764">
        <f t="shared" si="28"/>
        <v>0</v>
      </c>
      <c r="AJ100" s="1764">
        <f t="shared" si="28"/>
        <v>0</v>
      </c>
      <c r="AK100" s="1764">
        <f t="shared" si="28"/>
        <v>0</v>
      </c>
      <c r="AP100" s="1756" t="e">
        <f>IF(OR(AR100=S13,AR100&gt;S13),AR100,"")</f>
        <v>#VALUE!</v>
      </c>
      <c r="AQ100" s="1759">
        <f t="shared" si="27"/>
        <v>97</v>
      </c>
      <c r="AR100" s="1756" t="e">
        <f>0.5*(S18+2*AQ100)*LN(1+2*AQ100/S18)</f>
        <v>#VALUE!</v>
      </c>
    </row>
    <row r="101" spans="26:44">
      <c r="AA101" s="1764">
        <v>8</v>
      </c>
      <c r="AB101" s="1764">
        <f t="shared" ref="AB101:AK101" si="29">IF($V$26=AB$45,AB65,0)</f>
        <v>0</v>
      </c>
      <c r="AC101" s="1764">
        <f t="shared" si="29"/>
        <v>0</v>
      </c>
      <c r="AD101" s="1764">
        <f t="shared" si="29"/>
        <v>0</v>
      </c>
      <c r="AE101" s="1764">
        <f t="shared" si="29"/>
        <v>0</v>
      </c>
      <c r="AF101" s="1764">
        <f t="shared" si="29"/>
        <v>0</v>
      </c>
      <c r="AG101" s="1764">
        <f t="shared" si="29"/>
        <v>0</v>
      </c>
      <c r="AH101" s="1764">
        <f t="shared" si="29"/>
        <v>0</v>
      </c>
      <c r="AI101" s="1764">
        <f t="shared" si="29"/>
        <v>0</v>
      </c>
      <c r="AJ101" s="1764">
        <f t="shared" si="29"/>
        <v>0</v>
      </c>
      <c r="AK101" s="1764">
        <f t="shared" si="29"/>
        <v>0</v>
      </c>
      <c r="AP101" s="1756" t="e">
        <f>IF(OR(AR101=S13,AR101&gt;S13),AR101,"")</f>
        <v>#VALUE!</v>
      </c>
      <c r="AQ101" s="1759">
        <f t="shared" si="27"/>
        <v>98</v>
      </c>
      <c r="AR101" s="1756" t="e">
        <f>0.5*(S18+2*AQ101)*LN(1+2*AQ101/S18)</f>
        <v>#VALUE!</v>
      </c>
    </row>
    <row r="102" spans="26:44">
      <c r="AA102" s="1764">
        <v>10</v>
      </c>
      <c r="AB102" s="1764">
        <f t="shared" ref="AB102:AK102" si="30">IF($V$26=AB$45,AB66,0)</f>
        <v>0</v>
      </c>
      <c r="AC102" s="1764">
        <f t="shared" si="30"/>
        <v>0</v>
      </c>
      <c r="AD102" s="1764">
        <f t="shared" si="30"/>
        <v>0</v>
      </c>
      <c r="AE102" s="1764">
        <f t="shared" si="30"/>
        <v>0</v>
      </c>
      <c r="AF102" s="1764">
        <f t="shared" si="30"/>
        <v>0</v>
      </c>
      <c r="AG102" s="1764">
        <f t="shared" si="30"/>
        <v>0</v>
      </c>
      <c r="AH102" s="1764">
        <f t="shared" si="30"/>
        <v>0</v>
      </c>
      <c r="AI102" s="1764">
        <f t="shared" si="30"/>
        <v>0</v>
      </c>
      <c r="AJ102" s="1764">
        <f t="shared" si="30"/>
        <v>0</v>
      </c>
      <c r="AK102" s="1764">
        <f t="shared" si="30"/>
        <v>0</v>
      </c>
      <c r="AP102" s="1756" t="e">
        <f>IF(OR(AR102=S13,AR102&gt;S13),AR102,"")</f>
        <v>#VALUE!</v>
      </c>
      <c r="AQ102" s="1759">
        <f t="shared" si="27"/>
        <v>99</v>
      </c>
      <c r="AR102" s="1756" t="e">
        <f>0.5*(S18+2*AQ102)*LN(1+2*AQ102/S18)</f>
        <v>#VALUE!</v>
      </c>
    </row>
    <row r="103" spans="26:44">
      <c r="AA103" s="1764">
        <v>12</v>
      </c>
      <c r="AB103" s="1764">
        <f t="shared" ref="AB103:AK103" si="31">IF($V$26=AB$45,AB67,0)</f>
        <v>0</v>
      </c>
      <c r="AC103" s="1764">
        <f t="shared" si="31"/>
        <v>0</v>
      </c>
      <c r="AD103" s="1764">
        <f t="shared" si="31"/>
        <v>0</v>
      </c>
      <c r="AE103" s="1764">
        <f t="shared" si="31"/>
        <v>0</v>
      </c>
      <c r="AF103" s="1764">
        <f t="shared" si="31"/>
        <v>0</v>
      </c>
      <c r="AG103" s="1764">
        <f t="shared" si="31"/>
        <v>0</v>
      </c>
      <c r="AH103" s="1764">
        <f t="shared" si="31"/>
        <v>0</v>
      </c>
      <c r="AI103" s="1764">
        <f t="shared" si="31"/>
        <v>0</v>
      </c>
      <c r="AJ103" s="1764">
        <f t="shared" si="31"/>
        <v>0</v>
      </c>
      <c r="AK103" s="1764">
        <f t="shared" si="31"/>
        <v>0</v>
      </c>
      <c r="AP103" s="1756" t="e">
        <f>IF(OR(AR103=S13,AR103&gt;S13),AR103,"")</f>
        <v>#VALUE!</v>
      </c>
      <c r="AQ103" s="1759">
        <f t="shared" si="27"/>
        <v>100</v>
      </c>
      <c r="AR103" s="1756" t="e">
        <f>0.5*(S18+2*AQ103)*LN(1+2*AQ103/S18)</f>
        <v>#VALUE!</v>
      </c>
    </row>
    <row r="104" spans="26:44">
      <c r="AA104" s="1764">
        <v>15</v>
      </c>
      <c r="AB104" s="1764">
        <f t="shared" ref="AB104:AK104" si="32">IF($V$26=AB$45,AB68,0)</f>
        <v>0</v>
      </c>
      <c r="AC104" s="1764">
        <f t="shared" si="32"/>
        <v>0</v>
      </c>
      <c r="AD104" s="1764">
        <f t="shared" si="32"/>
        <v>0</v>
      </c>
      <c r="AE104" s="1764">
        <f t="shared" si="32"/>
        <v>0</v>
      </c>
      <c r="AF104" s="1764">
        <f t="shared" si="32"/>
        <v>0</v>
      </c>
      <c r="AG104" s="1764">
        <f t="shared" si="32"/>
        <v>0</v>
      </c>
      <c r="AH104" s="1764">
        <f t="shared" si="32"/>
        <v>0</v>
      </c>
      <c r="AI104" s="1764">
        <f t="shared" si="32"/>
        <v>0</v>
      </c>
      <c r="AJ104" s="1764">
        <f t="shared" si="32"/>
        <v>0</v>
      </c>
      <c r="AK104" s="1764">
        <f t="shared" si="32"/>
        <v>0</v>
      </c>
      <c r="AP104" s="1756" t="e">
        <f>IF(OR(AR104=S13,AR104&gt;S13),AR104,"")</f>
        <v>#VALUE!</v>
      </c>
      <c r="AQ104" s="1759">
        <f t="shared" si="27"/>
        <v>101</v>
      </c>
      <c r="AR104" s="1756" t="e">
        <f>0.5*(S18+2*AQ104)*LN(1+2*AQ104/S18)</f>
        <v>#VALUE!</v>
      </c>
    </row>
    <row r="105" spans="26:44">
      <c r="AA105" s="1764">
        <v>22</v>
      </c>
      <c r="AB105" s="1764">
        <f t="shared" ref="AB105:AK105" si="33">IF($V$26=AB$45,AB69,0)</f>
        <v>0</v>
      </c>
      <c r="AC105" s="1764">
        <f t="shared" si="33"/>
        <v>0</v>
      </c>
      <c r="AD105" s="1764">
        <f t="shared" si="33"/>
        <v>0</v>
      </c>
      <c r="AE105" s="1764">
        <f t="shared" si="33"/>
        <v>0</v>
      </c>
      <c r="AF105" s="1764">
        <f t="shared" si="33"/>
        <v>0</v>
      </c>
      <c r="AG105" s="1764">
        <f t="shared" si="33"/>
        <v>0</v>
      </c>
      <c r="AH105" s="1764">
        <f t="shared" si="33"/>
        <v>0</v>
      </c>
      <c r="AI105" s="1764">
        <f t="shared" si="33"/>
        <v>0</v>
      </c>
      <c r="AJ105" s="1764">
        <f t="shared" si="33"/>
        <v>0</v>
      </c>
      <c r="AK105" s="1764">
        <f t="shared" si="33"/>
        <v>0</v>
      </c>
      <c r="AP105" s="1756" t="e">
        <f>IF(OR(AR105=S13,AR105&gt;S13),AR105,"")</f>
        <v>#VALUE!</v>
      </c>
      <c r="AQ105" s="1759">
        <f t="shared" si="27"/>
        <v>102</v>
      </c>
      <c r="AR105" s="1756" t="e">
        <f>0.5*(S18+2*AQ105)*LN(1+2*AQ105/S18)</f>
        <v>#VALUE!</v>
      </c>
    </row>
    <row r="106" spans="26:44">
      <c r="AA106" s="1764">
        <v>28</v>
      </c>
      <c r="AB106" s="1764">
        <f t="shared" ref="AB106:AK106" si="34">IF($V$26=AB$45,AB70,0)</f>
        <v>0</v>
      </c>
      <c r="AC106" s="1764">
        <f t="shared" si="34"/>
        <v>0</v>
      </c>
      <c r="AD106" s="1764">
        <f t="shared" si="34"/>
        <v>0</v>
      </c>
      <c r="AE106" s="1764">
        <f t="shared" si="34"/>
        <v>0</v>
      </c>
      <c r="AF106" s="1764">
        <f t="shared" si="34"/>
        <v>0</v>
      </c>
      <c r="AG106" s="1764">
        <f t="shared" si="34"/>
        <v>0</v>
      </c>
      <c r="AH106" s="1764">
        <f t="shared" si="34"/>
        <v>0</v>
      </c>
      <c r="AI106" s="1764">
        <f t="shared" si="34"/>
        <v>0</v>
      </c>
      <c r="AJ106" s="1764">
        <f t="shared" si="34"/>
        <v>0</v>
      </c>
      <c r="AK106" s="1764">
        <f t="shared" si="34"/>
        <v>0</v>
      </c>
      <c r="AP106" s="1756" t="e">
        <f>IF(OR(AR106=S13,AR106&gt;S13),AR106,"")</f>
        <v>#VALUE!</v>
      </c>
      <c r="AQ106" s="1759">
        <f t="shared" si="27"/>
        <v>103</v>
      </c>
      <c r="AR106" s="1756" t="e">
        <f>0.5*(S18+2*AQ106)*LN(1+2*AQ106/S18)</f>
        <v>#VALUE!</v>
      </c>
    </row>
    <row r="107" spans="26:44">
      <c r="AA107" s="1764">
        <v>35</v>
      </c>
      <c r="AB107" s="1764">
        <f t="shared" ref="AB107:AK107" si="35">IF($V$26=AB$45,AB71,0)</f>
        <v>0</v>
      </c>
      <c r="AC107" s="1764">
        <f t="shared" si="35"/>
        <v>0</v>
      </c>
      <c r="AD107" s="1764">
        <f t="shared" si="35"/>
        <v>0</v>
      </c>
      <c r="AE107" s="1764">
        <f t="shared" si="35"/>
        <v>0</v>
      </c>
      <c r="AF107" s="1764">
        <f t="shared" si="35"/>
        <v>0</v>
      </c>
      <c r="AG107" s="1764">
        <f t="shared" si="35"/>
        <v>0</v>
      </c>
      <c r="AH107" s="1764">
        <f t="shared" si="35"/>
        <v>0</v>
      </c>
      <c r="AI107" s="1764">
        <f t="shared" si="35"/>
        <v>0</v>
      </c>
      <c r="AJ107" s="1764">
        <f t="shared" si="35"/>
        <v>0</v>
      </c>
      <c r="AK107" s="1764">
        <f t="shared" si="35"/>
        <v>0</v>
      </c>
      <c r="AP107" s="1756" t="e">
        <f>IF(OR(AR107=S13,AR107&gt;S13),AR107,"")</f>
        <v>#VALUE!</v>
      </c>
      <c r="AQ107" s="1759">
        <f t="shared" si="27"/>
        <v>104</v>
      </c>
      <c r="AR107" s="1756" t="e">
        <f>0.5*(S18+2*AQ107)*LN(1+2*AQ107/S18)</f>
        <v>#VALUE!</v>
      </c>
    </row>
    <row r="108" spans="26:44">
      <c r="AA108" s="1764">
        <v>42</v>
      </c>
      <c r="AB108" s="1764">
        <f t="shared" ref="AB108:AK108" si="36">IF($V$26=AB$45,AB72,0)</f>
        <v>0</v>
      </c>
      <c r="AC108" s="1764">
        <f t="shared" si="36"/>
        <v>0</v>
      </c>
      <c r="AD108" s="1764">
        <f t="shared" si="36"/>
        <v>0</v>
      </c>
      <c r="AE108" s="1764">
        <f t="shared" si="36"/>
        <v>0</v>
      </c>
      <c r="AF108" s="1764">
        <f t="shared" si="36"/>
        <v>0</v>
      </c>
      <c r="AG108" s="1764">
        <f t="shared" si="36"/>
        <v>0</v>
      </c>
      <c r="AH108" s="1764">
        <f t="shared" si="36"/>
        <v>0</v>
      </c>
      <c r="AI108" s="1764">
        <f t="shared" si="36"/>
        <v>0</v>
      </c>
      <c r="AJ108" s="1764">
        <f t="shared" si="36"/>
        <v>0</v>
      </c>
      <c r="AK108" s="1764">
        <f t="shared" si="36"/>
        <v>0</v>
      </c>
      <c r="AP108" s="1756" t="e">
        <f>IF(OR(AR108=S13,AR108&gt;S13),AR108,"")</f>
        <v>#VALUE!</v>
      </c>
      <c r="AQ108" s="1759">
        <f t="shared" si="27"/>
        <v>105</v>
      </c>
      <c r="AR108" s="1756" t="e">
        <f>0.5*(S18+2*AQ108)*LN(1+2*AQ108/S18)</f>
        <v>#VALUE!</v>
      </c>
    </row>
    <row r="109" spans="26:44">
      <c r="AA109" s="1764">
        <v>54</v>
      </c>
      <c r="AB109" s="1764">
        <f t="shared" ref="AB109:AK109" si="37">IF($V$26=AB$45,AB73,0)</f>
        <v>0</v>
      </c>
      <c r="AC109" s="1764">
        <f t="shared" si="37"/>
        <v>0</v>
      </c>
      <c r="AD109" s="1764">
        <f t="shared" si="37"/>
        <v>0</v>
      </c>
      <c r="AE109" s="1764">
        <f t="shared" si="37"/>
        <v>0</v>
      </c>
      <c r="AF109" s="1764">
        <f t="shared" si="37"/>
        <v>0</v>
      </c>
      <c r="AG109" s="1764">
        <f t="shared" si="37"/>
        <v>0</v>
      </c>
      <c r="AH109" s="1764">
        <f t="shared" si="37"/>
        <v>0</v>
      </c>
      <c r="AI109" s="1764">
        <f t="shared" si="37"/>
        <v>0</v>
      </c>
      <c r="AJ109" s="1764">
        <f t="shared" si="37"/>
        <v>0</v>
      </c>
      <c r="AK109" s="1764">
        <f t="shared" si="37"/>
        <v>0</v>
      </c>
      <c r="AP109" s="1756" t="e">
        <f>IF(OR(AR109=S13,AR109&gt;S13),AR109,"")</f>
        <v>#VALUE!</v>
      </c>
      <c r="AQ109" s="1759">
        <f t="shared" si="27"/>
        <v>106</v>
      </c>
      <c r="AR109" s="1756" t="e">
        <f>0.5*(S18+2*AQ109)*LN(1+2*AQ109/S18)</f>
        <v>#VALUE!</v>
      </c>
    </row>
    <row r="110" spans="26:44">
      <c r="AA110" s="1764">
        <v>76.099999999999994</v>
      </c>
      <c r="AB110" s="1764">
        <f t="shared" ref="AB110:AK110" si="38">IF($V$26=AB$45,AB74,0)</f>
        <v>0</v>
      </c>
      <c r="AC110" s="1764">
        <f t="shared" si="38"/>
        <v>0</v>
      </c>
      <c r="AD110" s="1764">
        <f t="shared" si="38"/>
        <v>0</v>
      </c>
      <c r="AE110" s="1764">
        <f t="shared" si="38"/>
        <v>0</v>
      </c>
      <c r="AF110" s="1764">
        <f t="shared" si="38"/>
        <v>0</v>
      </c>
      <c r="AG110" s="1764">
        <f t="shared" si="38"/>
        <v>0</v>
      </c>
      <c r="AH110" s="1764">
        <f t="shared" si="38"/>
        <v>0</v>
      </c>
      <c r="AI110" s="1764">
        <f t="shared" si="38"/>
        <v>0</v>
      </c>
      <c r="AJ110" s="1764">
        <f t="shared" si="38"/>
        <v>0</v>
      </c>
      <c r="AK110" s="1764">
        <f t="shared" si="38"/>
        <v>0</v>
      </c>
      <c r="AP110" s="1756" t="e">
        <f>IF(OR(AR110=S13,AR110&gt;S13),AR110,"")</f>
        <v>#VALUE!</v>
      </c>
      <c r="AQ110" s="1759">
        <f t="shared" si="27"/>
        <v>107</v>
      </c>
      <c r="AR110" s="1756" t="e">
        <f>0.5*(S18+2*AQ110)*LN(1+2*AQ110/S18)</f>
        <v>#VALUE!</v>
      </c>
    </row>
    <row r="111" spans="26:44">
      <c r="AP111" s="1756" t="e">
        <f>IF(OR(AR111=S13,AR111&gt;S13),AR111,"")</f>
        <v>#VALUE!</v>
      </c>
      <c r="AQ111" s="1759">
        <f t="shared" si="27"/>
        <v>108</v>
      </c>
      <c r="AR111" s="1756" t="e">
        <f>0.5*(S18+2*AQ111)*LN(1+2*AQ111/S18)</f>
        <v>#VALUE!</v>
      </c>
    </row>
    <row r="112" spans="26:44">
      <c r="Z112" s="1755">
        <v>-10</v>
      </c>
      <c r="AA112" s="1764">
        <v>6</v>
      </c>
      <c r="AB112" s="1764">
        <f t="shared" ref="AB112:AK112" si="39">IF($V$26=AB$45,AB76,0)</f>
        <v>0</v>
      </c>
      <c r="AC112" s="1764">
        <f t="shared" si="39"/>
        <v>0</v>
      </c>
      <c r="AD112" s="1764">
        <f t="shared" si="39"/>
        <v>0</v>
      </c>
      <c r="AE112" s="1764">
        <f t="shared" si="39"/>
        <v>0</v>
      </c>
      <c r="AF112" s="1764">
        <f t="shared" si="39"/>
        <v>0</v>
      </c>
      <c r="AG112" s="1764">
        <f t="shared" si="39"/>
        <v>0</v>
      </c>
      <c r="AH112" s="1764">
        <f t="shared" si="39"/>
        <v>0</v>
      </c>
      <c r="AI112" s="1764">
        <f t="shared" si="39"/>
        <v>0</v>
      </c>
      <c r="AJ112" s="1764">
        <f t="shared" si="39"/>
        <v>0</v>
      </c>
      <c r="AK112" s="1764">
        <f t="shared" si="39"/>
        <v>0</v>
      </c>
      <c r="AP112" s="1756" t="e">
        <f>IF(OR(AR112=S13,AR112&gt;S13),AR112,"")</f>
        <v>#VALUE!</v>
      </c>
      <c r="AQ112" s="1759">
        <f t="shared" si="27"/>
        <v>109</v>
      </c>
      <c r="AR112" s="1756" t="e">
        <f>0.5*(S18+2*AQ112)*LN(1+2*AQ112/S18)</f>
        <v>#VALUE!</v>
      </c>
    </row>
    <row r="113" spans="26:44">
      <c r="AA113" s="1764">
        <v>8</v>
      </c>
      <c r="AB113" s="1764">
        <f t="shared" ref="AB113:AK113" si="40">IF($V$26=AB$45,AB77,0)</f>
        <v>0</v>
      </c>
      <c r="AC113" s="1764">
        <f t="shared" si="40"/>
        <v>0</v>
      </c>
      <c r="AD113" s="1764">
        <f t="shared" si="40"/>
        <v>0</v>
      </c>
      <c r="AE113" s="1764">
        <f t="shared" si="40"/>
        <v>0</v>
      </c>
      <c r="AF113" s="1764">
        <f t="shared" si="40"/>
        <v>0</v>
      </c>
      <c r="AG113" s="1764">
        <f t="shared" si="40"/>
        <v>0</v>
      </c>
      <c r="AH113" s="1764">
        <f t="shared" si="40"/>
        <v>0</v>
      </c>
      <c r="AI113" s="1764">
        <f t="shared" si="40"/>
        <v>0</v>
      </c>
      <c r="AJ113" s="1764">
        <f t="shared" si="40"/>
        <v>0</v>
      </c>
      <c r="AK113" s="1764">
        <f t="shared" si="40"/>
        <v>0</v>
      </c>
      <c r="AP113" s="1756" t="e">
        <f>IF(OR(AR113=S13,AR113&gt;S13),AR113,"")</f>
        <v>#VALUE!</v>
      </c>
      <c r="AQ113" s="1759">
        <f t="shared" si="27"/>
        <v>110</v>
      </c>
      <c r="AR113" s="1756" t="e">
        <f>0.5*(S18+2*AQ113)*LN(1+2*AQ113/S18)</f>
        <v>#VALUE!</v>
      </c>
    </row>
    <row r="114" spans="26:44">
      <c r="AA114" s="1764">
        <v>10</v>
      </c>
      <c r="AB114" s="1764">
        <f t="shared" ref="AB114:AK114" si="41">IF($V$26=AB$45,AB78,0)</f>
        <v>0</v>
      </c>
      <c r="AC114" s="1764">
        <f t="shared" si="41"/>
        <v>0</v>
      </c>
      <c r="AD114" s="1764">
        <f t="shared" si="41"/>
        <v>0</v>
      </c>
      <c r="AE114" s="1764">
        <f t="shared" si="41"/>
        <v>0</v>
      </c>
      <c r="AF114" s="1764">
        <f t="shared" si="41"/>
        <v>0</v>
      </c>
      <c r="AG114" s="1764">
        <f t="shared" si="41"/>
        <v>0</v>
      </c>
      <c r="AH114" s="1764">
        <f t="shared" si="41"/>
        <v>0</v>
      </c>
      <c r="AI114" s="1764">
        <f t="shared" si="41"/>
        <v>0</v>
      </c>
      <c r="AJ114" s="1764">
        <f t="shared" si="41"/>
        <v>0</v>
      </c>
      <c r="AK114" s="1764">
        <f t="shared" si="41"/>
        <v>0</v>
      </c>
      <c r="AP114" s="1756" t="e">
        <f>IF(OR(AR114=S13,AR114&gt;S13),AR114,"")</f>
        <v>#VALUE!</v>
      </c>
      <c r="AQ114" s="1759">
        <f t="shared" si="27"/>
        <v>111</v>
      </c>
      <c r="AR114" s="1756" t="e">
        <f>0.5*(S18+2*AQ114)*LN(1+2*AQ114/S18)</f>
        <v>#VALUE!</v>
      </c>
    </row>
    <row r="115" spans="26:44">
      <c r="AA115" s="1764">
        <v>12</v>
      </c>
      <c r="AB115" s="1764">
        <f t="shared" ref="AB115:AK115" si="42">IF($V$26=AB$45,AB79,0)</f>
        <v>0</v>
      </c>
      <c r="AC115" s="1764">
        <f t="shared" si="42"/>
        <v>0</v>
      </c>
      <c r="AD115" s="1764">
        <f t="shared" si="42"/>
        <v>0</v>
      </c>
      <c r="AE115" s="1764">
        <f t="shared" si="42"/>
        <v>0</v>
      </c>
      <c r="AF115" s="1764">
        <f t="shared" si="42"/>
        <v>0</v>
      </c>
      <c r="AG115" s="1764">
        <f t="shared" si="42"/>
        <v>0</v>
      </c>
      <c r="AH115" s="1764">
        <f t="shared" si="42"/>
        <v>0</v>
      </c>
      <c r="AI115" s="1764">
        <f t="shared" si="42"/>
        <v>0</v>
      </c>
      <c r="AJ115" s="1764">
        <f t="shared" si="42"/>
        <v>0</v>
      </c>
      <c r="AK115" s="1764">
        <f t="shared" si="42"/>
        <v>0</v>
      </c>
      <c r="AP115" s="1756" t="e">
        <f>IF(OR(AR115=S13,AR115&gt;S13),AR115,"")</f>
        <v>#VALUE!</v>
      </c>
      <c r="AQ115" s="1759">
        <f t="shared" si="27"/>
        <v>112</v>
      </c>
      <c r="AR115" s="1756" t="e">
        <f>0.5*(S18+2*AQ115)*LN(1+2*AQ115/S18)</f>
        <v>#VALUE!</v>
      </c>
    </row>
    <row r="116" spans="26:44">
      <c r="AA116" s="1764">
        <v>15</v>
      </c>
      <c r="AB116" s="1764">
        <f t="shared" ref="AB116:AK116" si="43">IF($V$26=AB$45,AB80,0)</f>
        <v>0</v>
      </c>
      <c r="AC116" s="1764">
        <f t="shared" si="43"/>
        <v>0</v>
      </c>
      <c r="AD116" s="1764">
        <f t="shared" si="43"/>
        <v>0</v>
      </c>
      <c r="AE116" s="1764">
        <f t="shared" si="43"/>
        <v>0</v>
      </c>
      <c r="AF116" s="1764">
        <f t="shared" si="43"/>
        <v>0</v>
      </c>
      <c r="AG116" s="1764">
        <f t="shared" si="43"/>
        <v>0</v>
      </c>
      <c r="AH116" s="1764">
        <f t="shared" si="43"/>
        <v>0</v>
      </c>
      <c r="AI116" s="1764">
        <f t="shared" si="43"/>
        <v>0</v>
      </c>
      <c r="AJ116" s="1764">
        <f t="shared" si="43"/>
        <v>0</v>
      </c>
      <c r="AK116" s="1764">
        <f t="shared" si="43"/>
        <v>0</v>
      </c>
      <c r="AP116" s="1756" t="e">
        <f>IF(OR(AR116=S13,AR116&gt;S13),AR116,"")</f>
        <v>#VALUE!</v>
      </c>
      <c r="AQ116" s="1759">
        <f t="shared" si="27"/>
        <v>113</v>
      </c>
      <c r="AR116" s="1756" t="e">
        <f>0.5*(S18+2*AQ116)*LN(1+2*AQ116/S18)</f>
        <v>#VALUE!</v>
      </c>
    </row>
    <row r="117" spans="26:44">
      <c r="AA117" s="1764">
        <v>22</v>
      </c>
      <c r="AB117" s="1764">
        <f t="shared" ref="AB117:AK117" si="44">IF($V$26=AB$45,AB81,0)</f>
        <v>0</v>
      </c>
      <c r="AC117" s="1764">
        <f t="shared" si="44"/>
        <v>0</v>
      </c>
      <c r="AD117" s="1764">
        <f t="shared" si="44"/>
        <v>0</v>
      </c>
      <c r="AE117" s="1764">
        <f t="shared" si="44"/>
        <v>0</v>
      </c>
      <c r="AF117" s="1764">
        <f t="shared" si="44"/>
        <v>0</v>
      </c>
      <c r="AG117" s="1764">
        <f t="shared" si="44"/>
        <v>0</v>
      </c>
      <c r="AH117" s="1764">
        <f t="shared" si="44"/>
        <v>0</v>
      </c>
      <c r="AI117" s="1764">
        <f t="shared" si="44"/>
        <v>0</v>
      </c>
      <c r="AJ117" s="1764">
        <f t="shared" si="44"/>
        <v>0</v>
      </c>
      <c r="AK117" s="1764">
        <f t="shared" si="44"/>
        <v>0</v>
      </c>
      <c r="AP117" s="1756" t="e">
        <f>IF(OR(AR117=S13,AR117&gt;S13),AR117,"")</f>
        <v>#VALUE!</v>
      </c>
      <c r="AQ117" s="1759">
        <f t="shared" si="27"/>
        <v>114</v>
      </c>
      <c r="AR117" s="1756" t="e">
        <f>0.5*(S18+2*AQ117)*LN(1+2*AQ117/S18)</f>
        <v>#VALUE!</v>
      </c>
    </row>
    <row r="118" spans="26:44">
      <c r="AA118" s="1764">
        <v>28</v>
      </c>
      <c r="AB118" s="1764">
        <f t="shared" ref="AB118:AK118" si="45">IF($V$26=AB$45,AB82,0)</f>
        <v>0</v>
      </c>
      <c r="AC118" s="1764">
        <f t="shared" si="45"/>
        <v>0</v>
      </c>
      <c r="AD118" s="1764">
        <f t="shared" si="45"/>
        <v>0</v>
      </c>
      <c r="AE118" s="1764">
        <f t="shared" si="45"/>
        <v>0</v>
      </c>
      <c r="AF118" s="1764">
        <f t="shared" si="45"/>
        <v>0</v>
      </c>
      <c r="AG118" s="1764">
        <f t="shared" si="45"/>
        <v>0</v>
      </c>
      <c r="AH118" s="1764">
        <f t="shared" si="45"/>
        <v>0</v>
      </c>
      <c r="AI118" s="1764">
        <f t="shared" si="45"/>
        <v>0</v>
      </c>
      <c r="AJ118" s="1764">
        <f t="shared" si="45"/>
        <v>0</v>
      </c>
      <c r="AK118" s="1764">
        <f t="shared" si="45"/>
        <v>0</v>
      </c>
      <c r="AP118" s="1756" t="e">
        <f>IF(OR(AR118=S13,AR118&gt;S13),AR118,"")</f>
        <v>#VALUE!</v>
      </c>
      <c r="AQ118" s="1759">
        <f t="shared" si="27"/>
        <v>115</v>
      </c>
      <c r="AR118" s="1756" t="e">
        <f>0.5*(S18+2*AQ118)*LN(1+2*AQ118/S18)</f>
        <v>#VALUE!</v>
      </c>
    </row>
    <row r="119" spans="26:44">
      <c r="AA119" s="1764">
        <v>35</v>
      </c>
      <c r="AB119" s="1764">
        <f t="shared" ref="AB119:AK119" si="46">IF($V$26=AB$45,AB83,0)</f>
        <v>0</v>
      </c>
      <c r="AC119" s="1764">
        <f t="shared" si="46"/>
        <v>0</v>
      </c>
      <c r="AD119" s="1764">
        <f t="shared" si="46"/>
        <v>0</v>
      </c>
      <c r="AE119" s="1764">
        <f t="shared" si="46"/>
        <v>0</v>
      </c>
      <c r="AF119" s="1764">
        <f t="shared" si="46"/>
        <v>0</v>
      </c>
      <c r="AG119" s="1764">
        <f t="shared" si="46"/>
        <v>0</v>
      </c>
      <c r="AH119" s="1764">
        <f t="shared" si="46"/>
        <v>0</v>
      </c>
      <c r="AI119" s="1764">
        <f t="shared" si="46"/>
        <v>0</v>
      </c>
      <c r="AJ119" s="1764">
        <f t="shared" si="46"/>
        <v>0</v>
      </c>
      <c r="AK119" s="1764">
        <f t="shared" si="46"/>
        <v>0</v>
      </c>
      <c r="AP119" s="1756" t="e">
        <f>IF(OR(AR119=S13,AR119&gt;S13),AR119,"")</f>
        <v>#VALUE!</v>
      </c>
      <c r="AQ119" s="1759">
        <f t="shared" si="27"/>
        <v>116</v>
      </c>
      <c r="AR119" s="1756" t="e">
        <f>0.5*(S18+2*AQ119)*LN(1+2*AQ119/S18)</f>
        <v>#VALUE!</v>
      </c>
    </row>
    <row r="120" spans="26:44">
      <c r="AA120" s="1764">
        <v>42</v>
      </c>
      <c r="AB120" s="1764">
        <f t="shared" ref="AB120:AK120" si="47">IF($V$26=AB$45,AB84,0)</f>
        <v>0</v>
      </c>
      <c r="AC120" s="1764">
        <f t="shared" si="47"/>
        <v>0</v>
      </c>
      <c r="AD120" s="1764">
        <f t="shared" si="47"/>
        <v>0</v>
      </c>
      <c r="AE120" s="1764">
        <f t="shared" si="47"/>
        <v>0</v>
      </c>
      <c r="AF120" s="1764">
        <f t="shared" si="47"/>
        <v>0</v>
      </c>
      <c r="AG120" s="1764">
        <f t="shared" si="47"/>
        <v>0</v>
      </c>
      <c r="AH120" s="1764">
        <f t="shared" si="47"/>
        <v>0</v>
      </c>
      <c r="AI120" s="1764">
        <f t="shared" si="47"/>
        <v>0</v>
      </c>
      <c r="AJ120" s="1764">
        <f t="shared" si="47"/>
        <v>0</v>
      </c>
      <c r="AK120" s="1764">
        <f t="shared" si="47"/>
        <v>0</v>
      </c>
      <c r="AP120" s="1756" t="e">
        <f>IF(OR(AR120=S13,AR120&gt;S13),AR120,"")</f>
        <v>#VALUE!</v>
      </c>
      <c r="AQ120" s="1759">
        <f t="shared" si="27"/>
        <v>117</v>
      </c>
      <c r="AR120" s="1756" t="e">
        <f>0.5*(S18+2*AQ120)*LN(1+2*AQ120/S18)</f>
        <v>#VALUE!</v>
      </c>
    </row>
    <row r="121" spans="26:44">
      <c r="AA121" s="1764">
        <v>54</v>
      </c>
      <c r="AB121" s="1764">
        <f t="shared" ref="AB121:AK121" si="48">IF($V$26=AB$45,AB85,0)</f>
        <v>0</v>
      </c>
      <c r="AC121" s="1764">
        <f t="shared" si="48"/>
        <v>0</v>
      </c>
      <c r="AD121" s="1764">
        <f t="shared" si="48"/>
        <v>0</v>
      </c>
      <c r="AE121" s="1764">
        <f t="shared" si="48"/>
        <v>0</v>
      </c>
      <c r="AF121" s="1764">
        <f t="shared" si="48"/>
        <v>0</v>
      </c>
      <c r="AG121" s="1764">
        <f t="shared" si="48"/>
        <v>0</v>
      </c>
      <c r="AH121" s="1764">
        <f t="shared" si="48"/>
        <v>0</v>
      </c>
      <c r="AI121" s="1764">
        <f t="shared" si="48"/>
        <v>0</v>
      </c>
      <c r="AJ121" s="1764">
        <f t="shared" si="48"/>
        <v>0</v>
      </c>
      <c r="AK121" s="1764">
        <f t="shared" si="48"/>
        <v>0</v>
      </c>
      <c r="AP121" s="1756" t="e">
        <f>IF(OR(AR121=S13,AR121&gt;S13),AR121,"")</f>
        <v>#VALUE!</v>
      </c>
      <c r="AQ121" s="1759">
        <f t="shared" si="27"/>
        <v>118</v>
      </c>
      <c r="AR121" s="1756" t="e">
        <f>0.5*(S18+2*AQ121)*LN(1+2*AQ121/S18)</f>
        <v>#VALUE!</v>
      </c>
    </row>
    <row r="122" spans="26:44">
      <c r="AA122" s="1764">
        <v>76.099999999999994</v>
      </c>
      <c r="AB122" s="1764">
        <f t="shared" ref="AB122:AK122" si="49">IF($V$26=AB$45,AB86,0)</f>
        <v>0</v>
      </c>
      <c r="AC122" s="1764">
        <f t="shared" si="49"/>
        <v>0</v>
      </c>
      <c r="AD122" s="1764">
        <f t="shared" si="49"/>
        <v>0</v>
      </c>
      <c r="AE122" s="1764">
        <f t="shared" si="49"/>
        <v>0</v>
      </c>
      <c r="AF122" s="1764">
        <f t="shared" si="49"/>
        <v>0</v>
      </c>
      <c r="AG122" s="1764">
        <f t="shared" si="49"/>
        <v>0</v>
      </c>
      <c r="AH122" s="1764">
        <f t="shared" si="49"/>
        <v>0</v>
      </c>
      <c r="AI122" s="1764">
        <f t="shared" si="49"/>
        <v>0</v>
      </c>
      <c r="AJ122" s="1764">
        <f t="shared" si="49"/>
        <v>0</v>
      </c>
      <c r="AK122" s="1764">
        <f t="shared" si="49"/>
        <v>0</v>
      </c>
      <c r="AP122" s="1756" t="e">
        <f>IF(OR(AR122=S13,AR122&gt;S13),AR122,"")</f>
        <v>#VALUE!</v>
      </c>
      <c r="AQ122" s="1759">
        <f t="shared" si="27"/>
        <v>119</v>
      </c>
      <c r="AR122" s="1756" t="e">
        <f>0.5*(S18+2*AQ122)*LN(1+2*AQ122/S18)</f>
        <v>#VALUE!</v>
      </c>
    </row>
    <row r="123" spans="26:44">
      <c r="AP123" s="1756" t="e">
        <f>IF(OR(AR123=S13,AR123&gt;S13),AR123,"")</f>
        <v>#VALUE!</v>
      </c>
      <c r="AQ123" s="1759">
        <f t="shared" si="27"/>
        <v>120</v>
      </c>
      <c r="AR123" s="1756" t="e">
        <f>0.5*(S18+2*AQ123)*LN(1+2*AQ123/S18)</f>
        <v>#VALUE!</v>
      </c>
    </row>
    <row r="124" spans="26:44">
      <c r="Z124" s="1755">
        <v>-20</v>
      </c>
      <c r="AA124" s="1764">
        <v>6</v>
      </c>
      <c r="AB124" s="1764">
        <f t="shared" ref="AB124:AK124" si="50">IF($V$26=AB$45,AB88,0)</f>
        <v>0</v>
      </c>
      <c r="AC124" s="1764">
        <f t="shared" si="50"/>
        <v>0</v>
      </c>
      <c r="AD124" s="1764">
        <f t="shared" si="50"/>
        <v>0</v>
      </c>
      <c r="AE124" s="1764">
        <f t="shared" si="50"/>
        <v>0</v>
      </c>
      <c r="AF124" s="1764">
        <f t="shared" si="50"/>
        <v>0</v>
      </c>
      <c r="AG124" s="1764">
        <f t="shared" si="50"/>
        <v>0</v>
      </c>
      <c r="AH124" s="1764">
        <f t="shared" si="50"/>
        <v>0</v>
      </c>
      <c r="AI124" s="1764">
        <f t="shared" si="50"/>
        <v>0</v>
      </c>
      <c r="AJ124" s="1764">
        <f t="shared" si="50"/>
        <v>0</v>
      </c>
      <c r="AK124" s="1764">
        <f t="shared" si="50"/>
        <v>0</v>
      </c>
      <c r="AP124" s="1756" t="e">
        <f>IF(OR(AR124=S13,AR124&gt;S13),AR124,"")</f>
        <v>#VALUE!</v>
      </c>
      <c r="AQ124" s="1759">
        <f t="shared" si="27"/>
        <v>121</v>
      </c>
      <c r="AR124" s="1756" t="e">
        <f>0.5*(S18+2*AQ124)*LN(1+2*AQ124/S18)</f>
        <v>#VALUE!</v>
      </c>
    </row>
    <row r="125" spans="26:44">
      <c r="AA125" s="1764">
        <v>8</v>
      </c>
      <c r="AB125" s="1764">
        <f t="shared" ref="AB125:AK125" si="51">IF($V$26=AB$45,AB89,0)</f>
        <v>0</v>
      </c>
      <c r="AC125" s="1764">
        <f t="shared" si="51"/>
        <v>0</v>
      </c>
      <c r="AD125" s="1764">
        <f t="shared" si="51"/>
        <v>0</v>
      </c>
      <c r="AE125" s="1764">
        <f t="shared" si="51"/>
        <v>0</v>
      </c>
      <c r="AF125" s="1764">
        <f t="shared" si="51"/>
        <v>0</v>
      </c>
      <c r="AG125" s="1764">
        <f t="shared" si="51"/>
        <v>0</v>
      </c>
      <c r="AH125" s="1764">
        <f t="shared" si="51"/>
        <v>0</v>
      </c>
      <c r="AI125" s="1764">
        <f t="shared" si="51"/>
        <v>0</v>
      </c>
      <c r="AJ125" s="1764">
        <f t="shared" si="51"/>
        <v>0</v>
      </c>
      <c r="AK125" s="1764">
        <f t="shared" si="51"/>
        <v>0</v>
      </c>
      <c r="AP125" s="1756" t="e">
        <f>IF(OR(AR125=S13,AR125&gt;S13),AR125,"")</f>
        <v>#VALUE!</v>
      </c>
      <c r="AQ125" s="1759">
        <f t="shared" si="27"/>
        <v>122</v>
      </c>
      <c r="AR125" s="1756" t="e">
        <f>0.5*(S18+2*AQ125)*LN(1+2*AQ125/S18)</f>
        <v>#VALUE!</v>
      </c>
    </row>
    <row r="126" spans="26:44">
      <c r="AA126" s="1764">
        <v>10</v>
      </c>
      <c r="AB126" s="1764">
        <f t="shared" ref="AB126:AK126" si="52">IF($V$26=AB$45,AB90,0)</f>
        <v>0</v>
      </c>
      <c r="AC126" s="1764">
        <f t="shared" si="52"/>
        <v>0</v>
      </c>
      <c r="AD126" s="1764">
        <f t="shared" si="52"/>
        <v>0</v>
      </c>
      <c r="AE126" s="1764">
        <f t="shared" si="52"/>
        <v>0</v>
      </c>
      <c r="AF126" s="1764">
        <f t="shared" si="52"/>
        <v>0</v>
      </c>
      <c r="AG126" s="1764">
        <f t="shared" si="52"/>
        <v>0</v>
      </c>
      <c r="AH126" s="1764">
        <f t="shared" si="52"/>
        <v>0</v>
      </c>
      <c r="AI126" s="1764">
        <f t="shared" si="52"/>
        <v>0</v>
      </c>
      <c r="AJ126" s="1764">
        <f t="shared" si="52"/>
        <v>0</v>
      </c>
      <c r="AK126" s="1764">
        <f t="shared" si="52"/>
        <v>0</v>
      </c>
      <c r="AP126" s="1756" t="e">
        <f>IF(OR(AR126=S13,AR126&gt;S13),AR126,"")</f>
        <v>#VALUE!</v>
      </c>
      <c r="AQ126" s="1759">
        <f t="shared" si="27"/>
        <v>123</v>
      </c>
      <c r="AR126" s="1756" t="e">
        <f>0.5*(S18+2*AQ126)*LN(1+2*AQ126/S18)</f>
        <v>#VALUE!</v>
      </c>
    </row>
    <row r="127" spans="26:44">
      <c r="AA127" s="1764">
        <v>12</v>
      </c>
      <c r="AB127" s="1764">
        <f t="shared" ref="AB127:AK127" si="53">IF($V$26=AB$45,AB91,0)</f>
        <v>0</v>
      </c>
      <c r="AC127" s="1764">
        <f t="shared" si="53"/>
        <v>0</v>
      </c>
      <c r="AD127" s="1764">
        <f t="shared" si="53"/>
        <v>0</v>
      </c>
      <c r="AE127" s="1764">
        <f t="shared" si="53"/>
        <v>0</v>
      </c>
      <c r="AF127" s="1764">
        <f t="shared" si="53"/>
        <v>0</v>
      </c>
      <c r="AG127" s="1764">
        <f t="shared" si="53"/>
        <v>0</v>
      </c>
      <c r="AH127" s="1764">
        <f t="shared" si="53"/>
        <v>0</v>
      </c>
      <c r="AI127" s="1764">
        <f t="shared" si="53"/>
        <v>0</v>
      </c>
      <c r="AJ127" s="1764">
        <f t="shared" si="53"/>
        <v>0</v>
      </c>
      <c r="AK127" s="1764">
        <f t="shared" si="53"/>
        <v>0</v>
      </c>
      <c r="AP127" s="1756" t="e">
        <f>IF(OR(AR127=S13,AR127&gt;S13),AR127,"")</f>
        <v>#VALUE!</v>
      </c>
      <c r="AQ127" s="1759">
        <f t="shared" si="27"/>
        <v>124</v>
      </c>
      <c r="AR127" s="1756" t="e">
        <f>0.5*(S18+2*AQ127)*LN(1+2*AQ127/S18)</f>
        <v>#VALUE!</v>
      </c>
    </row>
    <row r="128" spans="26:44">
      <c r="AA128" s="1764">
        <v>15</v>
      </c>
      <c r="AB128" s="1764">
        <f t="shared" ref="AB128:AK128" si="54">IF($V$26=AB$45,AB92,0)</f>
        <v>0</v>
      </c>
      <c r="AC128" s="1764">
        <f t="shared" si="54"/>
        <v>0</v>
      </c>
      <c r="AD128" s="1764">
        <f t="shared" si="54"/>
        <v>0</v>
      </c>
      <c r="AE128" s="1764">
        <f t="shared" si="54"/>
        <v>0</v>
      </c>
      <c r="AF128" s="1764">
        <f t="shared" si="54"/>
        <v>0</v>
      </c>
      <c r="AG128" s="1764">
        <f t="shared" si="54"/>
        <v>0</v>
      </c>
      <c r="AH128" s="1764">
        <f t="shared" si="54"/>
        <v>0</v>
      </c>
      <c r="AI128" s="1764">
        <f t="shared" si="54"/>
        <v>0</v>
      </c>
      <c r="AJ128" s="1764">
        <f t="shared" si="54"/>
        <v>0</v>
      </c>
      <c r="AK128" s="1764">
        <f t="shared" si="54"/>
        <v>0</v>
      </c>
      <c r="AP128" s="1756" t="e">
        <f>IF(OR(AR128=S13,AR128&gt;S13),AR128,"")</f>
        <v>#VALUE!</v>
      </c>
      <c r="AQ128" s="1759">
        <f t="shared" si="27"/>
        <v>125</v>
      </c>
      <c r="AR128" s="1756" t="e">
        <f>0.5*(S18+2*AQ128)*LN(1+2*AQ128/S18)</f>
        <v>#VALUE!</v>
      </c>
    </row>
    <row r="129" spans="27:44">
      <c r="AA129" s="1764">
        <v>22</v>
      </c>
      <c r="AB129" s="1764">
        <f t="shared" ref="AB129:AK129" si="55">IF($V$26=AB$45,AB93,0)</f>
        <v>0</v>
      </c>
      <c r="AC129" s="1764">
        <f t="shared" si="55"/>
        <v>0</v>
      </c>
      <c r="AD129" s="1764">
        <f t="shared" si="55"/>
        <v>0</v>
      </c>
      <c r="AE129" s="1764">
        <f t="shared" si="55"/>
        <v>0</v>
      </c>
      <c r="AF129" s="1764">
        <f t="shared" si="55"/>
        <v>0</v>
      </c>
      <c r="AG129" s="1764">
        <f t="shared" si="55"/>
        <v>0</v>
      </c>
      <c r="AH129" s="1764">
        <f t="shared" si="55"/>
        <v>0</v>
      </c>
      <c r="AI129" s="1764">
        <f t="shared" si="55"/>
        <v>0</v>
      </c>
      <c r="AJ129" s="1764">
        <f t="shared" si="55"/>
        <v>0</v>
      </c>
      <c r="AK129" s="1764">
        <f t="shared" si="55"/>
        <v>0</v>
      </c>
      <c r="AP129" s="1756" t="e">
        <f>IF(OR(AR129=S13,AR129&gt;S13),AR129,"")</f>
        <v>#VALUE!</v>
      </c>
      <c r="AQ129" s="1759">
        <f t="shared" si="27"/>
        <v>126</v>
      </c>
      <c r="AR129" s="1756" t="e">
        <f>0.5*(S18+2*AQ129)*LN(1+2*AQ129/S18)</f>
        <v>#VALUE!</v>
      </c>
    </row>
    <row r="130" spans="27:44">
      <c r="AA130" s="1764">
        <v>28</v>
      </c>
      <c r="AB130" s="1764">
        <f t="shared" ref="AB130:AK130" si="56">IF($V$26=AB$45,AB94,0)</f>
        <v>0</v>
      </c>
      <c r="AC130" s="1764">
        <f t="shared" si="56"/>
        <v>0</v>
      </c>
      <c r="AD130" s="1764">
        <f t="shared" si="56"/>
        <v>0</v>
      </c>
      <c r="AE130" s="1764">
        <f t="shared" si="56"/>
        <v>0</v>
      </c>
      <c r="AF130" s="1764">
        <f t="shared" si="56"/>
        <v>0</v>
      </c>
      <c r="AG130" s="1764">
        <f t="shared" si="56"/>
        <v>0</v>
      </c>
      <c r="AH130" s="1764">
        <f t="shared" si="56"/>
        <v>0</v>
      </c>
      <c r="AI130" s="1764">
        <f t="shared" si="56"/>
        <v>0</v>
      </c>
      <c r="AJ130" s="1764">
        <f t="shared" si="56"/>
        <v>0</v>
      </c>
      <c r="AK130" s="1764">
        <f t="shared" si="56"/>
        <v>0</v>
      </c>
      <c r="AP130" s="1756" t="e">
        <f>IF(OR(AR130=S13,AR130&gt;S13),AR130,"")</f>
        <v>#VALUE!</v>
      </c>
      <c r="AQ130" s="1759">
        <f t="shared" si="27"/>
        <v>127</v>
      </c>
      <c r="AR130" s="1756" t="e">
        <f>0.5*(S18+2*AQ130)*LN(1+2*AQ130/S18)</f>
        <v>#VALUE!</v>
      </c>
    </row>
    <row r="131" spans="27:44">
      <c r="AA131" s="1764">
        <v>35</v>
      </c>
      <c r="AB131" s="1764">
        <f t="shared" ref="AB131:AK131" si="57">IF($V$26=AB$45,AB95,0)</f>
        <v>0</v>
      </c>
      <c r="AC131" s="1764">
        <f t="shared" si="57"/>
        <v>0</v>
      </c>
      <c r="AD131" s="1764">
        <f t="shared" si="57"/>
        <v>0</v>
      </c>
      <c r="AE131" s="1764">
        <f t="shared" si="57"/>
        <v>0</v>
      </c>
      <c r="AF131" s="1764">
        <f t="shared" si="57"/>
        <v>0</v>
      </c>
      <c r="AG131" s="1764">
        <f t="shared" si="57"/>
        <v>0</v>
      </c>
      <c r="AH131" s="1764">
        <f t="shared" si="57"/>
        <v>0</v>
      </c>
      <c r="AI131" s="1764">
        <f t="shared" si="57"/>
        <v>0</v>
      </c>
      <c r="AJ131" s="1764">
        <f t="shared" si="57"/>
        <v>0</v>
      </c>
      <c r="AK131" s="1764">
        <f t="shared" si="57"/>
        <v>0</v>
      </c>
      <c r="AP131" s="1756" t="e">
        <f>IF(OR(AR131=S13,AR131&gt;S13),AR131,"")</f>
        <v>#VALUE!</v>
      </c>
      <c r="AQ131" s="1759">
        <f t="shared" si="27"/>
        <v>128</v>
      </c>
      <c r="AR131" s="1756" t="e">
        <f>0.5*(S18+2*AQ131)*LN(1+2*AQ131/S18)</f>
        <v>#VALUE!</v>
      </c>
    </row>
    <row r="132" spans="27:44">
      <c r="AA132" s="1764">
        <v>42</v>
      </c>
      <c r="AB132" s="1764">
        <f t="shared" ref="AB132:AK132" si="58">IF($V$26=AB$45,AB96,0)</f>
        <v>0</v>
      </c>
      <c r="AC132" s="1764">
        <f t="shared" si="58"/>
        <v>0</v>
      </c>
      <c r="AD132" s="1764">
        <f t="shared" si="58"/>
        <v>0</v>
      </c>
      <c r="AE132" s="1764">
        <f t="shared" si="58"/>
        <v>0</v>
      </c>
      <c r="AF132" s="1764">
        <f t="shared" si="58"/>
        <v>0</v>
      </c>
      <c r="AG132" s="1764">
        <f t="shared" si="58"/>
        <v>0</v>
      </c>
      <c r="AH132" s="1764">
        <f t="shared" si="58"/>
        <v>0</v>
      </c>
      <c r="AI132" s="1764">
        <f t="shared" si="58"/>
        <v>0</v>
      </c>
      <c r="AJ132" s="1764">
        <f t="shared" si="58"/>
        <v>0</v>
      </c>
      <c r="AK132" s="1764">
        <f t="shared" si="58"/>
        <v>0</v>
      </c>
      <c r="AP132" s="1756" t="e">
        <f>IF(OR(AR132=S13,AR132&gt;S13),AR132,"")</f>
        <v>#VALUE!</v>
      </c>
      <c r="AQ132" s="1759">
        <f t="shared" si="27"/>
        <v>129</v>
      </c>
      <c r="AR132" s="1756" t="e">
        <f>0.5*(S18+2*AQ132)*LN(1+2*AQ132/S18)</f>
        <v>#VALUE!</v>
      </c>
    </row>
    <row r="133" spans="27:44">
      <c r="AA133" s="1764">
        <v>54</v>
      </c>
      <c r="AB133" s="1764">
        <f t="shared" ref="AB133:AK133" si="59">IF($V$26=AB$45,AB97,0)</f>
        <v>0</v>
      </c>
      <c r="AC133" s="1764">
        <f t="shared" si="59"/>
        <v>0</v>
      </c>
      <c r="AD133" s="1764">
        <f t="shared" si="59"/>
        <v>0</v>
      </c>
      <c r="AE133" s="1764">
        <f t="shared" si="59"/>
        <v>0</v>
      </c>
      <c r="AF133" s="1764">
        <f t="shared" si="59"/>
        <v>0</v>
      </c>
      <c r="AG133" s="1764">
        <f t="shared" si="59"/>
        <v>0</v>
      </c>
      <c r="AH133" s="1764">
        <f t="shared" si="59"/>
        <v>0</v>
      </c>
      <c r="AI133" s="1764">
        <f t="shared" si="59"/>
        <v>0</v>
      </c>
      <c r="AJ133" s="1764">
        <f t="shared" si="59"/>
        <v>0</v>
      </c>
      <c r="AK133" s="1764">
        <f t="shared" si="59"/>
        <v>0</v>
      </c>
      <c r="AP133" s="1756" t="e">
        <f>IF(OR(AR133=S13,AR133&gt;S13),AR133,"")</f>
        <v>#VALUE!</v>
      </c>
      <c r="AQ133" s="1759">
        <f t="shared" si="27"/>
        <v>130</v>
      </c>
      <c r="AR133" s="1756" t="e">
        <f>0.5*(S18+2*AQ133)*LN(1+2*AQ133/S18)</f>
        <v>#VALUE!</v>
      </c>
    </row>
    <row r="134" spans="27:44">
      <c r="AA134" s="1764">
        <v>76.099999999999994</v>
      </c>
      <c r="AB134" s="1764">
        <f t="shared" ref="AB134:AK134" si="60">IF($V$26=AB$45,AB98,0)</f>
        <v>0</v>
      </c>
      <c r="AC134" s="1764">
        <f t="shared" si="60"/>
        <v>0</v>
      </c>
      <c r="AD134" s="1764">
        <f t="shared" si="60"/>
        <v>0</v>
      </c>
      <c r="AE134" s="1764">
        <f t="shared" si="60"/>
        <v>0</v>
      </c>
      <c r="AF134" s="1764">
        <f t="shared" si="60"/>
        <v>0</v>
      </c>
      <c r="AG134" s="1764">
        <f t="shared" si="60"/>
        <v>0</v>
      </c>
      <c r="AH134" s="1764">
        <f t="shared" si="60"/>
        <v>0</v>
      </c>
      <c r="AI134" s="1764">
        <f t="shared" si="60"/>
        <v>0</v>
      </c>
      <c r="AJ134" s="1764">
        <f t="shared" si="60"/>
        <v>0</v>
      </c>
      <c r="AK134" s="1764">
        <f t="shared" si="60"/>
        <v>0</v>
      </c>
      <c r="AP134" s="1756" t="e">
        <f>IF(OR(AR134=S13,AR134&gt;S13),AR134,"")</f>
        <v>#VALUE!</v>
      </c>
      <c r="AQ134" s="1759">
        <f t="shared" ref="AQ134:AQ197" si="61">AQ133+1</f>
        <v>131</v>
      </c>
      <c r="AR134" s="1756" t="e">
        <f>0.5*(S18+2*AQ134)*LN(1+2*AQ134/S18)</f>
        <v>#VALUE!</v>
      </c>
    </row>
    <row r="135" spans="27:44">
      <c r="AP135" s="1756" t="e">
        <f>IF(OR(AR135=S13,AR135&gt;S13),AR135,"")</f>
        <v>#VALUE!</v>
      </c>
      <c r="AQ135" s="1759">
        <f t="shared" si="61"/>
        <v>132</v>
      </c>
      <c r="AR135" s="1756" t="e">
        <f>0.5*(S18+2*AQ135)*LN(1+2*AQ135/S18)</f>
        <v>#VALUE!</v>
      </c>
    </row>
    <row r="136" spans="27:44">
      <c r="AP136" s="1756" t="e">
        <f>IF(OR(AR136=S13,AR136&gt;S13),AR136,"")</f>
        <v>#VALUE!</v>
      </c>
      <c r="AQ136" s="1759">
        <f t="shared" si="61"/>
        <v>133</v>
      </c>
      <c r="AR136" s="1756" t="e">
        <f>0.5*(S18+2*AQ136)*LN(1+2*AQ136/S18)</f>
        <v>#VALUE!</v>
      </c>
    </row>
    <row r="137" spans="27:44">
      <c r="AP137" s="1756" t="e">
        <f>IF(OR(AR137=S13,AR137&gt;S13),AR137,"")</f>
        <v>#VALUE!</v>
      </c>
      <c r="AQ137" s="1759">
        <f t="shared" si="61"/>
        <v>134</v>
      </c>
      <c r="AR137" s="1756" t="e">
        <f>0.5*(S18+2*AQ137)*LN(1+2*AQ137/S18)</f>
        <v>#VALUE!</v>
      </c>
    </row>
    <row r="138" spans="27:44">
      <c r="AP138" s="1756" t="e">
        <f>IF(OR(AR138=S13,AR138&gt;S13),AR138,"")</f>
        <v>#VALUE!</v>
      </c>
      <c r="AQ138" s="1759">
        <f t="shared" si="61"/>
        <v>135</v>
      </c>
      <c r="AR138" s="1756" t="e">
        <f>0.5*(S18+2*AQ138)*LN(1+2*AQ138/S18)</f>
        <v>#VALUE!</v>
      </c>
    </row>
    <row r="139" spans="27:44">
      <c r="AP139" s="1756" t="e">
        <f>IF(OR(AR139=S13,AR139&gt;S13),AR139,"")</f>
        <v>#VALUE!</v>
      </c>
      <c r="AQ139" s="1759">
        <f t="shared" si="61"/>
        <v>136</v>
      </c>
      <c r="AR139" s="1756" t="e">
        <f>0.5*(S18+2*AQ139)*LN(1+2*AQ139/S18)</f>
        <v>#VALUE!</v>
      </c>
    </row>
    <row r="140" spans="27:44">
      <c r="AP140" s="1756" t="e">
        <f>IF(OR(AR140=S13,AR140&gt;S13),AR140,"")</f>
        <v>#VALUE!</v>
      </c>
      <c r="AQ140" s="1759">
        <f t="shared" si="61"/>
        <v>137</v>
      </c>
      <c r="AR140" s="1756" t="e">
        <f>0.5*(S18+2*AQ140)*LN(1+2*AQ140/S18)</f>
        <v>#VALUE!</v>
      </c>
    </row>
    <row r="141" spans="27:44">
      <c r="AP141" s="1756" t="e">
        <f>IF(OR(AR141=S13,AR141&gt;S13),AR141,"")</f>
        <v>#VALUE!</v>
      </c>
      <c r="AQ141" s="1759">
        <f t="shared" si="61"/>
        <v>138</v>
      </c>
      <c r="AR141" s="1756" t="e">
        <f>0.5*(S18+2*AQ141)*LN(1+2*AQ141/S18)</f>
        <v>#VALUE!</v>
      </c>
    </row>
    <row r="142" spans="27:44">
      <c r="AP142" s="1756" t="e">
        <f>IF(OR(AR142=S13,AR142&gt;S13),AR142,"")</f>
        <v>#VALUE!</v>
      </c>
      <c r="AQ142" s="1759">
        <f t="shared" si="61"/>
        <v>139</v>
      </c>
      <c r="AR142" s="1756" t="e">
        <f>0.5*(S18+2*AQ142)*LN(1+2*AQ142/S18)</f>
        <v>#VALUE!</v>
      </c>
    </row>
    <row r="143" spans="27:44">
      <c r="AP143" s="1756" t="e">
        <f>IF(OR(AR143=S13,AR143&gt;S13),AR143,"")</f>
        <v>#VALUE!</v>
      </c>
      <c r="AQ143" s="1759">
        <f t="shared" si="61"/>
        <v>140</v>
      </c>
      <c r="AR143" s="1756" t="e">
        <f>0.5*(S18+2*AQ143)*LN(1+2*AQ143/S18)</f>
        <v>#VALUE!</v>
      </c>
    </row>
    <row r="144" spans="27:44">
      <c r="AP144" s="1756" t="e">
        <f>IF(OR(AR144=S13,AR144&gt;S13),AR144,"")</f>
        <v>#VALUE!</v>
      </c>
      <c r="AQ144" s="1759">
        <f t="shared" si="61"/>
        <v>141</v>
      </c>
      <c r="AR144" s="1756" t="e">
        <f>0.5*(S18+2*AQ144)*LN(1+2*AQ144/S18)</f>
        <v>#VALUE!</v>
      </c>
    </row>
    <row r="145" spans="42:44">
      <c r="AP145" s="1756" t="e">
        <f>IF(OR(AR145=S13,AR145&gt;S13),AR145,"")</f>
        <v>#VALUE!</v>
      </c>
      <c r="AQ145" s="1759">
        <f t="shared" si="61"/>
        <v>142</v>
      </c>
      <c r="AR145" s="1756" t="e">
        <f>0.5*(S18+2*AQ145)*LN(1+2*AQ145/S18)</f>
        <v>#VALUE!</v>
      </c>
    </row>
    <row r="146" spans="42:44">
      <c r="AP146" s="1756" t="e">
        <f>IF(OR(AR146=S13,AR146&gt;S13),AR146,"")</f>
        <v>#VALUE!</v>
      </c>
      <c r="AQ146" s="1759">
        <f t="shared" si="61"/>
        <v>143</v>
      </c>
      <c r="AR146" s="1756" t="e">
        <f>0.5*(S18+2*AQ146)*LN(1+2*AQ146/S18)</f>
        <v>#VALUE!</v>
      </c>
    </row>
    <row r="147" spans="42:44">
      <c r="AP147" s="1756" t="e">
        <f>IF(OR(AR147=S13,AR147&gt;S13),AR147,"")</f>
        <v>#VALUE!</v>
      </c>
      <c r="AQ147" s="1759">
        <f t="shared" si="61"/>
        <v>144</v>
      </c>
      <c r="AR147" s="1756" t="e">
        <f>0.5*(S18+2*AQ147)*LN(1+2*AQ147/S18)</f>
        <v>#VALUE!</v>
      </c>
    </row>
    <row r="148" spans="42:44">
      <c r="AP148" s="1756" t="e">
        <f>IF(OR(AR148=S13,AR148&gt;S13),AR148,"")</f>
        <v>#VALUE!</v>
      </c>
      <c r="AQ148" s="1759">
        <f t="shared" si="61"/>
        <v>145</v>
      </c>
      <c r="AR148" s="1756" t="e">
        <f>0.5*(S18+2*AQ148)*LN(1+2*AQ148/S18)</f>
        <v>#VALUE!</v>
      </c>
    </row>
    <row r="149" spans="42:44">
      <c r="AP149" s="1756" t="e">
        <f>IF(OR(AR149=S13,AR149&gt;S13),AR149,"")</f>
        <v>#VALUE!</v>
      </c>
      <c r="AQ149" s="1759">
        <f t="shared" si="61"/>
        <v>146</v>
      </c>
      <c r="AR149" s="1756" t="e">
        <f>0.5*(S18+2*AQ149)*LN(1+2*AQ149/S18)</f>
        <v>#VALUE!</v>
      </c>
    </row>
    <row r="150" spans="42:44">
      <c r="AP150" s="1756" t="e">
        <f>IF(OR(AR150=S13,AR150&gt;S13),AR150,"")</f>
        <v>#VALUE!</v>
      </c>
      <c r="AQ150" s="1759">
        <f t="shared" si="61"/>
        <v>147</v>
      </c>
      <c r="AR150" s="1756" t="e">
        <f>0.5*(S18+2*AQ150)*LN(1+2*AQ150/S18)</f>
        <v>#VALUE!</v>
      </c>
    </row>
    <row r="151" spans="42:44">
      <c r="AP151" s="1756" t="e">
        <f>IF(OR(AR151=S13,AR151&gt;S13),AR151,"")</f>
        <v>#VALUE!</v>
      </c>
      <c r="AQ151" s="1759">
        <f t="shared" si="61"/>
        <v>148</v>
      </c>
      <c r="AR151" s="1756" t="e">
        <f>0.5*(S18+2*AQ151)*LN(1+2*AQ151/S18)</f>
        <v>#VALUE!</v>
      </c>
    </row>
    <row r="152" spans="42:44">
      <c r="AP152" s="1756" t="e">
        <f>IF(OR(AR152=S13,AR152&gt;S13),AR152,"")</f>
        <v>#VALUE!</v>
      </c>
      <c r="AQ152" s="1759">
        <f t="shared" si="61"/>
        <v>149</v>
      </c>
      <c r="AR152" s="1756" t="e">
        <f>0.5*(S18+2*AQ152)*LN(1+2*AQ152/S18)</f>
        <v>#VALUE!</v>
      </c>
    </row>
    <row r="153" spans="42:44">
      <c r="AP153" s="1756" t="e">
        <f>IF(OR(AR153=S13,AR153&gt;S13),AR153,"")</f>
        <v>#VALUE!</v>
      </c>
      <c r="AQ153" s="1759">
        <f t="shared" si="61"/>
        <v>150</v>
      </c>
      <c r="AR153" s="1756" t="e">
        <f>0.5*(S18+2*AQ153)*LN(1+2*AQ153/S18)</f>
        <v>#VALUE!</v>
      </c>
    </row>
    <row r="154" spans="42:44">
      <c r="AP154" s="1756" t="e">
        <f>IF(OR(AR154=S13,AR154&gt;S13),AR154,"")</f>
        <v>#VALUE!</v>
      </c>
      <c r="AQ154" s="1759">
        <f t="shared" si="61"/>
        <v>151</v>
      </c>
      <c r="AR154" s="1756" t="e">
        <f>0.5*(S18+2*AQ154)*LN(1+2*AQ154/S18)</f>
        <v>#VALUE!</v>
      </c>
    </row>
    <row r="155" spans="42:44">
      <c r="AP155" s="1756" t="e">
        <f>IF(OR(AR155=S13,AR155&gt;S13),AR155,"")</f>
        <v>#VALUE!</v>
      </c>
      <c r="AQ155" s="1759">
        <f t="shared" si="61"/>
        <v>152</v>
      </c>
      <c r="AR155" s="1756" t="e">
        <f>0.5*(S18+2*AQ155)*LN(1+2*AQ155/S18)</f>
        <v>#VALUE!</v>
      </c>
    </row>
    <row r="156" spans="42:44">
      <c r="AP156" s="1756" t="e">
        <f>IF(OR(AR156=S13,AR156&gt;S13),AR156,"")</f>
        <v>#VALUE!</v>
      </c>
      <c r="AQ156" s="1759">
        <f t="shared" si="61"/>
        <v>153</v>
      </c>
      <c r="AR156" s="1756" t="e">
        <f>0.5*(S18+2*AQ156)*LN(1+2*AQ156/S18)</f>
        <v>#VALUE!</v>
      </c>
    </row>
    <row r="157" spans="42:44">
      <c r="AP157" s="1756" t="e">
        <f>IF(OR(AR157=S13,AR157&gt;S13),AR157,"")</f>
        <v>#VALUE!</v>
      </c>
      <c r="AQ157" s="1759">
        <f t="shared" si="61"/>
        <v>154</v>
      </c>
      <c r="AR157" s="1756" t="e">
        <f>0.5*(S18+2*AQ157)*LN(1+2*AQ157/S18)</f>
        <v>#VALUE!</v>
      </c>
    </row>
    <row r="158" spans="42:44">
      <c r="AP158" s="1756" t="e">
        <f>IF(OR(AR158=S13,AR158&gt;S13),AR158,"")</f>
        <v>#VALUE!</v>
      </c>
      <c r="AQ158" s="1759">
        <f t="shared" si="61"/>
        <v>155</v>
      </c>
      <c r="AR158" s="1756" t="e">
        <f>0.5*(S18+2*AQ158)*LN(1+2*AQ158/S18)</f>
        <v>#VALUE!</v>
      </c>
    </row>
    <row r="159" spans="42:44">
      <c r="AP159" s="1756" t="e">
        <f>IF(OR(AR159=S13,AR159&gt;S13),AR159,"")</f>
        <v>#VALUE!</v>
      </c>
      <c r="AQ159" s="1759">
        <f t="shared" si="61"/>
        <v>156</v>
      </c>
      <c r="AR159" s="1756" t="e">
        <f>0.5*(S18+2*AQ159)*LN(1+2*AQ159/S18)</f>
        <v>#VALUE!</v>
      </c>
    </row>
    <row r="160" spans="42:44">
      <c r="AP160" s="1756" t="e">
        <f>IF(OR(AR160=S13,AR160&gt;S13),AR160,"")</f>
        <v>#VALUE!</v>
      </c>
      <c r="AQ160" s="1759">
        <f t="shared" si="61"/>
        <v>157</v>
      </c>
      <c r="AR160" s="1756" t="e">
        <f>0.5*(S18+2*AQ160)*LN(1+2*AQ160/S18)</f>
        <v>#VALUE!</v>
      </c>
    </row>
    <row r="161" spans="42:44">
      <c r="AP161" s="1756" t="e">
        <f>IF(OR(AR161=S13,AR161&gt;S13),AR161,"")</f>
        <v>#VALUE!</v>
      </c>
      <c r="AQ161" s="1759">
        <f t="shared" si="61"/>
        <v>158</v>
      </c>
      <c r="AR161" s="1756" t="e">
        <f>0.5*(S18+2*AQ161)*LN(1+2*AQ161/S18)</f>
        <v>#VALUE!</v>
      </c>
    </row>
    <row r="162" spans="42:44">
      <c r="AP162" s="1756" t="e">
        <f>IF(OR(AR162=S13,AR162&gt;S13),AR162,"")</f>
        <v>#VALUE!</v>
      </c>
      <c r="AQ162" s="1759">
        <f t="shared" si="61"/>
        <v>159</v>
      </c>
      <c r="AR162" s="1756" t="e">
        <f>0.5*(S18+2*AQ162)*LN(1+2*AQ162/S18)</f>
        <v>#VALUE!</v>
      </c>
    </row>
    <row r="163" spans="42:44">
      <c r="AP163" s="1756" t="e">
        <f>IF(OR(AR163=S13,AR163&gt;S13),AR163,"")</f>
        <v>#VALUE!</v>
      </c>
      <c r="AQ163" s="1759">
        <f t="shared" si="61"/>
        <v>160</v>
      </c>
      <c r="AR163" s="1756" t="e">
        <f>0.5*(S18+2*AQ163)*LN(1+2*AQ163/S18)</f>
        <v>#VALUE!</v>
      </c>
    </row>
    <row r="164" spans="42:44">
      <c r="AP164" s="1756" t="e">
        <f>IF(OR(AR164=S13,AR164&gt;S13),AR164,"")</f>
        <v>#VALUE!</v>
      </c>
      <c r="AQ164" s="1759">
        <f t="shared" si="61"/>
        <v>161</v>
      </c>
      <c r="AR164" s="1756" t="e">
        <f>0.5*(S18+2*AQ164)*LN(1+2*AQ164/S18)</f>
        <v>#VALUE!</v>
      </c>
    </row>
    <row r="165" spans="42:44">
      <c r="AP165" s="1756" t="e">
        <f>IF(OR(AR165=S13,AR165&gt;S13),AR165,"")</f>
        <v>#VALUE!</v>
      </c>
      <c r="AQ165" s="1759">
        <f t="shared" si="61"/>
        <v>162</v>
      </c>
      <c r="AR165" s="1756" t="e">
        <f>0.5*(S18+2*AQ165)*LN(1+2*AQ165/S18)</f>
        <v>#VALUE!</v>
      </c>
    </row>
    <row r="166" spans="42:44">
      <c r="AP166" s="1756" t="e">
        <f>IF(OR(AR166=S13,AR166&gt;S13),AR166,"")</f>
        <v>#VALUE!</v>
      </c>
      <c r="AQ166" s="1759">
        <f t="shared" si="61"/>
        <v>163</v>
      </c>
      <c r="AR166" s="1756" t="e">
        <f>0.5*(S18+2*AQ166)*LN(1+2*AQ166/S18)</f>
        <v>#VALUE!</v>
      </c>
    </row>
    <row r="167" spans="42:44">
      <c r="AP167" s="1756" t="e">
        <f>IF(OR(AR167=S13,AR167&gt;S13),AR167,"")</f>
        <v>#VALUE!</v>
      </c>
      <c r="AQ167" s="1759">
        <f t="shared" si="61"/>
        <v>164</v>
      </c>
      <c r="AR167" s="1756" t="e">
        <f>0.5*(S18+2*AQ167)*LN(1+2*AQ167/S18)</f>
        <v>#VALUE!</v>
      </c>
    </row>
    <row r="168" spans="42:44">
      <c r="AP168" s="1756" t="e">
        <f>IF(OR(AR168=S13,AR168&gt;S13),AR168,"")</f>
        <v>#VALUE!</v>
      </c>
      <c r="AQ168" s="1759">
        <f t="shared" si="61"/>
        <v>165</v>
      </c>
      <c r="AR168" s="1756" t="e">
        <f>0.5*(S18+2*AQ168)*LN(1+2*AQ168/S18)</f>
        <v>#VALUE!</v>
      </c>
    </row>
    <row r="169" spans="42:44">
      <c r="AP169" s="1756" t="e">
        <f>IF(OR(AR169=S13,AR169&gt;S13),AR169,"")</f>
        <v>#VALUE!</v>
      </c>
      <c r="AQ169" s="1759">
        <f t="shared" si="61"/>
        <v>166</v>
      </c>
      <c r="AR169" s="1756" t="e">
        <f>0.5*(S18+2*AQ169)*LN(1+2*AQ169/S18)</f>
        <v>#VALUE!</v>
      </c>
    </row>
    <row r="170" spans="42:44">
      <c r="AP170" s="1756" t="e">
        <f>IF(OR(AR170=S13,AR170&gt;S13),AR170,"")</f>
        <v>#VALUE!</v>
      </c>
      <c r="AQ170" s="1759">
        <f t="shared" si="61"/>
        <v>167</v>
      </c>
      <c r="AR170" s="1756" t="e">
        <f>0.5*(S18+2*AQ170)*LN(1+2*AQ170/S18)</f>
        <v>#VALUE!</v>
      </c>
    </row>
    <row r="171" spans="42:44">
      <c r="AP171" s="1756" t="e">
        <f>IF(OR(AR171=S13,AR171&gt;S13),AR171,"")</f>
        <v>#VALUE!</v>
      </c>
      <c r="AQ171" s="1759">
        <f t="shared" si="61"/>
        <v>168</v>
      </c>
      <c r="AR171" s="1756" t="e">
        <f>0.5*(S18+2*AQ171)*LN(1+2*AQ171/S18)</f>
        <v>#VALUE!</v>
      </c>
    </row>
    <row r="172" spans="42:44">
      <c r="AP172" s="1756" t="e">
        <f>IF(OR(AR172=S13,AR172&gt;S13),AR172,"")</f>
        <v>#VALUE!</v>
      </c>
      <c r="AQ172" s="1759">
        <f t="shared" si="61"/>
        <v>169</v>
      </c>
      <c r="AR172" s="1756" t="e">
        <f>0.5*(S18+2*AQ172)*LN(1+2*AQ172/S18)</f>
        <v>#VALUE!</v>
      </c>
    </row>
    <row r="173" spans="42:44">
      <c r="AP173" s="1756" t="e">
        <f>IF(OR(AR173=S13,AR173&gt;S13),AR173,"")</f>
        <v>#VALUE!</v>
      </c>
      <c r="AQ173" s="1759">
        <f t="shared" si="61"/>
        <v>170</v>
      </c>
      <c r="AR173" s="1756" t="e">
        <f>0.5*(S18+2*AQ173)*LN(1+2*AQ173/S18)</f>
        <v>#VALUE!</v>
      </c>
    </row>
    <row r="174" spans="42:44">
      <c r="AP174" s="1756" t="e">
        <f>IF(OR(AR174=S13,AR174&gt;S13),AR174,"")</f>
        <v>#VALUE!</v>
      </c>
      <c r="AQ174" s="1759">
        <f t="shared" si="61"/>
        <v>171</v>
      </c>
      <c r="AR174" s="1756" t="e">
        <f>0.5*(S18+2*AQ174)*LN(1+2*AQ174/S18)</f>
        <v>#VALUE!</v>
      </c>
    </row>
    <row r="175" spans="42:44">
      <c r="AP175" s="1756" t="e">
        <f>IF(OR(AR175=S13,AR175&gt;S13),AR175,"")</f>
        <v>#VALUE!</v>
      </c>
      <c r="AQ175" s="1759">
        <f t="shared" si="61"/>
        <v>172</v>
      </c>
      <c r="AR175" s="1756" t="e">
        <f>0.5*(S18+2*AQ175)*LN(1+2*AQ175/S18)</f>
        <v>#VALUE!</v>
      </c>
    </row>
    <row r="176" spans="42:44">
      <c r="AP176" s="1756" t="e">
        <f>IF(OR(AR176=S13,AR176&gt;S13),AR176,"")</f>
        <v>#VALUE!</v>
      </c>
      <c r="AQ176" s="1759">
        <f t="shared" si="61"/>
        <v>173</v>
      </c>
      <c r="AR176" s="1756" t="e">
        <f>0.5*(S18+2*AQ176)*LN(1+2*AQ176/S18)</f>
        <v>#VALUE!</v>
      </c>
    </row>
    <row r="177" spans="42:44">
      <c r="AP177" s="1756" t="e">
        <f>IF(OR(AR177=S13,AR177&gt;S13),AR177,"")</f>
        <v>#VALUE!</v>
      </c>
      <c r="AQ177" s="1759">
        <f t="shared" si="61"/>
        <v>174</v>
      </c>
      <c r="AR177" s="1756" t="e">
        <f>0.5*(S18+2*AQ177)*LN(1+2*AQ177/S18)</f>
        <v>#VALUE!</v>
      </c>
    </row>
    <row r="178" spans="42:44">
      <c r="AP178" s="1756" t="e">
        <f>IF(OR(AR178=S13,AR178&gt;S13),AR178,"")</f>
        <v>#VALUE!</v>
      </c>
      <c r="AQ178" s="1759">
        <f t="shared" si="61"/>
        <v>175</v>
      </c>
      <c r="AR178" s="1756" t="e">
        <f>0.5*(S18+2*AQ178)*LN(1+2*AQ178/S18)</f>
        <v>#VALUE!</v>
      </c>
    </row>
    <row r="179" spans="42:44">
      <c r="AP179" s="1756" t="e">
        <f>IF(OR(AR179=S13,AR179&gt;S13),AR179,"")</f>
        <v>#VALUE!</v>
      </c>
      <c r="AQ179" s="1759">
        <f t="shared" si="61"/>
        <v>176</v>
      </c>
      <c r="AR179" s="1756" t="e">
        <f>0.5*(S18+2*AQ179)*LN(1+2*AQ179/S18)</f>
        <v>#VALUE!</v>
      </c>
    </row>
    <row r="180" spans="42:44">
      <c r="AP180" s="1756" t="e">
        <f>IF(OR(AR180=S13,AR180&gt;S13),AR180,"")</f>
        <v>#VALUE!</v>
      </c>
      <c r="AQ180" s="1759">
        <f t="shared" si="61"/>
        <v>177</v>
      </c>
      <c r="AR180" s="1756" t="e">
        <f>0.5*(S18+2*AQ180)*LN(1+2*AQ180/S18)</f>
        <v>#VALUE!</v>
      </c>
    </row>
    <row r="181" spans="42:44">
      <c r="AP181" s="1756" t="e">
        <f>IF(OR(AR181=S13,AR181&gt;S13),AR181,"")</f>
        <v>#VALUE!</v>
      </c>
      <c r="AQ181" s="1759">
        <f t="shared" si="61"/>
        <v>178</v>
      </c>
      <c r="AR181" s="1756" t="e">
        <f>0.5*(S18+2*AQ181)*LN(1+2*AQ181/S18)</f>
        <v>#VALUE!</v>
      </c>
    </row>
    <row r="182" spans="42:44">
      <c r="AP182" s="1756" t="e">
        <f>IF(OR(AR182=S13,AR182&gt;S13),AR182,"")</f>
        <v>#VALUE!</v>
      </c>
      <c r="AQ182" s="1759">
        <f t="shared" si="61"/>
        <v>179</v>
      </c>
      <c r="AR182" s="1756" t="e">
        <f>0.5*(S18+2*AQ182)*LN(1+2*AQ182/S18)</f>
        <v>#VALUE!</v>
      </c>
    </row>
    <row r="183" spans="42:44">
      <c r="AP183" s="1756" t="e">
        <f>IF(OR(AR183=S13,AR183&gt;S13),AR183,"")</f>
        <v>#VALUE!</v>
      </c>
      <c r="AQ183" s="1759">
        <f t="shared" si="61"/>
        <v>180</v>
      </c>
      <c r="AR183" s="1756" t="e">
        <f>0.5*(S18+2*AQ183)*LN(1+2*AQ183/S18)</f>
        <v>#VALUE!</v>
      </c>
    </row>
    <row r="184" spans="42:44">
      <c r="AP184" s="1756" t="e">
        <f>IF(OR(AR184=S13,AR184&gt;S13),AR184,"")</f>
        <v>#VALUE!</v>
      </c>
      <c r="AQ184" s="1759">
        <f t="shared" si="61"/>
        <v>181</v>
      </c>
      <c r="AR184" s="1756" t="e">
        <f>0.5*(S18+2*AQ184)*LN(1+2*AQ184/S18)</f>
        <v>#VALUE!</v>
      </c>
    </row>
    <row r="185" spans="42:44">
      <c r="AP185" s="1756" t="e">
        <f>IF(OR(AR185=S13,AR185&gt;S13),AR185,"")</f>
        <v>#VALUE!</v>
      </c>
      <c r="AQ185" s="1759">
        <f t="shared" si="61"/>
        <v>182</v>
      </c>
      <c r="AR185" s="1756" t="e">
        <f>0.5*(S18+2*AQ185)*LN(1+2*AQ185/S18)</f>
        <v>#VALUE!</v>
      </c>
    </row>
    <row r="186" spans="42:44">
      <c r="AP186" s="1756" t="e">
        <f>IF(OR(AR186=S13,AR186&gt;S13),AR186,"")</f>
        <v>#VALUE!</v>
      </c>
      <c r="AQ186" s="1759">
        <f t="shared" si="61"/>
        <v>183</v>
      </c>
      <c r="AR186" s="1756" t="e">
        <f>0.5*(S18+2*AQ186)*LN(1+2*AQ186/S18)</f>
        <v>#VALUE!</v>
      </c>
    </row>
    <row r="187" spans="42:44">
      <c r="AP187" s="1756" t="e">
        <f>IF(OR(AR187=S13,AR187&gt;S13),AR187,"")</f>
        <v>#VALUE!</v>
      </c>
      <c r="AQ187" s="1759">
        <f t="shared" si="61"/>
        <v>184</v>
      </c>
      <c r="AR187" s="1756" t="e">
        <f>0.5*(S18+2*AQ187)*LN(1+2*AQ187/S18)</f>
        <v>#VALUE!</v>
      </c>
    </row>
    <row r="188" spans="42:44">
      <c r="AP188" s="1756" t="e">
        <f>IF(OR(AR188=S13,AR188&gt;S13),AR188,"")</f>
        <v>#VALUE!</v>
      </c>
      <c r="AQ188" s="1759">
        <f t="shared" si="61"/>
        <v>185</v>
      </c>
      <c r="AR188" s="1756" t="e">
        <f>0.5*(S18+2*AQ188)*LN(1+2*AQ188/S18)</f>
        <v>#VALUE!</v>
      </c>
    </row>
    <row r="189" spans="42:44">
      <c r="AP189" s="1756" t="e">
        <f>IF(OR(AR189=S13,AR189&gt;S13),AR189,"")</f>
        <v>#VALUE!</v>
      </c>
      <c r="AQ189" s="1759">
        <f t="shared" si="61"/>
        <v>186</v>
      </c>
      <c r="AR189" s="1756" t="e">
        <f>0.5*(S18+2*AQ189)*LN(1+2*AQ189/S18)</f>
        <v>#VALUE!</v>
      </c>
    </row>
    <row r="190" spans="42:44">
      <c r="AP190" s="1756" t="e">
        <f>IF(OR(AR190=S13,AR190&gt;S13),AR190,"")</f>
        <v>#VALUE!</v>
      </c>
      <c r="AQ190" s="1759">
        <f t="shared" si="61"/>
        <v>187</v>
      </c>
      <c r="AR190" s="1756" t="e">
        <f>0.5*(S18+2*AQ190)*LN(1+2*AQ190/S18)</f>
        <v>#VALUE!</v>
      </c>
    </row>
    <row r="191" spans="42:44">
      <c r="AP191" s="1756" t="e">
        <f>IF(OR(AR191=S13,AR191&gt;S13),AR191,"")</f>
        <v>#VALUE!</v>
      </c>
      <c r="AQ191" s="1759">
        <f t="shared" si="61"/>
        <v>188</v>
      </c>
      <c r="AR191" s="1756" t="e">
        <f>0.5*(S18+2*AQ191)*LN(1+2*AQ191/S18)</f>
        <v>#VALUE!</v>
      </c>
    </row>
    <row r="192" spans="42:44">
      <c r="AP192" s="1756" t="e">
        <f>IF(OR(AR192=S13,AR192&gt;S13),AR192,"")</f>
        <v>#VALUE!</v>
      </c>
      <c r="AQ192" s="1759">
        <f t="shared" si="61"/>
        <v>189</v>
      </c>
      <c r="AR192" s="1756" t="e">
        <f>0.5*(S18+2*AQ192)*LN(1+2*AQ192/S18)</f>
        <v>#VALUE!</v>
      </c>
    </row>
    <row r="193" spans="42:44">
      <c r="AP193" s="1756" t="e">
        <f>IF(OR(AR193=S13,AR193&gt;S13),AR193,"")</f>
        <v>#VALUE!</v>
      </c>
      <c r="AQ193" s="1759">
        <f t="shared" si="61"/>
        <v>190</v>
      </c>
      <c r="AR193" s="1756" t="e">
        <f>0.5*(S18+2*AQ193)*LN(1+2*AQ193/S18)</f>
        <v>#VALUE!</v>
      </c>
    </row>
    <row r="194" spans="42:44">
      <c r="AP194" s="1756" t="e">
        <f>IF(OR(AR194=S13,AR194&gt;S13),AR194,"")</f>
        <v>#VALUE!</v>
      </c>
      <c r="AQ194" s="1759">
        <f t="shared" si="61"/>
        <v>191</v>
      </c>
      <c r="AR194" s="1756" t="e">
        <f>0.5*(S18+2*AQ194)*LN(1+2*AQ194/S18)</f>
        <v>#VALUE!</v>
      </c>
    </row>
    <row r="195" spans="42:44">
      <c r="AP195" s="1756" t="e">
        <f>IF(OR(AR195=S13,AR195&gt;S13),AR195,"")</f>
        <v>#VALUE!</v>
      </c>
      <c r="AQ195" s="1759">
        <f t="shared" si="61"/>
        <v>192</v>
      </c>
      <c r="AR195" s="1756" t="e">
        <f>0.5*(S18+2*AQ195)*LN(1+2*AQ195/S18)</f>
        <v>#VALUE!</v>
      </c>
    </row>
    <row r="196" spans="42:44">
      <c r="AP196" s="1756" t="e">
        <f>IF(OR(AR196=S13,AR196&gt;S13),AR196,"")</f>
        <v>#VALUE!</v>
      </c>
      <c r="AQ196" s="1759">
        <f t="shared" si="61"/>
        <v>193</v>
      </c>
      <c r="AR196" s="1756" t="e">
        <f>0.5*(S18+2*AQ196)*LN(1+2*AQ196/S18)</f>
        <v>#VALUE!</v>
      </c>
    </row>
    <row r="197" spans="42:44">
      <c r="AP197" s="1756" t="e">
        <f>IF(OR(AR197=S13,AR197&gt;S13),AR197,"")</f>
        <v>#VALUE!</v>
      </c>
      <c r="AQ197" s="1759">
        <f t="shared" si="61"/>
        <v>194</v>
      </c>
      <c r="AR197" s="1756" t="e">
        <f>0.5*(S18+2*AQ197)*LN(1+2*AQ197/S18)</f>
        <v>#VALUE!</v>
      </c>
    </row>
    <row r="198" spans="42:44">
      <c r="AP198" s="1756" t="e">
        <f>IF(OR(AR198=S13,AR198&gt;S13),AR198,"")</f>
        <v>#VALUE!</v>
      </c>
      <c r="AQ198" s="1759">
        <f t="shared" ref="AQ198:AQ261" si="62">AQ197+1</f>
        <v>195</v>
      </c>
      <c r="AR198" s="1756" t="e">
        <f>0.5*(S18+2*AQ198)*LN(1+2*AQ198/S18)</f>
        <v>#VALUE!</v>
      </c>
    </row>
    <row r="199" spans="42:44">
      <c r="AP199" s="1756" t="e">
        <f>IF(OR(AR199=S13,AR199&gt;S13),AR199,"")</f>
        <v>#VALUE!</v>
      </c>
      <c r="AQ199" s="1759">
        <f t="shared" si="62"/>
        <v>196</v>
      </c>
      <c r="AR199" s="1756" t="e">
        <f>0.5*(S18+2*AQ199)*LN(1+2*AQ199/S18)</f>
        <v>#VALUE!</v>
      </c>
    </row>
    <row r="200" spans="42:44">
      <c r="AP200" s="1756" t="e">
        <f>IF(OR(AR200=S13,AR200&gt;S13),AR200,"")</f>
        <v>#VALUE!</v>
      </c>
      <c r="AQ200" s="1759">
        <f t="shared" si="62"/>
        <v>197</v>
      </c>
      <c r="AR200" s="1756" t="e">
        <f>0.5*(S18+2*AQ200)*LN(1+2*AQ200/S18)</f>
        <v>#VALUE!</v>
      </c>
    </row>
    <row r="201" spans="42:44">
      <c r="AP201" s="1756" t="e">
        <f>IF(OR(AR201=S13,AR201&gt;S13),AR201,"")</f>
        <v>#VALUE!</v>
      </c>
      <c r="AQ201" s="1759">
        <f t="shared" si="62"/>
        <v>198</v>
      </c>
      <c r="AR201" s="1756" t="e">
        <f>0.5*(S18+2*AQ201)*LN(1+2*AQ201/S18)</f>
        <v>#VALUE!</v>
      </c>
    </row>
    <row r="202" spans="42:44">
      <c r="AP202" s="1756" t="e">
        <f>IF(OR(AR202=S13,AR202&gt;S13),AR202,"")</f>
        <v>#VALUE!</v>
      </c>
      <c r="AQ202" s="1759">
        <f t="shared" si="62"/>
        <v>199</v>
      </c>
      <c r="AR202" s="1756" t="e">
        <f>0.5*(S18+2*AQ202)*LN(1+2*AQ202/S18)</f>
        <v>#VALUE!</v>
      </c>
    </row>
    <row r="203" spans="42:44">
      <c r="AP203" s="1756" t="e">
        <f>IF(OR(AR203=S13,AR203&gt;S13),AR203,"")</f>
        <v>#VALUE!</v>
      </c>
      <c r="AQ203" s="1759">
        <f t="shared" si="62"/>
        <v>200</v>
      </c>
      <c r="AR203" s="1756" t="e">
        <f>0.5*(S18+2*AQ203)*LN(1+2*AQ203/S18)</f>
        <v>#VALUE!</v>
      </c>
    </row>
    <row r="204" spans="42:44">
      <c r="AP204" s="1756" t="e">
        <f>IF(OR(AR204=S13,AR204&gt;S13),AR204,"")</f>
        <v>#VALUE!</v>
      </c>
      <c r="AQ204" s="1759">
        <f t="shared" si="62"/>
        <v>201</v>
      </c>
      <c r="AR204" s="1756" t="e">
        <f>0.5*(S18+2*AQ204)*LN(1+2*AQ204/S18)</f>
        <v>#VALUE!</v>
      </c>
    </row>
    <row r="205" spans="42:44">
      <c r="AP205" s="1756" t="e">
        <f>IF(OR(AR205=S13,AR205&gt;S13),AR205,"")</f>
        <v>#VALUE!</v>
      </c>
      <c r="AQ205" s="1759">
        <f t="shared" si="62"/>
        <v>202</v>
      </c>
      <c r="AR205" s="1756" t="e">
        <f>0.5*(S18+2*AQ205)*LN(1+2*AQ205/S18)</f>
        <v>#VALUE!</v>
      </c>
    </row>
    <row r="206" spans="42:44">
      <c r="AP206" s="1756" t="e">
        <f>IF(OR(AR206=S13,AR206&gt;S13),AR206,"")</f>
        <v>#VALUE!</v>
      </c>
      <c r="AQ206" s="1759">
        <f t="shared" si="62"/>
        <v>203</v>
      </c>
      <c r="AR206" s="1756" t="e">
        <f>0.5*(S18+2*AQ206)*LN(1+2*AQ206/S18)</f>
        <v>#VALUE!</v>
      </c>
    </row>
    <row r="207" spans="42:44">
      <c r="AP207" s="1756" t="e">
        <f>IF(OR(AR207=S13,AR207&gt;S13),AR207,"")</f>
        <v>#VALUE!</v>
      </c>
      <c r="AQ207" s="1759">
        <f t="shared" si="62"/>
        <v>204</v>
      </c>
      <c r="AR207" s="1756" t="e">
        <f>0.5*(S18+2*AQ207)*LN(1+2*AQ207/S18)</f>
        <v>#VALUE!</v>
      </c>
    </row>
    <row r="208" spans="42:44">
      <c r="AP208" s="1756" t="e">
        <f>IF(OR(AR208=S13,AR208&gt;S13),AR208,"")</f>
        <v>#VALUE!</v>
      </c>
      <c r="AQ208" s="1759">
        <f t="shared" si="62"/>
        <v>205</v>
      </c>
      <c r="AR208" s="1756" t="e">
        <f>0.5*(S18+2*AQ208)*LN(1+2*AQ208/S18)</f>
        <v>#VALUE!</v>
      </c>
    </row>
    <row r="209" spans="42:44">
      <c r="AP209" s="1756" t="e">
        <f>IF(OR(AR209=S13,AR209&gt;S13),AR209,"")</f>
        <v>#VALUE!</v>
      </c>
      <c r="AQ209" s="1759">
        <f t="shared" si="62"/>
        <v>206</v>
      </c>
      <c r="AR209" s="1756" t="e">
        <f>0.5*(S18+2*AQ209)*LN(1+2*AQ209/S18)</f>
        <v>#VALUE!</v>
      </c>
    </row>
    <row r="210" spans="42:44">
      <c r="AP210" s="1756" t="e">
        <f>IF(OR(AR210=S13,AR210&gt;S13),AR210,"")</f>
        <v>#VALUE!</v>
      </c>
      <c r="AQ210" s="1759">
        <f t="shared" si="62"/>
        <v>207</v>
      </c>
      <c r="AR210" s="1756" t="e">
        <f>0.5*(S18+2*AQ210)*LN(1+2*AQ210/S18)</f>
        <v>#VALUE!</v>
      </c>
    </row>
    <row r="211" spans="42:44">
      <c r="AP211" s="1756" t="e">
        <f>IF(OR(AR211=S13,AR211&gt;S13),AR211,"")</f>
        <v>#VALUE!</v>
      </c>
      <c r="AQ211" s="1759">
        <f t="shared" si="62"/>
        <v>208</v>
      </c>
      <c r="AR211" s="1756" t="e">
        <f>0.5*(S18+2*AQ211)*LN(1+2*AQ211/S18)</f>
        <v>#VALUE!</v>
      </c>
    </row>
    <row r="212" spans="42:44">
      <c r="AP212" s="1756" t="e">
        <f>IF(OR(AR212=S13,AR212&gt;S13),AR212,"")</f>
        <v>#VALUE!</v>
      </c>
      <c r="AQ212" s="1759">
        <f t="shared" si="62"/>
        <v>209</v>
      </c>
      <c r="AR212" s="1756" t="e">
        <f>0.5*(S18+2*AQ212)*LN(1+2*AQ212/S18)</f>
        <v>#VALUE!</v>
      </c>
    </row>
    <row r="213" spans="42:44">
      <c r="AP213" s="1756" t="e">
        <f>IF(OR(AR213=S13,AR213&gt;S13),AR213,"")</f>
        <v>#VALUE!</v>
      </c>
      <c r="AQ213" s="1759">
        <f t="shared" si="62"/>
        <v>210</v>
      </c>
      <c r="AR213" s="1756" t="e">
        <f>0.5*(S18+2*AQ213)*LN(1+2*AQ213/S18)</f>
        <v>#VALUE!</v>
      </c>
    </row>
    <row r="214" spans="42:44">
      <c r="AP214" s="1756" t="e">
        <f>IF(OR(AR214=S13,AR214&gt;S13),AR214,"")</f>
        <v>#VALUE!</v>
      </c>
      <c r="AQ214" s="1759">
        <f t="shared" si="62"/>
        <v>211</v>
      </c>
      <c r="AR214" s="1756" t="e">
        <f>0.5*(S18+2*AQ214)*LN(1+2*AQ214/S18)</f>
        <v>#VALUE!</v>
      </c>
    </row>
    <row r="215" spans="42:44">
      <c r="AP215" s="1756" t="e">
        <f>IF(OR(AR215=S13,AR215&gt;S13),AR215,"")</f>
        <v>#VALUE!</v>
      </c>
      <c r="AQ215" s="1759">
        <f t="shared" si="62"/>
        <v>212</v>
      </c>
      <c r="AR215" s="1756" t="e">
        <f>0.5*(S18+2*AQ215)*LN(1+2*AQ215/S18)</f>
        <v>#VALUE!</v>
      </c>
    </row>
    <row r="216" spans="42:44">
      <c r="AP216" s="1756" t="e">
        <f>IF(OR(AR216=S13,AR216&gt;S13),AR216,"")</f>
        <v>#VALUE!</v>
      </c>
      <c r="AQ216" s="1759">
        <f t="shared" si="62"/>
        <v>213</v>
      </c>
      <c r="AR216" s="1756" t="e">
        <f>0.5*(S18+2*AQ216)*LN(1+2*AQ216/S18)</f>
        <v>#VALUE!</v>
      </c>
    </row>
    <row r="217" spans="42:44">
      <c r="AP217" s="1756" t="e">
        <f>IF(OR(AR217=S13,AR217&gt;S13),AR217,"")</f>
        <v>#VALUE!</v>
      </c>
      <c r="AQ217" s="1759">
        <f t="shared" si="62"/>
        <v>214</v>
      </c>
      <c r="AR217" s="1756" t="e">
        <f>0.5*(S18+2*AQ217)*LN(1+2*AQ217/S18)</f>
        <v>#VALUE!</v>
      </c>
    </row>
    <row r="218" spans="42:44">
      <c r="AP218" s="1756" t="e">
        <f>IF(OR(AR218=S13,AR218&gt;S13),AR218,"")</f>
        <v>#VALUE!</v>
      </c>
      <c r="AQ218" s="1759">
        <f t="shared" si="62"/>
        <v>215</v>
      </c>
      <c r="AR218" s="1756" t="e">
        <f>0.5*(S18+2*AQ218)*LN(1+2*AQ218/S18)</f>
        <v>#VALUE!</v>
      </c>
    </row>
    <row r="219" spans="42:44">
      <c r="AP219" s="1756" t="e">
        <f>IF(OR(AR219=S13,AR219&gt;S13),AR219,"")</f>
        <v>#VALUE!</v>
      </c>
      <c r="AQ219" s="1759">
        <f t="shared" si="62"/>
        <v>216</v>
      </c>
      <c r="AR219" s="1756" t="e">
        <f>0.5*(S18+2*AQ219)*LN(1+2*AQ219/S18)</f>
        <v>#VALUE!</v>
      </c>
    </row>
    <row r="220" spans="42:44">
      <c r="AP220" s="1756" t="e">
        <f>IF(OR(AR220=S13,AR220&gt;S13),AR220,"")</f>
        <v>#VALUE!</v>
      </c>
      <c r="AQ220" s="1759">
        <f t="shared" si="62"/>
        <v>217</v>
      </c>
      <c r="AR220" s="1756" t="e">
        <f>0.5*(S18+2*AQ220)*LN(1+2*AQ220/S18)</f>
        <v>#VALUE!</v>
      </c>
    </row>
    <row r="221" spans="42:44">
      <c r="AP221" s="1756" t="e">
        <f>IF(OR(AR221=S13,AR221&gt;S13),AR221,"")</f>
        <v>#VALUE!</v>
      </c>
      <c r="AQ221" s="1759">
        <f t="shared" si="62"/>
        <v>218</v>
      </c>
      <c r="AR221" s="1756" t="e">
        <f>0.5*(S18+2*AQ221)*LN(1+2*AQ221/S18)</f>
        <v>#VALUE!</v>
      </c>
    </row>
    <row r="222" spans="42:44">
      <c r="AP222" s="1756" t="e">
        <f>IF(OR(AR222=S13,AR222&gt;S13),AR222,"")</f>
        <v>#VALUE!</v>
      </c>
      <c r="AQ222" s="1759">
        <f t="shared" si="62"/>
        <v>219</v>
      </c>
      <c r="AR222" s="1756" t="e">
        <f>0.5*(S18+2*AQ222)*LN(1+2*AQ222/S18)</f>
        <v>#VALUE!</v>
      </c>
    </row>
    <row r="223" spans="42:44">
      <c r="AP223" s="1756" t="e">
        <f>IF(OR(AR223=S13,AR223&gt;S13),AR223,"")</f>
        <v>#VALUE!</v>
      </c>
      <c r="AQ223" s="1759">
        <f t="shared" si="62"/>
        <v>220</v>
      </c>
      <c r="AR223" s="1756" t="e">
        <f>0.5*(S18+2*AQ223)*LN(1+2*AQ223/S18)</f>
        <v>#VALUE!</v>
      </c>
    </row>
    <row r="224" spans="42:44">
      <c r="AP224" s="1756" t="e">
        <f>IF(OR(AR224=S13,AR224&gt;S13),AR224,"")</f>
        <v>#VALUE!</v>
      </c>
      <c r="AQ224" s="1759">
        <f t="shared" si="62"/>
        <v>221</v>
      </c>
      <c r="AR224" s="1756" t="e">
        <f>0.5*(S18+2*AQ224)*LN(1+2*AQ224/S18)</f>
        <v>#VALUE!</v>
      </c>
    </row>
    <row r="225" spans="42:44">
      <c r="AP225" s="1756" t="e">
        <f>IF(OR(AR225=S13,AR225&gt;S13),AR225,"")</f>
        <v>#VALUE!</v>
      </c>
      <c r="AQ225" s="1759">
        <f t="shared" si="62"/>
        <v>222</v>
      </c>
      <c r="AR225" s="1756" t="e">
        <f>0.5*(S18+2*AQ225)*LN(1+2*AQ225/S18)</f>
        <v>#VALUE!</v>
      </c>
    </row>
    <row r="226" spans="42:44">
      <c r="AP226" s="1756" t="e">
        <f>IF(OR(AR226=S13,AR226&gt;S13),AR226,"")</f>
        <v>#VALUE!</v>
      </c>
      <c r="AQ226" s="1759">
        <f t="shared" si="62"/>
        <v>223</v>
      </c>
      <c r="AR226" s="1756" t="e">
        <f>0.5*(S18+2*AQ226)*LN(1+2*AQ226/S18)</f>
        <v>#VALUE!</v>
      </c>
    </row>
    <row r="227" spans="42:44">
      <c r="AP227" s="1756" t="e">
        <f>IF(OR(AR227=S13,AR227&gt;S13),AR227,"")</f>
        <v>#VALUE!</v>
      </c>
      <c r="AQ227" s="1759">
        <f t="shared" si="62"/>
        <v>224</v>
      </c>
      <c r="AR227" s="1756" t="e">
        <f>0.5*(S18+2*AQ227)*LN(1+2*AQ227/S18)</f>
        <v>#VALUE!</v>
      </c>
    </row>
    <row r="228" spans="42:44">
      <c r="AP228" s="1756" t="e">
        <f>IF(OR(AR228=S13,AR228&gt;S13),AR228,"")</f>
        <v>#VALUE!</v>
      </c>
      <c r="AQ228" s="1759">
        <f t="shared" si="62"/>
        <v>225</v>
      </c>
      <c r="AR228" s="1756" t="e">
        <f>0.5*(S18+2*AQ228)*LN(1+2*AQ228/S18)</f>
        <v>#VALUE!</v>
      </c>
    </row>
    <row r="229" spans="42:44">
      <c r="AP229" s="1756" t="e">
        <f>IF(OR(AR229=S13,AR229&gt;S13),AR229,"")</f>
        <v>#VALUE!</v>
      </c>
      <c r="AQ229" s="1759">
        <f t="shared" si="62"/>
        <v>226</v>
      </c>
      <c r="AR229" s="1756" t="e">
        <f>0.5*(S18+2*AQ229)*LN(1+2*AQ229/S18)</f>
        <v>#VALUE!</v>
      </c>
    </row>
    <row r="230" spans="42:44">
      <c r="AP230" s="1756" t="e">
        <f>IF(OR(AR230=S13,AR230&gt;S13),AR230,"")</f>
        <v>#VALUE!</v>
      </c>
      <c r="AQ230" s="1759">
        <f t="shared" si="62"/>
        <v>227</v>
      </c>
      <c r="AR230" s="1756" t="e">
        <f>0.5*(S18+2*AQ230)*LN(1+2*AQ230/S18)</f>
        <v>#VALUE!</v>
      </c>
    </row>
    <row r="231" spans="42:44">
      <c r="AP231" s="1756" t="e">
        <f>IF(OR(AR231=S13,AR231&gt;S13),AR231,"")</f>
        <v>#VALUE!</v>
      </c>
      <c r="AQ231" s="1759">
        <f t="shared" si="62"/>
        <v>228</v>
      </c>
      <c r="AR231" s="1756" t="e">
        <f>0.5*(S18+2*AQ231)*LN(1+2*AQ231/S18)</f>
        <v>#VALUE!</v>
      </c>
    </row>
    <row r="232" spans="42:44">
      <c r="AP232" s="1756" t="e">
        <f>IF(OR(AR232=S13,AR232&gt;S13),AR232,"")</f>
        <v>#VALUE!</v>
      </c>
      <c r="AQ232" s="1759">
        <f t="shared" si="62"/>
        <v>229</v>
      </c>
      <c r="AR232" s="1756" t="e">
        <f>0.5*(S18+2*AQ232)*LN(1+2*AQ232/S18)</f>
        <v>#VALUE!</v>
      </c>
    </row>
    <row r="233" spans="42:44">
      <c r="AP233" s="1756" t="e">
        <f>IF(OR(AR233=S13,AR233&gt;S13),AR233,"")</f>
        <v>#VALUE!</v>
      </c>
      <c r="AQ233" s="1759">
        <f t="shared" si="62"/>
        <v>230</v>
      </c>
      <c r="AR233" s="1756" t="e">
        <f>0.5*(S18+2*AQ233)*LN(1+2*AQ233/S18)</f>
        <v>#VALUE!</v>
      </c>
    </row>
    <row r="234" spans="42:44">
      <c r="AP234" s="1756" t="e">
        <f>IF(OR(AR234=S13,AR234&gt;S13),AR234,"")</f>
        <v>#VALUE!</v>
      </c>
      <c r="AQ234" s="1759">
        <f t="shared" si="62"/>
        <v>231</v>
      </c>
      <c r="AR234" s="1756" t="e">
        <f>0.5*(S18+2*AQ234)*LN(1+2*AQ234/S18)</f>
        <v>#VALUE!</v>
      </c>
    </row>
    <row r="235" spans="42:44">
      <c r="AP235" s="1756" t="e">
        <f>IF(OR(AR235=S13,AR235&gt;S13),AR235,"")</f>
        <v>#VALUE!</v>
      </c>
      <c r="AQ235" s="1759">
        <f t="shared" si="62"/>
        <v>232</v>
      </c>
      <c r="AR235" s="1756" t="e">
        <f>0.5*(S18+2*AQ235)*LN(1+2*AQ235/S18)</f>
        <v>#VALUE!</v>
      </c>
    </row>
    <row r="236" spans="42:44">
      <c r="AP236" s="1756" t="e">
        <f>IF(OR(AR236=S13,AR236&gt;S13),AR236,"")</f>
        <v>#VALUE!</v>
      </c>
      <c r="AQ236" s="1759">
        <f t="shared" si="62"/>
        <v>233</v>
      </c>
      <c r="AR236" s="1756" t="e">
        <f>0.5*(S18+2*AQ236)*LN(1+2*AQ236/S18)</f>
        <v>#VALUE!</v>
      </c>
    </row>
    <row r="237" spans="42:44">
      <c r="AP237" s="1756" t="e">
        <f>IF(OR(AR237=S13,AR237&gt;S13),AR237,"")</f>
        <v>#VALUE!</v>
      </c>
      <c r="AQ237" s="1759">
        <f t="shared" si="62"/>
        <v>234</v>
      </c>
      <c r="AR237" s="1756" t="e">
        <f>0.5*(S18+2*AQ237)*LN(1+2*AQ237/S18)</f>
        <v>#VALUE!</v>
      </c>
    </row>
    <row r="238" spans="42:44">
      <c r="AP238" s="1756" t="e">
        <f>IF(OR(AR238=S13,AR238&gt;S13),AR238,"")</f>
        <v>#VALUE!</v>
      </c>
      <c r="AQ238" s="1759">
        <f t="shared" si="62"/>
        <v>235</v>
      </c>
      <c r="AR238" s="1756" t="e">
        <f>0.5*(S18+2*AQ238)*LN(1+2*AQ238/S18)</f>
        <v>#VALUE!</v>
      </c>
    </row>
    <row r="239" spans="42:44">
      <c r="AP239" s="1756" t="e">
        <f>IF(OR(AR239=S13,AR239&gt;S13),AR239,"")</f>
        <v>#VALUE!</v>
      </c>
      <c r="AQ239" s="1759">
        <f t="shared" si="62"/>
        <v>236</v>
      </c>
      <c r="AR239" s="1756" t="e">
        <f>0.5*(S18+2*AQ239)*LN(1+2*AQ239/S18)</f>
        <v>#VALUE!</v>
      </c>
    </row>
    <row r="240" spans="42:44">
      <c r="AP240" s="1756" t="e">
        <f>IF(OR(AR240=S13,AR240&gt;S13),AR240,"")</f>
        <v>#VALUE!</v>
      </c>
      <c r="AQ240" s="1759">
        <f t="shared" si="62"/>
        <v>237</v>
      </c>
      <c r="AR240" s="1756" t="e">
        <f>0.5*(S18+2*AQ240)*LN(1+2*AQ240/S18)</f>
        <v>#VALUE!</v>
      </c>
    </row>
    <row r="241" spans="42:44">
      <c r="AP241" s="1756" t="e">
        <f>IF(OR(AR241=S13,AR241&gt;S13),AR241,"")</f>
        <v>#VALUE!</v>
      </c>
      <c r="AQ241" s="1759">
        <f t="shared" si="62"/>
        <v>238</v>
      </c>
      <c r="AR241" s="1756" t="e">
        <f>0.5*(S18+2*AQ241)*LN(1+2*AQ241/S18)</f>
        <v>#VALUE!</v>
      </c>
    </row>
    <row r="242" spans="42:44">
      <c r="AP242" s="1756" t="e">
        <f>IF(OR(AR242=S13,AR242&gt;S13),AR242,"")</f>
        <v>#VALUE!</v>
      </c>
      <c r="AQ242" s="1759">
        <f t="shared" si="62"/>
        <v>239</v>
      </c>
      <c r="AR242" s="1756" t="e">
        <f>0.5*(S18+2*AQ242)*LN(1+2*AQ242/S18)</f>
        <v>#VALUE!</v>
      </c>
    </row>
    <row r="243" spans="42:44">
      <c r="AP243" s="1756" t="e">
        <f>IF(OR(AR243=S13,AR243&gt;S13),AR243,"")</f>
        <v>#VALUE!</v>
      </c>
      <c r="AQ243" s="1759">
        <f t="shared" si="62"/>
        <v>240</v>
      </c>
      <c r="AR243" s="1756" t="e">
        <f>0.5*(S18+2*AQ243)*LN(1+2*AQ243/S18)</f>
        <v>#VALUE!</v>
      </c>
    </row>
    <row r="244" spans="42:44">
      <c r="AP244" s="1756" t="e">
        <f>IF(OR(AR244=S13,AR244&gt;S13),AR244,"")</f>
        <v>#VALUE!</v>
      </c>
      <c r="AQ244" s="1759">
        <f t="shared" si="62"/>
        <v>241</v>
      </c>
      <c r="AR244" s="1756" t="e">
        <f>0.5*(S18+2*AQ244)*LN(1+2*AQ244/S18)</f>
        <v>#VALUE!</v>
      </c>
    </row>
    <row r="245" spans="42:44">
      <c r="AP245" s="1756" t="e">
        <f>IF(OR(AR245=S13,AR245&gt;S13),AR245,"")</f>
        <v>#VALUE!</v>
      </c>
      <c r="AQ245" s="1759">
        <f t="shared" si="62"/>
        <v>242</v>
      </c>
      <c r="AR245" s="1756" t="e">
        <f>0.5*(S18+2*AQ245)*LN(1+2*AQ245/S18)</f>
        <v>#VALUE!</v>
      </c>
    </row>
    <row r="246" spans="42:44">
      <c r="AP246" s="1756" t="e">
        <f>IF(OR(AR246=S13,AR246&gt;S13),AR246,"")</f>
        <v>#VALUE!</v>
      </c>
      <c r="AQ246" s="1759">
        <f t="shared" si="62"/>
        <v>243</v>
      </c>
      <c r="AR246" s="1756" t="e">
        <f>0.5*(S18+2*AQ246)*LN(1+2*AQ246/S18)</f>
        <v>#VALUE!</v>
      </c>
    </row>
    <row r="247" spans="42:44">
      <c r="AP247" s="1756" t="e">
        <f>IF(OR(AR247=S13,AR247&gt;S13),AR247,"")</f>
        <v>#VALUE!</v>
      </c>
      <c r="AQ247" s="1759">
        <f t="shared" si="62"/>
        <v>244</v>
      </c>
      <c r="AR247" s="1756" t="e">
        <f>0.5*(S18+2*AQ247)*LN(1+2*AQ247/S18)</f>
        <v>#VALUE!</v>
      </c>
    </row>
    <row r="248" spans="42:44">
      <c r="AP248" s="1756" t="e">
        <f>IF(OR(AR248=S13,AR248&gt;S13),AR248,"")</f>
        <v>#VALUE!</v>
      </c>
      <c r="AQ248" s="1759">
        <f t="shared" si="62"/>
        <v>245</v>
      </c>
      <c r="AR248" s="1756" t="e">
        <f>0.5*(S18+2*AQ248)*LN(1+2*AQ248/S18)</f>
        <v>#VALUE!</v>
      </c>
    </row>
    <row r="249" spans="42:44">
      <c r="AP249" s="1756" t="e">
        <f>IF(OR(AR249=S13,AR249&gt;S13),AR249,"")</f>
        <v>#VALUE!</v>
      </c>
      <c r="AQ249" s="1759">
        <f t="shared" si="62"/>
        <v>246</v>
      </c>
      <c r="AR249" s="1756" t="e">
        <f>0.5*(S18+2*AQ249)*LN(1+2*AQ249/S18)</f>
        <v>#VALUE!</v>
      </c>
    </row>
    <row r="250" spans="42:44">
      <c r="AP250" s="1756" t="e">
        <f>IF(OR(AR250=S13,AR250&gt;S13),AR250,"")</f>
        <v>#VALUE!</v>
      </c>
      <c r="AQ250" s="1759">
        <f t="shared" si="62"/>
        <v>247</v>
      </c>
      <c r="AR250" s="1756" t="e">
        <f>0.5*(S18+2*AQ250)*LN(1+2*AQ250/S18)</f>
        <v>#VALUE!</v>
      </c>
    </row>
    <row r="251" spans="42:44">
      <c r="AP251" s="1756" t="e">
        <f>IF(OR(AR251=S13,AR251&gt;S13),AR251,"")</f>
        <v>#VALUE!</v>
      </c>
      <c r="AQ251" s="1759">
        <f t="shared" si="62"/>
        <v>248</v>
      </c>
      <c r="AR251" s="1756" t="e">
        <f>0.5*(S18+2*AQ251)*LN(1+2*AQ251/S18)</f>
        <v>#VALUE!</v>
      </c>
    </row>
    <row r="252" spans="42:44">
      <c r="AP252" s="1756" t="e">
        <f>IF(OR(AR252=S13,AR252&gt;S13),AR252,"")</f>
        <v>#VALUE!</v>
      </c>
      <c r="AQ252" s="1759">
        <f t="shared" si="62"/>
        <v>249</v>
      </c>
      <c r="AR252" s="1756" t="e">
        <f>0.5*(S18+2*AQ252)*LN(1+2*AQ252/S18)</f>
        <v>#VALUE!</v>
      </c>
    </row>
    <row r="253" spans="42:44">
      <c r="AP253" s="1756" t="e">
        <f>IF(OR(AR253=S13,AR253&gt;S13),AR253,"")</f>
        <v>#VALUE!</v>
      </c>
      <c r="AQ253" s="1759">
        <f t="shared" si="62"/>
        <v>250</v>
      </c>
      <c r="AR253" s="1756" t="e">
        <f>0.5*(S18+2*AQ253)*LN(1+2*AQ253/S18)</f>
        <v>#VALUE!</v>
      </c>
    </row>
    <row r="254" spans="42:44">
      <c r="AP254" s="1756" t="e">
        <f>IF(OR(AR254=S13,AR254&gt;S13),AR254,"")</f>
        <v>#VALUE!</v>
      </c>
      <c r="AQ254" s="1759">
        <f t="shared" si="62"/>
        <v>251</v>
      </c>
      <c r="AR254" s="1756" t="e">
        <f>0.5*(S18+2*AQ254)*LN(1+2*AQ254/S18)</f>
        <v>#VALUE!</v>
      </c>
    </row>
    <row r="255" spans="42:44">
      <c r="AP255" s="1756" t="e">
        <f>IF(OR(AR255=S13,AR255&gt;S13),AR255,"")</f>
        <v>#VALUE!</v>
      </c>
      <c r="AQ255" s="1759">
        <f t="shared" si="62"/>
        <v>252</v>
      </c>
      <c r="AR255" s="1756" t="e">
        <f>0.5*(S18+2*AQ255)*LN(1+2*AQ255/S18)</f>
        <v>#VALUE!</v>
      </c>
    </row>
    <row r="256" spans="42:44">
      <c r="AP256" s="1756" t="e">
        <f>IF(OR(AR256=S13,AR256&gt;S13),AR256,"")</f>
        <v>#VALUE!</v>
      </c>
      <c r="AQ256" s="1759">
        <f t="shared" si="62"/>
        <v>253</v>
      </c>
      <c r="AR256" s="1756" t="e">
        <f>0.5*(S18+2*AQ256)*LN(1+2*AQ256/S18)</f>
        <v>#VALUE!</v>
      </c>
    </row>
    <row r="257" spans="42:44">
      <c r="AP257" s="1756" t="e">
        <f>IF(OR(AR257=S13,AR257&gt;S13),AR257,"")</f>
        <v>#VALUE!</v>
      </c>
      <c r="AQ257" s="1759">
        <f t="shared" si="62"/>
        <v>254</v>
      </c>
      <c r="AR257" s="1756" t="e">
        <f>0.5*(S18+2*AQ257)*LN(1+2*AQ257/S18)</f>
        <v>#VALUE!</v>
      </c>
    </row>
    <row r="258" spans="42:44">
      <c r="AP258" s="1756" t="e">
        <f>IF(OR(AR258=S13,AR258&gt;S13),AR258,"")</f>
        <v>#VALUE!</v>
      </c>
      <c r="AQ258" s="1759">
        <f t="shared" si="62"/>
        <v>255</v>
      </c>
      <c r="AR258" s="1756" t="e">
        <f>0.5*(S18+2*AQ258)*LN(1+2*AQ258/S18)</f>
        <v>#VALUE!</v>
      </c>
    </row>
    <row r="259" spans="42:44">
      <c r="AP259" s="1756" t="e">
        <f>IF(OR(AR259=S13,AR259&gt;S13),AR259,"")</f>
        <v>#VALUE!</v>
      </c>
      <c r="AQ259" s="1759">
        <f t="shared" si="62"/>
        <v>256</v>
      </c>
      <c r="AR259" s="1756" t="e">
        <f>0.5*(S18+2*AQ259)*LN(1+2*AQ259/S18)</f>
        <v>#VALUE!</v>
      </c>
    </row>
    <row r="260" spans="42:44">
      <c r="AP260" s="1756" t="e">
        <f>IF(OR(AR260=S13,AR260&gt;S13),AR260,"")</f>
        <v>#VALUE!</v>
      </c>
      <c r="AQ260" s="1759">
        <f t="shared" si="62"/>
        <v>257</v>
      </c>
      <c r="AR260" s="1756" t="e">
        <f>0.5*(S18+2*AQ260)*LN(1+2*AQ260/S18)</f>
        <v>#VALUE!</v>
      </c>
    </row>
    <row r="261" spans="42:44">
      <c r="AP261" s="1756" t="e">
        <f>IF(OR(AR261=S13,AR261&gt;S13),AR261,"")</f>
        <v>#VALUE!</v>
      </c>
      <c r="AQ261" s="1759">
        <f t="shared" si="62"/>
        <v>258</v>
      </c>
      <c r="AR261" s="1756" t="e">
        <f>0.5*(S18+2*AQ261)*LN(1+2*AQ261/S18)</f>
        <v>#VALUE!</v>
      </c>
    </row>
    <row r="262" spans="42:44">
      <c r="AP262" s="1756" t="e">
        <f>IF(OR(AR262=S13,AR262&gt;S13),AR262,"")</f>
        <v>#VALUE!</v>
      </c>
      <c r="AQ262" s="1759">
        <f t="shared" ref="AQ262:AQ325" si="63">AQ261+1</f>
        <v>259</v>
      </c>
      <c r="AR262" s="1756" t="e">
        <f>0.5*(S18+2*AQ262)*LN(1+2*AQ262/S18)</f>
        <v>#VALUE!</v>
      </c>
    </row>
    <row r="263" spans="42:44">
      <c r="AP263" s="1756" t="e">
        <f>IF(OR(AR263=S13,AR263&gt;S13),AR263,"")</f>
        <v>#VALUE!</v>
      </c>
      <c r="AQ263" s="1759">
        <f t="shared" si="63"/>
        <v>260</v>
      </c>
      <c r="AR263" s="1756" t="e">
        <f>0.5*(S18+2*AQ263)*LN(1+2*AQ263/S18)</f>
        <v>#VALUE!</v>
      </c>
    </row>
    <row r="264" spans="42:44">
      <c r="AP264" s="1756" t="e">
        <f>IF(OR(AR264=S13,AR264&gt;S13),AR264,"")</f>
        <v>#VALUE!</v>
      </c>
      <c r="AQ264" s="1759">
        <f t="shared" si="63"/>
        <v>261</v>
      </c>
      <c r="AR264" s="1756" t="e">
        <f>0.5*(S18+2*AQ264)*LN(1+2*AQ264/S18)</f>
        <v>#VALUE!</v>
      </c>
    </row>
    <row r="265" spans="42:44">
      <c r="AP265" s="1756" t="e">
        <f>IF(OR(AR265=S13,AR265&gt;S13),AR265,"")</f>
        <v>#VALUE!</v>
      </c>
      <c r="AQ265" s="1759">
        <f t="shared" si="63"/>
        <v>262</v>
      </c>
      <c r="AR265" s="1756" t="e">
        <f>0.5*(S18+2*AQ265)*LN(1+2*AQ265/S18)</f>
        <v>#VALUE!</v>
      </c>
    </row>
    <row r="266" spans="42:44">
      <c r="AP266" s="1756" t="e">
        <f>IF(OR(AR266=S13,AR266&gt;S13),AR266,"")</f>
        <v>#VALUE!</v>
      </c>
      <c r="AQ266" s="1759">
        <f t="shared" si="63"/>
        <v>263</v>
      </c>
      <c r="AR266" s="1756" t="e">
        <f>0.5*(S18+2*AQ266)*LN(1+2*AQ266/S18)</f>
        <v>#VALUE!</v>
      </c>
    </row>
    <row r="267" spans="42:44">
      <c r="AP267" s="1756" t="e">
        <f>IF(OR(AR267=S13,AR267&gt;S13),AR267,"")</f>
        <v>#VALUE!</v>
      </c>
      <c r="AQ267" s="1759">
        <f t="shared" si="63"/>
        <v>264</v>
      </c>
      <c r="AR267" s="1756" t="e">
        <f>0.5*(S18+2*AQ267)*LN(1+2*AQ267/S18)</f>
        <v>#VALUE!</v>
      </c>
    </row>
    <row r="268" spans="42:44">
      <c r="AP268" s="1756" t="e">
        <f>IF(OR(AR268=S13,AR268&gt;S13),AR268,"")</f>
        <v>#VALUE!</v>
      </c>
      <c r="AQ268" s="1759">
        <f t="shared" si="63"/>
        <v>265</v>
      </c>
      <c r="AR268" s="1756" t="e">
        <f>0.5*(S18+2*AQ268)*LN(1+2*AQ268/S18)</f>
        <v>#VALUE!</v>
      </c>
    </row>
    <row r="269" spans="42:44">
      <c r="AP269" s="1756" t="e">
        <f>IF(OR(AR269=S13,AR269&gt;S13),AR269,"")</f>
        <v>#VALUE!</v>
      </c>
      <c r="AQ269" s="1759">
        <f t="shared" si="63"/>
        <v>266</v>
      </c>
      <c r="AR269" s="1756" t="e">
        <f>0.5*(S18+2*AQ269)*LN(1+2*AQ269/S18)</f>
        <v>#VALUE!</v>
      </c>
    </row>
    <row r="270" spans="42:44">
      <c r="AP270" s="1756" t="e">
        <f>IF(OR(AR270=S13,AR270&gt;S13),AR270,"")</f>
        <v>#VALUE!</v>
      </c>
      <c r="AQ270" s="1759">
        <f t="shared" si="63"/>
        <v>267</v>
      </c>
      <c r="AR270" s="1756" t="e">
        <f>0.5*(S18+2*AQ270)*LN(1+2*AQ270/S18)</f>
        <v>#VALUE!</v>
      </c>
    </row>
    <row r="271" spans="42:44">
      <c r="AP271" s="1756" t="e">
        <f>IF(OR(AR271=S13,AR271&gt;S13),AR271,"")</f>
        <v>#VALUE!</v>
      </c>
      <c r="AQ271" s="1759">
        <f t="shared" si="63"/>
        <v>268</v>
      </c>
      <c r="AR271" s="1756" t="e">
        <f>0.5*(S18+2*AQ271)*LN(1+2*AQ271/S18)</f>
        <v>#VALUE!</v>
      </c>
    </row>
    <row r="272" spans="42:44">
      <c r="AP272" s="1756" t="e">
        <f>IF(OR(AR272=S13,AR272&gt;S13),AR272,"")</f>
        <v>#VALUE!</v>
      </c>
      <c r="AQ272" s="1759">
        <f t="shared" si="63"/>
        <v>269</v>
      </c>
      <c r="AR272" s="1756" t="e">
        <f>0.5*(S18+2*AQ272)*LN(1+2*AQ272/S18)</f>
        <v>#VALUE!</v>
      </c>
    </row>
    <row r="273" spans="42:44">
      <c r="AP273" s="1756" t="e">
        <f>IF(OR(AR273=S13,AR273&gt;S13),AR273,"")</f>
        <v>#VALUE!</v>
      </c>
      <c r="AQ273" s="1759">
        <f t="shared" si="63"/>
        <v>270</v>
      </c>
      <c r="AR273" s="1756" t="e">
        <f>0.5*(S18+2*AQ273)*LN(1+2*AQ273/S18)</f>
        <v>#VALUE!</v>
      </c>
    </row>
    <row r="274" spans="42:44">
      <c r="AP274" s="1756" t="e">
        <f>IF(OR(AR274=S13,AR274&gt;S13),AR274,"")</f>
        <v>#VALUE!</v>
      </c>
      <c r="AQ274" s="1759">
        <f t="shared" si="63"/>
        <v>271</v>
      </c>
      <c r="AR274" s="1756" t="e">
        <f>0.5*(S18+2*AQ274)*LN(1+2*AQ274/S18)</f>
        <v>#VALUE!</v>
      </c>
    </row>
    <row r="275" spans="42:44">
      <c r="AP275" s="1756" t="e">
        <f>IF(OR(AR275=S13,AR275&gt;S13),AR275,"")</f>
        <v>#VALUE!</v>
      </c>
      <c r="AQ275" s="1759">
        <f t="shared" si="63"/>
        <v>272</v>
      </c>
      <c r="AR275" s="1756" t="e">
        <f>0.5*(S18+2*AQ275)*LN(1+2*AQ275/S18)</f>
        <v>#VALUE!</v>
      </c>
    </row>
    <row r="276" spans="42:44">
      <c r="AP276" s="1756" t="e">
        <f>IF(OR(AR276=S13,AR276&gt;S13),AR276,"")</f>
        <v>#VALUE!</v>
      </c>
      <c r="AQ276" s="1759">
        <f t="shared" si="63"/>
        <v>273</v>
      </c>
      <c r="AR276" s="1756" t="e">
        <f>0.5*(S18+2*AQ276)*LN(1+2*AQ276/S18)</f>
        <v>#VALUE!</v>
      </c>
    </row>
    <row r="277" spans="42:44">
      <c r="AP277" s="1756" t="e">
        <f>IF(OR(AR277=S13,AR277&gt;S13),AR277,"")</f>
        <v>#VALUE!</v>
      </c>
      <c r="AQ277" s="1759">
        <f t="shared" si="63"/>
        <v>274</v>
      </c>
      <c r="AR277" s="1756" t="e">
        <f>0.5*(S18+2*AQ277)*LN(1+2*AQ277/S18)</f>
        <v>#VALUE!</v>
      </c>
    </row>
    <row r="278" spans="42:44">
      <c r="AP278" s="1756" t="e">
        <f>IF(OR(AR278=S13,AR278&gt;S13),AR278,"")</f>
        <v>#VALUE!</v>
      </c>
      <c r="AQ278" s="1759">
        <f t="shared" si="63"/>
        <v>275</v>
      </c>
      <c r="AR278" s="1756" t="e">
        <f>0.5*(S18+2*AQ278)*LN(1+2*AQ278/S18)</f>
        <v>#VALUE!</v>
      </c>
    </row>
    <row r="279" spans="42:44">
      <c r="AP279" s="1756" t="e">
        <f>IF(OR(AR279=S13,AR279&gt;S13),AR279,"")</f>
        <v>#VALUE!</v>
      </c>
      <c r="AQ279" s="1759">
        <f t="shared" si="63"/>
        <v>276</v>
      </c>
      <c r="AR279" s="1756" t="e">
        <f>0.5*(S18+2*AQ279)*LN(1+2*AQ279/S18)</f>
        <v>#VALUE!</v>
      </c>
    </row>
    <row r="280" spans="42:44">
      <c r="AP280" s="1756" t="e">
        <f>IF(OR(AR280=S13,AR280&gt;S13),AR280,"")</f>
        <v>#VALUE!</v>
      </c>
      <c r="AQ280" s="1759">
        <f t="shared" si="63"/>
        <v>277</v>
      </c>
      <c r="AR280" s="1756" t="e">
        <f>0.5*(S18+2*AQ280)*LN(1+2*AQ280/S18)</f>
        <v>#VALUE!</v>
      </c>
    </row>
    <row r="281" spans="42:44">
      <c r="AP281" s="1756" t="e">
        <f>IF(OR(AR281=S13,AR281&gt;S13),AR281,"")</f>
        <v>#VALUE!</v>
      </c>
      <c r="AQ281" s="1759">
        <f t="shared" si="63"/>
        <v>278</v>
      </c>
      <c r="AR281" s="1756" t="e">
        <f>0.5*(S18+2*AQ281)*LN(1+2*AQ281/S18)</f>
        <v>#VALUE!</v>
      </c>
    </row>
    <row r="282" spans="42:44">
      <c r="AP282" s="1756" t="e">
        <f>IF(OR(AR282=S13,AR282&gt;S13),AR282,"")</f>
        <v>#VALUE!</v>
      </c>
      <c r="AQ282" s="1759">
        <f t="shared" si="63"/>
        <v>279</v>
      </c>
      <c r="AR282" s="1756" t="e">
        <f>0.5*(S18+2*AQ282)*LN(1+2*AQ282/S18)</f>
        <v>#VALUE!</v>
      </c>
    </row>
    <row r="283" spans="42:44">
      <c r="AP283" s="1756" t="e">
        <f>IF(OR(AR283=S13,AR283&gt;S13),AR283,"")</f>
        <v>#VALUE!</v>
      </c>
      <c r="AQ283" s="1759">
        <f t="shared" si="63"/>
        <v>280</v>
      </c>
      <c r="AR283" s="1756" t="e">
        <f>0.5*(S18+2*AQ283)*LN(1+2*AQ283/S18)</f>
        <v>#VALUE!</v>
      </c>
    </row>
    <row r="284" spans="42:44">
      <c r="AP284" s="1756" t="e">
        <f>IF(OR(AR284=S13,AR284&gt;S13),AR284,"")</f>
        <v>#VALUE!</v>
      </c>
      <c r="AQ284" s="1759">
        <f t="shared" si="63"/>
        <v>281</v>
      </c>
      <c r="AR284" s="1756" t="e">
        <f>0.5*(S18+2*AQ284)*LN(1+2*AQ284/S18)</f>
        <v>#VALUE!</v>
      </c>
    </row>
    <row r="285" spans="42:44">
      <c r="AP285" s="1756" t="e">
        <f>IF(OR(AR285=S13,AR285&gt;S13),AR285,"")</f>
        <v>#VALUE!</v>
      </c>
      <c r="AQ285" s="1759">
        <f t="shared" si="63"/>
        <v>282</v>
      </c>
      <c r="AR285" s="1756" t="e">
        <f>0.5*(S18+2*AQ285)*LN(1+2*AQ285/S18)</f>
        <v>#VALUE!</v>
      </c>
    </row>
    <row r="286" spans="42:44">
      <c r="AP286" s="1756" t="e">
        <f>IF(OR(AR286=S13,AR286&gt;S13),AR286,"")</f>
        <v>#VALUE!</v>
      </c>
      <c r="AQ286" s="1759">
        <f t="shared" si="63"/>
        <v>283</v>
      </c>
      <c r="AR286" s="1756" t="e">
        <f>0.5*(S18+2*AQ286)*LN(1+2*AQ286/S18)</f>
        <v>#VALUE!</v>
      </c>
    </row>
    <row r="287" spans="42:44">
      <c r="AP287" s="1756" t="e">
        <f>IF(OR(AR287=S13,AR287&gt;S13),AR287,"")</f>
        <v>#VALUE!</v>
      </c>
      <c r="AQ287" s="1759">
        <f t="shared" si="63"/>
        <v>284</v>
      </c>
      <c r="AR287" s="1756" t="e">
        <f>0.5*(S18+2*AQ287)*LN(1+2*AQ287/S18)</f>
        <v>#VALUE!</v>
      </c>
    </row>
    <row r="288" spans="42:44">
      <c r="AP288" s="1756" t="e">
        <f>IF(OR(AR288=S13,AR288&gt;S13),AR288,"")</f>
        <v>#VALUE!</v>
      </c>
      <c r="AQ288" s="1759">
        <f t="shared" si="63"/>
        <v>285</v>
      </c>
      <c r="AR288" s="1756" t="e">
        <f>0.5*(S18+2*AQ288)*LN(1+2*AQ288/S18)</f>
        <v>#VALUE!</v>
      </c>
    </row>
    <row r="289" spans="42:44">
      <c r="AP289" s="1756" t="e">
        <f>IF(OR(AR289=S13,AR289&gt;S13),AR289,"")</f>
        <v>#VALUE!</v>
      </c>
      <c r="AQ289" s="1759">
        <f t="shared" si="63"/>
        <v>286</v>
      </c>
      <c r="AR289" s="1756" t="e">
        <f>0.5*(S18+2*AQ289)*LN(1+2*AQ289/S18)</f>
        <v>#VALUE!</v>
      </c>
    </row>
    <row r="290" spans="42:44">
      <c r="AP290" s="1756" t="e">
        <f>IF(OR(AR290=S13,AR290&gt;S13),AR290,"")</f>
        <v>#VALUE!</v>
      </c>
      <c r="AQ290" s="1759">
        <f t="shared" si="63"/>
        <v>287</v>
      </c>
      <c r="AR290" s="1756" t="e">
        <f>0.5*(S18+2*AQ290)*LN(1+2*AQ290/S18)</f>
        <v>#VALUE!</v>
      </c>
    </row>
    <row r="291" spans="42:44">
      <c r="AP291" s="1756" t="e">
        <f>IF(OR(AR291=S13,AR291&gt;S13),AR291,"")</f>
        <v>#VALUE!</v>
      </c>
      <c r="AQ291" s="1759">
        <f t="shared" si="63"/>
        <v>288</v>
      </c>
      <c r="AR291" s="1756" t="e">
        <f>0.5*(S18+2*AQ291)*LN(1+2*AQ291/S18)</f>
        <v>#VALUE!</v>
      </c>
    </row>
    <row r="292" spans="42:44">
      <c r="AP292" s="1756" t="e">
        <f>IF(OR(AR292=S13,AR292&gt;S13),AR292,"")</f>
        <v>#VALUE!</v>
      </c>
      <c r="AQ292" s="1759">
        <f t="shared" si="63"/>
        <v>289</v>
      </c>
      <c r="AR292" s="1756" t="e">
        <f>0.5*(S18+2*AQ292)*LN(1+2*AQ292/S18)</f>
        <v>#VALUE!</v>
      </c>
    </row>
    <row r="293" spans="42:44">
      <c r="AP293" s="1756" t="e">
        <f>IF(OR(AR293=S13,AR293&gt;S13),AR293,"")</f>
        <v>#VALUE!</v>
      </c>
      <c r="AQ293" s="1759">
        <f t="shared" si="63"/>
        <v>290</v>
      </c>
      <c r="AR293" s="1756" t="e">
        <f>0.5*(S18+2*AQ293)*LN(1+2*AQ293/S18)</f>
        <v>#VALUE!</v>
      </c>
    </row>
    <row r="294" spans="42:44">
      <c r="AP294" s="1756" t="e">
        <f>IF(OR(AR294=S13,AR294&gt;S13),AR294,"")</f>
        <v>#VALUE!</v>
      </c>
      <c r="AQ294" s="1759">
        <f t="shared" si="63"/>
        <v>291</v>
      </c>
      <c r="AR294" s="1756" t="e">
        <f>0.5*(S18+2*AQ294)*LN(1+2*AQ294/S18)</f>
        <v>#VALUE!</v>
      </c>
    </row>
    <row r="295" spans="42:44">
      <c r="AP295" s="1756" t="e">
        <f>IF(OR(AR295=S13,AR295&gt;S13),AR295,"")</f>
        <v>#VALUE!</v>
      </c>
      <c r="AQ295" s="1759">
        <f t="shared" si="63"/>
        <v>292</v>
      </c>
      <c r="AR295" s="1756" t="e">
        <f>0.5*(S18+2*AQ295)*LN(1+2*AQ295/S18)</f>
        <v>#VALUE!</v>
      </c>
    </row>
    <row r="296" spans="42:44">
      <c r="AP296" s="1756" t="e">
        <f>IF(OR(AR296=S13,AR296&gt;S13),AR296,"")</f>
        <v>#VALUE!</v>
      </c>
      <c r="AQ296" s="1759">
        <f t="shared" si="63"/>
        <v>293</v>
      </c>
      <c r="AR296" s="1756" t="e">
        <f>0.5*(S18+2*AQ296)*LN(1+2*AQ296/S18)</f>
        <v>#VALUE!</v>
      </c>
    </row>
    <row r="297" spans="42:44">
      <c r="AP297" s="1756" t="e">
        <f>IF(OR(AR297=S13,AR297&gt;S13),AR297,"")</f>
        <v>#VALUE!</v>
      </c>
      <c r="AQ297" s="1759">
        <f t="shared" si="63"/>
        <v>294</v>
      </c>
      <c r="AR297" s="1756" t="e">
        <f>0.5*(S18+2*AQ297)*LN(1+2*AQ297/S18)</f>
        <v>#VALUE!</v>
      </c>
    </row>
    <row r="298" spans="42:44">
      <c r="AP298" s="1756" t="e">
        <f>IF(OR(AR298=S13,AR298&gt;S13),AR298,"")</f>
        <v>#VALUE!</v>
      </c>
      <c r="AQ298" s="1759">
        <f t="shared" si="63"/>
        <v>295</v>
      </c>
      <c r="AR298" s="1756" t="e">
        <f>0.5*(S18+2*AQ298)*LN(1+2*AQ298/S18)</f>
        <v>#VALUE!</v>
      </c>
    </row>
    <row r="299" spans="42:44">
      <c r="AP299" s="1756" t="e">
        <f>IF(OR(AR299=S13,AR299&gt;S13),AR299,"")</f>
        <v>#VALUE!</v>
      </c>
      <c r="AQ299" s="1759">
        <f t="shared" si="63"/>
        <v>296</v>
      </c>
      <c r="AR299" s="1756" t="e">
        <f>0.5*(S18+2*AQ299)*LN(1+2*AQ299/S18)</f>
        <v>#VALUE!</v>
      </c>
    </row>
    <row r="300" spans="42:44">
      <c r="AP300" s="1756" t="e">
        <f>IF(OR(AR300=S13,AR300&gt;S13),AR300,"")</f>
        <v>#VALUE!</v>
      </c>
      <c r="AQ300" s="1759">
        <f t="shared" si="63"/>
        <v>297</v>
      </c>
      <c r="AR300" s="1756" t="e">
        <f>0.5*(S18+2*AQ300)*LN(1+2*AQ300/S18)</f>
        <v>#VALUE!</v>
      </c>
    </row>
    <row r="301" spans="42:44">
      <c r="AP301" s="1756" t="e">
        <f>IF(OR(AR301=S13,AR301&gt;S13),AR301,"")</f>
        <v>#VALUE!</v>
      </c>
      <c r="AQ301" s="1759">
        <f t="shared" si="63"/>
        <v>298</v>
      </c>
      <c r="AR301" s="1756" t="e">
        <f>0.5*(S18+2*AQ301)*LN(1+2*AQ301/S18)</f>
        <v>#VALUE!</v>
      </c>
    </row>
    <row r="302" spans="42:44">
      <c r="AP302" s="1756" t="e">
        <f>IF(OR(AR302=S13,AR302&gt;S13),AR302,"")</f>
        <v>#VALUE!</v>
      </c>
      <c r="AQ302" s="1759">
        <f t="shared" si="63"/>
        <v>299</v>
      </c>
      <c r="AR302" s="1756" t="e">
        <f>0.5*(S18+2*AQ302)*LN(1+2*AQ302/S18)</f>
        <v>#VALUE!</v>
      </c>
    </row>
    <row r="303" spans="42:44">
      <c r="AP303" s="1756" t="e">
        <f>IF(OR(AR303=S13,AR303&gt;S13),AR303,"")</f>
        <v>#VALUE!</v>
      </c>
      <c r="AQ303" s="1759">
        <f t="shared" si="63"/>
        <v>300</v>
      </c>
      <c r="AR303" s="1756" t="e">
        <f>0.5*(S18+2*AQ303)*LN(1+2*AQ303/S18)</f>
        <v>#VALUE!</v>
      </c>
    </row>
    <row r="304" spans="42:44">
      <c r="AP304" s="1756" t="e">
        <f>IF(OR(AR304=S13,AR304&gt;S13),AR304,"")</f>
        <v>#VALUE!</v>
      </c>
      <c r="AQ304" s="1759">
        <f t="shared" si="63"/>
        <v>301</v>
      </c>
      <c r="AR304" s="1756" t="e">
        <f>0.5*(S18+2*AQ304)*LN(1+2*AQ304/S18)</f>
        <v>#VALUE!</v>
      </c>
    </row>
    <row r="305" spans="42:44">
      <c r="AP305" s="1756" t="e">
        <f>IF(OR(AR305=S13,AR305&gt;S13),AR305,"")</f>
        <v>#VALUE!</v>
      </c>
      <c r="AQ305" s="1759">
        <f t="shared" si="63"/>
        <v>302</v>
      </c>
      <c r="AR305" s="1756" t="e">
        <f>0.5*(S18+2*AQ305)*LN(1+2*AQ305/S18)</f>
        <v>#VALUE!</v>
      </c>
    </row>
    <row r="306" spans="42:44">
      <c r="AP306" s="1756" t="e">
        <f>IF(OR(AR306=S13,AR306&gt;S13),AR306,"")</f>
        <v>#VALUE!</v>
      </c>
      <c r="AQ306" s="1759">
        <f t="shared" si="63"/>
        <v>303</v>
      </c>
      <c r="AR306" s="1756" t="e">
        <f>0.5*(S18+2*AQ306)*LN(1+2*AQ306/S18)</f>
        <v>#VALUE!</v>
      </c>
    </row>
    <row r="307" spans="42:44">
      <c r="AP307" s="1756" t="e">
        <f>IF(OR(AR307=S13,AR307&gt;S13),AR307,"")</f>
        <v>#VALUE!</v>
      </c>
      <c r="AQ307" s="1759">
        <f t="shared" si="63"/>
        <v>304</v>
      </c>
      <c r="AR307" s="1756" t="e">
        <f>0.5*(S18+2*AQ307)*LN(1+2*AQ307/S18)</f>
        <v>#VALUE!</v>
      </c>
    </row>
    <row r="308" spans="42:44">
      <c r="AP308" s="1756" t="e">
        <f>IF(OR(AR308=S13,AR308&gt;S13),AR308,"")</f>
        <v>#VALUE!</v>
      </c>
      <c r="AQ308" s="1759">
        <f t="shared" si="63"/>
        <v>305</v>
      </c>
      <c r="AR308" s="1756" t="e">
        <f>0.5*(S18+2*AQ308)*LN(1+2*AQ308/S18)</f>
        <v>#VALUE!</v>
      </c>
    </row>
    <row r="309" spans="42:44">
      <c r="AP309" s="1756" t="e">
        <f>IF(OR(AR309=S13,AR309&gt;S13),AR309,"")</f>
        <v>#VALUE!</v>
      </c>
      <c r="AQ309" s="1759">
        <f t="shared" si="63"/>
        <v>306</v>
      </c>
      <c r="AR309" s="1756" t="e">
        <f>0.5*(S18+2*AQ309)*LN(1+2*AQ309/S18)</f>
        <v>#VALUE!</v>
      </c>
    </row>
    <row r="310" spans="42:44">
      <c r="AP310" s="1756" t="e">
        <f>IF(OR(AR310=S13,AR310&gt;S13),AR310,"")</f>
        <v>#VALUE!</v>
      </c>
      <c r="AQ310" s="1759">
        <f t="shared" si="63"/>
        <v>307</v>
      </c>
      <c r="AR310" s="1756" t="e">
        <f>0.5*(S18+2*AQ310)*LN(1+2*AQ310/S18)</f>
        <v>#VALUE!</v>
      </c>
    </row>
    <row r="311" spans="42:44">
      <c r="AP311" s="1756" t="e">
        <f>IF(OR(AR311=S13,AR311&gt;S13),AR311,"")</f>
        <v>#VALUE!</v>
      </c>
      <c r="AQ311" s="1759">
        <f t="shared" si="63"/>
        <v>308</v>
      </c>
      <c r="AR311" s="1756" t="e">
        <f>0.5*(S18+2*AQ311)*LN(1+2*AQ311/S18)</f>
        <v>#VALUE!</v>
      </c>
    </row>
    <row r="312" spans="42:44">
      <c r="AP312" s="1756" t="e">
        <f>IF(OR(AR312=S13,AR312&gt;S13),AR312,"")</f>
        <v>#VALUE!</v>
      </c>
      <c r="AQ312" s="1759">
        <f t="shared" si="63"/>
        <v>309</v>
      </c>
      <c r="AR312" s="1756" t="e">
        <f>0.5*(S18+2*AQ312)*LN(1+2*AQ312/S18)</f>
        <v>#VALUE!</v>
      </c>
    </row>
    <row r="313" spans="42:44">
      <c r="AP313" s="1756" t="e">
        <f>IF(OR(AR313=S13,AR313&gt;S13),AR313,"")</f>
        <v>#VALUE!</v>
      </c>
      <c r="AQ313" s="1759">
        <f t="shared" si="63"/>
        <v>310</v>
      </c>
      <c r="AR313" s="1756" t="e">
        <f>0.5*(S18+2*AQ313)*LN(1+2*AQ313/S18)</f>
        <v>#VALUE!</v>
      </c>
    </row>
    <row r="314" spans="42:44">
      <c r="AP314" s="1756" t="e">
        <f>IF(OR(AR314=S13,AR314&gt;S13),AR314,"")</f>
        <v>#VALUE!</v>
      </c>
      <c r="AQ314" s="1759">
        <f t="shared" si="63"/>
        <v>311</v>
      </c>
      <c r="AR314" s="1756" t="e">
        <f>0.5*(S18+2*AQ314)*LN(1+2*AQ314/S18)</f>
        <v>#VALUE!</v>
      </c>
    </row>
    <row r="315" spans="42:44">
      <c r="AP315" s="1756" t="e">
        <f>IF(OR(AR315=S13,AR315&gt;S13),AR315,"")</f>
        <v>#VALUE!</v>
      </c>
      <c r="AQ315" s="1759">
        <f t="shared" si="63"/>
        <v>312</v>
      </c>
      <c r="AR315" s="1756" t="e">
        <f>0.5*(S18+2*AQ315)*LN(1+2*AQ315/S18)</f>
        <v>#VALUE!</v>
      </c>
    </row>
    <row r="316" spans="42:44">
      <c r="AP316" s="1756" t="e">
        <f>IF(OR(AR316=S13,AR316&gt;S13),AR316,"")</f>
        <v>#VALUE!</v>
      </c>
      <c r="AQ316" s="1759">
        <f t="shared" si="63"/>
        <v>313</v>
      </c>
      <c r="AR316" s="1756" t="e">
        <f>0.5*(S18+2*AQ316)*LN(1+2*AQ316/S18)</f>
        <v>#VALUE!</v>
      </c>
    </row>
    <row r="317" spans="42:44">
      <c r="AP317" s="1756" t="e">
        <f>IF(OR(AR317=S13,AR317&gt;S13),AR317,"")</f>
        <v>#VALUE!</v>
      </c>
      <c r="AQ317" s="1759">
        <f t="shared" si="63"/>
        <v>314</v>
      </c>
      <c r="AR317" s="1756" t="e">
        <f>0.5*(S18+2*AQ317)*LN(1+2*AQ317/S18)</f>
        <v>#VALUE!</v>
      </c>
    </row>
    <row r="318" spans="42:44">
      <c r="AP318" s="1756" t="e">
        <f>IF(OR(AR318=S13,AR318&gt;S13),AR318,"")</f>
        <v>#VALUE!</v>
      </c>
      <c r="AQ318" s="1759">
        <f t="shared" si="63"/>
        <v>315</v>
      </c>
      <c r="AR318" s="1756" t="e">
        <f>0.5*(S18+2*AQ318)*LN(1+2*AQ318/S18)</f>
        <v>#VALUE!</v>
      </c>
    </row>
    <row r="319" spans="42:44">
      <c r="AP319" s="1756" t="e">
        <f>IF(OR(AR319=S13,AR319&gt;S13),AR319,"")</f>
        <v>#VALUE!</v>
      </c>
      <c r="AQ319" s="1759">
        <f t="shared" si="63"/>
        <v>316</v>
      </c>
      <c r="AR319" s="1756" t="e">
        <f>0.5*(S18+2*AQ319)*LN(1+2*AQ319/S18)</f>
        <v>#VALUE!</v>
      </c>
    </row>
    <row r="320" spans="42:44">
      <c r="AP320" s="1756" t="e">
        <f>IF(OR(AR320=S13,AR320&gt;S13),AR320,"")</f>
        <v>#VALUE!</v>
      </c>
      <c r="AQ320" s="1759">
        <f t="shared" si="63"/>
        <v>317</v>
      </c>
      <c r="AR320" s="1756" t="e">
        <f>0.5*(S18+2*AQ320)*LN(1+2*AQ320/S18)</f>
        <v>#VALUE!</v>
      </c>
    </row>
    <row r="321" spans="42:44">
      <c r="AP321" s="1756" t="e">
        <f>IF(OR(AR321=S13,AR321&gt;S13),AR321,"")</f>
        <v>#VALUE!</v>
      </c>
      <c r="AQ321" s="1759">
        <f t="shared" si="63"/>
        <v>318</v>
      </c>
      <c r="AR321" s="1756" t="e">
        <f>0.5*(S18+2*AQ321)*LN(1+2*AQ321/S18)</f>
        <v>#VALUE!</v>
      </c>
    </row>
    <row r="322" spans="42:44">
      <c r="AP322" s="1756" t="e">
        <f>IF(OR(AR322=S13,AR322&gt;S13),AR322,"")</f>
        <v>#VALUE!</v>
      </c>
      <c r="AQ322" s="1759">
        <f t="shared" si="63"/>
        <v>319</v>
      </c>
      <c r="AR322" s="1756" t="e">
        <f>0.5*(S18+2*AQ322)*LN(1+2*AQ322/S18)</f>
        <v>#VALUE!</v>
      </c>
    </row>
    <row r="323" spans="42:44">
      <c r="AP323" s="1756" t="e">
        <f>IF(OR(AR323=S13,AR323&gt;S13),AR323,"")</f>
        <v>#VALUE!</v>
      </c>
      <c r="AQ323" s="1759">
        <f t="shared" si="63"/>
        <v>320</v>
      </c>
      <c r="AR323" s="1756" t="e">
        <f>0.5*(S18+2*AQ323)*LN(1+2*AQ323/S18)</f>
        <v>#VALUE!</v>
      </c>
    </row>
    <row r="324" spans="42:44">
      <c r="AP324" s="1756" t="e">
        <f>IF(OR(AR324=S13,AR324&gt;S13),AR324,"")</f>
        <v>#VALUE!</v>
      </c>
      <c r="AQ324" s="1759">
        <f t="shared" si="63"/>
        <v>321</v>
      </c>
      <c r="AR324" s="1756" t="e">
        <f>0.5*(S18+2*AQ324)*LN(1+2*AQ324/S18)</f>
        <v>#VALUE!</v>
      </c>
    </row>
    <row r="325" spans="42:44">
      <c r="AP325" s="1756" t="e">
        <f>IF(OR(AR325=S13,AR325&gt;S13),AR325,"")</f>
        <v>#VALUE!</v>
      </c>
      <c r="AQ325" s="1759">
        <f t="shared" si="63"/>
        <v>322</v>
      </c>
      <c r="AR325" s="1756" t="e">
        <f>0.5*(S18+2*AQ325)*LN(1+2*AQ325/S18)</f>
        <v>#VALUE!</v>
      </c>
    </row>
    <row r="326" spans="42:44">
      <c r="AP326" s="1756" t="e">
        <f>IF(OR(AR326=S13,AR326&gt;S13),AR326,"")</f>
        <v>#VALUE!</v>
      </c>
      <c r="AQ326" s="1759">
        <f t="shared" ref="AQ326:AQ389" si="64">AQ325+1</f>
        <v>323</v>
      </c>
      <c r="AR326" s="1756" t="e">
        <f>0.5*(S18+2*AQ326)*LN(1+2*AQ326/S18)</f>
        <v>#VALUE!</v>
      </c>
    </row>
    <row r="327" spans="42:44">
      <c r="AP327" s="1756" t="e">
        <f>IF(OR(AR327=S13,AR327&gt;S13),AR327,"")</f>
        <v>#VALUE!</v>
      </c>
      <c r="AQ327" s="1759">
        <f t="shared" si="64"/>
        <v>324</v>
      </c>
      <c r="AR327" s="1756" t="e">
        <f>0.5*(S18+2*AQ327)*LN(1+2*AQ327/S18)</f>
        <v>#VALUE!</v>
      </c>
    </row>
    <row r="328" spans="42:44">
      <c r="AP328" s="1756" t="e">
        <f>IF(OR(AR328=S13,AR328&gt;S13),AR328,"")</f>
        <v>#VALUE!</v>
      </c>
      <c r="AQ328" s="1759">
        <f t="shared" si="64"/>
        <v>325</v>
      </c>
      <c r="AR328" s="1756" t="e">
        <f>0.5*(S18+2*AQ328)*LN(1+2*AQ328/S18)</f>
        <v>#VALUE!</v>
      </c>
    </row>
    <row r="329" spans="42:44">
      <c r="AP329" s="1756" t="e">
        <f>IF(OR(AR329=S13,AR329&gt;S13),AR329,"")</f>
        <v>#VALUE!</v>
      </c>
      <c r="AQ329" s="1759">
        <f t="shared" si="64"/>
        <v>326</v>
      </c>
      <c r="AR329" s="1756" t="e">
        <f>0.5*(S18+2*AQ329)*LN(1+2*AQ329/S18)</f>
        <v>#VALUE!</v>
      </c>
    </row>
    <row r="330" spans="42:44">
      <c r="AP330" s="1756" t="e">
        <f>IF(OR(AR330=S13,AR330&gt;S13),AR330,"")</f>
        <v>#VALUE!</v>
      </c>
      <c r="AQ330" s="1759">
        <f t="shared" si="64"/>
        <v>327</v>
      </c>
      <c r="AR330" s="1756" t="e">
        <f>0.5*(S18+2*AQ330)*LN(1+2*AQ330/S18)</f>
        <v>#VALUE!</v>
      </c>
    </row>
    <row r="331" spans="42:44">
      <c r="AP331" s="1756" t="e">
        <f>IF(OR(AR331=S13,AR331&gt;S13),AR331,"")</f>
        <v>#VALUE!</v>
      </c>
      <c r="AQ331" s="1759">
        <f t="shared" si="64"/>
        <v>328</v>
      </c>
      <c r="AR331" s="1756" t="e">
        <f>0.5*(S18+2*AQ331)*LN(1+2*AQ331/S18)</f>
        <v>#VALUE!</v>
      </c>
    </row>
    <row r="332" spans="42:44">
      <c r="AP332" s="1756" t="e">
        <f>IF(OR(AR332=S13,AR332&gt;S13),AR332,"")</f>
        <v>#VALUE!</v>
      </c>
      <c r="AQ332" s="1759">
        <f t="shared" si="64"/>
        <v>329</v>
      </c>
      <c r="AR332" s="1756" t="e">
        <f>0.5*(S18+2*AQ332)*LN(1+2*AQ332/S18)</f>
        <v>#VALUE!</v>
      </c>
    </row>
    <row r="333" spans="42:44">
      <c r="AP333" s="1756" t="e">
        <f>IF(OR(AR333=S13,AR333&gt;S13),AR333,"")</f>
        <v>#VALUE!</v>
      </c>
      <c r="AQ333" s="1759">
        <f t="shared" si="64"/>
        <v>330</v>
      </c>
      <c r="AR333" s="1756" t="e">
        <f>0.5*(S18+2*AQ333)*LN(1+2*AQ333/S18)</f>
        <v>#VALUE!</v>
      </c>
    </row>
    <row r="334" spans="42:44">
      <c r="AP334" s="1756" t="e">
        <f>IF(OR(AR334=S13,AR334&gt;S13),AR334,"")</f>
        <v>#VALUE!</v>
      </c>
      <c r="AQ334" s="1759">
        <f t="shared" si="64"/>
        <v>331</v>
      </c>
      <c r="AR334" s="1756" t="e">
        <f>0.5*(S18+2*AQ334)*LN(1+2*AQ334/S18)</f>
        <v>#VALUE!</v>
      </c>
    </row>
    <row r="335" spans="42:44">
      <c r="AP335" s="1756" t="e">
        <f>IF(OR(AR335=S13,AR335&gt;S13),AR335,"")</f>
        <v>#VALUE!</v>
      </c>
      <c r="AQ335" s="1759">
        <f t="shared" si="64"/>
        <v>332</v>
      </c>
      <c r="AR335" s="1756" t="e">
        <f>0.5*(S18+2*AQ335)*LN(1+2*AQ335/S18)</f>
        <v>#VALUE!</v>
      </c>
    </row>
    <row r="336" spans="42:44">
      <c r="AP336" s="1756" t="e">
        <f>IF(OR(AR336=S13,AR336&gt;S13),AR336,"")</f>
        <v>#VALUE!</v>
      </c>
      <c r="AQ336" s="1759">
        <f t="shared" si="64"/>
        <v>333</v>
      </c>
      <c r="AR336" s="1756" t="e">
        <f>0.5*(S18+2*AQ336)*LN(1+2*AQ336/S18)</f>
        <v>#VALUE!</v>
      </c>
    </row>
    <row r="337" spans="42:44">
      <c r="AP337" s="1756" t="e">
        <f>IF(OR(AR337=S13,AR337&gt;S13),AR337,"")</f>
        <v>#VALUE!</v>
      </c>
      <c r="AQ337" s="1759">
        <f t="shared" si="64"/>
        <v>334</v>
      </c>
      <c r="AR337" s="1756" t="e">
        <f>0.5*(S18+2*AQ337)*LN(1+2*AQ337/S18)</f>
        <v>#VALUE!</v>
      </c>
    </row>
    <row r="338" spans="42:44">
      <c r="AP338" s="1756" t="e">
        <f>IF(OR(AR338=S13,AR338&gt;S13),AR338,"")</f>
        <v>#VALUE!</v>
      </c>
      <c r="AQ338" s="1759">
        <f t="shared" si="64"/>
        <v>335</v>
      </c>
      <c r="AR338" s="1756" t="e">
        <f>0.5*(S18+2*AQ338)*LN(1+2*AQ338/S18)</f>
        <v>#VALUE!</v>
      </c>
    </row>
    <row r="339" spans="42:44">
      <c r="AP339" s="1756" t="e">
        <f>IF(OR(AR339=S13,AR339&gt;S13),AR339,"")</f>
        <v>#VALUE!</v>
      </c>
      <c r="AQ339" s="1759">
        <f t="shared" si="64"/>
        <v>336</v>
      </c>
      <c r="AR339" s="1756" t="e">
        <f>0.5*(S18+2*AQ339)*LN(1+2*AQ339/S18)</f>
        <v>#VALUE!</v>
      </c>
    </row>
    <row r="340" spans="42:44">
      <c r="AP340" s="1756" t="e">
        <f>IF(OR(AR340=S13,AR340&gt;S13),AR340,"")</f>
        <v>#VALUE!</v>
      </c>
      <c r="AQ340" s="1759">
        <f t="shared" si="64"/>
        <v>337</v>
      </c>
      <c r="AR340" s="1756" t="e">
        <f>0.5*(S18+2*AQ340)*LN(1+2*AQ340/S18)</f>
        <v>#VALUE!</v>
      </c>
    </row>
    <row r="341" spans="42:44">
      <c r="AP341" s="1756" t="e">
        <f>IF(OR(AR341=S13,AR341&gt;S13),AR341,"")</f>
        <v>#VALUE!</v>
      </c>
      <c r="AQ341" s="1759">
        <f t="shared" si="64"/>
        <v>338</v>
      </c>
      <c r="AR341" s="1756" t="e">
        <f>0.5*(S18+2*AQ341)*LN(1+2*AQ341/S18)</f>
        <v>#VALUE!</v>
      </c>
    </row>
    <row r="342" spans="42:44">
      <c r="AP342" s="1756" t="e">
        <f>IF(OR(AR342=S13,AR342&gt;S13),AR342,"")</f>
        <v>#VALUE!</v>
      </c>
      <c r="AQ342" s="1759">
        <f t="shared" si="64"/>
        <v>339</v>
      </c>
      <c r="AR342" s="1756" t="e">
        <f>0.5*(S18+2*AQ342)*LN(1+2*AQ342/S18)</f>
        <v>#VALUE!</v>
      </c>
    </row>
    <row r="343" spans="42:44">
      <c r="AP343" s="1756" t="e">
        <f>IF(OR(AR343=S13,AR343&gt;S13),AR343,"")</f>
        <v>#VALUE!</v>
      </c>
      <c r="AQ343" s="1759">
        <f t="shared" si="64"/>
        <v>340</v>
      </c>
      <c r="AR343" s="1756" t="e">
        <f>0.5*(S18+2*AQ343)*LN(1+2*AQ343/S18)</f>
        <v>#VALUE!</v>
      </c>
    </row>
    <row r="344" spans="42:44">
      <c r="AP344" s="1756" t="e">
        <f>IF(OR(AR344=S13,AR344&gt;S13),AR344,"")</f>
        <v>#VALUE!</v>
      </c>
      <c r="AQ344" s="1759">
        <f t="shared" si="64"/>
        <v>341</v>
      </c>
      <c r="AR344" s="1756" t="e">
        <f>0.5*(S18+2*AQ344)*LN(1+2*AQ344/S18)</f>
        <v>#VALUE!</v>
      </c>
    </row>
    <row r="345" spans="42:44">
      <c r="AP345" s="1756" t="e">
        <f>IF(OR(AR345=S13,AR345&gt;S13),AR345,"")</f>
        <v>#VALUE!</v>
      </c>
      <c r="AQ345" s="1759">
        <f t="shared" si="64"/>
        <v>342</v>
      </c>
      <c r="AR345" s="1756" t="e">
        <f>0.5*(S18+2*AQ345)*LN(1+2*AQ345/S18)</f>
        <v>#VALUE!</v>
      </c>
    </row>
    <row r="346" spans="42:44">
      <c r="AP346" s="1756" t="e">
        <f>IF(OR(AR346=S13,AR346&gt;S13),AR346,"")</f>
        <v>#VALUE!</v>
      </c>
      <c r="AQ346" s="1759">
        <f t="shared" si="64"/>
        <v>343</v>
      </c>
      <c r="AR346" s="1756" t="e">
        <f>0.5*(S18+2*AQ346)*LN(1+2*AQ346/S18)</f>
        <v>#VALUE!</v>
      </c>
    </row>
    <row r="347" spans="42:44">
      <c r="AP347" s="1756" t="e">
        <f>IF(OR(AR347=S13,AR347&gt;S13),AR347,"")</f>
        <v>#VALUE!</v>
      </c>
      <c r="AQ347" s="1759">
        <f t="shared" si="64"/>
        <v>344</v>
      </c>
      <c r="AR347" s="1756" t="e">
        <f>0.5*(S18+2*AQ347)*LN(1+2*AQ347/S18)</f>
        <v>#VALUE!</v>
      </c>
    </row>
    <row r="348" spans="42:44">
      <c r="AP348" s="1756" t="e">
        <f>IF(OR(AR348=S13,AR348&gt;S13),AR348,"")</f>
        <v>#VALUE!</v>
      </c>
      <c r="AQ348" s="1759">
        <f t="shared" si="64"/>
        <v>345</v>
      </c>
      <c r="AR348" s="1756" t="e">
        <f>0.5*(S18+2*AQ348)*LN(1+2*AQ348/S18)</f>
        <v>#VALUE!</v>
      </c>
    </row>
    <row r="349" spans="42:44">
      <c r="AP349" s="1756" t="e">
        <f>IF(OR(AR349=S13,AR349&gt;S13),AR349,"")</f>
        <v>#VALUE!</v>
      </c>
      <c r="AQ349" s="1759">
        <f t="shared" si="64"/>
        <v>346</v>
      </c>
      <c r="AR349" s="1756" t="e">
        <f>0.5*(S18+2*AQ349)*LN(1+2*AQ349/S18)</f>
        <v>#VALUE!</v>
      </c>
    </row>
    <row r="350" spans="42:44">
      <c r="AP350" s="1756" t="e">
        <f>IF(OR(AR350=S13,AR350&gt;S13),AR350,"")</f>
        <v>#VALUE!</v>
      </c>
      <c r="AQ350" s="1759">
        <f t="shared" si="64"/>
        <v>347</v>
      </c>
      <c r="AR350" s="1756" t="e">
        <f>0.5*(S18+2*AQ350)*LN(1+2*AQ350/S18)</f>
        <v>#VALUE!</v>
      </c>
    </row>
    <row r="351" spans="42:44">
      <c r="AP351" s="1756" t="e">
        <f>IF(OR(AR351=S13,AR351&gt;S13),AR351,"")</f>
        <v>#VALUE!</v>
      </c>
      <c r="AQ351" s="1759">
        <f t="shared" si="64"/>
        <v>348</v>
      </c>
      <c r="AR351" s="1756" t="e">
        <f>0.5*(S18+2*AQ351)*LN(1+2*AQ351/S18)</f>
        <v>#VALUE!</v>
      </c>
    </row>
    <row r="352" spans="42:44">
      <c r="AP352" s="1756" t="e">
        <f>IF(OR(AR352=S13,AR352&gt;S13),AR352,"")</f>
        <v>#VALUE!</v>
      </c>
      <c r="AQ352" s="1759">
        <f t="shared" si="64"/>
        <v>349</v>
      </c>
      <c r="AR352" s="1756" t="e">
        <f>0.5*(S18+2*AQ352)*LN(1+2*AQ352/S18)</f>
        <v>#VALUE!</v>
      </c>
    </row>
    <row r="353" spans="42:44">
      <c r="AP353" s="1756" t="e">
        <f>IF(OR(AR353=S13,AR353&gt;S13),AR353,"")</f>
        <v>#VALUE!</v>
      </c>
      <c r="AQ353" s="1759">
        <f t="shared" si="64"/>
        <v>350</v>
      </c>
      <c r="AR353" s="1756" t="e">
        <f>0.5*(S18+2*AQ353)*LN(1+2*AQ353/S18)</f>
        <v>#VALUE!</v>
      </c>
    </row>
    <row r="354" spans="42:44">
      <c r="AP354" s="1756" t="e">
        <f>IF(OR(AR354=S13,AR354&gt;S13),AR354,"")</f>
        <v>#VALUE!</v>
      </c>
      <c r="AQ354" s="1759">
        <f t="shared" si="64"/>
        <v>351</v>
      </c>
      <c r="AR354" s="1756" t="e">
        <f>0.5*(S18+2*AQ354)*LN(1+2*AQ354/S18)</f>
        <v>#VALUE!</v>
      </c>
    </row>
    <row r="355" spans="42:44">
      <c r="AP355" s="1756" t="e">
        <f>IF(OR(AR355=S13,AR355&gt;S13),AR355,"")</f>
        <v>#VALUE!</v>
      </c>
      <c r="AQ355" s="1759">
        <f t="shared" si="64"/>
        <v>352</v>
      </c>
      <c r="AR355" s="1756" t="e">
        <f>0.5*(S18+2*AQ355)*LN(1+2*AQ355/S18)</f>
        <v>#VALUE!</v>
      </c>
    </row>
    <row r="356" spans="42:44">
      <c r="AP356" s="1756" t="e">
        <f>IF(OR(AR356=S13,AR356&gt;S13),AR356,"")</f>
        <v>#VALUE!</v>
      </c>
      <c r="AQ356" s="1759">
        <f t="shared" si="64"/>
        <v>353</v>
      </c>
      <c r="AR356" s="1756" t="e">
        <f>0.5*(S18+2*AQ356)*LN(1+2*AQ356/S18)</f>
        <v>#VALUE!</v>
      </c>
    </row>
    <row r="357" spans="42:44">
      <c r="AP357" s="1756" t="e">
        <f>IF(OR(AR357=S13,AR357&gt;S13),AR357,"")</f>
        <v>#VALUE!</v>
      </c>
      <c r="AQ357" s="1759">
        <f t="shared" si="64"/>
        <v>354</v>
      </c>
      <c r="AR357" s="1756" t="e">
        <f>0.5*(S18+2*AQ357)*LN(1+2*AQ357/S18)</f>
        <v>#VALUE!</v>
      </c>
    </row>
    <row r="358" spans="42:44">
      <c r="AP358" s="1756" t="e">
        <f>IF(OR(AR358=S13,AR358&gt;S13),AR358,"")</f>
        <v>#VALUE!</v>
      </c>
      <c r="AQ358" s="1759">
        <f t="shared" si="64"/>
        <v>355</v>
      </c>
      <c r="AR358" s="1756" t="e">
        <f>0.5*(S18+2*AQ358)*LN(1+2*AQ358/S18)</f>
        <v>#VALUE!</v>
      </c>
    </row>
    <row r="359" spans="42:44">
      <c r="AP359" s="1756" t="e">
        <f>IF(OR(AR359=S13,AR359&gt;S13),AR359,"")</f>
        <v>#VALUE!</v>
      </c>
      <c r="AQ359" s="1759">
        <f t="shared" si="64"/>
        <v>356</v>
      </c>
      <c r="AR359" s="1756" t="e">
        <f>0.5*(S18+2*AQ359)*LN(1+2*AQ359/S18)</f>
        <v>#VALUE!</v>
      </c>
    </row>
    <row r="360" spans="42:44">
      <c r="AP360" s="1756" t="e">
        <f>IF(OR(AR360=S13,AR360&gt;S13),AR360,"")</f>
        <v>#VALUE!</v>
      </c>
      <c r="AQ360" s="1759">
        <f t="shared" si="64"/>
        <v>357</v>
      </c>
      <c r="AR360" s="1756" t="e">
        <f>0.5*(S18+2*AQ360)*LN(1+2*AQ360/S18)</f>
        <v>#VALUE!</v>
      </c>
    </row>
    <row r="361" spans="42:44">
      <c r="AP361" s="1756" t="e">
        <f>IF(OR(AR361=S13,AR361&gt;S13),AR361,"")</f>
        <v>#VALUE!</v>
      </c>
      <c r="AQ361" s="1759">
        <f t="shared" si="64"/>
        <v>358</v>
      </c>
      <c r="AR361" s="1756" t="e">
        <f>0.5*(S18+2*AQ361)*LN(1+2*AQ361/S18)</f>
        <v>#VALUE!</v>
      </c>
    </row>
    <row r="362" spans="42:44">
      <c r="AP362" s="1756" t="e">
        <f>IF(OR(AR362=S13,AR362&gt;S13),AR362,"")</f>
        <v>#VALUE!</v>
      </c>
      <c r="AQ362" s="1759">
        <f t="shared" si="64"/>
        <v>359</v>
      </c>
      <c r="AR362" s="1756" t="e">
        <f>0.5*(S18+2*AQ362)*LN(1+2*AQ362/S18)</f>
        <v>#VALUE!</v>
      </c>
    </row>
    <row r="363" spans="42:44">
      <c r="AP363" s="1756" t="e">
        <f>IF(OR(AR363=S13,AR363&gt;S13),AR363,"")</f>
        <v>#VALUE!</v>
      </c>
      <c r="AQ363" s="1759">
        <f t="shared" si="64"/>
        <v>360</v>
      </c>
      <c r="AR363" s="1756" t="e">
        <f>0.5*(S18+2*AQ363)*LN(1+2*AQ363/S18)</f>
        <v>#VALUE!</v>
      </c>
    </row>
    <row r="364" spans="42:44">
      <c r="AP364" s="1756" t="e">
        <f>IF(OR(AR364=S13,AR364&gt;S13),AR364,"")</f>
        <v>#VALUE!</v>
      </c>
      <c r="AQ364" s="1759">
        <f t="shared" si="64"/>
        <v>361</v>
      </c>
      <c r="AR364" s="1756" t="e">
        <f>0.5*(S18+2*AQ364)*LN(1+2*AQ364/S18)</f>
        <v>#VALUE!</v>
      </c>
    </row>
    <row r="365" spans="42:44">
      <c r="AP365" s="1756" t="e">
        <f>IF(OR(AR365=S13,AR365&gt;S13),AR365,"")</f>
        <v>#VALUE!</v>
      </c>
      <c r="AQ365" s="1759">
        <f t="shared" si="64"/>
        <v>362</v>
      </c>
      <c r="AR365" s="1756" t="e">
        <f>0.5*(S18+2*AQ365)*LN(1+2*AQ365/S18)</f>
        <v>#VALUE!</v>
      </c>
    </row>
    <row r="366" spans="42:44">
      <c r="AP366" s="1756" t="e">
        <f>IF(OR(AR366=S13,AR366&gt;S13),AR366,"")</f>
        <v>#VALUE!</v>
      </c>
      <c r="AQ366" s="1759">
        <f t="shared" si="64"/>
        <v>363</v>
      </c>
      <c r="AR366" s="1756" t="e">
        <f>0.5*(S18+2*AQ366)*LN(1+2*AQ366/S18)</f>
        <v>#VALUE!</v>
      </c>
    </row>
    <row r="367" spans="42:44">
      <c r="AP367" s="1756" t="e">
        <f>IF(OR(AR367=S13,AR367&gt;S13),AR367,"")</f>
        <v>#VALUE!</v>
      </c>
      <c r="AQ367" s="1759">
        <f t="shared" si="64"/>
        <v>364</v>
      </c>
      <c r="AR367" s="1756" t="e">
        <f>0.5*(S18+2*AQ367)*LN(1+2*AQ367/S18)</f>
        <v>#VALUE!</v>
      </c>
    </row>
    <row r="368" spans="42:44">
      <c r="AP368" s="1756" t="e">
        <f>IF(OR(AR368=S13,AR368&gt;S13),AR368,"")</f>
        <v>#VALUE!</v>
      </c>
      <c r="AQ368" s="1759">
        <f t="shared" si="64"/>
        <v>365</v>
      </c>
      <c r="AR368" s="1756" t="e">
        <f>0.5*(S18+2*AQ368)*LN(1+2*AQ368/S18)</f>
        <v>#VALUE!</v>
      </c>
    </row>
    <row r="369" spans="42:44">
      <c r="AP369" s="1756" t="e">
        <f>IF(OR(AR369=S13,AR369&gt;S13),AR369,"")</f>
        <v>#VALUE!</v>
      </c>
      <c r="AQ369" s="1759">
        <f t="shared" si="64"/>
        <v>366</v>
      </c>
      <c r="AR369" s="1756" t="e">
        <f>0.5*(S18+2*AQ369)*LN(1+2*AQ369/S18)</f>
        <v>#VALUE!</v>
      </c>
    </row>
    <row r="370" spans="42:44">
      <c r="AP370" s="1756" t="e">
        <f>IF(OR(AR370=S13,AR370&gt;S13),AR370,"")</f>
        <v>#VALUE!</v>
      </c>
      <c r="AQ370" s="1759">
        <f t="shared" si="64"/>
        <v>367</v>
      </c>
      <c r="AR370" s="1756" t="e">
        <f>0.5*(S18+2*AQ370)*LN(1+2*AQ370/S18)</f>
        <v>#VALUE!</v>
      </c>
    </row>
    <row r="371" spans="42:44">
      <c r="AP371" s="1756" t="e">
        <f>IF(OR(AR371=S13,AR371&gt;S13),AR371,"")</f>
        <v>#VALUE!</v>
      </c>
      <c r="AQ371" s="1759">
        <f t="shared" si="64"/>
        <v>368</v>
      </c>
      <c r="AR371" s="1756" t="e">
        <f>0.5*(S18+2*AQ371)*LN(1+2*AQ371/S18)</f>
        <v>#VALUE!</v>
      </c>
    </row>
    <row r="372" spans="42:44">
      <c r="AP372" s="1756" t="e">
        <f>IF(OR(AR372=S13,AR372&gt;S13),AR372,"")</f>
        <v>#VALUE!</v>
      </c>
      <c r="AQ372" s="1759">
        <f t="shared" si="64"/>
        <v>369</v>
      </c>
      <c r="AR372" s="1756" t="e">
        <f>0.5*(S18+2*AQ372)*LN(1+2*AQ372/S18)</f>
        <v>#VALUE!</v>
      </c>
    </row>
    <row r="373" spans="42:44">
      <c r="AP373" s="1756" t="e">
        <f>IF(OR(AR373=S13,AR373&gt;S13),AR373,"")</f>
        <v>#VALUE!</v>
      </c>
      <c r="AQ373" s="1759">
        <f t="shared" si="64"/>
        <v>370</v>
      </c>
      <c r="AR373" s="1756" t="e">
        <f>0.5*(S18+2*AQ373)*LN(1+2*AQ373/S18)</f>
        <v>#VALUE!</v>
      </c>
    </row>
    <row r="374" spans="42:44">
      <c r="AP374" s="1756" t="e">
        <f>IF(OR(AR374=S13,AR374&gt;S13),AR374,"")</f>
        <v>#VALUE!</v>
      </c>
      <c r="AQ374" s="1759">
        <f t="shared" si="64"/>
        <v>371</v>
      </c>
      <c r="AR374" s="1756" t="e">
        <f>0.5*(S18+2*AQ374)*LN(1+2*AQ374/S18)</f>
        <v>#VALUE!</v>
      </c>
    </row>
    <row r="375" spans="42:44">
      <c r="AP375" s="1756" t="e">
        <f>IF(OR(AR375=S13,AR375&gt;S13),AR375,"")</f>
        <v>#VALUE!</v>
      </c>
      <c r="AQ375" s="1759">
        <f t="shared" si="64"/>
        <v>372</v>
      </c>
      <c r="AR375" s="1756" t="e">
        <f>0.5*(S18+2*AQ375)*LN(1+2*AQ375/S18)</f>
        <v>#VALUE!</v>
      </c>
    </row>
    <row r="376" spans="42:44">
      <c r="AP376" s="1756" t="e">
        <f>IF(OR(AR376=S13,AR376&gt;S13),AR376,"")</f>
        <v>#VALUE!</v>
      </c>
      <c r="AQ376" s="1759">
        <f t="shared" si="64"/>
        <v>373</v>
      </c>
      <c r="AR376" s="1756" t="e">
        <f>0.5*(S18+2*AQ376)*LN(1+2*AQ376/S18)</f>
        <v>#VALUE!</v>
      </c>
    </row>
    <row r="377" spans="42:44">
      <c r="AP377" s="1756" t="e">
        <f>IF(OR(AR377=S13,AR377&gt;S13),AR377,"")</f>
        <v>#VALUE!</v>
      </c>
      <c r="AQ377" s="1759">
        <f t="shared" si="64"/>
        <v>374</v>
      </c>
      <c r="AR377" s="1756" t="e">
        <f>0.5*(S18+2*AQ377)*LN(1+2*AQ377/S18)</f>
        <v>#VALUE!</v>
      </c>
    </row>
    <row r="378" spans="42:44">
      <c r="AP378" s="1756" t="e">
        <f>IF(OR(AR378=S13,AR378&gt;S13),AR378,"")</f>
        <v>#VALUE!</v>
      </c>
      <c r="AQ378" s="1759">
        <f t="shared" si="64"/>
        <v>375</v>
      </c>
      <c r="AR378" s="1756" t="e">
        <f>0.5*(S18+2*AQ378)*LN(1+2*AQ378/S18)</f>
        <v>#VALUE!</v>
      </c>
    </row>
    <row r="379" spans="42:44">
      <c r="AP379" s="1756" t="e">
        <f>IF(OR(AR379=S13,AR379&gt;S13),AR379,"")</f>
        <v>#VALUE!</v>
      </c>
      <c r="AQ379" s="1759">
        <f t="shared" si="64"/>
        <v>376</v>
      </c>
      <c r="AR379" s="1756" t="e">
        <f>0.5*(S18+2*AQ379)*LN(1+2*AQ379/S18)</f>
        <v>#VALUE!</v>
      </c>
    </row>
    <row r="380" spans="42:44">
      <c r="AP380" s="1756" t="e">
        <f>IF(OR(AR380=S13,AR380&gt;S13),AR380,"")</f>
        <v>#VALUE!</v>
      </c>
      <c r="AQ380" s="1759">
        <f t="shared" si="64"/>
        <v>377</v>
      </c>
      <c r="AR380" s="1756" t="e">
        <f>0.5*(S18+2*AQ380)*LN(1+2*AQ380/S18)</f>
        <v>#VALUE!</v>
      </c>
    </row>
    <row r="381" spans="42:44">
      <c r="AP381" s="1756" t="e">
        <f>IF(OR(AR381=S13,AR381&gt;S13),AR381,"")</f>
        <v>#VALUE!</v>
      </c>
      <c r="AQ381" s="1759">
        <f t="shared" si="64"/>
        <v>378</v>
      </c>
      <c r="AR381" s="1756" t="e">
        <f>0.5*(S18+2*AQ381)*LN(1+2*AQ381/S18)</f>
        <v>#VALUE!</v>
      </c>
    </row>
    <row r="382" spans="42:44">
      <c r="AP382" s="1756" t="e">
        <f>IF(OR(AR382=S13,AR382&gt;S13),AR382,"")</f>
        <v>#VALUE!</v>
      </c>
      <c r="AQ382" s="1759">
        <f t="shared" si="64"/>
        <v>379</v>
      </c>
      <c r="AR382" s="1756" t="e">
        <f>0.5*(S18+2*AQ382)*LN(1+2*AQ382/S18)</f>
        <v>#VALUE!</v>
      </c>
    </row>
    <row r="383" spans="42:44">
      <c r="AP383" s="1756" t="e">
        <f>IF(OR(AR383=S13,AR383&gt;S13),AR383,"")</f>
        <v>#VALUE!</v>
      </c>
      <c r="AQ383" s="1759">
        <f t="shared" si="64"/>
        <v>380</v>
      </c>
      <c r="AR383" s="1756" t="e">
        <f>0.5*(S18+2*AQ383)*LN(1+2*AQ383/S18)</f>
        <v>#VALUE!</v>
      </c>
    </row>
    <row r="384" spans="42:44">
      <c r="AP384" s="1756" t="e">
        <f>IF(OR(AR384=S13,AR384&gt;S13),AR384,"")</f>
        <v>#VALUE!</v>
      </c>
      <c r="AQ384" s="1759">
        <f t="shared" si="64"/>
        <v>381</v>
      </c>
      <c r="AR384" s="1756" t="e">
        <f>0.5*(S18+2*AQ384)*LN(1+2*AQ384/S18)</f>
        <v>#VALUE!</v>
      </c>
    </row>
    <row r="385" spans="42:44">
      <c r="AP385" s="1756" t="e">
        <f>IF(OR(AR385=S13,AR385&gt;S13),AR385,"")</f>
        <v>#VALUE!</v>
      </c>
      <c r="AQ385" s="1759">
        <f t="shared" si="64"/>
        <v>382</v>
      </c>
      <c r="AR385" s="1756" t="e">
        <f>0.5*(S18+2*AQ385)*LN(1+2*AQ385/S18)</f>
        <v>#VALUE!</v>
      </c>
    </row>
    <row r="386" spans="42:44">
      <c r="AP386" s="1756" t="e">
        <f>IF(OR(AR386=S13,AR386&gt;S13),AR386,"")</f>
        <v>#VALUE!</v>
      </c>
      <c r="AQ386" s="1759">
        <f t="shared" si="64"/>
        <v>383</v>
      </c>
      <c r="AR386" s="1756" t="e">
        <f>0.5*(S18+2*AQ386)*LN(1+2*AQ386/S18)</f>
        <v>#VALUE!</v>
      </c>
    </row>
    <row r="387" spans="42:44">
      <c r="AP387" s="1756" t="e">
        <f>IF(OR(AR387=S13,AR387&gt;S13),AR387,"")</f>
        <v>#VALUE!</v>
      </c>
      <c r="AQ387" s="1759">
        <f t="shared" si="64"/>
        <v>384</v>
      </c>
      <c r="AR387" s="1756" t="e">
        <f>0.5*(S18+2*AQ387)*LN(1+2*AQ387/S18)</f>
        <v>#VALUE!</v>
      </c>
    </row>
    <row r="388" spans="42:44">
      <c r="AP388" s="1756" t="e">
        <f>IF(OR(AR388=S13,AR388&gt;S13),AR388,"")</f>
        <v>#VALUE!</v>
      </c>
      <c r="AQ388" s="1759">
        <f t="shared" si="64"/>
        <v>385</v>
      </c>
      <c r="AR388" s="1756" t="e">
        <f>0.5*(S18+2*AQ388)*LN(1+2*AQ388/S18)</f>
        <v>#VALUE!</v>
      </c>
    </row>
    <row r="389" spans="42:44">
      <c r="AP389" s="1756" t="e">
        <f>IF(OR(AR389=S13,AR389&gt;S13),AR389,"")</f>
        <v>#VALUE!</v>
      </c>
      <c r="AQ389" s="1759">
        <f t="shared" si="64"/>
        <v>386</v>
      </c>
      <c r="AR389" s="1756" t="e">
        <f>0.5*(S18+2*AQ389)*LN(1+2*AQ389/S18)</f>
        <v>#VALUE!</v>
      </c>
    </row>
    <row r="390" spans="42:44">
      <c r="AP390" s="1756" t="e">
        <f>IF(OR(AR390=S13,AR390&gt;S13),AR390,"")</f>
        <v>#VALUE!</v>
      </c>
      <c r="AQ390" s="1759">
        <f t="shared" ref="AQ390:AQ453" si="65">AQ389+1</f>
        <v>387</v>
      </c>
      <c r="AR390" s="1756" t="e">
        <f>0.5*(S18+2*AQ390)*LN(1+2*AQ390/S18)</f>
        <v>#VALUE!</v>
      </c>
    </row>
    <row r="391" spans="42:44">
      <c r="AP391" s="1756" t="e">
        <f>IF(OR(AR391=S13,AR391&gt;S13),AR391,"")</f>
        <v>#VALUE!</v>
      </c>
      <c r="AQ391" s="1759">
        <f t="shared" si="65"/>
        <v>388</v>
      </c>
      <c r="AR391" s="1756" t="e">
        <f>0.5*(S18+2*AQ391)*LN(1+2*AQ391/S18)</f>
        <v>#VALUE!</v>
      </c>
    </row>
    <row r="392" spans="42:44">
      <c r="AP392" s="1756" t="e">
        <f>IF(OR(AR392=S13,AR392&gt;S13),AR392,"")</f>
        <v>#VALUE!</v>
      </c>
      <c r="AQ392" s="1759">
        <f t="shared" si="65"/>
        <v>389</v>
      </c>
      <c r="AR392" s="1756" t="e">
        <f>0.5*(S18+2*AQ392)*LN(1+2*AQ392/S18)</f>
        <v>#VALUE!</v>
      </c>
    </row>
    <row r="393" spans="42:44">
      <c r="AP393" s="1756" t="e">
        <f>IF(OR(AR393=S13,AR393&gt;S13),AR393,"")</f>
        <v>#VALUE!</v>
      </c>
      <c r="AQ393" s="1759">
        <f t="shared" si="65"/>
        <v>390</v>
      </c>
      <c r="AR393" s="1756" t="e">
        <f>0.5*(S18+2*AQ393)*LN(1+2*AQ393/S18)</f>
        <v>#VALUE!</v>
      </c>
    </row>
    <row r="394" spans="42:44">
      <c r="AP394" s="1756" t="e">
        <f>IF(OR(AR394=S13,AR394&gt;S13),AR394,"")</f>
        <v>#VALUE!</v>
      </c>
      <c r="AQ394" s="1759">
        <f t="shared" si="65"/>
        <v>391</v>
      </c>
      <c r="AR394" s="1756" t="e">
        <f>0.5*(S18+2*AQ394)*LN(1+2*AQ394/S18)</f>
        <v>#VALUE!</v>
      </c>
    </row>
    <row r="395" spans="42:44">
      <c r="AP395" s="1756" t="e">
        <f>IF(OR(AR395=S13,AR395&gt;S13),AR395,"")</f>
        <v>#VALUE!</v>
      </c>
      <c r="AQ395" s="1759">
        <f t="shared" si="65"/>
        <v>392</v>
      </c>
      <c r="AR395" s="1756" t="e">
        <f>0.5*(S18+2*AQ395)*LN(1+2*AQ395/S18)</f>
        <v>#VALUE!</v>
      </c>
    </row>
    <row r="396" spans="42:44">
      <c r="AP396" s="1756" t="e">
        <f>IF(OR(AR396=S13,AR396&gt;S13),AR396,"")</f>
        <v>#VALUE!</v>
      </c>
      <c r="AQ396" s="1759">
        <f t="shared" si="65"/>
        <v>393</v>
      </c>
      <c r="AR396" s="1756" t="e">
        <f>0.5*(S18+2*AQ396)*LN(1+2*AQ396/S18)</f>
        <v>#VALUE!</v>
      </c>
    </row>
    <row r="397" spans="42:44">
      <c r="AP397" s="1756" t="e">
        <f>IF(OR(AR397=S13,AR397&gt;S13),AR397,"")</f>
        <v>#VALUE!</v>
      </c>
      <c r="AQ397" s="1759">
        <f t="shared" si="65"/>
        <v>394</v>
      </c>
      <c r="AR397" s="1756" t="e">
        <f>0.5*(S18+2*AQ397)*LN(1+2*AQ397/S18)</f>
        <v>#VALUE!</v>
      </c>
    </row>
    <row r="398" spans="42:44">
      <c r="AP398" s="1756" t="e">
        <f>IF(OR(AR398=S13,AR398&gt;S13),AR398,"")</f>
        <v>#VALUE!</v>
      </c>
      <c r="AQ398" s="1759">
        <f t="shared" si="65"/>
        <v>395</v>
      </c>
      <c r="AR398" s="1756" t="e">
        <f>0.5*(S18+2*AQ398)*LN(1+2*AQ398/S18)</f>
        <v>#VALUE!</v>
      </c>
    </row>
    <row r="399" spans="42:44">
      <c r="AP399" s="1756" t="e">
        <f>IF(OR(AR399=S13,AR399&gt;S13),AR399,"")</f>
        <v>#VALUE!</v>
      </c>
      <c r="AQ399" s="1759">
        <f t="shared" si="65"/>
        <v>396</v>
      </c>
      <c r="AR399" s="1756" t="e">
        <f>0.5*(S18+2*AQ399)*LN(1+2*AQ399/S18)</f>
        <v>#VALUE!</v>
      </c>
    </row>
    <row r="400" spans="42:44">
      <c r="AP400" s="1756" t="e">
        <f>IF(OR(AR400=S13,AR400&gt;S13),AR400,"")</f>
        <v>#VALUE!</v>
      </c>
      <c r="AQ400" s="1759">
        <f t="shared" si="65"/>
        <v>397</v>
      </c>
      <c r="AR400" s="1756" t="e">
        <f>0.5*(S18+2*AQ400)*LN(1+2*AQ400/S18)</f>
        <v>#VALUE!</v>
      </c>
    </row>
    <row r="401" spans="42:44">
      <c r="AP401" s="1756" t="e">
        <f>IF(OR(AR401=S13,AR401&gt;S13),AR401,"")</f>
        <v>#VALUE!</v>
      </c>
      <c r="AQ401" s="1759">
        <f t="shared" si="65"/>
        <v>398</v>
      </c>
      <c r="AR401" s="1756" t="e">
        <f>0.5*(S18+2*AQ401)*LN(1+2*AQ401/S18)</f>
        <v>#VALUE!</v>
      </c>
    </row>
    <row r="402" spans="42:44">
      <c r="AP402" s="1756" t="e">
        <f>IF(OR(AR402=S13,AR402&gt;S13),AR402,"")</f>
        <v>#VALUE!</v>
      </c>
      <c r="AQ402" s="1759">
        <f t="shared" si="65"/>
        <v>399</v>
      </c>
      <c r="AR402" s="1756" t="e">
        <f>0.5*(S18+2*AQ402)*LN(1+2*AQ402/S18)</f>
        <v>#VALUE!</v>
      </c>
    </row>
    <row r="403" spans="42:44">
      <c r="AP403" s="1756" t="e">
        <f>IF(OR(AR403=S13,AR403&gt;S13),AR403,"")</f>
        <v>#VALUE!</v>
      </c>
      <c r="AQ403" s="1759">
        <f t="shared" si="65"/>
        <v>400</v>
      </c>
      <c r="AR403" s="1756" t="e">
        <f>0.5*(S18+2*AQ403)*LN(1+2*AQ403/S18)</f>
        <v>#VALUE!</v>
      </c>
    </row>
    <row r="404" spans="42:44">
      <c r="AP404" s="1756" t="e">
        <f>IF(OR(AR404=S13,AR404&gt;S13),AR404,"")</f>
        <v>#VALUE!</v>
      </c>
      <c r="AQ404" s="1759">
        <f t="shared" si="65"/>
        <v>401</v>
      </c>
      <c r="AR404" s="1756" t="e">
        <f>0.5*(S18+2*AQ404)*LN(1+2*AQ404/S18)</f>
        <v>#VALUE!</v>
      </c>
    </row>
    <row r="405" spans="42:44">
      <c r="AP405" s="1756" t="e">
        <f>IF(OR(AR405=S13,AR405&gt;S13),AR405,"")</f>
        <v>#VALUE!</v>
      </c>
      <c r="AQ405" s="1759">
        <f t="shared" si="65"/>
        <v>402</v>
      </c>
      <c r="AR405" s="1756" t="e">
        <f>0.5*(S18+2*AQ405)*LN(1+2*AQ405/S18)</f>
        <v>#VALUE!</v>
      </c>
    </row>
    <row r="406" spans="42:44">
      <c r="AP406" s="1756" t="e">
        <f>IF(OR(AR406=S13,AR406&gt;S13),AR406,"")</f>
        <v>#VALUE!</v>
      </c>
      <c r="AQ406" s="1759">
        <f t="shared" si="65"/>
        <v>403</v>
      </c>
      <c r="AR406" s="1756" t="e">
        <f>0.5*(S18+2*AQ406)*LN(1+2*AQ406/S18)</f>
        <v>#VALUE!</v>
      </c>
    </row>
    <row r="407" spans="42:44">
      <c r="AP407" s="1756" t="e">
        <f>IF(OR(AR407=S13,AR407&gt;S13),AR407,"")</f>
        <v>#VALUE!</v>
      </c>
      <c r="AQ407" s="1759">
        <f t="shared" si="65"/>
        <v>404</v>
      </c>
      <c r="AR407" s="1756" t="e">
        <f>0.5*(S18+2*AQ407)*LN(1+2*AQ407/S18)</f>
        <v>#VALUE!</v>
      </c>
    </row>
    <row r="408" spans="42:44">
      <c r="AP408" s="1756" t="e">
        <f>IF(OR(AR408=S13,AR408&gt;S13),AR408,"")</f>
        <v>#VALUE!</v>
      </c>
      <c r="AQ408" s="1759">
        <f t="shared" si="65"/>
        <v>405</v>
      </c>
      <c r="AR408" s="1756" t="e">
        <f>0.5*(S18+2*AQ408)*LN(1+2*AQ408/S18)</f>
        <v>#VALUE!</v>
      </c>
    </row>
    <row r="409" spans="42:44">
      <c r="AP409" s="1756" t="e">
        <f>IF(OR(AR409=S13,AR409&gt;S13),AR409,"")</f>
        <v>#VALUE!</v>
      </c>
      <c r="AQ409" s="1759">
        <f t="shared" si="65"/>
        <v>406</v>
      </c>
      <c r="AR409" s="1756" t="e">
        <f>0.5*(S18+2*AQ409)*LN(1+2*AQ409/S18)</f>
        <v>#VALUE!</v>
      </c>
    </row>
    <row r="410" spans="42:44">
      <c r="AP410" s="1756" t="e">
        <f>IF(OR(AR410=S13,AR410&gt;S13),AR410,"")</f>
        <v>#VALUE!</v>
      </c>
      <c r="AQ410" s="1759">
        <f t="shared" si="65"/>
        <v>407</v>
      </c>
      <c r="AR410" s="1756" t="e">
        <f>0.5*(S18+2*AQ410)*LN(1+2*AQ410/S18)</f>
        <v>#VALUE!</v>
      </c>
    </row>
    <row r="411" spans="42:44">
      <c r="AP411" s="1756" t="e">
        <f>IF(OR(AR411=S13,AR411&gt;S13),AR411,"")</f>
        <v>#VALUE!</v>
      </c>
      <c r="AQ411" s="1759">
        <f t="shared" si="65"/>
        <v>408</v>
      </c>
      <c r="AR411" s="1756" t="e">
        <f>0.5*(S18+2*AQ411)*LN(1+2*AQ411/S18)</f>
        <v>#VALUE!</v>
      </c>
    </row>
    <row r="412" spans="42:44">
      <c r="AP412" s="1756" t="e">
        <f>IF(OR(AR412=S13,AR412&gt;S13),AR412,"")</f>
        <v>#VALUE!</v>
      </c>
      <c r="AQ412" s="1759">
        <f t="shared" si="65"/>
        <v>409</v>
      </c>
      <c r="AR412" s="1756" t="e">
        <f>0.5*(S18+2*AQ412)*LN(1+2*AQ412/S18)</f>
        <v>#VALUE!</v>
      </c>
    </row>
    <row r="413" spans="42:44">
      <c r="AP413" s="1756" t="e">
        <f>IF(OR(AR413=S13,AR413&gt;S13),AR413,"")</f>
        <v>#VALUE!</v>
      </c>
      <c r="AQ413" s="1759">
        <f t="shared" si="65"/>
        <v>410</v>
      </c>
      <c r="AR413" s="1756" t="e">
        <f>0.5*(S18+2*AQ413)*LN(1+2*AQ413/S18)</f>
        <v>#VALUE!</v>
      </c>
    </row>
    <row r="414" spans="42:44">
      <c r="AP414" s="1756" t="e">
        <f>IF(OR(AR414=S13,AR414&gt;S13),AR414,"")</f>
        <v>#VALUE!</v>
      </c>
      <c r="AQ414" s="1759">
        <f t="shared" si="65"/>
        <v>411</v>
      </c>
      <c r="AR414" s="1756" t="e">
        <f>0.5*(S18+2*AQ414)*LN(1+2*AQ414/S18)</f>
        <v>#VALUE!</v>
      </c>
    </row>
    <row r="415" spans="42:44">
      <c r="AP415" s="1756" t="e">
        <f>IF(OR(AR415=S13,AR415&gt;S13),AR415,"")</f>
        <v>#VALUE!</v>
      </c>
      <c r="AQ415" s="1759">
        <f t="shared" si="65"/>
        <v>412</v>
      </c>
      <c r="AR415" s="1756" t="e">
        <f>0.5*(S18+2*AQ415)*LN(1+2*AQ415/S18)</f>
        <v>#VALUE!</v>
      </c>
    </row>
    <row r="416" spans="42:44">
      <c r="AP416" s="1756" t="e">
        <f>IF(OR(AR416=S13,AR416&gt;S13),AR416,"")</f>
        <v>#VALUE!</v>
      </c>
      <c r="AQ416" s="1759">
        <f t="shared" si="65"/>
        <v>413</v>
      </c>
      <c r="AR416" s="1756" t="e">
        <f>0.5*(S18+2*AQ416)*LN(1+2*AQ416/S18)</f>
        <v>#VALUE!</v>
      </c>
    </row>
    <row r="417" spans="42:44">
      <c r="AP417" s="1756" t="e">
        <f>IF(OR(AR417=S13,AR417&gt;S13),AR417,"")</f>
        <v>#VALUE!</v>
      </c>
      <c r="AQ417" s="1759">
        <f t="shared" si="65"/>
        <v>414</v>
      </c>
      <c r="AR417" s="1756" t="e">
        <f>0.5*(S18+2*AQ417)*LN(1+2*AQ417/S18)</f>
        <v>#VALUE!</v>
      </c>
    </row>
    <row r="418" spans="42:44">
      <c r="AP418" s="1756" t="e">
        <f>IF(OR(AR418=S13,AR418&gt;S13),AR418,"")</f>
        <v>#VALUE!</v>
      </c>
      <c r="AQ418" s="1759">
        <f t="shared" si="65"/>
        <v>415</v>
      </c>
      <c r="AR418" s="1756" t="e">
        <f>0.5*(S18+2*AQ418)*LN(1+2*AQ418/S18)</f>
        <v>#VALUE!</v>
      </c>
    </row>
    <row r="419" spans="42:44">
      <c r="AP419" s="1756" t="e">
        <f>IF(OR(AR419=S13,AR419&gt;S13),AR419,"")</f>
        <v>#VALUE!</v>
      </c>
      <c r="AQ419" s="1759">
        <f t="shared" si="65"/>
        <v>416</v>
      </c>
      <c r="AR419" s="1756" t="e">
        <f>0.5*(S18+2*AQ419)*LN(1+2*AQ419/S18)</f>
        <v>#VALUE!</v>
      </c>
    </row>
    <row r="420" spans="42:44">
      <c r="AP420" s="1756" t="e">
        <f>IF(OR(AR420=S13,AR420&gt;S13),AR420,"")</f>
        <v>#VALUE!</v>
      </c>
      <c r="AQ420" s="1759">
        <f t="shared" si="65"/>
        <v>417</v>
      </c>
      <c r="AR420" s="1756" t="e">
        <f>0.5*(S18+2*AQ420)*LN(1+2*AQ420/S18)</f>
        <v>#VALUE!</v>
      </c>
    </row>
    <row r="421" spans="42:44">
      <c r="AP421" s="1756" t="e">
        <f>IF(OR(AR421=S13,AR421&gt;S13),AR421,"")</f>
        <v>#VALUE!</v>
      </c>
      <c r="AQ421" s="1759">
        <f t="shared" si="65"/>
        <v>418</v>
      </c>
      <c r="AR421" s="1756" t="e">
        <f>0.5*(S18+2*AQ421)*LN(1+2*AQ421/S18)</f>
        <v>#VALUE!</v>
      </c>
    </row>
    <row r="422" spans="42:44">
      <c r="AP422" s="1756" t="e">
        <f>IF(OR(AR422=S13,AR422&gt;S13),AR422,"")</f>
        <v>#VALUE!</v>
      </c>
      <c r="AQ422" s="1759">
        <f t="shared" si="65"/>
        <v>419</v>
      </c>
      <c r="AR422" s="1756" t="e">
        <f>0.5*(S18+2*AQ422)*LN(1+2*AQ422/S18)</f>
        <v>#VALUE!</v>
      </c>
    </row>
    <row r="423" spans="42:44">
      <c r="AP423" s="1756" t="e">
        <f>IF(OR(AR423=S13,AR423&gt;S13),AR423,"")</f>
        <v>#VALUE!</v>
      </c>
      <c r="AQ423" s="1759">
        <f t="shared" si="65"/>
        <v>420</v>
      </c>
      <c r="AR423" s="1756" t="e">
        <f>0.5*(S18+2*AQ423)*LN(1+2*AQ423/S18)</f>
        <v>#VALUE!</v>
      </c>
    </row>
    <row r="424" spans="42:44">
      <c r="AP424" s="1756" t="e">
        <f>IF(OR(AR424=S13,AR424&gt;S13),AR424,"")</f>
        <v>#VALUE!</v>
      </c>
      <c r="AQ424" s="1759">
        <f t="shared" si="65"/>
        <v>421</v>
      </c>
      <c r="AR424" s="1756" t="e">
        <f>0.5*(S18+2*AQ424)*LN(1+2*AQ424/S18)</f>
        <v>#VALUE!</v>
      </c>
    </row>
    <row r="425" spans="42:44">
      <c r="AP425" s="1756" t="e">
        <f>IF(OR(AR425=S13,AR425&gt;S13),AR425,"")</f>
        <v>#VALUE!</v>
      </c>
      <c r="AQ425" s="1759">
        <f t="shared" si="65"/>
        <v>422</v>
      </c>
      <c r="AR425" s="1756" t="e">
        <f>0.5*(S18+2*AQ425)*LN(1+2*AQ425/S18)</f>
        <v>#VALUE!</v>
      </c>
    </row>
    <row r="426" spans="42:44">
      <c r="AP426" s="1756" t="e">
        <f>IF(OR(AR426=S13,AR426&gt;S13),AR426,"")</f>
        <v>#VALUE!</v>
      </c>
      <c r="AQ426" s="1759">
        <f t="shared" si="65"/>
        <v>423</v>
      </c>
      <c r="AR426" s="1756" t="e">
        <f>0.5*(S18+2*AQ426)*LN(1+2*AQ426/S18)</f>
        <v>#VALUE!</v>
      </c>
    </row>
    <row r="427" spans="42:44">
      <c r="AP427" s="1756" t="e">
        <f>IF(OR(AR427=S13,AR427&gt;S13),AR427,"")</f>
        <v>#VALUE!</v>
      </c>
      <c r="AQ427" s="1759">
        <f t="shared" si="65"/>
        <v>424</v>
      </c>
      <c r="AR427" s="1756" t="e">
        <f>0.5*(S18+2*AQ427)*LN(1+2*AQ427/S18)</f>
        <v>#VALUE!</v>
      </c>
    </row>
    <row r="428" spans="42:44">
      <c r="AP428" s="1756" t="e">
        <f>IF(OR(AR428=S13,AR428&gt;S13),AR428,"")</f>
        <v>#VALUE!</v>
      </c>
      <c r="AQ428" s="1759">
        <f t="shared" si="65"/>
        <v>425</v>
      </c>
      <c r="AR428" s="1756" t="e">
        <f>0.5*(S18+2*AQ428)*LN(1+2*AQ428/S18)</f>
        <v>#VALUE!</v>
      </c>
    </row>
    <row r="429" spans="42:44">
      <c r="AP429" s="1756" t="e">
        <f>IF(OR(AR429=S13,AR429&gt;S13),AR429,"")</f>
        <v>#VALUE!</v>
      </c>
      <c r="AQ429" s="1759">
        <f t="shared" si="65"/>
        <v>426</v>
      </c>
      <c r="AR429" s="1756" t="e">
        <f>0.5*(S18+2*AQ429)*LN(1+2*AQ429/S18)</f>
        <v>#VALUE!</v>
      </c>
    </row>
    <row r="430" spans="42:44">
      <c r="AP430" s="1756" t="e">
        <f>IF(OR(AR430=S13,AR430&gt;S13),AR430,"")</f>
        <v>#VALUE!</v>
      </c>
      <c r="AQ430" s="1759">
        <f t="shared" si="65"/>
        <v>427</v>
      </c>
      <c r="AR430" s="1756" t="e">
        <f>0.5*(S18+2*AQ430)*LN(1+2*AQ430/S18)</f>
        <v>#VALUE!</v>
      </c>
    </row>
    <row r="431" spans="42:44">
      <c r="AP431" s="1756" t="e">
        <f>IF(OR(AR431=S13,AR431&gt;S13),AR431,"")</f>
        <v>#VALUE!</v>
      </c>
      <c r="AQ431" s="1759">
        <f t="shared" si="65"/>
        <v>428</v>
      </c>
      <c r="AR431" s="1756" t="e">
        <f>0.5*(S18+2*AQ431)*LN(1+2*AQ431/S18)</f>
        <v>#VALUE!</v>
      </c>
    </row>
    <row r="432" spans="42:44">
      <c r="AP432" s="1756" t="e">
        <f>IF(OR(AR432=S13,AR432&gt;S13),AR432,"")</f>
        <v>#VALUE!</v>
      </c>
      <c r="AQ432" s="1759">
        <f t="shared" si="65"/>
        <v>429</v>
      </c>
      <c r="AR432" s="1756" t="e">
        <f>0.5*(S18+2*AQ432)*LN(1+2*AQ432/S18)</f>
        <v>#VALUE!</v>
      </c>
    </row>
    <row r="433" spans="42:44">
      <c r="AP433" s="1756" t="e">
        <f>IF(OR(AR433=S13,AR433&gt;S13),AR433,"")</f>
        <v>#VALUE!</v>
      </c>
      <c r="AQ433" s="1759">
        <f t="shared" si="65"/>
        <v>430</v>
      </c>
      <c r="AR433" s="1756" t="e">
        <f>0.5*(S18+2*AQ433)*LN(1+2*AQ433/S18)</f>
        <v>#VALUE!</v>
      </c>
    </row>
    <row r="434" spans="42:44">
      <c r="AP434" s="1756" t="e">
        <f>IF(OR(AR434=S13,AR434&gt;S13),AR434,"")</f>
        <v>#VALUE!</v>
      </c>
      <c r="AQ434" s="1759">
        <f t="shared" si="65"/>
        <v>431</v>
      </c>
      <c r="AR434" s="1756" t="e">
        <f>0.5*(S18+2*AQ434)*LN(1+2*AQ434/S18)</f>
        <v>#VALUE!</v>
      </c>
    </row>
    <row r="435" spans="42:44">
      <c r="AP435" s="1756" t="e">
        <f>IF(OR(AR435=S13,AR435&gt;S13),AR435,"")</f>
        <v>#VALUE!</v>
      </c>
      <c r="AQ435" s="1759">
        <f t="shared" si="65"/>
        <v>432</v>
      </c>
      <c r="AR435" s="1756" t="e">
        <f>0.5*(S18+2*AQ435)*LN(1+2*AQ435/S18)</f>
        <v>#VALUE!</v>
      </c>
    </row>
    <row r="436" spans="42:44">
      <c r="AP436" s="1756" t="e">
        <f>IF(OR(AR436=S13,AR436&gt;S13),AR436,"")</f>
        <v>#VALUE!</v>
      </c>
      <c r="AQ436" s="1759">
        <f t="shared" si="65"/>
        <v>433</v>
      </c>
      <c r="AR436" s="1756" t="e">
        <f>0.5*(S18+2*AQ436)*LN(1+2*AQ436/S18)</f>
        <v>#VALUE!</v>
      </c>
    </row>
    <row r="437" spans="42:44">
      <c r="AP437" s="1756" t="e">
        <f>IF(OR(AR437=S13,AR437&gt;S13),AR437,"")</f>
        <v>#VALUE!</v>
      </c>
      <c r="AQ437" s="1759">
        <f t="shared" si="65"/>
        <v>434</v>
      </c>
      <c r="AR437" s="1756" t="e">
        <f>0.5*(S18+2*AQ437)*LN(1+2*AQ437/S18)</f>
        <v>#VALUE!</v>
      </c>
    </row>
    <row r="438" spans="42:44">
      <c r="AP438" s="1756" t="e">
        <f>IF(OR(AR438=S13,AR438&gt;S13),AR438,"")</f>
        <v>#VALUE!</v>
      </c>
      <c r="AQ438" s="1759">
        <f t="shared" si="65"/>
        <v>435</v>
      </c>
      <c r="AR438" s="1756" t="e">
        <f>0.5*(S18+2*AQ438)*LN(1+2*AQ438/S18)</f>
        <v>#VALUE!</v>
      </c>
    </row>
    <row r="439" spans="42:44">
      <c r="AP439" s="1756" t="e">
        <f>IF(OR(AR439=S13,AR439&gt;S13),AR439,"")</f>
        <v>#VALUE!</v>
      </c>
      <c r="AQ439" s="1759">
        <f t="shared" si="65"/>
        <v>436</v>
      </c>
      <c r="AR439" s="1756" t="e">
        <f>0.5*(S18+2*AQ439)*LN(1+2*AQ439/S18)</f>
        <v>#VALUE!</v>
      </c>
    </row>
    <row r="440" spans="42:44">
      <c r="AP440" s="1756" t="e">
        <f>IF(OR(AR440=S13,AR440&gt;S13),AR440,"")</f>
        <v>#VALUE!</v>
      </c>
      <c r="AQ440" s="1759">
        <f t="shared" si="65"/>
        <v>437</v>
      </c>
      <c r="AR440" s="1756" t="e">
        <f>0.5*(S18+2*AQ440)*LN(1+2*AQ440/S18)</f>
        <v>#VALUE!</v>
      </c>
    </row>
    <row r="441" spans="42:44">
      <c r="AP441" s="1756" t="e">
        <f>IF(OR(AR441=S13,AR441&gt;S13),AR441,"")</f>
        <v>#VALUE!</v>
      </c>
      <c r="AQ441" s="1759">
        <f t="shared" si="65"/>
        <v>438</v>
      </c>
      <c r="AR441" s="1756" t="e">
        <f>0.5*(S18+2*AQ441)*LN(1+2*AQ441/S18)</f>
        <v>#VALUE!</v>
      </c>
    </row>
    <row r="442" spans="42:44">
      <c r="AP442" s="1756" t="e">
        <f>IF(OR(AR442=S13,AR442&gt;S13),AR442,"")</f>
        <v>#VALUE!</v>
      </c>
      <c r="AQ442" s="1759">
        <f t="shared" si="65"/>
        <v>439</v>
      </c>
      <c r="AR442" s="1756" t="e">
        <f>0.5*(S18+2*AQ442)*LN(1+2*AQ442/S18)</f>
        <v>#VALUE!</v>
      </c>
    </row>
    <row r="443" spans="42:44">
      <c r="AP443" s="1756" t="e">
        <f>IF(OR(AR443=S13,AR443&gt;S13),AR443,"")</f>
        <v>#VALUE!</v>
      </c>
      <c r="AQ443" s="1759">
        <f t="shared" si="65"/>
        <v>440</v>
      </c>
      <c r="AR443" s="1756" t="e">
        <f>0.5*(S18+2*AQ443)*LN(1+2*AQ443/S18)</f>
        <v>#VALUE!</v>
      </c>
    </row>
    <row r="444" spans="42:44">
      <c r="AP444" s="1756" t="e">
        <f>IF(OR(AR444=S13,AR444&gt;S13),AR444,"")</f>
        <v>#VALUE!</v>
      </c>
      <c r="AQ444" s="1759">
        <f t="shared" si="65"/>
        <v>441</v>
      </c>
      <c r="AR444" s="1756" t="e">
        <f>0.5*(S18+2*AQ444)*LN(1+2*AQ444/S18)</f>
        <v>#VALUE!</v>
      </c>
    </row>
    <row r="445" spans="42:44">
      <c r="AP445" s="1756" t="e">
        <f>IF(OR(AR445=S13,AR445&gt;S13),AR445,"")</f>
        <v>#VALUE!</v>
      </c>
      <c r="AQ445" s="1759">
        <f t="shared" si="65"/>
        <v>442</v>
      </c>
      <c r="AR445" s="1756" t="e">
        <f>0.5*(S18+2*AQ445)*LN(1+2*AQ445/S18)</f>
        <v>#VALUE!</v>
      </c>
    </row>
    <row r="446" spans="42:44">
      <c r="AP446" s="1756" t="e">
        <f>IF(OR(AR446=S13,AR446&gt;S13),AR446,"")</f>
        <v>#VALUE!</v>
      </c>
      <c r="AQ446" s="1759">
        <f t="shared" si="65"/>
        <v>443</v>
      </c>
      <c r="AR446" s="1756" t="e">
        <f>0.5*(S18+2*AQ446)*LN(1+2*AQ446/S18)</f>
        <v>#VALUE!</v>
      </c>
    </row>
    <row r="447" spans="42:44">
      <c r="AP447" s="1756" t="e">
        <f>IF(OR(AR447=S13,AR447&gt;S13),AR447,"")</f>
        <v>#VALUE!</v>
      </c>
      <c r="AQ447" s="1759">
        <f t="shared" si="65"/>
        <v>444</v>
      </c>
      <c r="AR447" s="1756" t="e">
        <f>0.5*(S18+2*AQ447)*LN(1+2*AQ447/S18)</f>
        <v>#VALUE!</v>
      </c>
    </row>
    <row r="448" spans="42:44">
      <c r="AP448" s="1756" t="e">
        <f>IF(OR(AR448=S13,AR448&gt;S13),AR448,"")</f>
        <v>#VALUE!</v>
      </c>
      <c r="AQ448" s="1759">
        <f t="shared" si="65"/>
        <v>445</v>
      </c>
      <c r="AR448" s="1756" t="e">
        <f>0.5*(S18+2*AQ448)*LN(1+2*AQ448/S18)</f>
        <v>#VALUE!</v>
      </c>
    </row>
    <row r="449" spans="42:44">
      <c r="AP449" s="1756" t="e">
        <f>IF(OR(AR449=S13,AR449&gt;S13),AR449,"")</f>
        <v>#VALUE!</v>
      </c>
      <c r="AQ449" s="1759">
        <f t="shared" si="65"/>
        <v>446</v>
      </c>
      <c r="AR449" s="1756" t="e">
        <f>0.5*(S18+2*AQ449)*LN(1+2*AQ449/S18)</f>
        <v>#VALUE!</v>
      </c>
    </row>
    <row r="450" spans="42:44">
      <c r="AP450" s="1756" t="e">
        <f>IF(OR(AR450=S13,AR450&gt;S13),AR450,"")</f>
        <v>#VALUE!</v>
      </c>
      <c r="AQ450" s="1759">
        <f t="shared" si="65"/>
        <v>447</v>
      </c>
      <c r="AR450" s="1756" t="e">
        <f>0.5*(S18+2*AQ450)*LN(1+2*AQ450/S18)</f>
        <v>#VALUE!</v>
      </c>
    </row>
    <row r="451" spans="42:44">
      <c r="AP451" s="1756" t="e">
        <f>IF(OR(AR451=S13,AR451&gt;S13),AR451,"")</f>
        <v>#VALUE!</v>
      </c>
      <c r="AQ451" s="1759">
        <f t="shared" si="65"/>
        <v>448</v>
      </c>
      <c r="AR451" s="1756" t="e">
        <f>0.5*(S18+2*AQ451)*LN(1+2*AQ451/S18)</f>
        <v>#VALUE!</v>
      </c>
    </row>
    <row r="452" spans="42:44">
      <c r="AP452" s="1756" t="e">
        <f>IF(OR(AR452=S13,AR452&gt;S13),AR452,"")</f>
        <v>#VALUE!</v>
      </c>
      <c r="AQ452" s="1759">
        <f t="shared" si="65"/>
        <v>449</v>
      </c>
      <c r="AR452" s="1756" t="e">
        <f>0.5*(S18+2*AQ452)*LN(1+2*AQ452/S18)</f>
        <v>#VALUE!</v>
      </c>
    </row>
    <row r="453" spans="42:44">
      <c r="AP453" s="1756" t="e">
        <f>IF(OR(AR453=S13,AR453&gt;S13),AR453,"")</f>
        <v>#VALUE!</v>
      </c>
      <c r="AQ453" s="1759">
        <f t="shared" si="65"/>
        <v>450</v>
      </c>
      <c r="AR453" s="1756" t="e">
        <f>0.5*(S18+2*AQ453)*LN(1+2*AQ453/S18)</f>
        <v>#VALUE!</v>
      </c>
    </row>
    <row r="454" spans="42:44">
      <c r="AP454" s="1756" t="e">
        <f>IF(OR(AR454=S13,AR454&gt;S13),AR454,"")</f>
        <v>#VALUE!</v>
      </c>
      <c r="AQ454" s="1759">
        <f t="shared" ref="AQ454:AQ517" si="66">AQ453+1</f>
        <v>451</v>
      </c>
      <c r="AR454" s="1756" t="e">
        <f>0.5*(S18+2*AQ454)*LN(1+2*AQ454/S18)</f>
        <v>#VALUE!</v>
      </c>
    </row>
    <row r="455" spans="42:44">
      <c r="AP455" s="1756" t="e">
        <f>IF(OR(AR455=S13,AR455&gt;S13),AR455,"")</f>
        <v>#VALUE!</v>
      </c>
      <c r="AQ455" s="1759">
        <f t="shared" si="66"/>
        <v>452</v>
      </c>
      <c r="AR455" s="1756" t="e">
        <f>0.5*(S18+2*AQ455)*LN(1+2*AQ455/S18)</f>
        <v>#VALUE!</v>
      </c>
    </row>
    <row r="456" spans="42:44">
      <c r="AP456" s="1756" t="e">
        <f>IF(OR(AR456=S13,AR456&gt;S13),AR456,"")</f>
        <v>#VALUE!</v>
      </c>
      <c r="AQ456" s="1759">
        <f t="shared" si="66"/>
        <v>453</v>
      </c>
      <c r="AR456" s="1756" t="e">
        <f>0.5*(S18+2*AQ456)*LN(1+2*AQ456/S18)</f>
        <v>#VALUE!</v>
      </c>
    </row>
    <row r="457" spans="42:44">
      <c r="AP457" s="1756" t="e">
        <f>IF(OR(AR457=S13,AR457&gt;S13),AR457,"")</f>
        <v>#VALUE!</v>
      </c>
      <c r="AQ457" s="1759">
        <f t="shared" si="66"/>
        <v>454</v>
      </c>
      <c r="AR457" s="1756" t="e">
        <f>0.5*(S18+2*AQ457)*LN(1+2*AQ457/S18)</f>
        <v>#VALUE!</v>
      </c>
    </row>
    <row r="458" spans="42:44">
      <c r="AP458" s="1756" t="e">
        <f>IF(OR(AR458=S13,AR458&gt;S13),AR458,"")</f>
        <v>#VALUE!</v>
      </c>
      <c r="AQ458" s="1759">
        <f t="shared" si="66"/>
        <v>455</v>
      </c>
      <c r="AR458" s="1756" t="e">
        <f>0.5*(S18+2*AQ458)*LN(1+2*AQ458/S18)</f>
        <v>#VALUE!</v>
      </c>
    </row>
    <row r="459" spans="42:44">
      <c r="AP459" s="1756" t="e">
        <f>IF(OR(AR459=S13,AR459&gt;S13),AR459,"")</f>
        <v>#VALUE!</v>
      </c>
      <c r="AQ459" s="1759">
        <f t="shared" si="66"/>
        <v>456</v>
      </c>
      <c r="AR459" s="1756" t="e">
        <f>0.5*(S18+2*AQ459)*LN(1+2*AQ459/S18)</f>
        <v>#VALUE!</v>
      </c>
    </row>
    <row r="460" spans="42:44">
      <c r="AP460" s="1756" t="e">
        <f>IF(OR(AR460=S13,AR460&gt;S13),AR460,"")</f>
        <v>#VALUE!</v>
      </c>
      <c r="AQ460" s="1759">
        <f t="shared" si="66"/>
        <v>457</v>
      </c>
      <c r="AR460" s="1756" t="e">
        <f>0.5*(S18+2*AQ460)*LN(1+2*AQ460/S18)</f>
        <v>#VALUE!</v>
      </c>
    </row>
    <row r="461" spans="42:44">
      <c r="AP461" s="1756" t="e">
        <f>IF(OR(AR461=S13,AR461&gt;S13),AR461,"")</f>
        <v>#VALUE!</v>
      </c>
      <c r="AQ461" s="1759">
        <f t="shared" si="66"/>
        <v>458</v>
      </c>
      <c r="AR461" s="1756" t="e">
        <f>0.5*(S18+2*AQ461)*LN(1+2*AQ461/S18)</f>
        <v>#VALUE!</v>
      </c>
    </row>
    <row r="462" spans="42:44">
      <c r="AP462" s="1756" t="e">
        <f>IF(OR(AR462=S13,AR462&gt;S13),AR462,"")</f>
        <v>#VALUE!</v>
      </c>
      <c r="AQ462" s="1759">
        <f t="shared" si="66"/>
        <v>459</v>
      </c>
      <c r="AR462" s="1756" t="e">
        <f>0.5*(S18+2*AQ462)*LN(1+2*AQ462/S18)</f>
        <v>#VALUE!</v>
      </c>
    </row>
    <row r="463" spans="42:44">
      <c r="AP463" s="1756" t="e">
        <f>IF(OR(AR463=S13,AR463&gt;S13),AR463,"")</f>
        <v>#VALUE!</v>
      </c>
      <c r="AQ463" s="1759">
        <f t="shared" si="66"/>
        <v>460</v>
      </c>
      <c r="AR463" s="1756" t="e">
        <f>0.5*(S18+2*AQ463)*LN(1+2*AQ463/S18)</f>
        <v>#VALUE!</v>
      </c>
    </row>
    <row r="464" spans="42:44">
      <c r="AP464" s="1756" t="e">
        <f>IF(OR(AR464=S13,AR464&gt;S13),AR464,"")</f>
        <v>#VALUE!</v>
      </c>
      <c r="AQ464" s="1759">
        <f t="shared" si="66"/>
        <v>461</v>
      </c>
      <c r="AR464" s="1756" t="e">
        <f>0.5*(S18+2*AQ464)*LN(1+2*AQ464/S18)</f>
        <v>#VALUE!</v>
      </c>
    </row>
    <row r="465" spans="42:44">
      <c r="AP465" s="1756" t="e">
        <f>IF(OR(AR465=S13,AR465&gt;S13),AR465,"")</f>
        <v>#VALUE!</v>
      </c>
      <c r="AQ465" s="1759">
        <f t="shared" si="66"/>
        <v>462</v>
      </c>
      <c r="AR465" s="1756" t="e">
        <f>0.5*(S18+2*AQ465)*LN(1+2*AQ465/S18)</f>
        <v>#VALUE!</v>
      </c>
    </row>
    <row r="466" spans="42:44">
      <c r="AP466" s="1756" t="e">
        <f>IF(OR(AR466=S13,AR466&gt;S13),AR466,"")</f>
        <v>#VALUE!</v>
      </c>
      <c r="AQ466" s="1759">
        <f t="shared" si="66"/>
        <v>463</v>
      </c>
      <c r="AR466" s="1756" t="e">
        <f>0.5*(S18+2*AQ466)*LN(1+2*AQ466/S18)</f>
        <v>#VALUE!</v>
      </c>
    </row>
    <row r="467" spans="42:44">
      <c r="AP467" s="1756" t="e">
        <f>IF(OR(AR467=S13,AR467&gt;S13),AR467,"")</f>
        <v>#VALUE!</v>
      </c>
      <c r="AQ467" s="1759">
        <f t="shared" si="66"/>
        <v>464</v>
      </c>
      <c r="AR467" s="1756" t="e">
        <f>0.5*(S18+2*AQ467)*LN(1+2*AQ467/S18)</f>
        <v>#VALUE!</v>
      </c>
    </row>
    <row r="468" spans="42:44">
      <c r="AP468" s="1756" t="e">
        <f>IF(OR(AR468=S13,AR468&gt;S13),AR468,"")</f>
        <v>#VALUE!</v>
      </c>
      <c r="AQ468" s="1759">
        <f t="shared" si="66"/>
        <v>465</v>
      </c>
      <c r="AR468" s="1756" t="e">
        <f>0.5*(S18+2*AQ468)*LN(1+2*AQ468/S18)</f>
        <v>#VALUE!</v>
      </c>
    </row>
    <row r="469" spans="42:44">
      <c r="AP469" s="1756" t="e">
        <f>IF(OR(AR469=S13,AR469&gt;S13),AR469,"")</f>
        <v>#VALUE!</v>
      </c>
      <c r="AQ469" s="1759">
        <f t="shared" si="66"/>
        <v>466</v>
      </c>
      <c r="AR469" s="1756" t="e">
        <f>0.5*(S18+2*AQ469)*LN(1+2*AQ469/S18)</f>
        <v>#VALUE!</v>
      </c>
    </row>
    <row r="470" spans="42:44">
      <c r="AP470" s="1756" t="e">
        <f>IF(OR(AR470=S13,AR470&gt;S13),AR470,"")</f>
        <v>#VALUE!</v>
      </c>
      <c r="AQ470" s="1759">
        <f t="shared" si="66"/>
        <v>467</v>
      </c>
      <c r="AR470" s="1756" t="e">
        <f>0.5*(S18+2*AQ470)*LN(1+2*AQ470/S18)</f>
        <v>#VALUE!</v>
      </c>
    </row>
    <row r="471" spans="42:44">
      <c r="AP471" s="1756" t="e">
        <f>IF(OR(AR471=S13,AR471&gt;S13),AR471,"")</f>
        <v>#VALUE!</v>
      </c>
      <c r="AQ471" s="1759">
        <f t="shared" si="66"/>
        <v>468</v>
      </c>
      <c r="AR471" s="1756" t="e">
        <f>0.5*(S18+2*AQ471)*LN(1+2*AQ471/S18)</f>
        <v>#VALUE!</v>
      </c>
    </row>
    <row r="472" spans="42:44">
      <c r="AP472" s="1756" t="e">
        <f>IF(OR(AR472=S13,AR472&gt;S13),AR472,"")</f>
        <v>#VALUE!</v>
      </c>
      <c r="AQ472" s="1759">
        <f t="shared" si="66"/>
        <v>469</v>
      </c>
      <c r="AR472" s="1756" t="e">
        <f>0.5*(S18+2*AQ472)*LN(1+2*AQ472/S18)</f>
        <v>#VALUE!</v>
      </c>
    </row>
    <row r="473" spans="42:44">
      <c r="AP473" s="1756" t="e">
        <f>IF(OR(AR473=S13,AR473&gt;S13),AR473,"")</f>
        <v>#VALUE!</v>
      </c>
      <c r="AQ473" s="1759">
        <f t="shared" si="66"/>
        <v>470</v>
      </c>
      <c r="AR473" s="1756" t="e">
        <f>0.5*(S18+2*AQ473)*LN(1+2*AQ473/S18)</f>
        <v>#VALUE!</v>
      </c>
    </row>
    <row r="474" spans="42:44">
      <c r="AP474" s="1756" t="e">
        <f>IF(OR(AR474=S13,AR474&gt;S13),AR474,"")</f>
        <v>#VALUE!</v>
      </c>
      <c r="AQ474" s="1759">
        <f t="shared" si="66"/>
        <v>471</v>
      </c>
      <c r="AR474" s="1756" t="e">
        <f>0.5*(S18+2*AQ474)*LN(1+2*AQ474/S18)</f>
        <v>#VALUE!</v>
      </c>
    </row>
    <row r="475" spans="42:44">
      <c r="AP475" s="1756" t="e">
        <f>IF(OR(AR475=S13,AR475&gt;S13),AR475,"")</f>
        <v>#VALUE!</v>
      </c>
      <c r="AQ475" s="1759">
        <f t="shared" si="66"/>
        <v>472</v>
      </c>
      <c r="AR475" s="1756" t="e">
        <f>0.5*(S18+2*AQ475)*LN(1+2*AQ475/S18)</f>
        <v>#VALUE!</v>
      </c>
    </row>
    <row r="476" spans="42:44">
      <c r="AP476" s="1756" t="e">
        <f>IF(OR(AR476=S13,AR476&gt;S13),AR476,"")</f>
        <v>#VALUE!</v>
      </c>
      <c r="AQ476" s="1759">
        <f t="shared" si="66"/>
        <v>473</v>
      </c>
      <c r="AR476" s="1756" t="e">
        <f>0.5*(S18+2*AQ476)*LN(1+2*AQ476/S18)</f>
        <v>#VALUE!</v>
      </c>
    </row>
    <row r="477" spans="42:44">
      <c r="AP477" s="1756" t="e">
        <f>IF(OR(AR477=S13,AR477&gt;S13),AR477,"")</f>
        <v>#VALUE!</v>
      </c>
      <c r="AQ477" s="1759">
        <f t="shared" si="66"/>
        <v>474</v>
      </c>
      <c r="AR477" s="1756" t="e">
        <f>0.5*(S18+2*AQ477)*LN(1+2*AQ477/S18)</f>
        <v>#VALUE!</v>
      </c>
    </row>
    <row r="478" spans="42:44">
      <c r="AP478" s="1756" t="e">
        <f>IF(OR(AR478=S13,AR478&gt;S13),AR478,"")</f>
        <v>#VALUE!</v>
      </c>
      <c r="AQ478" s="1759">
        <f t="shared" si="66"/>
        <v>475</v>
      </c>
      <c r="AR478" s="1756" t="e">
        <f>0.5*(S18+2*AQ478)*LN(1+2*AQ478/S18)</f>
        <v>#VALUE!</v>
      </c>
    </row>
    <row r="479" spans="42:44">
      <c r="AP479" s="1756" t="e">
        <f>IF(OR(AR479=S13,AR479&gt;S13),AR479,"")</f>
        <v>#VALUE!</v>
      </c>
      <c r="AQ479" s="1759">
        <f t="shared" si="66"/>
        <v>476</v>
      </c>
      <c r="AR479" s="1756" t="e">
        <f>0.5*(S18+2*AQ479)*LN(1+2*AQ479/S18)</f>
        <v>#VALUE!</v>
      </c>
    </row>
    <row r="480" spans="42:44">
      <c r="AP480" s="1756" t="e">
        <f>IF(OR(AR480=S13,AR480&gt;S13),AR480,"")</f>
        <v>#VALUE!</v>
      </c>
      <c r="AQ480" s="1759">
        <f t="shared" si="66"/>
        <v>477</v>
      </c>
      <c r="AR480" s="1756" t="e">
        <f>0.5*(S18+2*AQ480)*LN(1+2*AQ480/S18)</f>
        <v>#VALUE!</v>
      </c>
    </row>
    <row r="481" spans="42:44">
      <c r="AP481" s="1756" t="e">
        <f>IF(OR(AR481=S13,AR481&gt;S13),AR481,"")</f>
        <v>#VALUE!</v>
      </c>
      <c r="AQ481" s="1759">
        <f t="shared" si="66"/>
        <v>478</v>
      </c>
      <c r="AR481" s="1756" t="e">
        <f>0.5*(S18+2*AQ481)*LN(1+2*AQ481/S18)</f>
        <v>#VALUE!</v>
      </c>
    </row>
    <row r="482" spans="42:44">
      <c r="AP482" s="1756" t="e">
        <f>IF(OR(AR482=S13,AR482&gt;S13),AR482,"")</f>
        <v>#VALUE!</v>
      </c>
      <c r="AQ482" s="1759">
        <f t="shared" si="66"/>
        <v>479</v>
      </c>
      <c r="AR482" s="1756" t="e">
        <f>0.5*(S18+2*AQ482)*LN(1+2*AQ482/S18)</f>
        <v>#VALUE!</v>
      </c>
    </row>
    <row r="483" spans="42:44">
      <c r="AP483" s="1756" t="e">
        <f>IF(OR(AR483=S13,AR483&gt;S13),AR483,"")</f>
        <v>#VALUE!</v>
      </c>
      <c r="AQ483" s="1759">
        <f t="shared" si="66"/>
        <v>480</v>
      </c>
      <c r="AR483" s="1756" t="e">
        <f>0.5*(S18+2*AQ483)*LN(1+2*AQ483/S18)</f>
        <v>#VALUE!</v>
      </c>
    </row>
    <row r="484" spans="42:44">
      <c r="AP484" s="1756" t="e">
        <f>IF(OR(AR484=S13,AR484&gt;S13),AR484,"")</f>
        <v>#VALUE!</v>
      </c>
      <c r="AQ484" s="1759">
        <f t="shared" si="66"/>
        <v>481</v>
      </c>
      <c r="AR484" s="1756" t="e">
        <f>0.5*(S18+2*AQ484)*LN(1+2*AQ484/S18)</f>
        <v>#VALUE!</v>
      </c>
    </row>
    <row r="485" spans="42:44">
      <c r="AP485" s="1756" t="e">
        <f>IF(OR(AR485=S13,AR485&gt;S13),AR485,"")</f>
        <v>#VALUE!</v>
      </c>
      <c r="AQ485" s="1759">
        <f t="shared" si="66"/>
        <v>482</v>
      </c>
      <c r="AR485" s="1756" t="e">
        <f>0.5*(S18+2*AQ485)*LN(1+2*AQ485/S18)</f>
        <v>#VALUE!</v>
      </c>
    </row>
    <row r="486" spans="42:44">
      <c r="AP486" s="1756" t="e">
        <f>IF(OR(AR486=S13,AR486&gt;S13),AR486,"")</f>
        <v>#VALUE!</v>
      </c>
      <c r="AQ486" s="1759">
        <f t="shared" si="66"/>
        <v>483</v>
      </c>
      <c r="AR486" s="1756" t="e">
        <f>0.5*(S18+2*AQ486)*LN(1+2*AQ486/S18)</f>
        <v>#VALUE!</v>
      </c>
    </row>
    <row r="487" spans="42:44">
      <c r="AP487" s="1756" t="e">
        <f>IF(OR(AR487=S13,AR487&gt;S13),AR487,"")</f>
        <v>#VALUE!</v>
      </c>
      <c r="AQ487" s="1759">
        <f t="shared" si="66"/>
        <v>484</v>
      </c>
      <c r="AR487" s="1756" t="e">
        <f>0.5*(S18+2*AQ487)*LN(1+2*AQ487/S18)</f>
        <v>#VALUE!</v>
      </c>
    </row>
    <row r="488" spans="42:44">
      <c r="AP488" s="1756" t="e">
        <f>IF(OR(AR488=S13,AR488&gt;S13),AR488,"")</f>
        <v>#VALUE!</v>
      </c>
      <c r="AQ488" s="1759">
        <f t="shared" si="66"/>
        <v>485</v>
      </c>
      <c r="AR488" s="1756" t="e">
        <f>0.5*(S18+2*AQ488)*LN(1+2*AQ488/S18)</f>
        <v>#VALUE!</v>
      </c>
    </row>
    <row r="489" spans="42:44">
      <c r="AP489" s="1756" t="e">
        <f>IF(OR(AR489=S13,AR489&gt;S13),AR489,"")</f>
        <v>#VALUE!</v>
      </c>
      <c r="AQ489" s="1759">
        <f t="shared" si="66"/>
        <v>486</v>
      </c>
      <c r="AR489" s="1756" t="e">
        <f>0.5*(S18+2*AQ489)*LN(1+2*AQ489/S18)</f>
        <v>#VALUE!</v>
      </c>
    </row>
    <row r="490" spans="42:44">
      <c r="AP490" s="1756" t="e">
        <f>IF(OR(AR490=S13,AR490&gt;S13),AR490,"")</f>
        <v>#VALUE!</v>
      </c>
      <c r="AQ490" s="1759">
        <f t="shared" si="66"/>
        <v>487</v>
      </c>
      <c r="AR490" s="1756" t="e">
        <f>0.5*(S18+2*AQ490)*LN(1+2*AQ490/S18)</f>
        <v>#VALUE!</v>
      </c>
    </row>
    <row r="491" spans="42:44">
      <c r="AP491" s="1756" t="e">
        <f>IF(OR(AR491=S13,AR491&gt;S13),AR491,"")</f>
        <v>#VALUE!</v>
      </c>
      <c r="AQ491" s="1759">
        <f t="shared" si="66"/>
        <v>488</v>
      </c>
      <c r="AR491" s="1756" t="e">
        <f>0.5*(S18+2*AQ491)*LN(1+2*AQ491/S18)</f>
        <v>#VALUE!</v>
      </c>
    </row>
    <row r="492" spans="42:44">
      <c r="AP492" s="1756" t="e">
        <f>IF(OR(AR492=S13,AR492&gt;S13),AR492,"")</f>
        <v>#VALUE!</v>
      </c>
      <c r="AQ492" s="1759">
        <f t="shared" si="66"/>
        <v>489</v>
      </c>
      <c r="AR492" s="1756" t="e">
        <f>0.5*(S18+2*AQ492)*LN(1+2*AQ492/S18)</f>
        <v>#VALUE!</v>
      </c>
    </row>
    <row r="493" spans="42:44">
      <c r="AP493" s="1756" t="e">
        <f>IF(OR(AR493=S13,AR493&gt;S13),AR493,"")</f>
        <v>#VALUE!</v>
      </c>
      <c r="AQ493" s="1759">
        <f t="shared" si="66"/>
        <v>490</v>
      </c>
      <c r="AR493" s="1756" t="e">
        <f>0.5*(S18+2*AQ493)*LN(1+2*AQ493/S18)</f>
        <v>#VALUE!</v>
      </c>
    </row>
    <row r="494" spans="42:44">
      <c r="AP494" s="1756" t="e">
        <f>IF(OR(AR494=S13,AR494&gt;S13),AR494,"")</f>
        <v>#VALUE!</v>
      </c>
      <c r="AQ494" s="1759">
        <f t="shared" si="66"/>
        <v>491</v>
      </c>
      <c r="AR494" s="1756" t="e">
        <f>0.5*(S18+2*AQ494)*LN(1+2*AQ494/S18)</f>
        <v>#VALUE!</v>
      </c>
    </row>
    <row r="495" spans="42:44">
      <c r="AP495" s="1756" t="e">
        <f>IF(OR(AR495=S13,AR495&gt;S13),AR495,"")</f>
        <v>#VALUE!</v>
      </c>
      <c r="AQ495" s="1759">
        <f t="shared" si="66"/>
        <v>492</v>
      </c>
      <c r="AR495" s="1756" t="e">
        <f>0.5*(S18+2*AQ495)*LN(1+2*AQ495/S18)</f>
        <v>#VALUE!</v>
      </c>
    </row>
    <row r="496" spans="42:44">
      <c r="AP496" s="1756" t="e">
        <f>IF(OR(AR496=S13,AR496&gt;S13),AR496,"")</f>
        <v>#VALUE!</v>
      </c>
      <c r="AQ496" s="1759">
        <f t="shared" si="66"/>
        <v>493</v>
      </c>
      <c r="AR496" s="1756" t="e">
        <f>0.5*(S18+2*AQ496)*LN(1+2*AQ496/S18)</f>
        <v>#VALUE!</v>
      </c>
    </row>
    <row r="497" spans="42:44">
      <c r="AP497" s="1756" t="e">
        <f>IF(OR(AR497=S13,AR497&gt;S13),AR497,"")</f>
        <v>#VALUE!</v>
      </c>
      <c r="AQ497" s="1759">
        <f t="shared" si="66"/>
        <v>494</v>
      </c>
      <c r="AR497" s="1756" t="e">
        <f>0.5*(S18+2*AQ497)*LN(1+2*AQ497/S18)</f>
        <v>#VALUE!</v>
      </c>
    </row>
    <row r="498" spans="42:44">
      <c r="AP498" s="1756" t="e">
        <f>IF(OR(AR498=S13,AR498&gt;S13),AR498,"")</f>
        <v>#VALUE!</v>
      </c>
      <c r="AQ498" s="1759">
        <f t="shared" si="66"/>
        <v>495</v>
      </c>
      <c r="AR498" s="1756" t="e">
        <f>0.5*(S18+2*AQ498)*LN(1+2*AQ498/S18)</f>
        <v>#VALUE!</v>
      </c>
    </row>
    <row r="499" spans="42:44">
      <c r="AP499" s="1756" t="e">
        <f>IF(OR(AR499=S13,AR499&gt;S13),AR499,"")</f>
        <v>#VALUE!</v>
      </c>
      <c r="AQ499" s="1759">
        <f t="shared" si="66"/>
        <v>496</v>
      </c>
      <c r="AR499" s="1756" t="e">
        <f>0.5*(S18+2*AQ499)*LN(1+2*AQ499/S18)</f>
        <v>#VALUE!</v>
      </c>
    </row>
    <row r="500" spans="42:44">
      <c r="AP500" s="1756" t="e">
        <f>IF(OR(AR500=S13,AR500&gt;S13),AR500,"")</f>
        <v>#VALUE!</v>
      </c>
      <c r="AQ500" s="1759">
        <f t="shared" si="66"/>
        <v>497</v>
      </c>
      <c r="AR500" s="1756" t="e">
        <f>0.5*(S18+2*AQ500)*LN(1+2*AQ500/S18)</f>
        <v>#VALUE!</v>
      </c>
    </row>
    <row r="501" spans="42:44">
      <c r="AP501" s="1756" t="e">
        <f>IF(OR(AR501=S13,AR501&gt;S13),AR501,"")</f>
        <v>#VALUE!</v>
      </c>
      <c r="AQ501" s="1759">
        <f t="shared" si="66"/>
        <v>498</v>
      </c>
      <c r="AR501" s="1756" t="e">
        <f>0.5*(S18+2*AQ501)*LN(1+2*AQ501/S18)</f>
        <v>#VALUE!</v>
      </c>
    </row>
    <row r="502" spans="42:44">
      <c r="AP502" s="1756" t="e">
        <f>IF(OR(AR502=S13,AR502&gt;S13),AR502,"")</f>
        <v>#VALUE!</v>
      </c>
      <c r="AQ502" s="1759">
        <f t="shared" si="66"/>
        <v>499</v>
      </c>
      <c r="AR502" s="1756" t="e">
        <f>0.5*(S18+2*AQ502)*LN(1+2*AQ502/S18)</f>
        <v>#VALUE!</v>
      </c>
    </row>
    <row r="503" spans="42:44">
      <c r="AP503" s="1756" t="e">
        <f>IF(OR(AR503=S13,AR503&gt;S13),AR503,"")</f>
        <v>#VALUE!</v>
      </c>
      <c r="AQ503" s="1759">
        <f t="shared" si="66"/>
        <v>500</v>
      </c>
      <c r="AR503" s="1756" t="e">
        <f>0.5*(S18+2*AQ503)*LN(1+2*AQ503/S18)</f>
        <v>#VALUE!</v>
      </c>
    </row>
    <row r="504" spans="42:44">
      <c r="AP504" s="1756" t="e">
        <f>IF(OR(AR504=S13,AR504&gt;S13),AR504,"")</f>
        <v>#VALUE!</v>
      </c>
      <c r="AQ504" s="1759">
        <f t="shared" si="66"/>
        <v>501</v>
      </c>
      <c r="AR504" s="1756" t="e">
        <f>0.5*(S18+2*AQ504)*LN(1+2*AQ504/S18)</f>
        <v>#VALUE!</v>
      </c>
    </row>
    <row r="505" spans="42:44">
      <c r="AP505" s="1756" t="e">
        <f>IF(OR(AR505=S13,AR505&gt;S13),AR505,"")</f>
        <v>#VALUE!</v>
      </c>
      <c r="AQ505" s="1759">
        <f t="shared" si="66"/>
        <v>502</v>
      </c>
      <c r="AR505" s="1756" t="e">
        <f>0.5*(S18+2*AQ505)*LN(1+2*AQ505/S18)</f>
        <v>#VALUE!</v>
      </c>
    </row>
    <row r="506" spans="42:44">
      <c r="AP506" s="1756" t="e">
        <f>IF(OR(AR506=S13,AR506&gt;S13),AR506,"")</f>
        <v>#VALUE!</v>
      </c>
      <c r="AQ506" s="1759">
        <f t="shared" si="66"/>
        <v>503</v>
      </c>
      <c r="AR506" s="1756" t="e">
        <f>0.5*(S18+2*AQ506)*LN(1+2*AQ506/S18)</f>
        <v>#VALUE!</v>
      </c>
    </row>
    <row r="507" spans="42:44">
      <c r="AP507" s="1756" t="e">
        <f>IF(OR(AR507=S13,AR507&gt;S13),AR507,"")</f>
        <v>#VALUE!</v>
      </c>
      <c r="AQ507" s="1759">
        <f t="shared" si="66"/>
        <v>504</v>
      </c>
      <c r="AR507" s="1756" t="e">
        <f>0.5*(S18+2*AQ507)*LN(1+2*AQ507/S18)</f>
        <v>#VALUE!</v>
      </c>
    </row>
    <row r="508" spans="42:44">
      <c r="AP508" s="1756" t="e">
        <f>IF(OR(AR508=S13,AR508&gt;S13),AR508,"")</f>
        <v>#VALUE!</v>
      </c>
      <c r="AQ508" s="1759">
        <f t="shared" si="66"/>
        <v>505</v>
      </c>
      <c r="AR508" s="1756" t="e">
        <f>0.5*(S18+2*AQ508)*LN(1+2*AQ508/S18)</f>
        <v>#VALUE!</v>
      </c>
    </row>
    <row r="509" spans="42:44">
      <c r="AP509" s="1756" t="e">
        <f>IF(OR(AR509=S13,AR509&gt;S13),AR509,"")</f>
        <v>#VALUE!</v>
      </c>
      <c r="AQ509" s="1759">
        <f t="shared" si="66"/>
        <v>506</v>
      </c>
      <c r="AR509" s="1756" t="e">
        <f>0.5*(S18+2*AQ509)*LN(1+2*AQ509/S18)</f>
        <v>#VALUE!</v>
      </c>
    </row>
    <row r="510" spans="42:44">
      <c r="AP510" s="1756" t="e">
        <f>IF(OR(AR510=S13,AR510&gt;S13),AR510,"")</f>
        <v>#VALUE!</v>
      </c>
      <c r="AQ510" s="1759">
        <f t="shared" si="66"/>
        <v>507</v>
      </c>
      <c r="AR510" s="1756" t="e">
        <f>0.5*(S18+2*AQ510)*LN(1+2*AQ510/S18)</f>
        <v>#VALUE!</v>
      </c>
    </row>
    <row r="511" spans="42:44">
      <c r="AP511" s="1756" t="e">
        <f>IF(OR(AR511=S13,AR511&gt;S13),AR511,"")</f>
        <v>#VALUE!</v>
      </c>
      <c r="AQ511" s="1759">
        <f t="shared" si="66"/>
        <v>508</v>
      </c>
      <c r="AR511" s="1756" t="e">
        <f>0.5*(S18+2*AQ511)*LN(1+2*AQ511/S18)</f>
        <v>#VALUE!</v>
      </c>
    </row>
    <row r="512" spans="42:44">
      <c r="AP512" s="1756" t="e">
        <f>IF(OR(AR512=S13,AR512&gt;S13),AR512,"")</f>
        <v>#VALUE!</v>
      </c>
      <c r="AQ512" s="1759">
        <f t="shared" si="66"/>
        <v>509</v>
      </c>
      <c r="AR512" s="1756" t="e">
        <f>0.5*(S18+2*AQ512)*LN(1+2*AQ512/S18)</f>
        <v>#VALUE!</v>
      </c>
    </row>
    <row r="513" spans="42:44">
      <c r="AP513" s="1756" t="e">
        <f>IF(OR(AR513=S13,AR513&gt;S13),AR513,"")</f>
        <v>#VALUE!</v>
      </c>
      <c r="AQ513" s="1759">
        <f t="shared" si="66"/>
        <v>510</v>
      </c>
      <c r="AR513" s="1756" t="e">
        <f>0.5*(S18+2*AQ513)*LN(1+2*AQ513/S18)</f>
        <v>#VALUE!</v>
      </c>
    </row>
    <row r="514" spans="42:44">
      <c r="AP514" s="1756" t="e">
        <f>IF(OR(AR514=S13,AR514&gt;S13),AR514,"")</f>
        <v>#VALUE!</v>
      </c>
      <c r="AQ514" s="1759">
        <f t="shared" si="66"/>
        <v>511</v>
      </c>
      <c r="AR514" s="1756" t="e">
        <f>0.5*(S18+2*AQ514)*LN(1+2*AQ514/S18)</f>
        <v>#VALUE!</v>
      </c>
    </row>
    <row r="515" spans="42:44">
      <c r="AP515" s="1756" t="e">
        <f>IF(OR(AR515=S13,AR515&gt;S13),AR515,"")</f>
        <v>#VALUE!</v>
      </c>
      <c r="AQ515" s="1759">
        <f t="shared" si="66"/>
        <v>512</v>
      </c>
      <c r="AR515" s="1756" t="e">
        <f>0.5*(S18+2*AQ515)*LN(1+2*AQ515/S18)</f>
        <v>#VALUE!</v>
      </c>
    </row>
    <row r="516" spans="42:44">
      <c r="AP516" s="1756" t="e">
        <f>IF(OR(AR516=S13,AR516&gt;S13),AR516,"")</f>
        <v>#VALUE!</v>
      </c>
      <c r="AQ516" s="1759">
        <f t="shared" si="66"/>
        <v>513</v>
      </c>
      <c r="AR516" s="1756" t="e">
        <f>0.5*(S18+2*AQ516)*LN(1+2*AQ516/S18)</f>
        <v>#VALUE!</v>
      </c>
    </row>
    <row r="517" spans="42:44">
      <c r="AP517" s="1756" t="e">
        <f>IF(OR(AR517=S13,AR517&gt;S13),AR517,"")</f>
        <v>#VALUE!</v>
      </c>
      <c r="AQ517" s="1759">
        <f t="shared" si="66"/>
        <v>514</v>
      </c>
      <c r="AR517" s="1756" t="e">
        <f>0.5*(S18+2*AQ517)*LN(1+2*AQ517/S18)</f>
        <v>#VALUE!</v>
      </c>
    </row>
    <row r="518" spans="42:44">
      <c r="AP518" s="1756" t="e">
        <f>IF(OR(AR518=S13,AR518&gt;S13),AR518,"")</f>
        <v>#VALUE!</v>
      </c>
      <c r="AQ518" s="1759">
        <f t="shared" ref="AQ518:AQ581" si="67">AQ517+1</f>
        <v>515</v>
      </c>
      <c r="AR518" s="1756" t="e">
        <f>0.5*(S18+2*AQ518)*LN(1+2*AQ518/S18)</f>
        <v>#VALUE!</v>
      </c>
    </row>
    <row r="519" spans="42:44">
      <c r="AP519" s="1756" t="e">
        <f>IF(OR(AR519=S13,AR519&gt;S13),AR519,"")</f>
        <v>#VALUE!</v>
      </c>
      <c r="AQ519" s="1759">
        <f t="shared" si="67"/>
        <v>516</v>
      </c>
      <c r="AR519" s="1756" t="e">
        <f>0.5*(S18+2*AQ519)*LN(1+2*AQ519/S18)</f>
        <v>#VALUE!</v>
      </c>
    </row>
    <row r="520" spans="42:44">
      <c r="AP520" s="1756" t="e">
        <f>IF(OR(AR520=S13,AR520&gt;S13),AR520,"")</f>
        <v>#VALUE!</v>
      </c>
      <c r="AQ520" s="1759">
        <f t="shared" si="67"/>
        <v>517</v>
      </c>
      <c r="AR520" s="1756" t="e">
        <f>0.5*(S18+2*AQ520)*LN(1+2*AQ520/S18)</f>
        <v>#VALUE!</v>
      </c>
    </row>
    <row r="521" spans="42:44">
      <c r="AP521" s="1756" t="e">
        <f>IF(OR(AR521=S13,AR521&gt;S13),AR521,"")</f>
        <v>#VALUE!</v>
      </c>
      <c r="AQ521" s="1759">
        <f t="shared" si="67"/>
        <v>518</v>
      </c>
      <c r="AR521" s="1756" t="e">
        <f>0.5*(S18+2*AQ521)*LN(1+2*AQ521/S18)</f>
        <v>#VALUE!</v>
      </c>
    </row>
    <row r="522" spans="42:44">
      <c r="AP522" s="1756" t="e">
        <f>IF(OR(AR522=S13,AR522&gt;S13),AR522,"")</f>
        <v>#VALUE!</v>
      </c>
      <c r="AQ522" s="1759">
        <f t="shared" si="67"/>
        <v>519</v>
      </c>
      <c r="AR522" s="1756" t="e">
        <f>0.5*(S18+2*AQ522)*LN(1+2*AQ522/S18)</f>
        <v>#VALUE!</v>
      </c>
    </row>
    <row r="523" spans="42:44">
      <c r="AP523" s="1756" t="e">
        <f>IF(OR(AR523=S13,AR523&gt;S13),AR523,"")</f>
        <v>#VALUE!</v>
      </c>
      <c r="AQ523" s="1759">
        <f t="shared" si="67"/>
        <v>520</v>
      </c>
      <c r="AR523" s="1756" t="e">
        <f>0.5*(S18+2*AQ523)*LN(1+2*AQ523/S18)</f>
        <v>#VALUE!</v>
      </c>
    </row>
    <row r="524" spans="42:44">
      <c r="AP524" s="1756" t="e">
        <f>IF(OR(AR524=S13,AR524&gt;S13),AR524,"")</f>
        <v>#VALUE!</v>
      </c>
      <c r="AQ524" s="1759">
        <f t="shared" si="67"/>
        <v>521</v>
      </c>
      <c r="AR524" s="1756" t="e">
        <f>0.5*(S18+2*AQ524)*LN(1+2*AQ524/S18)</f>
        <v>#VALUE!</v>
      </c>
    </row>
    <row r="525" spans="42:44">
      <c r="AP525" s="1756" t="e">
        <f>IF(OR(AR525=S13,AR525&gt;S13),AR525,"")</f>
        <v>#VALUE!</v>
      </c>
      <c r="AQ525" s="1759">
        <f t="shared" si="67"/>
        <v>522</v>
      </c>
      <c r="AR525" s="1756" t="e">
        <f>0.5*(S18+2*AQ525)*LN(1+2*AQ525/S18)</f>
        <v>#VALUE!</v>
      </c>
    </row>
    <row r="526" spans="42:44">
      <c r="AP526" s="1756" t="e">
        <f>IF(OR(AR526=S13,AR526&gt;S13),AR526,"")</f>
        <v>#VALUE!</v>
      </c>
      <c r="AQ526" s="1759">
        <f t="shared" si="67"/>
        <v>523</v>
      </c>
      <c r="AR526" s="1756" t="e">
        <f>0.5*(S18+2*AQ526)*LN(1+2*AQ526/S18)</f>
        <v>#VALUE!</v>
      </c>
    </row>
    <row r="527" spans="42:44">
      <c r="AP527" s="1756" t="e">
        <f>IF(OR(AR527=S13,AR527&gt;S13),AR527,"")</f>
        <v>#VALUE!</v>
      </c>
      <c r="AQ527" s="1759">
        <f t="shared" si="67"/>
        <v>524</v>
      </c>
      <c r="AR527" s="1756" t="e">
        <f>0.5*(S18+2*AQ527)*LN(1+2*AQ527/S18)</f>
        <v>#VALUE!</v>
      </c>
    </row>
    <row r="528" spans="42:44">
      <c r="AP528" s="1756" t="e">
        <f>IF(OR(AR528=S13,AR528&gt;S13),AR528,"")</f>
        <v>#VALUE!</v>
      </c>
      <c r="AQ528" s="1759">
        <f t="shared" si="67"/>
        <v>525</v>
      </c>
      <c r="AR528" s="1756" t="e">
        <f>0.5*(S18+2*AQ528)*LN(1+2*AQ528/S18)</f>
        <v>#VALUE!</v>
      </c>
    </row>
    <row r="529" spans="42:44">
      <c r="AP529" s="1756" t="e">
        <f>IF(OR(AR529=S13,AR529&gt;S13),AR529,"")</f>
        <v>#VALUE!</v>
      </c>
      <c r="AQ529" s="1759">
        <f t="shared" si="67"/>
        <v>526</v>
      </c>
      <c r="AR529" s="1756" t="e">
        <f>0.5*(S18+2*AQ529)*LN(1+2*AQ529/S18)</f>
        <v>#VALUE!</v>
      </c>
    </row>
    <row r="530" spans="42:44">
      <c r="AP530" s="1756" t="e">
        <f>IF(OR(AR530=S13,AR530&gt;S13),AR530,"")</f>
        <v>#VALUE!</v>
      </c>
      <c r="AQ530" s="1759">
        <f t="shared" si="67"/>
        <v>527</v>
      </c>
      <c r="AR530" s="1756" t="e">
        <f>0.5*(S18+2*AQ530)*LN(1+2*AQ530/S18)</f>
        <v>#VALUE!</v>
      </c>
    </row>
    <row r="531" spans="42:44">
      <c r="AP531" s="1756" t="e">
        <f>IF(OR(AR531=S13,AR531&gt;S13),AR531,"")</f>
        <v>#VALUE!</v>
      </c>
      <c r="AQ531" s="1759">
        <f t="shared" si="67"/>
        <v>528</v>
      </c>
      <c r="AR531" s="1756" t="e">
        <f>0.5*(S18+2*AQ531)*LN(1+2*AQ531/S18)</f>
        <v>#VALUE!</v>
      </c>
    </row>
    <row r="532" spans="42:44">
      <c r="AP532" s="1756" t="e">
        <f>IF(OR(AR532=S13,AR532&gt;S13),AR532,"")</f>
        <v>#VALUE!</v>
      </c>
      <c r="AQ532" s="1759">
        <f t="shared" si="67"/>
        <v>529</v>
      </c>
      <c r="AR532" s="1756" t="e">
        <f>0.5*(S18+2*AQ532)*LN(1+2*AQ532/S18)</f>
        <v>#VALUE!</v>
      </c>
    </row>
    <row r="533" spans="42:44">
      <c r="AP533" s="1756" t="e">
        <f>IF(OR(AR533=S13,AR533&gt;S13),AR533,"")</f>
        <v>#VALUE!</v>
      </c>
      <c r="AQ533" s="1759">
        <f t="shared" si="67"/>
        <v>530</v>
      </c>
      <c r="AR533" s="1756" t="e">
        <f>0.5*(S18+2*AQ533)*LN(1+2*AQ533/S18)</f>
        <v>#VALUE!</v>
      </c>
    </row>
    <row r="534" spans="42:44">
      <c r="AP534" s="1756" t="e">
        <f>IF(OR(AR534=S13,AR534&gt;S13),AR534,"")</f>
        <v>#VALUE!</v>
      </c>
      <c r="AQ534" s="1759">
        <f t="shared" si="67"/>
        <v>531</v>
      </c>
      <c r="AR534" s="1756" t="e">
        <f>0.5*(S18+2*AQ534)*LN(1+2*AQ534/S18)</f>
        <v>#VALUE!</v>
      </c>
    </row>
    <row r="535" spans="42:44">
      <c r="AP535" s="1756" t="e">
        <f>IF(OR(AR535=S13,AR535&gt;S13),AR535,"")</f>
        <v>#VALUE!</v>
      </c>
      <c r="AQ535" s="1759">
        <f t="shared" si="67"/>
        <v>532</v>
      </c>
      <c r="AR535" s="1756" t="e">
        <f>0.5*(S18+2*AQ535)*LN(1+2*AQ535/S18)</f>
        <v>#VALUE!</v>
      </c>
    </row>
    <row r="536" spans="42:44">
      <c r="AP536" s="1756" t="e">
        <f>IF(OR(AR536=S13,AR536&gt;S13),AR536,"")</f>
        <v>#VALUE!</v>
      </c>
      <c r="AQ536" s="1759">
        <f t="shared" si="67"/>
        <v>533</v>
      </c>
      <c r="AR536" s="1756" t="e">
        <f>0.5*(S18+2*AQ536)*LN(1+2*AQ536/S18)</f>
        <v>#VALUE!</v>
      </c>
    </row>
    <row r="537" spans="42:44">
      <c r="AP537" s="1756" t="e">
        <f>IF(OR(AR537=S13,AR537&gt;S13),AR537,"")</f>
        <v>#VALUE!</v>
      </c>
      <c r="AQ537" s="1759">
        <f t="shared" si="67"/>
        <v>534</v>
      </c>
      <c r="AR537" s="1756" t="e">
        <f>0.5*(S18+2*AQ537)*LN(1+2*AQ537/S18)</f>
        <v>#VALUE!</v>
      </c>
    </row>
    <row r="538" spans="42:44">
      <c r="AP538" s="1756" t="e">
        <f>IF(OR(AR538=S13,AR538&gt;S13),AR538,"")</f>
        <v>#VALUE!</v>
      </c>
      <c r="AQ538" s="1759">
        <f t="shared" si="67"/>
        <v>535</v>
      </c>
      <c r="AR538" s="1756" t="e">
        <f>0.5*(S18+2*AQ538)*LN(1+2*AQ538/S18)</f>
        <v>#VALUE!</v>
      </c>
    </row>
    <row r="539" spans="42:44">
      <c r="AP539" s="1756" t="e">
        <f>IF(OR(AR539=S13,AR539&gt;S13),AR539,"")</f>
        <v>#VALUE!</v>
      </c>
      <c r="AQ539" s="1759">
        <f t="shared" si="67"/>
        <v>536</v>
      </c>
      <c r="AR539" s="1756" t="e">
        <f>0.5*(S18+2*AQ539)*LN(1+2*AQ539/S18)</f>
        <v>#VALUE!</v>
      </c>
    </row>
    <row r="540" spans="42:44">
      <c r="AP540" s="1756" t="e">
        <f>IF(OR(AR540=S13,AR540&gt;S13),AR540,"")</f>
        <v>#VALUE!</v>
      </c>
      <c r="AQ540" s="1759">
        <f t="shared" si="67"/>
        <v>537</v>
      </c>
      <c r="AR540" s="1756" t="e">
        <f>0.5*(S18+2*AQ540)*LN(1+2*AQ540/S18)</f>
        <v>#VALUE!</v>
      </c>
    </row>
    <row r="541" spans="42:44">
      <c r="AP541" s="1756" t="e">
        <f>IF(OR(AR541=S13,AR541&gt;S13),AR541,"")</f>
        <v>#VALUE!</v>
      </c>
      <c r="AQ541" s="1759">
        <f t="shared" si="67"/>
        <v>538</v>
      </c>
      <c r="AR541" s="1756" t="e">
        <f>0.5*(S18+2*AQ541)*LN(1+2*AQ541/S18)</f>
        <v>#VALUE!</v>
      </c>
    </row>
    <row r="542" spans="42:44">
      <c r="AP542" s="1756" t="e">
        <f>IF(OR(AR542=S13,AR542&gt;S13),AR542,"")</f>
        <v>#VALUE!</v>
      </c>
      <c r="AQ542" s="1759">
        <f t="shared" si="67"/>
        <v>539</v>
      </c>
      <c r="AR542" s="1756" t="e">
        <f>0.5*(S18+2*AQ542)*LN(1+2*AQ542/S18)</f>
        <v>#VALUE!</v>
      </c>
    </row>
    <row r="543" spans="42:44">
      <c r="AP543" s="1756" t="e">
        <f>IF(OR(AR543=S13,AR543&gt;S13),AR543,"")</f>
        <v>#VALUE!</v>
      </c>
      <c r="AQ543" s="1759">
        <f t="shared" si="67"/>
        <v>540</v>
      </c>
      <c r="AR543" s="1756" t="e">
        <f>0.5*(S18+2*AQ543)*LN(1+2*AQ543/S18)</f>
        <v>#VALUE!</v>
      </c>
    </row>
    <row r="544" spans="42:44">
      <c r="AP544" s="1756" t="e">
        <f>IF(OR(AR544=S13,AR544&gt;S13),AR544,"")</f>
        <v>#VALUE!</v>
      </c>
      <c r="AQ544" s="1759">
        <f t="shared" si="67"/>
        <v>541</v>
      </c>
      <c r="AR544" s="1756" t="e">
        <f>0.5*(S18+2*AQ544)*LN(1+2*AQ544/S18)</f>
        <v>#VALUE!</v>
      </c>
    </row>
    <row r="545" spans="42:44">
      <c r="AP545" s="1756" t="e">
        <f>IF(OR(AR545=S13,AR545&gt;S13),AR545,"")</f>
        <v>#VALUE!</v>
      </c>
      <c r="AQ545" s="1759">
        <f t="shared" si="67"/>
        <v>542</v>
      </c>
      <c r="AR545" s="1756" t="e">
        <f>0.5*(S18+2*AQ545)*LN(1+2*AQ545/S18)</f>
        <v>#VALUE!</v>
      </c>
    </row>
    <row r="546" spans="42:44">
      <c r="AP546" s="1756" t="e">
        <f>IF(OR(AR546=S13,AR546&gt;S13),AR546,"")</f>
        <v>#VALUE!</v>
      </c>
      <c r="AQ546" s="1759">
        <f t="shared" si="67"/>
        <v>543</v>
      </c>
      <c r="AR546" s="1756" t="e">
        <f>0.5*(S18+2*AQ546)*LN(1+2*AQ546/S18)</f>
        <v>#VALUE!</v>
      </c>
    </row>
    <row r="547" spans="42:44">
      <c r="AP547" s="1756" t="e">
        <f>IF(OR(AR547=S13,AR547&gt;S13),AR547,"")</f>
        <v>#VALUE!</v>
      </c>
      <c r="AQ547" s="1759">
        <f t="shared" si="67"/>
        <v>544</v>
      </c>
      <c r="AR547" s="1756" t="e">
        <f>0.5*(S18+2*AQ547)*LN(1+2*AQ547/S18)</f>
        <v>#VALUE!</v>
      </c>
    </row>
    <row r="548" spans="42:44">
      <c r="AP548" s="1756" t="e">
        <f>IF(OR(AR548=S13,AR548&gt;S13),AR548,"")</f>
        <v>#VALUE!</v>
      </c>
      <c r="AQ548" s="1759">
        <f t="shared" si="67"/>
        <v>545</v>
      </c>
      <c r="AR548" s="1756" t="e">
        <f>0.5*(S18+2*AQ548)*LN(1+2*AQ548/S18)</f>
        <v>#VALUE!</v>
      </c>
    </row>
    <row r="549" spans="42:44">
      <c r="AP549" s="1756" t="e">
        <f>IF(OR(AR549=S13,AR549&gt;S13),AR549,"")</f>
        <v>#VALUE!</v>
      </c>
      <c r="AQ549" s="1759">
        <f t="shared" si="67"/>
        <v>546</v>
      </c>
      <c r="AR549" s="1756" t="e">
        <f>0.5*(S18+2*AQ549)*LN(1+2*AQ549/S18)</f>
        <v>#VALUE!</v>
      </c>
    </row>
    <row r="550" spans="42:44">
      <c r="AP550" s="1756" t="e">
        <f>IF(OR(AR550=S13,AR550&gt;S13),AR550,"")</f>
        <v>#VALUE!</v>
      </c>
      <c r="AQ550" s="1759">
        <f t="shared" si="67"/>
        <v>547</v>
      </c>
      <c r="AR550" s="1756" t="e">
        <f>0.5*(S18+2*AQ550)*LN(1+2*AQ550/S18)</f>
        <v>#VALUE!</v>
      </c>
    </row>
    <row r="551" spans="42:44">
      <c r="AP551" s="1756" t="e">
        <f>IF(OR(AR551=S13,AR551&gt;S13),AR551,"")</f>
        <v>#VALUE!</v>
      </c>
      <c r="AQ551" s="1759">
        <f t="shared" si="67"/>
        <v>548</v>
      </c>
      <c r="AR551" s="1756" t="e">
        <f>0.5*(S18+2*AQ551)*LN(1+2*AQ551/S18)</f>
        <v>#VALUE!</v>
      </c>
    </row>
    <row r="552" spans="42:44">
      <c r="AP552" s="1756" t="e">
        <f>IF(OR(AR552=S13,AR552&gt;S13),AR552,"")</f>
        <v>#VALUE!</v>
      </c>
      <c r="AQ552" s="1759">
        <f t="shared" si="67"/>
        <v>549</v>
      </c>
      <c r="AR552" s="1756" t="e">
        <f>0.5*(S18+2*AQ552)*LN(1+2*AQ552/S18)</f>
        <v>#VALUE!</v>
      </c>
    </row>
    <row r="553" spans="42:44">
      <c r="AP553" s="1756" t="e">
        <f>IF(OR(AR553=S13,AR553&gt;S13),AR553,"")</f>
        <v>#VALUE!</v>
      </c>
      <c r="AQ553" s="1759">
        <f t="shared" si="67"/>
        <v>550</v>
      </c>
      <c r="AR553" s="1756" t="e">
        <f>0.5*(S18+2*AQ553)*LN(1+2*AQ553/S18)</f>
        <v>#VALUE!</v>
      </c>
    </row>
    <row r="554" spans="42:44">
      <c r="AP554" s="1756" t="e">
        <f>IF(OR(AR554=S13,AR554&gt;S13),AR554,"")</f>
        <v>#VALUE!</v>
      </c>
      <c r="AQ554" s="1759">
        <f t="shared" si="67"/>
        <v>551</v>
      </c>
      <c r="AR554" s="1756" t="e">
        <f>0.5*(S18+2*AQ554)*LN(1+2*AQ554/S18)</f>
        <v>#VALUE!</v>
      </c>
    </row>
    <row r="555" spans="42:44">
      <c r="AP555" s="1756" t="e">
        <f>IF(OR(AR555=S13,AR555&gt;S13),AR555,"")</f>
        <v>#VALUE!</v>
      </c>
      <c r="AQ555" s="1759">
        <f t="shared" si="67"/>
        <v>552</v>
      </c>
      <c r="AR555" s="1756" t="e">
        <f>0.5*(S18+2*AQ555)*LN(1+2*AQ555/S18)</f>
        <v>#VALUE!</v>
      </c>
    </row>
    <row r="556" spans="42:44">
      <c r="AP556" s="1756" t="e">
        <f>IF(OR(AR556=S13,AR556&gt;S13),AR556,"")</f>
        <v>#VALUE!</v>
      </c>
      <c r="AQ556" s="1759">
        <f t="shared" si="67"/>
        <v>553</v>
      </c>
      <c r="AR556" s="1756" t="e">
        <f>0.5*(S18+2*AQ556)*LN(1+2*AQ556/S18)</f>
        <v>#VALUE!</v>
      </c>
    </row>
    <row r="557" spans="42:44">
      <c r="AP557" s="1756" t="e">
        <f>IF(OR(AR557=S13,AR557&gt;S13),AR557,"")</f>
        <v>#VALUE!</v>
      </c>
      <c r="AQ557" s="1759">
        <f t="shared" si="67"/>
        <v>554</v>
      </c>
      <c r="AR557" s="1756" t="e">
        <f>0.5*(S18+2*AQ557)*LN(1+2*AQ557/S18)</f>
        <v>#VALUE!</v>
      </c>
    </row>
    <row r="558" spans="42:44">
      <c r="AP558" s="1756" t="e">
        <f>IF(OR(AR558=S13,AR558&gt;S13),AR558,"")</f>
        <v>#VALUE!</v>
      </c>
      <c r="AQ558" s="1759">
        <f t="shared" si="67"/>
        <v>555</v>
      </c>
      <c r="AR558" s="1756" t="e">
        <f>0.5*(S18+2*AQ558)*LN(1+2*AQ558/S18)</f>
        <v>#VALUE!</v>
      </c>
    </row>
    <row r="559" spans="42:44">
      <c r="AP559" s="1756" t="e">
        <f>IF(OR(AR559=S13,AR559&gt;S13),AR559,"")</f>
        <v>#VALUE!</v>
      </c>
      <c r="AQ559" s="1759">
        <f t="shared" si="67"/>
        <v>556</v>
      </c>
      <c r="AR559" s="1756" t="e">
        <f>0.5*(S18+2*AQ559)*LN(1+2*AQ559/S18)</f>
        <v>#VALUE!</v>
      </c>
    </row>
    <row r="560" spans="42:44">
      <c r="AP560" s="1756" t="e">
        <f>IF(OR(AR560=S13,AR560&gt;S13),AR560,"")</f>
        <v>#VALUE!</v>
      </c>
      <c r="AQ560" s="1759">
        <f t="shared" si="67"/>
        <v>557</v>
      </c>
      <c r="AR560" s="1756" t="e">
        <f>0.5*(S18+2*AQ560)*LN(1+2*AQ560/S18)</f>
        <v>#VALUE!</v>
      </c>
    </row>
    <row r="561" spans="42:44">
      <c r="AP561" s="1756" t="e">
        <f>IF(OR(AR561=S13,AR561&gt;S13),AR561,"")</f>
        <v>#VALUE!</v>
      </c>
      <c r="AQ561" s="1759">
        <f t="shared" si="67"/>
        <v>558</v>
      </c>
      <c r="AR561" s="1756" t="e">
        <f>0.5*(S18+2*AQ561)*LN(1+2*AQ561/S18)</f>
        <v>#VALUE!</v>
      </c>
    </row>
    <row r="562" spans="42:44">
      <c r="AP562" s="1756" t="e">
        <f>IF(OR(AR562=S13,AR562&gt;S13),AR562,"")</f>
        <v>#VALUE!</v>
      </c>
      <c r="AQ562" s="1759">
        <f t="shared" si="67"/>
        <v>559</v>
      </c>
      <c r="AR562" s="1756" t="e">
        <f>0.5*(S18+2*AQ562)*LN(1+2*AQ562/S18)</f>
        <v>#VALUE!</v>
      </c>
    </row>
    <row r="563" spans="42:44">
      <c r="AP563" s="1756" t="e">
        <f>IF(OR(AR563=S13,AR563&gt;S13),AR563,"")</f>
        <v>#VALUE!</v>
      </c>
      <c r="AQ563" s="1759">
        <f t="shared" si="67"/>
        <v>560</v>
      </c>
      <c r="AR563" s="1756" t="e">
        <f>0.5*(S18+2*AQ563)*LN(1+2*AQ563/S18)</f>
        <v>#VALUE!</v>
      </c>
    </row>
    <row r="564" spans="42:44">
      <c r="AP564" s="1756" t="e">
        <f>IF(OR(AR564=S13,AR564&gt;S13),AR564,"")</f>
        <v>#VALUE!</v>
      </c>
      <c r="AQ564" s="1759">
        <f t="shared" si="67"/>
        <v>561</v>
      </c>
      <c r="AR564" s="1756" t="e">
        <f>0.5*(S18+2*AQ564)*LN(1+2*AQ564/S18)</f>
        <v>#VALUE!</v>
      </c>
    </row>
    <row r="565" spans="42:44">
      <c r="AP565" s="1756" t="e">
        <f>IF(OR(AR565=S13,AR565&gt;S13),AR565,"")</f>
        <v>#VALUE!</v>
      </c>
      <c r="AQ565" s="1759">
        <f t="shared" si="67"/>
        <v>562</v>
      </c>
      <c r="AR565" s="1756" t="e">
        <f>0.5*(S18+2*AQ565)*LN(1+2*AQ565/S18)</f>
        <v>#VALUE!</v>
      </c>
    </row>
    <row r="566" spans="42:44">
      <c r="AP566" s="1756" t="e">
        <f>IF(OR(AR566=S13,AR566&gt;S13),AR566,"")</f>
        <v>#VALUE!</v>
      </c>
      <c r="AQ566" s="1759">
        <f t="shared" si="67"/>
        <v>563</v>
      </c>
      <c r="AR566" s="1756" t="e">
        <f>0.5*(S18+2*AQ566)*LN(1+2*AQ566/S18)</f>
        <v>#VALUE!</v>
      </c>
    </row>
    <row r="567" spans="42:44">
      <c r="AP567" s="1756" t="e">
        <f>IF(OR(AR567=S13,AR567&gt;S13),AR567,"")</f>
        <v>#VALUE!</v>
      </c>
      <c r="AQ567" s="1759">
        <f t="shared" si="67"/>
        <v>564</v>
      </c>
      <c r="AR567" s="1756" t="e">
        <f>0.5*(S18+2*AQ567)*LN(1+2*AQ567/S18)</f>
        <v>#VALUE!</v>
      </c>
    </row>
    <row r="568" spans="42:44">
      <c r="AP568" s="1756" t="e">
        <f>IF(OR(AR568=S13,AR568&gt;S13),AR568,"")</f>
        <v>#VALUE!</v>
      </c>
      <c r="AQ568" s="1759">
        <f t="shared" si="67"/>
        <v>565</v>
      </c>
      <c r="AR568" s="1756" t="e">
        <f>0.5*(S18+2*AQ568)*LN(1+2*AQ568/S18)</f>
        <v>#VALUE!</v>
      </c>
    </row>
    <row r="569" spans="42:44">
      <c r="AP569" s="1756" t="e">
        <f>IF(OR(AR569=S13,AR569&gt;S13),AR569,"")</f>
        <v>#VALUE!</v>
      </c>
      <c r="AQ569" s="1759">
        <f t="shared" si="67"/>
        <v>566</v>
      </c>
      <c r="AR569" s="1756" t="e">
        <f>0.5*(S18+2*AQ569)*LN(1+2*AQ569/S18)</f>
        <v>#VALUE!</v>
      </c>
    </row>
    <row r="570" spans="42:44">
      <c r="AP570" s="1756" t="e">
        <f>IF(OR(AR570=S13,AR570&gt;S13),AR570,"")</f>
        <v>#VALUE!</v>
      </c>
      <c r="AQ570" s="1759">
        <f t="shared" si="67"/>
        <v>567</v>
      </c>
      <c r="AR570" s="1756" t="e">
        <f>0.5*(S18+2*AQ570)*LN(1+2*AQ570/S18)</f>
        <v>#VALUE!</v>
      </c>
    </row>
    <row r="571" spans="42:44">
      <c r="AP571" s="1756" t="e">
        <f>IF(OR(AR571=S13,AR571&gt;S13),AR571,"")</f>
        <v>#VALUE!</v>
      </c>
      <c r="AQ571" s="1759">
        <f t="shared" si="67"/>
        <v>568</v>
      </c>
      <c r="AR571" s="1756" t="e">
        <f>0.5*(S18+2*AQ571)*LN(1+2*AQ571/S18)</f>
        <v>#VALUE!</v>
      </c>
    </row>
    <row r="572" spans="42:44">
      <c r="AP572" s="1756" t="e">
        <f>IF(OR(AR572=S13,AR572&gt;S13),AR572,"")</f>
        <v>#VALUE!</v>
      </c>
      <c r="AQ572" s="1759">
        <f t="shared" si="67"/>
        <v>569</v>
      </c>
      <c r="AR572" s="1756" t="e">
        <f>0.5*(S18+2*AQ572)*LN(1+2*AQ572/S18)</f>
        <v>#VALUE!</v>
      </c>
    </row>
    <row r="573" spans="42:44">
      <c r="AP573" s="1756" t="e">
        <f>IF(OR(AR573=S13,AR573&gt;S13),AR573,"")</f>
        <v>#VALUE!</v>
      </c>
      <c r="AQ573" s="1759">
        <f t="shared" si="67"/>
        <v>570</v>
      </c>
      <c r="AR573" s="1756" t="e">
        <f>0.5*(S18+2*AQ573)*LN(1+2*AQ573/S18)</f>
        <v>#VALUE!</v>
      </c>
    </row>
    <row r="574" spans="42:44">
      <c r="AP574" s="1756" t="e">
        <f>IF(OR(AR574=S13,AR574&gt;S13),AR574,"")</f>
        <v>#VALUE!</v>
      </c>
      <c r="AQ574" s="1759">
        <f t="shared" si="67"/>
        <v>571</v>
      </c>
      <c r="AR574" s="1756" t="e">
        <f>0.5*(S18+2*AQ574)*LN(1+2*AQ574/S18)</f>
        <v>#VALUE!</v>
      </c>
    </row>
    <row r="575" spans="42:44">
      <c r="AP575" s="1756" t="e">
        <f>IF(OR(AR575=S13,AR575&gt;S13),AR575,"")</f>
        <v>#VALUE!</v>
      </c>
      <c r="AQ575" s="1759">
        <f t="shared" si="67"/>
        <v>572</v>
      </c>
      <c r="AR575" s="1756" t="e">
        <f>0.5*(S18+2*AQ575)*LN(1+2*AQ575/S18)</f>
        <v>#VALUE!</v>
      </c>
    </row>
    <row r="576" spans="42:44">
      <c r="AP576" s="1756" t="e">
        <f>IF(OR(AR576=S13,AR576&gt;S13),AR576,"")</f>
        <v>#VALUE!</v>
      </c>
      <c r="AQ576" s="1759">
        <f t="shared" si="67"/>
        <v>573</v>
      </c>
      <c r="AR576" s="1756" t="e">
        <f>0.5*(S18+2*AQ576)*LN(1+2*AQ576/S18)</f>
        <v>#VALUE!</v>
      </c>
    </row>
    <row r="577" spans="42:44">
      <c r="AP577" s="1756" t="e">
        <f>IF(OR(AR577=S13,AR577&gt;S13),AR577,"")</f>
        <v>#VALUE!</v>
      </c>
      <c r="AQ577" s="1759">
        <f t="shared" si="67"/>
        <v>574</v>
      </c>
      <c r="AR577" s="1756" t="e">
        <f>0.5*(S18+2*AQ577)*LN(1+2*AQ577/S18)</f>
        <v>#VALUE!</v>
      </c>
    </row>
    <row r="578" spans="42:44">
      <c r="AP578" s="1756" t="e">
        <f>IF(OR(AR578=S13,AR578&gt;S13),AR578,"")</f>
        <v>#VALUE!</v>
      </c>
      <c r="AQ578" s="1759">
        <f t="shared" si="67"/>
        <v>575</v>
      </c>
      <c r="AR578" s="1756" t="e">
        <f>0.5*(S18+2*AQ578)*LN(1+2*AQ578/S18)</f>
        <v>#VALUE!</v>
      </c>
    </row>
    <row r="579" spans="42:44">
      <c r="AP579" s="1756" t="e">
        <f>IF(OR(AR579=S13,AR579&gt;S13),AR579,"")</f>
        <v>#VALUE!</v>
      </c>
      <c r="AQ579" s="1759">
        <f t="shared" si="67"/>
        <v>576</v>
      </c>
      <c r="AR579" s="1756" t="e">
        <f>0.5*(S18+2*AQ579)*LN(1+2*AQ579/S18)</f>
        <v>#VALUE!</v>
      </c>
    </row>
    <row r="580" spans="42:44">
      <c r="AP580" s="1756" t="e">
        <f>IF(OR(AR580=S13,AR580&gt;S13),AR580,"")</f>
        <v>#VALUE!</v>
      </c>
      <c r="AQ580" s="1759">
        <f t="shared" si="67"/>
        <v>577</v>
      </c>
      <c r="AR580" s="1756" t="e">
        <f>0.5*(S18+2*AQ580)*LN(1+2*AQ580/S18)</f>
        <v>#VALUE!</v>
      </c>
    </row>
    <row r="581" spans="42:44">
      <c r="AP581" s="1756" t="e">
        <f>IF(OR(AR581=S13,AR581&gt;S13),AR581,"")</f>
        <v>#VALUE!</v>
      </c>
      <c r="AQ581" s="1759">
        <f t="shared" si="67"/>
        <v>578</v>
      </c>
      <c r="AR581" s="1756" t="e">
        <f>0.5*(S18+2*AQ581)*LN(1+2*AQ581/S18)</f>
        <v>#VALUE!</v>
      </c>
    </row>
    <row r="582" spans="42:44">
      <c r="AP582" s="1756" t="e">
        <f>IF(OR(AR582=S13,AR582&gt;S13),AR582,"")</f>
        <v>#VALUE!</v>
      </c>
      <c r="AQ582" s="1759">
        <f t="shared" ref="AQ582:AQ645" si="68">AQ581+1</f>
        <v>579</v>
      </c>
      <c r="AR582" s="1756" t="e">
        <f>0.5*(S18+2*AQ582)*LN(1+2*AQ582/S18)</f>
        <v>#VALUE!</v>
      </c>
    </row>
    <row r="583" spans="42:44">
      <c r="AP583" s="1756" t="e">
        <f>IF(OR(AR583=S13,AR583&gt;S13),AR583,"")</f>
        <v>#VALUE!</v>
      </c>
      <c r="AQ583" s="1759">
        <f t="shared" si="68"/>
        <v>580</v>
      </c>
      <c r="AR583" s="1756" t="e">
        <f>0.5*(S18+2*AQ583)*LN(1+2*AQ583/S18)</f>
        <v>#VALUE!</v>
      </c>
    </row>
    <row r="584" spans="42:44">
      <c r="AP584" s="1756" t="e">
        <f>IF(OR(AR584=S13,AR584&gt;S13),AR584,"")</f>
        <v>#VALUE!</v>
      </c>
      <c r="AQ584" s="1759">
        <f t="shared" si="68"/>
        <v>581</v>
      </c>
      <c r="AR584" s="1756" t="e">
        <f>0.5*(S18+2*AQ584)*LN(1+2*AQ584/S18)</f>
        <v>#VALUE!</v>
      </c>
    </row>
    <row r="585" spans="42:44">
      <c r="AP585" s="1756" t="e">
        <f>IF(OR(AR585=S13,AR585&gt;S13),AR585,"")</f>
        <v>#VALUE!</v>
      </c>
      <c r="AQ585" s="1759">
        <f t="shared" si="68"/>
        <v>582</v>
      </c>
      <c r="AR585" s="1756" t="e">
        <f>0.5*(S18+2*AQ585)*LN(1+2*AQ585/S18)</f>
        <v>#VALUE!</v>
      </c>
    </row>
    <row r="586" spans="42:44">
      <c r="AP586" s="1756" t="e">
        <f>IF(OR(AR586=S13,AR586&gt;S13),AR586,"")</f>
        <v>#VALUE!</v>
      </c>
      <c r="AQ586" s="1759">
        <f t="shared" si="68"/>
        <v>583</v>
      </c>
      <c r="AR586" s="1756" t="e">
        <f>0.5*(S18+2*AQ586)*LN(1+2*AQ586/S18)</f>
        <v>#VALUE!</v>
      </c>
    </row>
    <row r="587" spans="42:44">
      <c r="AP587" s="1756" t="e">
        <f>IF(OR(AR587=S13,AR587&gt;S13),AR587,"")</f>
        <v>#VALUE!</v>
      </c>
      <c r="AQ587" s="1759">
        <f t="shared" si="68"/>
        <v>584</v>
      </c>
      <c r="AR587" s="1756" t="e">
        <f>0.5*(S18+2*AQ587)*LN(1+2*AQ587/S18)</f>
        <v>#VALUE!</v>
      </c>
    </row>
    <row r="588" spans="42:44">
      <c r="AP588" s="1756" t="e">
        <f>IF(OR(AR588=S13,AR588&gt;S13),AR588,"")</f>
        <v>#VALUE!</v>
      </c>
      <c r="AQ588" s="1759">
        <f t="shared" si="68"/>
        <v>585</v>
      </c>
      <c r="AR588" s="1756" t="e">
        <f>0.5*(S18+2*AQ588)*LN(1+2*AQ588/S18)</f>
        <v>#VALUE!</v>
      </c>
    </row>
    <row r="589" spans="42:44">
      <c r="AP589" s="1756" t="e">
        <f>IF(OR(AR589=S13,AR589&gt;S13),AR589,"")</f>
        <v>#VALUE!</v>
      </c>
      <c r="AQ589" s="1759">
        <f t="shared" si="68"/>
        <v>586</v>
      </c>
      <c r="AR589" s="1756" t="e">
        <f>0.5*(S18+2*AQ589)*LN(1+2*AQ589/S18)</f>
        <v>#VALUE!</v>
      </c>
    </row>
    <row r="590" spans="42:44">
      <c r="AP590" s="1756" t="e">
        <f>IF(OR(AR590=S13,AR590&gt;S13),AR590,"")</f>
        <v>#VALUE!</v>
      </c>
      <c r="AQ590" s="1759">
        <f t="shared" si="68"/>
        <v>587</v>
      </c>
      <c r="AR590" s="1756" t="e">
        <f>0.5*(S18+2*AQ590)*LN(1+2*AQ590/S18)</f>
        <v>#VALUE!</v>
      </c>
    </row>
    <row r="591" spans="42:44">
      <c r="AP591" s="1756" t="e">
        <f>IF(OR(AR591=S13,AR591&gt;S13),AR591,"")</f>
        <v>#VALUE!</v>
      </c>
      <c r="AQ591" s="1759">
        <f t="shared" si="68"/>
        <v>588</v>
      </c>
      <c r="AR591" s="1756" t="e">
        <f>0.5*(S18+2*AQ591)*LN(1+2*AQ591/S18)</f>
        <v>#VALUE!</v>
      </c>
    </row>
    <row r="592" spans="42:44">
      <c r="AP592" s="1756" t="e">
        <f>IF(OR(AR592=S13,AR592&gt;S13),AR592,"")</f>
        <v>#VALUE!</v>
      </c>
      <c r="AQ592" s="1759">
        <f t="shared" si="68"/>
        <v>589</v>
      </c>
      <c r="AR592" s="1756" t="e">
        <f>0.5*(S18+2*AQ592)*LN(1+2*AQ592/S18)</f>
        <v>#VALUE!</v>
      </c>
    </row>
    <row r="593" spans="42:44">
      <c r="AP593" s="1756" t="e">
        <f>IF(OR(AR593=S13,AR593&gt;S13),AR593,"")</f>
        <v>#VALUE!</v>
      </c>
      <c r="AQ593" s="1759">
        <f t="shared" si="68"/>
        <v>590</v>
      </c>
      <c r="AR593" s="1756" t="e">
        <f>0.5*(S18+2*AQ593)*LN(1+2*AQ593/S18)</f>
        <v>#VALUE!</v>
      </c>
    </row>
    <row r="594" spans="42:44">
      <c r="AP594" s="1756" t="e">
        <f>IF(OR(AR594=S13,AR594&gt;S13),AR594,"")</f>
        <v>#VALUE!</v>
      </c>
      <c r="AQ594" s="1759">
        <f t="shared" si="68"/>
        <v>591</v>
      </c>
      <c r="AR594" s="1756" t="e">
        <f>0.5*(S18+2*AQ594)*LN(1+2*AQ594/S18)</f>
        <v>#VALUE!</v>
      </c>
    </row>
    <row r="595" spans="42:44">
      <c r="AP595" s="1756" t="e">
        <f>IF(OR(AR595=S13,AR595&gt;S13),AR595,"")</f>
        <v>#VALUE!</v>
      </c>
      <c r="AQ595" s="1759">
        <f t="shared" si="68"/>
        <v>592</v>
      </c>
      <c r="AR595" s="1756" t="e">
        <f>0.5*(S18+2*AQ595)*LN(1+2*AQ595/S18)</f>
        <v>#VALUE!</v>
      </c>
    </row>
    <row r="596" spans="42:44">
      <c r="AP596" s="1756" t="e">
        <f>IF(OR(AR596=S13,AR596&gt;S13),AR596,"")</f>
        <v>#VALUE!</v>
      </c>
      <c r="AQ596" s="1759">
        <f t="shared" si="68"/>
        <v>593</v>
      </c>
      <c r="AR596" s="1756" t="e">
        <f>0.5*(S18+2*AQ596)*LN(1+2*AQ596/S18)</f>
        <v>#VALUE!</v>
      </c>
    </row>
    <row r="597" spans="42:44">
      <c r="AP597" s="1756" t="e">
        <f>IF(OR(AR597=S13,AR597&gt;S13),AR597,"")</f>
        <v>#VALUE!</v>
      </c>
      <c r="AQ597" s="1759">
        <f t="shared" si="68"/>
        <v>594</v>
      </c>
      <c r="AR597" s="1756" t="e">
        <f>0.5*(S18+2*AQ597)*LN(1+2*AQ597/S18)</f>
        <v>#VALUE!</v>
      </c>
    </row>
    <row r="598" spans="42:44">
      <c r="AP598" s="1756" t="e">
        <f>IF(OR(AR598=S13,AR598&gt;S13),AR598,"")</f>
        <v>#VALUE!</v>
      </c>
      <c r="AQ598" s="1759">
        <f t="shared" si="68"/>
        <v>595</v>
      </c>
      <c r="AR598" s="1756" t="e">
        <f>0.5*(S18+2*AQ598)*LN(1+2*AQ598/S18)</f>
        <v>#VALUE!</v>
      </c>
    </row>
    <row r="599" spans="42:44">
      <c r="AP599" s="1756" t="e">
        <f>IF(OR(AR599=S13,AR599&gt;S13),AR599,"")</f>
        <v>#VALUE!</v>
      </c>
      <c r="AQ599" s="1759">
        <f t="shared" si="68"/>
        <v>596</v>
      </c>
      <c r="AR599" s="1756" t="e">
        <f>0.5*(S18+2*AQ599)*LN(1+2*AQ599/S18)</f>
        <v>#VALUE!</v>
      </c>
    </row>
    <row r="600" spans="42:44">
      <c r="AP600" s="1756" t="e">
        <f>IF(OR(AR600=S13,AR600&gt;S13),AR600,"")</f>
        <v>#VALUE!</v>
      </c>
      <c r="AQ600" s="1759">
        <f t="shared" si="68"/>
        <v>597</v>
      </c>
      <c r="AR600" s="1756" t="e">
        <f>0.5*(S18+2*AQ600)*LN(1+2*AQ600/S18)</f>
        <v>#VALUE!</v>
      </c>
    </row>
    <row r="601" spans="42:44">
      <c r="AP601" s="1756" t="e">
        <f>IF(OR(AR601=S13,AR601&gt;S13),AR601,"")</f>
        <v>#VALUE!</v>
      </c>
      <c r="AQ601" s="1759">
        <f t="shared" si="68"/>
        <v>598</v>
      </c>
      <c r="AR601" s="1756" t="e">
        <f>0.5*(S18+2*AQ601)*LN(1+2*AQ601/S18)</f>
        <v>#VALUE!</v>
      </c>
    </row>
    <row r="602" spans="42:44">
      <c r="AP602" s="1756" t="e">
        <f>IF(OR(AR602=S13,AR602&gt;S13),AR602,"")</f>
        <v>#VALUE!</v>
      </c>
      <c r="AQ602" s="1759">
        <f t="shared" si="68"/>
        <v>599</v>
      </c>
      <c r="AR602" s="1756" t="e">
        <f>0.5*(S18+2*AQ602)*LN(1+2*AQ602/S18)</f>
        <v>#VALUE!</v>
      </c>
    </row>
    <row r="603" spans="42:44">
      <c r="AP603" s="1756" t="e">
        <f>IF(OR(AR603=S13,AR603&gt;S13),AR603,"")</f>
        <v>#VALUE!</v>
      </c>
      <c r="AQ603" s="1759">
        <f t="shared" si="68"/>
        <v>600</v>
      </c>
      <c r="AR603" s="1756" t="e">
        <f>0.5*(S18+2*AQ603)*LN(1+2*AQ603/S18)</f>
        <v>#VALUE!</v>
      </c>
    </row>
    <row r="604" spans="42:44">
      <c r="AP604" s="1756" t="e">
        <f>IF(OR(AR604=S13,AR604&gt;S13),AR604,"")</f>
        <v>#VALUE!</v>
      </c>
      <c r="AQ604" s="1759">
        <f t="shared" si="68"/>
        <v>601</v>
      </c>
      <c r="AR604" s="1756" t="e">
        <f>0.5*(S18+2*AQ604)*LN(1+2*AQ604/S18)</f>
        <v>#VALUE!</v>
      </c>
    </row>
    <row r="605" spans="42:44">
      <c r="AP605" s="1756" t="e">
        <f>IF(OR(AR605=S13,AR605&gt;S13),AR605,"")</f>
        <v>#VALUE!</v>
      </c>
      <c r="AQ605" s="1759">
        <f t="shared" si="68"/>
        <v>602</v>
      </c>
      <c r="AR605" s="1756" t="e">
        <f>0.5*(S18+2*AQ605)*LN(1+2*AQ605/S18)</f>
        <v>#VALUE!</v>
      </c>
    </row>
    <row r="606" spans="42:44">
      <c r="AP606" s="1756" t="e">
        <f>IF(OR(AR606=S13,AR606&gt;S13),AR606,"")</f>
        <v>#VALUE!</v>
      </c>
      <c r="AQ606" s="1759">
        <f t="shared" si="68"/>
        <v>603</v>
      </c>
      <c r="AR606" s="1756" t="e">
        <f>0.5*(S18+2*AQ606)*LN(1+2*AQ606/S18)</f>
        <v>#VALUE!</v>
      </c>
    </row>
    <row r="607" spans="42:44">
      <c r="AP607" s="1756" t="e">
        <f>IF(OR(AR607=S13,AR607&gt;S13),AR607,"")</f>
        <v>#VALUE!</v>
      </c>
      <c r="AQ607" s="1759">
        <f t="shared" si="68"/>
        <v>604</v>
      </c>
      <c r="AR607" s="1756" t="e">
        <f>0.5*(S18+2*AQ607)*LN(1+2*AQ607/S18)</f>
        <v>#VALUE!</v>
      </c>
    </row>
    <row r="608" spans="42:44">
      <c r="AP608" s="1756" t="e">
        <f>IF(OR(AR608=S13,AR608&gt;S13),AR608,"")</f>
        <v>#VALUE!</v>
      </c>
      <c r="AQ608" s="1759">
        <f t="shared" si="68"/>
        <v>605</v>
      </c>
      <c r="AR608" s="1756" t="e">
        <f>0.5*(S18+2*AQ608)*LN(1+2*AQ608/S18)</f>
        <v>#VALUE!</v>
      </c>
    </row>
    <row r="609" spans="42:44">
      <c r="AP609" s="1756" t="e">
        <f>IF(OR(AR609=S13,AR609&gt;S13),AR609,"")</f>
        <v>#VALUE!</v>
      </c>
      <c r="AQ609" s="1759">
        <f t="shared" si="68"/>
        <v>606</v>
      </c>
      <c r="AR609" s="1756" t="e">
        <f>0.5*(S18+2*AQ609)*LN(1+2*AQ609/S18)</f>
        <v>#VALUE!</v>
      </c>
    </row>
    <row r="610" spans="42:44">
      <c r="AP610" s="1756" t="e">
        <f>IF(OR(AR610=S13,AR610&gt;S13),AR610,"")</f>
        <v>#VALUE!</v>
      </c>
      <c r="AQ610" s="1759">
        <f t="shared" si="68"/>
        <v>607</v>
      </c>
      <c r="AR610" s="1756" t="e">
        <f>0.5*(S18+2*AQ610)*LN(1+2*AQ610/S18)</f>
        <v>#VALUE!</v>
      </c>
    </row>
    <row r="611" spans="42:44">
      <c r="AP611" s="1756" t="e">
        <f>IF(OR(AR611=S13,AR611&gt;S13),AR611,"")</f>
        <v>#VALUE!</v>
      </c>
      <c r="AQ611" s="1759">
        <f t="shared" si="68"/>
        <v>608</v>
      </c>
      <c r="AR611" s="1756" t="e">
        <f>0.5*(S18+2*AQ611)*LN(1+2*AQ611/S18)</f>
        <v>#VALUE!</v>
      </c>
    </row>
    <row r="612" spans="42:44">
      <c r="AP612" s="1756" t="e">
        <f>IF(OR(AR612=S13,AR612&gt;S13),AR612,"")</f>
        <v>#VALUE!</v>
      </c>
      <c r="AQ612" s="1759">
        <f t="shared" si="68"/>
        <v>609</v>
      </c>
      <c r="AR612" s="1756" t="e">
        <f>0.5*(S18+2*AQ612)*LN(1+2*AQ612/S18)</f>
        <v>#VALUE!</v>
      </c>
    </row>
    <row r="613" spans="42:44">
      <c r="AP613" s="1756" t="e">
        <f>IF(OR(AR613=S13,AR613&gt;S13),AR613,"")</f>
        <v>#VALUE!</v>
      </c>
      <c r="AQ613" s="1759">
        <f t="shared" si="68"/>
        <v>610</v>
      </c>
      <c r="AR613" s="1756" t="e">
        <f>0.5*(S18+2*AQ613)*LN(1+2*AQ613/S18)</f>
        <v>#VALUE!</v>
      </c>
    </row>
    <row r="614" spans="42:44">
      <c r="AP614" s="1756" t="e">
        <f>IF(OR(AR614=S13,AR614&gt;S13),AR614,"")</f>
        <v>#VALUE!</v>
      </c>
      <c r="AQ614" s="1759">
        <f t="shared" si="68"/>
        <v>611</v>
      </c>
      <c r="AR614" s="1756" t="e">
        <f>0.5*(S18+2*AQ614)*LN(1+2*AQ614/S18)</f>
        <v>#VALUE!</v>
      </c>
    </row>
    <row r="615" spans="42:44">
      <c r="AP615" s="1756" t="e">
        <f>IF(OR(AR615=S13,AR615&gt;S13),AR615,"")</f>
        <v>#VALUE!</v>
      </c>
      <c r="AQ615" s="1759">
        <f t="shared" si="68"/>
        <v>612</v>
      </c>
      <c r="AR615" s="1756" t="e">
        <f>0.5*(S18+2*AQ615)*LN(1+2*AQ615/S18)</f>
        <v>#VALUE!</v>
      </c>
    </row>
    <row r="616" spans="42:44">
      <c r="AP616" s="1756" t="e">
        <f>IF(OR(AR616=S13,AR616&gt;S13),AR616,"")</f>
        <v>#VALUE!</v>
      </c>
      <c r="AQ616" s="1759">
        <f t="shared" si="68"/>
        <v>613</v>
      </c>
      <c r="AR616" s="1756" t="e">
        <f>0.5*(S18+2*AQ616)*LN(1+2*AQ616/S18)</f>
        <v>#VALUE!</v>
      </c>
    </row>
    <row r="617" spans="42:44">
      <c r="AP617" s="1756" t="e">
        <f>IF(OR(AR617=S13,AR617&gt;S13),AR617,"")</f>
        <v>#VALUE!</v>
      </c>
      <c r="AQ617" s="1759">
        <f t="shared" si="68"/>
        <v>614</v>
      </c>
      <c r="AR617" s="1756" t="e">
        <f>0.5*(S18+2*AQ617)*LN(1+2*AQ617/S18)</f>
        <v>#VALUE!</v>
      </c>
    </row>
    <row r="618" spans="42:44">
      <c r="AP618" s="1756" t="e">
        <f>IF(OR(AR618=S13,AR618&gt;S13),AR618,"")</f>
        <v>#VALUE!</v>
      </c>
      <c r="AQ618" s="1759">
        <f t="shared" si="68"/>
        <v>615</v>
      </c>
      <c r="AR618" s="1756" t="e">
        <f>0.5*(S18+2*AQ618)*LN(1+2*AQ618/S18)</f>
        <v>#VALUE!</v>
      </c>
    </row>
    <row r="619" spans="42:44">
      <c r="AP619" s="1756" t="e">
        <f>IF(OR(AR619=S13,AR619&gt;S13),AR619,"")</f>
        <v>#VALUE!</v>
      </c>
      <c r="AQ619" s="1759">
        <f t="shared" si="68"/>
        <v>616</v>
      </c>
      <c r="AR619" s="1756" t="e">
        <f>0.5*(S18+2*AQ619)*LN(1+2*AQ619/S18)</f>
        <v>#VALUE!</v>
      </c>
    </row>
    <row r="620" spans="42:44">
      <c r="AP620" s="1756" t="e">
        <f>IF(OR(AR620=S13,AR620&gt;S13),AR620,"")</f>
        <v>#VALUE!</v>
      </c>
      <c r="AQ620" s="1759">
        <f t="shared" si="68"/>
        <v>617</v>
      </c>
      <c r="AR620" s="1756" t="e">
        <f>0.5*(S18+2*AQ620)*LN(1+2*AQ620/S18)</f>
        <v>#VALUE!</v>
      </c>
    </row>
    <row r="621" spans="42:44">
      <c r="AP621" s="1756" t="e">
        <f>IF(OR(AR621=S13,AR621&gt;S13),AR621,"")</f>
        <v>#VALUE!</v>
      </c>
      <c r="AQ621" s="1759">
        <f t="shared" si="68"/>
        <v>618</v>
      </c>
      <c r="AR621" s="1756" t="e">
        <f>0.5*(S18+2*AQ621)*LN(1+2*AQ621/S18)</f>
        <v>#VALUE!</v>
      </c>
    </row>
    <row r="622" spans="42:44">
      <c r="AP622" s="1756" t="e">
        <f>IF(OR(AR622=S13,AR622&gt;S13),AR622,"")</f>
        <v>#VALUE!</v>
      </c>
      <c r="AQ622" s="1759">
        <f t="shared" si="68"/>
        <v>619</v>
      </c>
      <c r="AR622" s="1756" t="e">
        <f>0.5*(S18+2*AQ622)*LN(1+2*AQ622/S18)</f>
        <v>#VALUE!</v>
      </c>
    </row>
    <row r="623" spans="42:44">
      <c r="AP623" s="1756" t="e">
        <f>IF(OR(AR623=S13,AR623&gt;S13),AR623,"")</f>
        <v>#VALUE!</v>
      </c>
      <c r="AQ623" s="1759">
        <f t="shared" si="68"/>
        <v>620</v>
      </c>
      <c r="AR623" s="1756" t="e">
        <f>0.5*(S18+2*AQ623)*LN(1+2*AQ623/S18)</f>
        <v>#VALUE!</v>
      </c>
    </row>
    <row r="624" spans="42:44">
      <c r="AP624" s="1756" t="e">
        <f>IF(OR(AR624=S13,AR624&gt;S13),AR624,"")</f>
        <v>#VALUE!</v>
      </c>
      <c r="AQ624" s="1759">
        <f t="shared" si="68"/>
        <v>621</v>
      </c>
      <c r="AR624" s="1756" t="e">
        <f>0.5*(S18+2*AQ624)*LN(1+2*AQ624/S18)</f>
        <v>#VALUE!</v>
      </c>
    </row>
    <row r="625" spans="42:44">
      <c r="AP625" s="1756" t="e">
        <f>IF(OR(AR625=S13,AR625&gt;S13),AR625,"")</f>
        <v>#VALUE!</v>
      </c>
      <c r="AQ625" s="1759">
        <f t="shared" si="68"/>
        <v>622</v>
      </c>
      <c r="AR625" s="1756" t="e">
        <f>0.5*(S18+2*AQ625)*LN(1+2*AQ625/S18)</f>
        <v>#VALUE!</v>
      </c>
    </row>
    <row r="626" spans="42:44">
      <c r="AP626" s="1756" t="e">
        <f>IF(OR(AR626=S13,AR626&gt;S13),AR626,"")</f>
        <v>#VALUE!</v>
      </c>
      <c r="AQ626" s="1759">
        <f t="shared" si="68"/>
        <v>623</v>
      </c>
      <c r="AR626" s="1756" t="e">
        <f>0.5*(S18+2*AQ626)*LN(1+2*AQ626/S18)</f>
        <v>#VALUE!</v>
      </c>
    </row>
    <row r="627" spans="42:44">
      <c r="AP627" s="1756" t="e">
        <f>IF(OR(AR627=S13,AR627&gt;S13),AR627,"")</f>
        <v>#VALUE!</v>
      </c>
      <c r="AQ627" s="1759">
        <f t="shared" si="68"/>
        <v>624</v>
      </c>
      <c r="AR627" s="1756" t="e">
        <f>0.5*(S18+2*AQ627)*LN(1+2*AQ627/S18)</f>
        <v>#VALUE!</v>
      </c>
    </row>
    <row r="628" spans="42:44">
      <c r="AP628" s="1756" t="e">
        <f>IF(OR(AR628=S13,AR628&gt;S13),AR628,"")</f>
        <v>#VALUE!</v>
      </c>
      <c r="AQ628" s="1759">
        <f t="shared" si="68"/>
        <v>625</v>
      </c>
      <c r="AR628" s="1756" t="e">
        <f>0.5*(S18+2*AQ628)*LN(1+2*AQ628/S18)</f>
        <v>#VALUE!</v>
      </c>
    </row>
    <row r="629" spans="42:44">
      <c r="AP629" s="1756" t="e">
        <f>IF(OR(AR629=S13,AR629&gt;S13),AR629,"")</f>
        <v>#VALUE!</v>
      </c>
      <c r="AQ629" s="1759">
        <f t="shared" si="68"/>
        <v>626</v>
      </c>
      <c r="AR629" s="1756" t="e">
        <f>0.5*(S18+2*AQ629)*LN(1+2*AQ629/S18)</f>
        <v>#VALUE!</v>
      </c>
    </row>
    <row r="630" spans="42:44">
      <c r="AP630" s="1756" t="e">
        <f>IF(OR(AR630=S13,AR630&gt;S13),AR630,"")</f>
        <v>#VALUE!</v>
      </c>
      <c r="AQ630" s="1759">
        <f t="shared" si="68"/>
        <v>627</v>
      </c>
      <c r="AR630" s="1756" t="e">
        <f>0.5*(S18+2*AQ630)*LN(1+2*AQ630/S18)</f>
        <v>#VALUE!</v>
      </c>
    </row>
    <row r="631" spans="42:44">
      <c r="AP631" s="1756" t="e">
        <f>IF(OR(AR631=S13,AR631&gt;S13),AR631,"")</f>
        <v>#VALUE!</v>
      </c>
      <c r="AQ631" s="1759">
        <f t="shared" si="68"/>
        <v>628</v>
      </c>
      <c r="AR631" s="1756" t="e">
        <f>0.5*(S18+2*AQ631)*LN(1+2*AQ631/S18)</f>
        <v>#VALUE!</v>
      </c>
    </row>
    <row r="632" spans="42:44">
      <c r="AP632" s="1756" t="e">
        <f>IF(OR(AR632=S13,AR632&gt;S13),AR632,"")</f>
        <v>#VALUE!</v>
      </c>
      <c r="AQ632" s="1759">
        <f t="shared" si="68"/>
        <v>629</v>
      </c>
      <c r="AR632" s="1756" t="e">
        <f>0.5*(S18+2*AQ632)*LN(1+2*AQ632/S18)</f>
        <v>#VALUE!</v>
      </c>
    </row>
    <row r="633" spans="42:44">
      <c r="AP633" s="1756" t="e">
        <f>IF(OR(AR633=S13,AR633&gt;S13),AR633,"")</f>
        <v>#VALUE!</v>
      </c>
      <c r="AQ633" s="1759">
        <f t="shared" si="68"/>
        <v>630</v>
      </c>
      <c r="AR633" s="1756" t="e">
        <f>0.5*(S18+2*AQ633)*LN(1+2*AQ633/S18)</f>
        <v>#VALUE!</v>
      </c>
    </row>
    <row r="634" spans="42:44">
      <c r="AP634" s="1756" t="e">
        <f>IF(OR(AR634=S13,AR634&gt;S13),AR634,"")</f>
        <v>#VALUE!</v>
      </c>
      <c r="AQ634" s="1759">
        <f t="shared" si="68"/>
        <v>631</v>
      </c>
      <c r="AR634" s="1756" t="e">
        <f>0.5*(S18+2*AQ634)*LN(1+2*AQ634/S18)</f>
        <v>#VALUE!</v>
      </c>
    </row>
    <row r="635" spans="42:44">
      <c r="AP635" s="1756" t="e">
        <f>IF(OR(AR635=S13,AR635&gt;S13),AR635,"")</f>
        <v>#VALUE!</v>
      </c>
      <c r="AQ635" s="1759">
        <f t="shared" si="68"/>
        <v>632</v>
      </c>
      <c r="AR635" s="1756" t="e">
        <f>0.5*(S18+2*AQ635)*LN(1+2*AQ635/S18)</f>
        <v>#VALUE!</v>
      </c>
    </row>
    <row r="636" spans="42:44">
      <c r="AP636" s="1756" t="e">
        <f>IF(OR(AR636=S13,AR636&gt;S13),AR636,"")</f>
        <v>#VALUE!</v>
      </c>
      <c r="AQ636" s="1759">
        <f t="shared" si="68"/>
        <v>633</v>
      </c>
      <c r="AR636" s="1756" t="e">
        <f>0.5*(S18+2*AQ636)*LN(1+2*AQ636/S18)</f>
        <v>#VALUE!</v>
      </c>
    </row>
    <row r="637" spans="42:44">
      <c r="AP637" s="1756" t="e">
        <f>IF(OR(AR637=S13,AR637&gt;S13),AR637,"")</f>
        <v>#VALUE!</v>
      </c>
      <c r="AQ637" s="1759">
        <f t="shared" si="68"/>
        <v>634</v>
      </c>
      <c r="AR637" s="1756" t="e">
        <f>0.5*(S18+2*AQ637)*LN(1+2*AQ637/S18)</f>
        <v>#VALUE!</v>
      </c>
    </row>
    <row r="638" spans="42:44">
      <c r="AP638" s="1756" t="e">
        <f>IF(OR(AR638=S13,AR638&gt;S13),AR638,"")</f>
        <v>#VALUE!</v>
      </c>
      <c r="AQ638" s="1759">
        <f t="shared" si="68"/>
        <v>635</v>
      </c>
      <c r="AR638" s="1756" t="e">
        <f>0.5*(S18+2*AQ638)*LN(1+2*AQ638/S18)</f>
        <v>#VALUE!</v>
      </c>
    </row>
    <row r="639" spans="42:44">
      <c r="AP639" s="1756" t="e">
        <f>IF(OR(AR639=S13,AR639&gt;S13),AR639,"")</f>
        <v>#VALUE!</v>
      </c>
      <c r="AQ639" s="1759">
        <f t="shared" si="68"/>
        <v>636</v>
      </c>
      <c r="AR639" s="1756" t="e">
        <f>0.5*(S18+2*AQ639)*LN(1+2*AQ639/S18)</f>
        <v>#VALUE!</v>
      </c>
    </row>
    <row r="640" spans="42:44">
      <c r="AP640" s="1756" t="e">
        <f>IF(OR(AR640=S13,AR640&gt;S13),AR640,"")</f>
        <v>#VALUE!</v>
      </c>
      <c r="AQ640" s="1759">
        <f t="shared" si="68"/>
        <v>637</v>
      </c>
      <c r="AR640" s="1756" t="e">
        <f>0.5*(S18+2*AQ640)*LN(1+2*AQ640/S18)</f>
        <v>#VALUE!</v>
      </c>
    </row>
    <row r="641" spans="42:44">
      <c r="AP641" s="1756" t="e">
        <f>IF(OR(AR641=S13,AR641&gt;S13),AR641,"")</f>
        <v>#VALUE!</v>
      </c>
      <c r="AQ641" s="1759">
        <f t="shared" si="68"/>
        <v>638</v>
      </c>
      <c r="AR641" s="1756" t="e">
        <f>0.5*(S18+2*AQ641)*LN(1+2*AQ641/S18)</f>
        <v>#VALUE!</v>
      </c>
    </row>
    <row r="642" spans="42:44">
      <c r="AP642" s="1756" t="e">
        <f>IF(OR(AR642=S13,AR642&gt;S13),AR642,"")</f>
        <v>#VALUE!</v>
      </c>
      <c r="AQ642" s="1759">
        <f t="shared" si="68"/>
        <v>639</v>
      </c>
      <c r="AR642" s="1756" t="e">
        <f>0.5*(S18+2*AQ642)*LN(1+2*AQ642/S18)</f>
        <v>#VALUE!</v>
      </c>
    </row>
    <row r="643" spans="42:44">
      <c r="AP643" s="1756" t="e">
        <f>IF(OR(AR643=S13,AR643&gt;S13),AR643,"")</f>
        <v>#VALUE!</v>
      </c>
      <c r="AQ643" s="1759">
        <f t="shared" si="68"/>
        <v>640</v>
      </c>
      <c r="AR643" s="1756" t="e">
        <f>0.5*(S18+2*AQ643)*LN(1+2*AQ643/S18)</f>
        <v>#VALUE!</v>
      </c>
    </row>
    <row r="644" spans="42:44">
      <c r="AP644" s="1756" t="e">
        <f>IF(OR(AR644=S13,AR644&gt;S13),AR644,"")</f>
        <v>#VALUE!</v>
      </c>
      <c r="AQ644" s="1759">
        <f t="shared" si="68"/>
        <v>641</v>
      </c>
      <c r="AR644" s="1756" t="e">
        <f>0.5*(S18+2*AQ644)*LN(1+2*AQ644/S18)</f>
        <v>#VALUE!</v>
      </c>
    </row>
    <row r="645" spans="42:44">
      <c r="AP645" s="1756" t="e">
        <f>IF(OR(AR645=S13,AR645&gt;S13),AR645,"")</f>
        <v>#VALUE!</v>
      </c>
      <c r="AQ645" s="1759">
        <f t="shared" si="68"/>
        <v>642</v>
      </c>
      <c r="AR645" s="1756" t="e">
        <f>0.5*(S18+2*AQ645)*LN(1+2*AQ645/S18)</f>
        <v>#VALUE!</v>
      </c>
    </row>
    <row r="646" spans="42:44">
      <c r="AP646" s="1756" t="e">
        <f>IF(OR(AR646=S13,AR646&gt;S13),AR646,"")</f>
        <v>#VALUE!</v>
      </c>
      <c r="AQ646" s="1759">
        <f t="shared" ref="AQ646:AQ709" si="69">AQ645+1</f>
        <v>643</v>
      </c>
      <c r="AR646" s="1756" t="e">
        <f>0.5*(S18+2*AQ646)*LN(1+2*AQ646/S18)</f>
        <v>#VALUE!</v>
      </c>
    </row>
    <row r="647" spans="42:44">
      <c r="AP647" s="1756" t="e">
        <f>IF(OR(AR647=S13,AR647&gt;S13),AR647,"")</f>
        <v>#VALUE!</v>
      </c>
      <c r="AQ647" s="1759">
        <f t="shared" si="69"/>
        <v>644</v>
      </c>
      <c r="AR647" s="1756" t="e">
        <f>0.5*(S18+2*AQ647)*LN(1+2*AQ647/S18)</f>
        <v>#VALUE!</v>
      </c>
    </row>
    <row r="648" spans="42:44">
      <c r="AP648" s="1756" t="e">
        <f>IF(OR(AR648=S13,AR648&gt;S13),AR648,"")</f>
        <v>#VALUE!</v>
      </c>
      <c r="AQ648" s="1759">
        <f t="shared" si="69"/>
        <v>645</v>
      </c>
      <c r="AR648" s="1756" t="e">
        <f>0.5*(S18+2*AQ648)*LN(1+2*AQ648/S18)</f>
        <v>#VALUE!</v>
      </c>
    </row>
    <row r="649" spans="42:44">
      <c r="AP649" s="1756" t="e">
        <f>IF(OR(AR649=S13,AR649&gt;S13),AR649,"")</f>
        <v>#VALUE!</v>
      </c>
      <c r="AQ649" s="1759">
        <f t="shared" si="69"/>
        <v>646</v>
      </c>
      <c r="AR649" s="1756" t="e">
        <f>0.5*(S18+2*AQ649)*LN(1+2*AQ649/S18)</f>
        <v>#VALUE!</v>
      </c>
    </row>
    <row r="650" spans="42:44">
      <c r="AP650" s="1756" t="e">
        <f>IF(OR(AR650=S13,AR650&gt;S13),AR650,"")</f>
        <v>#VALUE!</v>
      </c>
      <c r="AQ650" s="1759">
        <f t="shared" si="69"/>
        <v>647</v>
      </c>
      <c r="AR650" s="1756" t="e">
        <f>0.5*(S18+2*AQ650)*LN(1+2*AQ650/S18)</f>
        <v>#VALUE!</v>
      </c>
    </row>
    <row r="651" spans="42:44">
      <c r="AP651" s="1756" t="e">
        <f>IF(OR(AR651=S13,AR651&gt;S13),AR651,"")</f>
        <v>#VALUE!</v>
      </c>
      <c r="AQ651" s="1759">
        <f t="shared" si="69"/>
        <v>648</v>
      </c>
      <c r="AR651" s="1756" t="e">
        <f>0.5*(S18+2*AQ651)*LN(1+2*AQ651/S18)</f>
        <v>#VALUE!</v>
      </c>
    </row>
    <row r="652" spans="42:44">
      <c r="AP652" s="1756" t="e">
        <f>IF(OR(AR652=S13,AR652&gt;S13),AR652,"")</f>
        <v>#VALUE!</v>
      </c>
      <c r="AQ652" s="1759">
        <f t="shared" si="69"/>
        <v>649</v>
      </c>
      <c r="AR652" s="1756" t="e">
        <f>0.5*(S18+2*AQ652)*LN(1+2*AQ652/S18)</f>
        <v>#VALUE!</v>
      </c>
    </row>
    <row r="653" spans="42:44">
      <c r="AP653" s="1756" t="e">
        <f>IF(OR(AR653=S13,AR653&gt;S13),AR653,"")</f>
        <v>#VALUE!</v>
      </c>
      <c r="AQ653" s="1759">
        <f t="shared" si="69"/>
        <v>650</v>
      </c>
      <c r="AR653" s="1756" t="e">
        <f>0.5*(S18+2*AQ653)*LN(1+2*AQ653/S18)</f>
        <v>#VALUE!</v>
      </c>
    </row>
    <row r="654" spans="42:44">
      <c r="AP654" s="1756" t="e">
        <f>IF(OR(AR654=S13,AR654&gt;S13),AR654,"")</f>
        <v>#VALUE!</v>
      </c>
      <c r="AQ654" s="1759">
        <f t="shared" si="69"/>
        <v>651</v>
      </c>
      <c r="AR654" s="1756" t="e">
        <f>0.5*(S18+2*AQ654)*LN(1+2*AQ654/S18)</f>
        <v>#VALUE!</v>
      </c>
    </row>
    <row r="655" spans="42:44">
      <c r="AP655" s="1756" t="e">
        <f>IF(OR(AR655=S13,AR655&gt;S13),AR655,"")</f>
        <v>#VALUE!</v>
      </c>
      <c r="AQ655" s="1759">
        <f t="shared" si="69"/>
        <v>652</v>
      </c>
      <c r="AR655" s="1756" t="e">
        <f>0.5*(S18+2*AQ655)*LN(1+2*AQ655/S18)</f>
        <v>#VALUE!</v>
      </c>
    </row>
    <row r="656" spans="42:44">
      <c r="AP656" s="1756" t="e">
        <f>IF(OR(AR656=S13,AR656&gt;S13),AR656,"")</f>
        <v>#VALUE!</v>
      </c>
      <c r="AQ656" s="1759">
        <f t="shared" si="69"/>
        <v>653</v>
      </c>
      <c r="AR656" s="1756" t="e">
        <f>0.5*(S18+2*AQ656)*LN(1+2*AQ656/S18)</f>
        <v>#VALUE!</v>
      </c>
    </row>
    <row r="657" spans="42:44">
      <c r="AP657" s="1756" t="e">
        <f>IF(OR(AR657=S13,AR657&gt;S13),AR657,"")</f>
        <v>#VALUE!</v>
      </c>
      <c r="AQ657" s="1759">
        <f t="shared" si="69"/>
        <v>654</v>
      </c>
      <c r="AR657" s="1756" t="e">
        <f>0.5*(S18+2*AQ657)*LN(1+2*AQ657/S18)</f>
        <v>#VALUE!</v>
      </c>
    </row>
    <row r="658" spans="42:44">
      <c r="AP658" s="1756" t="e">
        <f>IF(OR(AR658=S13,AR658&gt;S13),AR658,"")</f>
        <v>#VALUE!</v>
      </c>
      <c r="AQ658" s="1759">
        <f t="shared" si="69"/>
        <v>655</v>
      </c>
      <c r="AR658" s="1756" t="e">
        <f>0.5*(S18+2*AQ658)*LN(1+2*AQ658/S18)</f>
        <v>#VALUE!</v>
      </c>
    </row>
    <row r="659" spans="42:44">
      <c r="AP659" s="1756" t="e">
        <f>IF(OR(AR659=S13,AR659&gt;S13),AR659,"")</f>
        <v>#VALUE!</v>
      </c>
      <c r="AQ659" s="1759">
        <f t="shared" si="69"/>
        <v>656</v>
      </c>
      <c r="AR659" s="1756" t="e">
        <f>0.5*(S18+2*AQ659)*LN(1+2*AQ659/S18)</f>
        <v>#VALUE!</v>
      </c>
    </row>
    <row r="660" spans="42:44">
      <c r="AP660" s="1756" t="e">
        <f>IF(OR(AR660=S13,AR660&gt;S13),AR660,"")</f>
        <v>#VALUE!</v>
      </c>
      <c r="AQ660" s="1759">
        <f t="shared" si="69"/>
        <v>657</v>
      </c>
      <c r="AR660" s="1756" t="e">
        <f>0.5*(S18+2*AQ660)*LN(1+2*AQ660/S18)</f>
        <v>#VALUE!</v>
      </c>
    </row>
    <row r="661" spans="42:44">
      <c r="AP661" s="1756" t="e">
        <f>IF(OR(AR661=S13,AR661&gt;S13),AR661,"")</f>
        <v>#VALUE!</v>
      </c>
      <c r="AQ661" s="1759">
        <f t="shared" si="69"/>
        <v>658</v>
      </c>
      <c r="AR661" s="1756" t="e">
        <f>0.5*(S18+2*AQ661)*LN(1+2*AQ661/S18)</f>
        <v>#VALUE!</v>
      </c>
    </row>
    <row r="662" spans="42:44">
      <c r="AP662" s="1756" t="e">
        <f>IF(OR(AR662=S13,AR662&gt;S13),AR662,"")</f>
        <v>#VALUE!</v>
      </c>
      <c r="AQ662" s="1759">
        <f t="shared" si="69"/>
        <v>659</v>
      </c>
      <c r="AR662" s="1756" t="e">
        <f>0.5*(S18+2*AQ662)*LN(1+2*AQ662/S18)</f>
        <v>#VALUE!</v>
      </c>
    </row>
    <row r="663" spans="42:44">
      <c r="AP663" s="1756" t="e">
        <f>IF(OR(AR663=S13,AR663&gt;S13),AR663,"")</f>
        <v>#VALUE!</v>
      </c>
      <c r="AQ663" s="1759">
        <f t="shared" si="69"/>
        <v>660</v>
      </c>
      <c r="AR663" s="1756" t="e">
        <f>0.5*(S18+2*AQ663)*LN(1+2*AQ663/S18)</f>
        <v>#VALUE!</v>
      </c>
    </row>
    <row r="664" spans="42:44">
      <c r="AP664" s="1756" t="e">
        <f>IF(OR(AR664=S13,AR664&gt;S13),AR664,"")</f>
        <v>#VALUE!</v>
      </c>
      <c r="AQ664" s="1759">
        <f t="shared" si="69"/>
        <v>661</v>
      </c>
      <c r="AR664" s="1756" t="e">
        <f>0.5*(S18+2*AQ664)*LN(1+2*AQ664/S18)</f>
        <v>#VALUE!</v>
      </c>
    </row>
    <row r="665" spans="42:44">
      <c r="AP665" s="1756" t="e">
        <f>IF(OR(AR665=S13,AR665&gt;S13),AR665,"")</f>
        <v>#VALUE!</v>
      </c>
      <c r="AQ665" s="1759">
        <f t="shared" si="69"/>
        <v>662</v>
      </c>
      <c r="AR665" s="1756" t="e">
        <f>0.5*(S18+2*AQ665)*LN(1+2*AQ665/S18)</f>
        <v>#VALUE!</v>
      </c>
    </row>
    <row r="666" spans="42:44">
      <c r="AP666" s="1756" t="e">
        <f>IF(OR(AR666=S13,AR666&gt;S13),AR666,"")</f>
        <v>#VALUE!</v>
      </c>
      <c r="AQ666" s="1759">
        <f t="shared" si="69"/>
        <v>663</v>
      </c>
      <c r="AR666" s="1756" t="e">
        <f>0.5*(S18+2*AQ666)*LN(1+2*AQ666/S18)</f>
        <v>#VALUE!</v>
      </c>
    </row>
    <row r="667" spans="42:44">
      <c r="AP667" s="1756" t="e">
        <f>IF(OR(AR667=S13,AR667&gt;S13),AR667,"")</f>
        <v>#VALUE!</v>
      </c>
      <c r="AQ667" s="1759">
        <f t="shared" si="69"/>
        <v>664</v>
      </c>
      <c r="AR667" s="1756" t="e">
        <f>0.5*(S18+2*AQ667)*LN(1+2*AQ667/S18)</f>
        <v>#VALUE!</v>
      </c>
    </row>
    <row r="668" spans="42:44">
      <c r="AP668" s="1756" t="e">
        <f>IF(OR(AR668=S13,AR668&gt;S13),AR668,"")</f>
        <v>#VALUE!</v>
      </c>
      <c r="AQ668" s="1759">
        <f t="shared" si="69"/>
        <v>665</v>
      </c>
      <c r="AR668" s="1756" t="e">
        <f>0.5*(S18+2*AQ668)*LN(1+2*AQ668/S18)</f>
        <v>#VALUE!</v>
      </c>
    </row>
    <row r="669" spans="42:44">
      <c r="AP669" s="1756" t="e">
        <f>IF(OR(AR669=S13,AR669&gt;S13),AR669,"")</f>
        <v>#VALUE!</v>
      </c>
      <c r="AQ669" s="1759">
        <f t="shared" si="69"/>
        <v>666</v>
      </c>
      <c r="AR669" s="1756" t="e">
        <f>0.5*(S18+2*AQ669)*LN(1+2*AQ669/S18)</f>
        <v>#VALUE!</v>
      </c>
    </row>
    <row r="670" spans="42:44">
      <c r="AP670" s="1756" t="e">
        <f>IF(OR(AR670=S13,AR670&gt;S13),AR670,"")</f>
        <v>#VALUE!</v>
      </c>
      <c r="AQ670" s="1759">
        <f t="shared" si="69"/>
        <v>667</v>
      </c>
      <c r="AR670" s="1756" t="e">
        <f>0.5*(S18+2*AQ670)*LN(1+2*AQ670/S18)</f>
        <v>#VALUE!</v>
      </c>
    </row>
    <row r="671" spans="42:44">
      <c r="AP671" s="1756" t="e">
        <f>IF(OR(AR671=S13,AR671&gt;S13),AR671,"")</f>
        <v>#VALUE!</v>
      </c>
      <c r="AQ671" s="1759">
        <f t="shared" si="69"/>
        <v>668</v>
      </c>
      <c r="AR671" s="1756" t="e">
        <f>0.5*(S18+2*AQ671)*LN(1+2*AQ671/S18)</f>
        <v>#VALUE!</v>
      </c>
    </row>
    <row r="672" spans="42:44">
      <c r="AP672" s="1756" t="e">
        <f>IF(OR(AR672=S13,AR672&gt;S13),AR672,"")</f>
        <v>#VALUE!</v>
      </c>
      <c r="AQ672" s="1759">
        <f t="shared" si="69"/>
        <v>669</v>
      </c>
      <c r="AR672" s="1756" t="e">
        <f>0.5*(S18+2*AQ672)*LN(1+2*AQ672/S18)</f>
        <v>#VALUE!</v>
      </c>
    </row>
    <row r="673" spans="42:44">
      <c r="AP673" s="1756" t="e">
        <f>IF(OR(AR673=S13,AR673&gt;S13),AR673,"")</f>
        <v>#VALUE!</v>
      </c>
      <c r="AQ673" s="1759">
        <f t="shared" si="69"/>
        <v>670</v>
      </c>
      <c r="AR673" s="1756" t="e">
        <f>0.5*(S18+2*AQ673)*LN(1+2*AQ673/S18)</f>
        <v>#VALUE!</v>
      </c>
    </row>
    <row r="674" spans="42:44">
      <c r="AP674" s="1756" t="e">
        <f>IF(OR(AR674=S13,AR674&gt;S13),AR674,"")</f>
        <v>#VALUE!</v>
      </c>
      <c r="AQ674" s="1759">
        <f t="shared" si="69"/>
        <v>671</v>
      </c>
      <c r="AR674" s="1756" t="e">
        <f>0.5*(S18+2*AQ674)*LN(1+2*AQ674/S18)</f>
        <v>#VALUE!</v>
      </c>
    </row>
    <row r="675" spans="42:44">
      <c r="AP675" s="1756" t="e">
        <f>IF(OR(AR675=S13,AR675&gt;S13),AR675,"")</f>
        <v>#VALUE!</v>
      </c>
      <c r="AQ675" s="1759">
        <f t="shared" si="69"/>
        <v>672</v>
      </c>
      <c r="AR675" s="1756" t="e">
        <f>0.5*(S18+2*AQ675)*LN(1+2*AQ675/S18)</f>
        <v>#VALUE!</v>
      </c>
    </row>
    <row r="676" spans="42:44">
      <c r="AP676" s="1756" t="e">
        <f>IF(OR(AR676=S13,AR676&gt;S13),AR676,"")</f>
        <v>#VALUE!</v>
      </c>
      <c r="AQ676" s="1759">
        <f t="shared" si="69"/>
        <v>673</v>
      </c>
      <c r="AR676" s="1756" t="e">
        <f>0.5*(S18+2*AQ676)*LN(1+2*AQ676/S18)</f>
        <v>#VALUE!</v>
      </c>
    </row>
    <row r="677" spans="42:44">
      <c r="AP677" s="1756" t="e">
        <f>IF(OR(AR677=S13,AR677&gt;S13),AR677,"")</f>
        <v>#VALUE!</v>
      </c>
      <c r="AQ677" s="1759">
        <f t="shared" si="69"/>
        <v>674</v>
      </c>
      <c r="AR677" s="1756" t="e">
        <f>0.5*(S18+2*AQ677)*LN(1+2*AQ677/S18)</f>
        <v>#VALUE!</v>
      </c>
    </row>
    <row r="678" spans="42:44">
      <c r="AP678" s="1756" t="e">
        <f>IF(OR(AR678=S13,AR678&gt;S13),AR678,"")</f>
        <v>#VALUE!</v>
      </c>
      <c r="AQ678" s="1759">
        <f t="shared" si="69"/>
        <v>675</v>
      </c>
      <c r="AR678" s="1756" t="e">
        <f>0.5*(S18+2*AQ678)*LN(1+2*AQ678/S18)</f>
        <v>#VALUE!</v>
      </c>
    </row>
    <row r="679" spans="42:44">
      <c r="AP679" s="1756" t="e">
        <f>IF(OR(AR679=S13,AR679&gt;S13),AR679,"")</f>
        <v>#VALUE!</v>
      </c>
      <c r="AQ679" s="1759">
        <f t="shared" si="69"/>
        <v>676</v>
      </c>
      <c r="AR679" s="1756" t="e">
        <f>0.5*(S18+2*AQ679)*LN(1+2*AQ679/S18)</f>
        <v>#VALUE!</v>
      </c>
    </row>
    <row r="680" spans="42:44">
      <c r="AP680" s="1756" t="e">
        <f>IF(OR(AR680=S13,AR680&gt;S13),AR680,"")</f>
        <v>#VALUE!</v>
      </c>
      <c r="AQ680" s="1759">
        <f t="shared" si="69"/>
        <v>677</v>
      </c>
      <c r="AR680" s="1756" t="e">
        <f>0.5*(S18+2*AQ680)*LN(1+2*AQ680/S18)</f>
        <v>#VALUE!</v>
      </c>
    </row>
    <row r="681" spans="42:44">
      <c r="AP681" s="1756" t="e">
        <f>IF(OR(AR681=S13,AR681&gt;S13),AR681,"")</f>
        <v>#VALUE!</v>
      </c>
      <c r="AQ681" s="1759">
        <f t="shared" si="69"/>
        <v>678</v>
      </c>
      <c r="AR681" s="1756" t="e">
        <f>0.5*(S18+2*AQ681)*LN(1+2*AQ681/S18)</f>
        <v>#VALUE!</v>
      </c>
    </row>
    <row r="682" spans="42:44">
      <c r="AP682" s="1756" t="e">
        <f>IF(OR(AR682=S13,AR682&gt;S13),AR682,"")</f>
        <v>#VALUE!</v>
      </c>
      <c r="AQ682" s="1759">
        <f t="shared" si="69"/>
        <v>679</v>
      </c>
      <c r="AR682" s="1756" t="e">
        <f>0.5*(S18+2*AQ682)*LN(1+2*AQ682/S18)</f>
        <v>#VALUE!</v>
      </c>
    </row>
    <row r="683" spans="42:44">
      <c r="AP683" s="1756" t="e">
        <f>IF(OR(AR683=S13,AR683&gt;S13),AR683,"")</f>
        <v>#VALUE!</v>
      </c>
      <c r="AQ683" s="1759">
        <f t="shared" si="69"/>
        <v>680</v>
      </c>
      <c r="AR683" s="1756" t="e">
        <f>0.5*(S18+2*AQ683)*LN(1+2*AQ683/S18)</f>
        <v>#VALUE!</v>
      </c>
    </row>
    <row r="684" spans="42:44">
      <c r="AP684" s="1756" t="e">
        <f>IF(OR(AR684=S13,AR684&gt;S13),AR684,"")</f>
        <v>#VALUE!</v>
      </c>
      <c r="AQ684" s="1759">
        <f t="shared" si="69"/>
        <v>681</v>
      </c>
      <c r="AR684" s="1756" t="e">
        <f>0.5*(S18+2*AQ684)*LN(1+2*AQ684/S18)</f>
        <v>#VALUE!</v>
      </c>
    </row>
    <row r="685" spans="42:44">
      <c r="AP685" s="1756" t="e">
        <f>IF(OR(AR685=S13,AR685&gt;S13),AR685,"")</f>
        <v>#VALUE!</v>
      </c>
      <c r="AQ685" s="1759">
        <f t="shared" si="69"/>
        <v>682</v>
      </c>
      <c r="AR685" s="1756" t="e">
        <f>0.5*(S18+2*AQ685)*LN(1+2*AQ685/S18)</f>
        <v>#VALUE!</v>
      </c>
    </row>
    <row r="686" spans="42:44">
      <c r="AP686" s="1756" t="e">
        <f>IF(OR(AR686=S13,AR686&gt;S13),AR686,"")</f>
        <v>#VALUE!</v>
      </c>
      <c r="AQ686" s="1759">
        <f t="shared" si="69"/>
        <v>683</v>
      </c>
      <c r="AR686" s="1756" t="e">
        <f>0.5*(S18+2*AQ686)*LN(1+2*AQ686/S18)</f>
        <v>#VALUE!</v>
      </c>
    </row>
    <row r="687" spans="42:44">
      <c r="AP687" s="1756" t="e">
        <f>IF(OR(AR687=S13,AR687&gt;S13),AR687,"")</f>
        <v>#VALUE!</v>
      </c>
      <c r="AQ687" s="1759">
        <f t="shared" si="69"/>
        <v>684</v>
      </c>
      <c r="AR687" s="1756" t="e">
        <f>0.5*(S18+2*AQ687)*LN(1+2*AQ687/S18)</f>
        <v>#VALUE!</v>
      </c>
    </row>
    <row r="688" spans="42:44">
      <c r="AP688" s="1756" t="e">
        <f>IF(OR(AR688=S13,AR688&gt;S13),AR688,"")</f>
        <v>#VALUE!</v>
      </c>
      <c r="AQ688" s="1759">
        <f t="shared" si="69"/>
        <v>685</v>
      </c>
      <c r="AR688" s="1756" t="e">
        <f>0.5*(S18+2*AQ688)*LN(1+2*AQ688/S18)</f>
        <v>#VALUE!</v>
      </c>
    </row>
    <row r="689" spans="42:44">
      <c r="AP689" s="1756" t="e">
        <f>IF(OR(AR689=S13,AR689&gt;S13),AR689,"")</f>
        <v>#VALUE!</v>
      </c>
      <c r="AQ689" s="1759">
        <f t="shared" si="69"/>
        <v>686</v>
      </c>
      <c r="AR689" s="1756" t="e">
        <f>0.5*(S18+2*AQ689)*LN(1+2*AQ689/S18)</f>
        <v>#VALUE!</v>
      </c>
    </row>
    <row r="690" spans="42:44">
      <c r="AP690" s="1756" t="e">
        <f>IF(OR(AR690=S13,AR690&gt;S13),AR690,"")</f>
        <v>#VALUE!</v>
      </c>
      <c r="AQ690" s="1759">
        <f t="shared" si="69"/>
        <v>687</v>
      </c>
      <c r="AR690" s="1756" t="e">
        <f>0.5*(S18+2*AQ690)*LN(1+2*AQ690/S18)</f>
        <v>#VALUE!</v>
      </c>
    </row>
    <row r="691" spans="42:44">
      <c r="AP691" s="1756" t="e">
        <f>IF(OR(AR691=S13,AR691&gt;S13),AR691,"")</f>
        <v>#VALUE!</v>
      </c>
      <c r="AQ691" s="1759">
        <f t="shared" si="69"/>
        <v>688</v>
      </c>
      <c r="AR691" s="1756" t="e">
        <f>0.5*(S18+2*AQ691)*LN(1+2*AQ691/S18)</f>
        <v>#VALUE!</v>
      </c>
    </row>
    <row r="692" spans="42:44">
      <c r="AP692" s="1756" t="e">
        <f>IF(OR(AR692=S13,AR692&gt;S13),AR692,"")</f>
        <v>#VALUE!</v>
      </c>
      <c r="AQ692" s="1759">
        <f t="shared" si="69"/>
        <v>689</v>
      </c>
      <c r="AR692" s="1756" t="e">
        <f>0.5*(S18+2*AQ692)*LN(1+2*AQ692/S18)</f>
        <v>#VALUE!</v>
      </c>
    </row>
    <row r="693" spans="42:44">
      <c r="AP693" s="1756" t="e">
        <f>IF(OR(AR693=S13,AR693&gt;S13),AR693,"")</f>
        <v>#VALUE!</v>
      </c>
      <c r="AQ693" s="1759">
        <f t="shared" si="69"/>
        <v>690</v>
      </c>
      <c r="AR693" s="1756" t="e">
        <f>0.5*(S18+2*AQ693)*LN(1+2*AQ693/S18)</f>
        <v>#VALUE!</v>
      </c>
    </row>
    <row r="694" spans="42:44">
      <c r="AP694" s="1756" t="e">
        <f>IF(OR(AR694=S13,AR694&gt;S13),AR694,"")</f>
        <v>#VALUE!</v>
      </c>
      <c r="AQ694" s="1759">
        <f t="shared" si="69"/>
        <v>691</v>
      </c>
      <c r="AR694" s="1756" t="e">
        <f>0.5*(S18+2*AQ694)*LN(1+2*AQ694/S18)</f>
        <v>#VALUE!</v>
      </c>
    </row>
    <row r="695" spans="42:44">
      <c r="AP695" s="1756" t="e">
        <f>IF(OR(AR695=S13,AR695&gt;S13),AR695,"")</f>
        <v>#VALUE!</v>
      </c>
      <c r="AQ695" s="1759">
        <f t="shared" si="69"/>
        <v>692</v>
      </c>
      <c r="AR695" s="1756" t="e">
        <f>0.5*(S18+2*AQ695)*LN(1+2*AQ695/S18)</f>
        <v>#VALUE!</v>
      </c>
    </row>
    <row r="696" spans="42:44">
      <c r="AP696" s="1756" t="e">
        <f>IF(OR(AR696=S13,AR696&gt;S13),AR696,"")</f>
        <v>#VALUE!</v>
      </c>
      <c r="AQ696" s="1759">
        <f t="shared" si="69"/>
        <v>693</v>
      </c>
      <c r="AR696" s="1756" t="e">
        <f>0.5*(S18+2*AQ696)*LN(1+2*AQ696/S18)</f>
        <v>#VALUE!</v>
      </c>
    </row>
    <row r="697" spans="42:44">
      <c r="AP697" s="1756" t="e">
        <f>IF(OR(AR697=S13,AR697&gt;S13),AR697,"")</f>
        <v>#VALUE!</v>
      </c>
      <c r="AQ697" s="1759">
        <f t="shared" si="69"/>
        <v>694</v>
      </c>
      <c r="AR697" s="1756" t="e">
        <f>0.5*(S18+2*AQ697)*LN(1+2*AQ697/S18)</f>
        <v>#VALUE!</v>
      </c>
    </row>
    <row r="698" spans="42:44">
      <c r="AP698" s="1756" t="e">
        <f>IF(OR(AR698=S13,AR698&gt;S13),AR698,"")</f>
        <v>#VALUE!</v>
      </c>
      <c r="AQ698" s="1759">
        <f t="shared" si="69"/>
        <v>695</v>
      </c>
      <c r="AR698" s="1756" t="e">
        <f>0.5*(S18+2*AQ698)*LN(1+2*AQ698/S18)</f>
        <v>#VALUE!</v>
      </c>
    </row>
    <row r="699" spans="42:44">
      <c r="AP699" s="1756" t="e">
        <f>IF(OR(AR699=S13,AR699&gt;S13),AR699,"")</f>
        <v>#VALUE!</v>
      </c>
      <c r="AQ699" s="1759">
        <f t="shared" si="69"/>
        <v>696</v>
      </c>
      <c r="AR699" s="1756" t="e">
        <f>0.5*(S18+2*AQ699)*LN(1+2*AQ699/S18)</f>
        <v>#VALUE!</v>
      </c>
    </row>
    <row r="700" spans="42:44">
      <c r="AP700" s="1756" t="e">
        <f>IF(OR(AR700=S13,AR700&gt;S13),AR700,"")</f>
        <v>#VALUE!</v>
      </c>
      <c r="AQ700" s="1759">
        <f t="shared" si="69"/>
        <v>697</v>
      </c>
      <c r="AR700" s="1756" t="e">
        <f>0.5*(S18+2*AQ700)*LN(1+2*AQ700/S18)</f>
        <v>#VALUE!</v>
      </c>
    </row>
    <row r="701" spans="42:44">
      <c r="AP701" s="1756" t="e">
        <f>IF(OR(AR701=S13,AR701&gt;S13),AR701,"")</f>
        <v>#VALUE!</v>
      </c>
      <c r="AQ701" s="1759">
        <f t="shared" si="69"/>
        <v>698</v>
      </c>
      <c r="AR701" s="1756" t="e">
        <f>0.5*(S18+2*AQ701)*LN(1+2*AQ701/S18)</f>
        <v>#VALUE!</v>
      </c>
    </row>
    <row r="702" spans="42:44">
      <c r="AP702" s="1756" t="e">
        <f>IF(OR(AR702=S13,AR702&gt;S13),AR702,"")</f>
        <v>#VALUE!</v>
      </c>
      <c r="AQ702" s="1759">
        <f t="shared" si="69"/>
        <v>699</v>
      </c>
      <c r="AR702" s="1756" t="e">
        <f>0.5*(S18+2*AQ702)*LN(1+2*AQ702/S18)</f>
        <v>#VALUE!</v>
      </c>
    </row>
    <row r="703" spans="42:44">
      <c r="AP703" s="1756" t="e">
        <f>IF(OR(AR703=S13,AR703&gt;S13),AR703,"")</f>
        <v>#VALUE!</v>
      </c>
      <c r="AQ703" s="1759">
        <f t="shared" si="69"/>
        <v>700</v>
      </c>
      <c r="AR703" s="1756" t="e">
        <f>0.5*(S18+2*AQ703)*LN(1+2*AQ703/S18)</f>
        <v>#VALUE!</v>
      </c>
    </row>
    <row r="704" spans="42:44">
      <c r="AP704" s="1756" t="e">
        <f>IF(OR(AR704=S13,AR704&gt;S13),AR704,"")</f>
        <v>#VALUE!</v>
      </c>
      <c r="AQ704" s="1759">
        <f t="shared" si="69"/>
        <v>701</v>
      </c>
      <c r="AR704" s="1756" t="e">
        <f>0.5*(S18+2*AQ704)*LN(1+2*AQ704/S18)</f>
        <v>#VALUE!</v>
      </c>
    </row>
    <row r="705" spans="42:44">
      <c r="AP705" s="1756" t="e">
        <f>IF(OR(AR705=S13,AR705&gt;S13),AR705,"")</f>
        <v>#VALUE!</v>
      </c>
      <c r="AQ705" s="1759">
        <f t="shared" si="69"/>
        <v>702</v>
      </c>
      <c r="AR705" s="1756" t="e">
        <f>0.5*(S18+2*AQ705)*LN(1+2*AQ705/S18)</f>
        <v>#VALUE!</v>
      </c>
    </row>
    <row r="706" spans="42:44">
      <c r="AP706" s="1756" t="e">
        <f>IF(OR(AR706=S13,AR706&gt;S13),AR706,"")</f>
        <v>#VALUE!</v>
      </c>
      <c r="AQ706" s="1759">
        <f t="shared" si="69"/>
        <v>703</v>
      </c>
      <c r="AR706" s="1756" t="e">
        <f>0.5*(S18+2*AQ706)*LN(1+2*AQ706/S18)</f>
        <v>#VALUE!</v>
      </c>
    </row>
    <row r="707" spans="42:44">
      <c r="AP707" s="1756" t="e">
        <f>IF(OR(AR707=S13,AR707&gt;S13),AR707,"")</f>
        <v>#VALUE!</v>
      </c>
      <c r="AQ707" s="1759">
        <f t="shared" si="69"/>
        <v>704</v>
      </c>
      <c r="AR707" s="1756" t="e">
        <f>0.5*(S18+2*AQ707)*LN(1+2*AQ707/S18)</f>
        <v>#VALUE!</v>
      </c>
    </row>
    <row r="708" spans="42:44">
      <c r="AP708" s="1756" t="e">
        <f>IF(OR(AR708=S13,AR708&gt;S13),AR708,"")</f>
        <v>#VALUE!</v>
      </c>
      <c r="AQ708" s="1759">
        <f t="shared" si="69"/>
        <v>705</v>
      </c>
      <c r="AR708" s="1756" t="e">
        <f>0.5*(S18+2*AQ708)*LN(1+2*AQ708/S18)</f>
        <v>#VALUE!</v>
      </c>
    </row>
    <row r="709" spans="42:44">
      <c r="AP709" s="1756" t="e">
        <f>IF(OR(AR709=S13,AR709&gt;S13),AR709,"")</f>
        <v>#VALUE!</v>
      </c>
      <c r="AQ709" s="1759">
        <f t="shared" si="69"/>
        <v>706</v>
      </c>
      <c r="AR709" s="1756" t="e">
        <f>0.5*(S18+2*AQ709)*LN(1+2*AQ709/S18)</f>
        <v>#VALUE!</v>
      </c>
    </row>
    <row r="710" spans="42:44">
      <c r="AP710" s="1756" t="e">
        <f>IF(OR(AR710=S13,AR710&gt;S13),AR710,"")</f>
        <v>#VALUE!</v>
      </c>
      <c r="AQ710" s="1759">
        <f t="shared" ref="AQ710:AQ773" si="70">AQ709+1</f>
        <v>707</v>
      </c>
      <c r="AR710" s="1756" t="e">
        <f>0.5*(S18+2*AQ710)*LN(1+2*AQ710/S18)</f>
        <v>#VALUE!</v>
      </c>
    </row>
    <row r="711" spans="42:44">
      <c r="AP711" s="1756" t="e">
        <f>IF(OR(AR711=S13,AR711&gt;S13),AR711,"")</f>
        <v>#VALUE!</v>
      </c>
      <c r="AQ711" s="1759">
        <f t="shared" si="70"/>
        <v>708</v>
      </c>
      <c r="AR711" s="1756" t="e">
        <f>0.5*(S18+2*AQ711)*LN(1+2*AQ711/S18)</f>
        <v>#VALUE!</v>
      </c>
    </row>
    <row r="712" spans="42:44">
      <c r="AP712" s="1756" t="e">
        <f>IF(OR(AR712=S13,AR712&gt;S13),AR712,"")</f>
        <v>#VALUE!</v>
      </c>
      <c r="AQ712" s="1759">
        <f t="shared" si="70"/>
        <v>709</v>
      </c>
      <c r="AR712" s="1756" t="e">
        <f>0.5*(S18+2*AQ712)*LN(1+2*AQ712/S18)</f>
        <v>#VALUE!</v>
      </c>
    </row>
    <row r="713" spans="42:44">
      <c r="AP713" s="1756" t="e">
        <f>IF(OR(AR713=S13,AR713&gt;S13),AR713,"")</f>
        <v>#VALUE!</v>
      </c>
      <c r="AQ713" s="1759">
        <f t="shared" si="70"/>
        <v>710</v>
      </c>
      <c r="AR713" s="1756" t="e">
        <f>0.5*(S18+2*AQ713)*LN(1+2*AQ713/S18)</f>
        <v>#VALUE!</v>
      </c>
    </row>
    <row r="714" spans="42:44">
      <c r="AP714" s="1756" t="e">
        <f>IF(OR(AR714=S13,AR714&gt;S13),AR714,"")</f>
        <v>#VALUE!</v>
      </c>
      <c r="AQ714" s="1759">
        <f t="shared" si="70"/>
        <v>711</v>
      </c>
      <c r="AR714" s="1756" t="e">
        <f>0.5*(S18+2*AQ714)*LN(1+2*AQ714/S18)</f>
        <v>#VALUE!</v>
      </c>
    </row>
    <row r="715" spans="42:44">
      <c r="AP715" s="1756" t="e">
        <f>IF(OR(AR715=S13,AR715&gt;S13),AR715,"")</f>
        <v>#VALUE!</v>
      </c>
      <c r="AQ715" s="1759">
        <f t="shared" si="70"/>
        <v>712</v>
      </c>
      <c r="AR715" s="1756" t="e">
        <f>0.5*(S18+2*AQ715)*LN(1+2*AQ715/S18)</f>
        <v>#VALUE!</v>
      </c>
    </row>
    <row r="716" spans="42:44">
      <c r="AP716" s="1756" t="e">
        <f>IF(OR(AR716=S13,AR716&gt;S13),AR716,"")</f>
        <v>#VALUE!</v>
      </c>
      <c r="AQ716" s="1759">
        <f t="shared" si="70"/>
        <v>713</v>
      </c>
      <c r="AR716" s="1756" t="e">
        <f>0.5*(S18+2*AQ716)*LN(1+2*AQ716/S18)</f>
        <v>#VALUE!</v>
      </c>
    </row>
    <row r="717" spans="42:44">
      <c r="AP717" s="1756" t="e">
        <f>IF(OR(AR717=S13,AR717&gt;S13),AR717,"")</f>
        <v>#VALUE!</v>
      </c>
      <c r="AQ717" s="1759">
        <f t="shared" si="70"/>
        <v>714</v>
      </c>
      <c r="AR717" s="1756" t="e">
        <f>0.5*(S18+2*AQ717)*LN(1+2*AQ717/S18)</f>
        <v>#VALUE!</v>
      </c>
    </row>
    <row r="718" spans="42:44">
      <c r="AP718" s="1756" t="e">
        <f>IF(OR(AR718=S13,AR718&gt;S13),AR718,"")</f>
        <v>#VALUE!</v>
      </c>
      <c r="AQ718" s="1759">
        <f t="shared" si="70"/>
        <v>715</v>
      </c>
      <c r="AR718" s="1756" t="e">
        <f>0.5*(S18+2*AQ718)*LN(1+2*AQ718/S18)</f>
        <v>#VALUE!</v>
      </c>
    </row>
    <row r="719" spans="42:44">
      <c r="AP719" s="1756" t="e">
        <f>IF(OR(AR719=S13,AR719&gt;S13),AR719,"")</f>
        <v>#VALUE!</v>
      </c>
      <c r="AQ719" s="1759">
        <f t="shared" si="70"/>
        <v>716</v>
      </c>
      <c r="AR719" s="1756" t="e">
        <f>0.5*(S18+2*AQ719)*LN(1+2*AQ719/S18)</f>
        <v>#VALUE!</v>
      </c>
    </row>
    <row r="720" spans="42:44">
      <c r="AP720" s="1756" t="e">
        <f>IF(OR(AR720=S13,AR720&gt;S13),AR720,"")</f>
        <v>#VALUE!</v>
      </c>
      <c r="AQ720" s="1759">
        <f t="shared" si="70"/>
        <v>717</v>
      </c>
      <c r="AR720" s="1756" t="e">
        <f>0.5*(S18+2*AQ720)*LN(1+2*AQ720/S18)</f>
        <v>#VALUE!</v>
      </c>
    </row>
    <row r="721" spans="42:44">
      <c r="AP721" s="1756" t="e">
        <f>IF(OR(AR721=S13,AR721&gt;S13),AR721,"")</f>
        <v>#VALUE!</v>
      </c>
      <c r="AQ721" s="1759">
        <f t="shared" si="70"/>
        <v>718</v>
      </c>
      <c r="AR721" s="1756" t="e">
        <f>0.5*(S18+2*AQ721)*LN(1+2*AQ721/S18)</f>
        <v>#VALUE!</v>
      </c>
    </row>
    <row r="722" spans="42:44">
      <c r="AP722" s="1756" t="e">
        <f>IF(OR(AR722=S13,AR722&gt;S13),AR722,"")</f>
        <v>#VALUE!</v>
      </c>
      <c r="AQ722" s="1759">
        <f t="shared" si="70"/>
        <v>719</v>
      </c>
      <c r="AR722" s="1756" t="e">
        <f>0.5*(S18+2*AQ722)*LN(1+2*AQ722/S18)</f>
        <v>#VALUE!</v>
      </c>
    </row>
    <row r="723" spans="42:44">
      <c r="AP723" s="1756" t="e">
        <f>IF(OR(AR723=S13,AR723&gt;S13),AR723,"")</f>
        <v>#VALUE!</v>
      </c>
      <c r="AQ723" s="1759">
        <f t="shared" si="70"/>
        <v>720</v>
      </c>
      <c r="AR723" s="1756" t="e">
        <f>0.5*(S18+2*AQ723)*LN(1+2*AQ723/S18)</f>
        <v>#VALUE!</v>
      </c>
    </row>
    <row r="724" spans="42:44">
      <c r="AP724" s="1756" t="e">
        <f>IF(OR(AR724=S13,AR724&gt;S13),AR724,"")</f>
        <v>#VALUE!</v>
      </c>
      <c r="AQ724" s="1759">
        <f t="shared" si="70"/>
        <v>721</v>
      </c>
      <c r="AR724" s="1756" t="e">
        <f>0.5*(S18+2*AQ724)*LN(1+2*AQ724/S18)</f>
        <v>#VALUE!</v>
      </c>
    </row>
    <row r="725" spans="42:44">
      <c r="AP725" s="1756" t="e">
        <f>IF(OR(AR725=S13,AR725&gt;S13),AR725,"")</f>
        <v>#VALUE!</v>
      </c>
      <c r="AQ725" s="1759">
        <f t="shared" si="70"/>
        <v>722</v>
      </c>
      <c r="AR725" s="1756" t="e">
        <f>0.5*(S18+2*AQ725)*LN(1+2*AQ725/S18)</f>
        <v>#VALUE!</v>
      </c>
    </row>
    <row r="726" spans="42:44">
      <c r="AP726" s="1756" t="e">
        <f>IF(OR(AR726=S13,AR726&gt;S13),AR726,"")</f>
        <v>#VALUE!</v>
      </c>
      <c r="AQ726" s="1759">
        <f t="shared" si="70"/>
        <v>723</v>
      </c>
      <c r="AR726" s="1756" t="e">
        <f>0.5*(S18+2*AQ726)*LN(1+2*AQ726/S18)</f>
        <v>#VALUE!</v>
      </c>
    </row>
    <row r="727" spans="42:44">
      <c r="AP727" s="1756" t="e">
        <f>IF(OR(AR727=S13,AR727&gt;S13),AR727,"")</f>
        <v>#VALUE!</v>
      </c>
      <c r="AQ727" s="1759">
        <f t="shared" si="70"/>
        <v>724</v>
      </c>
      <c r="AR727" s="1756" t="e">
        <f>0.5*(S18+2*AQ727)*LN(1+2*AQ727/S18)</f>
        <v>#VALUE!</v>
      </c>
    </row>
    <row r="728" spans="42:44">
      <c r="AP728" s="1756" t="e">
        <f>IF(OR(AR728=S13,AR728&gt;S13),AR728,"")</f>
        <v>#VALUE!</v>
      </c>
      <c r="AQ728" s="1759">
        <f t="shared" si="70"/>
        <v>725</v>
      </c>
      <c r="AR728" s="1756" t="e">
        <f>0.5*(S18+2*AQ728)*LN(1+2*AQ728/S18)</f>
        <v>#VALUE!</v>
      </c>
    </row>
    <row r="729" spans="42:44">
      <c r="AP729" s="1756" t="e">
        <f>IF(OR(AR729=S13,AR729&gt;S13),AR729,"")</f>
        <v>#VALUE!</v>
      </c>
      <c r="AQ729" s="1759">
        <f t="shared" si="70"/>
        <v>726</v>
      </c>
      <c r="AR729" s="1756" t="e">
        <f>0.5*(S18+2*AQ729)*LN(1+2*AQ729/S18)</f>
        <v>#VALUE!</v>
      </c>
    </row>
    <row r="730" spans="42:44">
      <c r="AP730" s="1756" t="e">
        <f>IF(OR(AR730=S13,AR730&gt;S13),AR730,"")</f>
        <v>#VALUE!</v>
      </c>
      <c r="AQ730" s="1759">
        <f t="shared" si="70"/>
        <v>727</v>
      </c>
      <c r="AR730" s="1756" t="e">
        <f>0.5*(S18+2*AQ730)*LN(1+2*AQ730/S18)</f>
        <v>#VALUE!</v>
      </c>
    </row>
    <row r="731" spans="42:44">
      <c r="AP731" s="1756" t="e">
        <f>IF(OR(AR731=S13,AR731&gt;S13),AR731,"")</f>
        <v>#VALUE!</v>
      </c>
      <c r="AQ731" s="1759">
        <f t="shared" si="70"/>
        <v>728</v>
      </c>
      <c r="AR731" s="1756" t="e">
        <f>0.5*(S18+2*AQ731)*LN(1+2*AQ731/S18)</f>
        <v>#VALUE!</v>
      </c>
    </row>
    <row r="732" spans="42:44">
      <c r="AP732" s="1756" t="e">
        <f>IF(OR(AR732=S13,AR732&gt;S13),AR732,"")</f>
        <v>#VALUE!</v>
      </c>
      <c r="AQ732" s="1759">
        <f t="shared" si="70"/>
        <v>729</v>
      </c>
      <c r="AR732" s="1756" t="e">
        <f>0.5*(S18+2*AQ732)*LN(1+2*AQ732/S18)</f>
        <v>#VALUE!</v>
      </c>
    </row>
    <row r="733" spans="42:44">
      <c r="AP733" s="1756" t="e">
        <f>IF(OR(AR733=S13,AR733&gt;S13),AR733,"")</f>
        <v>#VALUE!</v>
      </c>
      <c r="AQ733" s="1759">
        <f t="shared" si="70"/>
        <v>730</v>
      </c>
      <c r="AR733" s="1756" t="e">
        <f>0.5*(S18+2*AQ733)*LN(1+2*AQ733/S18)</f>
        <v>#VALUE!</v>
      </c>
    </row>
    <row r="734" spans="42:44">
      <c r="AP734" s="1756" t="e">
        <f>IF(OR(AR734=S13,AR734&gt;S13),AR734,"")</f>
        <v>#VALUE!</v>
      </c>
      <c r="AQ734" s="1759">
        <f t="shared" si="70"/>
        <v>731</v>
      </c>
      <c r="AR734" s="1756" t="e">
        <f>0.5*(S18+2*AQ734)*LN(1+2*AQ734/S18)</f>
        <v>#VALUE!</v>
      </c>
    </row>
    <row r="735" spans="42:44">
      <c r="AP735" s="1756" t="e">
        <f>IF(OR(AR735=S13,AR735&gt;S13),AR735,"")</f>
        <v>#VALUE!</v>
      </c>
      <c r="AQ735" s="1759">
        <f t="shared" si="70"/>
        <v>732</v>
      </c>
      <c r="AR735" s="1756" t="e">
        <f>0.5*(S18+2*AQ735)*LN(1+2*AQ735/S18)</f>
        <v>#VALUE!</v>
      </c>
    </row>
    <row r="736" spans="42:44">
      <c r="AP736" s="1756" t="e">
        <f>IF(OR(AR736=S13,AR736&gt;S13),AR736,"")</f>
        <v>#VALUE!</v>
      </c>
      <c r="AQ736" s="1759">
        <f t="shared" si="70"/>
        <v>733</v>
      </c>
      <c r="AR736" s="1756" t="e">
        <f>0.5*(S18+2*AQ736)*LN(1+2*AQ736/S18)</f>
        <v>#VALUE!</v>
      </c>
    </row>
    <row r="737" spans="42:44">
      <c r="AP737" s="1756" t="e">
        <f>IF(OR(AR737=S13,AR737&gt;S13),AR737,"")</f>
        <v>#VALUE!</v>
      </c>
      <c r="AQ737" s="1759">
        <f t="shared" si="70"/>
        <v>734</v>
      </c>
      <c r="AR737" s="1756" t="e">
        <f>0.5*(S18+2*AQ737)*LN(1+2*AQ737/S18)</f>
        <v>#VALUE!</v>
      </c>
    </row>
    <row r="738" spans="42:44">
      <c r="AP738" s="1756" t="e">
        <f>IF(OR(AR738=S13,AR738&gt;S13),AR738,"")</f>
        <v>#VALUE!</v>
      </c>
      <c r="AQ738" s="1759">
        <f t="shared" si="70"/>
        <v>735</v>
      </c>
      <c r="AR738" s="1756" t="e">
        <f>0.5*(S18+2*AQ738)*LN(1+2*AQ738/S18)</f>
        <v>#VALUE!</v>
      </c>
    </row>
    <row r="739" spans="42:44">
      <c r="AP739" s="1756" t="e">
        <f>IF(OR(AR739=S13,AR739&gt;S13),AR739,"")</f>
        <v>#VALUE!</v>
      </c>
      <c r="AQ739" s="1759">
        <f t="shared" si="70"/>
        <v>736</v>
      </c>
      <c r="AR739" s="1756" t="e">
        <f>0.5*(S18+2*AQ739)*LN(1+2*AQ739/S18)</f>
        <v>#VALUE!</v>
      </c>
    </row>
    <row r="740" spans="42:44">
      <c r="AP740" s="1756" t="e">
        <f>IF(OR(AR740=S13,AR740&gt;S13),AR740,"")</f>
        <v>#VALUE!</v>
      </c>
      <c r="AQ740" s="1759">
        <f t="shared" si="70"/>
        <v>737</v>
      </c>
      <c r="AR740" s="1756" t="e">
        <f>0.5*(S18+2*AQ740)*LN(1+2*AQ740/S18)</f>
        <v>#VALUE!</v>
      </c>
    </row>
    <row r="741" spans="42:44">
      <c r="AP741" s="1756" t="e">
        <f>IF(OR(AR741=S13,AR741&gt;S13),AR741,"")</f>
        <v>#VALUE!</v>
      </c>
      <c r="AQ741" s="1759">
        <f t="shared" si="70"/>
        <v>738</v>
      </c>
      <c r="AR741" s="1756" t="e">
        <f>0.5*(S18+2*AQ741)*LN(1+2*AQ741/S18)</f>
        <v>#VALUE!</v>
      </c>
    </row>
    <row r="742" spans="42:44">
      <c r="AP742" s="1756" t="e">
        <f>IF(OR(AR742=S13,AR742&gt;S13),AR742,"")</f>
        <v>#VALUE!</v>
      </c>
      <c r="AQ742" s="1759">
        <f t="shared" si="70"/>
        <v>739</v>
      </c>
      <c r="AR742" s="1756" t="e">
        <f>0.5*(S18+2*AQ742)*LN(1+2*AQ742/S18)</f>
        <v>#VALUE!</v>
      </c>
    </row>
    <row r="743" spans="42:44">
      <c r="AP743" s="1756" t="e">
        <f>IF(OR(AR743=S13,AR743&gt;S13),AR743,"")</f>
        <v>#VALUE!</v>
      </c>
      <c r="AQ743" s="1759">
        <f t="shared" si="70"/>
        <v>740</v>
      </c>
      <c r="AR743" s="1756" t="e">
        <f>0.5*(S18+2*AQ743)*LN(1+2*AQ743/S18)</f>
        <v>#VALUE!</v>
      </c>
    </row>
    <row r="744" spans="42:44">
      <c r="AP744" s="1756" t="e">
        <f>IF(OR(AR744=S13,AR744&gt;S13),AR744,"")</f>
        <v>#VALUE!</v>
      </c>
      <c r="AQ744" s="1759">
        <f t="shared" si="70"/>
        <v>741</v>
      </c>
      <c r="AR744" s="1756" t="e">
        <f>0.5*(S18+2*AQ744)*LN(1+2*AQ744/S18)</f>
        <v>#VALUE!</v>
      </c>
    </row>
    <row r="745" spans="42:44">
      <c r="AP745" s="1756" t="e">
        <f>IF(OR(AR745=S13,AR745&gt;S13),AR745,"")</f>
        <v>#VALUE!</v>
      </c>
      <c r="AQ745" s="1759">
        <f t="shared" si="70"/>
        <v>742</v>
      </c>
      <c r="AR745" s="1756" t="e">
        <f>0.5*(S18+2*AQ745)*LN(1+2*AQ745/S18)</f>
        <v>#VALUE!</v>
      </c>
    </row>
    <row r="746" spans="42:44">
      <c r="AP746" s="1756" t="e">
        <f>IF(OR(AR746=S13,AR746&gt;S13),AR746,"")</f>
        <v>#VALUE!</v>
      </c>
      <c r="AQ746" s="1759">
        <f t="shared" si="70"/>
        <v>743</v>
      </c>
      <c r="AR746" s="1756" t="e">
        <f>0.5*(S18+2*AQ746)*LN(1+2*AQ746/S18)</f>
        <v>#VALUE!</v>
      </c>
    </row>
    <row r="747" spans="42:44">
      <c r="AP747" s="1756" t="e">
        <f>IF(OR(AR747=S13,AR747&gt;S13),AR747,"")</f>
        <v>#VALUE!</v>
      </c>
      <c r="AQ747" s="1759">
        <f t="shared" si="70"/>
        <v>744</v>
      </c>
      <c r="AR747" s="1756" t="e">
        <f>0.5*(S18+2*AQ747)*LN(1+2*AQ747/S18)</f>
        <v>#VALUE!</v>
      </c>
    </row>
    <row r="748" spans="42:44">
      <c r="AP748" s="1756" t="e">
        <f>IF(OR(AR748=S13,AR748&gt;S13),AR748,"")</f>
        <v>#VALUE!</v>
      </c>
      <c r="AQ748" s="1759">
        <f t="shared" si="70"/>
        <v>745</v>
      </c>
      <c r="AR748" s="1756" t="e">
        <f>0.5*(S18+2*AQ748)*LN(1+2*AQ748/S18)</f>
        <v>#VALUE!</v>
      </c>
    </row>
    <row r="749" spans="42:44">
      <c r="AP749" s="1756" t="e">
        <f>IF(OR(AR749=S13,AR749&gt;S13),AR749,"")</f>
        <v>#VALUE!</v>
      </c>
      <c r="AQ749" s="1759">
        <f t="shared" si="70"/>
        <v>746</v>
      </c>
      <c r="AR749" s="1756" t="e">
        <f>0.5*(S18+2*AQ749)*LN(1+2*AQ749/S18)</f>
        <v>#VALUE!</v>
      </c>
    </row>
    <row r="750" spans="42:44">
      <c r="AP750" s="1756" t="e">
        <f>IF(OR(AR750=S13,AR750&gt;S13),AR750,"")</f>
        <v>#VALUE!</v>
      </c>
      <c r="AQ750" s="1759">
        <f t="shared" si="70"/>
        <v>747</v>
      </c>
      <c r="AR750" s="1756" t="e">
        <f>0.5*(S18+2*AQ750)*LN(1+2*AQ750/S18)</f>
        <v>#VALUE!</v>
      </c>
    </row>
    <row r="751" spans="42:44">
      <c r="AP751" s="1756" t="e">
        <f>IF(OR(AR751=S13,AR751&gt;S13),AR751,"")</f>
        <v>#VALUE!</v>
      </c>
      <c r="AQ751" s="1759">
        <f t="shared" si="70"/>
        <v>748</v>
      </c>
      <c r="AR751" s="1756" t="e">
        <f>0.5*(S18+2*AQ751)*LN(1+2*AQ751/S18)</f>
        <v>#VALUE!</v>
      </c>
    </row>
    <row r="752" spans="42:44">
      <c r="AP752" s="1756" t="e">
        <f>IF(OR(AR752=S13,AR752&gt;S13),AR752,"")</f>
        <v>#VALUE!</v>
      </c>
      <c r="AQ752" s="1759">
        <f t="shared" si="70"/>
        <v>749</v>
      </c>
      <c r="AR752" s="1756" t="e">
        <f>0.5*(S18+2*AQ752)*LN(1+2*AQ752/S18)</f>
        <v>#VALUE!</v>
      </c>
    </row>
    <row r="753" spans="42:44">
      <c r="AP753" s="1756" t="e">
        <f>IF(OR(AR753=S13,AR753&gt;S13),AR753,"")</f>
        <v>#VALUE!</v>
      </c>
      <c r="AQ753" s="1759">
        <f t="shared" si="70"/>
        <v>750</v>
      </c>
      <c r="AR753" s="1756" t="e">
        <f>0.5*(S18+2*AQ753)*LN(1+2*AQ753/S18)</f>
        <v>#VALUE!</v>
      </c>
    </row>
    <row r="754" spans="42:44">
      <c r="AP754" s="1756" t="e">
        <f>IF(OR(AR754=S13,AR754&gt;S13),AR754,"")</f>
        <v>#VALUE!</v>
      </c>
      <c r="AQ754" s="1759">
        <f t="shared" si="70"/>
        <v>751</v>
      </c>
      <c r="AR754" s="1756" t="e">
        <f>0.5*(S18+2*AQ754)*LN(1+2*AQ754/S18)</f>
        <v>#VALUE!</v>
      </c>
    </row>
    <row r="755" spans="42:44">
      <c r="AP755" s="1756" t="e">
        <f>IF(OR(AR755=S13,AR755&gt;S13),AR755,"")</f>
        <v>#VALUE!</v>
      </c>
      <c r="AQ755" s="1759">
        <f t="shared" si="70"/>
        <v>752</v>
      </c>
      <c r="AR755" s="1756" t="e">
        <f>0.5*(S18+2*AQ755)*LN(1+2*AQ755/S18)</f>
        <v>#VALUE!</v>
      </c>
    </row>
    <row r="756" spans="42:44">
      <c r="AP756" s="1756" t="e">
        <f>IF(OR(AR756=S13,AR756&gt;S13),AR756,"")</f>
        <v>#VALUE!</v>
      </c>
      <c r="AQ756" s="1759">
        <f t="shared" si="70"/>
        <v>753</v>
      </c>
      <c r="AR756" s="1756" t="e">
        <f>0.5*(S18+2*AQ756)*LN(1+2*AQ756/S18)</f>
        <v>#VALUE!</v>
      </c>
    </row>
    <row r="757" spans="42:44">
      <c r="AP757" s="1756" t="e">
        <f>IF(OR(AR757=S13,AR757&gt;S13),AR757,"")</f>
        <v>#VALUE!</v>
      </c>
      <c r="AQ757" s="1759">
        <f t="shared" si="70"/>
        <v>754</v>
      </c>
      <c r="AR757" s="1756" t="e">
        <f>0.5*(S18+2*AQ757)*LN(1+2*AQ757/S18)</f>
        <v>#VALUE!</v>
      </c>
    </row>
    <row r="758" spans="42:44">
      <c r="AP758" s="1756" t="e">
        <f>IF(OR(AR758=S13,AR758&gt;S13),AR758,"")</f>
        <v>#VALUE!</v>
      </c>
      <c r="AQ758" s="1759">
        <f t="shared" si="70"/>
        <v>755</v>
      </c>
      <c r="AR758" s="1756" t="e">
        <f>0.5*(S18+2*AQ758)*LN(1+2*AQ758/S18)</f>
        <v>#VALUE!</v>
      </c>
    </row>
    <row r="759" spans="42:44">
      <c r="AP759" s="1756" t="e">
        <f>IF(OR(AR759=S13,AR759&gt;S13),AR759,"")</f>
        <v>#VALUE!</v>
      </c>
      <c r="AQ759" s="1759">
        <f t="shared" si="70"/>
        <v>756</v>
      </c>
      <c r="AR759" s="1756" t="e">
        <f>0.5*(S18+2*AQ759)*LN(1+2*AQ759/S18)</f>
        <v>#VALUE!</v>
      </c>
    </row>
    <row r="760" spans="42:44">
      <c r="AP760" s="1756" t="e">
        <f>IF(OR(AR760=S13,AR760&gt;S13),AR760,"")</f>
        <v>#VALUE!</v>
      </c>
      <c r="AQ760" s="1759">
        <f t="shared" si="70"/>
        <v>757</v>
      </c>
      <c r="AR760" s="1756" t="e">
        <f>0.5*(S18+2*AQ760)*LN(1+2*AQ760/S18)</f>
        <v>#VALUE!</v>
      </c>
    </row>
    <row r="761" spans="42:44">
      <c r="AP761" s="1756" t="e">
        <f>IF(OR(AR761=S13,AR761&gt;S13),AR761,"")</f>
        <v>#VALUE!</v>
      </c>
      <c r="AQ761" s="1759">
        <f t="shared" si="70"/>
        <v>758</v>
      </c>
      <c r="AR761" s="1756" t="e">
        <f>0.5*(S18+2*AQ761)*LN(1+2*AQ761/S18)</f>
        <v>#VALUE!</v>
      </c>
    </row>
    <row r="762" spans="42:44">
      <c r="AP762" s="1756" t="e">
        <f>IF(OR(AR762=S13,AR762&gt;S13),AR762,"")</f>
        <v>#VALUE!</v>
      </c>
      <c r="AQ762" s="1759">
        <f t="shared" si="70"/>
        <v>759</v>
      </c>
      <c r="AR762" s="1756" t="e">
        <f>0.5*(S18+2*AQ762)*LN(1+2*AQ762/S18)</f>
        <v>#VALUE!</v>
      </c>
    </row>
    <row r="763" spans="42:44">
      <c r="AP763" s="1756" t="e">
        <f>IF(OR(AR763=S13,AR763&gt;S13),AR763,"")</f>
        <v>#VALUE!</v>
      </c>
      <c r="AQ763" s="1759">
        <f t="shared" si="70"/>
        <v>760</v>
      </c>
      <c r="AR763" s="1756" t="e">
        <f>0.5*(S18+2*AQ763)*LN(1+2*AQ763/S18)</f>
        <v>#VALUE!</v>
      </c>
    </row>
    <row r="764" spans="42:44">
      <c r="AP764" s="1756" t="e">
        <f>IF(OR(AR764=S13,AR764&gt;S13),AR764,"")</f>
        <v>#VALUE!</v>
      </c>
      <c r="AQ764" s="1759">
        <f t="shared" si="70"/>
        <v>761</v>
      </c>
      <c r="AR764" s="1756" t="e">
        <f>0.5*(S18+2*AQ764)*LN(1+2*AQ764/S18)</f>
        <v>#VALUE!</v>
      </c>
    </row>
    <row r="765" spans="42:44">
      <c r="AP765" s="1756" t="e">
        <f>IF(OR(AR765=S13,AR765&gt;S13),AR765,"")</f>
        <v>#VALUE!</v>
      </c>
      <c r="AQ765" s="1759">
        <f t="shared" si="70"/>
        <v>762</v>
      </c>
      <c r="AR765" s="1756" t="e">
        <f>0.5*(S18+2*AQ765)*LN(1+2*AQ765/S18)</f>
        <v>#VALUE!</v>
      </c>
    </row>
    <row r="766" spans="42:44">
      <c r="AP766" s="1756" t="e">
        <f>IF(OR(AR766=S13,AR766&gt;S13),AR766,"")</f>
        <v>#VALUE!</v>
      </c>
      <c r="AQ766" s="1759">
        <f t="shared" si="70"/>
        <v>763</v>
      </c>
      <c r="AR766" s="1756" t="e">
        <f>0.5*(S18+2*AQ766)*LN(1+2*AQ766/S18)</f>
        <v>#VALUE!</v>
      </c>
    </row>
    <row r="767" spans="42:44">
      <c r="AP767" s="1756" t="e">
        <f>IF(OR(AR767=S13,AR767&gt;S13),AR767,"")</f>
        <v>#VALUE!</v>
      </c>
      <c r="AQ767" s="1759">
        <f t="shared" si="70"/>
        <v>764</v>
      </c>
      <c r="AR767" s="1756" t="e">
        <f>0.5*(S18+2*AQ767)*LN(1+2*AQ767/S18)</f>
        <v>#VALUE!</v>
      </c>
    </row>
    <row r="768" spans="42:44">
      <c r="AP768" s="1756" t="e">
        <f>IF(OR(AR768=S13,AR768&gt;S13),AR768,"")</f>
        <v>#VALUE!</v>
      </c>
      <c r="AQ768" s="1759">
        <f t="shared" si="70"/>
        <v>765</v>
      </c>
      <c r="AR768" s="1756" t="e">
        <f>0.5*(S18+2*AQ768)*LN(1+2*AQ768/S18)</f>
        <v>#VALUE!</v>
      </c>
    </row>
    <row r="769" spans="42:44">
      <c r="AP769" s="1756" t="e">
        <f>IF(OR(AR769=S13,AR769&gt;S13),AR769,"")</f>
        <v>#VALUE!</v>
      </c>
      <c r="AQ769" s="1759">
        <f t="shared" si="70"/>
        <v>766</v>
      </c>
      <c r="AR769" s="1756" t="e">
        <f>0.5*(S18+2*AQ769)*LN(1+2*AQ769/S18)</f>
        <v>#VALUE!</v>
      </c>
    </row>
    <row r="770" spans="42:44">
      <c r="AP770" s="1756" t="e">
        <f>IF(OR(AR770=S13,AR770&gt;S13),AR770,"")</f>
        <v>#VALUE!</v>
      </c>
      <c r="AQ770" s="1759">
        <f t="shared" si="70"/>
        <v>767</v>
      </c>
      <c r="AR770" s="1756" t="e">
        <f>0.5*(S18+2*AQ770)*LN(1+2*AQ770/S18)</f>
        <v>#VALUE!</v>
      </c>
    </row>
    <row r="771" spans="42:44">
      <c r="AP771" s="1756" t="e">
        <f>IF(OR(AR771=S13,AR771&gt;S13),AR771,"")</f>
        <v>#VALUE!</v>
      </c>
      <c r="AQ771" s="1759">
        <f t="shared" si="70"/>
        <v>768</v>
      </c>
      <c r="AR771" s="1756" t="e">
        <f>0.5*(S18+2*AQ771)*LN(1+2*AQ771/S18)</f>
        <v>#VALUE!</v>
      </c>
    </row>
    <row r="772" spans="42:44">
      <c r="AP772" s="1756" t="e">
        <f>IF(OR(AR772=S13,AR772&gt;S13),AR772,"")</f>
        <v>#VALUE!</v>
      </c>
      <c r="AQ772" s="1759">
        <f t="shared" si="70"/>
        <v>769</v>
      </c>
      <c r="AR772" s="1756" t="e">
        <f>0.5*(S18+2*AQ772)*LN(1+2*AQ772/S18)</f>
        <v>#VALUE!</v>
      </c>
    </row>
    <row r="773" spans="42:44">
      <c r="AP773" s="1756" t="e">
        <f>IF(OR(AR773=S13,AR773&gt;S13),AR773,"")</f>
        <v>#VALUE!</v>
      </c>
      <c r="AQ773" s="1759">
        <f t="shared" si="70"/>
        <v>770</v>
      </c>
      <c r="AR773" s="1756" t="e">
        <f>0.5*(S18+2*AQ773)*LN(1+2*AQ773/S18)</f>
        <v>#VALUE!</v>
      </c>
    </row>
    <row r="774" spans="42:44">
      <c r="AP774" s="1756" t="e">
        <f>IF(OR(AR774=S13,AR774&gt;S13),AR774,"")</f>
        <v>#VALUE!</v>
      </c>
      <c r="AQ774" s="1759">
        <f t="shared" ref="AQ774:AQ837" si="71">AQ773+1</f>
        <v>771</v>
      </c>
      <c r="AR774" s="1756" t="e">
        <f>0.5*(S18+2*AQ774)*LN(1+2*AQ774/S18)</f>
        <v>#VALUE!</v>
      </c>
    </row>
    <row r="775" spans="42:44">
      <c r="AP775" s="1756" t="e">
        <f>IF(OR(AR775=S13,AR775&gt;S13),AR775,"")</f>
        <v>#VALUE!</v>
      </c>
      <c r="AQ775" s="1759">
        <f t="shared" si="71"/>
        <v>772</v>
      </c>
      <c r="AR775" s="1756" t="e">
        <f>0.5*(S18+2*AQ775)*LN(1+2*AQ775/S18)</f>
        <v>#VALUE!</v>
      </c>
    </row>
    <row r="776" spans="42:44">
      <c r="AP776" s="1756" t="e">
        <f>IF(OR(AR776=S13,AR776&gt;S13),AR776,"")</f>
        <v>#VALUE!</v>
      </c>
      <c r="AQ776" s="1759">
        <f t="shared" si="71"/>
        <v>773</v>
      </c>
      <c r="AR776" s="1756" t="e">
        <f>0.5*(S18+2*AQ776)*LN(1+2*AQ776/S18)</f>
        <v>#VALUE!</v>
      </c>
    </row>
    <row r="777" spans="42:44">
      <c r="AP777" s="1756" t="e">
        <f>IF(OR(AR777=S13,AR777&gt;S13),AR777,"")</f>
        <v>#VALUE!</v>
      </c>
      <c r="AQ777" s="1759">
        <f t="shared" si="71"/>
        <v>774</v>
      </c>
      <c r="AR777" s="1756" t="e">
        <f>0.5*(S18+2*AQ777)*LN(1+2*AQ777/S18)</f>
        <v>#VALUE!</v>
      </c>
    </row>
    <row r="778" spans="42:44">
      <c r="AP778" s="1756" t="e">
        <f>IF(OR(AR778=S13,AR778&gt;S13),AR778,"")</f>
        <v>#VALUE!</v>
      </c>
      <c r="AQ778" s="1759">
        <f t="shared" si="71"/>
        <v>775</v>
      </c>
      <c r="AR778" s="1756" t="e">
        <f>0.5*(S18+2*AQ778)*LN(1+2*AQ778/S18)</f>
        <v>#VALUE!</v>
      </c>
    </row>
    <row r="779" spans="42:44">
      <c r="AP779" s="1756" t="e">
        <f>IF(OR(AR779=S13,AR779&gt;S13),AR779,"")</f>
        <v>#VALUE!</v>
      </c>
      <c r="AQ779" s="1759">
        <f t="shared" si="71"/>
        <v>776</v>
      </c>
      <c r="AR779" s="1756" t="e">
        <f>0.5*(S18+2*AQ779)*LN(1+2*AQ779/S18)</f>
        <v>#VALUE!</v>
      </c>
    </row>
    <row r="780" spans="42:44">
      <c r="AP780" s="1756" t="e">
        <f>IF(OR(AR780=S13,AR780&gt;S13),AR780,"")</f>
        <v>#VALUE!</v>
      </c>
      <c r="AQ780" s="1759">
        <f t="shared" si="71"/>
        <v>777</v>
      </c>
      <c r="AR780" s="1756" t="e">
        <f>0.5*(S18+2*AQ780)*LN(1+2*AQ780/S18)</f>
        <v>#VALUE!</v>
      </c>
    </row>
    <row r="781" spans="42:44">
      <c r="AP781" s="1756" t="e">
        <f>IF(OR(AR781=S13,AR781&gt;S13),AR781,"")</f>
        <v>#VALUE!</v>
      </c>
      <c r="AQ781" s="1759">
        <f t="shared" si="71"/>
        <v>778</v>
      </c>
      <c r="AR781" s="1756" t="e">
        <f>0.5*(S18+2*AQ781)*LN(1+2*AQ781/S18)</f>
        <v>#VALUE!</v>
      </c>
    </row>
    <row r="782" spans="42:44">
      <c r="AP782" s="1756" t="e">
        <f>IF(OR(AR782=S13,AR782&gt;S13),AR782,"")</f>
        <v>#VALUE!</v>
      </c>
      <c r="AQ782" s="1759">
        <f t="shared" si="71"/>
        <v>779</v>
      </c>
      <c r="AR782" s="1756" t="e">
        <f>0.5*(S18+2*AQ782)*LN(1+2*AQ782/S18)</f>
        <v>#VALUE!</v>
      </c>
    </row>
    <row r="783" spans="42:44">
      <c r="AP783" s="1756" t="e">
        <f>IF(OR(AR783=S13,AR783&gt;S13),AR783,"")</f>
        <v>#VALUE!</v>
      </c>
      <c r="AQ783" s="1759">
        <f t="shared" si="71"/>
        <v>780</v>
      </c>
      <c r="AR783" s="1756" t="e">
        <f>0.5*(S18+2*AQ783)*LN(1+2*AQ783/S18)</f>
        <v>#VALUE!</v>
      </c>
    </row>
    <row r="784" spans="42:44">
      <c r="AP784" s="1756" t="e">
        <f>IF(OR(AR784=S13,AR784&gt;S13),AR784,"")</f>
        <v>#VALUE!</v>
      </c>
      <c r="AQ784" s="1759">
        <f t="shared" si="71"/>
        <v>781</v>
      </c>
      <c r="AR784" s="1756" t="e">
        <f>0.5*(S18+2*AQ784)*LN(1+2*AQ784/S18)</f>
        <v>#VALUE!</v>
      </c>
    </row>
    <row r="785" spans="42:44">
      <c r="AP785" s="1756" t="e">
        <f>IF(OR(AR785=S13,AR785&gt;S13),AR785,"")</f>
        <v>#VALUE!</v>
      </c>
      <c r="AQ785" s="1759">
        <f t="shared" si="71"/>
        <v>782</v>
      </c>
      <c r="AR785" s="1756" t="e">
        <f>0.5*(S18+2*AQ785)*LN(1+2*AQ785/S18)</f>
        <v>#VALUE!</v>
      </c>
    </row>
    <row r="786" spans="42:44">
      <c r="AP786" s="1756" t="e">
        <f>IF(OR(AR786=S13,AR786&gt;S13),AR786,"")</f>
        <v>#VALUE!</v>
      </c>
      <c r="AQ786" s="1759">
        <f t="shared" si="71"/>
        <v>783</v>
      </c>
      <c r="AR786" s="1756" t="e">
        <f>0.5*(S18+2*AQ786)*LN(1+2*AQ786/S18)</f>
        <v>#VALUE!</v>
      </c>
    </row>
    <row r="787" spans="42:44">
      <c r="AP787" s="1756" t="e">
        <f>IF(OR(AR787=S13,AR787&gt;S13),AR787,"")</f>
        <v>#VALUE!</v>
      </c>
      <c r="AQ787" s="1759">
        <f t="shared" si="71"/>
        <v>784</v>
      </c>
      <c r="AR787" s="1756" t="e">
        <f>0.5*(S18+2*AQ787)*LN(1+2*AQ787/S18)</f>
        <v>#VALUE!</v>
      </c>
    </row>
    <row r="788" spans="42:44">
      <c r="AP788" s="1756" t="e">
        <f>IF(OR(AR788=S13,AR788&gt;S13),AR788,"")</f>
        <v>#VALUE!</v>
      </c>
      <c r="AQ788" s="1759">
        <f t="shared" si="71"/>
        <v>785</v>
      </c>
      <c r="AR788" s="1756" t="e">
        <f>0.5*(S18+2*AQ788)*LN(1+2*AQ788/S18)</f>
        <v>#VALUE!</v>
      </c>
    </row>
    <row r="789" spans="42:44">
      <c r="AP789" s="1756" t="e">
        <f>IF(OR(AR789=S13,AR789&gt;S13),AR789,"")</f>
        <v>#VALUE!</v>
      </c>
      <c r="AQ789" s="1759">
        <f t="shared" si="71"/>
        <v>786</v>
      </c>
      <c r="AR789" s="1756" t="e">
        <f>0.5*(S18+2*AQ789)*LN(1+2*AQ789/S18)</f>
        <v>#VALUE!</v>
      </c>
    </row>
    <row r="790" spans="42:44">
      <c r="AP790" s="1756" t="e">
        <f>IF(OR(AR790=S13,AR790&gt;S13),AR790,"")</f>
        <v>#VALUE!</v>
      </c>
      <c r="AQ790" s="1759">
        <f t="shared" si="71"/>
        <v>787</v>
      </c>
      <c r="AR790" s="1756" t="e">
        <f>0.5*(S18+2*AQ790)*LN(1+2*AQ790/S18)</f>
        <v>#VALUE!</v>
      </c>
    </row>
    <row r="791" spans="42:44">
      <c r="AP791" s="1756" t="e">
        <f>IF(OR(AR791=S13,AR791&gt;S13),AR791,"")</f>
        <v>#VALUE!</v>
      </c>
      <c r="AQ791" s="1759">
        <f t="shared" si="71"/>
        <v>788</v>
      </c>
      <c r="AR791" s="1756" t="e">
        <f>0.5*(S18+2*AQ791)*LN(1+2*AQ791/S18)</f>
        <v>#VALUE!</v>
      </c>
    </row>
    <row r="792" spans="42:44">
      <c r="AP792" s="1756" t="e">
        <f>IF(OR(AR792=S13,AR792&gt;S13),AR792,"")</f>
        <v>#VALUE!</v>
      </c>
      <c r="AQ792" s="1759">
        <f t="shared" si="71"/>
        <v>789</v>
      </c>
      <c r="AR792" s="1756" t="e">
        <f>0.5*(S18+2*AQ792)*LN(1+2*AQ792/S18)</f>
        <v>#VALUE!</v>
      </c>
    </row>
    <row r="793" spans="42:44">
      <c r="AP793" s="1756" t="e">
        <f>IF(OR(AR793=S13,AR793&gt;S13),AR793,"")</f>
        <v>#VALUE!</v>
      </c>
      <c r="AQ793" s="1759">
        <f t="shared" si="71"/>
        <v>790</v>
      </c>
      <c r="AR793" s="1756" t="e">
        <f>0.5*(S18+2*AQ793)*LN(1+2*AQ793/S18)</f>
        <v>#VALUE!</v>
      </c>
    </row>
    <row r="794" spans="42:44">
      <c r="AP794" s="1756" t="e">
        <f>IF(OR(AR794=S13,AR794&gt;S13),AR794,"")</f>
        <v>#VALUE!</v>
      </c>
      <c r="AQ794" s="1759">
        <f t="shared" si="71"/>
        <v>791</v>
      </c>
      <c r="AR794" s="1756" t="e">
        <f>0.5*(S18+2*AQ794)*LN(1+2*AQ794/S18)</f>
        <v>#VALUE!</v>
      </c>
    </row>
    <row r="795" spans="42:44">
      <c r="AP795" s="1756" t="e">
        <f>IF(OR(AR795=S13,AR795&gt;S13),AR795,"")</f>
        <v>#VALUE!</v>
      </c>
      <c r="AQ795" s="1759">
        <f t="shared" si="71"/>
        <v>792</v>
      </c>
      <c r="AR795" s="1756" t="e">
        <f>0.5*(S18+2*AQ795)*LN(1+2*AQ795/S18)</f>
        <v>#VALUE!</v>
      </c>
    </row>
    <row r="796" spans="42:44">
      <c r="AP796" s="1756" t="e">
        <f>IF(OR(AR796=S13,AR796&gt;S13),AR796,"")</f>
        <v>#VALUE!</v>
      </c>
      <c r="AQ796" s="1759">
        <f t="shared" si="71"/>
        <v>793</v>
      </c>
      <c r="AR796" s="1756" t="e">
        <f>0.5*(S18+2*AQ796)*LN(1+2*AQ796/S18)</f>
        <v>#VALUE!</v>
      </c>
    </row>
    <row r="797" spans="42:44">
      <c r="AP797" s="1756" t="e">
        <f>IF(OR(AR797=S13,AR797&gt;S13),AR797,"")</f>
        <v>#VALUE!</v>
      </c>
      <c r="AQ797" s="1759">
        <f t="shared" si="71"/>
        <v>794</v>
      </c>
      <c r="AR797" s="1756" t="e">
        <f>0.5*(S18+2*AQ797)*LN(1+2*AQ797/S18)</f>
        <v>#VALUE!</v>
      </c>
    </row>
    <row r="798" spans="42:44">
      <c r="AP798" s="1756" t="e">
        <f>IF(OR(AR798=S13,AR798&gt;S13),AR798,"")</f>
        <v>#VALUE!</v>
      </c>
      <c r="AQ798" s="1759">
        <f t="shared" si="71"/>
        <v>795</v>
      </c>
      <c r="AR798" s="1756" t="e">
        <f>0.5*(S18+2*AQ798)*LN(1+2*AQ798/S18)</f>
        <v>#VALUE!</v>
      </c>
    </row>
    <row r="799" spans="42:44">
      <c r="AP799" s="1756" t="e">
        <f>IF(OR(AR799=S13,AR799&gt;S13),AR799,"")</f>
        <v>#VALUE!</v>
      </c>
      <c r="AQ799" s="1759">
        <f t="shared" si="71"/>
        <v>796</v>
      </c>
      <c r="AR799" s="1756" t="e">
        <f>0.5*(S18+2*AQ799)*LN(1+2*AQ799/S18)</f>
        <v>#VALUE!</v>
      </c>
    </row>
    <row r="800" spans="42:44">
      <c r="AP800" s="1756" t="e">
        <f>IF(OR(AR800=S13,AR800&gt;S13),AR800,"")</f>
        <v>#VALUE!</v>
      </c>
      <c r="AQ800" s="1759">
        <f t="shared" si="71"/>
        <v>797</v>
      </c>
      <c r="AR800" s="1756" t="e">
        <f>0.5*(S18+2*AQ800)*LN(1+2*AQ800/S18)</f>
        <v>#VALUE!</v>
      </c>
    </row>
    <row r="801" spans="42:44">
      <c r="AP801" s="1756" t="e">
        <f>IF(OR(AR801=S13,AR801&gt;S13),AR801,"")</f>
        <v>#VALUE!</v>
      </c>
      <c r="AQ801" s="1759">
        <f t="shared" si="71"/>
        <v>798</v>
      </c>
      <c r="AR801" s="1756" t="e">
        <f>0.5*(S18+2*AQ801)*LN(1+2*AQ801/S18)</f>
        <v>#VALUE!</v>
      </c>
    </row>
    <row r="802" spans="42:44">
      <c r="AP802" s="1756" t="e">
        <f>IF(OR(AR802=S13,AR802&gt;S13),AR802,"")</f>
        <v>#VALUE!</v>
      </c>
      <c r="AQ802" s="1759">
        <f t="shared" si="71"/>
        <v>799</v>
      </c>
      <c r="AR802" s="1756" t="e">
        <f>0.5*(S18+2*AQ802)*LN(1+2*AQ802/S18)</f>
        <v>#VALUE!</v>
      </c>
    </row>
    <row r="803" spans="42:44">
      <c r="AP803" s="1756" t="e">
        <f>IF(OR(AR803=S13,AR803&gt;S13),AR803,"")</f>
        <v>#VALUE!</v>
      </c>
      <c r="AQ803" s="1759">
        <f t="shared" si="71"/>
        <v>800</v>
      </c>
      <c r="AR803" s="1756" t="e">
        <f>0.5*(S18+2*AQ803)*LN(1+2*AQ803/S18)</f>
        <v>#VALUE!</v>
      </c>
    </row>
    <row r="804" spans="42:44">
      <c r="AP804" s="1756" t="e">
        <f>IF(OR(AR804=S13,AR804&gt;S13),AR804,"")</f>
        <v>#VALUE!</v>
      </c>
      <c r="AQ804" s="1759">
        <f t="shared" si="71"/>
        <v>801</v>
      </c>
      <c r="AR804" s="1756" t="e">
        <f>0.5*(S18+2*AQ804)*LN(1+2*AQ804/S18)</f>
        <v>#VALUE!</v>
      </c>
    </row>
    <row r="805" spans="42:44">
      <c r="AP805" s="1756" t="e">
        <f>IF(OR(AR805=S13,AR805&gt;S13),AR805,"")</f>
        <v>#VALUE!</v>
      </c>
      <c r="AQ805" s="1759">
        <f t="shared" si="71"/>
        <v>802</v>
      </c>
      <c r="AR805" s="1756" t="e">
        <f>0.5*(S18+2*AQ805)*LN(1+2*AQ805/S18)</f>
        <v>#VALUE!</v>
      </c>
    </row>
    <row r="806" spans="42:44">
      <c r="AP806" s="1756" t="e">
        <f>IF(OR(AR806=S13,AR806&gt;S13),AR806,"")</f>
        <v>#VALUE!</v>
      </c>
      <c r="AQ806" s="1759">
        <f t="shared" si="71"/>
        <v>803</v>
      </c>
      <c r="AR806" s="1756" t="e">
        <f>0.5*(S18+2*AQ806)*LN(1+2*AQ806/S18)</f>
        <v>#VALUE!</v>
      </c>
    </row>
    <row r="807" spans="42:44">
      <c r="AP807" s="1756" t="e">
        <f>IF(OR(AR807=S13,AR807&gt;S13),AR807,"")</f>
        <v>#VALUE!</v>
      </c>
      <c r="AQ807" s="1759">
        <f t="shared" si="71"/>
        <v>804</v>
      </c>
      <c r="AR807" s="1756" t="e">
        <f>0.5*(S18+2*AQ807)*LN(1+2*AQ807/S18)</f>
        <v>#VALUE!</v>
      </c>
    </row>
    <row r="808" spans="42:44">
      <c r="AP808" s="1756" t="e">
        <f>IF(OR(AR808=S13,AR808&gt;S13),AR808,"")</f>
        <v>#VALUE!</v>
      </c>
      <c r="AQ808" s="1759">
        <f t="shared" si="71"/>
        <v>805</v>
      </c>
      <c r="AR808" s="1756" t="e">
        <f>0.5*(S18+2*AQ808)*LN(1+2*AQ808/S18)</f>
        <v>#VALUE!</v>
      </c>
    </row>
    <row r="809" spans="42:44">
      <c r="AP809" s="1756" t="e">
        <f>IF(OR(AR809=S13,AR809&gt;S13),AR809,"")</f>
        <v>#VALUE!</v>
      </c>
      <c r="AQ809" s="1759">
        <f t="shared" si="71"/>
        <v>806</v>
      </c>
      <c r="AR809" s="1756" t="e">
        <f>0.5*(S18+2*AQ809)*LN(1+2*AQ809/S18)</f>
        <v>#VALUE!</v>
      </c>
    </row>
    <row r="810" spans="42:44">
      <c r="AP810" s="1756" t="e">
        <f>IF(OR(AR810=S13,AR810&gt;S13),AR810,"")</f>
        <v>#VALUE!</v>
      </c>
      <c r="AQ810" s="1759">
        <f t="shared" si="71"/>
        <v>807</v>
      </c>
      <c r="AR810" s="1756" t="e">
        <f>0.5*(S18+2*AQ810)*LN(1+2*AQ810/S18)</f>
        <v>#VALUE!</v>
      </c>
    </row>
    <row r="811" spans="42:44">
      <c r="AP811" s="1756" t="e">
        <f>IF(OR(AR811=S13,AR811&gt;S13),AR811,"")</f>
        <v>#VALUE!</v>
      </c>
      <c r="AQ811" s="1759">
        <f t="shared" si="71"/>
        <v>808</v>
      </c>
      <c r="AR811" s="1756" t="e">
        <f>0.5*(S18+2*AQ811)*LN(1+2*AQ811/S18)</f>
        <v>#VALUE!</v>
      </c>
    </row>
    <row r="812" spans="42:44">
      <c r="AP812" s="1756" t="e">
        <f>IF(OR(AR812=S13,AR812&gt;S13),AR812,"")</f>
        <v>#VALUE!</v>
      </c>
      <c r="AQ812" s="1759">
        <f t="shared" si="71"/>
        <v>809</v>
      </c>
      <c r="AR812" s="1756" t="e">
        <f>0.5*(S18+2*AQ812)*LN(1+2*AQ812/S18)</f>
        <v>#VALUE!</v>
      </c>
    </row>
    <row r="813" spans="42:44">
      <c r="AP813" s="1756" t="e">
        <f>IF(OR(AR813=S13,AR813&gt;S13),AR813,"")</f>
        <v>#VALUE!</v>
      </c>
      <c r="AQ813" s="1759">
        <f t="shared" si="71"/>
        <v>810</v>
      </c>
      <c r="AR813" s="1756" t="e">
        <f>0.5*(S18+2*AQ813)*LN(1+2*AQ813/S18)</f>
        <v>#VALUE!</v>
      </c>
    </row>
    <row r="814" spans="42:44">
      <c r="AP814" s="1756" t="e">
        <f>IF(OR(AR814=S13,AR814&gt;S13),AR814,"")</f>
        <v>#VALUE!</v>
      </c>
      <c r="AQ814" s="1759">
        <f t="shared" si="71"/>
        <v>811</v>
      </c>
      <c r="AR814" s="1756" t="e">
        <f>0.5*(S18+2*AQ814)*LN(1+2*AQ814/S18)</f>
        <v>#VALUE!</v>
      </c>
    </row>
    <row r="815" spans="42:44">
      <c r="AP815" s="1756" t="e">
        <f>IF(OR(AR815=S13,AR815&gt;S13),AR815,"")</f>
        <v>#VALUE!</v>
      </c>
      <c r="AQ815" s="1759">
        <f t="shared" si="71"/>
        <v>812</v>
      </c>
      <c r="AR815" s="1756" t="e">
        <f>0.5*(S18+2*AQ815)*LN(1+2*AQ815/S18)</f>
        <v>#VALUE!</v>
      </c>
    </row>
    <row r="816" spans="42:44">
      <c r="AP816" s="1756" t="e">
        <f>IF(OR(AR816=S13,AR816&gt;S13),AR816,"")</f>
        <v>#VALUE!</v>
      </c>
      <c r="AQ816" s="1759">
        <f t="shared" si="71"/>
        <v>813</v>
      </c>
      <c r="AR816" s="1756" t="e">
        <f>0.5*(S18+2*AQ816)*LN(1+2*AQ816/S18)</f>
        <v>#VALUE!</v>
      </c>
    </row>
    <row r="817" spans="42:44">
      <c r="AP817" s="1756" t="e">
        <f>IF(OR(AR817=S13,AR817&gt;S13),AR817,"")</f>
        <v>#VALUE!</v>
      </c>
      <c r="AQ817" s="1759">
        <f t="shared" si="71"/>
        <v>814</v>
      </c>
      <c r="AR817" s="1756" t="e">
        <f>0.5*(S18+2*AQ817)*LN(1+2*AQ817/S18)</f>
        <v>#VALUE!</v>
      </c>
    </row>
    <row r="818" spans="42:44">
      <c r="AP818" s="1756" t="e">
        <f>IF(OR(AR818=S13,AR818&gt;S13),AR818,"")</f>
        <v>#VALUE!</v>
      </c>
      <c r="AQ818" s="1759">
        <f t="shared" si="71"/>
        <v>815</v>
      </c>
      <c r="AR818" s="1756" t="e">
        <f>0.5*(S18+2*AQ818)*LN(1+2*AQ818/S18)</f>
        <v>#VALUE!</v>
      </c>
    </row>
    <row r="819" spans="42:44">
      <c r="AP819" s="1756" t="e">
        <f>IF(OR(AR819=S13,AR819&gt;S13),AR819,"")</f>
        <v>#VALUE!</v>
      </c>
      <c r="AQ819" s="1759">
        <f t="shared" si="71"/>
        <v>816</v>
      </c>
      <c r="AR819" s="1756" t="e">
        <f>0.5*(S18+2*AQ819)*LN(1+2*AQ819/S18)</f>
        <v>#VALUE!</v>
      </c>
    </row>
    <row r="820" spans="42:44">
      <c r="AP820" s="1756" t="e">
        <f>IF(OR(AR820=S13,AR820&gt;S13),AR820,"")</f>
        <v>#VALUE!</v>
      </c>
      <c r="AQ820" s="1759">
        <f t="shared" si="71"/>
        <v>817</v>
      </c>
      <c r="AR820" s="1756" t="e">
        <f>0.5*(S18+2*AQ820)*LN(1+2*AQ820/S18)</f>
        <v>#VALUE!</v>
      </c>
    </row>
    <row r="821" spans="42:44">
      <c r="AP821" s="1756" t="e">
        <f>IF(OR(AR821=S13,AR821&gt;S13),AR821,"")</f>
        <v>#VALUE!</v>
      </c>
      <c r="AQ821" s="1759">
        <f t="shared" si="71"/>
        <v>818</v>
      </c>
      <c r="AR821" s="1756" t="e">
        <f>0.5*(S18+2*AQ821)*LN(1+2*AQ821/S18)</f>
        <v>#VALUE!</v>
      </c>
    </row>
    <row r="822" spans="42:44">
      <c r="AP822" s="1756" t="e">
        <f>IF(OR(AR822=S13,AR822&gt;S13),AR822,"")</f>
        <v>#VALUE!</v>
      </c>
      <c r="AQ822" s="1759">
        <f t="shared" si="71"/>
        <v>819</v>
      </c>
      <c r="AR822" s="1756" t="e">
        <f>0.5*(S18+2*AQ822)*LN(1+2*AQ822/S18)</f>
        <v>#VALUE!</v>
      </c>
    </row>
    <row r="823" spans="42:44">
      <c r="AP823" s="1756" t="e">
        <f>IF(OR(AR823=S13,AR823&gt;S13),AR823,"")</f>
        <v>#VALUE!</v>
      </c>
      <c r="AQ823" s="1759">
        <f t="shared" si="71"/>
        <v>820</v>
      </c>
      <c r="AR823" s="1756" t="e">
        <f>0.5*(S18+2*AQ823)*LN(1+2*AQ823/S18)</f>
        <v>#VALUE!</v>
      </c>
    </row>
    <row r="824" spans="42:44">
      <c r="AP824" s="1756" t="e">
        <f>IF(OR(AR824=S13,AR824&gt;S13),AR824,"")</f>
        <v>#VALUE!</v>
      </c>
      <c r="AQ824" s="1759">
        <f t="shared" si="71"/>
        <v>821</v>
      </c>
      <c r="AR824" s="1756" t="e">
        <f>0.5*(S18+2*AQ824)*LN(1+2*AQ824/S18)</f>
        <v>#VALUE!</v>
      </c>
    </row>
    <row r="825" spans="42:44">
      <c r="AP825" s="1756" t="e">
        <f>IF(OR(AR825=S13,AR825&gt;S13),AR825,"")</f>
        <v>#VALUE!</v>
      </c>
      <c r="AQ825" s="1759">
        <f t="shared" si="71"/>
        <v>822</v>
      </c>
      <c r="AR825" s="1756" t="e">
        <f>0.5*(S18+2*AQ825)*LN(1+2*AQ825/S18)</f>
        <v>#VALUE!</v>
      </c>
    </row>
    <row r="826" spans="42:44">
      <c r="AP826" s="1756" t="e">
        <f>IF(OR(AR826=S13,AR826&gt;S13),AR826,"")</f>
        <v>#VALUE!</v>
      </c>
      <c r="AQ826" s="1759">
        <f t="shared" si="71"/>
        <v>823</v>
      </c>
      <c r="AR826" s="1756" t="e">
        <f>0.5*(S18+2*AQ826)*LN(1+2*AQ826/S18)</f>
        <v>#VALUE!</v>
      </c>
    </row>
    <row r="827" spans="42:44">
      <c r="AP827" s="1756" t="e">
        <f>IF(OR(AR827=S13,AR827&gt;S13),AR827,"")</f>
        <v>#VALUE!</v>
      </c>
      <c r="AQ827" s="1759">
        <f t="shared" si="71"/>
        <v>824</v>
      </c>
      <c r="AR827" s="1756" t="e">
        <f>0.5*(S18+2*AQ827)*LN(1+2*AQ827/S18)</f>
        <v>#VALUE!</v>
      </c>
    </row>
    <row r="828" spans="42:44">
      <c r="AP828" s="1756" t="e">
        <f>IF(OR(AR828=S13,AR828&gt;S13),AR828,"")</f>
        <v>#VALUE!</v>
      </c>
      <c r="AQ828" s="1759">
        <f t="shared" si="71"/>
        <v>825</v>
      </c>
      <c r="AR828" s="1756" t="e">
        <f>0.5*(S18+2*AQ828)*LN(1+2*AQ828/S18)</f>
        <v>#VALUE!</v>
      </c>
    </row>
    <row r="829" spans="42:44">
      <c r="AP829" s="1756" t="e">
        <f>IF(OR(AR829=S13,AR829&gt;S13),AR829,"")</f>
        <v>#VALUE!</v>
      </c>
      <c r="AQ829" s="1759">
        <f t="shared" si="71"/>
        <v>826</v>
      </c>
      <c r="AR829" s="1756" t="e">
        <f>0.5*(S18+2*AQ829)*LN(1+2*AQ829/S18)</f>
        <v>#VALUE!</v>
      </c>
    </row>
    <row r="830" spans="42:44">
      <c r="AP830" s="1756" t="e">
        <f>IF(OR(AR830=S13,AR830&gt;S13),AR830,"")</f>
        <v>#VALUE!</v>
      </c>
      <c r="AQ830" s="1759">
        <f t="shared" si="71"/>
        <v>827</v>
      </c>
      <c r="AR830" s="1756" t="e">
        <f>0.5*(S18+2*AQ830)*LN(1+2*AQ830/S18)</f>
        <v>#VALUE!</v>
      </c>
    </row>
    <row r="831" spans="42:44">
      <c r="AP831" s="1756" t="e">
        <f>IF(OR(AR831=S13,AR831&gt;S13),AR831,"")</f>
        <v>#VALUE!</v>
      </c>
      <c r="AQ831" s="1759">
        <f t="shared" si="71"/>
        <v>828</v>
      </c>
      <c r="AR831" s="1756" t="e">
        <f>0.5*(S18+2*AQ831)*LN(1+2*AQ831/S18)</f>
        <v>#VALUE!</v>
      </c>
    </row>
    <row r="832" spans="42:44">
      <c r="AP832" s="1756" t="e">
        <f>IF(OR(AR832=S13,AR832&gt;S13),AR832,"")</f>
        <v>#VALUE!</v>
      </c>
      <c r="AQ832" s="1759">
        <f t="shared" si="71"/>
        <v>829</v>
      </c>
      <c r="AR832" s="1756" t="e">
        <f>0.5*(S18+2*AQ832)*LN(1+2*AQ832/S18)</f>
        <v>#VALUE!</v>
      </c>
    </row>
    <row r="833" spans="42:44">
      <c r="AP833" s="1756" t="e">
        <f>IF(OR(AR833=S13,AR833&gt;S13),AR833,"")</f>
        <v>#VALUE!</v>
      </c>
      <c r="AQ833" s="1759">
        <f t="shared" si="71"/>
        <v>830</v>
      </c>
      <c r="AR833" s="1756" t="e">
        <f>0.5*(S18+2*AQ833)*LN(1+2*AQ833/S18)</f>
        <v>#VALUE!</v>
      </c>
    </row>
    <row r="834" spans="42:44">
      <c r="AP834" s="1756" t="e">
        <f>IF(OR(AR834=S13,AR834&gt;S13),AR834,"")</f>
        <v>#VALUE!</v>
      </c>
      <c r="AQ834" s="1759">
        <f t="shared" si="71"/>
        <v>831</v>
      </c>
      <c r="AR834" s="1756" t="e">
        <f>0.5*(S18+2*AQ834)*LN(1+2*AQ834/S18)</f>
        <v>#VALUE!</v>
      </c>
    </row>
    <row r="835" spans="42:44">
      <c r="AP835" s="1756" t="e">
        <f>IF(OR(AR835=S13,AR835&gt;S13),AR835,"")</f>
        <v>#VALUE!</v>
      </c>
      <c r="AQ835" s="1759">
        <f t="shared" si="71"/>
        <v>832</v>
      </c>
      <c r="AR835" s="1756" t="e">
        <f>0.5*(S18+2*AQ835)*LN(1+2*AQ835/S18)</f>
        <v>#VALUE!</v>
      </c>
    </row>
    <row r="836" spans="42:44">
      <c r="AP836" s="1756" t="e">
        <f>IF(OR(AR836=S13,AR836&gt;S13),AR836,"")</f>
        <v>#VALUE!</v>
      </c>
      <c r="AQ836" s="1759">
        <f t="shared" si="71"/>
        <v>833</v>
      </c>
      <c r="AR836" s="1756" t="e">
        <f>0.5*(S18+2*AQ836)*LN(1+2*AQ836/S18)</f>
        <v>#VALUE!</v>
      </c>
    </row>
    <row r="837" spans="42:44">
      <c r="AP837" s="1756" t="e">
        <f>IF(OR(AR837=S13,AR837&gt;S13),AR837,"")</f>
        <v>#VALUE!</v>
      </c>
      <c r="AQ837" s="1759">
        <f t="shared" si="71"/>
        <v>834</v>
      </c>
      <c r="AR837" s="1756" t="e">
        <f>0.5*(S18+2*AQ837)*LN(1+2*AQ837/S18)</f>
        <v>#VALUE!</v>
      </c>
    </row>
    <row r="838" spans="42:44">
      <c r="AP838" s="1756" t="e">
        <f>IF(OR(AR838=S13,AR838&gt;S13),AR838,"")</f>
        <v>#VALUE!</v>
      </c>
      <c r="AQ838" s="1759">
        <f t="shared" ref="AQ838:AQ901" si="72">AQ837+1</f>
        <v>835</v>
      </c>
      <c r="AR838" s="1756" t="e">
        <f>0.5*(S18+2*AQ838)*LN(1+2*AQ838/S18)</f>
        <v>#VALUE!</v>
      </c>
    </row>
    <row r="839" spans="42:44">
      <c r="AP839" s="1756" t="e">
        <f>IF(OR(AR839=S13,AR839&gt;S13),AR839,"")</f>
        <v>#VALUE!</v>
      </c>
      <c r="AQ839" s="1759">
        <f t="shared" si="72"/>
        <v>836</v>
      </c>
      <c r="AR839" s="1756" t="e">
        <f>0.5*(S18+2*AQ839)*LN(1+2*AQ839/S18)</f>
        <v>#VALUE!</v>
      </c>
    </row>
    <row r="840" spans="42:44">
      <c r="AP840" s="1756" t="e">
        <f>IF(OR(AR840=S13,AR840&gt;S13),AR840,"")</f>
        <v>#VALUE!</v>
      </c>
      <c r="AQ840" s="1759">
        <f t="shared" si="72"/>
        <v>837</v>
      </c>
      <c r="AR840" s="1756" t="e">
        <f>0.5*(S18+2*AQ840)*LN(1+2*AQ840/S18)</f>
        <v>#VALUE!</v>
      </c>
    </row>
    <row r="841" spans="42:44">
      <c r="AP841" s="1756" t="e">
        <f>IF(OR(AR841=S13,AR841&gt;S13),AR841,"")</f>
        <v>#VALUE!</v>
      </c>
      <c r="AQ841" s="1759">
        <f t="shared" si="72"/>
        <v>838</v>
      </c>
      <c r="AR841" s="1756" t="e">
        <f>0.5*(S18+2*AQ841)*LN(1+2*AQ841/S18)</f>
        <v>#VALUE!</v>
      </c>
    </row>
    <row r="842" spans="42:44">
      <c r="AP842" s="1756" t="e">
        <f>IF(OR(AR842=S13,AR842&gt;S13),AR842,"")</f>
        <v>#VALUE!</v>
      </c>
      <c r="AQ842" s="1759">
        <f t="shared" si="72"/>
        <v>839</v>
      </c>
      <c r="AR842" s="1756" t="e">
        <f>0.5*(S18+2*AQ842)*LN(1+2*AQ842/S18)</f>
        <v>#VALUE!</v>
      </c>
    </row>
    <row r="843" spans="42:44">
      <c r="AP843" s="1756" t="e">
        <f>IF(OR(AR843=S13,AR843&gt;S13),AR843,"")</f>
        <v>#VALUE!</v>
      </c>
      <c r="AQ843" s="1759">
        <f t="shared" si="72"/>
        <v>840</v>
      </c>
      <c r="AR843" s="1756" t="e">
        <f>0.5*(S18+2*AQ843)*LN(1+2*AQ843/S18)</f>
        <v>#VALUE!</v>
      </c>
    </row>
    <row r="844" spans="42:44">
      <c r="AP844" s="1756" t="e">
        <f>IF(OR(AR844=S13,AR844&gt;S13),AR844,"")</f>
        <v>#VALUE!</v>
      </c>
      <c r="AQ844" s="1759">
        <f t="shared" si="72"/>
        <v>841</v>
      </c>
      <c r="AR844" s="1756" t="e">
        <f>0.5*(S18+2*AQ844)*LN(1+2*AQ844/S18)</f>
        <v>#VALUE!</v>
      </c>
    </row>
    <row r="845" spans="42:44">
      <c r="AP845" s="1756" t="e">
        <f>IF(OR(AR845=S13,AR845&gt;S13),AR845,"")</f>
        <v>#VALUE!</v>
      </c>
      <c r="AQ845" s="1759">
        <f t="shared" si="72"/>
        <v>842</v>
      </c>
      <c r="AR845" s="1756" t="e">
        <f>0.5*(S18+2*AQ845)*LN(1+2*AQ845/S18)</f>
        <v>#VALUE!</v>
      </c>
    </row>
    <row r="846" spans="42:44">
      <c r="AP846" s="1756" t="e">
        <f>IF(OR(AR846=S13,AR846&gt;S13),AR846,"")</f>
        <v>#VALUE!</v>
      </c>
      <c r="AQ846" s="1759">
        <f t="shared" si="72"/>
        <v>843</v>
      </c>
      <c r="AR846" s="1756" t="e">
        <f>0.5*(S18+2*AQ846)*LN(1+2*AQ846/S18)</f>
        <v>#VALUE!</v>
      </c>
    </row>
    <row r="847" spans="42:44">
      <c r="AP847" s="1756" t="e">
        <f>IF(OR(AR847=S13,AR847&gt;S13),AR847,"")</f>
        <v>#VALUE!</v>
      </c>
      <c r="AQ847" s="1759">
        <f t="shared" si="72"/>
        <v>844</v>
      </c>
      <c r="AR847" s="1756" t="e">
        <f>0.5*(S18+2*AQ847)*LN(1+2*AQ847/S18)</f>
        <v>#VALUE!</v>
      </c>
    </row>
    <row r="848" spans="42:44">
      <c r="AP848" s="1756" t="e">
        <f>IF(OR(AR848=S13,AR848&gt;S13),AR848,"")</f>
        <v>#VALUE!</v>
      </c>
      <c r="AQ848" s="1759">
        <f t="shared" si="72"/>
        <v>845</v>
      </c>
      <c r="AR848" s="1756" t="e">
        <f>0.5*(S18+2*AQ848)*LN(1+2*AQ848/S18)</f>
        <v>#VALUE!</v>
      </c>
    </row>
    <row r="849" spans="42:44">
      <c r="AP849" s="1756" t="e">
        <f>IF(OR(AR849=S13,AR849&gt;S13),AR849,"")</f>
        <v>#VALUE!</v>
      </c>
      <c r="AQ849" s="1759">
        <f t="shared" si="72"/>
        <v>846</v>
      </c>
      <c r="AR849" s="1756" t="e">
        <f>0.5*(S18+2*AQ849)*LN(1+2*AQ849/S18)</f>
        <v>#VALUE!</v>
      </c>
    </row>
    <row r="850" spans="42:44">
      <c r="AP850" s="1756" t="e">
        <f>IF(OR(AR850=S13,AR850&gt;S13),AR850,"")</f>
        <v>#VALUE!</v>
      </c>
      <c r="AQ850" s="1759">
        <f t="shared" si="72"/>
        <v>847</v>
      </c>
      <c r="AR850" s="1756" t="e">
        <f>0.5*(S18+2*AQ850)*LN(1+2*AQ850/S18)</f>
        <v>#VALUE!</v>
      </c>
    </row>
    <row r="851" spans="42:44">
      <c r="AP851" s="1756" t="e">
        <f>IF(OR(AR851=S13,AR851&gt;S13),AR851,"")</f>
        <v>#VALUE!</v>
      </c>
      <c r="AQ851" s="1759">
        <f t="shared" si="72"/>
        <v>848</v>
      </c>
      <c r="AR851" s="1756" t="e">
        <f>0.5*(S18+2*AQ851)*LN(1+2*AQ851/S18)</f>
        <v>#VALUE!</v>
      </c>
    </row>
    <row r="852" spans="42:44">
      <c r="AP852" s="1756" t="e">
        <f>IF(OR(AR852=S13,AR852&gt;S13),AR852,"")</f>
        <v>#VALUE!</v>
      </c>
      <c r="AQ852" s="1759">
        <f t="shared" si="72"/>
        <v>849</v>
      </c>
      <c r="AR852" s="1756" t="e">
        <f>0.5*(S18+2*AQ852)*LN(1+2*AQ852/S18)</f>
        <v>#VALUE!</v>
      </c>
    </row>
    <row r="853" spans="42:44">
      <c r="AP853" s="1756" t="e">
        <f>IF(OR(AR853=S13,AR853&gt;S13),AR853,"")</f>
        <v>#VALUE!</v>
      </c>
      <c r="AQ853" s="1759">
        <f t="shared" si="72"/>
        <v>850</v>
      </c>
      <c r="AR853" s="1756" t="e">
        <f>0.5*(S18+2*AQ853)*LN(1+2*AQ853/S18)</f>
        <v>#VALUE!</v>
      </c>
    </row>
    <row r="854" spans="42:44">
      <c r="AP854" s="1756" t="e">
        <f>IF(OR(AR854=S13,AR854&gt;S13),AR854,"")</f>
        <v>#VALUE!</v>
      </c>
      <c r="AQ854" s="1759">
        <f t="shared" si="72"/>
        <v>851</v>
      </c>
      <c r="AR854" s="1756" t="e">
        <f>0.5*(S18+2*AQ854)*LN(1+2*AQ854/S18)</f>
        <v>#VALUE!</v>
      </c>
    </row>
    <row r="855" spans="42:44">
      <c r="AP855" s="1756" t="e">
        <f>IF(OR(AR855=S13,AR855&gt;S13),AR855,"")</f>
        <v>#VALUE!</v>
      </c>
      <c r="AQ855" s="1759">
        <f t="shared" si="72"/>
        <v>852</v>
      </c>
      <c r="AR855" s="1756" t="e">
        <f>0.5*(S18+2*AQ855)*LN(1+2*AQ855/S18)</f>
        <v>#VALUE!</v>
      </c>
    </row>
    <row r="856" spans="42:44">
      <c r="AP856" s="1756" t="e">
        <f>IF(OR(AR856=S13,AR856&gt;S13),AR856,"")</f>
        <v>#VALUE!</v>
      </c>
      <c r="AQ856" s="1759">
        <f t="shared" si="72"/>
        <v>853</v>
      </c>
      <c r="AR856" s="1756" t="e">
        <f>0.5*(S18+2*AQ856)*LN(1+2*AQ856/S18)</f>
        <v>#VALUE!</v>
      </c>
    </row>
    <row r="857" spans="42:44">
      <c r="AP857" s="1756" t="e">
        <f>IF(OR(AR857=S13,AR857&gt;S13),AR857,"")</f>
        <v>#VALUE!</v>
      </c>
      <c r="AQ857" s="1759">
        <f t="shared" si="72"/>
        <v>854</v>
      </c>
      <c r="AR857" s="1756" t="e">
        <f>0.5*(S18+2*AQ857)*LN(1+2*AQ857/S18)</f>
        <v>#VALUE!</v>
      </c>
    </row>
    <row r="858" spans="42:44">
      <c r="AP858" s="1756" t="e">
        <f>IF(OR(AR858=S13,AR858&gt;S13),AR858,"")</f>
        <v>#VALUE!</v>
      </c>
      <c r="AQ858" s="1759">
        <f t="shared" si="72"/>
        <v>855</v>
      </c>
      <c r="AR858" s="1756" t="e">
        <f>0.5*(S18+2*AQ858)*LN(1+2*AQ858/S18)</f>
        <v>#VALUE!</v>
      </c>
    </row>
    <row r="859" spans="42:44">
      <c r="AP859" s="1756" t="e">
        <f>IF(OR(AR859=S13,AR859&gt;S13),AR859,"")</f>
        <v>#VALUE!</v>
      </c>
      <c r="AQ859" s="1759">
        <f t="shared" si="72"/>
        <v>856</v>
      </c>
      <c r="AR859" s="1756" t="e">
        <f>0.5*(S18+2*AQ859)*LN(1+2*AQ859/S18)</f>
        <v>#VALUE!</v>
      </c>
    </row>
    <row r="860" spans="42:44">
      <c r="AP860" s="1756" t="e">
        <f>IF(OR(AR860=S13,AR860&gt;S13),AR860,"")</f>
        <v>#VALUE!</v>
      </c>
      <c r="AQ860" s="1759">
        <f t="shared" si="72"/>
        <v>857</v>
      </c>
      <c r="AR860" s="1756" t="e">
        <f>0.5*(S18+2*AQ860)*LN(1+2*AQ860/S18)</f>
        <v>#VALUE!</v>
      </c>
    </row>
    <row r="861" spans="42:44">
      <c r="AP861" s="1756" t="e">
        <f>IF(OR(AR861=S13,AR861&gt;S13),AR861,"")</f>
        <v>#VALUE!</v>
      </c>
      <c r="AQ861" s="1759">
        <f t="shared" si="72"/>
        <v>858</v>
      </c>
      <c r="AR861" s="1756" t="e">
        <f>0.5*(S18+2*AQ861)*LN(1+2*AQ861/S18)</f>
        <v>#VALUE!</v>
      </c>
    </row>
    <row r="862" spans="42:44">
      <c r="AP862" s="1756" t="e">
        <f>IF(OR(AR862=S13,AR862&gt;S13),AR862,"")</f>
        <v>#VALUE!</v>
      </c>
      <c r="AQ862" s="1759">
        <f t="shared" si="72"/>
        <v>859</v>
      </c>
      <c r="AR862" s="1756" t="e">
        <f>0.5*(S18+2*AQ862)*LN(1+2*AQ862/S18)</f>
        <v>#VALUE!</v>
      </c>
    </row>
    <row r="863" spans="42:44">
      <c r="AP863" s="1756" t="e">
        <f>IF(OR(AR863=S13,AR863&gt;S13),AR863,"")</f>
        <v>#VALUE!</v>
      </c>
      <c r="AQ863" s="1759">
        <f t="shared" si="72"/>
        <v>860</v>
      </c>
      <c r="AR863" s="1756" t="e">
        <f>0.5*(S18+2*AQ863)*LN(1+2*AQ863/S18)</f>
        <v>#VALUE!</v>
      </c>
    </row>
    <row r="864" spans="42:44">
      <c r="AP864" s="1756" t="e">
        <f>IF(OR(AR864=S13,AR864&gt;S13),AR864,"")</f>
        <v>#VALUE!</v>
      </c>
      <c r="AQ864" s="1759">
        <f t="shared" si="72"/>
        <v>861</v>
      </c>
      <c r="AR864" s="1756" t="e">
        <f>0.5*(S18+2*AQ864)*LN(1+2*AQ864/S18)</f>
        <v>#VALUE!</v>
      </c>
    </row>
    <row r="865" spans="42:44">
      <c r="AP865" s="1756" t="e">
        <f>IF(OR(AR865=S13,AR865&gt;S13),AR865,"")</f>
        <v>#VALUE!</v>
      </c>
      <c r="AQ865" s="1759">
        <f t="shared" si="72"/>
        <v>862</v>
      </c>
      <c r="AR865" s="1756" t="e">
        <f>0.5*(S18+2*AQ865)*LN(1+2*AQ865/S18)</f>
        <v>#VALUE!</v>
      </c>
    </row>
    <row r="866" spans="42:44">
      <c r="AP866" s="1756" t="e">
        <f>IF(OR(AR866=S13,AR866&gt;S13),AR866,"")</f>
        <v>#VALUE!</v>
      </c>
      <c r="AQ866" s="1759">
        <f t="shared" si="72"/>
        <v>863</v>
      </c>
      <c r="AR866" s="1756" t="e">
        <f>0.5*(S18+2*AQ866)*LN(1+2*AQ866/S18)</f>
        <v>#VALUE!</v>
      </c>
    </row>
    <row r="867" spans="42:44">
      <c r="AP867" s="1756" t="e">
        <f>IF(OR(AR867=S13,AR867&gt;S13),AR867,"")</f>
        <v>#VALUE!</v>
      </c>
      <c r="AQ867" s="1759">
        <f t="shared" si="72"/>
        <v>864</v>
      </c>
      <c r="AR867" s="1756" t="e">
        <f>0.5*(S18+2*AQ867)*LN(1+2*AQ867/S18)</f>
        <v>#VALUE!</v>
      </c>
    </row>
    <row r="868" spans="42:44">
      <c r="AP868" s="1756" t="e">
        <f>IF(OR(AR868=S13,AR868&gt;S13),AR868,"")</f>
        <v>#VALUE!</v>
      </c>
      <c r="AQ868" s="1759">
        <f t="shared" si="72"/>
        <v>865</v>
      </c>
      <c r="AR868" s="1756" t="e">
        <f>0.5*(S18+2*AQ868)*LN(1+2*AQ868/S18)</f>
        <v>#VALUE!</v>
      </c>
    </row>
    <row r="869" spans="42:44">
      <c r="AP869" s="1756" t="e">
        <f>IF(OR(AR869=S13,AR869&gt;S13),AR869,"")</f>
        <v>#VALUE!</v>
      </c>
      <c r="AQ869" s="1759">
        <f t="shared" si="72"/>
        <v>866</v>
      </c>
      <c r="AR869" s="1756" t="e">
        <f>0.5*(S18+2*AQ869)*LN(1+2*AQ869/S18)</f>
        <v>#VALUE!</v>
      </c>
    </row>
    <row r="870" spans="42:44">
      <c r="AP870" s="1756" t="e">
        <f>IF(OR(AR870=S13,AR870&gt;S13),AR870,"")</f>
        <v>#VALUE!</v>
      </c>
      <c r="AQ870" s="1759">
        <f t="shared" si="72"/>
        <v>867</v>
      </c>
      <c r="AR870" s="1756" t="e">
        <f>0.5*(S18+2*AQ870)*LN(1+2*AQ870/S18)</f>
        <v>#VALUE!</v>
      </c>
    </row>
    <row r="871" spans="42:44">
      <c r="AP871" s="1756" t="e">
        <f>IF(OR(AR871=S13,AR871&gt;S13),AR871,"")</f>
        <v>#VALUE!</v>
      </c>
      <c r="AQ871" s="1759">
        <f t="shared" si="72"/>
        <v>868</v>
      </c>
      <c r="AR871" s="1756" t="e">
        <f>0.5*(S18+2*AQ871)*LN(1+2*AQ871/S18)</f>
        <v>#VALUE!</v>
      </c>
    </row>
    <row r="872" spans="42:44">
      <c r="AP872" s="1756" t="e">
        <f>IF(OR(AR872=S13,AR872&gt;S13),AR872,"")</f>
        <v>#VALUE!</v>
      </c>
      <c r="AQ872" s="1759">
        <f t="shared" si="72"/>
        <v>869</v>
      </c>
      <c r="AR872" s="1756" t="e">
        <f>0.5*(S18+2*AQ872)*LN(1+2*AQ872/S18)</f>
        <v>#VALUE!</v>
      </c>
    </row>
    <row r="873" spans="42:44">
      <c r="AP873" s="1756" t="e">
        <f>IF(OR(AR873=S13,AR873&gt;S13),AR873,"")</f>
        <v>#VALUE!</v>
      </c>
      <c r="AQ873" s="1759">
        <f t="shared" si="72"/>
        <v>870</v>
      </c>
      <c r="AR873" s="1756" t="e">
        <f>0.5*(S18+2*AQ873)*LN(1+2*AQ873/S18)</f>
        <v>#VALUE!</v>
      </c>
    </row>
    <row r="874" spans="42:44">
      <c r="AP874" s="1756" t="e">
        <f>IF(OR(AR874=S13,AR874&gt;S13),AR874,"")</f>
        <v>#VALUE!</v>
      </c>
      <c r="AQ874" s="1759">
        <f t="shared" si="72"/>
        <v>871</v>
      </c>
      <c r="AR874" s="1756" t="e">
        <f>0.5*(S18+2*AQ874)*LN(1+2*AQ874/S18)</f>
        <v>#VALUE!</v>
      </c>
    </row>
    <row r="875" spans="42:44">
      <c r="AP875" s="1756" t="e">
        <f>IF(OR(AR875=S13,AR875&gt;S13),AR875,"")</f>
        <v>#VALUE!</v>
      </c>
      <c r="AQ875" s="1759">
        <f t="shared" si="72"/>
        <v>872</v>
      </c>
      <c r="AR875" s="1756" t="e">
        <f>0.5*(S18+2*AQ875)*LN(1+2*AQ875/S18)</f>
        <v>#VALUE!</v>
      </c>
    </row>
    <row r="876" spans="42:44">
      <c r="AP876" s="1756" t="e">
        <f>IF(OR(AR876=S13,AR876&gt;S13),AR876,"")</f>
        <v>#VALUE!</v>
      </c>
      <c r="AQ876" s="1759">
        <f t="shared" si="72"/>
        <v>873</v>
      </c>
      <c r="AR876" s="1756" t="e">
        <f>0.5*(S18+2*AQ876)*LN(1+2*AQ876/S18)</f>
        <v>#VALUE!</v>
      </c>
    </row>
    <row r="877" spans="42:44">
      <c r="AP877" s="1756" t="e">
        <f>IF(OR(AR877=S13,AR877&gt;S13),AR877,"")</f>
        <v>#VALUE!</v>
      </c>
      <c r="AQ877" s="1759">
        <f t="shared" si="72"/>
        <v>874</v>
      </c>
      <c r="AR877" s="1756" t="e">
        <f>0.5*(S18+2*AQ877)*LN(1+2*AQ877/S18)</f>
        <v>#VALUE!</v>
      </c>
    </row>
    <row r="878" spans="42:44">
      <c r="AP878" s="1756" t="e">
        <f>IF(OR(AR878=S13,AR878&gt;S13),AR878,"")</f>
        <v>#VALUE!</v>
      </c>
      <c r="AQ878" s="1759">
        <f t="shared" si="72"/>
        <v>875</v>
      </c>
      <c r="AR878" s="1756" t="e">
        <f>0.5*(S18+2*AQ878)*LN(1+2*AQ878/S18)</f>
        <v>#VALUE!</v>
      </c>
    </row>
    <row r="879" spans="42:44">
      <c r="AP879" s="1756" t="e">
        <f>IF(OR(AR879=S13,AR879&gt;S13),AR879,"")</f>
        <v>#VALUE!</v>
      </c>
      <c r="AQ879" s="1759">
        <f t="shared" si="72"/>
        <v>876</v>
      </c>
      <c r="AR879" s="1756" t="e">
        <f>0.5*(S18+2*AQ879)*LN(1+2*AQ879/S18)</f>
        <v>#VALUE!</v>
      </c>
    </row>
    <row r="880" spans="42:44">
      <c r="AP880" s="1756" t="e">
        <f>IF(OR(AR880=S13,AR880&gt;S13),AR880,"")</f>
        <v>#VALUE!</v>
      </c>
      <c r="AQ880" s="1759">
        <f t="shared" si="72"/>
        <v>877</v>
      </c>
      <c r="AR880" s="1756" t="e">
        <f>0.5*(S18+2*AQ880)*LN(1+2*AQ880/S18)</f>
        <v>#VALUE!</v>
      </c>
    </row>
    <row r="881" spans="42:44">
      <c r="AP881" s="1756" t="e">
        <f>IF(OR(AR881=S13,AR881&gt;S13),AR881,"")</f>
        <v>#VALUE!</v>
      </c>
      <c r="AQ881" s="1759">
        <f t="shared" si="72"/>
        <v>878</v>
      </c>
      <c r="AR881" s="1756" t="e">
        <f>0.5*(S18+2*AQ881)*LN(1+2*AQ881/S18)</f>
        <v>#VALUE!</v>
      </c>
    </row>
    <row r="882" spans="42:44">
      <c r="AP882" s="1756" t="e">
        <f>IF(OR(AR882=S13,AR882&gt;S13),AR882,"")</f>
        <v>#VALUE!</v>
      </c>
      <c r="AQ882" s="1759">
        <f t="shared" si="72"/>
        <v>879</v>
      </c>
      <c r="AR882" s="1756" t="e">
        <f>0.5*(S18+2*AQ882)*LN(1+2*AQ882/S18)</f>
        <v>#VALUE!</v>
      </c>
    </row>
    <row r="883" spans="42:44">
      <c r="AP883" s="1756" t="e">
        <f>IF(OR(AR883=S13,AR883&gt;S13),AR883,"")</f>
        <v>#VALUE!</v>
      </c>
      <c r="AQ883" s="1759">
        <f t="shared" si="72"/>
        <v>880</v>
      </c>
      <c r="AR883" s="1756" t="e">
        <f>0.5*(S18+2*AQ883)*LN(1+2*AQ883/S18)</f>
        <v>#VALUE!</v>
      </c>
    </row>
    <row r="884" spans="42:44">
      <c r="AP884" s="1756" t="e">
        <f>IF(OR(AR884=S13,AR884&gt;S13),AR884,"")</f>
        <v>#VALUE!</v>
      </c>
      <c r="AQ884" s="1759">
        <f t="shared" si="72"/>
        <v>881</v>
      </c>
      <c r="AR884" s="1756" t="e">
        <f>0.5*(S18+2*AQ884)*LN(1+2*AQ884/S18)</f>
        <v>#VALUE!</v>
      </c>
    </row>
    <row r="885" spans="42:44">
      <c r="AP885" s="1756" t="e">
        <f>IF(OR(AR885=S13,AR885&gt;S13),AR885,"")</f>
        <v>#VALUE!</v>
      </c>
      <c r="AQ885" s="1759">
        <f t="shared" si="72"/>
        <v>882</v>
      </c>
      <c r="AR885" s="1756" t="e">
        <f>0.5*(S18+2*AQ885)*LN(1+2*AQ885/S18)</f>
        <v>#VALUE!</v>
      </c>
    </row>
    <row r="886" spans="42:44">
      <c r="AP886" s="1756" t="e">
        <f>IF(OR(AR886=S13,AR886&gt;S13),AR886,"")</f>
        <v>#VALUE!</v>
      </c>
      <c r="AQ886" s="1759">
        <f t="shared" si="72"/>
        <v>883</v>
      </c>
      <c r="AR886" s="1756" t="e">
        <f>0.5*(S18+2*AQ886)*LN(1+2*AQ886/S18)</f>
        <v>#VALUE!</v>
      </c>
    </row>
    <row r="887" spans="42:44">
      <c r="AP887" s="1756" t="e">
        <f>IF(OR(AR887=S13,AR887&gt;S13),AR887,"")</f>
        <v>#VALUE!</v>
      </c>
      <c r="AQ887" s="1759">
        <f t="shared" si="72"/>
        <v>884</v>
      </c>
      <c r="AR887" s="1756" t="e">
        <f>0.5*(S18+2*AQ887)*LN(1+2*AQ887/S18)</f>
        <v>#VALUE!</v>
      </c>
    </row>
    <row r="888" spans="42:44">
      <c r="AP888" s="1756" t="e">
        <f>IF(OR(AR888=S13,AR888&gt;S13),AR888,"")</f>
        <v>#VALUE!</v>
      </c>
      <c r="AQ888" s="1759">
        <f t="shared" si="72"/>
        <v>885</v>
      </c>
      <c r="AR888" s="1756" t="e">
        <f>0.5*(S18+2*AQ888)*LN(1+2*AQ888/S18)</f>
        <v>#VALUE!</v>
      </c>
    </row>
    <row r="889" spans="42:44">
      <c r="AP889" s="1756" t="e">
        <f>IF(OR(AR889=S13,AR889&gt;S13),AR889,"")</f>
        <v>#VALUE!</v>
      </c>
      <c r="AQ889" s="1759">
        <f t="shared" si="72"/>
        <v>886</v>
      </c>
      <c r="AR889" s="1756" t="e">
        <f>0.5*(S18+2*AQ889)*LN(1+2*AQ889/S18)</f>
        <v>#VALUE!</v>
      </c>
    </row>
    <row r="890" spans="42:44">
      <c r="AP890" s="1756" t="e">
        <f>IF(OR(AR890=S13,AR890&gt;S13),AR890,"")</f>
        <v>#VALUE!</v>
      </c>
      <c r="AQ890" s="1759">
        <f t="shared" si="72"/>
        <v>887</v>
      </c>
      <c r="AR890" s="1756" t="e">
        <f>0.5*(S18+2*AQ890)*LN(1+2*AQ890/S18)</f>
        <v>#VALUE!</v>
      </c>
    </row>
    <row r="891" spans="42:44">
      <c r="AP891" s="1756" t="e">
        <f>IF(OR(AR891=S13,AR891&gt;S13),AR891,"")</f>
        <v>#VALUE!</v>
      </c>
      <c r="AQ891" s="1759">
        <f t="shared" si="72"/>
        <v>888</v>
      </c>
      <c r="AR891" s="1756" t="e">
        <f>0.5*(S18+2*AQ891)*LN(1+2*AQ891/S18)</f>
        <v>#VALUE!</v>
      </c>
    </row>
    <row r="892" spans="42:44">
      <c r="AP892" s="1756" t="e">
        <f>IF(OR(AR892=S13,AR892&gt;S13),AR892,"")</f>
        <v>#VALUE!</v>
      </c>
      <c r="AQ892" s="1759">
        <f t="shared" si="72"/>
        <v>889</v>
      </c>
      <c r="AR892" s="1756" t="e">
        <f>0.5*(S18+2*AQ892)*LN(1+2*AQ892/S18)</f>
        <v>#VALUE!</v>
      </c>
    </row>
    <row r="893" spans="42:44">
      <c r="AP893" s="1756" t="e">
        <f>IF(OR(AR893=S13,AR893&gt;S13),AR893,"")</f>
        <v>#VALUE!</v>
      </c>
      <c r="AQ893" s="1759">
        <f t="shared" si="72"/>
        <v>890</v>
      </c>
      <c r="AR893" s="1756" t="e">
        <f>0.5*(S18+2*AQ893)*LN(1+2*AQ893/S18)</f>
        <v>#VALUE!</v>
      </c>
    </row>
    <row r="894" spans="42:44">
      <c r="AP894" s="1756" t="e">
        <f>IF(OR(AR894=S13,AR894&gt;S13),AR894,"")</f>
        <v>#VALUE!</v>
      </c>
      <c r="AQ894" s="1759">
        <f t="shared" si="72"/>
        <v>891</v>
      </c>
      <c r="AR894" s="1756" t="e">
        <f>0.5*(S18+2*AQ894)*LN(1+2*AQ894/S18)</f>
        <v>#VALUE!</v>
      </c>
    </row>
    <row r="895" spans="42:44">
      <c r="AP895" s="1756" t="e">
        <f>IF(OR(AR895=S13,AR895&gt;S13),AR895,"")</f>
        <v>#VALUE!</v>
      </c>
      <c r="AQ895" s="1759">
        <f t="shared" si="72"/>
        <v>892</v>
      </c>
      <c r="AR895" s="1756" t="e">
        <f>0.5*(S18+2*AQ895)*LN(1+2*AQ895/S18)</f>
        <v>#VALUE!</v>
      </c>
    </row>
    <row r="896" spans="42:44">
      <c r="AP896" s="1756" t="e">
        <f>IF(OR(AR896=S13,AR896&gt;S13),AR896,"")</f>
        <v>#VALUE!</v>
      </c>
      <c r="AQ896" s="1759">
        <f t="shared" si="72"/>
        <v>893</v>
      </c>
      <c r="AR896" s="1756" t="e">
        <f>0.5*(S18+2*AQ896)*LN(1+2*AQ896/S18)</f>
        <v>#VALUE!</v>
      </c>
    </row>
    <row r="897" spans="42:44">
      <c r="AP897" s="1756" t="e">
        <f>IF(OR(AR897=S13,AR897&gt;S13),AR897,"")</f>
        <v>#VALUE!</v>
      </c>
      <c r="AQ897" s="1759">
        <f t="shared" si="72"/>
        <v>894</v>
      </c>
      <c r="AR897" s="1756" t="e">
        <f>0.5*(S18+2*AQ897)*LN(1+2*AQ897/S18)</f>
        <v>#VALUE!</v>
      </c>
    </row>
    <row r="898" spans="42:44">
      <c r="AP898" s="1756" t="e">
        <f>IF(OR(AR898=S13,AR898&gt;S13),AR898,"")</f>
        <v>#VALUE!</v>
      </c>
      <c r="AQ898" s="1759">
        <f t="shared" si="72"/>
        <v>895</v>
      </c>
      <c r="AR898" s="1756" t="e">
        <f>0.5*(S18+2*AQ898)*LN(1+2*AQ898/S18)</f>
        <v>#VALUE!</v>
      </c>
    </row>
    <row r="899" spans="42:44">
      <c r="AP899" s="1756" t="e">
        <f>IF(OR(AR899=S13,AR899&gt;S13),AR899,"")</f>
        <v>#VALUE!</v>
      </c>
      <c r="AQ899" s="1759">
        <f t="shared" si="72"/>
        <v>896</v>
      </c>
      <c r="AR899" s="1756" t="e">
        <f>0.5*(S18+2*AQ899)*LN(1+2*AQ899/S18)</f>
        <v>#VALUE!</v>
      </c>
    </row>
    <row r="900" spans="42:44">
      <c r="AP900" s="1756" t="e">
        <f>IF(OR(AR900=S13,AR900&gt;S13),AR900,"")</f>
        <v>#VALUE!</v>
      </c>
      <c r="AQ900" s="1759">
        <f t="shared" si="72"/>
        <v>897</v>
      </c>
      <c r="AR900" s="1756" t="e">
        <f>0.5*(S18+2*AQ900)*LN(1+2*AQ900/S18)</f>
        <v>#VALUE!</v>
      </c>
    </row>
    <row r="901" spans="42:44">
      <c r="AP901" s="1756" t="e">
        <f>IF(OR(AR901=S13,AR901&gt;S13),AR901,"")</f>
        <v>#VALUE!</v>
      </c>
      <c r="AQ901" s="1759">
        <f t="shared" si="72"/>
        <v>898</v>
      </c>
      <c r="AR901" s="1756" t="e">
        <f>0.5*(S18+2*AQ901)*LN(1+2*AQ901/S18)</f>
        <v>#VALUE!</v>
      </c>
    </row>
    <row r="902" spans="42:44">
      <c r="AP902" s="1756" t="e">
        <f>IF(OR(AR902=S13,AR902&gt;S13),AR902,"")</f>
        <v>#VALUE!</v>
      </c>
      <c r="AQ902" s="1759">
        <f t="shared" ref="AQ902:AQ965" si="73">AQ901+1</f>
        <v>899</v>
      </c>
      <c r="AR902" s="1756" t="e">
        <f>0.5*(S18+2*AQ902)*LN(1+2*AQ902/S18)</f>
        <v>#VALUE!</v>
      </c>
    </row>
    <row r="903" spans="42:44">
      <c r="AP903" s="1756" t="e">
        <f>IF(OR(AR903=S13,AR903&gt;S13),AR903,"")</f>
        <v>#VALUE!</v>
      </c>
      <c r="AQ903" s="1759">
        <f t="shared" si="73"/>
        <v>900</v>
      </c>
      <c r="AR903" s="1756" t="e">
        <f>0.5*(S18+2*AQ903)*LN(1+2*AQ903/S18)</f>
        <v>#VALUE!</v>
      </c>
    </row>
    <row r="904" spans="42:44">
      <c r="AP904" s="1756" t="e">
        <f>IF(OR(AR904=S13,AR904&gt;S13),AR904,"")</f>
        <v>#VALUE!</v>
      </c>
      <c r="AQ904" s="1759">
        <f t="shared" si="73"/>
        <v>901</v>
      </c>
      <c r="AR904" s="1756" t="e">
        <f>0.5*(S18+2*AQ904)*LN(1+2*AQ904/S18)</f>
        <v>#VALUE!</v>
      </c>
    </row>
    <row r="905" spans="42:44">
      <c r="AP905" s="1756" t="e">
        <f>IF(OR(AR905=S13,AR905&gt;S13),AR905,"")</f>
        <v>#VALUE!</v>
      </c>
      <c r="AQ905" s="1759">
        <f t="shared" si="73"/>
        <v>902</v>
      </c>
      <c r="AR905" s="1756" t="e">
        <f>0.5*(S18+2*AQ905)*LN(1+2*AQ905/S18)</f>
        <v>#VALUE!</v>
      </c>
    </row>
    <row r="906" spans="42:44">
      <c r="AP906" s="1756" t="e">
        <f>IF(OR(AR906=S13,AR906&gt;S13),AR906,"")</f>
        <v>#VALUE!</v>
      </c>
      <c r="AQ906" s="1759">
        <f t="shared" si="73"/>
        <v>903</v>
      </c>
      <c r="AR906" s="1756" t="e">
        <f>0.5*(S18+2*AQ906)*LN(1+2*AQ906/S18)</f>
        <v>#VALUE!</v>
      </c>
    </row>
    <row r="907" spans="42:44">
      <c r="AP907" s="1756" t="e">
        <f>IF(OR(AR907=S13,AR907&gt;S13),AR907,"")</f>
        <v>#VALUE!</v>
      </c>
      <c r="AQ907" s="1759">
        <f t="shared" si="73"/>
        <v>904</v>
      </c>
      <c r="AR907" s="1756" t="e">
        <f>0.5*(S18+2*AQ907)*LN(1+2*AQ907/S18)</f>
        <v>#VALUE!</v>
      </c>
    </row>
    <row r="908" spans="42:44">
      <c r="AP908" s="1756" t="e">
        <f>IF(OR(AR908=S13,AR908&gt;S13),AR908,"")</f>
        <v>#VALUE!</v>
      </c>
      <c r="AQ908" s="1759">
        <f t="shared" si="73"/>
        <v>905</v>
      </c>
      <c r="AR908" s="1756" t="e">
        <f>0.5*(S18+2*AQ908)*LN(1+2*AQ908/S18)</f>
        <v>#VALUE!</v>
      </c>
    </row>
    <row r="909" spans="42:44">
      <c r="AP909" s="1756" t="e">
        <f>IF(OR(AR909=S13,AR909&gt;S13),AR909,"")</f>
        <v>#VALUE!</v>
      </c>
      <c r="AQ909" s="1759">
        <f t="shared" si="73"/>
        <v>906</v>
      </c>
      <c r="AR909" s="1756" t="e">
        <f>0.5*(S18+2*AQ909)*LN(1+2*AQ909/S18)</f>
        <v>#VALUE!</v>
      </c>
    </row>
    <row r="910" spans="42:44">
      <c r="AP910" s="1756" t="e">
        <f>IF(OR(AR910=S13,AR910&gt;S13),AR910,"")</f>
        <v>#VALUE!</v>
      </c>
      <c r="AQ910" s="1759">
        <f t="shared" si="73"/>
        <v>907</v>
      </c>
      <c r="AR910" s="1756" t="e">
        <f>0.5*(S18+2*AQ910)*LN(1+2*AQ910/S18)</f>
        <v>#VALUE!</v>
      </c>
    </row>
    <row r="911" spans="42:44">
      <c r="AP911" s="1756" t="e">
        <f>IF(OR(AR911=S13,AR911&gt;S13),AR911,"")</f>
        <v>#VALUE!</v>
      </c>
      <c r="AQ911" s="1759">
        <f t="shared" si="73"/>
        <v>908</v>
      </c>
      <c r="AR911" s="1756" t="e">
        <f>0.5*(S18+2*AQ911)*LN(1+2*AQ911/S18)</f>
        <v>#VALUE!</v>
      </c>
    </row>
    <row r="912" spans="42:44">
      <c r="AP912" s="1756" t="e">
        <f>IF(OR(AR912=S13,AR912&gt;S13),AR912,"")</f>
        <v>#VALUE!</v>
      </c>
      <c r="AQ912" s="1759">
        <f t="shared" si="73"/>
        <v>909</v>
      </c>
      <c r="AR912" s="1756" t="e">
        <f>0.5*(S18+2*AQ912)*LN(1+2*AQ912/S18)</f>
        <v>#VALUE!</v>
      </c>
    </row>
    <row r="913" spans="42:44">
      <c r="AP913" s="1756" t="e">
        <f>IF(OR(AR913=S13,AR913&gt;S13),AR913,"")</f>
        <v>#VALUE!</v>
      </c>
      <c r="AQ913" s="1759">
        <f t="shared" si="73"/>
        <v>910</v>
      </c>
      <c r="AR913" s="1756" t="e">
        <f>0.5*(S18+2*AQ913)*LN(1+2*AQ913/S18)</f>
        <v>#VALUE!</v>
      </c>
    </row>
    <row r="914" spans="42:44">
      <c r="AP914" s="1756" t="e">
        <f>IF(OR(AR914=S13,AR914&gt;S13),AR914,"")</f>
        <v>#VALUE!</v>
      </c>
      <c r="AQ914" s="1759">
        <f t="shared" si="73"/>
        <v>911</v>
      </c>
      <c r="AR914" s="1756" t="e">
        <f>0.5*(S18+2*AQ914)*LN(1+2*AQ914/S18)</f>
        <v>#VALUE!</v>
      </c>
    </row>
    <row r="915" spans="42:44">
      <c r="AP915" s="1756" t="e">
        <f>IF(OR(AR915=S13,AR915&gt;S13),AR915,"")</f>
        <v>#VALUE!</v>
      </c>
      <c r="AQ915" s="1759">
        <f t="shared" si="73"/>
        <v>912</v>
      </c>
      <c r="AR915" s="1756" t="e">
        <f>0.5*(S18+2*AQ915)*LN(1+2*AQ915/S18)</f>
        <v>#VALUE!</v>
      </c>
    </row>
    <row r="916" spans="42:44">
      <c r="AP916" s="1756" t="e">
        <f>IF(OR(AR916=S13,AR916&gt;S13),AR916,"")</f>
        <v>#VALUE!</v>
      </c>
      <c r="AQ916" s="1759">
        <f t="shared" si="73"/>
        <v>913</v>
      </c>
      <c r="AR916" s="1756" t="e">
        <f>0.5*(S18+2*AQ916)*LN(1+2*AQ916/S18)</f>
        <v>#VALUE!</v>
      </c>
    </row>
    <row r="917" spans="42:44">
      <c r="AP917" s="1756" t="e">
        <f>IF(OR(AR917=S13,AR917&gt;S13),AR917,"")</f>
        <v>#VALUE!</v>
      </c>
      <c r="AQ917" s="1759">
        <f t="shared" si="73"/>
        <v>914</v>
      </c>
      <c r="AR917" s="1756" t="e">
        <f>0.5*(S18+2*AQ917)*LN(1+2*AQ917/S18)</f>
        <v>#VALUE!</v>
      </c>
    </row>
    <row r="918" spans="42:44">
      <c r="AP918" s="1756" t="e">
        <f>IF(OR(AR918=S13,AR918&gt;S13),AR918,"")</f>
        <v>#VALUE!</v>
      </c>
      <c r="AQ918" s="1759">
        <f t="shared" si="73"/>
        <v>915</v>
      </c>
      <c r="AR918" s="1756" t="e">
        <f>0.5*(S18+2*AQ918)*LN(1+2*AQ918/S18)</f>
        <v>#VALUE!</v>
      </c>
    </row>
    <row r="919" spans="42:44">
      <c r="AP919" s="1756" t="e">
        <f>IF(OR(AR919=S13,AR919&gt;S13),AR919,"")</f>
        <v>#VALUE!</v>
      </c>
      <c r="AQ919" s="1759">
        <f t="shared" si="73"/>
        <v>916</v>
      </c>
      <c r="AR919" s="1756" t="e">
        <f>0.5*(S18+2*AQ919)*LN(1+2*AQ919/S18)</f>
        <v>#VALUE!</v>
      </c>
    </row>
    <row r="920" spans="42:44">
      <c r="AP920" s="1756" t="e">
        <f>IF(OR(AR920=S13,AR920&gt;S13),AR920,"")</f>
        <v>#VALUE!</v>
      </c>
      <c r="AQ920" s="1759">
        <f t="shared" si="73"/>
        <v>917</v>
      </c>
      <c r="AR920" s="1756" t="e">
        <f>0.5*(S18+2*AQ920)*LN(1+2*AQ920/S18)</f>
        <v>#VALUE!</v>
      </c>
    </row>
    <row r="921" spans="42:44">
      <c r="AP921" s="1756" t="e">
        <f>IF(OR(AR921=S13,AR921&gt;S13),AR921,"")</f>
        <v>#VALUE!</v>
      </c>
      <c r="AQ921" s="1759">
        <f t="shared" si="73"/>
        <v>918</v>
      </c>
      <c r="AR921" s="1756" t="e">
        <f>0.5*(S18+2*AQ921)*LN(1+2*AQ921/S18)</f>
        <v>#VALUE!</v>
      </c>
    </row>
    <row r="922" spans="42:44">
      <c r="AP922" s="1756" t="e">
        <f>IF(OR(AR922=S13,AR922&gt;S13),AR922,"")</f>
        <v>#VALUE!</v>
      </c>
      <c r="AQ922" s="1759">
        <f t="shared" si="73"/>
        <v>919</v>
      </c>
      <c r="AR922" s="1756" t="e">
        <f>0.5*(S18+2*AQ922)*LN(1+2*AQ922/S18)</f>
        <v>#VALUE!</v>
      </c>
    </row>
    <row r="923" spans="42:44">
      <c r="AP923" s="1756" t="e">
        <f>IF(OR(AR923=S13,AR923&gt;S13),AR923,"")</f>
        <v>#VALUE!</v>
      </c>
      <c r="AQ923" s="1759">
        <f t="shared" si="73"/>
        <v>920</v>
      </c>
      <c r="AR923" s="1756" t="e">
        <f>0.5*(S18+2*AQ923)*LN(1+2*AQ923/S18)</f>
        <v>#VALUE!</v>
      </c>
    </row>
    <row r="924" spans="42:44">
      <c r="AP924" s="1756" t="e">
        <f>IF(OR(AR924=S13,AR924&gt;S13),AR924,"")</f>
        <v>#VALUE!</v>
      </c>
      <c r="AQ924" s="1759">
        <f t="shared" si="73"/>
        <v>921</v>
      </c>
      <c r="AR924" s="1756" t="e">
        <f>0.5*(S18+2*AQ924)*LN(1+2*AQ924/S18)</f>
        <v>#VALUE!</v>
      </c>
    </row>
    <row r="925" spans="42:44">
      <c r="AP925" s="1756" t="e">
        <f>IF(OR(AR925=S13,AR925&gt;S13),AR925,"")</f>
        <v>#VALUE!</v>
      </c>
      <c r="AQ925" s="1759">
        <f t="shared" si="73"/>
        <v>922</v>
      </c>
      <c r="AR925" s="1756" t="e">
        <f>0.5*(S18+2*AQ925)*LN(1+2*AQ925/S18)</f>
        <v>#VALUE!</v>
      </c>
    </row>
    <row r="926" spans="42:44">
      <c r="AP926" s="1756" t="e">
        <f>IF(OR(AR926=S13,AR926&gt;S13),AR926,"")</f>
        <v>#VALUE!</v>
      </c>
      <c r="AQ926" s="1759">
        <f t="shared" si="73"/>
        <v>923</v>
      </c>
      <c r="AR926" s="1756" t="e">
        <f>0.5*(S18+2*AQ926)*LN(1+2*AQ926/S18)</f>
        <v>#VALUE!</v>
      </c>
    </row>
    <row r="927" spans="42:44">
      <c r="AP927" s="1756" t="e">
        <f>IF(OR(AR927=S13,AR927&gt;S13),AR927,"")</f>
        <v>#VALUE!</v>
      </c>
      <c r="AQ927" s="1759">
        <f t="shared" si="73"/>
        <v>924</v>
      </c>
      <c r="AR927" s="1756" t="e">
        <f>0.5*(S18+2*AQ927)*LN(1+2*AQ927/S18)</f>
        <v>#VALUE!</v>
      </c>
    </row>
    <row r="928" spans="42:44">
      <c r="AP928" s="1756" t="e">
        <f>IF(OR(AR928=S13,AR928&gt;S13),AR928,"")</f>
        <v>#VALUE!</v>
      </c>
      <c r="AQ928" s="1759">
        <f t="shared" si="73"/>
        <v>925</v>
      </c>
      <c r="AR928" s="1756" t="e">
        <f>0.5*(S18+2*AQ928)*LN(1+2*AQ928/S18)</f>
        <v>#VALUE!</v>
      </c>
    </row>
    <row r="929" spans="42:44">
      <c r="AP929" s="1756" t="e">
        <f>IF(OR(AR929=S13,AR929&gt;S13),AR929,"")</f>
        <v>#VALUE!</v>
      </c>
      <c r="AQ929" s="1759">
        <f t="shared" si="73"/>
        <v>926</v>
      </c>
      <c r="AR929" s="1756" t="e">
        <f>0.5*(S18+2*AQ929)*LN(1+2*AQ929/S18)</f>
        <v>#VALUE!</v>
      </c>
    </row>
    <row r="930" spans="42:44">
      <c r="AP930" s="1756" t="e">
        <f>IF(OR(AR930=S13,AR930&gt;S13),AR930,"")</f>
        <v>#VALUE!</v>
      </c>
      <c r="AQ930" s="1759">
        <f t="shared" si="73"/>
        <v>927</v>
      </c>
      <c r="AR930" s="1756" t="e">
        <f>0.5*(S18+2*AQ930)*LN(1+2*AQ930/S18)</f>
        <v>#VALUE!</v>
      </c>
    </row>
    <row r="931" spans="42:44">
      <c r="AP931" s="1756" t="e">
        <f>IF(OR(AR931=S13,AR931&gt;S13),AR931,"")</f>
        <v>#VALUE!</v>
      </c>
      <c r="AQ931" s="1759">
        <f t="shared" si="73"/>
        <v>928</v>
      </c>
      <c r="AR931" s="1756" t="e">
        <f>0.5*(S18+2*AQ931)*LN(1+2*AQ931/S18)</f>
        <v>#VALUE!</v>
      </c>
    </row>
    <row r="932" spans="42:44">
      <c r="AP932" s="1756" t="e">
        <f>IF(OR(AR932=S13,AR932&gt;S13),AR932,"")</f>
        <v>#VALUE!</v>
      </c>
      <c r="AQ932" s="1759">
        <f t="shared" si="73"/>
        <v>929</v>
      </c>
      <c r="AR932" s="1756" t="e">
        <f>0.5*(S18+2*AQ932)*LN(1+2*AQ932/S18)</f>
        <v>#VALUE!</v>
      </c>
    </row>
    <row r="933" spans="42:44">
      <c r="AP933" s="1756" t="e">
        <f>IF(OR(AR933=S13,AR933&gt;S13),AR933,"")</f>
        <v>#VALUE!</v>
      </c>
      <c r="AQ933" s="1759">
        <f t="shared" si="73"/>
        <v>930</v>
      </c>
      <c r="AR933" s="1756" t="e">
        <f>0.5*(S18+2*AQ933)*LN(1+2*AQ933/S18)</f>
        <v>#VALUE!</v>
      </c>
    </row>
    <row r="934" spans="42:44">
      <c r="AP934" s="1756" t="e">
        <f>IF(OR(AR934=S13,AR934&gt;S13),AR934,"")</f>
        <v>#VALUE!</v>
      </c>
      <c r="AQ934" s="1759">
        <f t="shared" si="73"/>
        <v>931</v>
      </c>
      <c r="AR934" s="1756" t="e">
        <f>0.5*(S18+2*AQ934)*LN(1+2*AQ934/S18)</f>
        <v>#VALUE!</v>
      </c>
    </row>
    <row r="935" spans="42:44">
      <c r="AP935" s="1756" t="e">
        <f>IF(OR(AR935=S13,AR935&gt;S13),AR935,"")</f>
        <v>#VALUE!</v>
      </c>
      <c r="AQ935" s="1759">
        <f t="shared" si="73"/>
        <v>932</v>
      </c>
      <c r="AR935" s="1756" t="e">
        <f>0.5*(S18+2*AQ935)*LN(1+2*AQ935/S18)</f>
        <v>#VALUE!</v>
      </c>
    </row>
    <row r="936" spans="42:44">
      <c r="AP936" s="1756" t="e">
        <f>IF(OR(AR936=S13,AR936&gt;S13),AR936,"")</f>
        <v>#VALUE!</v>
      </c>
      <c r="AQ936" s="1759">
        <f t="shared" si="73"/>
        <v>933</v>
      </c>
      <c r="AR936" s="1756" t="e">
        <f>0.5*(S18+2*AQ936)*LN(1+2*AQ936/S18)</f>
        <v>#VALUE!</v>
      </c>
    </row>
    <row r="937" spans="42:44">
      <c r="AP937" s="1756" t="e">
        <f>IF(OR(AR937=S13,AR937&gt;S13),AR937,"")</f>
        <v>#VALUE!</v>
      </c>
      <c r="AQ937" s="1759">
        <f t="shared" si="73"/>
        <v>934</v>
      </c>
      <c r="AR937" s="1756" t="e">
        <f>0.5*(S18+2*AQ937)*LN(1+2*AQ937/S18)</f>
        <v>#VALUE!</v>
      </c>
    </row>
    <row r="938" spans="42:44">
      <c r="AP938" s="1756" t="e">
        <f>IF(OR(AR938=S13,AR938&gt;S13),AR938,"")</f>
        <v>#VALUE!</v>
      </c>
      <c r="AQ938" s="1759">
        <f t="shared" si="73"/>
        <v>935</v>
      </c>
      <c r="AR938" s="1756" t="e">
        <f>0.5*(S18+2*AQ938)*LN(1+2*AQ938/S18)</f>
        <v>#VALUE!</v>
      </c>
    </row>
    <row r="939" spans="42:44">
      <c r="AP939" s="1756" t="e">
        <f>IF(OR(AR939=S13,AR939&gt;S13),AR939,"")</f>
        <v>#VALUE!</v>
      </c>
      <c r="AQ939" s="1759">
        <f t="shared" si="73"/>
        <v>936</v>
      </c>
      <c r="AR939" s="1756" t="e">
        <f>0.5*(S18+2*AQ939)*LN(1+2*AQ939/S18)</f>
        <v>#VALUE!</v>
      </c>
    </row>
    <row r="940" spans="42:44">
      <c r="AP940" s="1756" t="e">
        <f>IF(OR(AR940=S13,AR940&gt;S13),AR940,"")</f>
        <v>#VALUE!</v>
      </c>
      <c r="AQ940" s="1759">
        <f t="shared" si="73"/>
        <v>937</v>
      </c>
      <c r="AR940" s="1756" t="e">
        <f>0.5*(S18+2*AQ940)*LN(1+2*AQ940/S18)</f>
        <v>#VALUE!</v>
      </c>
    </row>
    <row r="941" spans="42:44">
      <c r="AP941" s="1756" t="e">
        <f>IF(OR(AR941=S13,AR941&gt;S13),AR941,"")</f>
        <v>#VALUE!</v>
      </c>
      <c r="AQ941" s="1759">
        <f t="shared" si="73"/>
        <v>938</v>
      </c>
      <c r="AR941" s="1756" t="e">
        <f>0.5*(S18+2*AQ941)*LN(1+2*AQ941/S18)</f>
        <v>#VALUE!</v>
      </c>
    </row>
    <row r="942" spans="42:44">
      <c r="AP942" s="1756" t="e">
        <f>IF(OR(AR942=S13,AR942&gt;S13),AR942,"")</f>
        <v>#VALUE!</v>
      </c>
      <c r="AQ942" s="1759">
        <f t="shared" si="73"/>
        <v>939</v>
      </c>
      <c r="AR942" s="1756" t="e">
        <f>0.5*(S18+2*AQ942)*LN(1+2*AQ942/S18)</f>
        <v>#VALUE!</v>
      </c>
    </row>
    <row r="943" spans="42:44">
      <c r="AP943" s="1756" t="e">
        <f>IF(OR(AR943=S13,AR943&gt;S13),AR943,"")</f>
        <v>#VALUE!</v>
      </c>
      <c r="AQ943" s="1759">
        <f t="shared" si="73"/>
        <v>940</v>
      </c>
      <c r="AR943" s="1756" t="e">
        <f>0.5*(S18+2*AQ943)*LN(1+2*AQ943/S18)</f>
        <v>#VALUE!</v>
      </c>
    </row>
    <row r="944" spans="42:44">
      <c r="AP944" s="1756" t="e">
        <f>IF(OR(AR944=S13,AR944&gt;S13),AR944,"")</f>
        <v>#VALUE!</v>
      </c>
      <c r="AQ944" s="1759">
        <f t="shared" si="73"/>
        <v>941</v>
      </c>
      <c r="AR944" s="1756" t="e">
        <f>0.5*(S18+2*AQ944)*LN(1+2*AQ944/S18)</f>
        <v>#VALUE!</v>
      </c>
    </row>
    <row r="945" spans="42:44">
      <c r="AP945" s="1756" t="e">
        <f>IF(OR(AR945=S13,AR945&gt;S13),AR945,"")</f>
        <v>#VALUE!</v>
      </c>
      <c r="AQ945" s="1759">
        <f t="shared" si="73"/>
        <v>942</v>
      </c>
      <c r="AR945" s="1756" t="e">
        <f>0.5*(S18+2*AQ945)*LN(1+2*AQ945/S18)</f>
        <v>#VALUE!</v>
      </c>
    </row>
    <row r="946" spans="42:44">
      <c r="AP946" s="1756" t="e">
        <f>IF(OR(AR946=S13,AR946&gt;S13),AR946,"")</f>
        <v>#VALUE!</v>
      </c>
      <c r="AQ946" s="1759">
        <f t="shared" si="73"/>
        <v>943</v>
      </c>
      <c r="AR946" s="1756" t="e">
        <f>0.5*(S18+2*AQ946)*LN(1+2*AQ946/S18)</f>
        <v>#VALUE!</v>
      </c>
    </row>
    <row r="947" spans="42:44">
      <c r="AP947" s="1756" t="e">
        <f>IF(OR(AR947=S13,AR947&gt;S13),AR947,"")</f>
        <v>#VALUE!</v>
      </c>
      <c r="AQ947" s="1759">
        <f t="shared" si="73"/>
        <v>944</v>
      </c>
      <c r="AR947" s="1756" t="e">
        <f>0.5*(S18+2*AQ947)*LN(1+2*AQ947/S18)</f>
        <v>#VALUE!</v>
      </c>
    </row>
    <row r="948" spans="42:44">
      <c r="AP948" s="1756" t="e">
        <f>IF(OR(AR948=S13,AR948&gt;S13),AR948,"")</f>
        <v>#VALUE!</v>
      </c>
      <c r="AQ948" s="1759">
        <f t="shared" si="73"/>
        <v>945</v>
      </c>
      <c r="AR948" s="1756" t="e">
        <f>0.5*(S18+2*AQ948)*LN(1+2*AQ948/S18)</f>
        <v>#VALUE!</v>
      </c>
    </row>
    <row r="949" spans="42:44">
      <c r="AP949" s="1756" t="e">
        <f>IF(OR(AR949=S13,AR949&gt;S13),AR949,"")</f>
        <v>#VALUE!</v>
      </c>
      <c r="AQ949" s="1759">
        <f t="shared" si="73"/>
        <v>946</v>
      </c>
      <c r="AR949" s="1756" t="e">
        <f>0.5*(S18+2*AQ949)*LN(1+2*AQ949/S18)</f>
        <v>#VALUE!</v>
      </c>
    </row>
    <row r="950" spans="42:44">
      <c r="AP950" s="1756" t="e">
        <f>IF(OR(AR950=S13,AR950&gt;S13),AR950,"")</f>
        <v>#VALUE!</v>
      </c>
      <c r="AQ950" s="1759">
        <f t="shared" si="73"/>
        <v>947</v>
      </c>
      <c r="AR950" s="1756" t="e">
        <f>0.5*(S18+2*AQ950)*LN(1+2*AQ950/S18)</f>
        <v>#VALUE!</v>
      </c>
    </row>
    <row r="951" spans="42:44">
      <c r="AP951" s="1756" t="e">
        <f>IF(OR(AR951=S13,AR951&gt;S13),AR951,"")</f>
        <v>#VALUE!</v>
      </c>
      <c r="AQ951" s="1759">
        <f t="shared" si="73"/>
        <v>948</v>
      </c>
      <c r="AR951" s="1756" t="e">
        <f>0.5*(S18+2*AQ951)*LN(1+2*AQ951/S18)</f>
        <v>#VALUE!</v>
      </c>
    </row>
    <row r="952" spans="42:44">
      <c r="AP952" s="1756" t="e">
        <f>IF(OR(AR952=S13,AR952&gt;S13),AR952,"")</f>
        <v>#VALUE!</v>
      </c>
      <c r="AQ952" s="1759">
        <f t="shared" si="73"/>
        <v>949</v>
      </c>
      <c r="AR952" s="1756" t="e">
        <f>0.5*(S18+2*AQ952)*LN(1+2*AQ952/S18)</f>
        <v>#VALUE!</v>
      </c>
    </row>
    <row r="953" spans="42:44">
      <c r="AP953" s="1756" t="e">
        <f>IF(OR(AR953=S13,AR953&gt;S13),AR953,"")</f>
        <v>#VALUE!</v>
      </c>
      <c r="AQ953" s="1759">
        <f t="shared" si="73"/>
        <v>950</v>
      </c>
      <c r="AR953" s="1756" t="e">
        <f>0.5*(S18+2*AQ953)*LN(1+2*AQ953/S18)</f>
        <v>#VALUE!</v>
      </c>
    </row>
    <row r="954" spans="42:44">
      <c r="AP954" s="1756" t="e">
        <f>IF(OR(AR954=S13,AR954&gt;S13),AR954,"")</f>
        <v>#VALUE!</v>
      </c>
      <c r="AQ954" s="1759">
        <f t="shared" si="73"/>
        <v>951</v>
      </c>
      <c r="AR954" s="1756" t="e">
        <f>0.5*(S18+2*AQ954)*LN(1+2*AQ954/S18)</f>
        <v>#VALUE!</v>
      </c>
    </row>
    <row r="955" spans="42:44">
      <c r="AP955" s="1756" t="e">
        <f>IF(OR(AR955=S13,AR955&gt;S13),AR955,"")</f>
        <v>#VALUE!</v>
      </c>
      <c r="AQ955" s="1759">
        <f t="shared" si="73"/>
        <v>952</v>
      </c>
      <c r="AR955" s="1756" t="e">
        <f>0.5*(S18+2*AQ955)*LN(1+2*AQ955/S18)</f>
        <v>#VALUE!</v>
      </c>
    </row>
    <row r="956" spans="42:44">
      <c r="AP956" s="1756" t="e">
        <f>IF(OR(AR956=S13,AR956&gt;S13),AR956,"")</f>
        <v>#VALUE!</v>
      </c>
      <c r="AQ956" s="1759">
        <f t="shared" si="73"/>
        <v>953</v>
      </c>
      <c r="AR956" s="1756" t="e">
        <f>0.5*(S18+2*AQ956)*LN(1+2*AQ956/S18)</f>
        <v>#VALUE!</v>
      </c>
    </row>
    <row r="957" spans="42:44">
      <c r="AP957" s="1756" t="e">
        <f>IF(OR(AR957=S13,AR957&gt;S13),AR957,"")</f>
        <v>#VALUE!</v>
      </c>
      <c r="AQ957" s="1759">
        <f t="shared" si="73"/>
        <v>954</v>
      </c>
      <c r="AR957" s="1756" t="e">
        <f>0.5*(S18+2*AQ957)*LN(1+2*AQ957/S18)</f>
        <v>#VALUE!</v>
      </c>
    </row>
    <row r="958" spans="42:44">
      <c r="AP958" s="1756" t="e">
        <f>IF(OR(AR958=S13,AR958&gt;S13),AR958,"")</f>
        <v>#VALUE!</v>
      </c>
      <c r="AQ958" s="1759">
        <f t="shared" si="73"/>
        <v>955</v>
      </c>
      <c r="AR958" s="1756" t="e">
        <f>0.5*(S18+2*AQ958)*LN(1+2*AQ958/S18)</f>
        <v>#VALUE!</v>
      </c>
    </row>
    <row r="959" spans="42:44">
      <c r="AP959" s="1756" t="e">
        <f>IF(OR(AR959=S13,AR959&gt;S13),AR959,"")</f>
        <v>#VALUE!</v>
      </c>
      <c r="AQ959" s="1759">
        <f t="shared" si="73"/>
        <v>956</v>
      </c>
      <c r="AR959" s="1756" t="e">
        <f>0.5*(S18+2*AQ959)*LN(1+2*AQ959/S18)</f>
        <v>#VALUE!</v>
      </c>
    </row>
    <row r="960" spans="42:44">
      <c r="AP960" s="1756" t="e">
        <f>IF(OR(AR960=S13,AR960&gt;S13),AR960,"")</f>
        <v>#VALUE!</v>
      </c>
      <c r="AQ960" s="1759">
        <f t="shared" si="73"/>
        <v>957</v>
      </c>
      <c r="AR960" s="1756" t="e">
        <f>0.5*(S18+2*AQ960)*LN(1+2*AQ960/S18)</f>
        <v>#VALUE!</v>
      </c>
    </row>
    <row r="961" spans="42:44">
      <c r="AP961" s="1756" t="e">
        <f>IF(OR(AR961=S13,AR961&gt;S13),AR961,"")</f>
        <v>#VALUE!</v>
      </c>
      <c r="AQ961" s="1759">
        <f t="shared" si="73"/>
        <v>958</v>
      </c>
      <c r="AR961" s="1756" t="e">
        <f>0.5*(S18+2*AQ961)*LN(1+2*AQ961/S18)</f>
        <v>#VALUE!</v>
      </c>
    </row>
    <row r="962" spans="42:44">
      <c r="AP962" s="1756" t="e">
        <f>IF(OR(AR962=S13,AR962&gt;S13),AR962,"")</f>
        <v>#VALUE!</v>
      </c>
      <c r="AQ962" s="1759">
        <f t="shared" si="73"/>
        <v>959</v>
      </c>
      <c r="AR962" s="1756" t="e">
        <f>0.5*(S18+2*AQ962)*LN(1+2*AQ962/S18)</f>
        <v>#VALUE!</v>
      </c>
    </row>
    <row r="963" spans="42:44">
      <c r="AP963" s="1756" t="e">
        <f>IF(OR(AR963=S13,AR963&gt;S13),AR963,"")</f>
        <v>#VALUE!</v>
      </c>
      <c r="AQ963" s="1759">
        <f t="shared" si="73"/>
        <v>960</v>
      </c>
      <c r="AR963" s="1756" t="e">
        <f>0.5*(S18+2*AQ963)*LN(1+2*AQ963/S18)</f>
        <v>#VALUE!</v>
      </c>
    </row>
    <row r="964" spans="42:44">
      <c r="AP964" s="1756" t="e">
        <f>IF(OR(AR964=S13,AR964&gt;S13),AR964,"")</f>
        <v>#VALUE!</v>
      </c>
      <c r="AQ964" s="1759">
        <f t="shared" si="73"/>
        <v>961</v>
      </c>
      <c r="AR964" s="1756" t="e">
        <f>0.5*(S18+2*AQ964)*LN(1+2*AQ964/S18)</f>
        <v>#VALUE!</v>
      </c>
    </row>
    <row r="965" spans="42:44">
      <c r="AP965" s="1756" t="e">
        <f>IF(OR(AR965=S13,AR965&gt;S13),AR965,"")</f>
        <v>#VALUE!</v>
      </c>
      <c r="AQ965" s="1759">
        <f t="shared" si="73"/>
        <v>962</v>
      </c>
      <c r="AR965" s="1756" t="e">
        <f>0.5*(S18+2*AQ965)*LN(1+2*AQ965/S18)</f>
        <v>#VALUE!</v>
      </c>
    </row>
    <row r="966" spans="42:44">
      <c r="AP966" s="1756" t="e">
        <f>IF(OR(AR966=S13,AR966&gt;S13),AR966,"")</f>
        <v>#VALUE!</v>
      </c>
      <c r="AQ966" s="1759">
        <f t="shared" ref="AQ966:AQ1029" si="74">AQ965+1</f>
        <v>963</v>
      </c>
      <c r="AR966" s="1756" t="e">
        <f>0.5*(S18+2*AQ966)*LN(1+2*AQ966/S18)</f>
        <v>#VALUE!</v>
      </c>
    </row>
    <row r="967" spans="42:44">
      <c r="AP967" s="1756" t="e">
        <f>IF(OR(AR967=S13,AR967&gt;S13),AR967,"")</f>
        <v>#VALUE!</v>
      </c>
      <c r="AQ967" s="1759">
        <f t="shared" si="74"/>
        <v>964</v>
      </c>
      <c r="AR967" s="1756" t="e">
        <f>0.5*(S18+2*AQ967)*LN(1+2*AQ967/S18)</f>
        <v>#VALUE!</v>
      </c>
    </row>
    <row r="968" spans="42:44">
      <c r="AP968" s="1756" t="e">
        <f>IF(OR(AR968=S13,AR968&gt;S13),AR968,"")</f>
        <v>#VALUE!</v>
      </c>
      <c r="AQ968" s="1759">
        <f t="shared" si="74"/>
        <v>965</v>
      </c>
      <c r="AR968" s="1756" t="e">
        <f>0.5*(S18+2*AQ968)*LN(1+2*AQ968/S18)</f>
        <v>#VALUE!</v>
      </c>
    </row>
    <row r="969" spans="42:44">
      <c r="AP969" s="1756" t="e">
        <f>IF(OR(AR969=S13,AR969&gt;S13),AR969,"")</f>
        <v>#VALUE!</v>
      </c>
      <c r="AQ969" s="1759">
        <f t="shared" si="74"/>
        <v>966</v>
      </c>
      <c r="AR969" s="1756" t="e">
        <f>0.5*(S18+2*AQ969)*LN(1+2*AQ969/S18)</f>
        <v>#VALUE!</v>
      </c>
    </row>
    <row r="970" spans="42:44">
      <c r="AP970" s="1756" t="e">
        <f>IF(OR(AR970=S13,AR970&gt;S13),AR970,"")</f>
        <v>#VALUE!</v>
      </c>
      <c r="AQ970" s="1759">
        <f t="shared" si="74"/>
        <v>967</v>
      </c>
      <c r="AR970" s="1756" t="e">
        <f>0.5*(S18+2*AQ970)*LN(1+2*AQ970/S18)</f>
        <v>#VALUE!</v>
      </c>
    </row>
    <row r="971" spans="42:44">
      <c r="AP971" s="1756" t="e">
        <f>IF(OR(AR971=S13,AR971&gt;S13),AR971,"")</f>
        <v>#VALUE!</v>
      </c>
      <c r="AQ971" s="1759">
        <f t="shared" si="74"/>
        <v>968</v>
      </c>
      <c r="AR971" s="1756" t="e">
        <f>0.5*(S18+2*AQ971)*LN(1+2*AQ971/S18)</f>
        <v>#VALUE!</v>
      </c>
    </row>
    <row r="972" spans="42:44">
      <c r="AP972" s="1756" t="e">
        <f>IF(OR(AR972=S13,AR972&gt;S13),AR972,"")</f>
        <v>#VALUE!</v>
      </c>
      <c r="AQ972" s="1759">
        <f t="shared" si="74"/>
        <v>969</v>
      </c>
      <c r="AR972" s="1756" t="e">
        <f>0.5*(S18+2*AQ972)*LN(1+2*AQ972/S18)</f>
        <v>#VALUE!</v>
      </c>
    </row>
    <row r="973" spans="42:44">
      <c r="AP973" s="1756" t="e">
        <f>IF(OR(AR973=S13,AR973&gt;S13),AR973,"")</f>
        <v>#VALUE!</v>
      </c>
      <c r="AQ973" s="1759">
        <f t="shared" si="74"/>
        <v>970</v>
      </c>
      <c r="AR973" s="1756" t="e">
        <f>0.5*(S18+2*AQ973)*LN(1+2*AQ973/S18)</f>
        <v>#VALUE!</v>
      </c>
    </row>
    <row r="974" spans="42:44">
      <c r="AP974" s="1756" t="e">
        <f>IF(OR(AR974=S13,AR974&gt;S13),AR974,"")</f>
        <v>#VALUE!</v>
      </c>
      <c r="AQ974" s="1759">
        <f t="shared" si="74"/>
        <v>971</v>
      </c>
      <c r="AR974" s="1756" t="e">
        <f>0.5*(S18+2*AQ974)*LN(1+2*AQ974/S18)</f>
        <v>#VALUE!</v>
      </c>
    </row>
    <row r="975" spans="42:44">
      <c r="AP975" s="1756" t="e">
        <f>IF(OR(AR975=S13,AR975&gt;S13),AR975,"")</f>
        <v>#VALUE!</v>
      </c>
      <c r="AQ975" s="1759">
        <f t="shared" si="74"/>
        <v>972</v>
      </c>
      <c r="AR975" s="1756" t="e">
        <f>0.5*(S18+2*AQ975)*LN(1+2*AQ975/S18)</f>
        <v>#VALUE!</v>
      </c>
    </row>
    <row r="976" spans="42:44">
      <c r="AP976" s="1756" t="e">
        <f>IF(OR(AR976=S13,AR976&gt;S13),AR976,"")</f>
        <v>#VALUE!</v>
      </c>
      <c r="AQ976" s="1759">
        <f t="shared" si="74"/>
        <v>973</v>
      </c>
      <c r="AR976" s="1756" t="e">
        <f>0.5*(S18+2*AQ976)*LN(1+2*AQ976/S18)</f>
        <v>#VALUE!</v>
      </c>
    </row>
    <row r="977" spans="42:44">
      <c r="AP977" s="1756" t="e">
        <f>IF(OR(AR977=S13,AR977&gt;S13),AR977,"")</f>
        <v>#VALUE!</v>
      </c>
      <c r="AQ977" s="1759">
        <f t="shared" si="74"/>
        <v>974</v>
      </c>
      <c r="AR977" s="1756" t="e">
        <f>0.5*(S18+2*AQ977)*LN(1+2*AQ977/S18)</f>
        <v>#VALUE!</v>
      </c>
    </row>
    <row r="978" spans="42:44">
      <c r="AP978" s="1756" t="e">
        <f>IF(OR(AR978=S13,AR978&gt;S13),AR978,"")</f>
        <v>#VALUE!</v>
      </c>
      <c r="AQ978" s="1759">
        <f t="shared" si="74"/>
        <v>975</v>
      </c>
      <c r="AR978" s="1756" t="e">
        <f>0.5*(S18+2*AQ978)*LN(1+2*AQ978/S18)</f>
        <v>#VALUE!</v>
      </c>
    </row>
    <row r="979" spans="42:44">
      <c r="AP979" s="1756" t="e">
        <f>IF(OR(AR979=S13,AR979&gt;S13),AR979,"")</f>
        <v>#VALUE!</v>
      </c>
      <c r="AQ979" s="1759">
        <f t="shared" si="74"/>
        <v>976</v>
      </c>
      <c r="AR979" s="1756" t="e">
        <f>0.5*(S18+2*AQ979)*LN(1+2*AQ979/S18)</f>
        <v>#VALUE!</v>
      </c>
    </row>
    <row r="980" spans="42:44">
      <c r="AP980" s="1756" t="e">
        <f>IF(OR(AR980=S13,AR980&gt;S13),AR980,"")</f>
        <v>#VALUE!</v>
      </c>
      <c r="AQ980" s="1759">
        <f t="shared" si="74"/>
        <v>977</v>
      </c>
      <c r="AR980" s="1756" t="e">
        <f>0.5*(S18+2*AQ980)*LN(1+2*AQ980/S18)</f>
        <v>#VALUE!</v>
      </c>
    </row>
    <row r="981" spans="42:44">
      <c r="AP981" s="1756" t="e">
        <f>IF(OR(AR981=S13,AR981&gt;S13),AR981,"")</f>
        <v>#VALUE!</v>
      </c>
      <c r="AQ981" s="1759">
        <f t="shared" si="74"/>
        <v>978</v>
      </c>
      <c r="AR981" s="1756" t="e">
        <f>0.5*(S18+2*AQ981)*LN(1+2*AQ981/S18)</f>
        <v>#VALUE!</v>
      </c>
    </row>
    <row r="982" spans="42:44">
      <c r="AP982" s="1756" t="e">
        <f>IF(OR(AR982=S13,AR982&gt;S13),AR982,"")</f>
        <v>#VALUE!</v>
      </c>
      <c r="AQ982" s="1759">
        <f t="shared" si="74"/>
        <v>979</v>
      </c>
      <c r="AR982" s="1756" t="e">
        <f>0.5*(S18+2*AQ982)*LN(1+2*AQ982/S18)</f>
        <v>#VALUE!</v>
      </c>
    </row>
    <row r="983" spans="42:44">
      <c r="AP983" s="1756" t="e">
        <f>IF(OR(AR983=S13,AR983&gt;S13),AR983,"")</f>
        <v>#VALUE!</v>
      </c>
      <c r="AQ983" s="1759">
        <f t="shared" si="74"/>
        <v>980</v>
      </c>
      <c r="AR983" s="1756" t="e">
        <f>0.5*(S18+2*AQ983)*LN(1+2*AQ983/S18)</f>
        <v>#VALUE!</v>
      </c>
    </row>
    <row r="984" spans="42:44">
      <c r="AP984" s="1756" t="e">
        <f>IF(OR(AR984=S13,AR984&gt;S13),AR984,"")</f>
        <v>#VALUE!</v>
      </c>
      <c r="AQ984" s="1759">
        <f t="shared" si="74"/>
        <v>981</v>
      </c>
      <c r="AR984" s="1756" t="e">
        <f>0.5*(S18+2*AQ984)*LN(1+2*AQ984/S18)</f>
        <v>#VALUE!</v>
      </c>
    </row>
    <row r="985" spans="42:44">
      <c r="AP985" s="1756" t="e">
        <f>IF(OR(AR985=S13,AR985&gt;S13),AR985,"")</f>
        <v>#VALUE!</v>
      </c>
      <c r="AQ985" s="1759">
        <f t="shared" si="74"/>
        <v>982</v>
      </c>
      <c r="AR985" s="1756" t="e">
        <f>0.5*(S18+2*AQ985)*LN(1+2*AQ985/S18)</f>
        <v>#VALUE!</v>
      </c>
    </row>
    <row r="986" spans="42:44">
      <c r="AP986" s="1756" t="e">
        <f>IF(OR(AR986=S13,AR986&gt;S13),AR986,"")</f>
        <v>#VALUE!</v>
      </c>
      <c r="AQ986" s="1759">
        <f t="shared" si="74"/>
        <v>983</v>
      </c>
      <c r="AR986" s="1756" t="e">
        <f>0.5*(S18+2*AQ986)*LN(1+2*AQ986/S18)</f>
        <v>#VALUE!</v>
      </c>
    </row>
    <row r="987" spans="42:44">
      <c r="AP987" s="1756" t="e">
        <f>IF(OR(AR987=S13,AR987&gt;S13),AR987,"")</f>
        <v>#VALUE!</v>
      </c>
      <c r="AQ987" s="1759">
        <f t="shared" si="74"/>
        <v>984</v>
      </c>
      <c r="AR987" s="1756" t="e">
        <f>0.5*(S18+2*AQ987)*LN(1+2*AQ987/S18)</f>
        <v>#VALUE!</v>
      </c>
    </row>
    <row r="988" spans="42:44">
      <c r="AP988" s="1756" t="e">
        <f>IF(OR(AR988=S13,AR988&gt;S13),AR988,"")</f>
        <v>#VALUE!</v>
      </c>
      <c r="AQ988" s="1759">
        <f t="shared" si="74"/>
        <v>985</v>
      </c>
      <c r="AR988" s="1756" t="e">
        <f>0.5*(S18+2*AQ988)*LN(1+2*AQ988/S18)</f>
        <v>#VALUE!</v>
      </c>
    </row>
    <row r="989" spans="42:44">
      <c r="AP989" s="1756" t="e">
        <f>IF(OR(AR989=S13,AR989&gt;S13),AR989,"")</f>
        <v>#VALUE!</v>
      </c>
      <c r="AQ989" s="1759">
        <f t="shared" si="74"/>
        <v>986</v>
      </c>
      <c r="AR989" s="1756" t="e">
        <f>0.5*(S18+2*AQ989)*LN(1+2*AQ989/S18)</f>
        <v>#VALUE!</v>
      </c>
    </row>
    <row r="990" spans="42:44">
      <c r="AP990" s="1756" t="e">
        <f>IF(OR(AR990=S13,AR990&gt;S13),AR990,"")</f>
        <v>#VALUE!</v>
      </c>
      <c r="AQ990" s="1759">
        <f t="shared" si="74"/>
        <v>987</v>
      </c>
      <c r="AR990" s="1756" t="e">
        <f>0.5*(S18+2*AQ990)*LN(1+2*AQ990/S18)</f>
        <v>#VALUE!</v>
      </c>
    </row>
    <row r="991" spans="42:44">
      <c r="AP991" s="1756" t="e">
        <f>IF(OR(AR991=S13,AR991&gt;S13),AR991,"")</f>
        <v>#VALUE!</v>
      </c>
      <c r="AQ991" s="1759">
        <f t="shared" si="74"/>
        <v>988</v>
      </c>
      <c r="AR991" s="1756" t="e">
        <f>0.5*(S18+2*AQ991)*LN(1+2*AQ991/S18)</f>
        <v>#VALUE!</v>
      </c>
    </row>
    <row r="992" spans="42:44">
      <c r="AP992" s="1756" t="e">
        <f>IF(OR(AR992=S13,AR992&gt;S13),AR992,"")</f>
        <v>#VALUE!</v>
      </c>
      <c r="AQ992" s="1759">
        <f t="shared" si="74"/>
        <v>989</v>
      </c>
      <c r="AR992" s="1756" t="e">
        <f>0.5*(S18+2*AQ992)*LN(1+2*AQ992/S18)</f>
        <v>#VALUE!</v>
      </c>
    </row>
    <row r="993" spans="42:44">
      <c r="AP993" s="1756" t="e">
        <f>IF(OR(AR993=S13,AR993&gt;S13),AR993,"")</f>
        <v>#VALUE!</v>
      </c>
      <c r="AQ993" s="1759">
        <f t="shared" si="74"/>
        <v>990</v>
      </c>
      <c r="AR993" s="1756" t="e">
        <f>0.5*(S18+2*AQ993)*LN(1+2*AQ993/S18)</f>
        <v>#VALUE!</v>
      </c>
    </row>
    <row r="994" spans="42:44">
      <c r="AP994" s="1756" t="e">
        <f>IF(OR(AR994=S13,AR994&gt;S13),AR994,"")</f>
        <v>#VALUE!</v>
      </c>
      <c r="AQ994" s="1759">
        <f t="shared" si="74"/>
        <v>991</v>
      </c>
      <c r="AR994" s="1756" t="e">
        <f>0.5*(S18+2*AQ994)*LN(1+2*AQ994/S18)</f>
        <v>#VALUE!</v>
      </c>
    </row>
    <row r="995" spans="42:44">
      <c r="AP995" s="1756" t="e">
        <f>IF(OR(AR995=S13,AR995&gt;S13),AR995,"")</f>
        <v>#VALUE!</v>
      </c>
      <c r="AQ995" s="1759">
        <f t="shared" si="74"/>
        <v>992</v>
      </c>
      <c r="AR995" s="1756" t="e">
        <f>0.5*(S18+2*AQ995)*LN(1+2*AQ995/S18)</f>
        <v>#VALUE!</v>
      </c>
    </row>
    <row r="996" spans="42:44">
      <c r="AP996" s="1756" t="e">
        <f>IF(OR(AR996=S13,AR996&gt;S13),AR996,"")</f>
        <v>#VALUE!</v>
      </c>
      <c r="AQ996" s="1759">
        <f t="shared" si="74"/>
        <v>993</v>
      </c>
      <c r="AR996" s="1756" t="e">
        <f>0.5*(S18+2*AQ996)*LN(1+2*AQ996/S18)</f>
        <v>#VALUE!</v>
      </c>
    </row>
    <row r="997" spans="42:44">
      <c r="AP997" s="1756" t="e">
        <f>IF(OR(AR997=S13,AR997&gt;S13),AR997,"")</f>
        <v>#VALUE!</v>
      </c>
      <c r="AQ997" s="1759">
        <f t="shared" si="74"/>
        <v>994</v>
      </c>
      <c r="AR997" s="1756" t="e">
        <f>0.5*(S18+2*AQ997)*LN(1+2*AQ997/S18)</f>
        <v>#VALUE!</v>
      </c>
    </row>
    <row r="998" spans="42:44">
      <c r="AP998" s="1756" t="e">
        <f>IF(OR(AR998=S13,AR998&gt;S13),AR998,"")</f>
        <v>#VALUE!</v>
      </c>
      <c r="AQ998" s="1759">
        <f t="shared" si="74"/>
        <v>995</v>
      </c>
      <c r="AR998" s="1756" t="e">
        <f>0.5*(S18+2*AQ998)*LN(1+2*AQ998/S18)</f>
        <v>#VALUE!</v>
      </c>
    </row>
    <row r="999" spans="42:44">
      <c r="AP999" s="1756" t="e">
        <f>IF(OR(AR999=S13,AR999&gt;S13),AR999,"")</f>
        <v>#VALUE!</v>
      </c>
      <c r="AQ999" s="1759">
        <f t="shared" si="74"/>
        <v>996</v>
      </c>
      <c r="AR999" s="1756" t="e">
        <f>0.5*(S18+2*AQ999)*LN(1+2*AQ999/S18)</f>
        <v>#VALUE!</v>
      </c>
    </row>
    <row r="1000" spans="42:44">
      <c r="AP1000" s="1756" t="e">
        <f>IF(OR(AR1000=S13,AR1000&gt;S13),AR1000,"")</f>
        <v>#VALUE!</v>
      </c>
      <c r="AQ1000" s="1759">
        <f t="shared" si="74"/>
        <v>997</v>
      </c>
      <c r="AR1000" s="1756" t="e">
        <f>0.5*(S18+2*AQ1000)*LN(1+2*AQ1000/S18)</f>
        <v>#VALUE!</v>
      </c>
    </row>
    <row r="1001" spans="42:44">
      <c r="AP1001" s="1756" t="e">
        <f>IF(OR(AR1001=S13,AR1001&gt;S13),AR1001,"")</f>
        <v>#VALUE!</v>
      </c>
      <c r="AQ1001" s="1759">
        <f t="shared" si="74"/>
        <v>998</v>
      </c>
      <c r="AR1001" s="1756" t="e">
        <f>0.5*(S18+2*AQ1001)*LN(1+2*AQ1001/S18)</f>
        <v>#VALUE!</v>
      </c>
    </row>
    <row r="1002" spans="42:44">
      <c r="AP1002" s="1756" t="e">
        <f>IF(OR(AR1002=S13,AR1002&gt;S13),AR1002,"")</f>
        <v>#VALUE!</v>
      </c>
      <c r="AQ1002" s="1759">
        <f t="shared" si="74"/>
        <v>999</v>
      </c>
      <c r="AR1002" s="1756" t="e">
        <f>0.5*(S18+2*AQ1002)*LN(1+2*AQ1002/S18)</f>
        <v>#VALUE!</v>
      </c>
    </row>
    <row r="1003" spans="42:44">
      <c r="AP1003" s="1756" t="e">
        <f>IF(OR(AR1003=S13,AR1003&gt;S13),AR1003,"")</f>
        <v>#VALUE!</v>
      </c>
      <c r="AQ1003" s="1759">
        <f t="shared" si="74"/>
        <v>1000</v>
      </c>
      <c r="AR1003" s="1756" t="e">
        <f>0.5*(S18+2*AQ1003)*LN(1+2*AQ1003/S18)</f>
        <v>#VALUE!</v>
      </c>
    </row>
    <row r="1004" spans="42:44">
      <c r="AP1004" s="1756" t="e">
        <f>IF(OR(AR1004=S13,AR1004&gt;S13),AR1004,"")</f>
        <v>#VALUE!</v>
      </c>
      <c r="AQ1004" s="1759">
        <f t="shared" si="74"/>
        <v>1001</v>
      </c>
      <c r="AR1004" s="1756" t="e">
        <f>0.5*(S18+2*AQ1004)*LN(1+2*AQ1004/S18)</f>
        <v>#VALUE!</v>
      </c>
    </row>
    <row r="1005" spans="42:44">
      <c r="AP1005" s="1756" t="e">
        <f>IF(OR(AR1005=S13,AR1005&gt;S13),AR1005,"")</f>
        <v>#VALUE!</v>
      </c>
      <c r="AQ1005" s="1759">
        <f t="shared" si="74"/>
        <v>1002</v>
      </c>
      <c r="AR1005" s="1756" t="e">
        <f>0.5*(S18+2*AQ1005)*LN(1+2*AQ1005/S18)</f>
        <v>#VALUE!</v>
      </c>
    </row>
    <row r="1006" spans="42:44">
      <c r="AP1006" s="1756" t="e">
        <f>IF(OR(AR1006=S13,AR1006&gt;S13),AR1006,"")</f>
        <v>#VALUE!</v>
      </c>
      <c r="AQ1006" s="1759">
        <f t="shared" si="74"/>
        <v>1003</v>
      </c>
      <c r="AR1006" s="1756" t="e">
        <f>0.5*(S18+2*AQ1006)*LN(1+2*AQ1006/S18)</f>
        <v>#VALUE!</v>
      </c>
    </row>
    <row r="1007" spans="42:44">
      <c r="AP1007" s="1756" t="e">
        <f>IF(OR(AR1007=S13,AR1007&gt;S13),AR1007,"")</f>
        <v>#VALUE!</v>
      </c>
      <c r="AQ1007" s="1759">
        <f t="shared" si="74"/>
        <v>1004</v>
      </c>
      <c r="AR1007" s="1756" t="e">
        <f>0.5*(S18+2*AQ1007)*LN(1+2*AQ1007/S18)</f>
        <v>#VALUE!</v>
      </c>
    </row>
    <row r="1008" spans="42:44">
      <c r="AP1008" s="1756" t="e">
        <f>IF(OR(AR1008=S13,AR1008&gt;S13),AR1008,"")</f>
        <v>#VALUE!</v>
      </c>
      <c r="AQ1008" s="1759">
        <f t="shared" si="74"/>
        <v>1005</v>
      </c>
      <c r="AR1008" s="1756" t="e">
        <f>0.5*(S18+2*AQ1008)*LN(1+2*AQ1008/S18)</f>
        <v>#VALUE!</v>
      </c>
    </row>
    <row r="1009" spans="42:44">
      <c r="AP1009" s="1756" t="e">
        <f>IF(OR(AR1009=S13,AR1009&gt;S13),AR1009,"")</f>
        <v>#VALUE!</v>
      </c>
      <c r="AQ1009" s="1759">
        <f t="shared" si="74"/>
        <v>1006</v>
      </c>
      <c r="AR1009" s="1756" t="e">
        <f>0.5*(S18+2*AQ1009)*LN(1+2*AQ1009/S18)</f>
        <v>#VALUE!</v>
      </c>
    </row>
    <row r="1010" spans="42:44">
      <c r="AP1010" s="1756" t="e">
        <f>IF(OR(AR1010=S13,AR1010&gt;S13),AR1010,"")</f>
        <v>#VALUE!</v>
      </c>
      <c r="AQ1010" s="1759">
        <f t="shared" si="74"/>
        <v>1007</v>
      </c>
      <c r="AR1010" s="1756" t="e">
        <f>0.5*(S18+2*AQ1010)*LN(1+2*AQ1010/S18)</f>
        <v>#VALUE!</v>
      </c>
    </row>
    <row r="1011" spans="42:44">
      <c r="AP1011" s="1756" t="e">
        <f>IF(OR(AR1011=S13,AR1011&gt;S13),AR1011,"")</f>
        <v>#VALUE!</v>
      </c>
      <c r="AQ1011" s="1759">
        <f t="shared" si="74"/>
        <v>1008</v>
      </c>
      <c r="AR1011" s="1756" t="e">
        <f>0.5*(S18+2*AQ1011)*LN(1+2*AQ1011/S18)</f>
        <v>#VALUE!</v>
      </c>
    </row>
    <row r="1012" spans="42:44">
      <c r="AP1012" s="1756" t="e">
        <f>IF(OR(AR1012=S13,AR1012&gt;S13),AR1012,"")</f>
        <v>#VALUE!</v>
      </c>
      <c r="AQ1012" s="1759">
        <f t="shared" si="74"/>
        <v>1009</v>
      </c>
      <c r="AR1012" s="1756" t="e">
        <f>0.5*(S18+2*AQ1012)*LN(1+2*AQ1012/S18)</f>
        <v>#VALUE!</v>
      </c>
    </row>
    <row r="1013" spans="42:44">
      <c r="AP1013" s="1756" t="e">
        <f>IF(OR(AR1013=S13,AR1013&gt;S13),AR1013,"")</f>
        <v>#VALUE!</v>
      </c>
      <c r="AQ1013" s="1759">
        <f t="shared" si="74"/>
        <v>1010</v>
      </c>
      <c r="AR1013" s="1756" t="e">
        <f>0.5*(S18+2*AQ1013)*LN(1+2*AQ1013/S18)</f>
        <v>#VALUE!</v>
      </c>
    </row>
    <row r="1014" spans="42:44">
      <c r="AP1014" s="1756" t="e">
        <f>IF(OR(AR1014=S13,AR1014&gt;S13),AR1014,"")</f>
        <v>#VALUE!</v>
      </c>
      <c r="AQ1014" s="1759">
        <f t="shared" si="74"/>
        <v>1011</v>
      </c>
      <c r="AR1014" s="1756" t="e">
        <f>0.5*(S18+2*AQ1014)*LN(1+2*AQ1014/S18)</f>
        <v>#VALUE!</v>
      </c>
    </row>
    <row r="1015" spans="42:44">
      <c r="AP1015" s="1756" t="e">
        <f>IF(OR(AR1015=S13,AR1015&gt;S13),AR1015,"")</f>
        <v>#VALUE!</v>
      </c>
      <c r="AQ1015" s="1759">
        <f t="shared" si="74"/>
        <v>1012</v>
      </c>
      <c r="AR1015" s="1756" t="e">
        <f>0.5*(S18+2*AQ1015)*LN(1+2*AQ1015/S18)</f>
        <v>#VALUE!</v>
      </c>
    </row>
    <row r="1016" spans="42:44">
      <c r="AP1016" s="1756" t="e">
        <f>IF(OR(AR1016=S13,AR1016&gt;S13),AR1016,"")</f>
        <v>#VALUE!</v>
      </c>
      <c r="AQ1016" s="1759">
        <f t="shared" si="74"/>
        <v>1013</v>
      </c>
      <c r="AR1016" s="1756" t="e">
        <f>0.5*(S18+2*AQ1016)*LN(1+2*AQ1016/S18)</f>
        <v>#VALUE!</v>
      </c>
    </row>
    <row r="1017" spans="42:44">
      <c r="AP1017" s="1756" t="e">
        <f>IF(OR(AR1017=S13,AR1017&gt;S13),AR1017,"")</f>
        <v>#VALUE!</v>
      </c>
      <c r="AQ1017" s="1759">
        <f t="shared" si="74"/>
        <v>1014</v>
      </c>
      <c r="AR1017" s="1756" t="e">
        <f>0.5*(S18+2*AQ1017)*LN(1+2*AQ1017/S18)</f>
        <v>#VALUE!</v>
      </c>
    </row>
    <row r="1018" spans="42:44">
      <c r="AP1018" s="1756" t="e">
        <f>IF(OR(AR1018=S13,AR1018&gt;S13),AR1018,"")</f>
        <v>#VALUE!</v>
      </c>
      <c r="AQ1018" s="1759">
        <f t="shared" si="74"/>
        <v>1015</v>
      </c>
      <c r="AR1018" s="1756" t="e">
        <f>0.5*(S18+2*AQ1018)*LN(1+2*AQ1018/S18)</f>
        <v>#VALUE!</v>
      </c>
    </row>
    <row r="1019" spans="42:44">
      <c r="AP1019" s="1756" t="e">
        <f>IF(OR(AR1019=S13,AR1019&gt;S13),AR1019,"")</f>
        <v>#VALUE!</v>
      </c>
      <c r="AQ1019" s="1759">
        <f t="shared" si="74"/>
        <v>1016</v>
      </c>
      <c r="AR1019" s="1756" t="e">
        <f>0.5*(S18+2*AQ1019)*LN(1+2*AQ1019/S18)</f>
        <v>#VALUE!</v>
      </c>
    </row>
    <row r="1020" spans="42:44">
      <c r="AP1020" s="1756" t="e">
        <f>IF(OR(AR1020=S13,AR1020&gt;S13),AR1020,"")</f>
        <v>#VALUE!</v>
      </c>
      <c r="AQ1020" s="1759">
        <f t="shared" si="74"/>
        <v>1017</v>
      </c>
      <c r="AR1020" s="1756" t="e">
        <f>0.5*(S18+2*AQ1020)*LN(1+2*AQ1020/S18)</f>
        <v>#VALUE!</v>
      </c>
    </row>
    <row r="1021" spans="42:44">
      <c r="AP1021" s="1756" t="e">
        <f>IF(OR(AR1021=S13,AR1021&gt;S13),AR1021,"")</f>
        <v>#VALUE!</v>
      </c>
      <c r="AQ1021" s="1759">
        <f t="shared" si="74"/>
        <v>1018</v>
      </c>
      <c r="AR1021" s="1756" t="e">
        <f>0.5*(S18+2*AQ1021)*LN(1+2*AQ1021/S18)</f>
        <v>#VALUE!</v>
      </c>
    </row>
    <row r="1022" spans="42:44">
      <c r="AP1022" s="1756" t="e">
        <f>IF(OR(AR1022=S13,AR1022&gt;S13),AR1022,"")</f>
        <v>#VALUE!</v>
      </c>
      <c r="AQ1022" s="1759">
        <f t="shared" si="74"/>
        <v>1019</v>
      </c>
      <c r="AR1022" s="1756" t="e">
        <f>0.5*(S18+2*AQ1022)*LN(1+2*AQ1022/S18)</f>
        <v>#VALUE!</v>
      </c>
    </row>
    <row r="1023" spans="42:44">
      <c r="AP1023" s="1756" t="e">
        <f>IF(OR(AR1023=S13,AR1023&gt;S13),AR1023,"")</f>
        <v>#VALUE!</v>
      </c>
      <c r="AQ1023" s="1759">
        <f t="shared" si="74"/>
        <v>1020</v>
      </c>
      <c r="AR1023" s="1756" t="e">
        <f>0.5*(S18+2*AQ1023)*LN(1+2*AQ1023/S18)</f>
        <v>#VALUE!</v>
      </c>
    </row>
    <row r="1024" spans="42:44">
      <c r="AP1024" s="1756" t="e">
        <f>IF(OR(AR1024=S13,AR1024&gt;S13),AR1024,"")</f>
        <v>#VALUE!</v>
      </c>
      <c r="AQ1024" s="1759">
        <f t="shared" si="74"/>
        <v>1021</v>
      </c>
      <c r="AR1024" s="1756" t="e">
        <f>0.5*(S18+2*AQ1024)*LN(1+2*AQ1024/S18)</f>
        <v>#VALUE!</v>
      </c>
    </row>
    <row r="1025" spans="42:44">
      <c r="AP1025" s="1756" t="e">
        <f>IF(OR(AR1025=S13,AR1025&gt;S13),AR1025,"")</f>
        <v>#VALUE!</v>
      </c>
      <c r="AQ1025" s="1759">
        <f t="shared" si="74"/>
        <v>1022</v>
      </c>
      <c r="AR1025" s="1756" t="e">
        <f>0.5*(S18+2*AQ1025)*LN(1+2*AQ1025/S18)</f>
        <v>#VALUE!</v>
      </c>
    </row>
    <row r="1026" spans="42:44">
      <c r="AP1026" s="1756" t="e">
        <f>IF(OR(AR1026=S13,AR1026&gt;S13),AR1026,"")</f>
        <v>#VALUE!</v>
      </c>
      <c r="AQ1026" s="1759">
        <f t="shared" si="74"/>
        <v>1023</v>
      </c>
      <c r="AR1026" s="1756" t="e">
        <f>0.5*(S18+2*AQ1026)*LN(1+2*AQ1026/S18)</f>
        <v>#VALUE!</v>
      </c>
    </row>
    <row r="1027" spans="42:44">
      <c r="AP1027" s="1756" t="e">
        <f>IF(OR(AR1027=S13,AR1027&gt;S13),AR1027,"")</f>
        <v>#VALUE!</v>
      </c>
      <c r="AQ1027" s="1759">
        <f t="shared" si="74"/>
        <v>1024</v>
      </c>
      <c r="AR1027" s="1756" t="e">
        <f>0.5*(S18+2*AQ1027)*LN(1+2*AQ1027/S18)</f>
        <v>#VALUE!</v>
      </c>
    </row>
    <row r="1028" spans="42:44">
      <c r="AP1028" s="1756" t="e">
        <f>IF(OR(AR1028=S13,AR1028&gt;S13),AR1028,"")</f>
        <v>#VALUE!</v>
      </c>
      <c r="AQ1028" s="1759">
        <f t="shared" si="74"/>
        <v>1025</v>
      </c>
      <c r="AR1028" s="1756" t="e">
        <f>0.5*(S18+2*AQ1028)*LN(1+2*AQ1028/S18)</f>
        <v>#VALUE!</v>
      </c>
    </row>
    <row r="1029" spans="42:44">
      <c r="AP1029" s="1756" t="e">
        <f>IF(OR(AR1029=S13,AR1029&gt;S13),AR1029,"")</f>
        <v>#VALUE!</v>
      </c>
      <c r="AQ1029" s="1759">
        <f t="shared" si="74"/>
        <v>1026</v>
      </c>
      <c r="AR1029" s="1756" t="e">
        <f>0.5*(S18+2*AQ1029)*LN(1+2*AQ1029/S18)</f>
        <v>#VALUE!</v>
      </c>
    </row>
    <row r="1030" spans="42:44">
      <c r="AP1030" s="1756" t="e">
        <f>IF(OR(AR1030=S13,AR1030&gt;S13),AR1030,"")</f>
        <v>#VALUE!</v>
      </c>
      <c r="AQ1030" s="1759">
        <f t="shared" ref="AQ1030:AQ1093" si="75">AQ1029+1</f>
        <v>1027</v>
      </c>
      <c r="AR1030" s="1756" t="e">
        <f>0.5*(S18+2*AQ1030)*LN(1+2*AQ1030/S18)</f>
        <v>#VALUE!</v>
      </c>
    </row>
    <row r="1031" spans="42:44">
      <c r="AP1031" s="1756" t="e">
        <f>IF(OR(AR1031=S13,AR1031&gt;S13),AR1031,"")</f>
        <v>#VALUE!</v>
      </c>
      <c r="AQ1031" s="1759">
        <f t="shared" si="75"/>
        <v>1028</v>
      </c>
      <c r="AR1031" s="1756" t="e">
        <f>0.5*(S18+2*AQ1031)*LN(1+2*AQ1031/S18)</f>
        <v>#VALUE!</v>
      </c>
    </row>
    <row r="1032" spans="42:44">
      <c r="AP1032" s="1756" t="e">
        <f>IF(OR(AR1032=S13,AR1032&gt;S13),AR1032,"")</f>
        <v>#VALUE!</v>
      </c>
      <c r="AQ1032" s="1759">
        <f t="shared" si="75"/>
        <v>1029</v>
      </c>
      <c r="AR1032" s="1756" t="e">
        <f>0.5*(S18+2*AQ1032)*LN(1+2*AQ1032/S18)</f>
        <v>#VALUE!</v>
      </c>
    </row>
    <row r="1033" spans="42:44">
      <c r="AP1033" s="1756" t="e">
        <f>IF(OR(AR1033=S13,AR1033&gt;S13),AR1033,"")</f>
        <v>#VALUE!</v>
      </c>
      <c r="AQ1033" s="1759">
        <f t="shared" si="75"/>
        <v>1030</v>
      </c>
      <c r="AR1033" s="1756" t="e">
        <f>0.5*(S18+2*AQ1033)*LN(1+2*AQ1033/S18)</f>
        <v>#VALUE!</v>
      </c>
    </row>
    <row r="1034" spans="42:44">
      <c r="AP1034" s="1756" t="e">
        <f>IF(OR(AR1034=S13,AR1034&gt;S13),AR1034,"")</f>
        <v>#VALUE!</v>
      </c>
      <c r="AQ1034" s="1759">
        <f t="shared" si="75"/>
        <v>1031</v>
      </c>
      <c r="AR1034" s="1756" t="e">
        <f>0.5*(S18+2*AQ1034)*LN(1+2*AQ1034/S18)</f>
        <v>#VALUE!</v>
      </c>
    </row>
    <row r="1035" spans="42:44">
      <c r="AP1035" s="1756" t="e">
        <f>IF(OR(AR1035=S13,AR1035&gt;S13),AR1035,"")</f>
        <v>#VALUE!</v>
      </c>
      <c r="AQ1035" s="1759">
        <f t="shared" si="75"/>
        <v>1032</v>
      </c>
      <c r="AR1035" s="1756" t="e">
        <f>0.5*(S18+2*AQ1035)*LN(1+2*AQ1035/S18)</f>
        <v>#VALUE!</v>
      </c>
    </row>
    <row r="1036" spans="42:44">
      <c r="AP1036" s="1756" t="e">
        <f>IF(OR(AR1036=S13,AR1036&gt;S13),AR1036,"")</f>
        <v>#VALUE!</v>
      </c>
      <c r="AQ1036" s="1759">
        <f t="shared" si="75"/>
        <v>1033</v>
      </c>
      <c r="AR1036" s="1756" t="e">
        <f>0.5*(S18+2*AQ1036)*LN(1+2*AQ1036/S18)</f>
        <v>#VALUE!</v>
      </c>
    </row>
    <row r="1037" spans="42:44">
      <c r="AP1037" s="1756" t="e">
        <f>IF(OR(AR1037=S13,AR1037&gt;S13),AR1037,"")</f>
        <v>#VALUE!</v>
      </c>
      <c r="AQ1037" s="1759">
        <f t="shared" si="75"/>
        <v>1034</v>
      </c>
      <c r="AR1037" s="1756" t="e">
        <f>0.5*(S18+2*AQ1037)*LN(1+2*AQ1037/S18)</f>
        <v>#VALUE!</v>
      </c>
    </row>
    <row r="1038" spans="42:44">
      <c r="AP1038" s="1756" t="e">
        <f>IF(OR(AR1038=S13,AR1038&gt;S13),AR1038,"")</f>
        <v>#VALUE!</v>
      </c>
      <c r="AQ1038" s="1759">
        <f t="shared" si="75"/>
        <v>1035</v>
      </c>
      <c r="AR1038" s="1756" t="e">
        <f>0.5*(S18+2*AQ1038)*LN(1+2*AQ1038/S18)</f>
        <v>#VALUE!</v>
      </c>
    </row>
    <row r="1039" spans="42:44">
      <c r="AP1039" s="1756" t="e">
        <f>IF(OR(AR1039=S13,AR1039&gt;S13),AR1039,"")</f>
        <v>#VALUE!</v>
      </c>
      <c r="AQ1039" s="1759">
        <f t="shared" si="75"/>
        <v>1036</v>
      </c>
      <c r="AR1039" s="1756" t="e">
        <f>0.5*(S18+2*AQ1039)*LN(1+2*AQ1039/S18)</f>
        <v>#VALUE!</v>
      </c>
    </row>
    <row r="1040" spans="42:44">
      <c r="AP1040" s="1756" t="e">
        <f>IF(OR(AR1040=S13,AR1040&gt;S13),AR1040,"")</f>
        <v>#VALUE!</v>
      </c>
      <c r="AQ1040" s="1759">
        <f t="shared" si="75"/>
        <v>1037</v>
      </c>
      <c r="AR1040" s="1756" t="e">
        <f>0.5*(S18+2*AQ1040)*LN(1+2*AQ1040/S18)</f>
        <v>#VALUE!</v>
      </c>
    </row>
    <row r="1041" spans="42:44">
      <c r="AP1041" s="1756" t="e">
        <f>IF(OR(AR1041=S13,AR1041&gt;S13),AR1041,"")</f>
        <v>#VALUE!</v>
      </c>
      <c r="AQ1041" s="1759">
        <f t="shared" si="75"/>
        <v>1038</v>
      </c>
      <c r="AR1041" s="1756" t="e">
        <f>0.5*(S18+2*AQ1041)*LN(1+2*AQ1041/S18)</f>
        <v>#VALUE!</v>
      </c>
    </row>
    <row r="1042" spans="42:44">
      <c r="AP1042" s="1756" t="e">
        <f>IF(OR(AR1042=S13,AR1042&gt;S13),AR1042,"")</f>
        <v>#VALUE!</v>
      </c>
      <c r="AQ1042" s="1759">
        <f t="shared" si="75"/>
        <v>1039</v>
      </c>
      <c r="AR1042" s="1756" t="e">
        <f>0.5*(S18+2*AQ1042)*LN(1+2*AQ1042/S18)</f>
        <v>#VALUE!</v>
      </c>
    </row>
    <row r="1043" spans="42:44">
      <c r="AP1043" s="1756" t="e">
        <f>IF(OR(AR1043=S13,AR1043&gt;S13),AR1043,"")</f>
        <v>#VALUE!</v>
      </c>
      <c r="AQ1043" s="1759">
        <f t="shared" si="75"/>
        <v>1040</v>
      </c>
      <c r="AR1043" s="1756" t="e">
        <f>0.5*(S18+2*AQ1043)*LN(1+2*AQ1043/S18)</f>
        <v>#VALUE!</v>
      </c>
    </row>
    <row r="1044" spans="42:44">
      <c r="AP1044" s="1756" t="e">
        <f>IF(OR(AR1044=S13,AR1044&gt;S13),AR1044,"")</f>
        <v>#VALUE!</v>
      </c>
      <c r="AQ1044" s="1759">
        <f t="shared" si="75"/>
        <v>1041</v>
      </c>
      <c r="AR1044" s="1756" t="e">
        <f>0.5*(S18+2*AQ1044)*LN(1+2*AQ1044/S18)</f>
        <v>#VALUE!</v>
      </c>
    </row>
    <row r="1045" spans="42:44">
      <c r="AP1045" s="1756" t="e">
        <f>IF(OR(AR1045=S13,AR1045&gt;S13),AR1045,"")</f>
        <v>#VALUE!</v>
      </c>
      <c r="AQ1045" s="1759">
        <f t="shared" si="75"/>
        <v>1042</v>
      </c>
      <c r="AR1045" s="1756" t="e">
        <f>0.5*(S18+2*AQ1045)*LN(1+2*AQ1045/S18)</f>
        <v>#VALUE!</v>
      </c>
    </row>
    <row r="1046" spans="42:44">
      <c r="AP1046" s="1756" t="e">
        <f>IF(OR(AR1046=S13,AR1046&gt;S13),AR1046,"")</f>
        <v>#VALUE!</v>
      </c>
      <c r="AQ1046" s="1759">
        <f t="shared" si="75"/>
        <v>1043</v>
      </c>
      <c r="AR1046" s="1756" t="e">
        <f>0.5*(S18+2*AQ1046)*LN(1+2*AQ1046/S18)</f>
        <v>#VALUE!</v>
      </c>
    </row>
    <row r="1047" spans="42:44">
      <c r="AP1047" s="1756" t="e">
        <f>IF(OR(AR1047=S13,AR1047&gt;S13),AR1047,"")</f>
        <v>#VALUE!</v>
      </c>
      <c r="AQ1047" s="1759">
        <f t="shared" si="75"/>
        <v>1044</v>
      </c>
      <c r="AR1047" s="1756" t="e">
        <f>0.5*(S18+2*AQ1047)*LN(1+2*AQ1047/S18)</f>
        <v>#VALUE!</v>
      </c>
    </row>
    <row r="1048" spans="42:44">
      <c r="AP1048" s="1756" t="e">
        <f>IF(OR(AR1048=S13,AR1048&gt;S13),AR1048,"")</f>
        <v>#VALUE!</v>
      </c>
      <c r="AQ1048" s="1759">
        <f t="shared" si="75"/>
        <v>1045</v>
      </c>
      <c r="AR1048" s="1756" t="e">
        <f>0.5*(S18+2*AQ1048)*LN(1+2*AQ1048/S18)</f>
        <v>#VALUE!</v>
      </c>
    </row>
    <row r="1049" spans="42:44">
      <c r="AP1049" s="1756" t="e">
        <f>IF(OR(AR1049=S13,AR1049&gt;S13),AR1049,"")</f>
        <v>#VALUE!</v>
      </c>
      <c r="AQ1049" s="1759">
        <f t="shared" si="75"/>
        <v>1046</v>
      </c>
      <c r="AR1049" s="1756" t="e">
        <f>0.5*(S18+2*AQ1049)*LN(1+2*AQ1049/S18)</f>
        <v>#VALUE!</v>
      </c>
    </row>
    <row r="1050" spans="42:44">
      <c r="AP1050" s="1756" t="e">
        <f>IF(OR(AR1050=S13,AR1050&gt;S13),AR1050,"")</f>
        <v>#VALUE!</v>
      </c>
      <c r="AQ1050" s="1759">
        <f t="shared" si="75"/>
        <v>1047</v>
      </c>
      <c r="AR1050" s="1756" t="e">
        <f>0.5*(S18+2*AQ1050)*LN(1+2*AQ1050/S18)</f>
        <v>#VALUE!</v>
      </c>
    </row>
    <row r="1051" spans="42:44">
      <c r="AP1051" s="1756" t="e">
        <f>IF(OR(AR1051=S13,AR1051&gt;S13),AR1051,"")</f>
        <v>#VALUE!</v>
      </c>
      <c r="AQ1051" s="1759">
        <f t="shared" si="75"/>
        <v>1048</v>
      </c>
      <c r="AR1051" s="1756" t="e">
        <f>0.5*(S18+2*AQ1051)*LN(1+2*AQ1051/S18)</f>
        <v>#VALUE!</v>
      </c>
    </row>
    <row r="1052" spans="42:44">
      <c r="AP1052" s="1756" t="e">
        <f>IF(OR(AR1052=S13,AR1052&gt;S13),AR1052,"")</f>
        <v>#VALUE!</v>
      </c>
      <c r="AQ1052" s="1759">
        <f t="shared" si="75"/>
        <v>1049</v>
      </c>
      <c r="AR1052" s="1756" t="e">
        <f>0.5*(S18+2*AQ1052)*LN(1+2*AQ1052/S18)</f>
        <v>#VALUE!</v>
      </c>
    </row>
    <row r="1053" spans="42:44">
      <c r="AP1053" s="1756" t="e">
        <f>IF(OR(AR1053=S13,AR1053&gt;S13),AR1053,"")</f>
        <v>#VALUE!</v>
      </c>
      <c r="AQ1053" s="1759">
        <f t="shared" si="75"/>
        <v>1050</v>
      </c>
      <c r="AR1053" s="1756" t="e">
        <f>0.5*(S18+2*AQ1053)*LN(1+2*AQ1053/S18)</f>
        <v>#VALUE!</v>
      </c>
    </row>
    <row r="1054" spans="42:44">
      <c r="AP1054" s="1756" t="e">
        <f>IF(OR(AR1054=S13,AR1054&gt;S13),AR1054,"")</f>
        <v>#VALUE!</v>
      </c>
      <c r="AQ1054" s="1759">
        <f t="shared" si="75"/>
        <v>1051</v>
      </c>
      <c r="AR1054" s="1756" t="e">
        <f>0.5*(S18+2*AQ1054)*LN(1+2*AQ1054/S18)</f>
        <v>#VALUE!</v>
      </c>
    </row>
    <row r="1055" spans="42:44">
      <c r="AP1055" s="1756" t="e">
        <f>IF(OR(AR1055=S13,AR1055&gt;S13),AR1055,"")</f>
        <v>#VALUE!</v>
      </c>
      <c r="AQ1055" s="1759">
        <f t="shared" si="75"/>
        <v>1052</v>
      </c>
      <c r="AR1055" s="1756" t="e">
        <f>0.5*(S18+2*AQ1055)*LN(1+2*AQ1055/S18)</f>
        <v>#VALUE!</v>
      </c>
    </row>
    <row r="1056" spans="42:44">
      <c r="AP1056" s="1756" t="e">
        <f>IF(OR(AR1056=S13,AR1056&gt;S13),AR1056,"")</f>
        <v>#VALUE!</v>
      </c>
      <c r="AQ1056" s="1759">
        <f t="shared" si="75"/>
        <v>1053</v>
      </c>
      <c r="AR1056" s="1756" t="e">
        <f>0.5*(S18+2*AQ1056)*LN(1+2*AQ1056/S18)</f>
        <v>#VALUE!</v>
      </c>
    </row>
    <row r="1057" spans="42:44">
      <c r="AP1057" s="1756" t="e">
        <f>IF(OR(AR1057=S13,AR1057&gt;S13),AR1057,"")</f>
        <v>#VALUE!</v>
      </c>
      <c r="AQ1057" s="1759">
        <f t="shared" si="75"/>
        <v>1054</v>
      </c>
      <c r="AR1057" s="1756" t="e">
        <f>0.5*(S18+2*AQ1057)*LN(1+2*AQ1057/S18)</f>
        <v>#VALUE!</v>
      </c>
    </row>
    <row r="1058" spans="42:44">
      <c r="AP1058" s="1756" t="e">
        <f>IF(OR(AR1058=S13,AR1058&gt;S13),AR1058,"")</f>
        <v>#VALUE!</v>
      </c>
      <c r="AQ1058" s="1759">
        <f t="shared" si="75"/>
        <v>1055</v>
      </c>
      <c r="AR1058" s="1756" t="e">
        <f>0.5*(S18+2*AQ1058)*LN(1+2*AQ1058/S18)</f>
        <v>#VALUE!</v>
      </c>
    </row>
    <row r="1059" spans="42:44">
      <c r="AP1059" s="1756" t="e">
        <f>IF(OR(AR1059=S13,AR1059&gt;S13),AR1059,"")</f>
        <v>#VALUE!</v>
      </c>
      <c r="AQ1059" s="1759">
        <f t="shared" si="75"/>
        <v>1056</v>
      </c>
      <c r="AR1059" s="1756" t="e">
        <f>0.5*(S18+2*AQ1059)*LN(1+2*AQ1059/S18)</f>
        <v>#VALUE!</v>
      </c>
    </row>
    <row r="1060" spans="42:44">
      <c r="AP1060" s="1756" t="e">
        <f>IF(OR(AR1060=S13,AR1060&gt;S13),AR1060,"")</f>
        <v>#VALUE!</v>
      </c>
      <c r="AQ1060" s="1759">
        <f t="shared" si="75"/>
        <v>1057</v>
      </c>
      <c r="AR1060" s="1756" t="e">
        <f>0.5*(S18+2*AQ1060)*LN(1+2*AQ1060/S18)</f>
        <v>#VALUE!</v>
      </c>
    </row>
    <row r="1061" spans="42:44">
      <c r="AP1061" s="1756" t="e">
        <f>IF(OR(AR1061=S13,AR1061&gt;S13),AR1061,"")</f>
        <v>#VALUE!</v>
      </c>
      <c r="AQ1061" s="1759">
        <f t="shared" si="75"/>
        <v>1058</v>
      </c>
      <c r="AR1061" s="1756" t="e">
        <f>0.5*(S18+2*AQ1061)*LN(1+2*AQ1061/S18)</f>
        <v>#VALUE!</v>
      </c>
    </row>
    <row r="1062" spans="42:44">
      <c r="AP1062" s="1756" t="e">
        <f>IF(OR(AR1062=S13,AR1062&gt;S13),AR1062,"")</f>
        <v>#VALUE!</v>
      </c>
      <c r="AQ1062" s="1759">
        <f t="shared" si="75"/>
        <v>1059</v>
      </c>
      <c r="AR1062" s="1756" t="e">
        <f>0.5*(S18+2*AQ1062)*LN(1+2*AQ1062/S18)</f>
        <v>#VALUE!</v>
      </c>
    </row>
    <row r="1063" spans="42:44">
      <c r="AP1063" s="1756" t="e">
        <f>IF(OR(AR1063=S13,AR1063&gt;S13),AR1063,"")</f>
        <v>#VALUE!</v>
      </c>
      <c r="AQ1063" s="1759">
        <f t="shared" si="75"/>
        <v>1060</v>
      </c>
      <c r="AR1063" s="1756" t="e">
        <f>0.5*(S18+2*AQ1063)*LN(1+2*AQ1063/S18)</f>
        <v>#VALUE!</v>
      </c>
    </row>
    <row r="1064" spans="42:44">
      <c r="AP1064" s="1756" t="e">
        <f>IF(OR(AR1064=S13,AR1064&gt;S13),AR1064,"")</f>
        <v>#VALUE!</v>
      </c>
      <c r="AQ1064" s="1759">
        <f t="shared" si="75"/>
        <v>1061</v>
      </c>
      <c r="AR1064" s="1756" t="e">
        <f>0.5*(S18+2*AQ1064)*LN(1+2*AQ1064/S18)</f>
        <v>#VALUE!</v>
      </c>
    </row>
    <row r="1065" spans="42:44">
      <c r="AP1065" s="1756" t="e">
        <f>IF(OR(AR1065=S13,AR1065&gt;S13),AR1065,"")</f>
        <v>#VALUE!</v>
      </c>
      <c r="AQ1065" s="1759">
        <f t="shared" si="75"/>
        <v>1062</v>
      </c>
      <c r="AR1065" s="1756" t="e">
        <f>0.5*(S18+2*AQ1065)*LN(1+2*AQ1065/S18)</f>
        <v>#VALUE!</v>
      </c>
    </row>
    <row r="1066" spans="42:44">
      <c r="AP1066" s="1756" t="e">
        <f>IF(OR(AR1066=S13,AR1066&gt;S13),AR1066,"")</f>
        <v>#VALUE!</v>
      </c>
      <c r="AQ1066" s="1759">
        <f t="shared" si="75"/>
        <v>1063</v>
      </c>
      <c r="AR1066" s="1756" t="e">
        <f>0.5*(S18+2*AQ1066)*LN(1+2*AQ1066/S18)</f>
        <v>#VALUE!</v>
      </c>
    </row>
    <row r="1067" spans="42:44">
      <c r="AP1067" s="1756" t="e">
        <f>IF(OR(AR1067=S13,AR1067&gt;S13),AR1067,"")</f>
        <v>#VALUE!</v>
      </c>
      <c r="AQ1067" s="1759">
        <f t="shared" si="75"/>
        <v>1064</v>
      </c>
      <c r="AR1067" s="1756" t="e">
        <f>0.5*(S18+2*AQ1067)*LN(1+2*AQ1067/S18)</f>
        <v>#VALUE!</v>
      </c>
    </row>
    <row r="1068" spans="42:44">
      <c r="AP1068" s="1756" t="e">
        <f>IF(OR(AR1068=S13,AR1068&gt;S13),AR1068,"")</f>
        <v>#VALUE!</v>
      </c>
      <c r="AQ1068" s="1759">
        <f t="shared" si="75"/>
        <v>1065</v>
      </c>
      <c r="AR1068" s="1756" t="e">
        <f>0.5*(S18+2*AQ1068)*LN(1+2*AQ1068/S18)</f>
        <v>#VALUE!</v>
      </c>
    </row>
    <row r="1069" spans="42:44">
      <c r="AP1069" s="1756" t="e">
        <f>IF(OR(AR1069=S13,AR1069&gt;S13),AR1069,"")</f>
        <v>#VALUE!</v>
      </c>
      <c r="AQ1069" s="1759">
        <f t="shared" si="75"/>
        <v>1066</v>
      </c>
      <c r="AR1069" s="1756" t="e">
        <f>0.5*(S18+2*AQ1069)*LN(1+2*AQ1069/S18)</f>
        <v>#VALUE!</v>
      </c>
    </row>
    <row r="1070" spans="42:44">
      <c r="AP1070" s="1756" t="e">
        <f>IF(OR(AR1070=S13,AR1070&gt;S13),AR1070,"")</f>
        <v>#VALUE!</v>
      </c>
      <c r="AQ1070" s="1759">
        <f t="shared" si="75"/>
        <v>1067</v>
      </c>
      <c r="AR1070" s="1756" t="e">
        <f>0.5*(S18+2*AQ1070)*LN(1+2*AQ1070/S18)</f>
        <v>#VALUE!</v>
      </c>
    </row>
    <row r="1071" spans="42:44">
      <c r="AP1071" s="1756" t="e">
        <f>IF(OR(AR1071=S13,AR1071&gt;S13),AR1071,"")</f>
        <v>#VALUE!</v>
      </c>
      <c r="AQ1071" s="1759">
        <f t="shared" si="75"/>
        <v>1068</v>
      </c>
      <c r="AR1071" s="1756" t="e">
        <f>0.5*(S18+2*AQ1071)*LN(1+2*AQ1071/S18)</f>
        <v>#VALUE!</v>
      </c>
    </row>
    <row r="1072" spans="42:44">
      <c r="AP1072" s="1756" t="e">
        <f>IF(OR(AR1072=S13,AR1072&gt;S13),AR1072,"")</f>
        <v>#VALUE!</v>
      </c>
      <c r="AQ1072" s="1759">
        <f t="shared" si="75"/>
        <v>1069</v>
      </c>
      <c r="AR1072" s="1756" t="e">
        <f>0.5*(S18+2*AQ1072)*LN(1+2*AQ1072/S18)</f>
        <v>#VALUE!</v>
      </c>
    </row>
    <row r="1073" spans="42:44">
      <c r="AP1073" s="1756" t="e">
        <f>IF(OR(AR1073=S13,AR1073&gt;S13),AR1073,"")</f>
        <v>#VALUE!</v>
      </c>
      <c r="AQ1073" s="1759">
        <f t="shared" si="75"/>
        <v>1070</v>
      </c>
      <c r="AR1073" s="1756" t="e">
        <f>0.5*(S18+2*AQ1073)*LN(1+2*AQ1073/S18)</f>
        <v>#VALUE!</v>
      </c>
    </row>
    <row r="1074" spans="42:44">
      <c r="AP1074" s="1756" t="e">
        <f>IF(OR(AR1074=S13,AR1074&gt;S13),AR1074,"")</f>
        <v>#VALUE!</v>
      </c>
      <c r="AQ1074" s="1759">
        <f t="shared" si="75"/>
        <v>1071</v>
      </c>
      <c r="AR1074" s="1756" t="e">
        <f>0.5*(S18+2*AQ1074)*LN(1+2*AQ1074/S18)</f>
        <v>#VALUE!</v>
      </c>
    </row>
    <row r="1075" spans="42:44">
      <c r="AP1075" s="1756" t="e">
        <f>IF(OR(AR1075=S13,AR1075&gt;S13),AR1075,"")</f>
        <v>#VALUE!</v>
      </c>
      <c r="AQ1075" s="1759">
        <f t="shared" si="75"/>
        <v>1072</v>
      </c>
      <c r="AR1075" s="1756" t="e">
        <f>0.5*(S18+2*AQ1075)*LN(1+2*AQ1075/S18)</f>
        <v>#VALUE!</v>
      </c>
    </row>
    <row r="1076" spans="42:44">
      <c r="AP1076" s="1756" t="e">
        <f>IF(OR(AR1076=S13,AR1076&gt;S13),AR1076,"")</f>
        <v>#VALUE!</v>
      </c>
      <c r="AQ1076" s="1759">
        <f t="shared" si="75"/>
        <v>1073</v>
      </c>
      <c r="AR1076" s="1756" t="e">
        <f>0.5*(S18+2*AQ1076)*LN(1+2*AQ1076/S18)</f>
        <v>#VALUE!</v>
      </c>
    </row>
    <row r="1077" spans="42:44">
      <c r="AP1077" s="1756" t="e">
        <f>IF(OR(AR1077=S13,AR1077&gt;S13),AR1077,"")</f>
        <v>#VALUE!</v>
      </c>
      <c r="AQ1077" s="1759">
        <f t="shared" si="75"/>
        <v>1074</v>
      </c>
      <c r="AR1077" s="1756" t="e">
        <f>0.5*(S18+2*AQ1077)*LN(1+2*AQ1077/S18)</f>
        <v>#VALUE!</v>
      </c>
    </row>
    <row r="1078" spans="42:44">
      <c r="AP1078" s="1756" t="e">
        <f>IF(OR(AR1078=S13,AR1078&gt;S13),AR1078,"")</f>
        <v>#VALUE!</v>
      </c>
      <c r="AQ1078" s="1759">
        <f t="shared" si="75"/>
        <v>1075</v>
      </c>
      <c r="AR1078" s="1756" t="e">
        <f>0.5*(S18+2*AQ1078)*LN(1+2*AQ1078/S18)</f>
        <v>#VALUE!</v>
      </c>
    </row>
    <row r="1079" spans="42:44">
      <c r="AP1079" s="1756" t="e">
        <f>IF(OR(AR1079=S13,AR1079&gt;S13),AR1079,"")</f>
        <v>#VALUE!</v>
      </c>
      <c r="AQ1079" s="1759">
        <f t="shared" si="75"/>
        <v>1076</v>
      </c>
      <c r="AR1079" s="1756" t="e">
        <f>0.5*(S18+2*AQ1079)*LN(1+2*AQ1079/S18)</f>
        <v>#VALUE!</v>
      </c>
    </row>
    <row r="1080" spans="42:44">
      <c r="AP1080" s="1756" t="e">
        <f>IF(OR(AR1080=S13,AR1080&gt;S13),AR1080,"")</f>
        <v>#VALUE!</v>
      </c>
      <c r="AQ1080" s="1759">
        <f t="shared" si="75"/>
        <v>1077</v>
      </c>
      <c r="AR1080" s="1756" t="e">
        <f>0.5*(S18+2*AQ1080)*LN(1+2*AQ1080/S18)</f>
        <v>#VALUE!</v>
      </c>
    </row>
    <row r="1081" spans="42:44">
      <c r="AP1081" s="1756" t="e">
        <f>IF(OR(AR1081=S13,AR1081&gt;S13),AR1081,"")</f>
        <v>#VALUE!</v>
      </c>
      <c r="AQ1081" s="1759">
        <f t="shared" si="75"/>
        <v>1078</v>
      </c>
      <c r="AR1081" s="1756" t="e">
        <f>0.5*(S18+2*AQ1081)*LN(1+2*AQ1081/S18)</f>
        <v>#VALUE!</v>
      </c>
    </row>
    <row r="1082" spans="42:44">
      <c r="AP1082" s="1756" t="e">
        <f>IF(OR(AR1082=S13,AR1082&gt;S13),AR1082,"")</f>
        <v>#VALUE!</v>
      </c>
      <c r="AQ1082" s="1759">
        <f t="shared" si="75"/>
        <v>1079</v>
      </c>
      <c r="AR1082" s="1756" t="e">
        <f>0.5*(S18+2*AQ1082)*LN(1+2*AQ1082/S18)</f>
        <v>#VALUE!</v>
      </c>
    </row>
    <row r="1083" spans="42:44">
      <c r="AP1083" s="1756" t="e">
        <f>IF(OR(AR1083=S13,AR1083&gt;S13),AR1083,"")</f>
        <v>#VALUE!</v>
      </c>
      <c r="AQ1083" s="1759">
        <f t="shared" si="75"/>
        <v>1080</v>
      </c>
      <c r="AR1083" s="1756" t="e">
        <f>0.5*(S18+2*AQ1083)*LN(1+2*AQ1083/S18)</f>
        <v>#VALUE!</v>
      </c>
    </row>
    <row r="1084" spans="42:44">
      <c r="AP1084" s="1756" t="e">
        <f>IF(OR(AR1084=S13,AR1084&gt;S13),AR1084,"")</f>
        <v>#VALUE!</v>
      </c>
      <c r="AQ1084" s="1759">
        <f t="shared" si="75"/>
        <v>1081</v>
      </c>
      <c r="AR1084" s="1756" t="e">
        <f>0.5*(S18+2*AQ1084)*LN(1+2*AQ1084/S18)</f>
        <v>#VALUE!</v>
      </c>
    </row>
    <row r="1085" spans="42:44">
      <c r="AP1085" s="1756" t="e">
        <f>IF(OR(AR1085=S13,AR1085&gt;S13),AR1085,"")</f>
        <v>#VALUE!</v>
      </c>
      <c r="AQ1085" s="1759">
        <f t="shared" si="75"/>
        <v>1082</v>
      </c>
      <c r="AR1085" s="1756" t="e">
        <f>0.5*(S18+2*AQ1085)*LN(1+2*AQ1085/S18)</f>
        <v>#VALUE!</v>
      </c>
    </row>
    <row r="1086" spans="42:44">
      <c r="AP1086" s="1756" t="e">
        <f>IF(OR(AR1086=S13,AR1086&gt;S13),AR1086,"")</f>
        <v>#VALUE!</v>
      </c>
      <c r="AQ1086" s="1759">
        <f t="shared" si="75"/>
        <v>1083</v>
      </c>
      <c r="AR1086" s="1756" t="e">
        <f>0.5*(S18+2*AQ1086)*LN(1+2*AQ1086/S18)</f>
        <v>#VALUE!</v>
      </c>
    </row>
    <row r="1087" spans="42:44">
      <c r="AP1087" s="1756" t="e">
        <f>IF(OR(AR1087=S13,AR1087&gt;S13),AR1087,"")</f>
        <v>#VALUE!</v>
      </c>
      <c r="AQ1087" s="1759">
        <f t="shared" si="75"/>
        <v>1084</v>
      </c>
      <c r="AR1087" s="1756" t="e">
        <f>0.5*(S18+2*AQ1087)*LN(1+2*AQ1087/S18)</f>
        <v>#VALUE!</v>
      </c>
    </row>
    <row r="1088" spans="42:44">
      <c r="AP1088" s="1756" t="e">
        <f>IF(OR(AR1088=S13,AR1088&gt;S13),AR1088,"")</f>
        <v>#VALUE!</v>
      </c>
      <c r="AQ1088" s="1759">
        <f t="shared" si="75"/>
        <v>1085</v>
      </c>
      <c r="AR1088" s="1756" t="e">
        <f>0.5*(S18+2*AQ1088)*LN(1+2*AQ1088/S18)</f>
        <v>#VALUE!</v>
      </c>
    </row>
    <row r="1089" spans="42:44">
      <c r="AP1089" s="1756" t="e">
        <f>IF(OR(AR1089=S13,AR1089&gt;S13),AR1089,"")</f>
        <v>#VALUE!</v>
      </c>
      <c r="AQ1089" s="1759">
        <f t="shared" si="75"/>
        <v>1086</v>
      </c>
      <c r="AR1089" s="1756" t="e">
        <f>0.5*(S18+2*AQ1089)*LN(1+2*AQ1089/S18)</f>
        <v>#VALUE!</v>
      </c>
    </row>
    <row r="1090" spans="42:44">
      <c r="AP1090" s="1756" t="e">
        <f>IF(OR(AR1090=S13,AR1090&gt;S13),AR1090,"")</f>
        <v>#VALUE!</v>
      </c>
      <c r="AQ1090" s="1759">
        <f t="shared" si="75"/>
        <v>1087</v>
      </c>
      <c r="AR1090" s="1756" t="e">
        <f>0.5*(S18+2*AQ1090)*LN(1+2*AQ1090/S18)</f>
        <v>#VALUE!</v>
      </c>
    </row>
    <row r="1091" spans="42:44">
      <c r="AP1091" s="1756" t="e">
        <f>IF(OR(AR1091=S13,AR1091&gt;S13),AR1091,"")</f>
        <v>#VALUE!</v>
      </c>
      <c r="AQ1091" s="1759">
        <f t="shared" si="75"/>
        <v>1088</v>
      </c>
      <c r="AR1091" s="1756" t="e">
        <f>0.5*(S18+2*AQ1091)*LN(1+2*AQ1091/S18)</f>
        <v>#VALUE!</v>
      </c>
    </row>
    <row r="1092" spans="42:44">
      <c r="AP1092" s="1756" t="e">
        <f>IF(OR(AR1092=S13,AR1092&gt;S13),AR1092,"")</f>
        <v>#VALUE!</v>
      </c>
      <c r="AQ1092" s="1759">
        <f t="shared" si="75"/>
        <v>1089</v>
      </c>
      <c r="AR1092" s="1756" t="e">
        <f>0.5*(S18+2*AQ1092)*LN(1+2*AQ1092/S18)</f>
        <v>#VALUE!</v>
      </c>
    </row>
    <row r="1093" spans="42:44">
      <c r="AP1093" s="1756" t="e">
        <f>IF(OR(AR1093=S13,AR1093&gt;S13),AR1093,"")</f>
        <v>#VALUE!</v>
      </c>
      <c r="AQ1093" s="1759">
        <f t="shared" si="75"/>
        <v>1090</v>
      </c>
      <c r="AR1093" s="1756" t="e">
        <f>0.5*(S18+2*AQ1093)*LN(1+2*AQ1093/S18)</f>
        <v>#VALUE!</v>
      </c>
    </row>
    <row r="1094" spans="42:44">
      <c r="AP1094" s="1756" t="e">
        <f>IF(OR(AR1094=S13,AR1094&gt;S13),AR1094,"")</f>
        <v>#VALUE!</v>
      </c>
      <c r="AQ1094" s="1759">
        <f t="shared" ref="AQ1094:AQ1157" si="76">AQ1093+1</f>
        <v>1091</v>
      </c>
      <c r="AR1094" s="1756" t="e">
        <f>0.5*(S18+2*AQ1094)*LN(1+2*AQ1094/S18)</f>
        <v>#VALUE!</v>
      </c>
    </row>
    <row r="1095" spans="42:44">
      <c r="AP1095" s="1756" t="e">
        <f>IF(OR(AR1095=S13,AR1095&gt;S13),AR1095,"")</f>
        <v>#VALUE!</v>
      </c>
      <c r="AQ1095" s="1759">
        <f t="shared" si="76"/>
        <v>1092</v>
      </c>
      <c r="AR1095" s="1756" t="e">
        <f>0.5*(S18+2*AQ1095)*LN(1+2*AQ1095/S18)</f>
        <v>#VALUE!</v>
      </c>
    </row>
    <row r="1096" spans="42:44">
      <c r="AP1096" s="1756" t="e">
        <f>IF(OR(AR1096=S13,AR1096&gt;S13),AR1096,"")</f>
        <v>#VALUE!</v>
      </c>
      <c r="AQ1096" s="1759">
        <f t="shared" si="76"/>
        <v>1093</v>
      </c>
      <c r="AR1096" s="1756" t="e">
        <f>0.5*(S18+2*AQ1096)*LN(1+2*AQ1096/S18)</f>
        <v>#VALUE!</v>
      </c>
    </row>
    <row r="1097" spans="42:44">
      <c r="AP1097" s="1756" t="e">
        <f>IF(OR(AR1097=S13,AR1097&gt;S13),AR1097,"")</f>
        <v>#VALUE!</v>
      </c>
      <c r="AQ1097" s="1759">
        <f t="shared" si="76"/>
        <v>1094</v>
      </c>
      <c r="AR1097" s="1756" t="e">
        <f>0.5*(S18+2*AQ1097)*LN(1+2*AQ1097/S18)</f>
        <v>#VALUE!</v>
      </c>
    </row>
    <row r="1098" spans="42:44">
      <c r="AP1098" s="1756" t="e">
        <f>IF(OR(AR1098=S13,AR1098&gt;S13),AR1098,"")</f>
        <v>#VALUE!</v>
      </c>
      <c r="AQ1098" s="1759">
        <f t="shared" si="76"/>
        <v>1095</v>
      </c>
      <c r="AR1098" s="1756" t="e">
        <f>0.5*(S18+2*AQ1098)*LN(1+2*AQ1098/S18)</f>
        <v>#VALUE!</v>
      </c>
    </row>
    <row r="1099" spans="42:44">
      <c r="AP1099" s="1756" t="e">
        <f>IF(OR(AR1099=S13,AR1099&gt;S13),AR1099,"")</f>
        <v>#VALUE!</v>
      </c>
      <c r="AQ1099" s="1759">
        <f t="shared" si="76"/>
        <v>1096</v>
      </c>
      <c r="AR1099" s="1756" t="e">
        <f>0.5*(S18+2*AQ1099)*LN(1+2*AQ1099/S18)</f>
        <v>#VALUE!</v>
      </c>
    </row>
    <row r="1100" spans="42:44">
      <c r="AP1100" s="1756" t="e">
        <f>IF(OR(AR1100=S13,AR1100&gt;S13),AR1100,"")</f>
        <v>#VALUE!</v>
      </c>
      <c r="AQ1100" s="1759">
        <f t="shared" si="76"/>
        <v>1097</v>
      </c>
      <c r="AR1100" s="1756" t="e">
        <f>0.5*(S18+2*AQ1100)*LN(1+2*AQ1100/S18)</f>
        <v>#VALUE!</v>
      </c>
    </row>
    <row r="1101" spans="42:44">
      <c r="AP1101" s="1756" t="e">
        <f>IF(OR(AR1101=S13,AR1101&gt;S13),AR1101,"")</f>
        <v>#VALUE!</v>
      </c>
      <c r="AQ1101" s="1759">
        <f t="shared" si="76"/>
        <v>1098</v>
      </c>
      <c r="AR1101" s="1756" t="e">
        <f>0.5*(S18+2*AQ1101)*LN(1+2*AQ1101/S18)</f>
        <v>#VALUE!</v>
      </c>
    </row>
    <row r="1102" spans="42:44">
      <c r="AP1102" s="1756" t="e">
        <f>IF(OR(AR1102=S13,AR1102&gt;S13),AR1102,"")</f>
        <v>#VALUE!</v>
      </c>
      <c r="AQ1102" s="1759">
        <f t="shared" si="76"/>
        <v>1099</v>
      </c>
      <c r="AR1102" s="1756" t="e">
        <f>0.5*(S18+2*AQ1102)*LN(1+2*AQ1102/S18)</f>
        <v>#VALUE!</v>
      </c>
    </row>
    <row r="1103" spans="42:44">
      <c r="AP1103" s="1756" t="e">
        <f>IF(OR(AR1103=S13,AR1103&gt;S13),AR1103,"")</f>
        <v>#VALUE!</v>
      </c>
      <c r="AQ1103" s="1759">
        <f t="shared" si="76"/>
        <v>1100</v>
      </c>
      <c r="AR1103" s="1756" t="e">
        <f>0.5*(S18+2*AQ1103)*LN(1+2*AQ1103/S18)</f>
        <v>#VALUE!</v>
      </c>
    </row>
    <row r="1104" spans="42:44">
      <c r="AP1104" s="1756" t="e">
        <f>IF(OR(AR1104=S13,AR1104&gt;S13),AR1104,"")</f>
        <v>#VALUE!</v>
      </c>
      <c r="AQ1104" s="1759">
        <f t="shared" si="76"/>
        <v>1101</v>
      </c>
      <c r="AR1104" s="1756" t="e">
        <f>0.5*(S18+2*AQ1104)*LN(1+2*AQ1104/S18)</f>
        <v>#VALUE!</v>
      </c>
    </row>
    <row r="1105" spans="42:44">
      <c r="AP1105" s="1756" t="e">
        <f>IF(OR(AR1105=S13,AR1105&gt;S13),AR1105,"")</f>
        <v>#VALUE!</v>
      </c>
      <c r="AQ1105" s="1759">
        <f t="shared" si="76"/>
        <v>1102</v>
      </c>
      <c r="AR1105" s="1756" t="e">
        <f>0.5*(S18+2*AQ1105)*LN(1+2*AQ1105/S18)</f>
        <v>#VALUE!</v>
      </c>
    </row>
    <row r="1106" spans="42:44">
      <c r="AP1106" s="1756" t="e">
        <f>IF(OR(AR1106=S13,AR1106&gt;S13),AR1106,"")</f>
        <v>#VALUE!</v>
      </c>
      <c r="AQ1106" s="1759">
        <f t="shared" si="76"/>
        <v>1103</v>
      </c>
      <c r="AR1106" s="1756" t="e">
        <f>0.5*(S18+2*AQ1106)*LN(1+2*AQ1106/S18)</f>
        <v>#VALUE!</v>
      </c>
    </row>
    <row r="1107" spans="42:44">
      <c r="AP1107" s="1756" t="e">
        <f>IF(OR(AR1107=S13,AR1107&gt;S13),AR1107,"")</f>
        <v>#VALUE!</v>
      </c>
      <c r="AQ1107" s="1759">
        <f t="shared" si="76"/>
        <v>1104</v>
      </c>
      <c r="AR1107" s="1756" t="e">
        <f>0.5*(S18+2*AQ1107)*LN(1+2*AQ1107/S18)</f>
        <v>#VALUE!</v>
      </c>
    </row>
    <row r="1108" spans="42:44">
      <c r="AP1108" s="1756" t="e">
        <f>IF(OR(AR1108=S13,AR1108&gt;S13),AR1108,"")</f>
        <v>#VALUE!</v>
      </c>
      <c r="AQ1108" s="1759">
        <f t="shared" si="76"/>
        <v>1105</v>
      </c>
      <c r="AR1108" s="1756" t="e">
        <f>0.5*(S18+2*AQ1108)*LN(1+2*AQ1108/S18)</f>
        <v>#VALUE!</v>
      </c>
    </row>
    <row r="1109" spans="42:44">
      <c r="AP1109" s="1756" t="e">
        <f>IF(OR(AR1109=S13,AR1109&gt;S13),AR1109,"")</f>
        <v>#VALUE!</v>
      </c>
      <c r="AQ1109" s="1759">
        <f t="shared" si="76"/>
        <v>1106</v>
      </c>
      <c r="AR1109" s="1756" t="e">
        <f>0.5*(S18+2*AQ1109)*LN(1+2*AQ1109/S18)</f>
        <v>#VALUE!</v>
      </c>
    </row>
    <row r="1110" spans="42:44">
      <c r="AP1110" s="1756" t="e">
        <f>IF(OR(AR1110=S13,AR1110&gt;S13),AR1110,"")</f>
        <v>#VALUE!</v>
      </c>
      <c r="AQ1110" s="1759">
        <f t="shared" si="76"/>
        <v>1107</v>
      </c>
      <c r="AR1110" s="1756" t="e">
        <f>0.5*(S18+2*AQ1110)*LN(1+2*AQ1110/S18)</f>
        <v>#VALUE!</v>
      </c>
    </row>
    <row r="1111" spans="42:44">
      <c r="AP1111" s="1756" t="e">
        <f>IF(OR(AR1111=S13,AR1111&gt;S13),AR1111,"")</f>
        <v>#VALUE!</v>
      </c>
      <c r="AQ1111" s="1759">
        <f t="shared" si="76"/>
        <v>1108</v>
      </c>
      <c r="AR1111" s="1756" t="e">
        <f>0.5*(S18+2*AQ1111)*LN(1+2*AQ1111/S18)</f>
        <v>#VALUE!</v>
      </c>
    </row>
    <row r="1112" spans="42:44">
      <c r="AP1112" s="1756" t="e">
        <f>IF(OR(AR1112=S13,AR1112&gt;S13),AR1112,"")</f>
        <v>#VALUE!</v>
      </c>
      <c r="AQ1112" s="1759">
        <f t="shared" si="76"/>
        <v>1109</v>
      </c>
      <c r="AR1112" s="1756" t="e">
        <f>0.5*(S18+2*AQ1112)*LN(1+2*AQ1112/S18)</f>
        <v>#VALUE!</v>
      </c>
    </row>
    <row r="1113" spans="42:44">
      <c r="AP1113" s="1756" t="e">
        <f>IF(OR(AR1113=S13,AR1113&gt;S13),AR1113,"")</f>
        <v>#VALUE!</v>
      </c>
      <c r="AQ1113" s="1759">
        <f t="shared" si="76"/>
        <v>1110</v>
      </c>
      <c r="AR1113" s="1756" t="e">
        <f>0.5*(S18+2*AQ1113)*LN(1+2*AQ1113/S18)</f>
        <v>#VALUE!</v>
      </c>
    </row>
    <row r="1114" spans="42:44">
      <c r="AP1114" s="1756" t="e">
        <f>IF(OR(AR1114=S13,AR1114&gt;S13),AR1114,"")</f>
        <v>#VALUE!</v>
      </c>
      <c r="AQ1114" s="1759">
        <f t="shared" si="76"/>
        <v>1111</v>
      </c>
      <c r="AR1114" s="1756" t="e">
        <f>0.5*(S18+2*AQ1114)*LN(1+2*AQ1114/S18)</f>
        <v>#VALUE!</v>
      </c>
    </row>
    <row r="1115" spans="42:44">
      <c r="AP1115" s="1756" t="e">
        <f>IF(OR(AR1115=S13,AR1115&gt;S13),AR1115,"")</f>
        <v>#VALUE!</v>
      </c>
      <c r="AQ1115" s="1759">
        <f t="shared" si="76"/>
        <v>1112</v>
      </c>
      <c r="AR1115" s="1756" t="e">
        <f>0.5*(S18+2*AQ1115)*LN(1+2*AQ1115/S18)</f>
        <v>#VALUE!</v>
      </c>
    </row>
    <row r="1116" spans="42:44">
      <c r="AP1116" s="1756" t="e">
        <f>IF(OR(AR1116=S13,AR1116&gt;S13),AR1116,"")</f>
        <v>#VALUE!</v>
      </c>
      <c r="AQ1116" s="1759">
        <f t="shared" si="76"/>
        <v>1113</v>
      </c>
      <c r="AR1116" s="1756" t="e">
        <f>0.5*(S18+2*AQ1116)*LN(1+2*AQ1116/S18)</f>
        <v>#VALUE!</v>
      </c>
    </row>
    <row r="1117" spans="42:44">
      <c r="AP1117" s="1756" t="e">
        <f>IF(OR(AR1117=S13,AR1117&gt;S13),AR1117,"")</f>
        <v>#VALUE!</v>
      </c>
      <c r="AQ1117" s="1759">
        <f t="shared" si="76"/>
        <v>1114</v>
      </c>
      <c r="AR1117" s="1756" t="e">
        <f>0.5*(S18+2*AQ1117)*LN(1+2*AQ1117/S18)</f>
        <v>#VALUE!</v>
      </c>
    </row>
    <row r="1118" spans="42:44">
      <c r="AP1118" s="1756" t="e">
        <f>IF(OR(AR1118=S13,AR1118&gt;S13),AR1118,"")</f>
        <v>#VALUE!</v>
      </c>
      <c r="AQ1118" s="1759">
        <f t="shared" si="76"/>
        <v>1115</v>
      </c>
      <c r="AR1118" s="1756" t="e">
        <f>0.5*(S18+2*AQ1118)*LN(1+2*AQ1118/S18)</f>
        <v>#VALUE!</v>
      </c>
    </row>
    <row r="1119" spans="42:44">
      <c r="AP1119" s="1756" t="e">
        <f>IF(OR(AR1119=S13,AR1119&gt;S13),AR1119,"")</f>
        <v>#VALUE!</v>
      </c>
      <c r="AQ1119" s="1759">
        <f t="shared" si="76"/>
        <v>1116</v>
      </c>
      <c r="AR1119" s="1756" t="e">
        <f>0.5*(S18+2*AQ1119)*LN(1+2*AQ1119/S18)</f>
        <v>#VALUE!</v>
      </c>
    </row>
    <row r="1120" spans="42:44">
      <c r="AP1120" s="1756" t="e">
        <f>IF(OR(AR1120=S13,AR1120&gt;S13),AR1120,"")</f>
        <v>#VALUE!</v>
      </c>
      <c r="AQ1120" s="1759">
        <f t="shared" si="76"/>
        <v>1117</v>
      </c>
      <c r="AR1120" s="1756" t="e">
        <f>0.5*(S18+2*AQ1120)*LN(1+2*AQ1120/S18)</f>
        <v>#VALUE!</v>
      </c>
    </row>
    <row r="1121" spans="42:44">
      <c r="AP1121" s="1756" t="e">
        <f>IF(OR(AR1121=S13,AR1121&gt;S13),AR1121,"")</f>
        <v>#VALUE!</v>
      </c>
      <c r="AQ1121" s="1759">
        <f t="shared" si="76"/>
        <v>1118</v>
      </c>
      <c r="AR1121" s="1756" t="e">
        <f>0.5*(S18+2*AQ1121)*LN(1+2*AQ1121/S18)</f>
        <v>#VALUE!</v>
      </c>
    </row>
    <row r="1122" spans="42:44">
      <c r="AP1122" s="1756" t="e">
        <f>IF(OR(AR1122=S13,AR1122&gt;S13),AR1122,"")</f>
        <v>#VALUE!</v>
      </c>
      <c r="AQ1122" s="1759">
        <f t="shared" si="76"/>
        <v>1119</v>
      </c>
      <c r="AR1122" s="1756" t="e">
        <f>0.5*(S18+2*AQ1122)*LN(1+2*AQ1122/S18)</f>
        <v>#VALUE!</v>
      </c>
    </row>
    <row r="1123" spans="42:44">
      <c r="AP1123" s="1756" t="e">
        <f>IF(OR(AR1123=S13,AR1123&gt;S13),AR1123,"")</f>
        <v>#VALUE!</v>
      </c>
      <c r="AQ1123" s="1759">
        <f t="shared" si="76"/>
        <v>1120</v>
      </c>
      <c r="AR1123" s="1756" t="e">
        <f>0.5*(S18+2*AQ1123)*LN(1+2*AQ1123/S18)</f>
        <v>#VALUE!</v>
      </c>
    </row>
    <row r="1124" spans="42:44">
      <c r="AP1124" s="1756" t="e">
        <f>IF(OR(AR1124=S13,AR1124&gt;S13),AR1124,"")</f>
        <v>#VALUE!</v>
      </c>
      <c r="AQ1124" s="1759">
        <f t="shared" si="76"/>
        <v>1121</v>
      </c>
      <c r="AR1124" s="1756" t="e">
        <f>0.5*(S18+2*AQ1124)*LN(1+2*AQ1124/S18)</f>
        <v>#VALUE!</v>
      </c>
    </row>
    <row r="1125" spans="42:44">
      <c r="AP1125" s="1756" t="e">
        <f>IF(OR(AR1125=S13,AR1125&gt;S13),AR1125,"")</f>
        <v>#VALUE!</v>
      </c>
      <c r="AQ1125" s="1759">
        <f t="shared" si="76"/>
        <v>1122</v>
      </c>
      <c r="AR1125" s="1756" t="e">
        <f>0.5*(S18+2*AQ1125)*LN(1+2*AQ1125/S18)</f>
        <v>#VALUE!</v>
      </c>
    </row>
    <row r="1126" spans="42:44">
      <c r="AP1126" s="1756" t="e">
        <f>IF(OR(AR1126=S13,AR1126&gt;S13),AR1126,"")</f>
        <v>#VALUE!</v>
      </c>
      <c r="AQ1126" s="1759">
        <f t="shared" si="76"/>
        <v>1123</v>
      </c>
      <c r="AR1126" s="1756" t="e">
        <f>0.5*(S18+2*AQ1126)*LN(1+2*AQ1126/S18)</f>
        <v>#VALUE!</v>
      </c>
    </row>
    <row r="1127" spans="42:44">
      <c r="AP1127" s="1756" t="e">
        <f>IF(OR(AR1127=S13,AR1127&gt;S13),AR1127,"")</f>
        <v>#VALUE!</v>
      </c>
      <c r="AQ1127" s="1759">
        <f t="shared" si="76"/>
        <v>1124</v>
      </c>
      <c r="AR1127" s="1756" t="e">
        <f>0.5*(S18+2*AQ1127)*LN(1+2*AQ1127/S18)</f>
        <v>#VALUE!</v>
      </c>
    </row>
    <row r="1128" spans="42:44">
      <c r="AP1128" s="1756" t="e">
        <f>IF(OR(AR1128=S13,AR1128&gt;S13),AR1128,"")</f>
        <v>#VALUE!</v>
      </c>
      <c r="AQ1128" s="1759">
        <f t="shared" si="76"/>
        <v>1125</v>
      </c>
      <c r="AR1128" s="1756" t="e">
        <f>0.5*(S18+2*AQ1128)*LN(1+2*AQ1128/S18)</f>
        <v>#VALUE!</v>
      </c>
    </row>
    <row r="1129" spans="42:44">
      <c r="AP1129" s="1756" t="e">
        <f>IF(OR(AR1129=S13,AR1129&gt;S13),AR1129,"")</f>
        <v>#VALUE!</v>
      </c>
      <c r="AQ1129" s="1759">
        <f t="shared" si="76"/>
        <v>1126</v>
      </c>
      <c r="AR1129" s="1756" t="e">
        <f>0.5*(S18+2*AQ1129)*LN(1+2*AQ1129/S18)</f>
        <v>#VALUE!</v>
      </c>
    </row>
    <row r="1130" spans="42:44">
      <c r="AP1130" s="1756" t="e">
        <f>IF(OR(AR1130=S13,AR1130&gt;S13),AR1130,"")</f>
        <v>#VALUE!</v>
      </c>
      <c r="AQ1130" s="1759">
        <f t="shared" si="76"/>
        <v>1127</v>
      </c>
      <c r="AR1130" s="1756" t="e">
        <f>0.5*(S18+2*AQ1130)*LN(1+2*AQ1130/S18)</f>
        <v>#VALUE!</v>
      </c>
    </row>
    <row r="1131" spans="42:44">
      <c r="AP1131" s="1756" t="e">
        <f>IF(OR(AR1131=S13,AR1131&gt;S13),AR1131,"")</f>
        <v>#VALUE!</v>
      </c>
      <c r="AQ1131" s="1759">
        <f t="shared" si="76"/>
        <v>1128</v>
      </c>
      <c r="AR1131" s="1756" t="e">
        <f>0.5*(S18+2*AQ1131)*LN(1+2*AQ1131/S18)</f>
        <v>#VALUE!</v>
      </c>
    </row>
    <row r="1132" spans="42:44">
      <c r="AP1132" s="1756" t="e">
        <f>IF(OR(AR1132=S13,AR1132&gt;S13),AR1132,"")</f>
        <v>#VALUE!</v>
      </c>
      <c r="AQ1132" s="1759">
        <f t="shared" si="76"/>
        <v>1129</v>
      </c>
      <c r="AR1132" s="1756" t="e">
        <f>0.5*(S18+2*AQ1132)*LN(1+2*AQ1132/S18)</f>
        <v>#VALUE!</v>
      </c>
    </row>
    <row r="1133" spans="42:44">
      <c r="AP1133" s="1756" t="e">
        <f>IF(OR(AR1133=S13,AR1133&gt;S13),AR1133,"")</f>
        <v>#VALUE!</v>
      </c>
      <c r="AQ1133" s="1759">
        <f t="shared" si="76"/>
        <v>1130</v>
      </c>
      <c r="AR1133" s="1756" t="e">
        <f>0.5*(S18+2*AQ1133)*LN(1+2*AQ1133/S18)</f>
        <v>#VALUE!</v>
      </c>
    </row>
    <row r="1134" spans="42:44">
      <c r="AP1134" s="1756" t="e">
        <f>IF(OR(AR1134=S13,AR1134&gt;S13),AR1134,"")</f>
        <v>#VALUE!</v>
      </c>
      <c r="AQ1134" s="1759">
        <f t="shared" si="76"/>
        <v>1131</v>
      </c>
      <c r="AR1134" s="1756" t="e">
        <f>0.5*(S18+2*AQ1134)*LN(1+2*AQ1134/S18)</f>
        <v>#VALUE!</v>
      </c>
    </row>
    <row r="1135" spans="42:44">
      <c r="AP1135" s="1756" t="e">
        <f>IF(OR(AR1135=S13,AR1135&gt;S13),AR1135,"")</f>
        <v>#VALUE!</v>
      </c>
      <c r="AQ1135" s="1759">
        <f t="shared" si="76"/>
        <v>1132</v>
      </c>
      <c r="AR1135" s="1756" t="e">
        <f>0.5*(S18+2*AQ1135)*LN(1+2*AQ1135/S18)</f>
        <v>#VALUE!</v>
      </c>
    </row>
    <row r="1136" spans="42:44">
      <c r="AP1136" s="1756" t="e">
        <f>IF(OR(AR1136=S13,AR1136&gt;S13),AR1136,"")</f>
        <v>#VALUE!</v>
      </c>
      <c r="AQ1136" s="1759">
        <f t="shared" si="76"/>
        <v>1133</v>
      </c>
      <c r="AR1136" s="1756" t="e">
        <f>0.5*(S18+2*AQ1136)*LN(1+2*AQ1136/S18)</f>
        <v>#VALUE!</v>
      </c>
    </row>
    <row r="1137" spans="42:44">
      <c r="AP1137" s="1756" t="e">
        <f>IF(OR(AR1137=S13,AR1137&gt;S13),AR1137,"")</f>
        <v>#VALUE!</v>
      </c>
      <c r="AQ1137" s="1759">
        <f t="shared" si="76"/>
        <v>1134</v>
      </c>
      <c r="AR1137" s="1756" t="e">
        <f>0.5*(S18+2*AQ1137)*LN(1+2*AQ1137/S18)</f>
        <v>#VALUE!</v>
      </c>
    </row>
    <row r="1138" spans="42:44">
      <c r="AP1138" s="1756" t="e">
        <f>IF(OR(AR1138=S13,AR1138&gt;S13),AR1138,"")</f>
        <v>#VALUE!</v>
      </c>
      <c r="AQ1138" s="1759">
        <f t="shared" si="76"/>
        <v>1135</v>
      </c>
      <c r="AR1138" s="1756" t="e">
        <f>0.5*(S18+2*AQ1138)*LN(1+2*AQ1138/S18)</f>
        <v>#VALUE!</v>
      </c>
    </row>
    <row r="1139" spans="42:44">
      <c r="AP1139" s="1756" t="e">
        <f>IF(OR(AR1139=S13,AR1139&gt;S13),AR1139,"")</f>
        <v>#VALUE!</v>
      </c>
      <c r="AQ1139" s="1759">
        <f t="shared" si="76"/>
        <v>1136</v>
      </c>
      <c r="AR1139" s="1756" t="e">
        <f>0.5*(S18+2*AQ1139)*LN(1+2*AQ1139/S18)</f>
        <v>#VALUE!</v>
      </c>
    </row>
    <row r="1140" spans="42:44">
      <c r="AP1140" s="1756" t="e">
        <f>IF(OR(AR1140=S13,AR1140&gt;S13),AR1140,"")</f>
        <v>#VALUE!</v>
      </c>
      <c r="AQ1140" s="1759">
        <f t="shared" si="76"/>
        <v>1137</v>
      </c>
      <c r="AR1140" s="1756" t="e">
        <f>0.5*(S18+2*AQ1140)*LN(1+2*AQ1140/S18)</f>
        <v>#VALUE!</v>
      </c>
    </row>
    <row r="1141" spans="42:44">
      <c r="AP1141" s="1756" t="e">
        <f>IF(OR(AR1141=S13,AR1141&gt;S13),AR1141,"")</f>
        <v>#VALUE!</v>
      </c>
      <c r="AQ1141" s="1759">
        <f t="shared" si="76"/>
        <v>1138</v>
      </c>
      <c r="AR1141" s="1756" t="e">
        <f>0.5*(S18+2*AQ1141)*LN(1+2*AQ1141/S18)</f>
        <v>#VALUE!</v>
      </c>
    </row>
    <row r="1142" spans="42:44">
      <c r="AP1142" s="1756" t="e">
        <f>IF(OR(AR1142=S13,AR1142&gt;S13),AR1142,"")</f>
        <v>#VALUE!</v>
      </c>
      <c r="AQ1142" s="1759">
        <f t="shared" si="76"/>
        <v>1139</v>
      </c>
      <c r="AR1142" s="1756" t="e">
        <f>0.5*(S18+2*AQ1142)*LN(1+2*AQ1142/S18)</f>
        <v>#VALUE!</v>
      </c>
    </row>
    <row r="1143" spans="42:44">
      <c r="AP1143" s="1756" t="e">
        <f>IF(OR(AR1143=S13,AR1143&gt;S13),AR1143,"")</f>
        <v>#VALUE!</v>
      </c>
      <c r="AQ1143" s="1759">
        <f t="shared" si="76"/>
        <v>1140</v>
      </c>
      <c r="AR1143" s="1756" t="e">
        <f>0.5*(S18+2*AQ1143)*LN(1+2*AQ1143/S18)</f>
        <v>#VALUE!</v>
      </c>
    </row>
    <row r="1144" spans="42:44">
      <c r="AP1144" s="1756" t="e">
        <f>IF(OR(AR1144=S13,AR1144&gt;S13),AR1144,"")</f>
        <v>#VALUE!</v>
      </c>
      <c r="AQ1144" s="1759">
        <f t="shared" si="76"/>
        <v>1141</v>
      </c>
      <c r="AR1144" s="1756" t="e">
        <f>0.5*(S18+2*AQ1144)*LN(1+2*AQ1144/S18)</f>
        <v>#VALUE!</v>
      </c>
    </row>
    <row r="1145" spans="42:44">
      <c r="AP1145" s="1756" t="e">
        <f>IF(OR(AR1145=S13,AR1145&gt;S13),AR1145,"")</f>
        <v>#VALUE!</v>
      </c>
      <c r="AQ1145" s="1759">
        <f t="shared" si="76"/>
        <v>1142</v>
      </c>
      <c r="AR1145" s="1756" t="e">
        <f>0.5*(S18+2*AQ1145)*LN(1+2*AQ1145/S18)</f>
        <v>#VALUE!</v>
      </c>
    </row>
    <row r="1146" spans="42:44">
      <c r="AP1146" s="1756" t="e">
        <f>IF(OR(AR1146=S13,AR1146&gt;S13),AR1146,"")</f>
        <v>#VALUE!</v>
      </c>
      <c r="AQ1146" s="1759">
        <f t="shared" si="76"/>
        <v>1143</v>
      </c>
      <c r="AR1146" s="1756" t="e">
        <f>0.5*(S18+2*AQ1146)*LN(1+2*AQ1146/S18)</f>
        <v>#VALUE!</v>
      </c>
    </row>
    <row r="1147" spans="42:44">
      <c r="AP1147" s="1756" t="e">
        <f>IF(OR(AR1147=S13,AR1147&gt;S13),AR1147,"")</f>
        <v>#VALUE!</v>
      </c>
      <c r="AQ1147" s="1759">
        <f t="shared" si="76"/>
        <v>1144</v>
      </c>
      <c r="AR1147" s="1756" t="e">
        <f>0.5*(S18+2*AQ1147)*LN(1+2*AQ1147/S18)</f>
        <v>#VALUE!</v>
      </c>
    </row>
    <row r="1148" spans="42:44">
      <c r="AP1148" s="1756" t="e">
        <f>IF(OR(AR1148=S13,AR1148&gt;S13),AR1148,"")</f>
        <v>#VALUE!</v>
      </c>
      <c r="AQ1148" s="1759">
        <f t="shared" si="76"/>
        <v>1145</v>
      </c>
      <c r="AR1148" s="1756" t="e">
        <f>0.5*(S18+2*AQ1148)*LN(1+2*AQ1148/S18)</f>
        <v>#VALUE!</v>
      </c>
    </row>
    <row r="1149" spans="42:44">
      <c r="AP1149" s="1756" t="e">
        <f>IF(OR(AR1149=S13,AR1149&gt;S13),AR1149,"")</f>
        <v>#VALUE!</v>
      </c>
      <c r="AQ1149" s="1759">
        <f t="shared" si="76"/>
        <v>1146</v>
      </c>
      <c r="AR1149" s="1756" t="e">
        <f>0.5*(S18+2*AQ1149)*LN(1+2*AQ1149/S18)</f>
        <v>#VALUE!</v>
      </c>
    </row>
    <row r="1150" spans="42:44">
      <c r="AP1150" s="1756" t="e">
        <f>IF(OR(AR1150=S13,AR1150&gt;S13),AR1150,"")</f>
        <v>#VALUE!</v>
      </c>
      <c r="AQ1150" s="1759">
        <f t="shared" si="76"/>
        <v>1147</v>
      </c>
      <c r="AR1150" s="1756" t="e">
        <f>0.5*(S18+2*AQ1150)*LN(1+2*AQ1150/S18)</f>
        <v>#VALUE!</v>
      </c>
    </row>
    <row r="1151" spans="42:44">
      <c r="AP1151" s="1756" t="e">
        <f>IF(OR(AR1151=S13,AR1151&gt;S13),AR1151,"")</f>
        <v>#VALUE!</v>
      </c>
      <c r="AQ1151" s="1759">
        <f t="shared" si="76"/>
        <v>1148</v>
      </c>
      <c r="AR1151" s="1756" t="e">
        <f>0.5*(S18+2*AQ1151)*LN(1+2*AQ1151/S18)</f>
        <v>#VALUE!</v>
      </c>
    </row>
    <row r="1152" spans="42:44">
      <c r="AP1152" s="1756" t="e">
        <f>IF(OR(AR1152=S13,AR1152&gt;S13),AR1152,"")</f>
        <v>#VALUE!</v>
      </c>
      <c r="AQ1152" s="1759">
        <f t="shared" si="76"/>
        <v>1149</v>
      </c>
      <c r="AR1152" s="1756" t="e">
        <f>0.5*(S18+2*AQ1152)*LN(1+2*AQ1152/S18)</f>
        <v>#VALUE!</v>
      </c>
    </row>
    <row r="1153" spans="42:44">
      <c r="AP1153" s="1756" t="e">
        <f>IF(OR(AR1153=S13,AR1153&gt;S13),AR1153,"")</f>
        <v>#VALUE!</v>
      </c>
      <c r="AQ1153" s="1759">
        <f t="shared" si="76"/>
        <v>1150</v>
      </c>
      <c r="AR1153" s="1756" t="e">
        <f>0.5*(S18+2*AQ1153)*LN(1+2*AQ1153/S18)</f>
        <v>#VALUE!</v>
      </c>
    </row>
    <row r="1154" spans="42:44">
      <c r="AP1154" s="1756" t="e">
        <f>IF(OR(AR1154=S13,AR1154&gt;S13),AR1154,"")</f>
        <v>#VALUE!</v>
      </c>
      <c r="AQ1154" s="1759">
        <f t="shared" si="76"/>
        <v>1151</v>
      </c>
      <c r="AR1154" s="1756" t="e">
        <f>0.5*(S18+2*AQ1154)*LN(1+2*AQ1154/S18)</f>
        <v>#VALUE!</v>
      </c>
    </row>
    <row r="1155" spans="42:44">
      <c r="AP1155" s="1756" t="e">
        <f>IF(OR(AR1155=S13,AR1155&gt;S13),AR1155,"")</f>
        <v>#VALUE!</v>
      </c>
      <c r="AQ1155" s="1759">
        <f t="shared" si="76"/>
        <v>1152</v>
      </c>
      <c r="AR1155" s="1756" t="e">
        <f>0.5*(S18+2*AQ1155)*LN(1+2*AQ1155/S18)</f>
        <v>#VALUE!</v>
      </c>
    </row>
    <row r="1156" spans="42:44">
      <c r="AP1156" s="1756" t="e">
        <f>IF(OR(AR1156=S13,AR1156&gt;S13),AR1156,"")</f>
        <v>#VALUE!</v>
      </c>
      <c r="AQ1156" s="1759">
        <f t="shared" si="76"/>
        <v>1153</v>
      </c>
      <c r="AR1156" s="1756" t="e">
        <f>0.5*(S18+2*AQ1156)*LN(1+2*AQ1156/S18)</f>
        <v>#VALUE!</v>
      </c>
    </row>
    <row r="1157" spans="42:44">
      <c r="AP1157" s="1756" t="e">
        <f>IF(OR(AR1157=S13,AR1157&gt;S13),AR1157,"")</f>
        <v>#VALUE!</v>
      </c>
      <c r="AQ1157" s="1759">
        <f t="shared" si="76"/>
        <v>1154</v>
      </c>
      <c r="AR1157" s="1756" t="e">
        <f>0.5*(S18+2*AQ1157)*LN(1+2*AQ1157/S18)</f>
        <v>#VALUE!</v>
      </c>
    </row>
    <row r="1158" spans="42:44">
      <c r="AP1158" s="1756" t="e">
        <f>IF(OR(AR1158=S13,AR1158&gt;S13),AR1158,"")</f>
        <v>#VALUE!</v>
      </c>
      <c r="AQ1158" s="1759">
        <f t="shared" ref="AQ1158:AQ1221" si="77">AQ1157+1</f>
        <v>1155</v>
      </c>
      <c r="AR1158" s="1756" t="e">
        <f>0.5*(S18+2*AQ1158)*LN(1+2*AQ1158/S18)</f>
        <v>#VALUE!</v>
      </c>
    </row>
    <row r="1159" spans="42:44">
      <c r="AP1159" s="1756" t="e">
        <f>IF(OR(AR1159=S13,AR1159&gt;S13),AR1159,"")</f>
        <v>#VALUE!</v>
      </c>
      <c r="AQ1159" s="1759">
        <f t="shared" si="77"/>
        <v>1156</v>
      </c>
      <c r="AR1159" s="1756" t="e">
        <f>0.5*(S18+2*AQ1159)*LN(1+2*AQ1159/S18)</f>
        <v>#VALUE!</v>
      </c>
    </row>
    <row r="1160" spans="42:44">
      <c r="AP1160" s="1756" t="e">
        <f>IF(OR(AR1160=S13,AR1160&gt;S13),AR1160,"")</f>
        <v>#VALUE!</v>
      </c>
      <c r="AQ1160" s="1759">
        <f t="shared" si="77"/>
        <v>1157</v>
      </c>
      <c r="AR1160" s="1756" t="e">
        <f>0.5*(S18+2*AQ1160)*LN(1+2*AQ1160/S18)</f>
        <v>#VALUE!</v>
      </c>
    </row>
    <row r="1161" spans="42:44">
      <c r="AP1161" s="1756" t="e">
        <f>IF(OR(AR1161=S13,AR1161&gt;S13),AR1161,"")</f>
        <v>#VALUE!</v>
      </c>
      <c r="AQ1161" s="1759">
        <f t="shared" si="77"/>
        <v>1158</v>
      </c>
      <c r="AR1161" s="1756" t="e">
        <f>0.5*(S18+2*AQ1161)*LN(1+2*AQ1161/S18)</f>
        <v>#VALUE!</v>
      </c>
    </row>
    <row r="1162" spans="42:44">
      <c r="AP1162" s="1756" t="e">
        <f>IF(OR(AR1162=S13,AR1162&gt;S13),AR1162,"")</f>
        <v>#VALUE!</v>
      </c>
      <c r="AQ1162" s="1759">
        <f t="shared" si="77"/>
        <v>1159</v>
      </c>
      <c r="AR1162" s="1756" t="e">
        <f>0.5*(S18+2*AQ1162)*LN(1+2*AQ1162/S18)</f>
        <v>#VALUE!</v>
      </c>
    </row>
    <row r="1163" spans="42:44">
      <c r="AP1163" s="1756" t="e">
        <f>IF(OR(AR1163=S13,AR1163&gt;S13),AR1163,"")</f>
        <v>#VALUE!</v>
      </c>
      <c r="AQ1163" s="1759">
        <f t="shared" si="77"/>
        <v>1160</v>
      </c>
      <c r="AR1163" s="1756" t="e">
        <f>0.5*(S18+2*AQ1163)*LN(1+2*AQ1163/S18)</f>
        <v>#VALUE!</v>
      </c>
    </row>
    <row r="1164" spans="42:44">
      <c r="AP1164" s="1756" t="e">
        <f>IF(OR(AR1164=S13,AR1164&gt;S13),AR1164,"")</f>
        <v>#VALUE!</v>
      </c>
      <c r="AQ1164" s="1759">
        <f t="shared" si="77"/>
        <v>1161</v>
      </c>
      <c r="AR1164" s="1756" t="e">
        <f>0.5*(S18+2*AQ1164)*LN(1+2*AQ1164/S18)</f>
        <v>#VALUE!</v>
      </c>
    </row>
    <row r="1165" spans="42:44">
      <c r="AP1165" s="1756" t="e">
        <f>IF(OR(AR1165=S13,AR1165&gt;S13),AR1165,"")</f>
        <v>#VALUE!</v>
      </c>
      <c r="AQ1165" s="1759">
        <f t="shared" si="77"/>
        <v>1162</v>
      </c>
      <c r="AR1165" s="1756" t="e">
        <f>0.5*(S18+2*AQ1165)*LN(1+2*AQ1165/S18)</f>
        <v>#VALUE!</v>
      </c>
    </row>
    <row r="1166" spans="42:44">
      <c r="AP1166" s="1756" t="e">
        <f>IF(OR(AR1166=S13,AR1166&gt;S13),AR1166,"")</f>
        <v>#VALUE!</v>
      </c>
      <c r="AQ1166" s="1759">
        <f t="shared" si="77"/>
        <v>1163</v>
      </c>
      <c r="AR1166" s="1756" t="e">
        <f>0.5*(S18+2*AQ1166)*LN(1+2*AQ1166/S18)</f>
        <v>#VALUE!</v>
      </c>
    </row>
    <row r="1167" spans="42:44">
      <c r="AP1167" s="1756" t="e">
        <f>IF(OR(AR1167=S13,AR1167&gt;S13),AR1167,"")</f>
        <v>#VALUE!</v>
      </c>
      <c r="AQ1167" s="1759">
        <f t="shared" si="77"/>
        <v>1164</v>
      </c>
      <c r="AR1167" s="1756" t="e">
        <f>0.5*(S18+2*AQ1167)*LN(1+2*AQ1167/S18)</f>
        <v>#VALUE!</v>
      </c>
    </row>
    <row r="1168" spans="42:44">
      <c r="AP1168" s="1756" t="e">
        <f>IF(OR(AR1168=S13,AR1168&gt;S13),AR1168,"")</f>
        <v>#VALUE!</v>
      </c>
      <c r="AQ1168" s="1759">
        <f t="shared" si="77"/>
        <v>1165</v>
      </c>
      <c r="AR1168" s="1756" t="e">
        <f>0.5*(S18+2*AQ1168)*LN(1+2*AQ1168/S18)</f>
        <v>#VALUE!</v>
      </c>
    </row>
    <row r="1169" spans="42:44">
      <c r="AP1169" s="1756" t="e">
        <f>IF(OR(AR1169=S13,AR1169&gt;S13),AR1169,"")</f>
        <v>#VALUE!</v>
      </c>
      <c r="AQ1169" s="1759">
        <f t="shared" si="77"/>
        <v>1166</v>
      </c>
      <c r="AR1169" s="1756" t="e">
        <f>0.5*(S18+2*AQ1169)*LN(1+2*AQ1169/S18)</f>
        <v>#VALUE!</v>
      </c>
    </row>
    <row r="1170" spans="42:44">
      <c r="AP1170" s="1756" t="e">
        <f>IF(OR(AR1170=S13,AR1170&gt;S13),AR1170,"")</f>
        <v>#VALUE!</v>
      </c>
      <c r="AQ1170" s="1759">
        <f t="shared" si="77"/>
        <v>1167</v>
      </c>
      <c r="AR1170" s="1756" t="e">
        <f>0.5*(S18+2*AQ1170)*LN(1+2*AQ1170/S18)</f>
        <v>#VALUE!</v>
      </c>
    </row>
    <row r="1171" spans="42:44">
      <c r="AP1171" s="1756" t="e">
        <f>IF(OR(AR1171=S13,AR1171&gt;S13),AR1171,"")</f>
        <v>#VALUE!</v>
      </c>
      <c r="AQ1171" s="1759">
        <f t="shared" si="77"/>
        <v>1168</v>
      </c>
      <c r="AR1171" s="1756" t="e">
        <f>0.5*(S18+2*AQ1171)*LN(1+2*AQ1171/S18)</f>
        <v>#VALUE!</v>
      </c>
    </row>
    <row r="1172" spans="42:44">
      <c r="AP1172" s="1756" t="e">
        <f>IF(OR(AR1172=S13,AR1172&gt;S13),AR1172,"")</f>
        <v>#VALUE!</v>
      </c>
      <c r="AQ1172" s="1759">
        <f t="shared" si="77"/>
        <v>1169</v>
      </c>
      <c r="AR1172" s="1756" t="e">
        <f>0.5*(S18+2*AQ1172)*LN(1+2*AQ1172/S18)</f>
        <v>#VALUE!</v>
      </c>
    </row>
    <row r="1173" spans="42:44">
      <c r="AP1173" s="1756" t="e">
        <f>IF(OR(AR1173=S13,AR1173&gt;S13),AR1173,"")</f>
        <v>#VALUE!</v>
      </c>
      <c r="AQ1173" s="1759">
        <f t="shared" si="77"/>
        <v>1170</v>
      </c>
      <c r="AR1173" s="1756" t="e">
        <f>0.5*(S18+2*AQ1173)*LN(1+2*AQ1173/S18)</f>
        <v>#VALUE!</v>
      </c>
    </row>
    <row r="1174" spans="42:44">
      <c r="AP1174" s="1756" t="e">
        <f>IF(OR(AR1174=S13,AR1174&gt;S13),AR1174,"")</f>
        <v>#VALUE!</v>
      </c>
      <c r="AQ1174" s="1759">
        <f t="shared" si="77"/>
        <v>1171</v>
      </c>
      <c r="AR1174" s="1756" t="e">
        <f>0.5*(S18+2*AQ1174)*LN(1+2*AQ1174/S18)</f>
        <v>#VALUE!</v>
      </c>
    </row>
    <row r="1175" spans="42:44">
      <c r="AP1175" s="1756" t="e">
        <f>IF(OR(AR1175=S13,AR1175&gt;S13),AR1175,"")</f>
        <v>#VALUE!</v>
      </c>
      <c r="AQ1175" s="1759">
        <f t="shared" si="77"/>
        <v>1172</v>
      </c>
      <c r="AR1175" s="1756" t="e">
        <f>0.5*(S18+2*AQ1175)*LN(1+2*AQ1175/S18)</f>
        <v>#VALUE!</v>
      </c>
    </row>
    <row r="1176" spans="42:44">
      <c r="AP1176" s="1756" t="e">
        <f>IF(OR(AR1176=S13,AR1176&gt;S13),AR1176,"")</f>
        <v>#VALUE!</v>
      </c>
      <c r="AQ1176" s="1759">
        <f t="shared" si="77"/>
        <v>1173</v>
      </c>
      <c r="AR1176" s="1756" t="e">
        <f>0.5*(S18+2*AQ1176)*LN(1+2*AQ1176/S18)</f>
        <v>#VALUE!</v>
      </c>
    </row>
    <row r="1177" spans="42:44">
      <c r="AP1177" s="1756" t="e">
        <f>IF(OR(AR1177=S13,AR1177&gt;S13),AR1177,"")</f>
        <v>#VALUE!</v>
      </c>
      <c r="AQ1177" s="1759">
        <f t="shared" si="77"/>
        <v>1174</v>
      </c>
      <c r="AR1177" s="1756" t="e">
        <f>0.5*(S18+2*AQ1177)*LN(1+2*AQ1177/S18)</f>
        <v>#VALUE!</v>
      </c>
    </row>
    <row r="1178" spans="42:44">
      <c r="AP1178" s="1756" t="e">
        <f>IF(OR(AR1178=S13,AR1178&gt;S13),AR1178,"")</f>
        <v>#VALUE!</v>
      </c>
      <c r="AQ1178" s="1759">
        <f t="shared" si="77"/>
        <v>1175</v>
      </c>
      <c r="AR1178" s="1756" t="e">
        <f>0.5*(S18+2*AQ1178)*LN(1+2*AQ1178/S18)</f>
        <v>#VALUE!</v>
      </c>
    </row>
    <row r="1179" spans="42:44">
      <c r="AP1179" s="1756" t="e">
        <f>IF(OR(AR1179=S13,AR1179&gt;S13),AR1179,"")</f>
        <v>#VALUE!</v>
      </c>
      <c r="AQ1179" s="1759">
        <f t="shared" si="77"/>
        <v>1176</v>
      </c>
      <c r="AR1179" s="1756" t="e">
        <f>0.5*(S18+2*AQ1179)*LN(1+2*AQ1179/S18)</f>
        <v>#VALUE!</v>
      </c>
    </row>
    <row r="1180" spans="42:44">
      <c r="AP1180" s="1756" t="e">
        <f>IF(OR(AR1180=S13,AR1180&gt;S13),AR1180,"")</f>
        <v>#VALUE!</v>
      </c>
      <c r="AQ1180" s="1759">
        <f t="shared" si="77"/>
        <v>1177</v>
      </c>
      <c r="AR1180" s="1756" t="e">
        <f>0.5*(S18+2*AQ1180)*LN(1+2*AQ1180/S18)</f>
        <v>#VALUE!</v>
      </c>
    </row>
    <row r="1181" spans="42:44">
      <c r="AP1181" s="1756" t="e">
        <f>IF(OR(AR1181=S13,AR1181&gt;S13),AR1181,"")</f>
        <v>#VALUE!</v>
      </c>
      <c r="AQ1181" s="1759">
        <f t="shared" si="77"/>
        <v>1178</v>
      </c>
      <c r="AR1181" s="1756" t="e">
        <f>0.5*(S18+2*AQ1181)*LN(1+2*AQ1181/S18)</f>
        <v>#VALUE!</v>
      </c>
    </row>
    <row r="1182" spans="42:44">
      <c r="AP1182" s="1756" t="e">
        <f>IF(OR(AR1182=S13,AR1182&gt;S13),AR1182,"")</f>
        <v>#VALUE!</v>
      </c>
      <c r="AQ1182" s="1759">
        <f t="shared" si="77"/>
        <v>1179</v>
      </c>
      <c r="AR1182" s="1756" t="e">
        <f>0.5*(S18+2*AQ1182)*LN(1+2*AQ1182/S18)</f>
        <v>#VALUE!</v>
      </c>
    </row>
    <row r="1183" spans="42:44">
      <c r="AP1183" s="1756" t="e">
        <f>IF(OR(AR1183=S13,AR1183&gt;S13),AR1183,"")</f>
        <v>#VALUE!</v>
      </c>
      <c r="AQ1183" s="1759">
        <f t="shared" si="77"/>
        <v>1180</v>
      </c>
      <c r="AR1183" s="1756" t="e">
        <f>0.5*(S18+2*AQ1183)*LN(1+2*AQ1183/S18)</f>
        <v>#VALUE!</v>
      </c>
    </row>
    <row r="1184" spans="42:44">
      <c r="AP1184" s="1756" t="e">
        <f>IF(OR(AR1184=S13,AR1184&gt;S13),AR1184,"")</f>
        <v>#VALUE!</v>
      </c>
      <c r="AQ1184" s="1759">
        <f t="shared" si="77"/>
        <v>1181</v>
      </c>
      <c r="AR1184" s="1756" t="e">
        <f>0.5*(S18+2*AQ1184)*LN(1+2*AQ1184/S18)</f>
        <v>#VALUE!</v>
      </c>
    </row>
    <row r="1185" spans="42:44">
      <c r="AP1185" s="1756" t="e">
        <f>IF(OR(AR1185=S13,AR1185&gt;S13),AR1185,"")</f>
        <v>#VALUE!</v>
      </c>
      <c r="AQ1185" s="1759">
        <f t="shared" si="77"/>
        <v>1182</v>
      </c>
      <c r="AR1185" s="1756" t="e">
        <f>0.5*(S18+2*AQ1185)*LN(1+2*AQ1185/S18)</f>
        <v>#VALUE!</v>
      </c>
    </row>
    <row r="1186" spans="42:44">
      <c r="AP1186" s="1756" t="e">
        <f>IF(OR(AR1186=S13,AR1186&gt;S13),AR1186,"")</f>
        <v>#VALUE!</v>
      </c>
      <c r="AQ1186" s="1759">
        <f t="shared" si="77"/>
        <v>1183</v>
      </c>
      <c r="AR1186" s="1756" t="e">
        <f>0.5*(S18+2*AQ1186)*LN(1+2*AQ1186/S18)</f>
        <v>#VALUE!</v>
      </c>
    </row>
    <row r="1187" spans="42:44">
      <c r="AP1187" s="1756" t="e">
        <f>IF(OR(AR1187=S13,AR1187&gt;S13),AR1187,"")</f>
        <v>#VALUE!</v>
      </c>
      <c r="AQ1187" s="1759">
        <f t="shared" si="77"/>
        <v>1184</v>
      </c>
      <c r="AR1187" s="1756" t="e">
        <f>0.5*(S18+2*AQ1187)*LN(1+2*AQ1187/S18)</f>
        <v>#VALUE!</v>
      </c>
    </row>
    <row r="1188" spans="42:44">
      <c r="AP1188" s="1756" t="e">
        <f>IF(OR(AR1188=S13,AR1188&gt;S13),AR1188,"")</f>
        <v>#VALUE!</v>
      </c>
      <c r="AQ1188" s="1759">
        <f t="shared" si="77"/>
        <v>1185</v>
      </c>
      <c r="AR1188" s="1756" t="e">
        <f>0.5*(S18+2*AQ1188)*LN(1+2*AQ1188/S18)</f>
        <v>#VALUE!</v>
      </c>
    </row>
    <row r="1189" spans="42:44">
      <c r="AP1189" s="1756" t="e">
        <f>IF(OR(AR1189=S13,AR1189&gt;S13),AR1189,"")</f>
        <v>#VALUE!</v>
      </c>
      <c r="AQ1189" s="1759">
        <f t="shared" si="77"/>
        <v>1186</v>
      </c>
      <c r="AR1189" s="1756" t="e">
        <f>0.5*(S18+2*AQ1189)*LN(1+2*AQ1189/S18)</f>
        <v>#VALUE!</v>
      </c>
    </row>
    <row r="1190" spans="42:44">
      <c r="AP1190" s="1756" t="e">
        <f>IF(OR(AR1190=S13,AR1190&gt;S13),AR1190,"")</f>
        <v>#VALUE!</v>
      </c>
      <c r="AQ1190" s="1759">
        <f t="shared" si="77"/>
        <v>1187</v>
      </c>
      <c r="AR1190" s="1756" t="e">
        <f>0.5*(S18+2*AQ1190)*LN(1+2*AQ1190/S18)</f>
        <v>#VALUE!</v>
      </c>
    </row>
    <row r="1191" spans="42:44">
      <c r="AP1191" s="1756" t="e">
        <f>IF(OR(AR1191=S13,AR1191&gt;S13),AR1191,"")</f>
        <v>#VALUE!</v>
      </c>
      <c r="AQ1191" s="1759">
        <f t="shared" si="77"/>
        <v>1188</v>
      </c>
      <c r="AR1191" s="1756" t="e">
        <f>0.5*(S18+2*AQ1191)*LN(1+2*AQ1191/S18)</f>
        <v>#VALUE!</v>
      </c>
    </row>
    <row r="1192" spans="42:44">
      <c r="AP1192" s="1756" t="e">
        <f>IF(OR(AR1192=S13,AR1192&gt;S13),AR1192,"")</f>
        <v>#VALUE!</v>
      </c>
      <c r="AQ1192" s="1759">
        <f t="shared" si="77"/>
        <v>1189</v>
      </c>
      <c r="AR1192" s="1756" t="e">
        <f>0.5*(S18+2*AQ1192)*LN(1+2*AQ1192/S18)</f>
        <v>#VALUE!</v>
      </c>
    </row>
    <row r="1193" spans="42:44">
      <c r="AP1193" s="1756" t="e">
        <f>IF(OR(AR1193=S13,AR1193&gt;S13),AR1193,"")</f>
        <v>#VALUE!</v>
      </c>
      <c r="AQ1193" s="1759">
        <f t="shared" si="77"/>
        <v>1190</v>
      </c>
      <c r="AR1193" s="1756" t="e">
        <f>0.5*(S18+2*AQ1193)*LN(1+2*AQ1193/S18)</f>
        <v>#VALUE!</v>
      </c>
    </row>
    <row r="1194" spans="42:44">
      <c r="AP1194" s="1756" t="e">
        <f>IF(OR(AR1194=S13,AR1194&gt;S13),AR1194,"")</f>
        <v>#VALUE!</v>
      </c>
      <c r="AQ1194" s="1759">
        <f t="shared" si="77"/>
        <v>1191</v>
      </c>
      <c r="AR1194" s="1756" t="e">
        <f>0.5*(S18+2*AQ1194)*LN(1+2*AQ1194/S18)</f>
        <v>#VALUE!</v>
      </c>
    </row>
    <row r="1195" spans="42:44">
      <c r="AP1195" s="1756" t="e">
        <f>IF(OR(AR1195=S13,AR1195&gt;S13),AR1195,"")</f>
        <v>#VALUE!</v>
      </c>
      <c r="AQ1195" s="1759">
        <f t="shared" si="77"/>
        <v>1192</v>
      </c>
      <c r="AR1195" s="1756" t="e">
        <f>0.5*(S18+2*AQ1195)*LN(1+2*AQ1195/S18)</f>
        <v>#VALUE!</v>
      </c>
    </row>
    <row r="1196" spans="42:44">
      <c r="AP1196" s="1756" t="e">
        <f>IF(OR(AR1196=S13,AR1196&gt;S13),AR1196,"")</f>
        <v>#VALUE!</v>
      </c>
      <c r="AQ1196" s="1759">
        <f t="shared" si="77"/>
        <v>1193</v>
      </c>
      <c r="AR1196" s="1756" t="e">
        <f>0.5*(S18+2*AQ1196)*LN(1+2*AQ1196/S18)</f>
        <v>#VALUE!</v>
      </c>
    </row>
    <row r="1197" spans="42:44">
      <c r="AP1197" s="1756" t="e">
        <f>IF(OR(AR1197=S13,AR1197&gt;S13),AR1197,"")</f>
        <v>#VALUE!</v>
      </c>
      <c r="AQ1197" s="1759">
        <f t="shared" si="77"/>
        <v>1194</v>
      </c>
      <c r="AR1197" s="1756" t="e">
        <f>0.5*(S18+2*AQ1197)*LN(1+2*AQ1197/S18)</f>
        <v>#VALUE!</v>
      </c>
    </row>
    <row r="1198" spans="42:44">
      <c r="AP1198" s="1756" t="e">
        <f>IF(OR(AR1198=S13,AR1198&gt;S13),AR1198,"")</f>
        <v>#VALUE!</v>
      </c>
      <c r="AQ1198" s="1759">
        <f t="shared" si="77"/>
        <v>1195</v>
      </c>
      <c r="AR1198" s="1756" t="e">
        <f>0.5*(S18+2*AQ1198)*LN(1+2*AQ1198/S18)</f>
        <v>#VALUE!</v>
      </c>
    </row>
    <row r="1199" spans="42:44">
      <c r="AP1199" s="1756" t="e">
        <f>IF(OR(AR1199=S13,AR1199&gt;S13),AR1199,"")</f>
        <v>#VALUE!</v>
      </c>
      <c r="AQ1199" s="1759">
        <f t="shared" si="77"/>
        <v>1196</v>
      </c>
      <c r="AR1199" s="1756" t="e">
        <f>0.5*(S18+2*AQ1199)*LN(1+2*AQ1199/S18)</f>
        <v>#VALUE!</v>
      </c>
    </row>
    <row r="1200" spans="42:44">
      <c r="AP1200" s="1756" t="e">
        <f>IF(OR(AR1200=S13,AR1200&gt;S13),AR1200,"")</f>
        <v>#VALUE!</v>
      </c>
      <c r="AQ1200" s="1759">
        <f t="shared" si="77"/>
        <v>1197</v>
      </c>
      <c r="AR1200" s="1756" t="e">
        <f>0.5*(S18+2*AQ1200)*LN(1+2*AQ1200/S18)</f>
        <v>#VALUE!</v>
      </c>
    </row>
    <row r="1201" spans="42:44">
      <c r="AP1201" s="1756" t="e">
        <f>IF(OR(AR1201=S13,AR1201&gt;S13),AR1201,"")</f>
        <v>#VALUE!</v>
      </c>
      <c r="AQ1201" s="1759">
        <f t="shared" si="77"/>
        <v>1198</v>
      </c>
      <c r="AR1201" s="1756" t="e">
        <f>0.5*(S18+2*AQ1201)*LN(1+2*AQ1201/S18)</f>
        <v>#VALUE!</v>
      </c>
    </row>
    <row r="1202" spans="42:44">
      <c r="AP1202" s="1756" t="e">
        <f>IF(OR(AR1202=S13,AR1202&gt;S13),AR1202,"")</f>
        <v>#VALUE!</v>
      </c>
      <c r="AQ1202" s="1759">
        <f t="shared" si="77"/>
        <v>1199</v>
      </c>
      <c r="AR1202" s="1756" t="e">
        <f>0.5*(S18+2*AQ1202)*LN(1+2*AQ1202/S18)</f>
        <v>#VALUE!</v>
      </c>
    </row>
    <row r="1203" spans="42:44">
      <c r="AP1203" s="1756" t="e">
        <f>IF(OR(AR1203=S13,AR1203&gt;S13),AR1203,"")</f>
        <v>#VALUE!</v>
      </c>
      <c r="AQ1203" s="1759">
        <f t="shared" si="77"/>
        <v>1200</v>
      </c>
      <c r="AR1203" s="1756" t="e">
        <f>0.5*(S18+2*AQ1203)*LN(1+2*AQ1203/S18)</f>
        <v>#VALUE!</v>
      </c>
    </row>
    <row r="1204" spans="42:44">
      <c r="AP1204" s="1756" t="e">
        <f>IF(OR(AR1204=S13,AR1204&gt;S13),AR1204,"")</f>
        <v>#VALUE!</v>
      </c>
      <c r="AQ1204" s="1759">
        <f t="shared" si="77"/>
        <v>1201</v>
      </c>
      <c r="AR1204" s="1756" t="e">
        <f>0.5*(S18+2*AQ1204)*LN(1+2*AQ1204/S18)</f>
        <v>#VALUE!</v>
      </c>
    </row>
    <row r="1205" spans="42:44">
      <c r="AP1205" s="1756" t="e">
        <f>IF(OR(AR1205=S13,AR1205&gt;S13),AR1205,"")</f>
        <v>#VALUE!</v>
      </c>
      <c r="AQ1205" s="1759">
        <f t="shared" si="77"/>
        <v>1202</v>
      </c>
      <c r="AR1205" s="1756" t="e">
        <f>0.5*(S18+2*AQ1205)*LN(1+2*AQ1205/S18)</f>
        <v>#VALUE!</v>
      </c>
    </row>
    <row r="1206" spans="42:44">
      <c r="AP1206" s="1756" t="e">
        <f>IF(OR(AR1206=S13,AR1206&gt;S13),AR1206,"")</f>
        <v>#VALUE!</v>
      </c>
      <c r="AQ1206" s="1759">
        <f t="shared" si="77"/>
        <v>1203</v>
      </c>
      <c r="AR1206" s="1756" t="e">
        <f>0.5*(S18+2*AQ1206)*LN(1+2*AQ1206/S18)</f>
        <v>#VALUE!</v>
      </c>
    </row>
    <row r="1207" spans="42:44">
      <c r="AP1207" s="1756" t="e">
        <f>IF(OR(AR1207=S13,AR1207&gt;S13),AR1207,"")</f>
        <v>#VALUE!</v>
      </c>
      <c r="AQ1207" s="1759">
        <f t="shared" si="77"/>
        <v>1204</v>
      </c>
      <c r="AR1207" s="1756" t="e">
        <f>0.5*(S18+2*AQ1207)*LN(1+2*AQ1207/S18)</f>
        <v>#VALUE!</v>
      </c>
    </row>
    <row r="1208" spans="42:44">
      <c r="AP1208" s="1756" t="e">
        <f>IF(OR(AR1208=S13,AR1208&gt;S13),AR1208,"")</f>
        <v>#VALUE!</v>
      </c>
      <c r="AQ1208" s="1759">
        <f t="shared" si="77"/>
        <v>1205</v>
      </c>
      <c r="AR1208" s="1756" t="e">
        <f>0.5*(S18+2*AQ1208)*LN(1+2*AQ1208/S18)</f>
        <v>#VALUE!</v>
      </c>
    </row>
    <row r="1209" spans="42:44">
      <c r="AP1209" s="1756" t="e">
        <f>IF(OR(AR1209=S13,AR1209&gt;S13),AR1209,"")</f>
        <v>#VALUE!</v>
      </c>
      <c r="AQ1209" s="1759">
        <f t="shared" si="77"/>
        <v>1206</v>
      </c>
      <c r="AR1209" s="1756" t="e">
        <f>0.5*(S18+2*AQ1209)*LN(1+2*AQ1209/S18)</f>
        <v>#VALUE!</v>
      </c>
    </row>
    <row r="1210" spans="42:44">
      <c r="AP1210" s="1756" t="e">
        <f>IF(OR(AR1210=S13,AR1210&gt;S13),AR1210,"")</f>
        <v>#VALUE!</v>
      </c>
      <c r="AQ1210" s="1759">
        <f t="shared" si="77"/>
        <v>1207</v>
      </c>
      <c r="AR1210" s="1756" t="e">
        <f>0.5*(S18+2*AQ1210)*LN(1+2*AQ1210/S18)</f>
        <v>#VALUE!</v>
      </c>
    </row>
    <row r="1211" spans="42:44">
      <c r="AP1211" s="1756" t="e">
        <f>IF(OR(AR1211=S13,AR1211&gt;S13),AR1211,"")</f>
        <v>#VALUE!</v>
      </c>
      <c r="AQ1211" s="1759">
        <f t="shared" si="77"/>
        <v>1208</v>
      </c>
      <c r="AR1211" s="1756" t="e">
        <f>0.5*(S18+2*AQ1211)*LN(1+2*AQ1211/S18)</f>
        <v>#VALUE!</v>
      </c>
    </row>
    <row r="1212" spans="42:44">
      <c r="AP1212" s="1756" t="e">
        <f>IF(OR(AR1212=S13,AR1212&gt;S13),AR1212,"")</f>
        <v>#VALUE!</v>
      </c>
      <c r="AQ1212" s="1759">
        <f t="shared" si="77"/>
        <v>1209</v>
      </c>
      <c r="AR1212" s="1756" t="e">
        <f>0.5*(S18+2*AQ1212)*LN(1+2*AQ1212/S18)</f>
        <v>#VALUE!</v>
      </c>
    </row>
    <row r="1213" spans="42:44">
      <c r="AP1213" s="1756" t="e">
        <f>IF(OR(AR1213=S13,AR1213&gt;S13),AR1213,"")</f>
        <v>#VALUE!</v>
      </c>
      <c r="AQ1213" s="1759">
        <f t="shared" si="77"/>
        <v>1210</v>
      </c>
      <c r="AR1213" s="1756" t="e">
        <f>0.5*(S18+2*AQ1213)*LN(1+2*AQ1213/S18)</f>
        <v>#VALUE!</v>
      </c>
    </row>
    <row r="1214" spans="42:44">
      <c r="AP1214" s="1756" t="e">
        <f>IF(OR(AR1214=S13,AR1214&gt;S13),AR1214,"")</f>
        <v>#VALUE!</v>
      </c>
      <c r="AQ1214" s="1759">
        <f t="shared" si="77"/>
        <v>1211</v>
      </c>
      <c r="AR1214" s="1756" t="e">
        <f>0.5*(S18+2*AQ1214)*LN(1+2*AQ1214/S18)</f>
        <v>#VALUE!</v>
      </c>
    </row>
    <row r="1215" spans="42:44">
      <c r="AP1215" s="1756" t="e">
        <f>IF(OR(AR1215=S13,AR1215&gt;S13),AR1215,"")</f>
        <v>#VALUE!</v>
      </c>
      <c r="AQ1215" s="1759">
        <f t="shared" si="77"/>
        <v>1212</v>
      </c>
      <c r="AR1215" s="1756" t="e">
        <f>0.5*(S18+2*AQ1215)*LN(1+2*AQ1215/S18)</f>
        <v>#VALUE!</v>
      </c>
    </row>
    <row r="1216" spans="42:44">
      <c r="AP1216" s="1756" t="e">
        <f>IF(OR(AR1216=S13,AR1216&gt;S13),AR1216,"")</f>
        <v>#VALUE!</v>
      </c>
      <c r="AQ1216" s="1759">
        <f t="shared" si="77"/>
        <v>1213</v>
      </c>
      <c r="AR1216" s="1756" t="e">
        <f>0.5*(S18+2*AQ1216)*LN(1+2*AQ1216/S18)</f>
        <v>#VALUE!</v>
      </c>
    </row>
    <row r="1217" spans="42:44">
      <c r="AP1217" s="1756" t="e">
        <f>IF(OR(AR1217=S13,AR1217&gt;S13),AR1217,"")</f>
        <v>#VALUE!</v>
      </c>
      <c r="AQ1217" s="1759">
        <f t="shared" si="77"/>
        <v>1214</v>
      </c>
      <c r="AR1217" s="1756" t="e">
        <f>0.5*(S18+2*AQ1217)*LN(1+2*AQ1217/S18)</f>
        <v>#VALUE!</v>
      </c>
    </row>
    <row r="1218" spans="42:44">
      <c r="AP1218" s="1756" t="e">
        <f>IF(OR(AR1218=S13,AR1218&gt;S13),AR1218,"")</f>
        <v>#VALUE!</v>
      </c>
      <c r="AQ1218" s="1759">
        <f t="shared" si="77"/>
        <v>1215</v>
      </c>
      <c r="AR1218" s="1756" t="e">
        <f>0.5*(S18+2*AQ1218)*LN(1+2*AQ1218/S18)</f>
        <v>#VALUE!</v>
      </c>
    </row>
    <row r="1219" spans="42:44">
      <c r="AP1219" s="1756" t="e">
        <f>IF(OR(AR1219=S13,AR1219&gt;S13),AR1219,"")</f>
        <v>#VALUE!</v>
      </c>
      <c r="AQ1219" s="1759">
        <f t="shared" si="77"/>
        <v>1216</v>
      </c>
      <c r="AR1219" s="1756" t="e">
        <f>0.5*(S18+2*AQ1219)*LN(1+2*AQ1219/S18)</f>
        <v>#VALUE!</v>
      </c>
    </row>
    <row r="1220" spans="42:44">
      <c r="AP1220" s="1756" t="e">
        <f>IF(OR(AR1220=S13,AR1220&gt;S13),AR1220,"")</f>
        <v>#VALUE!</v>
      </c>
      <c r="AQ1220" s="1759">
        <f t="shared" si="77"/>
        <v>1217</v>
      </c>
      <c r="AR1220" s="1756" t="e">
        <f>0.5*(S18+2*AQ1220)*LN(1+2*AQ1220/S18)</f>
        <v>#VALUE!</v>
      </c>
    </row>
    <row r="1221" spans="42:44">
      <c r="AP1221" s="1756" t="e">
        <f>IF(OR(AR1221=S13,AR1221&gt;S13),AR1221,"")</f>
        <v>#VALUE!</v>
      </c>
      <c r="AQ1221" s="1759">
        <f t="shared" si="77"/>
        <v>1218</v>
      </c>
      <c r="AR1221" s="1756" t="e">
        <f>0.5*(S18+2*AQ1221)*LN(1+2*AQ1221/S18)</f>
        <v>#VALUE!</v>
      </c>
    </row>
    <row r="1222" spans="42:44">
      <c r="AP1222" s="1756" t="e">
        <f>IF(OR(AR1222=S13,AR1222&gt;S13),AR1222,"")</f>
        <v>#VALUE!</v>
      </c>
      <c r="AQ1222" s="1759">
        <f t="shared" ref="AQ1222:AQ1285" si="78">AQ1221+1</f>
        <v>1219</v>
      </c>
      <c r="AR1222" s="1756" t="e">
        <f>0.5*(S18+2*AQ1222)*LN(1+2*AQ1222/S18)</f>
        <v>#VALUE!</v>
      </c>
    </row>
    <row r="1223" spans="42:44">
      <c r="AP1223" s="1756" t="e">
        <f>IF(OR(AR1223=S13,AR1223&gt;S13),AR1223,"")</f>
        <v>#VALUE!</v>
      </c>
      <c r="AQ1223" s="1759">
        <f t="shared" si="78"/>
        <v>1220</v>
      </c>
      <c r="AR1223" s="1756" t="e">
        <f>0.5*(S18+2*AQ1223)*LN(1+2*AQ1223/S18)</f>
        <v>#VALUE!</v>
      </c>
    </row>
    <row r="1224" spans="42:44">
      <c r="AP1224" s="1756" t="e">
        <f>IF(OR(AR1224=S13,AR1224&gt;S13),AR1224,"")</f>
        <v>#VALUE!</v>
      </c>
      <c r="AQ1224" s="1759">
        <f t="shared" si="78"/>
        <v>1221</v>
      </c>
      <c r="AR1224" s="1756" t="e">
        <f>0.5*(S18+2*AQ1224)*LN(1+2*AQ1224/S18)</f>
        <v>#VALUE!</v>
      </c>
    </row>
    <row r="1225" spans="42:44">
      <c r="AP1225" s="1756" t="e">
        <f>IF(OR(AR1225=S13,AR1225&gt;S13),AR1225,"")</f>
        <v>#VALUE!</v>
      </c>
      <c r="AQ1225" s="1759">
        <f t="shared" si="78"/>
        <v>1222</v>
      </c>
      <c r="AR1225" s="1756" t="e">
        <f>0.5*(S18+2*AQ1225)*LN(1+2*AQ1225/S18)</f>
        <v>#VALUE!</v>
      </c>
    </row>
    <row r="1226" spans="42:44">
      <c r="AP1226" s="1756" t="e">
        <f>IF(OR(AR1226=S13,AR1226&gt;S13),AR1226,"")</f>
        <v>#VALUE!</v>
      </c>
      <c r="AQ1226" s="1759">
        <f t="shared" si="78"/>
        <v>1223</v>
      </c>
      <c r="AR1226" s="1756" t="e">
        <f>0.5*(S18+2*AQ1226)*LN(1+2*AQ1226/S18)</f>
        <v>#VALUE!</v>
      </c>
    </row>
    <row r="1227" spans="42:44">
      <c r="AP1227" s="1756" t="e">
        <f>IF(OR(AR1227=S13,AR1227&gt;S13),AR1227,"")</f>
        <v>#VALUE!</v>
      </c>
      <c r="AQ1227" s="1759">
        <f t="shared" si="78"/>
        <v>1224</v>
      </c>
      <c r="AR1227" s="1756" t="e">
        <f>0.5*(S18+2*AQ1227)*LN(1+2*AQ1227/S18)</f>
        <v>#VALUE!</v>
      </c>
    </row>
    <row r="1228" spans="42:44">
      <c r="AP1228" s="1756" t="e">
        <f>IF(OR(AR1228=S13,AR1228&gt;S13),AR1228,"")</f>
        <v>#VALUE!</v>
      </c>
      <c r="AQ1228" s="1759">
        <f t="shared" si="78"/>
        <v>1225</v>
      </c>
      <c r="AR1228" s="1756" t="e">
        <f>0.5*(S18+2*AQ1228)*LN(1+2*AQ1228/S18)</f>
        <v>#VALUE!</v>
      </c>
    </row>
    <row r="1229" spans="42:44">
      <c r="AP1229" s="1756" t="e">
        <f>IF(OR(AR1229=S13,AR1229&gt;S13),AR1229,"")</f>
        <v>#VALUE!</v>
      </c>
      <c r="AQ1229" s="1759">
        <f t="shared" si="78"/>
        <v>1226</v>
      </c>
      <c r="AR1229" s="1756" t="e">
        <f>0.5*(S18+2*AQ1229)*LN(1+2*AQ1229/S18)</f>
        <v>#VALUE!</v>
      </c>
    </row>
    <row r="1230" spans="42:44">
      <c r="AP1230" s="1756" t="e">
        <f>IF(OR(AR1230=S13,AR1230&gt;S13),AR1230,"")</f>
        <v>#VALUE!</v>
      </c>
      <c r="AQ1230" s="1759">
        <f t="shared" si="78"/>
        <v>1227</v>
      </c>
      <c r="AR1230" s="1756" t="e">
        <f>0.5*(S18+2*AQ1230)*LN(1+2*AQ1230/S18)</f>
        <v>#VALUE!</v>
      </c>
    </row>
    <row r="1231" spans="42:44">
      <c r="AP1231" s="1756" t="e">
        <f>IF(OR(AR1231=S13,AR1231&gt;S13),AR1231,"")</f>
        <v>#VALUE!</v>
      </c>
      <c r="AQ1231" s="1759">
        <f t="shared" si="78"/>
        <v>1228</v>
      </c>
      <c r="AR1231" s="1756" t="e">
        <f>0.5*(S18+2*AQ1231)*LN(1+2*AQ1231/S18)</f>
        <v>#VALUE!</v>
      </c>
    </row>
    <row r="1232" spans="42:44">
      <c r="AP1232" s="1756" t="e">
        <f>IF(OR(AR1232=S13,AR1232&gt;S13),AR1232,"")</f>
        <v>#VALUE!</v>
      </c>
      <c r="AQ1232" s="1759">
        <f t="shared" si="78"/>
        <v>1229</v>
      </c>
      <c r="AR1232" s="1756" t="e">
        <f>0.5*(S18+2*AQ1232)*LN(1+2*AQ1232/S18)</f>
        <v>#VALUE!</v>
      </c>
    </row>
    <row r="1233" spans="42:44">
      <c r="AP1233" s="1756" t="e">
        <f>IF(OR(AR1233=S13,AR1233&gt;S13),AR1233,"")</f>
        <v>#VALUE!</v>
      </c>
      <c r="AQ1233" s="1759">
        <f t="shared" si="78"/>
        <v>1230</v>
      </c>
      <c r="AR1233" s="1756" t="e">
        <f>0.5*(S18+2*AQ1233)*LN(1+2*AQ1233/S18)</f>
        <v>#VALUE!</v>
      </c>
    </row>
    <row r="1234" spans="42:44">
      <c r="AP1234" s="1756" t="e">
        <f>IF(OR(AR1234=S13,AR1234&gt;S13),AR1234,"")</f>
        <v>#VALUE!</v>
      </c>
      <c r="AQ1234" s="1759">
        <f t="shared" si="78"/>
        <v>1231</v>
      </c>
      <c r="AR1234" s="1756" t="e">
        <f>0.5*(S18+2*AQ1234)*LN(1+2*AQ1234/S18)</f>
        <v>#VALUE!</v>
      </c>
    </row>
    <row r="1235" spans="42:44">
      <c r="AP1235" s="1756" t="e">
        <f>IF(OR(AR1235=S13,AR1235&gt;S13),AR1235,"")</f>
        <v>#VALUE!</v>
      </c>
      <c r="AQ1235" s="1759">
        <f t="shared" si="78"/>
        <v>1232</v>
      </c>
      <c r="AR1235" s="1756" t="e">
        <f>0.5*(S18+2*AQ1235)*LN(1+2*AQ1235/S18)</f>
        <v>#VALUE!</v>
      </c>
    </row>
    <row r="1236" spans="42:44">
      <c r="AP1236" s="1756" t="e">
        <f>IF(OR(AR1236=S13,AR1236&gt;S13),AR1236,"")</f>
        <v>#VALUE!</v>
      </c>
      <c r="AQ1236" s="1759">
        <f t="shared" si="78"/>
        <v>1233</v>
      </c>
      <c r="AR1236" s="1756" t="e">
        <f>0.5*(S18+2*AQ1236)*LN(1+2*AQ1236/S18)</f>
        <v>#VALUE!</v>
      </c>
    </row>
    <row r="1237" spans="42:44">
      <c r="AP1237" s="1756" t="e">
        <f>IF(OR(AR1237=S13,AR1237&gt;S13),AR1237,"")</f>
        <v>#VALUE!</v>
      </c>
      <c r="AQ1237" s="1759">
        <f t="shared" si="78"/>
        <v>1234</v>
      </c>
      <c r="AR1237" s="1756" t="e">
        <f>0.5*(S18+2*AQ1237)*LN(1+2*AQ1237/S18)</f>
        <v>#VALUE!</v>
      </c>
    </row>
    <row r="1238" spans="42:44">
      <c r="AP1238" s="1756" t="e">
        <f>IF(OR(AR1238=S13,AR1238&gt;S13),AR1238,"")</f>
        <v>#VALUE!</v>
      </c>
      <c r="AQ1238" s="1759">
        <f t="shared" si="78"/>
        <v>1235</v>
      </c>
      <c r="AR1238" s="1756" t="e">
        <f>0.5*(S18+2*AQ1238)*LN(1+2*AQ1238/S18)</f>
        <v>#VALUE!</v>
      </c>
    </row>
    <row r="1239" spans="42:44">
      <c r="AP1239" s="1756" t="e">
        <f>IF(OR(AR1239=S13,AR1239&gt;S13),AR1239,"")</f>
        <v>#VALUE!</v>
      </c>
      <c r="AQ1239" s="1759">
        <f t="shared" si="78"/>
        <v>1236</v>
      </c>
      <c r="AR1239" s="1756" t="e">
        <f>0.5*(S18+2*AQ1239)*LN(1+2*AQ1239/S18)</f>
        <v>#VALUE!</v>
      </c>
    </row>
    <row r="1240" spans="42:44">
      <c r="AP1240" s="1756" t="e">
        <f>IF(OR(AR1240=S13,AR1240&gt;S13),AR1240,"")</f>
        <v>#VALUE!</v>
      </c>
      <c r="AQ1240" s="1759">
        <f t="shared" si="78"/>
        <v>1237</v>
      </c>
      <c r="AR1240" s="1756" t="e">
        <f>0.5*(S18+2*AQ1240)*LN(1+2*AQ1240/S18)</f>
        <v>#VALUE!</v>
      </c>
    </row>
    <row r="1241" spans="42:44">
      <c r="AP1241" s="1756" t="e">
        <f>IF(OR(AR1241=S13,AR1241&gt;S13),AR1241,"")</f>
        <v>#VALUE!</v>
      </c>
      <c r="AQ1241" s="1759">
        <f t="shared" si="78"/>
        <v>1238</v>
      </c>
      <c r="AR1241" s="1756" t="e">
        <f>0.5*(S18+2*AQ1241)*LN(1+2*AQ1241/S18)</f>
        <v>#VALUE!</v>
      </c>
    </row>
    <row r="1242" spans="42:44">
      <c r="AP1242" s="1756" t="e">
        <f>IF(OR(AR1242=S13,AR1242&gt;S13),AR1242,"")</f>
        <v>#VALUE!</v>
      </c>
      <c r="AQ1242" s="1759">
        <f t="shared" si="78"/>
        <v>1239</v>
      </c>
      <c r="AR1242" s="1756" t="e">
        <f>0.5*(S18+2*AQ1242)*LN(1+2*AQ1242/S18)</f>
        <v>#VALUE!</v>
      </c>
    </row>
    <row r="1243" spans="42:44">
      <c r="AP1243" s="1756" t="e">
        <f>IF(OR(AR1243=S13,AR1243&gt;S13),AR1243,"")</f>
        <v>#VALUE!</v>
      </c>
      <c r="AQ1243" s="1759">
        <f t="shared" si="78"/>
        <v>1240</v>
      </c>
      <c r="AR1243" s="1756" t="e">
        <f>0.5*(S18+2*AQ1243)*LN(1+2*AQ1243/S18)</f>
        <v>#VALUE!</v>
      </c>
    </row>
    <row r="1244" spans="42:44">
      <c r="AP1244" s="1756" t="e">
        <f>IF(OR(AR1244=S13,AR1244&gt;S13),AR1244,"")</f>
        <v>#VALUE!</v>
      </c>
      <c r="AQ1244" s="1759">
        <f t="shared" si="78"/>
        <v>1241</v>
      </c>
      <c r="AR1244" s="1756" t="e">
        <f>0.5*(S18+2*AQ1244)*LN(1+2*AQ1244/S18)</f>
        <v>#VALUE!</v>
      </c>
    </row>
    <row r="1245" spans="42:44">
      <c r="AP1245" s="1756" t="e">
        <f>IF(OR(AR1245=S13,AR1245&gt;S13),AR1245,"")</f>
        <v>#VALUE!</v>
      </c>
      <c r="AQ1245" s="1759">
        <f t="shared" si="78"/>
        <v>1242</v>
      </c>
      <c r="AR1245" s="1756" t="e">
        <f>0.5*(S18+2*AQ1245)*LN(1+2*AQ1245/S18)</f>
        <v>#VALUE!</v>
      </c>
    </row>
    <row r="1246" spans="42:44">
      <c r="AP1246" s="1756" t="e">
        <f>IF(OR(AR1246=S13,AR1246&gt;S13),AR1246,"")</f>
        <v>#VALUE!</v>
      </c>
      <c r="AQ1246" s="1759">
        <f t="shared" si="78"/>
        <v>1243</v>
      </c>
      <c r="AR1246" s="1756" t="e">
        <f>0.5*(S18+2*AQ1246)*LN(1+2*AQ1246/S18)</f>
        <v>#VALUE!</v>
      </c>
    </row>
    <row r="1247" spans="42:44">
      <c r="AP1247" s="1756" t="e">
        <f>IF(OR(AR1247=S13,AR1247&gt;S13),AR1247,"")</f>
        <v>#VALUE!</v>
      </c>
      <c r="AQ1247" s="1759">
        <f t="shared" si="78"/>
        <v>1244</v>
      </c>
      <c r="AR1247" s="1756" t="e">
        <f>0.5*(S18+2*AQ1247)*LN(1+2*AQ1247/S18)</f>
        <v>#VALUE!</v>
      </c>
    </row>
    <row r="1248" spans="42:44">
      <c r="AP1248" s="1756" t="e">
        <f>IF(OR(AR1248=S13,AR1248&gt;S13),AR1248,"")</f>
        <v>#VALUE!</v>
      </c>
      <c r="AQ1248" s="1759">
        <f t="shared" si="78"/>
        <v>1245</v>
      </c>
      <c r="AR1248" s="1756" t="e">
        <f>0.5*(S18+2*AQ1248)*LN(1+2*AQ1248/S18)</f>
        <v>#VALUE!</v>
      </c>
    </row>
    <row r="1249" spans="42:44">
      <c r="AP1249" s="1756" t="e">
        <f>IF(OR(AR1249=S13,AR1249&gt;S13),AR1249,"")</f>
        <v>#VALUE!</v>
      </c>
      <c r="AQ1249" s="1759">
        <f t="shared" si="78"/>
        <v>1246</v>
      </c>
      <c r="AR1249" s="1756" t="e">
        <f>0.5*(S18+2*AQ1249)*LN(1+2*AQ1249/S18)</f>
        <v>#VALUE!</v>
      </c>
    </row>
    <row r="1250" spans="42:44">
      <c r="AP1250" s="1756" t="e">
        <f>IF(OR(AR1250=S13,AR1250&gt;S13),AR1250,"")</f>
        <v>#VALUE!</v>
      </c>
      <c r="AQ1250" s="1759">
        <f t="shared" si="78"/>
        <v>1247</v>
      </c>
      <c r="AR1250" s="1756" t="e">
        <f>0.5*(S18+2*AQ1250)*LN(1+2*AQ1250/S18)</f>
        <v>#VALUE!</v>
      </c>
    </row>
    <row r="1251" spans="42:44">
      <c r="AP1251" s="1756" t="e">
        <f>IF(OR(AR1251=S13,AR1251&gt;S13),AR1251,"")</f>
        <v>#VALUE!</v>
      </c>
      <c r="AQ1251" s="1759">
        <f t="shared" si="78"/>
        <v>1248</v>
      </c>
      <c r="AR1251" s="1756" t="e">
        <f>0.5*(S18+2*AQ1251)*LN(1+2*AQ1251/S18)</f>
        <v>#VALUE!</v>
      </c>
    </row>
    <row r="1252" spans="42:44">
      <c r="AP1252" s="1756" t="e">
        <f>IF(OR(AR1252=S13,AR1252&gt;S13),AR1252,"")</f>
        <v>#VALUE!</v>
      </c>
      <c r="AQ1252" s="1759">
        <f t="shared" si="78"/>
        <v>1249</v>
      </c>
      <c r="AR1252" s="1756" t="e">
        <f>0.5*(S18+2*AQ1252)*LN(1+2*AQ1252/S18)</f>
        <v>#VALUE!</v>
      </c>
    </row>
    <row r="1253" spans="42:44">
      <c r="AP1253" s="1756" t="e">
        <f>IF(OR(AR1253=S13,AR1253&gt;S13),AR1253,"")</f>
        <v>#VALUE!</v>
      </c>
      <c r="AQ1253" s="1759">
        <f t="shared" si="78"/>
        <v>1250</v>
      </c>
      <c r="AR1253" s="1756" t="e">
        <f>0.5*(S18+2*AQ1253)*LN(1+2*AQ1253/S18)</f>
        <v>#VALUE!</v>
      </c>
    </row>
    <row r="1254" spans="42:44">
      <c r="AP1254" s="1756" t="e">
        <f>IF(OR(AR1254=S13,AR1254&gt;S13),AR1254,"")</f>
        <v>#VALUE!</v>
      </c>
      <c r="AQ1254" s="1759">
        <f t="shared" si="78"/>
        <v>1251</v>
      </c>
      <c r="AR1254" s="1756" t="e">
        <f>0.5*(S18+2*AQ1254)*LN(1+2*AQ1254/S18)</f>
        <v>#VALUE!</v>
      </c>
    </row>
    <row r="1255" spans="42:44">
      <c r="AP1255" s="1756" t="e">
        <f>IF(OR(AR1255=S13,AR1255&gt;S13),AR1255,"")</f>
        <v>#VALUE!</v>
      </c>
      <c r="AQ1255" s="1759">
        <f t="shared" si="78"/>
        <v>1252</v>
      </c>
      <c r="AR1255" s="1756" t="e">
        <f>0.5*(S18+2*AQ1255)*LN(1+2*AQ1255/S18)</f>
        <v>#VALUE!</v>
      </c>
    </row>
    <row r="1256" spans="42:44">
      <c r="AP1256" s="1756" t="e">
        <f>IF(OR(AR1256=S13,AR1256&gt;S13),AR1256,"")</f>
        <v>#VALUE!</v>
      </c>
      <c r="AQ1256" s="1759">
        <f t="shared" si="78"/>
        <v>1253</v>
      </c>
      <c r="AR1256" s="1756" t="e">
        <f>0.5*(S18+2*AQ1256)*LN(1+2*AQ1256/S18)</f>
        <v>#VALUE!</v>
      </c>
    </row>
    <row r="1257" spans="42:44">
      <c r="AP1257" s="1756" t="e">
        <f>IF(OR(AR1257=S13,AR1257&gt;S13),AR1257,"")</f>
        <v>#VALUE!</v>
      </c>
      <c r="AQ1257" s="1759">
        <f t="shared" si="78"/>
        <v>1254</v>
      </c>
      <c r="AR1257" s="1756" t="e">
        <f>0.5*(S18+2*AQ1257)*LN(1+2*AQ1257/S18)</f>
        <v>#VALUE!</v>
      </c>
    </row>
    <row r="1258" spans="42:44">
      <c r="AP1258" s="1756" t="e">
        <f>IF(OR(AR1258=S13,AR1258&gt;S13),AR1258,"")</f>
        <v>#VALUE!</v>
      </c>
      <c r="AQ1258" s="1759">
        <f t="shared" si="78"/>
        <v>1255</v>
      </c>
      <c r="AR1258" s="1756" t="e">
        <f>0.5*(S18+2*AQ1258)*LN(1+2*AQ1258/S18)</f>
        <v>#VALUE!</v>
      </c>
    </row>
    <row r="1259" spans="42:44">
      <c r="AP1259" s="1756" t="e">
        <f>IF(OR(AR1259=S13,AR1259&gt;S13),AR1259,"")</f>
        <v>#VALUE!</v>
      </c>
      <c r="AQ1259" s="1759">
        <f t="shared" si="78"/>
        <v>1256</v>
      </c>
      <c r="AR1259" s="1756" t="e">
        <f>0.5*(S18+2*AQ1259)*LN(1+2*AQ1259/S18)</f>
        <v>#VALUE!</v>
      </c>
    </row>
    <row r="1260" spans="42:44">
      <c r="AP1260" s="1756" t="e">
        <f>IF(OR(AR1260=S13,AR1260&gt;S13),AR1260,"")</f>
        <v>#VALUE!</v>
      </c>
      <c r="AQ1260" s="1759">
        <f t="shared" si="78"/>
        <v>1257</v>
      </c>
      <c r="AR1260" s="1756" t="e">
        <f>0.5*(S18+2*AQ1260)*LN(1+2*AQ1260/S18)</f>
        <v>#VALUE!</v>
      </c>
    </row>
    <row r="1261" spans="42:44">
      <c r="AP1261" s="1756" t="e">
        <f>IF(OR(AR1261=S13,AR1261&gt;S13),AR1261,"")</f>
        <v>#VALUE!</v>
      </c>
      <c r="AQ1261" s="1759">
        <f t="shared" si="78"/>
        <v>1258</v>
      </c>
      <c r="AR1261" s="1756" t="e">
        <f>0.5*(S18+2*AQ1261)*LN(1+2*AQ1261/S18)</f>
        <v>#VALUE!</v>
      </c>
    </row>
    <row r="1262" spans="42:44">
      <c r="AP1262" s="1756" t="e">
        <f>IF(OR(AR1262=S13,AR1262&gt;S13),AR1262,"")</f>
        <v>#VALUE!</v>
      </c>
      <c r="AQ1262" s="1759">
        <f t="shared" si="78"/>
        <v>1259</v>
      </c>
      <c r="AR1262" s="1756" t="e">
        <f>0.5*(S18+2*AQ1262)*LN(1+2*AQ1262/S18)</f>
        <v>#VALUE!</v>
      </c>
    </row>
    <row r="1263" spans="42:44">
      <c r="AP1263" s="1756" t="e">
        <f>IF(OR(AR1263=S13,AR1263&gt;S13),AR1263,"")</f>
        <v>#VALUE!</v>
      </c>
      <c r="AQ1263" s="1759">
        <f t="shared" si="78"/>
        <v>1260</v>
      </c>
      <c r="AR1263" s="1756" t="e">
        <f>0.5*(S18+2*AQ1263)*LN(1+2*AQ1263/S18)</f>
        <v>#VALUE!</v>
      </c>
    </row>
    <row r="1264" spans="42:44">
      <c r="AP1264" s="1756" t="e">
        <f>IF(OR(AR1264=S13,AR1264&gt;S13),AR1264,"")</f>
        <v>#VALUE!</v>
      </c>
      <c r="AQ1264" s="1759">
        <f t="shared" si="78"/>
        <v>1261</v>
      </c>
      <c r="AR1264" s="1756" t="e">
        <f>0.5*(S18+2*AQ1264)*LN(1+2*AQ1264/S18)</f>
        <v>#VALUE!</v>
      </c>
    </row>
    <row r="1265" spans="42:44">
      <c r="AP1265" s="1756" t="e">
        <f>IF(OR(AR1265=S13,AR1265&gt;S13),AR1265,"")</f>
        <v>#VALUE!</v>
      </c>
      <c r="AQ1265" s="1759">
        <f t="shared" si="78"/>
        <v>1262</v>
      </c>
      <c r="AR1265" s="1756" t="e">
        <f>0.5*(S18+2*AQ1265)*LN(1+2*AQ1265/S18)</f>
        <v>#VALUE!</v>
      </c>
    </row>
    <row r="1266" spans="42:44">
      <c r="AP1266" s="1756" t="e">
        <f>IF(OR(AR1266=S13,AR1266&gt;S13),AR1266,"")</f>
        <v>#VALUE!</v>
      </c>
      <c r="AQ1266" s="1759">
        <f t="shared" si="78"/>
        <v>1263</v>
      </c>
      <c r="AR1266" s="1756" t="e">
        <f>0.5*(S18+2*AQ1266)*LN(1+2*AQ1266/S18)</f>
        <v>#VALUE!</v>
      </c>
    </row>
    <row r="1267" spans="42:44">
      <c r="AP1267" s="1756" t="e">
        <f>IF(OR(AR1267=S13,AR1267&gt;S13),AR1267,"")</f>
        <v>#VALUE!</v>
      </c>
      <c r="AQ1267" s="1759">
        <f t="shared" si="78"/>
        <v>1264</v>
      </c>
      <c r="AR1267" s="1756" t="e">
        <f>0.5*(S18+2*AQ1267)*LN(1+2*AQ1267/S18)</f>
        <v>#VALUE!</v>
      </c>
    </row>
    <row r="1268" spans="42:44">
      <c r="AP1268" s="1756" t="e">
        <f>IF(OR(AR1268=S13,AR1268&gt;S13),AR1268,"")</f>
        <v>#VALUE!</v>
      </c>
      <c r="AQ1268" s="1759">
        <f t="shared" si="78"/>
        <v>1265</v>
      </c>
      <c r="AR1268" s="1756" t="e">
        <f>0.5*(S18+2*AQ1268)*LN(1+2*AQ1268/S18)</f>
        <v>#VALUE!</v>
      </c>
    </row>
    <row r="1269" spans="42:44">
      <c r="AP1269" s="1756" t="e">
        <f>IF(OR(AR1269=S13,AR1269&gt;S13),AR1269,"")</f>
        <v>#VALUE!</v>
      </c>
      <c r="AQ1269" s="1759">
        <f t="shared" si="78"/>
        <v>1266</v>
      </c>
      <c r="AR1269" s="1756" t="e">
        <f>0.5*(S18+2*AQ1269)*LN(1+2*AQ1269/S18)</f>
        <v>#VALUE!</v>
      </c>
    </row>
    <row r="1270" spans="42:44">
      <c r="AP1270" s="1756" t="e">
        <f>IF(OR(AR1270=S13,AR1270&gt;S13),AR1270,"")</f>
        <v>#VALUE!</v>
      </c>
      <c r="AQ1270" s="1759">
        <f t="shared" si="78"/>
        <v>1267</v>
      </c>
      <c r="AR1270" s="1756" t="e">
        <f>0.5*(S18+2*AQ1270)*LN(1+2*AQ1270/S18)</f>
        <v>#VALUE!</v>
      </c>
    </row>
    <row r="1271" spans="42:44">
      <c r="AP1271" s="1756" t="e">
        <f>IF(OR(AR1271=S13,AR1271&gt;S13),AR1271,"")</f>
        <v>#VALUE!</v>
      </c>
      <c r="AQ1271" s="1759">
        <f t="shared" si="78"/>
        <v>1268</v>
      </c>
      <c r="AR1271" s="1756" t="e">
        <f>0.5*(S18+2*AQ1271)*LN(1+2*AQ1271/S18)</f>
        <v>#VALUE!</v>
      </c>
    </row>
    <row r="1272" spans="42:44">
      <c r="AP1272" s="1756" t="e">
        <f>IF(OR(AR1272=S13,AR1272&gt;S13),AR1272,"")</f>
        <v>#VALUE!</v>
      </c>
      <c r="AQ1272" s="1759">
        <f t="shared" si="78"/>
        <v>1269</v>
      </c>
      <c r="AR1272" s="1756" t="e">
        <f>0.5*(S18+2*AQ1272)*LN(1+2*AQ1272/S18)</f>
        <v>#VALUE!</v>
      </c>
    </row>
    <row r="1273" spans="42:44">
      <c r="AP1273" s="1756" t="e">
        <f>IF(OR(AR1273=S13,AR1273&gt;S13),AR1273,"")</f>
        <v>#VALUE!</v>
      </c>
      <c r="AQ1273" s="1759">
        <f t="shared" si="78"/>
        <v>1270</v>
      </c>
      <c r="AR1273" s="1756" t="e">
        <f>0.5*(S18+2*AQ1273)*LN(1+2*AQ1273/S18)</f>
        <v>#VALUE!</v>
      </c>
    </row>
    <row r="1274" spans="42:44">
      <c r="AP1274" s="1756" t="e">
        <f>IF(OR(AR1274=S13,AR1274&gt;S13),AR1274,"")</f>
        <v>#VALUE!</v>
      </c>
      <c r="AQ1274" s="1759">
        <f t="shared" si="78"/>
        <v>1271</v>
      </c>
      <c r="AR1274" s="1756" t="e">
        <f>0.5*(S18+2*AQ1274)*LN(1+2*AQ1274/S18)</f>
        <v>#VALUE!</v>
      </c>
    </row>
    <row r="1275" spans="42:44">
      <c r="AP1275" s="1756" t="e">
        <f>IF(OR(AR1275=S13,AR1275&gt;S13),AR1275,"")</f>
        <v>#VALUE!</v>
      </c>
      <c r="AQ1275" s="1759">
        <f t="shared" si="78"/>
        <v>1272</v>
      </c>
      <c r="AR1275" s="1756" t="e">
        <f>0.5*(S18+2*AQ1275)*LN(1+2*AQ1275/S18)</f>
        <v>#VALUE!</v>
      </c>
    </row>
    <row r="1276" spans="42:44">
      <c r="AP1276" s="1756" t="e">
        <f>IF(OR(AR1276=S13,AR1276&gt;S13),AR1276,"")</f>
        <v>#VALUE!</v>
      </c>
      <c r="AQ1276" s="1759">
        <f t="shared" si="78"/>
        <v>1273</v>
      </c>
      <c r="AR1276" s="1756" t="e">
        <f>0.5*(S18+2*AQ1276)*LN(1+2*AQ1276/S18)</f>
        <v>#VALUE!</v>
      </c>
    </row>
    <row r="1277" spans="42:44">
      <c r="AP1277" s="1756" t="e">
        <f>IF(OR(AR1277=S13,AR1277&gt;S13),AR1277,"")</f>
        <v>#VALUE!</v>
      </c>
      <c r="AQ1277" s="1759">
        <f t="shared" si="78"/>
        <v>1274</v>
      </c>
      <c r="AR1277" s="1756" t="e">
        <f>0.5*(S18+2*AQ1277)*LN(1+2*AQ1277/S18)</f>
        <v>#VALUE!</v>
      </c>
    </row>
    <row r="1278" spans="42:44">
      <c r="AP1278" s="1756" t="e">
        <f>IF(OR(AR1278=S13,AR1278&gt;S13),AR1278,"")</f>
        <v>#VALUE!</v>
      </c>
      <c r="AQ1278" s="1759">
        <f t="shared" si="78"/>
        <v>1275</v>
      </c>
      <c r="AR1278" s="1756" t="e">
        <f>0.5*(S18+2*AQ1278)*LN(1+2*AQ1278/S18)</f>
        <v>#VALUE!</v>
      </c>
    </row>
    <row r="1279" spans="42:44">
      <c r="AP1279" s="1756" t="e">
        <f>IF(OR(AR1279=S13,AR1279&gt;S13),AR1279,"")</f>
        <v>#VALUE!</v>
      </c>
      <c r="AQ1279" s="1759">
        <f t="shared" si="78"/>
        <v>1276</v>
      </c>
      <c r="AR1279" s="1756" t="e">
        <f>0.5*(S18+2*AQ1279)*LN(1+2*AQ1279/S18)</f>
        <v>#VALUE!</v>
      </c>
    </row>
    <row r="1280" spans="42:44">
      <c r="AP1280" s="1756" t="e">
        <f>IF(OR(AR1280=S13,AR1280&gt;S13),AR1280,"")</f>
        <v>#VALUE!</v>
      </c>
      <c r="AQ1280" s="1759">
        <f t="shared" si="78"/>
        <v>1277</v>
      </c>
      <c r="AR1280" s="1756" t="e">
        <f>0.5*(S18+2*AQ1280)*LN(1+2*AQ1280/S18)</f>
        <v>#VALUE!</v>
      </c>
    </row>
    <row r="1281" spans="42:44">
      <c r="AP1281" s="1756" t="e">
        <f>IF(OR(AR1281=S13,AR1281&gt;S13),AR1281,"")</f>
        <v>#VALUE!</v>
      </c>
      <c r="AQ1281" s="1759">
        <f t="shared" si="78"/>
        <v>1278</v>
      </c>
      <c r="AR1281" s="1756" t="e">
        <f>0.5*(S18+2*AQ1281)*LN(1+2*AQ1281/S18)</f>
        <v>#VALUE!</v>
      </c>
    </row>
    <row r="1282" spans="42:44">
      <c r="AP1282" s="1756" t="e">
        <f>IF(OR(AR1282=S13,AR1282&gt;S13),AR1282,"")</f>
        <v>#VALUE!</v>
      </c>
      <c r="AQ1282" s="1759">
        <f t="shared" si="78"/>
        <v>1279</v>
      </c>
      <c r="AR1282" s="1756" t="e">
        <f>0.5*(S18+2*AQ1282)*LN(1+2*AQ1282/S18)</f>
        <v>#VALUE!</v>
      </c>
    </row>
    <row r="1283" spans="42:44">
      <c r="AP1283" s="1756" t="e">
        <f>IF(OR(AR1283=S13,AR1283&gt;S13),AR1283,"")</f>
        <v>#VALUE!</v>
      </c>
      <c r="AQ1283" s="1759">
        <f t="shared" si="78"/>
        <v>1280</v>
      </c>
      <c r="AR1283" s="1756" t="e">
        <f>0.5*(S18+2*AQ1283)*LN(1+2*AQ1283/S18)</f>
        <v>#VALUE!</v>
      </c>
    </row>
    <row r="1284" spans="42:44">
      <c r="AP1284" s="1756" t="e">
        <f>IF(OR(AR1284=S13,AR1284&gt;S13),AR1284,"")</f>
        <v>#VALUE!</v>
      </c>
      <c r="AQ1284" s="1759">
        <f t="shared" si="78"/>
        <v>1281</v>
      </c>
      <c r="AR1284" s="1756" t="e">
        <f>0.5*(S18+2*AQ1284)*LN(1+2*AQ1284/S18)</f>
        <v>#VALUE!</v>
      </c>
    </row>
    <row r="1285" spans="42:44">
      <c r="AP1285" s="1756" t="e">
        <f>IF(OR(AR1285=S13,AR1285&gt;S13),AR1285,"")</f>
        <v>#VALUE!</v>
      </c>
      <c r="AQ1285" s="1759">
        <f t="shared" si="78"/>
        <v>1282</v>
      </c>
      <c r="AR1285" s="1756" t="e">
        <f>0.5*(S18+2*AQ1285)*LN(1+2*AQ1285/S18)</f>
        <v>#VALUE!</v>
      </c>
    </row>
    <row r="1286" spans="42:44">
      <c r="AP1286" s="1756" t="e">
        <f>IF(OR(AR1286=S13,AR1286&gt;S13),AR1286,"")</f>
        <v>#VALUE!</v>
      </c>
      <c r="AQ1286" s="1759">
        <f t="shared" ref="AQ1286:AQ1349" si="79">AQ1285+1</f>
        <v>1283</v>
      </c>
      <c r="AR1286" s="1756" t="e">
        <f>0.5*(S18+2*AQ1286)*LN(1+2*AQ1286/S18)</f>
        <v>#VALUE!</v>
      </c>
    </row>
    <row r="1287" spans="42:44">
      <c r="AP1287" s="1756" t="e">
        <f>IF(OR(AR1287=S13,AR1287&gt;S13),AR1287,"")</f>
        <v>#VALUE!</v>
      </c>
      <c r="AQ1287" s="1759">
        <f t="shared" si="79"/>
        <v>1284</v>
      </c>
      <c r="AR1287" s="1756" t="e">
        <f>0.5*(S18+2*AQ1287)*LN(1+2*AQ1287/S18)</f>
        <v>#VALUE!</v>
      </c>
    </row>
    <row r="1288" spans="42:44">
      <c r="AP1288" s="1756" t="e">
        <f>IF(OR(AR1288=S13,AR1288&gt;S13),AR1288,"")</f>
        <v>#VALUE!</v>
      </c>
      <c r="AQ1288" s="1759">
        <f t="shared" si="79"/>
        <v>1285</v>
      </c>
      <c r="AR1288" s="1756" t="e">
        <f>0.5*(S18+2*AQ1288)*LN(1+2*AQ1288/S18)</f>
        <v>#VALUE!</v>
      </c>
    </row>
    <row r="1289" spans="42:44">
      <c r="AP1289" s="1756" t="e">
        <f>IF(OR(AR1289=S13,AR1289&gt;S13),AR1289,"")</f>
        <v>#VALUE!</v>
      </c>
      <c r="AQ1289" s="1759">
        <f t="shared" si="79"/>
        <v>1286</v>
      </c>
      <c r="AR1289" s="1756" t="e">
        <f>0.5*(S18+2*AQ1289)*LN(1+2*AQ1289/S18)</f>
        <v>#VALUE!</v>
      </c>
    </row>
    <row r="1290" spans="42:44">
      <c r="AP1290" s="1756" t="e">
        <f>IF(OR(AR1290=S13,AR1290&gt;S13),AR1290,"")</f>
        <v>#VALUE!</v>
      </c>
      <c r="AQ1290" s="1759">
        <f t="shared" si="79"/>
        <v>1287</v>
      </c>
      <c r="AR1290" s="1756" t="e">
        <f>0.5*(S18+2*AQ1290)*LN(1+2*AQ1290/S18)</f>
        <v>#VALUE!</v>
      </c>
    </row>
    <row r="1291" spans="42:44">
      <c r="AP1291" s="1756" t="e">
        <f>IF(OR(AR1291=S13,AR1291&gt;S13),AR1291,"")</f>
        <v>#VALUE!</v>
      </c>
      <c r="AQ1291" s="1759">
        <f t="shared" si="79"/>
        <v>1288</v>
      </c>
      <c r="AR1291" s="1756" t="e">
        <f>0.5*(S18+2*AQ1291)*LN(1+2*AQ1291/S18)</f>
        <v>#VALUE!</v>
      </c>
    </row>
    <row r="1292" spans="42:44">
      <c r="AP1292" s="1756" t="e">
        <f>IF(OR(AR1292=S13,AR1292&gt;S13),AR1292,"")</f>
        <v>#VALUE!</v>
      </c>
      <c r="AQ1292" s="1759">
        <f t="shared" si="79"/>
        <v>1289</v>
      </c>
      <c r="AR1292" s="1756" t="e">
        <f>0.5*(S18+2*AQ1292)*LN(1+2*AQ1292/S18)</f>
        <v>#VALUE!</v>
      </c>
    </row>
    <row r="1293" spans="42:44">
      <c r="AP1293" s="1756" t="e">
        <f>IF(OR(AR1293=S13,AR1293&gt;S13),AR1293,"")</f>
        <v>#VALUE!</v>
      </c>
      <c r="AQ1293" s="1759">
        <f t="shared" si="79"/>
        <v>1290</v>
      </c>
      <c r="AR1293" s="1756" t="e">
        <f>0.5*(S18+2*AQ1293)*LN(1+2*AQ1293/S18)</f>
        <v>#VALUE!</v>
      </c>
    </row>
    <row r="1294" spans="42:44">
      <c r="AP1294" s="1756" t="e">
        <f>IF(OR(AR1294=S13,AR1294&gt;S13),AR1294,"")</f>
        <v>#VALUE!</v>
      </c>
      <c r="AQ1294" s="1759">
        <f t="shared" si="79"/>
        <v>1291</v>
      </c>
      <c r="AR1294" s="1756" t="e">
        <f>0.5*(S18+2*AQ1294)*LN(1+2*AQ1294/S18)</f>
        <v>#VALUE!</v>
      </c>
    </row>
    <row r="1295" spans="42:44">
      <c r="AP1295" s="1756" t="e">
        <f>IF(OR(AR1295=S13,AR1295&gt;S13),AR1295,"")</f>
        <v>#VALUE!</v>
      </c>
      <c r="AQ1295" s="1759">
        <f t="shared" si="79"/>
        <v>1292</v>
      </c>
      <c r="AR1295" s="1756" t="e">
        <f>0.5*(S18+2*AQ1295)*LN(1+2*AQ1295/S18)</f>
        <v>#VALUE!</v>
      </c>
    </row>
    <row r="1296" spans="42:44">
      <c r="AP1296" s="1756" t="e">
        <f>IF(OR(AR1296=S13,AR1296&gt;S13),AR1296,"")</f>
        <v>#VALUE!</v>
      </c>
      <c r="AQ1296" s="1759">
        <f t="shared" si="79"/>
        <v>1293</v>
      </c>
      <c r="AR1296" s="1756" t="e">
        <f>0.5*(S18+2*AQ1296)*LN(1+2*AQ1296/S18)</f>
        <v>#VALUE!</v>
      </c>
    </row>
    <row r="1297" spans="42:44">
      <c r="AP1297" s="1756" t="e">
        <f>IF(OR(AR1297=S13,AR1297&gt;S13),AR1297,"")</f>
        <v>#VALUE!</v>
      </c>
      <c r="AQ1297" s="1759">
        <f t="shared" si="79"/>
        <v>1294</v>
      </c>
      <c r="AR1297" s="1756" t="e">
        <f>0.5*(S18+2*AQ1297)*LN(1+2*AQ1297/S18)</f>
        <v>#VALUE!</v>
      </c>
    </row>
    <row r="1298" spans="42:44">
      <c r="AP1298" s="1756" t="e">
        <f>IF(OR(AR1298=S13,AR1298&gt;S13),AR1298,"")</f>
        <v>#VALUE!</v>
      </c>
      <c r="AQ1298" s="1759">
        <f t="shared" si="79"/>
        <v>1295</v>
      </c>
      <c r="AR1298" s="1756" t="e">
        <f>0.5*(S18+2*AQ1298)*LN(1+2*AQ1298/S18)</f>
        <v>#VALUE!</v>
      </c>
    </row>
    <row r="1299" spans="42:44">
      <c r="AP1299" s="1756" t="e">
        <f>IF(OR(AR1299=S13,AR1299&gt;S13),AR1299,"")</f>
        <v>#VALUE!</v>
      </c>
      <c r="AQ1299" s="1759">
        <f t="shared" si="79"/>
        <v>1296</v>
      </c>
      <c r="AR1299" s="1756" t="e">
        <f>0.5*(S18+2*AQ1299)*LN(1+2*AQ1299/S18)</f>
        <v>#VALUE!</v>
      </c>
    </row>
    <row r="1300" spans="42:44">
      <c r="AP1300" s="1756" t="e">
        <f>IF(OR(AR1300=S13,AR1300&gt;S13),AR1300,"")</f>
        <v>#VALUE!</v>
      </c>
      <c r="AQ1300" s="1759">
        <f t="shared" si="79"/>
        <v>1297</v>
      </c>
      <c r="AR1300" s="1756" t="e">
        <f>0.5*(S18+2*AQ1300)*LN(1+2*AQ1300/S18)</f>
        <v>#VALUE!</v>
      </c>
    </row>
    <row r="1301" spans="42:44">
      <c r="AP1301" s="1756" t="e">
        <f>IF(OR(AR1301=S13,AR1301&gt;S13),AR1301,"")</f>
        <v>#VALUE!</v>
      </c>
      <c r="AQ1301" s="1759">
        <f t="shared" si="79"/>
        <v>1298</v>
      </c>
      <c r="AR1301" s="1756" t="e">
        <f>0.5*(S18+2*AQ1301)*LN(1+2*AQ1301/S18)</f>
        <v>#VALUE!</v>
      </c>
    </row>
    <row r="1302" spans="42:44">
      <c r="AP1302" s="1756" t="e">
        <f>IF(OR(AR1302=S13,AR1302&gt;S13),AR1302,"")</f>
        <v>#VALUE!</v>
      </c>
      <c r="AQ1302" s="1759">
        <f t="shared" si="79"/>
        <v>1299</v>
      </c>
      <c r="AR1302" s="1756" t="e">
        <f>0.5*(S18+2*AQ1302)*LN(1+2*AQ1302/S18)</f>
        <v>#VALUE!</v>
      </c>
    </row>
    <row r="1303" spans="42:44">
      <c r="AP1303" s="1756" t="e">
        <f>IF(OR(AR1303=S13,AR1303&gt;S13),AR1303,"")</f>
        <v>#VALUE!</v>
      </c>
      <c r="AQ1303" s="1759">
        <f t="shared" si="79"/>
        <v>1300</v>
      </c>
      <c r="AR1303" s="1756" t="e">
        <f>0.5*(S18+2*AQ1303)*LN(1+2*AQ1303/S18)</f>
        <v>#VALUE!</v>
      </c>
    </row>
    <row r="1304" spans="42:44">
      <c r="AP1304" s="1756" t="e">
        <f>IF(OR(AR1304=S13,AR1304&gt;S13),AR1304,"")</f>
        <v>#VALUE!</v>
      </c>
      <c r="AQ1304" s="1759">
        <f t="shared" si="79"/>
        <v>1301</v>
      </c>
      <c r="AR1304" s="1756" t="e">
        <f>0.5*(S18+2*AQ1304)*LN(1+2*AQ1304/S18)</f>
        <v>#VALUE!</v>
      </c>
    </row>
    <row r="1305" spans="42:44">
      <c r="AP1305" s="1756" t="e">
        <f>IF(OR(AR1305=S13,AR1305&gt;S13),AR1305,"")</f>
        <v>#VALUE!</v>
      </c>
      <c r="AQ1305" s="1759">
        <f t="shared" si="79"/>
        <v>1302</v>
      </c>
      <c r="AR1305" s="1756" t="e">
        <f>0.5*(S18+2*AQ1305)*LN(1+2*AQ1305/S18)</f>
        <v>#VALUE!</v>
      </c>
    </row>
    <row r="1306" spans="42:44">
      <c r="AP1306" s="1756" t="e">
        <f>IF(OR(AR1306=S13,AR1306&gt;S13),AR1306,"")</f>
        <v>#VALUE!</v>
      </c>
      <c r="AQ1306" s="1759">
        <f t="shared" si="79"/>
        <v>1303</v>
      </c>
      <c r="AR1306" s="1756" t="e">
        <f>0.5*(S18+2*AQ1306)*LN(1+2*AQ1306/S18)</f>
        <v>#VALUE!</v>
      </c>
    </row>
    <row r="1307" spans="42:44">
      <c r="AP1307" s="1756" t="e">
        <f>IF(OR(AR1307=S13,AR1307&gt;S13),AR1307,"")</f>
        <v>#VALUE!</v>
      </c>
      <c r="AQ1307" s="1759">
        <f t="shared" si="79"/>
        <v>1304</v>
      </c>
      <c r="AR1307" s="1756" t="e">
        <f>0.5*(S18+2*AQ1307)*LN(1+2*AQ1307/S18)</f>
        <v>#VALUE!</v>
      </c>
    </row>
    <row r="1308" spans="42:44">
      <c r="AP1308" s="1756" t="e">
        <f>IF(OR(AR1308=S13,AR1308&gt;S13),AR1308,"")</f>
        <v>#VALUE!</v>
      </c>
      <c r="AQ1308" s="1759">
        <f t="shared" si="79"/>
        <v>1305</v>
      </c>
      <c r="AR1308" s="1756" t="e">
        <f>0.5*(S18+2*AQ1308)*LN(1+2*AQ1308/S18)</f>
        <v>#VALUE!</v>
      </c>
    </row>
    <row r="1309" spans="42:44">
      <c r="AP1309" s="1756" t="e">
        <f>IF(OR(AR1309=S13,AR1309&gt;S13),AR1309,"")</f>
        <v>#VALUE!</v>
      </c>
      <c r="AQ1309" s="1759">
        <f t="shared" si="79"/>
        <v>1306</v>
      </c>
      <c r="AR1309" s="1756" t="e">
        <f>0.5*(S18+2*AQ1309)*LN(1+2*AQ1309/S18)</f>
        <v>#VALUE!</v>
      </c>
    </row>
    <row r="1310" spans="42:44">
      <c r="AP1310" s="1756" t="e">
        <f>IF(OR(AR1310=S13,AR1310&gt;S13),AR1310,"")</f>
        <v>#VALUE!</v>
      </c>
      <c r="AQ1310" s="1759">
        <f t="shared" si="79"/>
        <v>1307</v>
      </c>
      <c r="AR1310" s="1756" t="e">
        <f>0.5*(S18+2*AQ1310)*LN(1+2*AQ1310/S18)</f>
        <v>#VALUE!</v>
      </c>
    </row>
    <row r="1311" spans="42:44">
      <c r="AP1311" s="1756" t="e">
        <f>IF(OR(AR1311=S13,AR1311&gt;S13),AR1311,"")</f>
        <v>#VALUE!</v>
      </c>
      <c r="AQ1311" s="1759">
        <f t="shared" si="79"/>
        <v>1308</v>
      </c>
      <c r="AR1311" s="1756" t="e">
        <f>0.5*(S18+2*AQ1311)*LN(1+2*AQ1311/S18)</f>
        <v>#VALUE!</v>
      </c>
    </row>
    <row r="1312" spans="42:44">
      <c r="AP1312" s="1756" t="e">
        <f>IF(OR(AR1312=S13,AR1312&gt;S13),AR1312,"")</f>
        <v>#VALUE!</v>
      </c>
      <c r="AQ1312" s="1759">
        <f t="shared" si="79"/>
        <v>1309</v>
      </c>
      <c r="AR1312" s="1756" t="e">
        <f>0.5*(S18+2*AQ1312)*LN(1+2*AQ1312/S18)</f>
        <v>#VALUE!</v>
      </c>
    </row>
    <row r="1313" spans="42:44">
      <c r="AP1313" s="1756" t="e">
        <f>IF(OR(AR1313=S13,AR1313&gt;S13),AR1313,"")</f>
        <v>#VALUE!</v>
      </c>
      <c r="AQ1313" s="1759">
        <f t="shared" si="79"/>
        <v>1310</v>
      </c>
      <c r="AR1313" s="1756" t="e">
        <f>0.5*(S18+2*AQ1313)*LN(1+2*AQ1313/S18)</f>
        <v>#VALUE!</v>
      </c>
    </row>
    <row r="1314" spans="42:44">
      <c r="AP1314" s="1756" t="e">
        <f>IF(OR(AR1314=S13,AR1314&gt;S13),AR1314,"")</f>
        <v>#VALUE!</v>
      </c>
      <c r="AQ1314" s="1759">
        <f t="shared" si="79"/>
        <v>1311</v>
      </c>
      <c r="AR1314" s="1756" t="e">
        <f>0.5*(S18+2*AQ1314)*LN(1+2*AQ1314/S18)</f>
        <v>#VALUE!</v>
      </c>
    </row>
    <row r="1315" spans="42:44">
      <c r="AP1315" s="1756" t="e">
        <f>IF(OR(AR1315=S13,AR1315&gt;S13),AR1315,"")</f>
        <v>#VALUE!</v>
      </c>
      <c r="AQ1315" s="1759">
        <f t="shared" si="79"/>
        <v>1312</v>
      </c>
      <c r="AR1315" s="1756" t="e">
        <f>0.5*(S18+2*AQ1315)*LN(1+2*AQ1315/S18)</f>
        <v>#VALUE!</v>
      </c>
    </row>
    <row r="1316" spans="42:44">
      <c r="AP1316" s="1756" t="e">
        <f>IF(OR(AR1316=S13,AR1316&gt;S13),AR1316,"")</f>
        <v>#VALUE!</v>
      </c>
      <c r="AQ1316" s="1759">
        <f t="shared" si="79"/>
        <v>1313</v>
      </c>
      <c r="AR1316" s="1756" t="e">
        <f>0.5*(S18+2*AQ1316)*LN(1+2*AQ1316/S18)</f>
        <v>#VALUE!</v>
      </c>
    </row>
    <row r="1317" spans="42:44">
      <c r="AP1317" s="1756" t="e">
        <f>IF(OR(AR1317=S13,AR1317&gt;S13),AR1317,"")</f>
        <v>#VALUE!</v>
      </c>
      <c r="AQ1317" s="1759">
        <f t="shared" si="79"/>
        <v>1314</v>
      </c>
      <c r="AR1317" s="1756" t="e">
        <f>0.5*(S18+2*AQ1317)*LN(1+2*AQ1317/S18)</f>
        <v>#VALUE!</v>
      </c>
    </row>
    <row r="1318" spans="42:44">
      <c r="AP1318" s="1756" t="e">
        <f>IF(OR(AR1318=S13,AR1318&gt;S13),AR1318,"")</f>
        <v>#VALUE!</v>
      </c>
      <c r="AQ1318" s="1759">
        <f t="shared" si="79"/>
        <v>1315</v>
      </c>
      <c r="AR1318" s="1756" t="e">
        <f>0.5*(S18+2*AQ1318)*LN(1+2*AQ1318/S18)</f>
        <v>#VALUE!</v>
      </c>
    </row>
    <row r="1319" spans="42:44">
      <c r="AP1319" s="1756" t="e">
        <f>IF(OR(AR1319=S13,AR1319&gt;S13),AR1319,"")</f>
        <v>#VALUE!</v>
      </c>
      <c r="AQ1319" s="1759">
        <f t="shared" si="79"/>
        <v>1316</v>
      </c>
      <c r="AR1319" s="1756" t="e">
        <f>0.5*(S18+2*AQ1319)*LN(1+2*AQ1319/S18)</f>
        <v>#VALUE!</v>
      </c>
    </row>
    <row r="1320" spans="42:44">
      <c r="AP1320" s="1756" t="e">
        <f>IF(OR(AR1320=S13,AR1320&gt;S13),AR1320,"")</f>
        <v>#VALUE!</v>
      </c>
      <c r="AQ1320" s="1759">
        <f t="shared" si="79"/>
        <v>1317</v>
      </c>
      <c r="AR1320" s="1756" t="e">
        <f>0.5*(S18+2*AQ1320)*LN(1+2*AQ1320/S18)</f>
        <v>#VALUE!</v>
      </c>
    </row>
    <row r="1321" spans="42:44">
      <c r="AP1321" s="1756" t="e">
        <f>IF(OR(AR1321=S13,AR1321&gt;S13),AR1321,"")</f>
        <v>#VALUE!</v>
      </c>
      <c r="AQ1321" s="1759">
        <f t="shared" si="79"/>
        <v>1318</v>
      </c>
      <c r="AR1321" s="1756" t="e">
        <f>0.5*(S18+2*AQ1321)*LN(1+2*AQ1321/S18)</f>
        <v>#VALUE!</v>
      </c>
    </row>
    <row r="1322" spans="42:44">
      <c r="AP1322" s="1756" t="e">
        <f>IF(OR(AR1322=S13,AR1322&gt;S13),AR1322,"")</f>
        <v>#VALUE!</v>
      </c>
      <c r="AQ1322" s="1759">
        <f t="shared" si="79"/>
        <v>1319</v>
      </c>
      <c r="AR1322" s="1756" t="e">
        <f>0.5*(S18+2*AQ1322)*LN(1+2*AQ1322/S18)</f>
        <v>#VALUE!</v>
      </c>
    </row>
    <row r="1323" spans="42:44">
      <c r="AP1323" s="1756" t="e">
        <f>IF(OR(AR1323=S13,AR1323&gt;S13),AR1323,"")</f>
        <v>#VALUE!</v>
      </c>
      <c r="AQ1323" s="1759">
        <f t="shared" si="79"/>
        <v>1320</v>
      </c>
      <c r="AR1323" s="1756" t="e">
        <f>0.5*(S18+2*AQ1323)*LN(1+2*AQ1323/S18)</f>
        <v>#VALUE!</v>
      </c>
    </row>
    <row r="1324" spans="42:44">
      <c r="AP1324" s="1756" t="e">
        <f>IF(OR(AR1324=S13,AR1324&gt;S13),AR1324,"")</f>
        <v>#VALUE!</v>
      </c>
      <c r="AQ1324" s="1759">
        <f t="shared" si="79"/>
        <v>1321</v>
      </c>
      <c r="AR1324" s="1756" t="e">
        <f>0.5*(S18+2*AQ1324)*LN(1+2*AQ1324/S18)</f>
        <v>#VALUE!</v>
      </c>
    </row>
    <row r="1325" spans="42:44">
      <c r="AP1325" s="1756" t="e">
        <f>IF(OR(AR1325=S13,AR1325&gt;S13),AR1325,"")</f>
        <v>#VALUE!</v>
      </c>
      <c r="AQ1325" s="1759">
        <f t="shared" si="79"/>
        <v>1322</v>
      </c>
      <c r="AR1325" s="1756" t="e">
        <f>0.5*(S18+2*AQ1325)*LN(1+2*AQ1325/S18)</f>
        <v>#VALUE!</v>
      </c>
    </row>
    <row r="1326" spans="42:44">
      <c r="AP1326" s="1756" t="e">
        <f>IF(OR(AR1326=S13,AR1326&gt;S13),AR1326,"")</f>
        <v>#VALUE!</v>
      </c>
      <c r="AQ1326" s="1759">
        <f t="shared" si="79"/>
        <v>1323</v>
      </c>
      <c r="AR1326" s="1756" t="e">
        <f>0.5*(S18+2*AQ1326)*LN(1+2*AQ1326/S18)</f>
        <v>#VALUE!</v>
      </c>
    </row>
    <row r="1327" spans="42:44">
      <c r="AP1327" s="1756" t="e">
        <f>IF(OR(AR1327=S13,AR1327&gt;S13),AR1327,"")</f>
        <v>#VALUE!</v>
      </c>
      <c r="AQ1327" s="1759">
        <f t="shared" si="79"/>
        <v>1324</v>
      </c>
      <c r="AR1327" s="1756" t="e">
        <f>0.5*(S18+2*AQ1327)*LN(1+2*AQ1327/S18)</f>
        <v>#VALUE!</v>
      </c>
    </row>
    <row r="1328" spans="42:44">
      <c r="AP1328" s="1756" t="e">
        <f>IF(OR(AR1328=S13,AR1328&gt;S13),AR1328,"")</f>
        <v>#VALUE!</v>
      </c>
      <c r="AQ1328" s="1759">
        <f t="shared" si="79"/>
        <v>1325</v>
      </c>
      <c r="AR1328" s="1756" t="e">
        <f>0.5*(S18+2*AQ1328)*LN(1+2*AQ1328/S18)</f>
        <v>#VALUE!</v>
      </c>
    </row>
    <row r="1329" spans="42:44">
      <c r="AP1329" s="1756" t="e">
        <f>IF(OR(AR1329=S13,AR1329&gt;S13),AR1329,"")</f>
        <v>#VALUE!</v>
      </c>
      <c r="AQ1329" s="1759">
        <f t="shared" si="79"/>
        <v>1326</v>
      </c>
      <c r="AR1329" s="1756" t="e">
        <f>0.5*(S18+2*AQ1329)*LN(1+2*AQ1329/S18)</f>
        <v>#VALUE!</v>
      </c>
    </row>
    <row r="1330" spans="42:44">
      <c r="AP1330" s="1756" t="e">
        <f>IF(OR(AR1330=S13,AR1330&gt;S13),AR1330,"")</f>
        <v>#VALUE!</v>
      </c>
      <c r="AQ1330" s="1759">
        <f t="shared" si="79"/>
        <v>1327</v>
      </c>
      <c r="AR1330" s="1756" t="e">
        <f>0.5*(S18+2*AQ1330)*LN(1+2*AQ1330/S18)</f>
        <v>#VALUE!</v>
      </c>
    </row>
    <row r="1331" spans="42:44">
      <c r="AP1331" s="1756" t="e">
        <f>IF(OR(AR1331=S13,AR1331&gt;S13),AR1331,"")</f>
        <v>#VALUE!</v>
      </c>
      <c r="AQ1331" s="1759">
        <f t="shared" si="79"/>
        <v>1328</v>
      </c>
      <c r="AR1331" s="1756" t="e">
        <f>0.5*(S18+2*AQ1331)*LN(1+2*AQ1331/S18)</f>
        <v>#VALUE!</v>
      </c>
    </row>
    <row r="1332" spans="42:44">
      <c r="AP1332" s="1756" t="e">
        <f>IF(OR(AR1332=S13,AR1332&gt;S13),AR1332,"")</f>
        <v>#VALUE!</v>
      </c>
      <c r="AQ1332" s="1759">
        <f t="shared" si="79"/>
        <v>1329</v>
      </c>
      <c r="AR1332" s="1756" t="e">
        <f>0.5*(S18+2*AQ1332)*LN(1+2*AQ1332/S18)</f>
        <v>#VALUE!</v>
      </c>
    </row>
    <row r="1333" spans="42:44">
      <c r="AP1333" s="1756" t="e">
        <f>IF(OR(AR1333=S13,AR1333&gt;S13),AR1333,"")</f>
        <v>#VALUE!</v>
      </c>
      <c r="AQ1333" s="1759">
        <f t="shared" si="79"/>
        <v>1330</v>
      </c>
      <c r="AR1333" s="1756" t="e">
        <f>0.5*(S18+2*AQ1333)*LN(1+2*AQ1333/S18)</f>
        <v>#VALUE!</v>
      </c>
    </row>
    <row r="1334" spans="42:44">
      <c r="AP1334" s="1756" t="e">
        <f>IF(OR(AR1334=S13,AR1334&gt;S13),AR1334,"")</f>
        <v>#VALUE!</v>
      </c>
      <c r="AQ1334" s="1759">
        <f t="shared" si="79"/>
        <v>1331</v>
      </c>
      <c r="AR1334" s="1756" t="e">
        <f>0.5*(S18+2*AQ1334)*LN(1+2*AQ1334/S18)</f>
        <v>#VALUE!</v>
      </c>
    </row>
    <row r="1335" spans="42:44">
      <c r="AP1335" s="1756" t="e">
        <f>IF(OR(AR1335=S13,AR1335&gt;S13),AR1335,"")</f>
        <v>#VALUE!</v>
      </c>
      <c r="AQ1335" s="1759">
        <f t="shared" si="79"/>
        <v>1332</v>
      </c>
      <c r="AR1335" s="1756" t="e">
        <f>0.5*(S18+2*AQ1335)*LN(1+2*AQ1335/S18)</f>
        <v>#VALUE!</v>
      </c>
    </row>
    <row r="1336" spans="42:44">
      <c r="AP1336" s="1756" t="e">
        <f>IF(OR(AR1336=S13,AR1336&gt;S13),AR1336,"")</f>
        <v>#VALUE!</v>
      </c>
      <c r="AQ1336" s="1759">
        <f t="shared" si="79"/>
        <v>1333</v>
      </c>
      <c r="AR1336" s="1756" t="e">
        <f>0.5*(S18+2*AQ1336)*LN(1+2*AQ1336/S18)</f>
        <v>#VALUE!</v>
      </c>
    </row>
    <row r="1337" spans="42:44">
      <c r="AP1337" s="1756" t="e">
        <f>IF(OR(AR1337=S13,AR1337&gt;S13),AR1337,"")</f>
        <v>#VALUE!</v>
      </c>
      <c r="AQ1337" s="1759">
        <f t="shared" si="79"/>
        <v>1334</v>
      </c>
      <c r="AR1337" s="1756" t="e">
        <f>0.5*(S18+2*AQ1337)*LN(1+2*AQ1337/S18)</f>
        <v>#VALUE!</v>
      </c>
    </row>
    <row r="1338" spans="42:44">
      <c r="AP1338" s="1756" t="e">
        <f>IF(OR(AR1338=S13,AR1338&gt;S13),AR1338,"")</f>
        <v>#VALUE!</v>
      </c>
      <c r="AQ1338" s="1759">
        <f t="shared" si="79"/>
        <v>1335</v>
      </c>
      <c r="AR1338" s="1756" t="e">
        <f>0.5*(S18+2*AQ1338)*LN(1+2*AQ1338/S18)</f>
        <v>#VALUE!</v>
      </c>
    </row>
    <row r="1339" spans="42:44">
      <c r="AP1339" s="1756" t="e">
        <f>IF(OR(AR1339=S13,AR1339&gt;S13),AR1339,"")</f>
        <v>#VALUE!</v>
      </c>
      <c r="AQ1339" s="1759">
        <f t="shared" si="79"/>
        <v>1336</v>
      </c>
      <c r="AR1339" s="1756" t="e">
        <f>0.5*(S18+2*AQ1339)*LN(1+2*AQ1339/S18)</f>
        <v>#VALUE!</v>
      </c>
    </row>
    <row r="1340" spans="42:44">
      <c r="AP1340" s="1756" t="e">
        <f>IF(OR(AR1340=S13,AR1340&gt;S13),AR1340,"")</f>
        <v>#VALUE!</v>
      </c>
      <c r="AQ1340" s="1759">
        <f t="shared" si="79"/>
        <v>1337</v>
      </c>
      <c r="AR1340" s="1756" t="e">
        <f>0.5*(S18+2*AQ1340)*LN(1+2*AQ1340/S18)</f>
        <v>#VALUE!</v>
      </c>
    </row>
    <row r="1341" spans="42:44">
      <c r="AP1341" s="1756" t="e">
        <f>IF(OR(AR1341=S13,AR1341&gt;S13),AR1341,"")</f>
        <v>#VALUE!</v>
      </c>
      <c r="AQ1341" s="1759">
        <f t="shared" si="79"/>
        <v>1338</v>
      </c>
      <c r="AR1341" s="1756" t="e">
        <f>0.5*(S18+2*AQ1341)*LN(1+2*AQ1341/S18)</f>
        <v>#VALUE!</v>
      </c>
    </row>
    <row r="1342" spans="42:44">
      <c r="AP1342" s="1756" t="e">
        <f>IF(OR(AR1342=S13,AR1342&gt;S13),AR1342,"")</f>
        <v>#VALUE!</v>
      </c>
      <c r="AQ1342" s="1759">
        <f t="shared" si="79"/>
        <v>1339</v>
      </c>
      <c r="AR1342" s="1756" t="e">
        <f>0.5*(S18+2*AQ1342)*LN(1+2*AQ1342/S18)</f>
        <v>#VALUE!</v>
      </c>
    </row>
    <row r="1343" spans="42:44">
      <c r="AP1343" s="1756" t="e">
        <f>IF(OR(AR1343=S13,AR1343&gt;S13),AR1343,"")</f>
        <v>#VALUE!</v>
      </c>
      <c r="AQ1343" s="1759">
        <f t="shared" si="79"/>
        <v>1340</v>
      </c>
      <c r="AR1343" s="1756" t="e">
        <f>0.5*(S18+2*AQ1343)*LN(1+2*AQ1343/S18)</f>
        <v>#VALUE!</v>
      </c>
    </row>
    <row r="1344" spans="42:44">
      <c r="AP1344" s="1756" t="e">
        <f>IF(OR(AR1344=S13,AR1344&gt;S13),AR1344,"")</f>
        <v>#VALUE!</v>
      </c>
      <c r="AQ1344" s="1759">
        <f t="shared" si="79"/>
        <v>1341</v>
      </c>
      <c r="AR1344" s="1756" t="e">
        <f>0.5*(S18+2*AQ1344)*LN(1+2*AQ1344/S18)</f>
        <v>#VALUE!</v>
      </c>
    </row>
    <row r="1345" spans="42:44">
      <c r="AP1345" s="1756" t="e">
        <f>IF(OR(AR1345=S13,AR1345&gt;S13),AR1345,"")</f>
        <v>#VALUE!</v>
      </c>
      <c r="AQ1345" s="1759">
        <f t="shared" si="79"/>
        <v>1342</v>
      </c>
      <c r="AR1345" s="1756" t="e">
        <f>0.5*(S18+2*AQ1345)*LN(1+2*AQ1345/S18)</f>
        <v>#VALUE!</v>
      </c>
    </row>
    <row r="1346" spans="42:44">
      <c r="AP1346" s="1756" t="e">
        <f>IF(OR(AR1346=S13,AR1346&gt;S13),AR1346,"")</f>
        <v>#VALUE!</v>
      </c>
      <c r="AQ1346" s="1759">
        <f t="shared" si="79"/>
        <v>1343</v>
      </c>
      <c r="AR1346" s="1756" t="e">
        <f>0.5*(S18+2*AQ1346)*LN(1+2*AQ1346/S18)</f>
        <v>#VALUE!</v>
      </c>
    </row>
    <row r="1347" spans="42:44">
      <c r="AP1347" s="1756" t="e">
        <f>IF(OR(AR1347=S13,AR1347&gt;S13),AR1347,"")</f>
        <v>#VALUE!</v>
      </c>
      <c r="AQ1347" s="1759">
        <f t="shared" si="79"/>
        <v>1344</v>
      </c>
      <c r="AR1347" s="1756" t="e">
        <f>0.5*(S18+2*AQ1347)*LN(1+2*AQ1347/S18)</f>
        <v>#VALUE!</v>
      </c>
    </row>
    <row r="1348" spans="42:44">
      <c r="AP1348" s="1756" t="e">
        <f>IF(OR(AR1348=S13,AR1348&gt;S13),AR1348,"")</f>
        <v>#VALUE!</v>
      </c>
      <c r="AQ1348" s="1759">
        <f t="shared" si="79"/>
        <v>1345</v>
      </c>
      <c r="AR1348" s="1756" t="e">
        <f>0.5*(S18+2*AQ1348)*LN(1+2*AQ1348/S18)</f>
        <v>#VALUE!</v>
      </c>
    </row>
    <row r="1349" spans="42:44">
      <c r="AP1349" s="1756" t="e">
        <f>IF(OR(AR1349=S13,AR1349&gt;S13),AR1349,"")</f>
        <v>#VALUE!</v>
      </c>
      <c r="AQ1349" s="1759">
        <f t="shared" si="79"/>
        <v>1346</v>
      </c>
      <c r="AR1349" s="1756" t="e">
        <f>0.5*(S18+2*AQ1349)*LN(1+2*AQ1349/S18)</f>
        <v>#VALUE!</v>
      </c>
    </row>
    <row r="1350" spans="42:44">
      <c r="AP1350" s="1756" t="e">
        <f>IF(OR(AR1350=S13,AR1350&gt;S13),AR1350,"")</f>
        <v>#VALUE!</v>
      </c>
      <c r="AQ1350" s="1759">
        <f t="shared" ref="AQ1350:AQ1413" si="80">AQ1349+1</f>
        <v>1347</v>
      </c>
      <c r="AR1350" s="1756" t="e">
        <f>0.5*(S18+2*AQ1350)*LN(1+2*AQ1350/S18)</f>
        <v>#VALUE!</v>
      </c>
    </row>
    <row r="1351" spans="42:44">
      <c r="AP1351" s="1756" t="e">
        <f>IF(OR(AR1351=S13,AR1351&gt;S13),AR1351,"")</f>
        <v>#VALUE!</v>
      </c>
      <c r="AQ1351" s="1759">
        <f t="shared" si="80"/>
        <v>1348</v>
      </c>
      <c r="AR1351" s="1756" t="e">
        <f>0.5*(S18+2*AQ1351)*LN(1+2*AQ1351/S18)</f>
        <v>#VALUE!</v>
      </c>
    </row>
    <row r="1352" spans="42:44">
      <c r="AP1352" s="1756" t="e">
        <f>IF(OR(AR1352=S13,AR1352&gt;S13),AR1352,"")</f>
        <v>#VALUE!</v>
      </c>
      <c r="AQ1352" s="1759">
        <f t="shared" si="80"/>
        <v>1349</v>
      </c>
      <c r="AR1352" s="1756" t="e">
        <f>0.5*(S18+2*AQ1352)*LN(1+2*AQ1352/S18)</f>
        <v>#VALUE!</v>
      </c>
    </row>
    <row r="1353" spans="42:44">
      <c r="AP1353" s="1756" t="e">
        <f>IF(OR(AR1353=S13,AR1353&gt;S13),AR1353,"")</f>
        <v>#VALUE!</v>
      </c>
      <c r="AQ1353" s="1759">
        <f t="shared" si="80"/>
        <v>1350</v>
      </c>
      <c r="AR1353" s="1756" t="e">
        <f>0.5*(S18+2*AQ1353)*LN(1+2*AQ1353/S18)</f>
        <v>#VALUE!</v>
      </c>
    </row>
    <row r="1354" spans="42:44">
      <c r="AP1354" s="1756" t="e">
        <f>IF(OR(AR1354=S13,AR1354&gt;S13),AR1354,"")</f>
        <v>#VALUE!</v>
      </c>
      <c r="AQ1354" s="1759">
        <f t="shared" si="80"/>
        <v>1351</v>
      </c>
      <c r="AR1354" s="1756" t="e">
        <f>0.5*(S18+2*AQ1354)*LN(1+2*AQ1354/S18)</f>
        <v>#VALUE!</v>
      </c>
    </row>
    <row r="1355" spans="42:44">
      <c r="AP1355" s="1756" t="e">
        <f>IF(OR(AR1355=S13,AR1355&gt;S13),AR1355,"")</f>
        <v>#VALUE!</v>
      </c>
      <c r="AQ1355" s="1759">
        <f t="shared" si="80"/>
        <v>1352</v>
      </c>
      <c r="AR1355" s="1756" t="e">
        <f>0.5*(S18+2*AQ1355)*LN(1+2*AQ1355/S18)</f>
        <v>#VALUE!</v>
      </c>
    </row>
    <row r="1356" spans="42:44">
      <c r="AP1356" s="1756" t="e">
        <f>IF(OR(AR1356=S13,AR1356&gt;S13),AR1356,"")</f>
        <v>#VALUE!</v>
      </c>
      <c r="AQ1356" s="1759">
        <f t="shared" si="80"/>
        <v>1353</v>
      </c>
      <c r="AR1356" s="1756" t="e">
        <f>0.5*(S18+2*AQ1356)*LN(1+2*AQ1356/S18)</f>
        <v>#VALUE!</v>
      </c>
    </row>
    <row r="1357" spans="42:44">
      <c r="AP1357" s="1756" t="e">
        <f>IF(OR(AR1357=S13,AR1357&gt;S13),AR1357,"")</f>
        <v>#VALUE!</v>
      </c>
      <c r="AQ1357" s="1759">
        <f t="shared" si="80"/>
        <v>1354</v>
      </c>
      <c r="AR1357" s="1756" t="e">
        <f>0.5*(S18+2*AQ1357)*LN(1+2*AQ1357/S18)</f>
        <v>#VALUE!</v>
      </c>
    </row>
    <row r="1358" spans="42:44">
      <c r="AP1358" s="1756" t="e">
        <f>IF(OR(AR1358=S13,AR1358&gt;S13),AR1358,"")</f>
        <v>#VALUE!</v>
      </c>
      <c r="AQ1358" s="1759">
        <f t="shared" si="80"/>
        <v>1355</v>
      </c>
      <c r="AR1358" s="1756" t="e">
        <f>0.5*(S18+2*AQ1358)*LN(1+2*AQ1358/S18)</f>
        <v>#VALUE!</v>
      </c>
    </row>
    <row r="1359" spans="42:44">
      <c r="AP1359" s="1756" t="e">
        <f>IF(OR(AR1359=S13,AR1359&gt;S13),AR1359,"")</f>
        <v>#VALUE!</v>
      </c>
      <c r="AQ1359" s="1759">
        <f t="shared" si="80"/>
        <v>1356</v>
      </c>
      <c r="AR1359" s="1756" t="e">
        <f>0.5*(S18+2*AQ1359)*LN(1+2*AQ1359/S18)</f>
        <v>#VALUE!</v>
      </c>
    </row>
    <row r="1360" spans="42:44">
      <c r="AP1360" s="1756" t="e">
        <f>IF(OR(AR1360=S13,AR1360&gt;S13),AR1360,"")</f>
        <v>#VALUE!</v>
      </c>
      <c r="AQ1360" s="1759">
        <f t="shared" si="80"/>
        <v>1357</v>
      </c>
      <c r="AR1360" s="1756" t="e">
        <f>0.5*(S18+2*AQ1360)*LN(1+2*AQ1360/S18)</f>
        <v>#VALUE!</v>
      </c>
    </row>
    <row r="1361" spans="42:44">
      <c r="AP1361" s="1756" t="e">
        <f>IF(OR(AR1361=S13,AR1361&gt;S13),AR1361,"")</f>
        <v>#VALUE!</v>
      </c>
      <c r="AQ1361" s="1759">
        <f t="shared" si="80"/>
        <v>1358</v>
      </c>
      <c r="AR1361" s="1756" t="e">
        <f>0.5*(S18+2*AQ1361)*LN(1+2*AQ1361/S18)</f>
        <v>#VALUE!</v>
      </c>
    </row>
    <row r="1362" spans="42:44">
      <c r="AP1362" s="1756" t="e">
        <f>IF(OR(AR1362=S13,AR1362&gt;S13),AR1362,"")</f>
        <v>#VALUE!</v>
      </c>
      <c r="AQ1362" s="1759">
        <f t="shared" si="80"/>
        <v>1359</v>
      </c>
      <c r="AR1362" s="1756" t="e">
        <f>0.5*(S18+2*AQ1362)*LN(1+2*AQ1362/S18)</f>
        <v>#VALUE!</v>
      </c>
    </row>
    <row r="1363" spans="42:44">
      <c r="AP1363" s="1756" t="e">
        <f>IF(OR(AR1363=S13,AR1363&gt;S13),AR1363,"")</f>
        <v>#VALUE!</v>
      </c>
      <c r="AQ1363" s="1759">
        <f t="shared" si="80"/>
        <v>1360</v>
      </c>
      <c r="AR1363" s="1756" t="e">
        <f>0.5*(S18+2*AQ1363)*LN(1+2*AQ1363/S18)</f>
        <v>#VALUE!</v>
      </c>
    </row>
    <row r="1364" spans="42:44">
      <c r="AP1364" s="1756" t="e">
        <f>IF(OR(AR1364=S13,AR1364&gt;S13),AR1364,"")</f>
        <v>#VALUE!</v>
      </c>
      <c r="AQ1364" s="1759">
        <f t="shared" si="80"/>
        <v>1361</v>
      </c>
      <c r="AR1364" s="1756" t="e">
        <f>0.5*(S18+2*AQ1364)*LN(1+2*AQ1364/S18)</f>
        <v>#VALUE!</v>
      </c>
    </row>
    <row r="1365" spans="42:44">
      <c r="AP1365" s="1756" t="e">
        <f>IF(OR(AR1365=S13,AR1365&gt;S13),AR1365,"")</f>
        <v>#VALUE!</v>
      </c>
      <c r="AQ1365" s="1759">
        <f t="shared" si="80"/>
        <v>1362</v>
      </c>
      <c r="AR1365" s="1756" t="e">
        <f>0.5*(S18+2*AQ1365)*LN(1+2*AQ1365/S18)</f>
        <v>#VALUE!</v>
      </c>
    </row>
    <row r="1366" spans="42:44">
      <c r="AP1366" s="1756" t="e">
        <f>IF(OR(AR1366=S13,AR1366&gt;S13),AR1366,"")</f>
        <v>#VALUE!</v>
      </c>
      <c r="AQ1366" s="1759">
        <f t="shared" si="80"/>
        <v>1363</v>
      </c>
      <c r="AR1366" s="1756" t="e">
        <f>0.5*(S18+2*AQ1366)*LN(1+2*AQ1366/S18)</f>
        <v>#VALUE!</v>
      </c>
    </row>
    <row r="1367" spans="42:44">
      <c r="AP1367" s="1756" t="e">
        <f>IF(OR(AR1367=S13,AR1367&gt;S13),AR1367,"")</f>
        <v>#VALUE!</v>
      </c>
      <c r="AQ1367" s="1759">
        <f t="shared" si="80"/>
        <v>1364</v>
      </c>
      <c r="AR1367" s="1756" t="e">
        <f>0.5*(S18+2*AQ1367)*LN(1+2*AQ1367/S18)</f>
        <v>#VALUE!</v>
      </c>
    </row>
    <row r="1368" spans="42:44">
      <c r="AP1368" s="1756" t="e">
        <f>IF(OR(AR1368=S13,AR1368&gt;S13),AR1368,"")</f>
        <v>#VALUE!</v>
      </c>
      <c r="AQ1368" s="1759">
        <f t="shared" si="80"/>
        <v>1365</v>
      </c>
      <c r="AR1368" s="1756" t="e">
        <f>0.5*(S18+2*AQ1368)*LN(1+2*AQ1368/S18)</f>
        <v>#VALUE!</v>
      </c>
    </row>
    <row r="1369" spans="42:44">
      <c r="AP1369" s="1756" t="e">
        <f>IF(OR(AR1369=S13,AR1369&gt;S13),AR1369,"")</f>
        <v>#VALUE!</v>
      </c>
      <c r="AQ1369" s="1759">
        <f t="shared" si="80"/>
        <v>1366</v>
      </c>
      <c r="AR1369" s="1756" t="e">
        <f>0.5*(S18+2*AQ1369)*LN(1+2*AQ1369/S18)</f>
        <v>#VALUE!</v>
      </c>
    </row>
    <row r="1370" spans="42:44">
      <c r="AP1370" s="1756" t="e">
        <f>IF(OR(AR1370=S13,AR1370&gt;S13),AR1370,"")</f>
        <v>#VALUE!</v>
      </c>
      <c r="AQ1370" s="1759">
        <f t="shared" si="80"/>
        <v>1367</v>
      </c>
      <c r="AR1370" s="1756" t="e">
        <f>0.5*(S18+2*AQ1370)*LN(1+2*AQ1370/S18)</f>
        <v>#VALUE!</v>
      </c>
    </row>
    <row r="1371" spans="42:44">
      <c r="AP1371" s="1756" t="e">
        <f>IF(OR(AR1371=S13,AR1371&gt;S13),AR1371,"")</f>
        <v>#VALUE!</v>
      </c>
      <c r="AQ1371" s="1759">
        <f t="shared" si="80"/>
        <v>1368</v>
      </c>
      <c r="AR1371" s="1756" t="e">
        <f>0.5*(S18+2*AQ1371)*LN(1+2*AQ1371/S18)</f>
        <v>#VALUE!</v>
      </c>
    </row>
    <row r="1372" spans="42:44">
      <c r="AP1372" s="1756" t="e">
        <f>IF(OR(AR1372=S13,AR1372&gt;S13),AR1372,"")</f>
        <v>#VALUE!</v>
      </c>
      <c r="AQ1372" s="1759">
        <f t="shared" si="80"/>
        <v>1369</v>
      </c>
      <c r="AR1372" s="1756" t="e">
        <f>0.5*(S18+2*AQ1372)*LN(1+2*AQ1372/S18)</f>
        <v>#VALUE!</v>
      </c>
    </row>
    <row r="1373" spans="42:44">
      <c r="AP1373" s="1756" t="e">
        <f>IF(OR(AR1373=S13,AR1373&gt;S13),AR1373,"")</f>
        <v>#VALUE!</v>
      </c>
      <c r="AQ1373" s="1759">
        <f t="shared" si="80"/>
        <v>1370</v>
      </c>
      <c r="AR1373" s="1756" t="e">
        <f>0.5*(S18+2*AQ1373)*LN(1+2*AQ1373/S18)</f>
        <v>#VALUE!</v>
      </c>
    </row>
    <row r="1374" spans="42:44">
      <c r="AP1374" s="1756" t="e">
        <f>IF(OR(AR1374=S13,AR1374&gt;S13),AR1374,"")</f>
        <v>#VALUE!</v>
      </c>
      <c r="AQ1374" s="1759">
        <f t="shared" si="80"/>
        <v>1371</v>
      </c>
      <c r="AR1374" s="1756" t="e">
        <f>0.5*(S18+2*AQ1374)*LN(1+2*AQ1374/S18)</f>
        <v>#VALUE!</v>
      </c>
    </row>
    <row r="1375" spans="42:44">
      <c r="AP1375" s="1756" t="e">
        <f>IF(OR(AR1375=S13,AR1375&gt;S13),AR1375,"")</f>
        <v>#VALUE!</v>
      </c>
      <c r="AQ1375" s="1759">
        <f t="shared" si="80"/>
        <v>1372</v>
      </c>
      <c r="AR1375" s="1756" t="e">
        <f>0.5*(S18+2*AQ1375)*LN(1+2*AQ1375/S18)</f>
        <v>#VALUE!</v>
      </c>
    </row>
    <row r="1376" spans="42:44">
      <c r="AP1376" s="1756" t="e">
        <f>IF(OR(AR1376=S13,AR1376&gt;S13),AR1376,"")</f>
        <v>#VALUE!</v>
      </c>
      <c r="AQ1376" s="1759">
        <f t="shared" si="80"/>
        <v>1373</v>
      </c>
      <c r="AR1376" s="1756" t="e">
        <f>0.5*(S18+2*AQ1376)*LN(1+2*AQ1376/S18)</f>
        <v>#VALUE!</v>
      </c>
    </row>
    <row r="1377" spans="42:44">
      <c r="AP1377" s="1756" t="e">
        <f>IF(OR(AR1377=S13,AR1377&gt;S13),AR1377,"")</f>
        <v>#VALUE!</v>
      </c>
      <c r="AQ1377" s="1759">
        <f t="shared" si="80"/>
        <v>1374</v>
      </c>
      <c r="AR1377" s="1756" t="e">
        <f>0.5*(S18+2*AQ1377)*LN(1+2*AQ1377/S18)</f>
        <v>#VALUE!</v>
      </c>
    </row>
    <row r="1378" spans="42:44">
      <c r="AP1378" s="1756" t="e">
        <f>IF(OR(AR1378=S13,AR1378&gt;S13),AR1378,"")</f>
        <v>#VALUE!</v>
      </c>
      <c r="AQ1378" s="1759">
        <f t="shared" si="80"/>
        <v>1375</v>
      </c>
      <c r="AR1378" s="1756" t="e">
        <f>0.5*(S18+2*AQ1378)*LN(1+2*AQ1378/S18)</f>
        <v>#VALUE!</v>
      </c>
    </row>
    <row r="1379" spans="42:44">
      <c r="AP1379" s="1756" t="e">
        <f>IF(OR(AR1379=S13,AR1379&gt;S13),AR1379,"")</f>
        <v>#VALUE!</v>
      </c>
      <c r="AQ1379" s="1759">
        <f t="shared" si="80"/>
        <v>1376</v>
      </c>
      <c r="AR1379" s="1756" t="e">
        <f>0.5*(S18+2*AQ1379)*LN(1+2*AQ1379/S18)</f>
        <v>#VALUE!</v>
      </c>
    </row>
    <row r="1380" spans="42:44">
      <c r="AP1380" s="1756" t="e">
        <f>IF(OR(AR1380=S13,AR1380&gt;S13),AR1380,"")</f>
        <v>#VALUE!</v>
      </c>
      <c r="AQ1380" s="1759">
        <f t="shared" si="80"/>
        <v>1377</v>
      </c>
      <c r="AR1380" s="1756" t="e">
        <f>0.5*(S18+2*AQ1380)*LN(1+2*AQ1380/S18)</f>
        <v>#VALUE!</v>
      </c>
    </row>
    <row r="1381" spans="42:44">
      <c r="AP1381" s="1756" t="e">
        <f>IF(OR(AR1381=S13,AR1381&gt;S13),AR1381,"")</f>
        <v>#VALUE!</v>
      </c>
      <c r="AQ1381" s="1759">
        <f t="shared" si="80"/>
        <v>1378</v>
      </c>
      <c r="AR1381" s="1756" t="e">
        <f>0.5*(S18+2*AQ1381)*LN(1+2*AQ1381/S18)</f>
        <v>#VALUE!</v>
      </c>
    </row>
    <row r="1382" spans="42:44">
      <c r="AP1382" s="1756" t="e">
        <f>IF(OR(AR1382=S13,AR1382&gt;S13),AR1382,"")</f>
        <v>#VALUE!</v>
      </c>
      <c r="AQ1382" s="1759">
        <f t="shared" si="80"/>
        <v>1379</v>
      </c>
      <c r="AR1382" s="1756" t="e">
        <f>0.5*(S18+2*AQ1382)*LN(1+2*AQ1382/S18)</f>
        <v>#VALUE!</v>
      </c>
    </row>
    <row r="1383" spans="42:44">
      <c r="AP1383" s="1756" t="e">
        <f>IF(OR(AR1383=S13,AR1383&gt;S13),AR1383,"")</f>
        <v>#VALUE!</v>
      </c>
      <c r="AQ1383" s="1759">
        <f t="shared" si="80"/>
        <v>1380</v>
      </c>
      <c r="AR1383" s="1756" t="e">
        <f>0.5*(S18+2*AQ1383)*LN(1+2*AQ1383/S18)</f>
        <v>#VALUE!</v>
      </c>
    </row>
    <row r="1384" spans="42:44">
      <c r="AP1384" s="1756" t="e">
        <f>IF(OR(AR1384=S13,AR1384&gt;S13),AR1384,"")</f>
        <v>#VALUE!</v>
      </c>
      <c r="AQ1384" s="1759">
        <f t="shared" si="80"/>
        <v>1381</v>
      </c>
      <c r="AR1384" s="1756" t="e">
        <f>0.5*(S18+2*AQ1384)*LN(1+2*AQ1384/S18)</f>
        <v>#VALUE!</v>
      </c>
    </row>
    <row r="1385" spans="42:44">
      <c r="AP1385" s="1756" t="e">
        <f>IF(OR(AR1385=S13,AR1385&gt;S13),AR1385,"")</f>
        <v>#VALUE!</v>
      </c>
      <c r="AQ1385" s="1759">
        <f t="shared" si="80"/>
        <v>1382</v>
      </c>
      <c r="AR1385" s="1756" t="e">
        <f>0.5*(S18+2*AQ1385)*LN(1+2*AQ1385/S18)</f>
        <v>#VALUE!</v>
      </c>
    </row>
    <row r="1386" spans="42:44">
      <c r="AP1386" s="1756" t="e">
        <f>IF(OR(AR1386=S13,AR1386&gt;S13),AR1386,"")</f>
        <v>#VALUE!</v>
      </c>
      <c r="AQ1386" s="1759">
        <f t="shared" si="80"/>
        <v>1383</v>
      </c>
      <c r="AR1386" s="1756" t="e">
        <f>0.5*(S18+2*AQ1386)*LN(1+2*AQ1386/S18)</f>
        <v>#VALUE!</v>
      </c>
    </row>
    <row r="1387" spans="42:44">
      <c r="AP1387" s="1756" t="e">
        <f>IF(OR(AR1387=S13,AR1387&gt;S13),AR1387,"")</f>
        <v>#VALUE!</v>
      </c>
      <c r="AQ1387" s="1759">
        <f t="shared" si="80"/>
        <v>1384</v>
      </c>
      <c r="AR1387" s="1756" t="e">
        <f>0.5*(S18+2*AQ1387)*LN(1+2*AQ1387/S18)</f>
        <v>#VALUE!</v>
      </c>
    </row>
    <row r="1388" spans="42:44">
      <c r="AP1388" s="1756" t="e">
        <f>IF(OR(AR1388=S13,AR1388&gt;S13),AR1388,"")</f>
        <v>#VALUE!</v>
      </c>
      <c r="AQ1388" s="1759">
        <f t="shared" si="80"/>
        <v>1385</v>
      </c>
      <c r="AR1388" s="1756" t="e">
        <f>0.5*(S18+2*AQ1388)*LN(1+2*AQ1388/S18)</f>
        <v>#VALUE!</v>
      </c>
    </row>
    <row r="1389" spans="42:44">
      <c r="AP1389" s="1756" t="e">
        <f>IF(OR(AR1389=S13,AR1389&gt;S13),AR1389,"")</f>
        <v>#VALUE!</v>
      </c>
      <c r="AQ1389" s="1759">
        <f t="shared" si="80"/>
        <v>1386</v>
      </c>
      <c r="AR1389" s="1756" t="e">
        <f>0.5*(S18+2*AQ1389)*LN(1+2*AQ1389/S18)</f>
        <v>#VALUE!</v>
      </c>
    </row>
    <row r="1390" spans="42:44">
      <c r="AP1390" s="1756" t="e">
        <f>IF(OR(AR1390=S13,AR1390&gt;S13),AR1390,"")</f>
        <v>#VALUE!</v>
      </c>
      <c r="AQ1390" s="1759">
        <f t="shared" si="80"/>
        <v>1387</v>
      </c>
      <c r="AR1390" s="1756" t="e">
        <f>0.5*(S18+2*AQ1390)*LN(1+2*AQ1390/S18)</f>
        <v>#VALUE!</v>
      </c>
    </row>
    <row r="1391" spans="42:44">
      <c r="AP1391" s="1756" t="e">
        <f>IF(OR(AR1391=S13,AR1391&gt;S13),AR1391,"")</f>
        <v>#VALUE!</v>
      </c>
      <c r="AQ1391" s="1759">
        <f t="shared" si="80"/>
        <v>1388</v>
      </c>
      <c r="AR1391" s="1756" t="e">
        <f>0.5*(S18+2*AQ1391)*LN(1+2*AQ1391/S18)</f>
        <v>#VALUE!</v>
      </c>
    </row>
    <row r="1392" spans="42:44">
      <c r="AP1392" s="1756" t="e">
        <f>IF(OR(AR1392=S13,AR1392&gt;S13),AR1392,"")</f>
        <v>#VALUE!</v>
      </c>
      <c r="AQ1392" s="1759">
        <f t="shared" si="80"/>
        <v>1389</v>
      </c>
      <c r="AR1392" s="1756" t="e">
        <f>0.5*(S18+2*AQ1392)*LN(1+2*AQ1392/S18)</f>
        <v>#VALUE!</v>
      </c>
    </row>
    <row r="1393" spans="42:44">
      <c r="AP1393" s="1756" t="e">
        <f>IF(OR(AR1393=S13,AR1393&gt;S13),AR1393,"")</f>
        <v>#VALUE!</v>
      </c>
      <c r="AQ1393" s="1759">
        <f t="shared" si="80"/>
        <v>1390</v>
      </c>
      <c r="AR1393" s="1756" t="e">
        <f>0.5*(S18+2*AQ1393)*LN(1+2*AQ1393/S18)</f>
        <v>#VALUE!</v>
      </c>
    </row>
    <row r="1394" spans="42:44">
      <c r="AP1394" s="1756" t="e">
        <f>IF(OR(AR1394=S13,AR1394&gt;S13),AR1394,"")</f>
        <v>#VALUE!</v>
      </c>
      <c r="AQ1394" s="1759">
        <f t="shared" si="80"/>
        <v>1391</v>
      </c>
      <c r="AR1394" s="1756" t="e">
        <f>0.5*(S18+2*AQ1394)*LN(1+2*AQ1394/S18)</f>
        <v>#VALUE!</v>
      </c>
    </row>
    <row r="1395" spans="42:44">
      <c r="AP1395" s="1756" t="e">
        <f>IF(OR(AR1395=S13,AR1395&gt;S13),AR1395,"")</f>
        <v>#VALUE!</v>
      </c>
      <c r="AQ1395" s="1759">
        <f t="shared" si="80"/>
        <v>1392</v>
      </c>
      <c r="AR1395" s="1756" t="e">
        <f>0.5*(S18+2*AQ1395)*LN(1+2*AQ1395/S18)</f>
        <v>#VALUE!</v>
      </c>
    </row>
    <row r="1396" spans="42:44">
      <c r="AP1396" s="1756" t="e">
        <f>IF(OR(AR1396=S13,AR1396&gt;S13),AR1396,"")</f>
        <v>#VALUE!</v>
      </c>
      <c r="AQ1396" s="1759">
        <f t="shared" si="80"/>
        <v>1393</v>
      </c>
      <c r="AR1396" s="1756" t="e">
        <f>0.5*(S18+2*AQ1396)*LN(1+2*AQ1396/S18)</f>
        <v>#VALUE!</v>
      </c>
    </row>
    <row r="1397" spans="42:44">
      <c r="AP1397" s="1756" t="e">
        <f>IF(OR(AR1397=S13,AR1397&gt;S13),AR1397,"")</f>
        <v>#VALUE!</v>
      </c>
      <c r="AQ1397" s="1759">
        <f t="shared" si="80"/>
        <v>1394</v>
      </c>
      <c r="AR1397" s="1756" t="e">
        <f>0.5*(S18+2*AQ1397)*LN(1+2*AQ1397/S18)</f>
        <v>#VALUE!</v>
      </c>
    </row>
    <row r="1398" spans="42:44">
      <c r="AP1398" s="1756" t="e">
        <f>IF(OR(AR1398=S13,AR1398&gt;S13),AR1398,"")</f>
        <v>#VALUE!</v>
      </c>
      <c r="AQ1398" s="1759">
        <f t="shared" si="80"/>
        <v>1395</v>
      </c>
      <c r="AR1398" s="1756" t="e">
        <f>0.5*(S18+2*AQ1398)*LN(1+2*AQ1398/S18)</f>
        <v>#VALUE!</v>
      </c>
    </row>
    <row r="1399" spans="42:44">
      <c r="AP1399" s="1756" t="e">
        <f>IF(OR(AR1399=S13,AR1399&gt;S13),AR1399,"")</f>
        <v>#VALUE!</v>
      </c>
      <c r="AQ1399" s="1759">
        <f t="shared" si="80"/>
        <v>1396</v>
      </c>
      <c r="AR1399" s="1756" t="e">
        <f>0.5*(S18+2*AQ1399)*LN(1+2*AQ1399/S18)</f>
        <v>#VALUE!</v>
      </c>
    </row>
    <row r="1400" spans="42:44">
      <c r="AP1400" s="1756" t="e">
        <f>IF(OR(AR1400=S13,AR1400&gt;S13),AR1400,"")</f>
        <v>#VALUE!</v>
      </c>
      <c r="AQ1400" s="1759">
        <f t="shared" si="80"/>
        <v>1397</v>
      </c>
      <c r="AR1400" s="1756" t="e">
        <f>0.5*(S18+2*AQ1400)*LN(1+2*AQ1400/S18)</f>
        <v>#VALUE!</v>
      </c>
    </row>
    <row r="1401" spans="42:44">
      <c r="AP1401" s="1756" t="e">
        <f>IF(OR(AR1401=S13,AR1401&gt;S13),AR1401,"")</f>
        <v>#VALUE!</v>
      </c>
      <c r="AQ1401" s="1759">
        <f t="shared" si="80"/>
        <v>1398</v>
      </c>
      <c r="AR1401" s="1756" t="e">
        <f>0.5*(S18+2*AQ1401)*LN(1+2*AQ1401/S18)</f>
        <v>#VALUE!</v>
      </c>
    </row>
    <row r="1402" spans="42:44">
      <c r="AP1402" s="1756" t="e">
        <f>IF(OR(AR1402=S13,AR1402&gt;S13),AR1402,"")</f>
        <v>#VALUE!</v>
      </c>
      <c r="AQ1402" s="1759">
        <f t="shared" si="80"/>
        <v>1399</v>
      </c>
      <c r="AR1402" s="1756" t="e">
        <f>0.5*(S18+2*AQ1402)*LN(1+2*AQ1402/S18)</f>
        <v>#VALUE!</v>
      </c>
    </row>
    <row r="1403" spans="42:44">
      <c r="AP1403" s="1756" t="e">
        <f>IF(OR(AR1403=S13,AR1403&gt;S13),AR1403,"")</f>
        <v>#VALUE!</v>
      </c>
      <c r="AQ1403" s="1759">
        <f t="shared" si="80"/>
        <v>1400</v>
      </c>
      <c r="AR1403" s="1756" t="e">
        <f>0.5*(S18+2*AQ1403)*LN(1+2*AQ1403/S18)</f>
        <v>#VALUE!</v>
      </c>
    </row>
    <row r="1404" spans="42:44">
      <c r="AP1404" s="1756" t="e">
        <f>IF(OR(AR1404=S13,AR1404&gt;S13),AR1404,"")</f>
        <v>#VALUE!</v>
      </c>
      <c r="AQ1404" s="1759">
        <f t="shared" si="80"/>
        <v>1401</v>
      </c>
      <c r="AR1404" s="1756" t="e">
        <f>0.5*(S18+2*AQ1404)*LN(1+2*AQ1404/S18)</f>
        <v>#VALUE!</v>
      </c>
    </row>
    <row r="1405" spans="42:44">
      <c r="AP1405" s="1756" t="e">
        <f>IF(OR(AR1405=S13,AR1405&gt;S13),AR1405,"")</f>
        <v>#VALUE!</v>
      </c>
      <c r="AQ1405" s="1759">
        <f t="shared" si="80"/>
        <v>1402</v>
      </c>
      <c r="AR1405" s="1756" t="e">
        <f>0.5*(S18+2*AQ1405)*LN(1+2*AQ1405/S18)</f>
        <v>#VALUE!</v>
      </c>
    </row>
    <row r="1406" spans="42:44">
      <c r="AP1406" s="1756" t="e">
        <f>IF(OR(AR1406=S13,AR1406&gt;S13),AR1406,"")</f>
        <v>#VALUE!</v>
      </c>
      <c r="AQ1406" s="1759">
        <f t="shared" si="80"/>
        <v>1403</v>
      </c>
      <c r="AR1406" s="1756" t="e">
        <f>0.5*(S18+2*AQ1406)*LN(1+2*AQ1406/S18)</f>
        <v>#VALUE!</v>
      </c>
    </row>
    <row r="1407" spans="42:44">
      <c r="AP1407" s="1756" t="e">
        <f>IF(OR(AR1407=S13,AR1407&gt;S13),AR1407,"")</f>
        <v>#VALUE!</v>
      </c>
      <c r="AQ1407" s="1759">
        <f t="shared" si="80"/>
        <v>1404</v>
      </c>
      <c r="AR1407" s="1756" t="e">
        <f>0.5*(S18+2*AQ1407)*LN(1+2*AQ1407/S18)</f>
        <v>#VALUE!</v>
      </c>
    </row>
    <row r="1408" spans="42:44">
      <c r="AP1408" s="1756" t="e">
        <f>IF(OR(AR1408=S13,AR1408&gt;S13),AR1408,"")</f>
        <v>#VALUE!</v>
      </c>
      <c r="AQ1408" s="1759">
        <f t="shared" si="80"/>
        <v>1405</v>
      </c>
      <c r="AR1408" s="1756" t="e">
        <f>0.5*(S18+2*AQ1408)*LN(1+2*AQ1408/S18)</f>
        <v>#VALUE!</v>
      </c>
    </row>
    <row r="1409" spans="42:44">
      <c r="AP1409" s="1756" t="e">
        <f>IF(OR(AR1409=S13,AR1409&gt;S13),AR1409,"")</f>
        <v>#VALUE!</v>
      </c>
      <c r="AQ1409" s="1759">
        <f t="shared" si="80"/>
        <v>1406</v>
      </c>
      <c r="AR1409" s="1756" t="e">
        <f>0.5*(S18+2*AQ1409)*LN(1+2*AQ1409/S18)</f>
        <v>#VALUE!</v>
      </c>
    </row>
    <row r="1410" spans="42:44">
      <c r="AP1410" s="1756" t="e">
        <f>IF(OR(AR1410=S13,AR1410&gt;S13),AR1410,"")</f>
        <v>#VALUE!</v>
      </c>
      <c r="AQ1410" s="1759">
        <f t="shared" si="80"/>
        <v>1407</v>
      </c>
      <c r="AR1410" s="1756" t="e">
        <f>0.5*(S18+2*AQ1410)*LN(1+2*AQ1410/S18)</f>
        <v>#VALUE!</v>
      </c>
    </row>
    <row r="1411" spans="42:44">
      <c r="AP1411" s="1756" t="e">
        <f>IF(OR(AR1411=S13,AR1411&gt;S13),AR1411,"")</f>
        <v>#VALUE!</v>
      </c>
      <c r="AQ1411" s="1759">
        <f t="shared" si="80"/>
        <v>1408</v>
      </c>
      <c r="AR1411" s="1756" t="e">
        <f>0.5*(S18+2*AQ1411)*LN(1+2*AQ1411/S18)</f>
        <v>#VALUE!</v>
      </c>
    </row>
    <row r="1412" spans="42:44">
      <c r="AP1412" s="1756" t="e">
        <f>IF(OR(AR1412=S13,AR1412&gt;S13),AR1412,"")</f>
        <v>#VALUE!</v>
      </c>
      <c r="AQ1412" s="1759">
        <f t="shared" si="80"/>
        <v>1409</v>
      </c>
      <c r="AR1412" s="1756" t="e">
        <f>0.5*(S18+2*AQ1412)*LN(1+2*AQ1412/S18)</f>
        <v>#VALUE!</v>
      </c>
    </row>
    <row r="1413" spans="42:44">
      <c r="AP1413" s="1756" t="e">
        <f>IF(OR(AR1413=S13,AR1413&gt;S13),AR1413,"")</f>
        <v>#VALUE!</v>
      </c>
      <c r="AQ1413" s="1759">
        <f t="shared" si="80"/>
        <v>1410</v>
      </c>
      <c r="AR1413" s="1756" t="e">
        <f>0.5*(S18+2*AQ1413)*LN(1+2*AQ1413/S18)</f>
        <v>#VALUE!</v>
      </c>
    </row>
    <row r="1414" spans="42:44">
      <c r="AP1414" s="1756" t="e">
        <f>IF(OR(AR1414=S13,AR1414&gt;S13),AR1414,"")</f>
        <v>#VALUE!</v>
      </c>
      <c r="AQ1414" s="1759">
        <f t="shared" ref="AQ1414:AQ1477" si="81">AQ1413+1</f>
        <v>1411</v>
      </c>
      <c r="AR1414" s="1756" t="e">
        <f>0.5*(S18+2*AQ1414)*LN(1+2*AQ1414/S18)</f>
        <v>#VALUE!</v>
      </c>
    </row>
    <row r="1415" spans="42:44">
      <c r="AP1415" s="1756" t="e">
        <f>IF(OR(AR1415=S13,AR1415&gt;S13),AR1415,"")</f>
        <v>#VALUE!</v>
      </c>
      <c r="AQ1415" s="1759">
        <f t="shared" si="81"/>
        <v>1412</v>
      </c>
      <c r="AR1415" s="1756" t="e">
        <f>0.5*(S18+2*AQ1415)*LN(1+2*AQ1415/S18)</f>
        <v>#VALUE!</v>
      </c>
    </row>
    <row r="1416" spans="42:44">
      <c r="AP1416" s="1756" t="e">
        <f>IF(OR(AR1416=S13,AR1416&gt;S13),AR1416,"")</f>
        <v>#VALUE!</v>
      </c>
      <c r="AQ1416" s="1759">
        <f t="shared" si="81"/>
        <v>1413</v>
      </c>
      <c r="AR1416" s="1756" t="e">
        <f>0.5*(S18+2*AQ1416)*LN(1+2*AQ1416/S18)</f>
        <v>#VALUE!</v>
      </c>
    </row>
    <row r="1417" spans="42:44">
      <c r="AP1417" s="1756" t="e">
        <f>IF(OR(AR1417=S13,AR1417&gt;S13),AR1417,"")</f>
        <v>#VALUE!</v>
      </c>
      <c r="AQ1417" s="1759">
        <f t="shared" si="81"/>
        <v>1414</v>
      </c>
      <c r="AR1417" s="1756" t="e">
        <f>0.5*(S18+2*AQ1417)*LN(1+2*AQ1417/S18)</f>
        <v>#VALUE!</v>
      </c>
    </row>
    <row r="1418" spans="42:44">
      <c r="AP1418" s="1756" t="e">
        <f>IF(OR(AR1418=S13,AR1418&gt;S13),AR1418,"")</f>
        <v>#VALUE!</v>
      </c>
      <c r="AQ1418" s="1759">
        <f t="shared" si="81"/>
        <v>1415</v>
      </c>
      <c r="AR1418" s="1756" t="e">
        <f>0.5*(S18+2*AQ1418)*LN(1+2*AQ1418/S18)</f>
        <v>#VALUE!</v>
      </c>
    </row>
    <row r="1419" spans="42:44">
      <c r="AP1419" s="1756" t="e">
        <f>IF(OR(AR1419=S13,AR1419&gt;S13),AR1419,"")</f>
        <v>#VALUE!</v>
      </c>
      <c r="AQ1419" s="1759">
        <f t="shared" si="81"/>
        <v>1416</v>
      </c>
      <c r="AR1419" s="1756" t="e">
        <f>0.5*(S18+2*AQ1419)*LN(1+2*AQ1419/S18)</f>
        <v>#VALUE!</v>
      </c>
    </row>
    <row r="1420" spans="42:44">
      <c r="AP1420" s="1756" t="e">
        <f>IF(OR(AR1420=S13,AR1420&gt;S13),AR1420,"")</f>
        <v>#VALUE!</v>
      </c>
      <c r="AQ1420" s="1759">
        <f t="shared" si="81"/>
        <v>1417</v>
      </c>
      <c r="AR1420" s="1756" t="e">
        <f>0.5*(S18+2*AQ1420)*LN(1+2*AQ1420/S18)</f>
        <v>#VALUE!</v>
      </c>
    </row>
    <row r="1421" spans="42:44">
      <c r="AP1421" s="1756" t="e">
        <f>IF(OR(AR1421=S13,AR1421&gt;S13),AR1421,"")</f>
        <v>#VALUE!</v>
      </c>
      <c r="AQ1421" s="1759">
        <f t="shared" si="81"/>
        <v>1418</v>
      </c>
      <c r="AR1421" s="1756" t="e">
        <f>0.5*(S18+2*AQ1421)*LN(1+2*AQ1421/S18)</f>
        <v>#VALUE!</v>
      </c>
    </row>
    <row r="1422" spans="42:44">
      <c r="AP1422" s="1756" t="e">
        <f>IF(OR(AR1422=S13,AR1422&gt;S13),AR1422,"")</f>
        <v>#VALUE!</v>
      </c>
      <c r="AQ1422" s="1759">
        <f t="shared" si="81"/>
        <v>1419</v>
      </c>
      <c r="AR1422" s="1756" t="e">
        <f>0.5*(S18+2*AQ1422)*LN(1+2*AQ1422/S18)</f>
        <v>#VALUE!</v>
      </c>
    </row>
    <row r="1423" spans="42:44">
      <c r="AP1423" s="1756" t="e">
        <f>IF(OR(AR1423=S13,AR1423&gt;S13),AR1423,"")</f>
        <v>#VALUE!</v>
      </c>
      <c r="AQ1423" s="1759">
        <f t="shared" si="81"/>
        <v>1420</v>
      </c>
      <c r="AR1423" s="1756" t="e">
        <f>0.5*(S18+2*AQ1423)*LN(1+2*AQ1423/S18)</f>
        <v>#VALUE!</v>
      </c>
    </row>
    <row r="1424" spans="42:44">
      <c r="AP1424" s="1756" t="e">
        <f>IF(OR(AR1424=S13,AR1424&gt;S13),AR1424,"")</f>
        <v>#VALUE!</v>
      </c>
      <c r="AQ1424" s="1759">
        <f t="shared" si="81"/>
        <v>1421</v>
      </c>
      <c r="AR1424" s="1756" t="e">
        <f>0.5*(S18+2*AQ1424)*LN(1+2*AQ1424/S18)</f>
        <v>#VALUE!</v>
      </c>
    </row>
    <row r="1425" spans="42:44">
      <c r="AP1425" s="1756" t="e">
        <f>IF(OR(AR1425=S13,AR1425&gt;S13),AR1425,"")</f>
        <v>#VALUE!</v>
      </c>
      <c r="AQ1425" s="1759">
        <f t="shared" si="81"/>
        <v>1422</v>
      </c>
      <c r="AR1425" s="1756" t="e">
        <f>0.5*(S18+2*AQ1425)*LN(1+2*AQ1425/S18)</f>
        <v>#VALUE!</v>
      </c>
    </row>
    <row r="1426" spans="42:44">
      <c r="AP1426" s="1756" t="e">
        <f>IF(OR(AR1426=S13,AR1426&gt;S13),AR1426,"")</f>
        <v>#VALUE!</v>
      </c>
      <c r="AQ1426" s="1759">
        <f t="shared" si="81"/>
        <v>1423</v>
      </c>
      <c r="AR1426" s="1756" t="e">
        <f>0.5*(S18+2*AQ1426)*LN(1+2*AQ1426/S18)</f>
        <v>#VALUE!</v>
      </c>
    </row>
    <row r="1427" spans="42:44">
      <c r="AP1427" s="1756" t="e">
        <f>IF(OR(AR1427=S13,AR1427&gt;S13),AR1427,"")</f>
        <v>#VALUE!</v>
      </c>
      <c r="AQ1427" s="1759">
        <f t="shared" si="81"/>
        <v>1424</v>
      </c>
      <c r="AR1427" s="1756" t="e">
        <f>0.5*(S18+2*AQ1427)*LN(1+2*AQ1427/S18)</f>
        <v>#VALUE!</v>
      </c>
    </row>
    <row r="1428" spans="42:44">
      <c r="AP1428" s="1756" t="e">
        <f>IF(OR(AR1428=S13,AR1428&gt;S13),AR1428,"")</f>
        <v>#VALUE!</v>
      </c>
      <c r="AQ1428" s="1759">
        <f t="shared" si="81"/>
        <v>1425</v>
      </c>
      <c r="AR1428" s="1756" t="e">
        <f>0.5*(S18+2*AQ1428)*LN(1+2*AQ1428/S18)</f>
        <v>#VALUE!</v>
      </c>
    </row>
    <row r="1429" spans="42:44">
      <c r="AP1429" s="1756" t="e">
        <f>IF(OR(AR1429=S13,AR1429&gt;S13),AR1429,"")</f>
        <v>#VALUE!</v>
      </c>
      <c r="AQ1429" s="1759">
        <f t="shared" si="81"/>
        <v>1426</v>
      </c>
      <c r="AR1429" s="1756" t="e">
        <f>0.5*(S18+2*AQ1429)*LN(1+2*AQ1429/S18)</f>
        <v>#VALUE!</v>
      </c>
    </row>
    <row r="1430" spans="42:44">
      <c r="AP1430" s="1756" t="e">
        <f>IF(OR(AR1430=S13,AR1430&gt;S13),AR1430,"")</f>
        <v>#VALUE!</v>
      </c>
      <c r="AQ1430" s="1759">
        <f t="shared" si="81"/>
        <v>1427</v>
      </c>
      <c r="AR1430" s="1756" t="e">
        <f>0.5*(S18+2*AQ1430)*LN(1+2*AQ1430/S18)</f>
        <v>#VALUE!</v>
      </c>
    </row>
    <row r="1431" spans="42:44">
      <c r="AP1431" s="1756" t="e">
        <f>IF(OR(AR1431=S13,AR1431&gt;S13),AR1431,"")</f>
        <v>#VALUE!</v>
      </c>
      <c r="AQ1431" s="1759">
        <f t="shared" si="81"/>
        <v>1428</v>
      </c>
      <c r="AR1431" s="1756" t="e">
        <f>0.5*(S18+2*AQ1431)*LN(1+2*AQ1431/S18)</f>
        <v>#VALUE!</v>
      </c>
    </row>
    <row r="1432" spans="42:44">
      <c r="AP1432" s="1756" t="e">
        <f>IF(OR(AR1432=S13,AR1432&gt;S13),AR1432,"")</f>
        <v>#VALUE!</v>
      </c>
      <c r="AQ1432" s="1759">
        <f t="shared" si="81"/>
        <v>1429</v>
      </c>
      <c r="AR1432" s="1756" t="e">
        <f>0.5*(S18+2*AQ1432)*LN(1+2*AQ1432/S18)</f>
        <v>#VALUE!</v>
      </c>
    </row>
    <row r="1433" spans="42:44">
      <c r="AP1433" s="1756" t="e">
        <f>IF(OR(AR1433=S13,AR1433&gt;S13),AR1433,"")</f>
        <v>#VALUE!</v>
      </c>
      <c r="AQ1433" s="1759">
        <f t="shared" si="81"/>
        <v>1430</v>
      </c>
      <c r="AR1433" s="1756" t="e">
        <f>0.5*(S18+2*AQ1433)*LN(1+2*AQ1433/S18)</f>
        <v>#VALUE!</v>
      </c>
    </row>
    <row r="1434" spans="42:44">
      <c r="AP1434" s="1756" t="e">
        <f>IF(OR(AR1434=S13,AR1434&gt;S13),AR1434,"")</f>
        <v>#VALUE!</v>
      </c>
      <c r="AQ1434" s="1759">
        <f t="shared" si="81"/>
        <v>1431</v>
      </c>
      <c r="AR1434" s="1756" t="e">
        <f>0.5*(S18+2*AQ1434)*LN(1+2*AQ1434/S18)</f>
        <v>#VALUE!</v>
      </c>
    </row>
    <row r="1435" spans="42:44">
      <c r="AP1435" s="1756" t="e">
        <f>IF(OR(AR1435=S13,AR1435&gt;S13),AR1435,"")</f>
        <v>#VALUE!</v>
      </c>
      <c r="AQ1435" s="1759">
        <f t="shared" si="81"/>
        <v>1432</v>
      </c>
      <c r="AR1435" s="1756" t="e">
        <f>0.5*(S18+2*AQ1435)*LN(1+2*AQ1435/S18)</f>
        <v>#VALUE!</v>
      </c>
    </row>
    <row r="1436" spans="42:44">
      <c r="AP1436" s="1756" t="e">
        <f>IF(OR(AR1436=S13,AR1436&gt;S13),AR1436,"")</f>
        <v>#VALUE!</v>
      </c>
      <c r="AQ1436" s="1759">
        <f t="shared" si="81"/>
        <v>1433</v>
      </c>
      <c r="AR1436" s="1756" t="e">
        <f>0.5*(S18+2*AQ1436)*LN(1+2*AQ1436/S18)</f>
        <v>#VALUE!</v>
      </c>
    </row>
    <row r="1437" spans="42:44">
      <c r="AP1437" s="1756" t="e">
        <f>IF(OR(AR1437=S13,AR1437&gt;S13),AR1437,"")</f>
        <v>#VALUE!</v>
      </c>
      <c r="AQ1437" s="1759">
        <f t="shared" si="81"/>
        <v>1434</v>
      </c>
      <c r="AR1437" s="1756" t="e">
        <f>0.5*(S18+2*AQ1437)*LN(1+2*AQ1437/S18)</f>
        <v>#VALUE!</v>
      </c>
    </row>
    <row r="1438" spans="42:44">
      <c r="AP1438" s="1756" t="e">
        <f>IF(OR(AR1438=S13,AR1438&gt;S13),AR1438,"")</f>
        <v>#VALUE!</v>
      </c>
      <c r="AQ1438" s="1759">
        <f t="shared" si="81"/>
        <v>1435</v>
      </c>
      <c r="AR1438" s="1756" t="e">
        <f>0.5*(S18+2*AQ1438)*LN(1+2*AQ1438/S18)</f>
        <v>#VALUE!</v>
      </c>
    </row>
    <row r="1439" spans="42:44">
      <c r="AP1439" s="1756" t="e">
        <f>IF(OR(AR1439=S13,AR1439&gt;S13),AR1439,"")</f>
        <v>#VALUE!</v>
      </c>
      <c r="AQ1439" s="1759">
        <f t="shared" si="81"/>
        <v>1436</v>
      </c>
      <c r="AR1439" s="1756" t="e">
        <f>0.5*(S18+2*AQ1439)*LN(1+2*AQ1439/S18)</f>
        <v>#VALUE!</v>
      </c>
    </row>
    <row r="1440" spans="42:44">
      <c r="AP1440" s="1756" t="e">
        <f>IF(OR(AR1440=S13,AR1440&gt;S13),AR1440,"")</f>
        <v>#VALUE!</v>
      </c>
      <c r="AQ1440" s="1759">
        <f t="shared" si="81"/>
        <v>1437</v>
      </c>
      <c r="AR1440" s="1756" t="e">
        <f>0.5*(S18+2*AQ1440)*LN(1+2*AQ1440/S18)</f>
        <v>#VALUE!</v>
      </c>
    </row>
    <row r="1441" spans="42:44">
      <c r="AP1441" s="1756" t="e">
        <f>IF(OR(AR1441=S13,AR1441&gt;S13),AR1441,"")</f>
        <v>#VALUE!</v>
      </c>
      <c r="AQ1441" s="1759">
        <f t="shared" si="81"/>
        <v>1438</v>
      </c>
      <c r="AR1441" s="1756" t="e">
        <f>0.5*(S18+2*AQ1441)*LN(1+2*AQ1441/S18)</f>
        <v>#VALUE!</v>
      </c>
    </row>
    <row r="1442" spans="42:44">
      <c r="AP1442" s="1756" t="e">
        <f>IF(OR(AR1442=S13,AR1442&gt;S13),AR1442,"")</f>
        <v>#VALUE!</v>
      </c>
      <c r="AQ1442" s="1759">
        <f t="shared" si="81"/>
        <v>1439</v>
      </c>
      <c r="AR1442" s="1756" t="e">
        <f>0.5*(S18+2*AQ1442)*LN(1+2*AQ1442/S18)</f>
        <v>#VALUE!</v>
      </c>
    </row>
    <row r="1443" spans="42:44">
      <c r="AP1443" s="1756" t="e">
        <f>IF(OR(AR1443=S13,AR1443&gt;S13),AR1443,"")</f>
        <v>#VALUE!</v>
      </c>
      <c r="AQ1443" s="1759">
        <f t="shared" si="81"/>
        <v>1440</v>
      </c>
      <c r="AR1443" s="1756" t="e">
        <f>0.5*(S18+2*AQ1443)*LN(1+2*AQ1443/S18)</f>
        <v>#VALUE!</v>
      </c>
    </row>
    <row r="1444" spans="42:44">
      <c r="AP1444" s="1756" t="e">
        <f>IF(OR(AR1444=S13,AR1444&gt;S13),AR1444,"")</f>
        <v>#VALUE!</v>
      </c>
      <c r="AQ1444" s="1759">
        <f t="shared" si="81"/>
        <v>1441</v>
      </c>
      <c r="AR1444" s="1756" t="e">
        <f>0.5*(S18+2*AQ1444)*LN(1+2*AQ1444/S18)</f>
        <v>#VALUE!</v>
      </c>
    </row>
    <row r="1445" spans="42:44">
      <c r="AP1445" s="1756" t="e">
        <f>IF(OR(AR1445=S13,AR1445&gt;S13),AR1445,"")</f>
        <v>#VALUE!</v>
      </c>
      <c r="AQ1445" s="1759">
        <f t="shared" si="81"/>
        <v>1442</v>
      </c>
      <c r="AR1445" s="1756" t="e">
        <f>0.5*(S18+2*AQ1445)*LN(1+2*AQ1445/S18)</f>
        <v>#VALUE!</v>
      </c>
    </row>
    <row r="1446" spans="42:44">
      <c r="AP1446" s="1756" t="e">
        <f>IF(OR(AR1446=S13,AR1446&gt;S13),AR1446,"")</f>
        <v>#VALUE!</v>
      </c>
      <c r="AQ1446" s="1759">
        <f t="shared" si="81"/>
        <v>1443</v>
      </c>
      <c r="AR1446" s="1756" t="e">
        <f>0.5*(S18+2*AQ1446)*LN(1+2*AQ1446/S18)</f>
        <v>#VALUE!</v>
      </c>
    </row>
    <row r="1447" spans="42:44">
      <c r="AP1447" s="1756" t="e">
        <f>IF(OR(AR1447=S13,AR1447&gt;S13),AR1447,"")</f>
        <v>#VALUE!</v>
      </c>
      <c r="AQ1447" s="1759">
        <f t="shared" si="81"/>
        <v>1444</v>
      </c>
      <c r="AR1447" s="1756" t="e">
        <f>0.5*(S18+2*AQ1447)*LN(1+2*AQ1447/S18)</f>
        <v>#VALUE!</v>
      </c>
    </row>
    <row r="1448" spans="42:44">
      <c r="AP1448" s="1756" t="e">
        <f>IF(OR(AR1448=S13,AR1448&gt;S13),AR1448,"")</f>
        <v>#VALUE!</v>
      </c>
      <c r="AQ1448" s="1759">
        <f t="shared" si="81"/>
        <v>1445</v>
      </c>
      <c r="AR1448" s="1756" t="e">
        <f>0.5*(S18+2*AQ1448)*LN(1+2*AQ1448/S18)</f>
        <v>#VALUE!</v>
      </c>
    </row>
    <row r="1449" spans="42:44">
      <c r="AP1449" s="1756" t="e">
        <f>IF(OR(AR1449=S13,AR1449&gt;S13),AR1449,"")</f>
        <v>#VALUE!</v>
      </c>
      <c r="AQ1449" s="1759">
        <f t="shared" si="81"/>
        <v>1446</v>
      </c>
      <c r="AR1449" s="1756" t="e">
        <f>0.5*(S18+2*AQ1449)*LN(1+2*AQ1449/S18)</f>
        <v>#VALUE!</v>
      </c>
    </row>
    <row r="1450" spans="42:44">
      <c r="AP1450" s="1756" t="e">
        <f>IF(OR(AR1450=S13,AR1450&gt;S13),AR1450,"")</f>
        <v>#VALUE!</v>
      </c>
      <c r="AQ1450" s="1759">
        <f t="shared" si="81"/>
        <v>1447</v>
      </c>
      <c r="AR1450" s="1756" t="e">
        <f>0.5*(S18+2*AQ1450)*LN(1+2*AQ1450/S18)</f>
        <v>#VALUE!</v>
      </c>
    </row>
    <row r="1451" spans="42:44">
      <c r="AP1451" s="1756" t="e">
        <f>IF(OR(AR1451=S13,AR1451&gt;S13),AR1451,"")</f>
        <v>#VALUE!</v>
      </c>
      <c r="AQ1451" s="1759">
        <f t="shared" si="81"/>
        <v>1448</v>
      </c>
      <c r="AR1451" s="1756" t="e">
        <f>0.5*(S18+2*AQ1451)*LN(1+2*AQ1451/S18)</f>
        <v>#VALUE!</v>
      </c>
    </row>
    <row r="1452" spans="42:44">
      <c r="AP1452" s="1756" t="e">
        <f>IF(OR(AR1452=S13,AR1452&gt;S13),AR1452,"")</f>
        <v>#VALUE!</v>
      </c>
      <c r="AQ1452" s="1759">
        <f t="shared" si="81"/>
        <v>1449</v>
      </c>
      <c r="AR1452" s="1756" t="e">
        <f>0.5*(S18+2*AQ1452)*LN(1+2*AQ1452/S18)</f>
        <v>#VALUE!</v>
      </c>
    </row>
    <row r="1453" spans="42:44">
      <c r="AP1453" s="1756" t="e">
        <f>IF(OR(AR1453=S13,AR1453&gt;S13),AR1453,"")</f>
        <v>#VALUE!</v>
      </c>
      <c r="AQ1453" s="1759">
        <f t="shared" si="81"/>
        <v>1450</v>
      </c>
      <c r="AR1453" s="1756" t="e">
        <f>0.5*(S18+2*AQ1453)*LN(1+2*AQ1453/S18)</f>
        <v>#VALUE!</v>
      </c>
    </row>
    <row r="1454" spans="42:44">
      <c r="AP1454" s="1756" t="e">
        <f>IF(OR(AR1454=S13,AR1454&gt;S13),AR1454,"")</f>
        <v>#VALUE!</v>
      </c>
      <c r="AQ1454" s="1759">
        <f t="shared" si="81"/>
        <v>1451</v>
      </c>
      <c r="AR1454" s="1756" t="e">
        <f>0.5*(S18+2*AQ1454)*LN(1+2*AQ1454/S18)</f>
        <v>#VALUE!</v>
      </c>
    </row>
    <row r="1455" spans="42:44">
      <c r="AP1455" s="1756" t="e">
        <f>IF(OR(AR1455=S13,AR1455&gt;S13),AR1455,"")</f>
        <v>#VALUE!</v>
      </c>
      <c r="AQ1455" s="1759">
        <f t="shared" si="81"/>
        <v>1452</v>
      </c>
      <c r="AR1455" s="1756" t="e">
        <f>0.5*(S18+2*AQ1455)*LN(1+2*AQ1455/S18)</f>
        <v>#VALUE!</v>
      </c>
    </row>
    <row r="1456" spans="42:44">
      <c r="AP1456" s="1756" t="e">
        <f>IF(OR(AR1456=S13,AR1456&gt;S13),AR1456,"")</f>
        <v>#VALUE!</v>
      </c>
      <c r="AQ1456" s="1759">
        <f t="shared" si="81"/>
        <v>1453</v>
      </c>
      <c r="AR1456" s="1756" t="e">
        <f>0.5*(S18+2*AQ1456)*LN(1+2*AQ1456/S18)</f>
        <v>#VALUE!</v>
      </c>
    </row>
    <row r="1457" spans="42:44">
      <c r="AP1457" s="1756" t="e">
        <f>IF(OR(AR1457=S13,AR1457&gt;S13),AR1457,"")</f>
        <v>#VALUE!</v>
      </c>
      <c r="AQ1457" s="1759">
        <f t="shared" si="81"/>
        <v>1454</v>
      </c>
      <c r="AR1457" s="1756" t="e">
        <f>0.5*(S18+2*AQ1457)*LN(1+2*AQ1457/S18)</f>
        <v>#VALUE!</v>
      </c>
    </row>
    <row r="1458" spans="42:44">
      <c r="AP1458" s="1756" t="e">
        <f>IF(OR(AR1458=S13,AR1458&gt;S13),AR1458,"")</f>
        <v>#VALUE!</v>
      </c>
      <c r="AQ1458" s="1759">
        <f t="shared" si="81"/>
        <v>1455</v>
      </c>
      <c r="AR1458" s="1756" t="e">
        <f>0.5*(S18+2*AQ1458)*LN(1+2*AQ1458/S18)</f>
        <v>#VALUE!</v>
      </c>
    </row>
    <row r="1459" spans="42:44">
      <c r="AP1459" s="1756" t="e">
        <f>IF(OR(AR1459=S13,AR1459&gt;S13),AR1459,"")</f>
        <v>#VALUE!</v>
      </c>
      <c r="AQ1459" s="1759">
        <f t="shared" si="81"/>
        <v>1456</v>
      </c>
      <c r="AR1459" s="1756" t="e">
        <f>0.5*(S18+2*AQ1459)*LN(1+2*AQ1459/S18)</f>
        <v>#VALUE!</v>
      </c>
    </row>
    <row r="1460" spans="42:44">
      <c r="AP1460" s="1756" t="e">
        <f>IF(OR(AR1460=S13,AR1460&gt;S13),AR1460,"")</f>
        <v>#VALUE!</v>
      </c>
      <c r="AQ1460" s="1759">
        <f t="shared" si="81"/>
        <v>1457</v>
      </c>
      <c r="AR1460" s="1756" t="e">
        <f>0.5*(S18+2*AQ1460)*LN(1+2*AQ1460/S18)</f>
        <v>#VALUE!</v>
      </c>
    </row>
    <row r="1461" spans="42:44">
      <c r="AP1461" s="1756" t="e">
        <f>IF(OR(AR1461=S13,AR1461&gt;S13),AR1461,"")</f>
        <v>#VALUE!</v>
      </c>
      <c r="AQ1461" s="1759">
        <f t="shared" si="81"/>
        <v>1458</v>
      </c>
      <c r="AR1461" s="1756" t="e">
        <f>0.5*(S18+2*AQ1461)*LN(1+2*AQ1461/S18)</f>
        <v>#VALUE!</v>
      </c>
    </row>
    <row r="1462" spans="42:44">
      <c r="AP1462" s="1756" t="e">
        <f>IF(OR(AR1462=S13,AR1462&gt;S13),AR1462,"")</f>
        <v>#VALUE!</v>
      </c>
      <c r="AQ1462" s="1759">
        <f t="shared" si="81"/>
        <v>1459</v>
      </c>
      <c r="AR1462" s="1756" t="e">
        <f>0.5*(S18+2*AQ1462)*LN(1+2*AQ1462/S18)</f>
        <v>#VALUE!</v>
      </c>
    </row>
    <row r="1463" spans="42:44">
      <c r="AP1463" s="1756" t="e">
        <f>IF(OR(AR1463=S13,AR1463&gt;S13),AR1463,"")</f>
        <v>#VALUE!</v>
      </c>
      <c r="AQ1463" s="1759">
        <f t="shared" si="81"/>
        <v>1460</v>
      </c>
      <c r="AR1463" s="1756" t="e">
        <f>0.5*(S18+2*AQ1463)*LN(1+2*AQ1463/S18)</f>
        <v>#VALUE!</v>
      </c>
    </row>
    <row r="1464" spans="42:44">
      <c r="AP1464" s="1756" t="e">
        <f>IF(OR(AR1464=S13,AR1464&gt;S13),AR1464,"")</f>
        <v>#VALUE!</v>
      </c>
      <c r="AQ1464" s="1759">
        <f t="shared" si="81"/>
        <v>1461</v>
      </c>
      <c r="AR1464" s="1756" t="e">
        <f>0.5*(S18+2*AQ1464)*LN(1+2*AQ1464/S18)</f>
        <v>#VALUE!</v>
      </c>
    </row>
    <row r="1465" spans="42:44">
      <c r="AP1465" s="1756" t="e">
        <f>IF(OR(AR1465=S13,AR1465&gt;S13),AR1465,"")</f>
        <v>#VALUE!</v>
      </c>
      <c r="AQ1465" s="1759">
        <f t="shared" si="81"/>
        <v>1462</v>
      </c>
      <c r="AR1465" s="1756" t="e">
        <f>0.5*(S18+2*AQ1465)*LN(1+2*AQ1465/S18)</f>
        <v>#VALUE!</v>
      </c>
    </row>
    <row r="1466" spans="42:44">
      <c r="AP1466" s="1756" t="e">
        <f>IF(OR(AR1466=S13,AR1466&gt;S13),AR1466,"")</f>
        <v>#VALUE!</v>
      </c>
      <c r="AQ1466" s="1759">
        <f t="shared" si="81"/>
        <v>1463</v>
      </c>
      <c r="AR1466" s="1756" t="e">
        <f>0.5*(S18+2*AQ1466)*LN(1+2*AQ1466/S18)</f>
        <v>#VALUE!</v>
      </c>
    </row>
    <row r="1467" spans="42:44">
      <c r="AP1467" s="1756" t="e">
        <f>IF(OR(AR1467=S13,AR1467&gt;S13),AR1467,"")</f>
        <v>#VALUE!</v>
      </c>
      <c r="AQ1467" s="1759">
        <f t="shared" si="81"/>
        <v>1464</v>
      </c>
      <c r="AR1467" s="1756" t="e">
        <f>0.5*(S18+2*AQ1467)*LN(1+2*AQ1467/S18)</f>
        <v>#VALUE!</v>
      </c>
    </row>
    <row r="1468" spans="42:44">
      <c r="AP1468" s="1756" t="e">
        <f>IF(OR(AR1468=S13,AR1468&gt;S13),AR1468,"")</f>
        <v>#VALUE!</v>
      </c>
      <c r="AQ1468" s="1759">
        <f t="shared" si="81"/>
        <v>1465</v>
      </c>
      <c r="AR1468" s="1756" t="e">
        <f>0.5*(S18+2*AQ1468)*LN(1+2*AQ1468/S18)</f>
        <v>#VALUE!</v>
      </c>
    </row>
    <row r="1469" spans="42:44">
      <c r="AP1469" s="1756" t="e">
        <f>IF(OR(AR1469=S13,AR1469&gt;S13),AR1469,"")</f>
        <v>#VALUE!</v>
      </c>
      <c r="AQ1469" s="1759">
        <f t="shared" si="81"/>
        <v>1466</v>
      </c>
      <c r="AR1469" s="1756" t="e">
        <f>0.5*(S18+2*AQ1469)*LN(1+2*AQ1469/S18)</f>
        <v>#VALUE!</v>
      </c>
    </row>
    <row r="1470" spans="42:44">
      <c r="AP1470" s="1756" t="e">
        <f>IF(OR(AR1470=S13,AR1470&gt;S13),AR1470,"")</f>
        <v>#VALUE!</v>
      </c>
      <c r="AQ1470" s="1759">
        <f t="shared" si="81"/>
        <v>1467</v>
      </c>
      <c r="AR1470" s="1756" t="e">
        <f>0.5*(S18+2*AQ1470)*LN(1+2*AQ1470/S18)</f>
        <v>#VALUE!</v>
      </c>
    </row>
    <row r="1471" spans="42:44">
      <c r="AP1471" s="1756" t="e">
        <f>IF(OR(AR1471=S13,AR1471&gt;S13),AR1471,"")</f>
        <v>#VALUE!</v>
      </c>
      <c r="AQ1471" s="1759">
        <f t="shared" si="81"/>
        <v>1468</v>
      </c>
      <c r="AR1471" s="1756" t="e">
        <f>0.5*(S18+2*AQ1471)*LN(1+2*AQ1471/S18)</f>
        <v>#VALUE!</v>
      </c>
    </row>
    <row r="1472" spans="42:44">
      <c r="AP1472" s="1756" t="e">
        <f>IF(OR(AR1472=S13,AR1472&gt;S13),AR1472,"")</f>
        <v>#VALUE!</v>
      </c>
      <c r="AQ1472" s="1759">
        <f t="shared" si="81"/>
        <v>1469</v>
      </c>
      <c r="AR1472" s="1756" t="e">
        <f>0.5*(S18+2*AQ1472)*LN(1+2*AQ1472/S18)</f>
        <v>#VALUE!</v>
      </c>
    </row>
    <row r="1473" spans="42:44">
      <c r="AP1473" s="1756" t="e">
        <f>IF(OR(AR1473=S13,AR1473&gt;S13),AR1473,"")</f>
        <v>#VALUE!</v>
      </c>
      <c r="AQ1473" s="1759">
        <f t="shared" si="81"/>
        <v>1470</v>
      </c>
      <c r="AR1473" s="1756" t="e">
        <f>0.5*(S18+2*AQ1473)*LN(1+2*AQ1473/S18)</f>
        <v>#VALUE!</v>
      </c>
    </row>
    <row r="1474" spans="42:44">
      <c r="AP1474" s="1756" t="e">
        <f>IF(OR(AR1474=S13,AR1474&gt;S13),AR1474,"")</f>
        <v>#VALUE!</v>
      </c>
      <c r="AQ1474" s="1759">
        <f t="shared" si="81"/>
        <v>1471</v>
      </c>
      <c r="AR1474" s="1756" t="e">
        <f>0.5*(S18+2*AQ1474)*LN(1+2*AQ1474/S18)</f>
        <v>#VALUE!</v>
      </c>
    </row>
    <row r="1475" spans="42:44">
      <c r="AP1475" s="1756" t="e">
        <f>IF(OR(AR1475=S13,AR1475&gt;S13),AR1475,"")</f>
        <v>#VALUE!</v>
      </c>
      <c r="AQ1475" s="1759">
        <f t="shared" si="81"/>
        <v>1472</v>
      </c>
      <c r="AR1475" s="1756" t="e">
        <f>0.5*(S18+2*AQ1475)*LN(1+2*AQ1475/S18)</f>
        <v>#VALUE!</v>
      </c>
    </row>
    <row r="1476" spans="42:44">
      <c r="AP1476" s="1756" t="e">
        <f>IF(OR(AR1476=S13,AR1476&gt;S13),AR1476,"")</f>
        <v>#VALUE!</v>
      </c>
      <c r="AQ1476" s="1759">
        <f t="shared" si="81"/>
        <v>1473</v>
      </c>
      <c r="AR1476" s="1756" t="e">
        <f>0.5*(S18+2*AQ1476)*LN(1+2*AQ1476/S18)</f>
        <v>#VALUE!</v>
      </c>
    </row>
    <row r="1477" spans="42:44">
      <c r="AP1477" s="1756" t="e">
        <f>IF(OR(AR1477=S13,AR1477&gt;S13),AR1477,"")</f>
        <v>#VALUE!</v>
      </c>
      <c r="AQ1477" s="1759">
        <f t="shared" si="81"/>
        <v>1474</v>
      </c>
      <c r="AR1477" s="1756" t="e">
        <f>0.5*(S18+2*AQ1477)*LN(1+2*AQ1477/S18)</f>
        <v>#VALUE!</v>
      </c>
    </row>
    <row r="1478" spans="42:44">
      <c r="AP1478" s="1756" t="e">
        <f>IF(OR(AR1478=S13,AR1478&gt;S13),AR1478,"")</f>
        <v>#VALUE!</v>
      </c>
      <c r="AQ1478" s="1759">
        <f t="shared" ref="AQ1478:AQ1541" si="82">AQ1477+1</f>
        <v>1475</v>
      </c>
      <c r="AR1478" s="1756" t="e">
        <f>0.5*(S18+2*AQ1478)*LN(1+2*AQ1478/S18)</f>
        <v>#VALUE!</v>
      </c>
    </row>
    <row r="1479" spans="42:44">
      <c r="AP1479" s="1756" t="e">
        <f>IF(OR(AR1479=S13,AR1479&gt;S13),AR1479,"")</f>
        <v>#VALUE!</v>
      </c>
      <c r="AQ1479" s="1759">
        <f t="shared" si="82"/>
        <v>1476</v>
      </c>
      <c r="AR1479" s="1756" t="e">
        <f>0.5*(S18+2*AQ1479)*LN(1+2*AQ1479/S18)</f>
        <v>#VALUE!</v>
      </c>
    </row>
    <row r="1480" spans="42:44">
      <c r="AP1480" s="1756" t="e">
        <f>IF(OR(AR1480=S13,AR1480&gt;S13),AR1480,"")</f>
        <v>#VALUE!</v>
      </c>
      <c r="AQ1480" s="1759">
        <f t="shared" si="82"/>
        <v>1477</v>
      </c>
      <c r="AR1480" s="1756" t="e">
        <f>0.5*(S18+2*AQ1480)*LN(1+2*AQ1480/S18)</f>
        <v>#VALUE!</v>
      </c>
    </row>
    <row r="1481" spans="42:44">
      <c r="AP1481" s="1756" t="e">
        <f>IF(OR(AR1481=S13,AR1481&gt;S13),AR1481,"")</f>
        <v>#VALUE!</v>
      </c>
      <c r="AQ1481" s="1759">
        <f t="shared" si="82"/>
        <v>1478</v>
      </c>
      <c r="AR1481" s="1756" t="e">
        <f>0.5*(S18+2*AQ1481)*LN(1+2*AQ1481/S18)</f>
        <v>#VALUE!</v>
      </c>
    </row>
    <row r="1482" spans="42:44">
      <c r="AP1482" s="1756" t="e">
        <f>IF(OR(AR1482=S13,AR1482&gt;S13),AR1482,"")</f>
        <v>#VALUE!</v>
      </c>
      <c r="AQ1482" s="1759">
        <f t="shared" si="82"/>
        <v>1479</v>
      </c>
      <c r="AR1482" s="1756" t="e">
        <f>0.5*(S18+2*AQ1482)*LN(1+2*AQ1482/S18)</f>
        <v>#VALUE!</v>
      </c>
    </row>
    <row r="1483" spans="42:44">
      <c r="AP1483" s="1756" t="e">
        <f>IF(OR(AR1483=S13,AR1483&gt;S13),AR1483,"")</f>
        <v>#VALUE!</v>
      </c>
      <c r="AQ1483" s="1759">
        <f t="shared" si="82"/>
        <v>1480</v>
      </c>
      <c r="AR1483" s="1756" t="e">
        <f>0.5*(S18+2*AQ1483)*LN(1+2*AQ1483/S18)</f>
        <v>#VALUE!</v>
      </c>
    </row>
    <row r="1484" spans="42:44">
      <c r="AP1484" s="1756" t="e">
        <f>IF(OR(AR1484=S13,AR1484&gt;S13),AR1484,"")</f>
        <v>#VALUE!</v>
      </c>
      <c r="AQ1484" s="1759">
        <f t="shared" si="82"/>
        <v>1481</v>
      </c>
      <c r="AR1484" s="1756" t="e">
        <f>0.5*(S18+2*AQ1484)*LN(1+2*AQ1484/S18)</f>
        <v>#VALUE!</v>
      </c>
    </row>
    <row r="1485" spans="42:44">
      <c r="AP1485" s="1756" t="e">
        <f>IF(OR(AR1485=S13,AR1485&gt;S13),AR1485,"")</f>
        <v>#VALUE!</v>
      </c>
      <c r="AQ1485" s="1759">
        <f t="shared" si="82"/>
        <v>1482</v>
      </c>
      <c r="AR1485" s="1756" t="e">
        <f>0.5*(S18+2*AQ1485)*LN(1+2*AQ1485/S18)</f>
        <v>#VALUE!</v>
      </c>
    </row>
    <row r="1486" spans="42:44">
      <c r="AP1486" s="1756" t="e">
        <f>IF(OR(AR1486=S13,AR1486&gt;S13),AR1486,"")</f>
        <v>#VALUE!</v>
      </c>
      <c r="AQ1486" s="1759">
        <f t="shared" si="82"/>
        <v>1483</v>
      </c>
      <c r="AR1486" s="1756" t="e">
        <f>0.5*(S18+2*AQ1486)*LN(1+2*AQ1486/S18)</f>
        <v>#VALUE!</v>
      </c>
    </row>
    <row r="1487" spans="42:44">
      <c r="AP1487" s="1756" t="e">
        <f>IF(OR(AR1487=S13,AR1487&gt;S13),AR1487,"")</f>
        <v>#VALUE!</v>
      </c>
      <c r="AQ1487" s="1759">
        <f t="shared" si="82"/>
        <v>1484</v>
      </c>
      <c r="AR1487" s="1756" t="e">
        <f>0.5*(S18+2*AQ1487)*LN(1+2*AQ1487/S18)</f>
        <v>#VALUE!</v>
      </c>
    </row>
    <row r="1488" spans="42:44">
      <c r="AP1488" s="1756" t="e">
        <f>IF(OR(AR1488=S13,AR1488&gt;S13),AR1488,"")</f>
        <v>#VALUE!</v>
      </c>
      <c r="AQ1488" s="1759">
        <f t="shared" si="82"/>
        <v>1485</v>
      </c>
      <c r="AR1488" s="1756" t="e">
        <f>0.5*(S18+2*AQ1488)*LN(1+2*AQ1488/S18)</f>
        <v>#VALUE!</v>
      </c>
    </row>
    <row r="1489" spans="42:44">
      <c r="AP1489" s="1756" t="e">
        <f>IF(OR(AR1489=S13,AR1489&gt;S13),AR1489,"")</f>
        <v>#VALUE!</v>
      </c>
      <c r="AQ1489" s="1759">
        <f t="shared" si="82"/>
        <v>1486</v>
      </c>
      <c r="AR1489" s="1756" t="e">
        <f>0.5*(S18+2*AQ1489)*LN(1+2*AQ1489/S18)</f>
        <v>#VALUE!</v>
      </c>
    </row>
    <row r="1490" spans="42:44">
      <c r="AP1490" s="1756" t="e">
        <f>IF(OR(AR1490=S13,AR1490&gt;S13),AR1490,"")</f>
        <v>#VALUE!</v>
      </c>
      <c r="AQ1490" s="1759">
        <f t="shared" si="82"/>
        <v>1487</v>
      </c>
      <c r="AR1490" s="1756" t="e">
        <f>0.5*(S18+2*AQ1490)*LN(1+2*AQ1490/S18)</f>
        <v>#VALUE!</v>
      </c>
    </row>
    <row r="1491" spans="42:44">
      <c r="AP1491" s="1756" t="e">
        <f>IF(OR(AR1491=S13,AR1491&gt;S13),AR1491,"")</f>
        <v>#VALUE!</v>
      </c>
      <c r="AQ1491" s="1759">
        <f t="shared" si="82"/>
        <v>1488</v>
      </c>
      <c r="AR1491" s="1756" t="e">
        <f>0.5*(S18+2*AQ1491)*LN(1+2*AQ1491/S18)</f>
        <v>#VALUE!</v>
      </c>
    </row>
    <row r="1492" spans="42:44">
      <c r="AP1492" s="1756" t="e">
        <f>IF(OR(AR1492=S13,AR1492&gt;S13),AR1492,"")</f>
        <v>#VALUE!</v>
      </c>
      <c r="AQ1492" s="1759">
        <f t="shared" si="82"/>
        <v>1489</v>
      </c>
      <c r="AR1492" s="1756" t="e">
        <f>0.5*(S18+2*AQ1492)*LN(1+2*AQ1492/S18)</f>
        <v>#VALUE!</v>
      </c>
    </row>
    <row r="1493" spans="42:44">
      <c r="AP1493" s="1756" t="e">
        <f>IF(OR(AR1493=S13,AR1493&gt;S13),AR1493,"")</f>
        <v>#VALUE!</v>
      </c>
      <c r="AQ1493" s="1759">
        <f t="shared" si="82"/>
        <v>1490</v>
      </c>
      <c r="AR1493" s="1756" t="e">
        <f>0.5*(S18+2*AQ1493)*LN(1+2*AQ1493/S18)</f>
        <v>#VALUE!</v>
      </c>
    </row>
    <row r="1494" spans="42:44">
      <c r="AP1494" s="1756" t="e">
        <f>IF(OR(AR1494=S13,AR1494&gt;S13),AR1494,"")</f>
        <v>#VALUE!</v>
      </c>
      <c r="AQ1494" s="1759">
        <f t="shared" si="82"/>
        <v>1491</v>
      </c>
      <c r="AR1494" s="1756" t="e">
        <f>0.5*(S18+2*AQ1494)*LN(1+2*AQ1494/S18)</f>
        <v>#VALUE!</v>
      </c>
    </row>
    <row r="1495" spans="42:44">
      <c r="AP1495" s="1756" t="e">
        <f>IF(OR(AR1495=S13,AR1495&gt;S13),AR1495,"")</f>
        <v>#VALUE!</v>
      </c>
      <c r="AQ1495" s="1759">
        <f t="shared" si="82"/>
        <v>1492</v>
      </c>
      <c r="AR1495" s="1756" t="e">
        <f>0.5*(S18+2*AQ1495)*LN(1+2*AQ1495/S18)</f>
        <v>#VALUE!</v>
      </c>
    </row>
    <row r="1496" spans="42:44">
      <c r="AP1496" s="1756" t="e">
        <f>IF(OR(AR1496=S13,AR1496&gt;S13),AR1496,"")</f>
        <v>#VALUE!</v>
      </c>
      <c r="AQ1496" s="1759">
        <f t="shared" si="82"/>
        <v>1493</v>
      </c>
      <c r="AR1496" s="1756" t="e">
        <f>0.5*(S18+2*AQ1496)*LN(1+2*AQ1496/S18)</f>
        <v>#VALUE!</v>
      </c>
    </row>
    <row r="1497" spans="42:44">
      <c r="AP1497" s="1756" t="e">
        <f>IF(OR(AR1497=S13,AR1497&gt;S13),AR1497,"")</f>
        <v>#VALUE!</v>
      </c>
      <c r="AQ1497" s="1759">
        <f t="shared" si="82"/>
        <v>1494</v>
      </c>
      <c r="AR1497" s="1756" t="e">
        <f>0.5*(S18+2*AQ1497)*LN(1+2*AQ1497/S18)</f>
        <v>#VALUE!</v>
      </c>
    </row>
    <row r="1498" spans="42:44">
      <c r="AP1498" s="1756" t="e">
        <f>IF(OR(AR1498=S13,AR1498&gt;S13),AR1498,"")</f>
        <v>#VALUE!</v>
      </c>
      <c r="AQ1498" s="1759">
        <f t="shared" si="82"/>
        <v>1495</v>
      </c>
      <c r="AR1498" s="1756" t="e">
        <f>0.5*(S18+2*AQ1498)*LN(1+2*AQ1498/S18)</f>
        <v>#VALUE!</v>
      </c>
    </row>
    <row r="1499" spans="42:44">
      <c r="AP1499" s="1756" t="e">
        <f>IF(OR(AR1499=S13,AR1499&gt;S13),AR1499,"")</f>
        <v>#VALUE!</v>
      </c>
      <c r="AQ1499" s="1759">
        <f t="shared" si="82"/>
        <v>1496</v>
      </c>
      <c r="AR1499" s="1756" t="e">
        <f>0.5*(S18+2*AQ1499)*LN(1+2*AQ1499/S18)</f>
        <v>#VALUE!</v>
      </c>
    </row>
    <row r="1500" spans="42:44">
      <c r="AP1500" s="1756" t="e">
        <f>IF(OR(AR1500=S13,AR1500&gt;S13),AR1500,"")</f>
        <v>#VALUE!</v>
      </c>
      <c r="AQ1500" s="1759">
        <f t="shared" si="82"/>
        <v>1497</v>
      </c>
      <c r="AR1500" s="1756" t="e">
        <f>0.5*(S18+2*AQ1500)*LN(1+2*AQ1500/S18)</f>
        <v>#VALUE!</v>
      </c>
    </row>
    <row r="1501" spans="42:44">
      <c r="AP1501" s="1756" t="e">
        <f>IF(OR(AR1501=S13,AR1501&gt;S13),AR1501,"")</f>
        <v>#VALUE!</v>
      </c>
      <c r="AQ1501" s="1759">
        <f t="shared" si="82"/>
        <v>1498</v>
      </c>
      <c r="AR1501" s="1756" t="e">
        <f>0.5*(S18+2*AQ1501)*LN(1+2*AQ1501/S18)</f>
        <v>#VALUE!</v>
      </c>
    </row>
    <row r="1502" spans="42:44">
      <c r="AP1502" s="1756" t="e">
        <f>IF(OR(AR1502=S13,AR1502&gt;S13),AR1502,"")</f>
        <v>#VALUE!</v>
      </c>
      <c r="AQ1502" s="1759">
        <f t="shared" si="82"/>
        <v>1499</v>
      </c>
      <c r="AR1502" s="1756" t="e">
        <f>0.5*(S18+2*AQ1502)*LN(1+2*AQ1502/S18)</f>
        <v>#VALUE!</v>
      </c>
    </row>
    <row r="1503" spans="42:44">
      <c r="AP1503" s="1756" t="e">
        <f>IF(OR(AR1503=S13,AR1503&gt;S13),AR1503,"")</f>
        <v>#VALUE!</v>
      </c>
      <c r="AQ1503" s="1759">
        <f t="shared" si="82"/>
        <v>1500</v>
      </c>
      <c r="AR1503" s="1756" t="e">
        <f>0.5*(S18+2*AQ1503)*LN(1+2*AQ1503/S18)</f>
        <v>#VALUE!</v>
      </c>
    </row>
    <row r="1504" spans="42:44">
      <c r="AP1504" s="1756" t="e">
        <f>IF(OR(AR1504=S13,AR1504&gt;S13),AR1504,"")</f>
        <v>#VALUE!</v>
      </c>
      <c r="AQ1504" s="1759">
        <f t="shared" si="82"/>
        <v>1501</v>
      </c>
      <c r="AR1504" s="1756" t="e">
        <f>0.5*(S18+2*AQ1504)*LN(1+2*AQ1504/S18)</f>
        <v>#VALUE!</v>
      </c>
    </row>
    <row r="1505" spans="42:44">
      <c r="AP1505" s="1756" t="e">
        <f>IF(OR(AR1505=S13,AR1505&gt;S13),AR1505,"")</f>
        <v>#VALUE!</v>
      </c>
      <c r="AQ1505" s="1759">
        <f t="shared" si="82"/>
        <v>1502</v>
      </c>
      <c r="AR1505" s="1756" t="e">
        <f>0.5*(S18+2*AQ1505)*LN(1+2*AQ1505/S18)</f>
        <v>#VALUE!</v>
      </c>
    </row>
    <row r="1506" spans="42:44">
      <c r="AP1506" s="1756" t="e">
        <f>IF(OR(AR1506=S13,AR1506&gt;S13),AR1506,"")</f>
        <v>#VALUE!</v>
      </c>
      <c r="AQ1506" s="1759">
        <f t="shared" si="82"/>
        <v>1503</v>
      </c>
      <c r="AR1506" s="1756" t="e">
        <f>0.5*(S18+2*AQ1506)*LN(1+2*AQ1506/S18)</f>
        <v>#VALUE!</v>
      </c>
    </row>
    <row r="1507" spans="42:44">
      <c r="AP1507" s="1756" t="e">
        <f>IF(OR(AR1507=S13,AR1507&gt;S13),AR1507,"")</f>
        <v>#VALUE!</v>
      </c>
      <c r="AQ1507" s="1759">
        <f t="shared" si="82"/>
        <v>1504</v>
      </c>
      <c r="AR1507" s="1756" t="e">
        <f>0.5*(S18+2*AQ1507)*LN(1+2*AQ1507/S18)</f>
        <v>#VALUE!</v>
      </c>
    </row>
    <row r="1508" spans="42:44">
      <c r="AP1508" s="1756" t="e">
        <f>IF(OR(AR1508=S13,AR1508&gt;S13),AR1508,"")</f>
        <v>#VALUE!</v>
      </c>
      <c r="AQ1508" s="1759">
        <f t="shared" si="82"/>
        <v>1505</v>
      </c>
      <c r="AR1508" s="1756" t="e">
        <f>0.5*(S18+2*AQ1508)*LN(1+2*AQ1508/S18)</f>
        <v>#VALUE!</v>
      </c>
    </row>
    <row r="1509" spans="42:44">
      <c r="AP1509" s="1756" t="e">
        <f>IF(OR(AR1509=S13,AR1509&gt;S13),AR1509,"")</f>
        <v>#VALUE!</v>
      </c>
      <c r="AQ1509" s="1759">
        <f t="shared" si="82"/>
        <v>1506</v>
      </c>
      <c r="AR1509" s="1756" t="e">
        <f>0.5*(S18+2*AQ1509)*LN(1+2*AQ1509/S18)</f>
        <v>#VALUE!</v>
      </c>
    </row>
    <row r="1510" spans="42:44">
      <c r="AP1510" s="1756" t="e">
        <f>IF(OR(AR1510=S13,AR1510&gt;S13),AR1510,"")</f>
        <v>#VALUE!</v>
      </c>
      <c r="AQ1510" s="1759">
        <f t="shared" si="82"/>
        <v>1507</v>
      </c>
      <c r="AR1510" s="1756" t="e">
        <f>0.5*(S18+2*AQ1510)*LN(1+2*AQ1510/S18)</f>
        <v>#VALUE!</v>
      </c>
    </row>
    <row r="1511" spans="42:44">
      <c r="AP1511" s="1756" t="e">
        <f>IF(OR(AR1511=S13,AR1511&gt;S13),AR1511,"")</f>
        <v>#VALUE!</v>
      </c>
      <c r="AQ1511" s="1759">
        <f t="shared" si="82"/>
        <v>1508</v>
      </c>
      <c r="AR1511" s="1756" t="e">
        <f>0.5*(S18+2*AQ1511)*LN(1+2*AQ1511/S18)</f>
        <v>#VALUE!</v>
      </c>
    </row>
    <row r="1512" spans="42:44">
      <c r="AP1512" s="1756" t="e">
        <f>IF(OR(AR1512=S13,AR1512&gt;S13),AR1512,"")</f>
        <v>#VALUE!</v>
      </c>
      <c r="AQ1512" s="1759">
        <f t="shared" si="82"/>
        <v>1509</v>
      </c>
      <c r="AR1512" s="1756" t="e">
        <f>0.5*(S18+2*AQ1512)*LN(1+2*AQ1512/S18)</f>
        <v>#VALUE!</v>
      </c>
    </row>
    <row r="1513" spans="42:44">
      <c r="AP1513" s="1756" t="e">
        <f>IF(OR(AR1513=S13,AR1513&gt;S13),AR1513,"")</f>
        <v>#VALUE!</v>
      </c>
      <c r="AQ1513" s="1759">
        <f t="shared" si="82"/>
        <v>1510</v>
      </c>
      <c r="AR1513" s="1756" t="e">
        <f>0.5*(S18+2*AQ1513)*LN(1+2*AQ1513/S18)</f>
        <v>#VALUE!</v>
      </c>
    </row>
    <row r="1514" spans="42:44">
      <c r="AP1514" s="1756" t="e">
        <f>IF(OR(AR1514=S13,AR1514&gt;S13),AR1514,"")</f>
        <v>#VALUE!</v>
      </c>
      <c r="AQ1514" s="1759">
        <f t="shared" si="82"/>
        <v>1511</v>
      </c>
      <c r="AR1514" s="1756" t="e">
        <f>0.5*(S18+2*AQ1514)*LN(1+2*AQ1514/S18)</f>
        <v>#VALUE!</v>
      </c>
    </row>
    <row r="1515" spans="42:44">
      <c r="AP1515" s="1756" t="e">
        <f>IF(OR(AR1515=S13,AR1515&gt;S13),AR1515,"")</f>
        <v>#VALUE!</v>
      </c>
      <c r="AQ1515" s="1759">
        <f t="shared" si="82"/>
        <v>1512</v>
      </c>
      <c r="AR1515" s="1756" t="e">
        <f>0.5*(S18+2*AQ1515)*LN(1+2*AQ1515/S18)</f>
        <v>#VALUE!</v>
      </c>
    </row>
    <row r="1516" spans="42:44">
      <c r="AP1516" s="1756" t="e">
        <f>IF(OR(AR1516=S13,AR1516&gt;S13),AR1516,"")</f>
        <v>#VALUE!</v>
      </c>
      <c r="AQ1516" s="1759">
        <f t="shared" si="82"/>
        <v>1513</v>
      </c>
      <c r="AR1516" s="1756" t="e">
        <f>0.5*(S18+2*AQ1516)*LN(1+2*AQ1516/S18)</f>
        <v>#VALUE!</v>
      </c>
    </row>
    <row r="1517" spans="42:44">
      <c r="AP1517" s="1756" t="e">
        <f>IF(OR(AR1517=S13,AR1517&gt;S13),AR1517,"")</f>
        <v>#VALUE!</v>
      </c>
      <c r="AQ1517" s="1759">
        <f t="shared" si="82"/>
        <v>1514</v>
      </c>
      <c r="AR1517" s="1756" t="e">
        <f>0.5*(S18+2*AQ1517)*LN(1+2*AQ1517/S18)</f>
        <v>#VALUE!</v>
      </c>
    </row>
    <row r="1518" spans="42:44">
      <c r="AP1518" s="1756" t="e">
        <f>IF(OR(AR1518=S13,AR1518&gt;S13),AR1518,"")</f>
        <v>#VALUE!</v>
      </c>
      <c r="AQ1518" s="1759">
        <f t="shared" si="82"/>
        <v>1515</v>
      </c>
      <c r="AR1518" s="1756" t="e">
        <f>0.5*(S18+2*AQ1518)*LN(1+2*AQ1518/S18)</f>
        <v>#VALUE!</v>
      </c>
    </row>
    <row r="1519" spans="42:44">
      <c r="AP1519" s="1756" t="e">
        <f>IF(OR(AR1519=S13,AR1519&gt;S13),AR1519,"")</f>
        <v>#VALUE!</v>
      </c>
      <c r="AQ1519" s="1759">
        <f t="shared" si="82"/>
        <v>1516</v>
      </c>
      <c r="AR1519" s="1756" t="e">
        <f>0.5*(S18+2*AQ1519)*LN(1+2*AQ1519/S18)</f>
        <v>#VALUE!</v>
      </c>
    </row>
    <row r="1520" spans="42:44">
      <c r="AP1520" s="1756" t="e">
        <f>IF(OR(AR1520=S13,AR1520&gt;S13),AR1520,"")</f>
        <v>#VALUE!</v>
      </c>
      <c r="AQ1520" s="1759">
        <f t="shared" si="82"/>
        <v>1517</v>
      </c>
      <c r="AR1520" s="1756" t="e">
        <f>0.5*(S18+2*AQ1520)*LN(1+2*AQ1520/S18)</f>
        <v>#VALUE!</v>
      </c>
    </row>
    <row r="1521" spans="42:44">
      <c r="AP1521" s="1756" t="e">
        <f>IF(OR(AR1521=S13,AR1521&gt;S13),AR1521,"")</f>
        <v>#VALUE!</v>
      </c>
      <c r="AQ1521" s="1759">
        <f t="shared" si="82"/>
        <v>1518</v>
      </c>
      <c r="AR1521" s="1756" t="e">
        <f>0.5*(S18+2*AQ1521)*LN(1+2*AQ1521/S18)</f>
        <v>#VALUE!</v>
      </c>
    </row>
    <row r="1522" spans="42:44">
      <c r="AP1522" s="1756" t="e">
        <f>IF(OR(AR1522=S13,AR1522&gt;S13),AR1522,"")</f>
        <v>#VALUE!</v>
      </c>
      <c r="AQ1522" s="1759">
        <f t="shared" si="82"/>
        <v>1519</v>
      </c>
      <c r="AR1522" s="1756" t="e">
        <f>0.5*(S18+2*AQ1522)*LN(1+2*AQ1522/S18)</f>
        <v>#VALUE!</v>
      </c>
    </row>
    <row r="1523" spans="42:44">
      <c r="AP1523" s="1756" t="e">
        <f>IF(OR(AR1523=S13,AR1523&gt;S13),AR1523,"")</f>
        <v>#VALUE!</v>
      </c>
      <c r="AQ1523" s="1759">
        <f t="shared" si="82"/>
        <v>1520</v>
      </c>
      <c r="AR1523" s="1756" t="e">
        <f>0.5*(S18+2*AQ1523)*LN(1+2*AQ1523/S18)</f>
        <v>#VALUE!</v>
      </c>
    </row>
    <row r="1524" spans="42:44">
      <c r="AP1524" s="1756" t="e">
        <f>IF(OR(AR1524=S13,AR1524&gt;S13),AR1524,"")</f>
        <v>#VALUE!</v>
      </c>
      <c r="AQ1524" s="1759">
        <f t="shared" si="82"/>
        <v>1521</v>
      </c>
      <c r="AR1524" s="1756" t="e">
        <f>0.5*(S18+2*AQ1524)*LN(1+2*AQ1524/S18)</f>
        <v>#VALUE!</v>
      </c>
    </row>
    <row r="1525" spans="42:44">
      <c r="AP1525" s="1756" t="e">
        <f>IF(OR(AR1525=S13,AR1525&gt;S13),AR1525,"")</f>
        <v>#VALUE!</v>
      </c>
      <c r="AQ1525" s="1759">
        <f t="shared" si="82"/>
        <v>1522</v>
      </c>
      <c r="AR1525" s="1756" t="e">
        <f>0.5*(S18+2*AQ1525)*LN(1+2*AQ1525/S18)</f>
        <v>#VALUE!</v>
      </c>
    </row>
    <row r="1526" spans="42:44">
      <c r="AP1526" s="1756" t="e">
        <f>IF(OR(AR1526=S13,AR1526&gt;S13),AR1526,"")</f>
        <v>#VALUE!</v>
      </c>
      <c r="AQ1526" s="1759">
        <f t="shared" si="82"/>
        <v>1523</v>
      </c>
      <c r="AR1526" s="1756" t="e">
        <f>0.5*(S18+2*AQ1526)*LN(1+2*AQ1526/S18)</f>
        <v>#VALUE!</v>
      </c>
    </row>
    <row r="1527" spans="42:44">
      <c r="AP1527" s="1756" t="e">
        <f>IF(OR(AR1527=S13,AR1527&gt;S13),AR1527,"")</f>
        <v>#VALUE!</v>
      </c>
      <c r="AQ1527" s="1759">
        <f t="shared" si="82"/>
        <v>1524</v>
      </c>
      <c r="AR1527" s="1756" t="e">
        <f>0.5*(S18+2*AQ1527)*LN(1+2*AQ1527/S18)</f>
        <v>#VALUE!</v>
      </c>
    </row>
    <row r="1528" spans="42:44">
      <c r="AP1528" s="1756" t="e">
        <f>IF(OR(AR1528=S13,AR1528&gt;S13),AR1528,"")</f>
        <v>#VALUE!</v>
      </c>
      <c r="AQ1528" s="1759">
        <f t="shared" si="82"/>
        <v>1525</v>
      </c>
      <c r="AR1528" s="1756" t="e">
        <f>0.5*(S18+2*AQ1528)*LN(1+2*AQ1528/S18)</f>
        <v>#VALUE!</v>
      </c>
    </row>
    <row r="1529" spans="42:44">
      <c r="AP1529" s="1756" t="e">
        <f>IF(OR(AR1529=S13,AR1529&gt;S13),AR1529,"")</f>
        <v>#VALUE!</v>
      </c>
      <c r="AQ1529" s="1759">
        <f t="shared" si="82"/>
        <v>1526</v>
      </c>
      <c r="AR1529" s="1756" t="e">
        <f>0.5*(S18+2*AQ1529)*LN(1+2*AQ1529/S18)</f>
        <v>#VALUE!</v>
      </c>
    </row>
    <row r="1530" spans="42:44">
      <c r="AP1530" s="1756" t="e">
        <f>IF(OR(AR1530=S13,AR1530&gt;S13),AR1530,"")</f>
        <v>#VALUE!</v>
      </c>
      <c r="AQ1530" s="1759">
        <f t="shared" si="82"/>
        <v>1527</v>
      </c>
      <c r="AR1530" s="1756" t="e">
        <f>0.5*(S18+2*AQ1530)*LN(1+2*AQ1530/S18)</f>
        <v>#VALUE!</v>
      </c>
    </row>
    <row r="1531" spans="42:44">
      <c r="AP1531" s="1756" t="e">
        <f>IF(OR(AR1531=S13,AR1531&gt;S13),AR1531,"")</f>
        <v>#VALUE!</v>
      </c>
      <c r="AQ1531" s="1759">
        <f t="shared" si="82"/>
        <v>1528</v>
      </c>
      <c r="AR1531" s="1756" t="e">
        <f>0.5*(S18+2*AQ1531)*LN(1+2*AQ1531/S18)</f>
        <v>#VALUE!</v>
      </c>
    </row>
    <row r="1532" spans="42:44">
      <c r="AP1532" s="1756" t="e">
        <f>IF(OR(AR1532=S13,AR1532&gt;S13),AR1532,"")</f>
        <v>#VALUE!</v>
      </c>
      <c r="AQ1532" s="1759">
        <f t="shared" si="82"/>
        <v>1529</v>
      </c>
      <c r="AR1532" s="1756" t="e">
        <f>0.5*(S18+2*AQ1532)*LN(1+2*AQ1532/S18)</f>
        <v>#VALUE!</v>
      </c>
    </row>
    <row r="1533" spans="42:44">
      <c r="AP1533" s="1756" t="e">
        <f>IF(OR(AR1533=S13,AR1533&gt;S13),AR1533,"")</f>
        <v>#VALUE!</v>
      </c>
      <c r="AQ1533" s="1759">
        <f t="shared" si="82"/>
        <v>1530</v>
      </c>
      <c r="AR1533" s="1756" t="e">
        <f>0.5*(S18+2*AQ1533)*LN(1+2*AQ1533/S18)</f>
        <v>#VALUE!</v>
      </c>
    </row>
    <row r="1534" spans="42:44">
      <c r="AP1534" s="1756" t="e">
        <f>IF(OR(AR1534=S13,AR1534&gt;S13),AR1534,"")</f>
        <v>#VALUE!</v>
      </c>
      <c r="AQ1534" s="1759">
        <f t="shared" si="82"/>
        <v>1531</v>
      </c>
      <c r="AR1534" s="1756" t="e">
        <f>0.5*(S18+2*AQ1534)*LN(1+2*AQ1534/S18)</f>
        <v>#VALUE!</v>
      </c>
    </row>
    <row r="1535" spans="42:44">
      <c r="AP1535" s="1756" t="e">
        <f>IF(OR(AR1535=S13,AR1535&gt;S13),AR1535,"")</f>
        <v>#VALUE!</v>
      </c>
      <c r="AQ1535" s="1759">
        <f t="shared" si="82"/>
        <v>1532</v>
      </c>
      <c r="AR1535" s="1756" t="e">
        <f>0.5*(S18+2*AQ1535)*LN(1+2*AQ1535/S18)</f>
        <v>#VALUE!</v>
      </c>
    </row>
    <row r="1536" spans="42:44">
      <c r="AP1536" s="1756" t="e">
        <f>IF(OR(AR1536=S13,AR1536&gt;S13),AR1536,"")</f>
        <v>#VALUE!</v>
      </c>
      <c r="AQ1536" s="1759">
        <f t="shared" si="82"/>
        <v>1533</v>
      </c>
      <c r="AR1536" s="1756" t="e">
        <f>0.5*(S18+2*AQ1536)*LN(1+2*AQ1536/S18)</f>
        <v>#VALUE!</v>
      </c>
    </row>
    <row r="1537" spans="42:44">
      <c r="AP1537" s="1756" t="e">
        <f>IF(OR(AR1537=S13,AR1537&gt;S13),AR1537,"")</f>
        <v>#VALUE!</v>
      </c>
      <c r="AQ1537" s="1759">
        <f t="shared" si="82"/>
        <v>1534</v>
      </c>
      <c r="AR1537" s="1756" t="e">
        <f>0.5*(S18+2*AQ1537)*LN(1+2*AQ1537/S18)</f>
        <v>#VALUE!</v>
      </c>
    </row>
    <row r="1538" spans="42:44">
      <c r="AP1538" s="1756" t="e">
        <f>IF(OR(AR1538=S13,AR1538&gt;S13),AR1538,"")</f>
        <v>#VALUE!</v>
      </c>
      <c r="AQ1538" s="1759">
        <f t="shared" si="82"/>
        <v>1535</v>
      </c>
      <c r="AR1538" s="1756" t="e">
        <f>0.5*(S18+2*AQ1538)*LN(1+2*AQ1538/S18)</f>
        <v>#VALUE!</v>
      </c>
    </row>
    <row r="1539" spans="42:44">
      <c r="AP1539" s="1756" t="e">
        <f>IF(OR(AR1539=S13,AR1539&gt;S13),AR1539,"")</f>
        <v>#VALUE!</v>
      </c>
      <c r="AQ1539" s="1759">
        <f t="shared" si="82"/>
        <v>1536</v>
      </c>
      <c r="AR1539" s="1756" t="e">
        <f>0.5*(S18+2*AQ1539)*LN(1+2*AQ1539/S18)</f>
        <v>#VALUE!</v>
      </c>
    </row>
    <row r="1540" spans="42:44">
      <c r="AP1540" s="1756" t="e">
        <f>IF(OR(AR1540=S13,AR1540&gt;S13),AR1540,"")</f>
        <v>#VALUE!</v>
      </c>
      <c r="AQ1540" s="1759">
        <f t="shared" si="82"/>
        <v>1537</v>
      </c>
      <c r="AR1540" s="1756" t="e">
        <f>0.5*(S18+2*AQ1540)*LN(1+2*AQ1540/S18)</f>
        <v>#VALUE!</v>
      </c>
    </row>
    <row r="1541" spans="42:44">
      <c r="AP1541" s="1756" t="e">
        <f>IF(OR(AR1541=S13,AR1541&gt;S13),AR1541,"")</f>
        <v>#VALUE!</v>
      </c>
      <c r="AQ1541" s="1759">
        <f t="shared" si="82"/>
        <v>1538</v>
      </c>
      <c r="AR1541" s="1756" t="e">
        <f>0.5*(S18+2*AQ1541)*LN(1+2*AQ1541/S18)</f>
        <v>#VALUE!</v>
      </c>
    </row>
    <row r="1542" spans="42:44">
      <c r="AP1542" s="1756" t="e">
        <f>IF(OR(AR1542=S13,AR1542&gt;S13),AR1542,"")</f>
        <v>#VALUE!</v>
      </c>
      <c r="AQ1542" s="1759">
        <f t="shared" ref="AQ1542:AQ1605" si="83">AQ1541+1</f>
        <v>1539</v>
      </c>
      <c r="AR1542" s="1756" t="e">
        <f>0.5*(S18+2*AQ1542)*LN(1+2*AQ1542/S18)</f>
        <v>#VALUE!</v>
      </c>
    </row>
    <row r="1543" spans="42:44">
      <c r="AP1543" s="1756" t="e">
        <f>IF(OR(AR1543=S13,AR1543&gt;S13),AR1543,"")</f>
        <v>#VALUE!</v>
      </c>
      <c r="AQ1543" s="1759">
        <f t="shared" si="83"/>
        <v>1540</v>
      </c>
      <c r="AR1543" s="1756" t="e">
        <f>0.5*(S18+2*AQ1543)*LN(1+2*AQ1543/S18)</f>
        <v>#VALUE!</v>
      </c>
    </row>
    <row r="1544" spans="42:44">
      <c r="AP1544" s="1756" t="e">
        <f>IF(OR(AR1544=S13,AR1544&gt;S13),AR1544,"")</f>
        <v>#VALUE!</v>
      </c>
      <c r="AQ1544" s="1759">
        <f t="shared" si="83"/>
        <v>1541</v>
      </c>
      <c r="AR1544" s="1756" t="e">
        <f>0.5*(S18+2*AQ1544)*LN(1+2*AQ1544/S18)</f>
        <v>#VALUE!</v>
      </c>
    </row>
    <row r="1545" spans="42:44">
      <c r="AP1545" s="1756" t="e">
        <f>IF(OR(AR1545=S13,AR1545&gt;S13),AR1545,"")</f>
        <v>#VALUE!</v>
      </c>
      <c r="AQ1545" s="1759">
        <f t="shared" si="83"/>
        <v>1542</v>
      </c>
      <c r="AR1545" s="1756" t="e">
        <f>0.5*(S18+2*AQ1545)*LN(1+2*AQ1545/S18)</f>
        <v>#VALUE!</v>
      </c>
    </row>
    <row r="1546" spans="42:44">
      <c r="AP1546" s="1756" t="e">
        <f>IF(OR(AR1546=S13,AR1546&gt;S13),AR1546,"")</f>
        <v>#VALUE!</v>
      </c>
      <c r="AQ1546" s="1759">
        <f t="shared" si="83"/>
        <v>1543</v>
      </c>
      <c r="AR1546" s="1756" t="e">
        <f>0.5*(S18+2*AQ1546)*LN(1+2*AQ1546/S18)</f>
        <v>#VALUE!</v>
      </c>
    </row>
    <row r="1547" spans="42:44">
      <c r="AP1547" s="1756" t="e">
        <f>IF(OR(AR1547=S13,AR1547&gt;S13),AR1547,"")</f>
        <v>#VALUE!</v>
      </c>
      <c r="AQ1547" s="1759">
        <f t="shared" si="83"/>
        <v>1544</v>
      </c>
      <c r="AR1547" s="1756" t="e">
        <f>0.5*(S18+2*AQ1547)*LN(1+2*AQ1547/S18)</f>
        <v>#VALUE!</v>
      </c>
    </row>
    <row r="1548" spans="42:44">
      <c r="AP1548" s="1756" t="e">
        <f>IF(OR(AR1548=S13,AR1548&gt;S13),AR1548,"")</f>
        <v>#VALUE!</v>
      </c>
      <c r="AQ1548" s="1759">
        <f t="shared" si="83"/>
        <v>1545</v>
      </c>
      <c r="AR1548" s="1756" t="e">
        <f>0.5*(S18+2*AQ1548)*LN(1+2*AQ1548/S18)</f>
        <v>#VALUE!</v>
      </c>
    </row>
    <row r="1549" spans="42:44">
      <c r="AP1549" s="1756" t="e">
        <f>IF(OR(AR1549=S13,AR1549&gt;S13),AR1549,"")</f>
        <v>#VALUE!</v>
      </c>
      <c r="AQ1549" s="1759">
        <f t="shared" si="83"/>
        <v>1546</v>
      </c>
      <c r="AR1549" s="1756" t="e">
        <f>0.5*(S18+2*AQ1549)*LN(1+2*AQ1549/S18)</f>
        <v>#VALUE!</v>
      </c>
    </row>
    <row r="1550" spans="42:44">
      <c r="AP1550" s="1756" t="e">
        <f>IF(OR(AR1550=S13,AR1550&gt;S13),AR1550,"")</f>
        <v>#VALUE!</v>
      </c>
      <c r="AQ1550" s="1759">
        <f t="shared" si="83"/>
        <v>1547</v>
      </c>
      <c r="AR1550" s="1756" t="e">
        <f>0.5*(S18+2*AQ1550)*LN(1+2*AQ1550/S18)</f>
        <v>#VALUE!</v>
      </c>
    </row>
    <row r="1551" spans="42:44">
      <c r="AP1551" s="1756" t="e">
        <f>IF(OR(AR1551=S13,AR1551&gt;S13),AR1551,"")</f>
        <v>#VALUE!</v>
      </c>
      <c r="AQ1551" s="1759">
        <f t="shared" si="83"/>
        <v>1548</v>
      </c>
      <c r="AR1551" s="1756" t="e">
        <f>0.5*(S18+2*AQ1551)*LN(1+2*AQ1551/S18)</f>
        <v>#VALUE!</v>
      </c>
    </row>
    <row r="1552" spans="42:44">
      <c r="AP1552" s="1756" t="e">
        <f>IF(OR(AR1552=S13,AR1552&gt;S13),AR1552,"")</f>
        <v>#VALUE!</v>
      </c>
      <c r="AQ1552" s="1759">
        <f t="shared" si="83"/>
        <v>1549</v>
      </c>
      <c r="AR1552" s="1756" t="e">
        <f>0.5*(S18+2*AQ1552)*LN(1+2*AQ1552/S18)</f>
        <v>#VALUE!</v>
      </c>
    </row>
    <row r="1553" spans="42:44">
      <c r="AP1553" s="1756" t="e">
        <f>IF(OR(AR1553=S13,AR1553&gt;S13),AR1553,"")</f>
        <v>#VALUE!</v>
      </c>
      <c r="AQ1553" s="1759">
        <f t="shared" si="83"/>
        <v>1550</v>
      </c>
      <c r="AR1553" s="1756" t="e">
        <f>0.5*(S18+2*AQ1553)*LN(1+2*AQ1553/S18)</f>
        <v>#VALUE!</v>
      </c>
    </row>
    <row r="1554" spans="42:44">
      <c r="AP1554" s="1756" t="e">
        <f>IF(OR(AR1554=S13,AR1554&gt;S13),AR1554,"")</f>
        <v>#VALUE!</v>
      </c>
      <c r="AQ1554" s="1759">
        <f t="shared" si="83"/>
        <v>1551</v>
      </c>
      <c r="AR1554" s="1756" t="e">
        <f>0.5*(S18+2*AQ1554)*LN(1+2*AQ1554/S18)</f>
        <v>#VALUE!</v>
      </c>
    </row>
    <row r="1555" spans="42:44">
      <c r="AP1555" s="1756" t="e">
        <f>IF(OR(AR1555=S13,AR1555&gt;S13),AR1555,"")</f>
        <v>#VALUE!</v>
      </c>
      <c r="AQ1555" s="1759">
        <f t="shared" si="83"/>
        <v>1552</v>
      </c>
      <c r="AR1555" s="1756" t="e">
        <f>0.5*(S18+2*AQ1555)*LN(1+2*AQ1555/S18)</f>
        <v>#VALUE!</v>
      </c>
    </row>
    <row r="1556" spans="42:44">
      <c r="AP1556" s="1756" t="e">
        <f>IF(OR(AR1556=S13,AR1556&gt;S13),AR1556,"")</f>
        <v>#VALUE!</v>
      </c>
      <c r="AQ1556" s="1759">
        <f t="shared" si="83"/>
        <v>1553</v>
      </c>
      <c r="AR1556" s="1756" t="e">
        <f>0.5*(S18+2*AQ1556)*LN(1+2*AQ1556/S18)</f>
        <v>#VALUE!</v>
      </c>
    </row>
    <row r="1557" spans="42:44">
      <c r="AP1557" s="1756" t="e">
        <f>IF(OR(AR1557=S13,AR1557&gt;S13),AR1557,"")</f>
        <v>#VALUE!</v>
      </c>
      <c r="AQ1557" s="1759">
        <f t="shared" si="83"/>
        <v>1554</v>
      </c>
      <c r="AR1557" s="1756" t="e">
        <f>0.5*(S18+2*AQ1557)*LN(1+2*AQ1557/S18)</f>
        <v>#VALUE!</v>
      </c>
    </row>
    <row r="1558" spans="42:44">
      <c r="AP1558" s="1756" t="e">
        <f>IF(OR(AR1558=S13,AR1558&gt;S13),AR1558,"")</f>
        <v>#VALUE!</v>
      </c>
      <c r="AQ1558" s="1759">
        <f t="shared" si="83"/>
        <v>1555</v>
      </c>
      <c r="AR1558" s="1756" t="e">
        <f>0.5*(S18+2*AQ1558)*LN(1+2*AQ1558/S18)</f>
        <v>#VALUE!</v>
      </c>
    </row>
    <row r="1559" spans="42:44">
      <c r="AP1559" s="1756" t="e">
        <f>IF(OR(AR1559=S13,AR1559&gt;S13),AR1559,"")</f>
        <v>#VALUE!</v>
      </c>
      <c r="AQ1559" s="1759">
        <f t="shared" si="83"/>
        <v>1556</v>
      </c>
      <c r="AR1559" s="1756" t="e">
        <f>0.5*(S18+2*AQ1559)*LN(1+2*AQ1559/S18)</f>
        <v>#VALUE!</v>
      </c>
    </row>
    <row r="1560" spans="42:44">
      <c r="AP1560" s="1756" t="e">
        <f>IF(OR(AR1560=S13,AR1560&gt;S13),AR1560,"")</f>
        <v>#VALUE!</v>
      </c>
      <c r="AQ1560" s="1759">
        <f t="shared" si="83"/>
        <v>1557</v>
      </c>
      <c r="AR1560" s="1756" t="e">
        <f>0.5*(S18+2*AQ1560)*LN(1+2*AQ1560/S18)</f>
        <v>#VALUE!</v>
      </c>
    </row>
    <row r="1561" spans="42:44">
      <c r="AP1561" s="1756" t="e">
        <f>IF(OR(AR1561=S13,AR1561&gt;S13),AR1561,"")</f>
        <v>#VALUE!</v>
      </c>
      <c r="AQ1561" s="1759">
        <f t="shared" si="83"/>
        <v>1558</v>
      </c>
      <c r="AR1561" s="1756" t="e">
        <f>0.5*(S18+2*AQ1561)*LN(1+2*AQ1561/S18)</f>
        <v>#VALUE!</v>
      </c>
    </row>
    <row r="1562" spans="42:44">
      <c r="AP1562" s="1756" t="e">
        <f>IF(OR(AR1562=S13,AR1562&gt;S13),AR1562,"")</f>
        <v>#VALUE!</v>
      </c>
      <c r="AQ1562" s="1759">
        <f t="shared" si="83"/>
        <v>1559</v>
      </c>
      <c r="AR1562" s="1756" t="e">
        <f>0.5*(S18+2*AQ1562)*LN(1+2*AQ1562/S18)</f>
        <v>#VALUE!</v>
      </c>
    </row>
    <row r="1563" spans="42:44">
      <c r="AP1563" s="1756" t="e">
        <f>IF(OR(AR1563=S13,AR1563&gt;S13),AR1563,"")</f>
        <v>#VALUE!</v>
      </c>
      <c r="AQ1563" s="1759">
        <f t="shared" si="83"/>
        <v>1560</v>
      </c>
      <c r="AR1563" s="1756" t="e">
        <f>0.5*(S18+2*AQ1563)*LN(1+2*AQ1563/S18)</f>
        <v>#VALUE!</v>
      </c>
    </row>
    <row r="1564" spans="42:44">
      <c r="AP1564" s="1756" t="e">
        <f>IF(OR(AR1564=S13,AR1564&gt;S13),AR1564,"")</f>
        <v>#VALUE!</v>
      </c>
      <c r="AQ1564" s="1759">
        <f t="shared" si="83"/>
        <v>1561</v>
      </c>
      <c r="AR1564" s="1756" t="e">
        <f>0.5*(S18+2*AQ1564)*LN(1+2*AQ1564/S18)</f>
        <v>#VALUE!</v>
      </c>
    </row>
    <row r="1565" spans="42:44">
      <c r="AP1565" s="1756" t="e">
        <f>IF(OR(AR1565=S13,AR1565&gt;S13),AR1565,"")</f>
        <v>#VALUE!</v>
      </c>
      <c r="AQ1565" s="1759">
        <f t="shared" si="83"/>
        <v>1562</v>
      </c>
      <c r="AR1565" s="1756" t="e">
        <f>0.5*(S18+2*AQ1565)*LN(1+2*AQ1565/S18)</f>
        <v>#VALUE!</v>
      </c>
    </row>
    <row r="1566" spans="42:44">
      <c r="AP1566" s="1756" t="e">
        <f>IF(OR(AR1566=S13,AR1566&gt;S13),AR1566,"")</f>
        <v>#VALUE!</v>
      </c>
      <c r="AQ1566" s="1759">
        <f t="shared" si="83"/>
        <v>1563</v>
      </c>
      <c r="AR1566" s="1756" t="e">
        <f>0.5*(S18+2*AQ1566)*LN(1+2*AQ1566/S18)</f>
        <v>#VALUE!</v>
      </c>
    </row>
    <row r="1567" spans="42:44">
      <c r="AP1567" s="1756" t="e">
        <f>IF(OR(AR1567=S13,AR1567&gt;S13),AR1567,"")</f>
        <v>#VALUE!</v>
      </c>
      <c r="AQ1567" s="1759">
        <f t="shared" si="83"/>
        <v>1564</v>
      </c>
      <c r="AR1567" s="1756" t="e">
        <f>0.5*(S18+2*AQ1567)*LN(1+2*AQ1567/S18)</f>
        <v>#VALUE!</v>
      </c>
    </row>
    <row r="1568" spans="42:44">
      <c r="AP1568" s="1756" t="e">
        <f>IF(OR(AR1568=S13,AR1568&gt;S13),AR1568,"")</f>
        <v>#VALUE!</v>
      </c>
      <c r="AQ1568" s="1759">
        <f t="shared" si="83"/>
        <v>1565</v>
      </c>
      <c r="AR1568" s="1756" t="e">
        <f>0.5*(S18+2*AQ1568)*LN(1+2*AQ1568/S18)</f>
        <v>#VALUE!</v>
      </c>
    </row>
    <row r="1569" spans="42:44">
      <c r="AP1569" s="1756" t="e">
        <f>IF(OR(AR1569=S13,AR1569&gt;S13),AR1569,"")</f>
        <v>#VALUE!</v>
      </c>
      <c r="AQ1569" s="1759">
        <f t="shared" si="83"/>
        <v>1566</v>
      </c>
      <c r="AR1569" s="1756" t="e">
        <f>0.5*(S18+2*AQ1569)*LN(1+2*AQ1569/S18)</f>
        <v>#VALUE!</v>
      </c>
    </row>
    <row r="1570" spans="42:44">
      <c r="AP1570" s="1756" t="e">
        <f>IF(OR(AR1570=S13,AR1570&gt;S13),AR1570,"")</f>
        <v>#VALUE!</v>
      </c>
      <c r="AQ1570" s="1759">
        <f t="shared" si="83"/>
        <v>1567</v>
      </c>
      <c r="AR1570" s="1756" t="e">
        <f>0.5*(S18+2*AQ1570)*LN(1+2*AQ1570/S18)</f>
        <v>#VALUE!</v>
      </c>
    </row>
    <row r="1571" spans="42:44">
      <c r="AP1571" s="1756" t="e">
        <f>IF(OR(AR1571=S13,AR1571&gt;S13),AR1571,"")</f>
        <v>#VALUE!</v>
      </c>
      <c r="AQ1571" s="1759">
        <f t="shared" si="83"/>
        <v>1568</v>
      </c>
      <c r="AR1571" s="1756" t="e">
        <f>0.5*(S18+2*AQ1571)*LN(1+2*AQ1571/S18)</f>
        <v>#VALUE!</v>
      </c>
    </row>
    <row r="1572" spans="42:44">
      <c r="AP1572" s="1756" t="e">
        <f>IF(OR(AR1572=S13,AR1572&gt;S13),AR1572,"")</f>
        <v>#VALUE!</v>
      </c>
      <c r="AQ1572" s="1759">
        <f t="shared" si="83"/>
        <v>1569</v>
      </c>
      <c r="AR1572" s="1756" t="e">
        <f>0.5*(S18+2*AQ1572)*LN(1+2*AQ1572/S18)</f>
        <v>#VALUE!</v>
      </c>
    </row>
    <row r="1573" spans="42:44">
      <c r="AP1573" s="1756" t="e">
        <f>IF(OR(AR1573=S13,AR1573&gt;S13),AR1573,"")</f>
        <v>#VALUE!</v>
      </c>
      <c r="AQ1573" s="1759">
        <f t="shared" si="83"/>
        <v>1570</v>
      </c>
      <c r="AR1573" s="1756" t="e">
        <f>0.5*(S18+2*AQ1573)*LN(1+2*AQ1573/S18)</f>
        <v>#VALUE!</v>
      </c>
    </row>
    <row r="1574" spans="42:44">
      <c r="AP1574" s="1756" t="e">
        <f>IF(OR(AR1574=S13,AR1574&gt;S13),AR1574,"")</f>
        <v>#VALUE!</v>
      </c>
      <c r="AQ1574" s="1759">
        <f t="shared" si="83"/>
        <v>1571</v>
      </c>
      <c r="AR1574" s="1756" t="e">
        <f>0.5*(S18+2*AQ1574)*LN(1+2*AQ1574/S18)</f>
        <v>#VALUE!</v>
      </c>
    </row>
    <row r="1575" spans="42:44">
      <c r="AP1575" s="1756" t="e">
        <f>IF(OR(AR1575=S13,AR1575&gt;S13),AR1575,"")</f>
        <v>#VALUE!</v>
      </c>
      <c r="AQ1575" s="1759">
        <f t="shared" si="83"/>
        <v>1572</v>
      </c>
      <c r="AR1575" s="1756" t="e">
        <f>0.5*(S18+2*AQ1575)*LN(1+2*AQ1575/S18)</f>
        <v>#VALUE!</v>
      </c>
    </row>
    <row r="1576" spans="42:44">
      <c r="AP1576" s="1756" t="e">
        <f>IF(OR(AR1576=S13,AR1576&gt;S13),AR1576,"")</f>
        <v>#VALUE!</v>
      </c>
      <c r="AQ1576" s="1759">
        <f t="shared" si="83"/>
        <v>1573</v>
      </c>
      <c r="AR1576" s="1756" t="e">
        <f>0.5*(S18+2*AQ1576)*LN(1+2*AQ1576/S18)</f>
        <v>#VALUE!</v>
      </c>
    </row>
    <row r="1577" spans="42:44">
      <c r="AP1577" s="1756" t="e">
        <f>IF(OR(AR1577=S13,AR1577&gt;S13),AR1577,"")</f>
        <v>#VALUE!</v>
      </c>
      <c r="AQ1577" s="1759">
        <f t="shared" si="83"/>
        <v>1574</v>
      </c>
      <c r="AR1577" s="1756" t="e">
        <f>0.5*(S18+2*AQ1577)*LN(1+2*AQ1577/S18)</f>
        <v>#VALUE!</v>
      </c>
    </row>
    <row r="1578" spans="42:44">
      <c r="AP1578" s="1756" t="e">
        <f>IF(OR(AR1578=S13,AR1578&gt;S13),AR1578,"")</f>
        <v>#VALUE!</v>
      </c>
      <c r="AQ1578" s="1759">
        <f t="shared" si="83"/>
        <v>1575</v>
      </c>
      <c r="AR1578" s="1756" t="e">
        <f>0.5*(S18+2*AQ1578)*LN(1+2*AQ1578/S18)</f>
        <v>#VALUE!</v>
      </c>
    </row>
    <row r="1579" spans="42:44">
      <c r="AP1579" s="1756" t="e">
        <f>IF(OR(AR1579=S13,AR1579&gt;S13),AR1579,"")</f>
        <v>#VALUE!</v>
      </c>
      <c r="AQ1579" s="1759">
        <f t="shared" si="83"/>
        <v>1576</v>
      </c>
      <c r="AR1579" s="1756" t="e">
        <f>0.5*(S18+2*AQ1579)*LN(1+2*AQ1579/S18)</f>
        <v>#VALUE!</v>
      </c>
    </row>
    <row r="1580" spans="42:44">
      <c r="AP1580" s="1756" t="e">
        <f>IF(OR(AR1580=S13,AR1580&gt;S13),AR1580,"")</f>
        <v>#VALUE!</v>
      </c>
      <c r="AQ1580" s="1759">
        <f t="shared" si="83"/>
        <v>1577</v>
      </c>
      <c r="AR1580" s="1756" t="e">
        <f>0.5*(S18+2*AQ1580)*LN(1+2*AQ1580/S18)</f>
        <v>#VALUE!</v>
      </c>
    </row>
    <row r="1581" spans="42:44">
      <c r="AP1581" s="1756" t="e">
        <f>IF(OR(AR1581=S13,AR1581&gt;S13),AR1581,"")</f>
        <v>#VALUE!</v>
      </c>
      <c r="AQ1581" s="1759">
        <f t="shared" si="83"/>
        <v>1578</v>
      </c>
      <c r="AR1581" s="1756" t="e">
        <f>0.5*(S18+2*AQ1581)*LN(1+2*AQ1581/S18)</f>
        <v>#VALUE!</v>
      </c>
    </row>
    <row r="1582" spans="42:44">
      <c r="AP1582" s="1756" t="e">
        <f>IF(OR(AR1582=S13,AR1582&gt;S13),AR1582,"")</f>
        <v>#VALUE!</v>
      </c>
      <c r="AQ1582" s="1759">
        <f t="shared" si="83"/>
        <v>1579</v>
      </c>
      <c r="AR1582" s="1756" t="e">
        <f>0.5*(S18+2*AQ1582)*LN(1+2*AQ1582/S18)</f>
        <v>#VALUE!</v>
      </c>
    </row>
    <row r="1583" spans="42:44">
      <c r="AP1583" s="1756" t="e">
        <f>IF(OR(AR1583=S13,AR1583&gt;S13),AR1583,"")</f>
        <v>#VALUE!</v>
      </c>
      <c r="AQ1583" s="1759">
        <f t="shared" si="83"/>
        <v>1580</v>
      </c>
      <c r="AR1583" s="1756" t="e">
        <f>0.5*(S18+2*AQ1583)*LN(1+2*AQ1583/S18)</f>
        <v>#VALUE!</v>
      </c>
    </row>
    <row r="1584" spans="42:44">
      <c r="AP1584" s="1756" t="e">
        <f>IF(OR(AR1584=S13,AR1584&gt;S13),AR1584,"")</f>
        <v>#VALUE!</v>
      </c>
      <c r="AQ1584" s="1759">
        <f t="shared" si="83"/>
        <v>1581</v>
      </c>
      <c r="AR1584" s="1756" t="e">
        <f>0.5*(S18+2*AQ1584)*LN(1+2*AQ1584/S18)</f>
        <v>#VALUE!</v>
      </c>
    </row>
    <row r="1585" spans="42:44">
      <c r="AP1585" s="1756" t="e">
        <f>IF(OR(AR1585=S13,AR1585&gt;S13),AR1585,"")</f>
        <v>#VALUE!</v>
      </c>
      <c r="AQ1585" s="1759">
        <f t="shared" si="83"/>
        <v>1582</v>
      </c>
      <c r="AR1585" s="1756" t="e">
        <f>0.5*(S18+2*AQ1585)*LN(1+2*AQ1585/S18)</f>
        <v>#VALUE!</v>
      </c>
    </row>
    <row r="1586" spans="42:44">
      <c r="AP1586" s="1756" t="e">
        <f>IF(OR(AR1586=S13,AR1586&gt;S13),AR1586,"")</f>
        <v>#VALUE!</v>
      </c>
      <c r="AQ1586" s="1759">
        <f t="shared" si="83"/>
        <v>1583</v>
      </c>
      <c r="AR1586" s="1756" t="e">
        <f>0.5*(S18+2*AQ1586)*LN(1+2*AQ1586/S18)</f>
        <v>#VALUE!</v>
      </c>
    </row>
    <row r="1587" spans="42:44">
      <c r="AP1587" s="1756" t="e">
        <f>IF(OR(AR1587=S13,AR1587&gt;S13),AR1587,"")</f>
        <v>#VALUE!</v>
      </c>
      <c r="AQ1587" s="1759">
        <f t="shared" si="83"/>
        <v>1584</v>
      </c>
      <c r="AR1587" s="1756" t="e">
        <f>0.5*(S18+2*AQ1587)*LN(1+2*AQ1587/S18)</f>
        <v>#VALUE!</v>
      </c>
    </row>
    <row r="1588" spans="42:44">
      <c r="AP1588" s="1756" t="e">
        <f>IF(OR(AR1588=S13,AR1588&gt;S13),AR1588,"")</f>
        <v>#VALUE!</v>
      </c>
      <c r="AQ1588" s="1759">
        <f t="shared" si="83"/>
        <v>1585</v>
      </c>
      <c r="AR1588" s="1756" t="e">
        <f>0.5*(S18+2*AQ1588)*LN(1+2*AQ1588/S18)</f>
        <v>#VALUE!</v>
      </c>
    </row>
    <row r="1589" spans="42:44">
      <c r="AP1589" s="1756" t="e">
        <f>IF(OR(AR1589=S13,AR1589&gt;S13),AR1589,"")</f>
        <v>#VALUE!</v>
      </c>
      <c r="AQ1589" s="1759">
        <f t="shared" si="83"/>
        <v>1586</v>
      </c>
      <c r="AR1589" s="1756" t="e">
        <f>0.5*(S18+2*AQ1589)*LN(1+2*AQ1589/S18)</f>
        <v>#VALUE!</v>
      </c>
    </row>
    <row r="1590" spans="42:44">
      <c r="AP1590" s="1756" t="e">
        <f>IF(OR(AR1590=S13,AR1590&gt;S13),AR1590,"")</f>
        <v>#VALUE!</v>
      </c>
      <c r="AQ1590" s="1759">
        <f t="shared" si="83"/>
        <v>1587</v>
      </c>
      <c r="AR1590" s="1756" t="e">
        <f>0.5*(S18+2*AQ1590)*LN(1+2*AQ1590/S18)</f>
        <v>#VALUE!</v>
      </c>
    </row>
    <row r="1591" spans="42:44">
      <c r="AP1591" s="1756" t="e">
        <f>IF(OR(AR1591=S13,AR1591&gt;S13),AR1591,"")</f>
        <v>#VALUE!</v>
      </c>
      <c r="AQ1591" s="1759">
        <f t="shared" si="83"/>
        <v>1588</v>
      </c>
      <c r="AR1591" s="1756" t="e">
        <f>0.5*(S18+2*AQ1591)*LN(1+2*AQ1591/S18)</f>
        <v>#VALUE!</v>
      </c>
    </row>
    <row r="1592" spans="42:44">
      <c r="AP1592" s="1756" t="e">
        <f>IF(OR(AR1592=S13,AR1592&gt;S13),AR1592,"")</f>
        <v>#VALUE!</v>
      </c>
      <c r="AQ1592" s="1759">
        <f t="shared" si="83"/>
        <v>1589</v>
      </c>
      <c r="AR1592" s="1756" t="e">
        <f>0.5*(S18+2*AQ1592)*LN(1+2*AQ1592/S18)</f>
        <v>#VALUE!</v>
      </c>
    </row>
    <row r="1593" spans="42:44">
      <c r="AP1593" s="1756" t="e">
        <f>IF(OR(AR1593=S13,AR1593&gt;S13),AR1593,"")</f>
        <v>#VALUE!</v>
      </c>
      <c r="AQ1593" s="1759">
        <f t="shared" si="83"/>
        <v>1590</v>
      </c>
      <c r="AR1593" s="1756" t="e">
        <f>0.5*(S18+2*AQ1593)*LN(1+2*AQ1593/S18)</f>
        <v>#VALUE!</v>
      </c>
    </row>
    <row r="1594" spans="42:44">
      <c r="AP1594" s="1756" t="e">
        <f>IF(OR(AR1594=S13,AR1594&gt;S13),AR1594,"")</f>
        <v>#VALUE!</v>
      </c>
      <c r="AQ1594" s="1759">
        <f t="shared" si="83"/>
        <v>1591</v>
      </c>
      <c r="AR1594" s="1756" t="e">
        <f>0.5*(S18+2*AQ1594)*LN(1+2*AQ1594/S18)</f>
        <v>#VALUE!</v>
      </c>
    </row>
    <row r="1595" spans="42:44">
      <c r="AP1595" s="1756" t="e">
        <f>IF(OR(AR1595=S13,AR1595&gt;S13),AR1595,"")</f>
        <v>#VALUE!</v>
      </c>
      <c r="AQ1595" s="1759">
        <f t="shared" si="83"/>
        <v>1592</v>
      </c>
      <c r="AR1595" s="1756" t="e">
        <f>0.5*(S18+2*AQ1595)*LN(1+2*AQ1595/S18)</f>
        <v>#VALUE!</v>
      </c>
    </row>
    <row r="1596" spans="42:44">
      <c r="AP1596" s="1756" t="e">
        <f>IF(OR(AR1596=S13,AR1596&gt;S13),AR1596,"")</f>
        <v>#VALUE!</v>
      </c>
      <c r="AQ1596" s="1759">
        <f t="shared" si="83"/>
        <v>1593</v>
      </c>
      <c r="AR1596" s="1756" t="e">
        <f>0.5*(S18+2*AQ1596)*LN(1+2*AQ1596/S18)</f>
        <v>#VALUE!</v>
      </c>
    </row>
    <row r="1597" spans="42:44">
      <c r="AP1597" s="1756" t="e">
        <f>IF(OR(AR1597=S13,AR1597&gt;S13),AR1597,"")</f>
        <v>#VALUE!</v>
      </c>
      <c r="AQ1597" s="1759">
        <f t="shared" si="83"/>
        <v>1594</v>
      </c>
      <c r="AR1597" s="1756" t="e">
        <f>0.5*(S18+2*AQ1597)*LN(1+2*AQ1597/S18)</f>
        <v>#VALUE!</v>
      </c>
    </row>
    <row r="1598" spans="42:44">
      <c r="AP1598" s="1756" t="e">
        <f>IF(OR(AR1598=S13,AR1598&gt;S13),AR1598,"")</f>
        <v>#VALUE!</v>
      </c>
      <c r="AQ1598" s="1759">
        <f t="shared" si="83"/>
        <v>1595</v>
      </c>
      <c r="AR1598" s="1756" t="e">
        <f>0.5*(S18+2*AQ1598)*LN(1+2*AQ1598/S18)</f>
        <v>#VALUE!</v>
      </c>
    </row>
    <row r="1599" spans="42:44">
      <c r="AP1599" s="1756" t="e">
        <f>IF(OR(AR1599=S13,AR1599&gt;S13),AR1599,"")</f>
        <v>#VALUE!</v>
      </c>
      <c r="AQ1599" s="1759">
        <f t="shared" si="83"/>
        <v>1596</v>
      </c>
      <c r="AR1599" s="1756" t="e">
        <f>0.5*(S18+2*AQ1599)*LN(1+2*AQ1599/S18)</f>
        <v>#VALUE!</v>
      </c>
    </row>
    <row r="1600" spans="42:44">
      <c r="AP1600" s="1756" t="e">
        <f>IF(OR(AR1600=S13,AR1600&gt;S13),AR1600,"")</f>
        <v>#VALUE!</v>
      </c>
      <c r="AQ1600" s="1759">
        <f t="shared" si="83"/>
        <v>1597</v>
      </c>
      <c r="AR1600" s="1756" t="e">
        <f>0.5*(S18+2*AQ1600)*LN(1+2*AQ1600/S18)</f>
        <v>#VALUE!</v>
      </c>
    </row>
    <row r="1601" spans="42:44">
      <c r="AP1601" s="1756" t="e">
        <f>IF(OR(AR1601=S13,AR1601&gt;S13),AR1601,"")</f>
        <v>#VALUE!</v>
      </c>
      <c r="AQ1601" s="1759">
        <f t="shared" si="83"/>
        <v>1598</v>
      </c>
      <c r="AR1601" s="1756" t="e">
        <f>0.5*(S18+2*AQ1601)*LN(1+2*AQ1601/S18)</f>
        <v>#VALUE!</v>
      </c>
    </row>
    <row r="1602" spans="42:44">
      <c r="AP1602" s="1756" t="e">
        <f>IF(OR(AR1602=S13,AR1602&gt;S13),AR1602,"")</f>
        <v>#VALUE!</v>
      </c>
      <c r="AQ1602" s="1759">
        <f t="shared" si="83"/>
        <v>1599</v>
      </c>
      <c r="AR1602" s="1756" t="e">
        <f>0.5*(S18+2*AQ1602)*LN(1+2*AQ1602/S18)</f>
        <v>#VALUE!</v>
      </c>
    </row>
    <row r="1603" spans="42:44">
      <c r="AP1603" s="1756" t="e">
        <f>IF(OR(AR1603=S13,AR1603&gt;S13),AR1603,"")</f>
        <v>#VALUE!</v>
      </c>
      <c r="AQ1603" s="1759">
        <f t="shared" si="83"/>
        <v>1600</v>
      </c>
      <c r="AR1603" s="1756" t="e">
        <f>0.5*(S18+2*AQ1603)*LN(1+2*AQ1603/S18)</f>
        <v>#VALUE!</v>
      </c>
    </row>
    <row r="1604" spans="42:44">
      <c r="AP1604" s="1756" t="e">
        <f>IF(OR(AR1604=S13,AR1604&gt;S13),AR1604,"")</f>
        <v>#VALUE!</v>
      </c>
      <c r="AQ1604" s="1759">
        <f t="shared" si="83"/>
        <v>1601</v>
      </c>
      <c r="AR1604" s="1756" t="e">
        <f>0.5*(S18+2*AQ1604)*LN(1+2*AQ1604/S18)</f>
        <v>#VALUE!</v>
      </c>
    </row>
    <row r="1605" spans="42:44">
      <c r="AP1605" s="1756" t="e">
        <f>IF(OR(AR1605=S13,AR1605&gt;S13),AR1605,"")</f>
        <v>#VALUE!</v>
      </c>
      <c r="AQ1605" s="1759">
        <f t="shared" si="83"/>
        <v>1602</v>
      </c>
      <c r="AR1605" s="1756" t="e">
        <f>0.5*(S18+2*AQ1605)*LN(1+2*AQ1605/S18)</f>
        <v>#VALUE!</v>
      </c>
    </row>
    <row r="1606" spans="42:44">
      <c r="AP1606" s="1756" t="e">
        <f>IF(OR(AR1606=S13,AR1606&gt;S13),AR1606,"")</f>
        <v>#VALUE!</v>
      </c>
      <c r="AQ1606" s="1759">
        <f t="shared" ref="AQ1606:AQ1669" si="84">AQ1605+1</f>
        <v>1603</v>
      </c>
      <c r="AR1606" s="1756" t="e">
        <f>0.5*(S18+2*AQ1606)*LN(1+2*AQ1606/S18)</f>
        <v>#VALUE!</v>
      </c>
    </row>
    <row r="1607" spans="42:44">
      <c r="AP1607" s="1756" t="e">
        <f>IF(OR(AR1607=S13,AR1607&gt;S13),AR1607,"")</f>
        <v>#VALUE!</v>
      </c>
      <c r="AQ1607" s="1759">
        <f t="shared" si="84"/>
        <v>1604</v>
      </c>
      <c r="AR1607" s="1756" t="e">
        <f>0.5*(S18+2*AQ1607)*LN(1+2*AQ1607/S18)</f>
        <v>#VALUE!</v>
      </c>
    </row>
    <row r="1608" spans="42:44">
      <c r="AP1608" s="1756" t="e">
        <f>IF(OR(AR1608=S13,AR1608&gt;S13),AR1608,"")</f>
        <v>#VALUE!</v>
      </c>
      <c r="AQ1608" s="1759">
        <f t="shared" si="84"/>
        <v>1605</v>
      </c>
      <c r="AR1608" s="1756" t="e">
        <f>0.5*(S18+2*AQ1608)*LN(1+2*AQ1608/S18)</f>
        <v>#VALUE!</v>
      </c>
    </row>
    <row r="1609" spans="42:44">
      <c r="AP1609" s="1756" t="e">
        <f>IF(OR(AR1609=S13,AR1609&gt;S13),AR1609,"")</f>
        <v>#VALUE!</v>
      </c>
      <c r="AQ1609" s="1759">
        <f t="shared" si="84"/>
        <v>1606</v>
      </c>
      <c r="AR1609" s="1756" t="e">
        <f>0.5*(S18+2*AQ1609)*LN(1+2*AQ1609/S18)</f>
        <v>#VALUE!</v>
      </c>
    </row>
    <row r="1610" spans="42:44">
      <c r="AP1610" s="1756" t="e">
        <f>IF(OR(AR1610=S13,AR1610&gt;S13),AR1610,"")</f>
        <v>#VALUE!</v>
      </c>
      <c r="AQ1610" s="1759">
        <f t="shared" si="84"/>
        <v>1607</v>
      </c>
      <c r="AR1610" s="1756" t="e">
        <f>0.5*(S18+2*AQ1610)*LN(1+2*AQ1610/S18)</f>
        <v>#VALUE!</v>
      </c>
    </row>
    <row r="1611" spans="42:44">
      <c r="AP1611" s="1756" t="e">
        <f>IF(OR(AR1611=S13,AR1611&gt;S13),AR1611,"")</f>
        <v>#VALUE!</v>
      </c>
      <c r="AQ1611" s="1759">
        <f t="shared" si="84"/>
        <v>1608</v>
      </c>
      <c r="AR1611" s="1756" t="e">
        <f>0.5*(S18+2*AQ1611)*LN(1+2*AQ1611/S18)</f>
        <v>#VALUE!</v>
      </c>
    </row>
    <row r="1612" spans="42:44">
      <c r="AP1612" s="1756" t="e">
        <f>IF(OR(AR1612=S13,AR1612&gt;S13),AR1612,"")</f>
        <v>#VALUE!</v>
      </c>
      <c r="AQ1612" s="1759">
        <f t="shared" si="84"/>
        <v>1609</v>
      </c>
      <c r="AR1612" s="1756" t="e">
        <f>0.5*(S18+2*AQ1612)*LN(1+2*AQ1612/S18)</f>
        <v>#VALUE!</v>
      </c>
    </row>
    <row r="1613" spans="42:44">
      <c r="AP1613" s="1756" t="e">
        <f>IF(OR(AR1613=S13,AR1613&gt;S13),AR1613,"")</f>
        <v>#VALUE!</v>
      </c>
      <c r="AQ1613" s="1759">
        <f t="shared" si="84"/>
        <v>1610</v>
      </c>
      <c r="AR1613" s="1756" t="e">
        <f>0.5*(S18+2*AQ1613)*LN(1+2*AQ1613/S18)</f>
        <v>#VALUE!</v>
      </c>
    </row>
    <row r="1614" spans="42:44">
      <c r="AP1614" s="1756" t="e">
        <f>IF(OR(AR1614=S13,AR1614&gt;S13),AR1614,"")</f>
        <v>#VALUE!</v>
      </c>
      <c r="AQ1614" s="1759">
        <f t="shared" si="84"/>
        <v>1611</v>
      </c>
      <c r="AR1614" s="1756" t="e">
        <f>0.5*(S18+2*AQ1614)*LN(1+2*AQ1614/S18)</f>
        <v>#VALUE!</v>
      </c>
    </row>
    <row r="1615" spans="42:44">
      <c r="AP1615" s="1756" t="e">
        <f>IF(OR(AR1615=S13,AR1615&gt;S13),AR1615,"")</f>
        <v>#VALUE!</v>
      </c>
      <c r="AQ1615" s="1759">
        <f t="shared" si="84"/>
        <v>1612</v>
      </c>
      <c r="AR1615" s="1756" t="e">
        <f>0.5*(S18+2*AQ1615)*LN(1+2*AQ1615/S18)</f>
        <v>#VALUE!</v>
      </c>
    </row>
    <row r="1616" spans="42:44">
      <c r="AP1616" s="1756" t="e">
        <f>IF(OR(AR1616=S13,AR1616&gt;S13),AR1616,"")</f>
        <v>#VALUE!</v>
      </c>
      <c r="AQ1616" s="1759">
        <f t="shared" si="84"/>
        <v>1613</v>
      </c>
      <c r="AR1616" s="1756" t="e">
        <f>0.5*(S18+2*AQ1616)*LN(1+2*AQ1616/S18)</f>
        <v>#VALUE!</v>
      </c>
    </row>
    <row r="1617" spans="42:44">
      <c r="AP1617" s="1756" t="e">
        <f>IF(OR(AR1617=S13,AR1617&gt;S13),AR1617,"")</f>
        <v>#VALUE!</v>
      </c>
      <c r="AQ1617" s="1759">
        <f t="shared" si="84"/>
        <v>1614</v>
      </c>
      <c r="AR1617" s="1756" t="e">
        <f>0.5*(S18+2*AQ1617)*LN(1+2*AQ1617/S18)</f>
        <v>#VALUE!</v>
      </c>
    </row>
    <row r="1618" spans="42:44">
      <c r="AP1618" s="1756" t="e">
        <f>IF(OR(AR1618=S13,AR1618&gt;S13),AR1618,"")</f>
        <v>#VALUE!</v>
      </c>
      <c r="AQ1618" s="1759">
        <f t="shared" si="84"/>
        <v>1615</v>
      </c>
      <c r="AR1618" s="1756" t="e">
        <f>0.5*(S18+2*AQ1618)*LN(1+2*AQ1618/S18)</f>
        <v>#VALUE!</v>
      </c>
    </row>
    <row r="1619" spans="42:44">
      <c r="AP1619" s="1756" t="e">
        <f>IF(OR(AR1619=S13,AR1619&gt;S13),AR1619,"")</f>
        <v>#VALUE!</v>
      </c>
      <c r="AQ1619" s="1759">
        <f t="shared" si="84"/>
        <v>1616</v>
      </c>
      <c r="AR1619" s="1756" t="e">
        <f>0.5*(S18+2*AQ1619)*LN(1+2*AQ1619/S18)</f>
        <v>#VALUE!</v>
      </c>
    </row>
    <row r="1620" spans="42:44">
      <c r="AP1620" s="1756" t="e">
        <f>IF(OR(AR1620=S13,AR1620&gt;S13),AR1620,"")</f>
        <v>#VALUE!</v>
      </c>
      <c r="AQ1620" s="1759">
        <f t="shared" si="84"/>
        <v>1617</v>
      </c>
      <c r="AR1620" s="1756" t="e">
        <f>0.5*(S18+2*AQ1620)*LN(1+2*AQ1620/S18)</f>
        <v>#VALUE!</v>
      </c>
    </row>
    <row r="1621" spans="42:44">
      <c r="AP1621" s="1756" t="e">
        <f>IF(OR(AR1621=S13,AR1621&gt;S13),AR1621,"")</f>
        <v>#VALUE!</v>
      </c>
      <c r="AQ1621" s="1759">
        <f t="shared" si="84"/>
        <v>1618</v>
      </c>
      <c r="AR1621" s="1756" t="e">
        <f>0.5*(S18+2*AQ1621)*LN(1+2*AQ1621/S18)</f>
        <v>#VALUE!</v>
      </c>
    </row>
    <row r="1622" spans="42:44">
      <c r="AP1622" s="1756" t="e">
        <f>IF(OR(AR1622=S13,AR1622&gt;S13),AR1622,"")</f>
        <v>#VALUE!</v>
      </c>
      <c r="AQ1622" s="1759">
        <f t="shared" si="84"/>
        <v>1619</v>
      </c>
      <c r="AR1622" s="1756" t="e">
        <f>0.5*(S18+2*AQ1622)*LN(1+2*AQ1622/S18)</f>
        <v>#VALUE!</v>
      </c>
    </row>
    <row r="1623" spans="42:44">
      <c r="AP1623" s="1756" t="e">
        <f>IF(OR(AR1623=S13,AR1623&gt;S13),AR1623,"")</f>
        <v>#VALUE!</v>
      </c>
      <c r="AQ1623" s="1759">
        <f t="shared" si="84"/>
        <v>1620</v>
      </c>
      <c r="AR1623" s="1756" t="e">
        <f>0.5*(S18+2*AQ1623)*LN(1+2*AQ1623/S18)</f>
        <v>#VALUE!</v>
      </c>
    </row>
    <row r="1624" spans="42:44">
      <c r="AP1624" s="1756" t="e">
        <f>IF(OR(AR1624=S13,AR1624&gt;S13),AR1624,"")</f>
        <v>#VALUE!</v>
      </c>
      <c r="AQ1624" s="1759">
        <f t="shared" si="84"/>
        <v>1621</v>
      </c>
      <c r="AR1624" s="1756" t="e">
        <f>0.5*(S18+2*AQ1624)*LN(1+2*AQ1624/S18)</f>
        <v>#VALUE!</v>
      </c>
    </row>
    <row r="1625" spans="42:44">
      <c r="AP1625" s="1756" t="e">
        <f>IF(OR(AR1625=S13,AR1625&gt;S13),AR1625,"")</f>
        <v>#VALUE!</v>
      </c>
      <c r="AQ1625" s="1759">
        <f t="shared" si="84"/>
        <v>1622</v>
      </c>
      <c r="AR1625" s="1756" t="e">
        <f>0.5*(S18+2*AQ1625)*LN(1+2*AQ1625/S18)</f>
        <v>#VALUE!</v>
      </c>
    </row>
    <row r="1626" spans="42:44">
      <c r="AP1626" s="1756" t="e">
        <f>IF(OR(AR1626=S13,AR1626&gt;S13),AR1626,"")</f>
        <v>#VALUE!</v>
      </c>
      <c r="AQ1626" s="1759">
        <f t="shared" si="84"/>
        <v>1623</v>
      </c>
      <c r="AR1626" s="1756" t="e">
        <f>0.5*(S18+2*AQ1626)*LN(1+2*AQ1626/S18)</f>
        <v>#VALUE!</v>
      </c>
    </row>
    <row r="1627" spans="42:44">
      <c r="AP1627" s="1756" t="e">
        <f>IF(OR(AR1627=S13,AR1627&gt;S13),AR1627,"")</f>
        <v>#VALUE!</v>
      </c>
      <c r="AQ1627" s="1759">
        <f t="shared" si="84"/>
        <v>1624</v>
      </c>
      <c r="AR1627" s="1756" t="e">
        <f>0.5*(S18+2*AQ1627)*LN(1+2*AQ1627/S18)</f>
        <v>#VALUE!</v>
      </c>
    </row>
    <row r="1628" spans="42:44">
      <c r="AP1628" s="1756" t="e">
        <f>IF(OR(AR1628=S13,AR1628&gt;S13),AR1628,"")</f>
        <v>#VALUE!</v>
      </c>
      <c r="AQ1628" s="1759">
        <f t="shared" si="84"/>
        <v>1625</v>
      </c>
      <c r="AR1628" s="1756" t="e">
        <f>0.5*(S18+2*AQ1628)*LN(1+2*AQ1628/S18)</f>
        <v>#VALUE!</v>
      </c>
    </row>
    <row r="1629" spans="42:44">
      <c r="AP1629" s="1756" t="e">
        <f>IF(OR(AR1629=S13,AR1629&gt;S13),AR1629,"")</f>
        <v>#VALUE!</v>
      </c>
      <c r="AQ1629" s="1759">
        <f t="shared" si="84"/>
        <v>1626</v>
      </c>
      <c r="AR1629" s="1756" t="e">
        <f>0.5*(S18+2*AQ1629)*LN(1+2*AQ1629/S18)</f>
        <v>#VALUE!</v>
      </c>
    </row>
    <row r="1630" spans="42:44">
      <c r="AP1630" s="1756" t="e">
        <f>IF(OR(AR1630=S13,AR1630&gt;S13),AR1630,"")</f>
        <v>#VALUE!</v>
      </c>
      <c r="AQ1630" s="1759">
        <f t="shared" si="84"/>
        <v>1627</v>
      </c>
      <c r="AR1630" s="1756" t="e">
        <f>0.5*(S18+2*AQ1630)*LN(1+2*AQ1630/S18)</f>
        <v>#VALUE!</v>
      </c>
    </row>
    <row r="1631" spans="42:44">
      <c r="AP1631" s="1756" t="e">
        <f>IF(OR(AR1631=S13,AR1631&gt;S13),AR1631,"")</f>
        <v>#VALUE!</v>
      </c>
      <c r="AQ1631" s="1759">
        <f t="shared" si="84"/>
        <v>1628</v>
      </c>
      <c r="AR1631" s="1756" t="e">
        <f>0.5*(S18+2*AQ1631)*LN(1+2*AQ1631/S18)</f>
        <v>#VALUE!</v>
      </c>
    </row>
    <row r="1632" spans="42:44">
      <c r="AP1632" s="1756" t="e">
        <f>IF(OR(AR1632=S13,AR1632&gt;S13),AR1632,"")</f>
        <v>#VALUE!</v>
      </c>
      <c r="AQ1632" s="1759">
        <f t="shared" si="84"/>
        <v>1629</v>
      </c>
      <c r="AR1632" s="1756" t="e">
        <f>0.5*(S18+2*AQ1632)*LN(1+2*AQ1632/S18)</f>
        <v>#VALUE!</v>
      </c>
    </row>
    <row r="1633" spans="42:44">
      <c r="AP1633" s="1756" t="e">
        <f>IF(OR(AR1633=S13,AR1633&gt;S13),AR1633,"")</f>
        <v>#VALUE!</v>
      </c>
      <c r="AQ1633" s="1759">
        <f t="shared" si="84"/>
        <v>1630</v>
      </c>
      <c r="AR1633" s="1756" t="e">
        <f>0.5*(S18+2*AQ1633)*LN(1+2*AQ1633/S18)</f>
        <v>#VALUE!</v>
      </c>
    </row>
    <row r="1634" spans="42:44">
      <c r="AP1634" s="1756" t="e">
        <f>IF(OR(AR1634=S13,AR1634&gt;S13),AR1634,"")</f>
        <v>#VALUE!</v>
      </c>
      <c r="AQ1634" s="1759">
        <f t="shared" si="84"/>
        <v>1631</v>
      </c>
      <c r="AR1634" s="1756" t="e">
        <f>0.5*(S18+2*AQ1634)*LN(1+2*AQ1634/S18)</f>
        <v>#VALUE!</v>
      </c>
    </row>
    <row r="1635" spans="42:44">
      <c r="AP1635" s="1756" t="e">
        <f>IF(OR(AR1635=S13,AR1635&gt;S13),AR1635,"")</f>
        <v>#VALUE!</v>
      </c>
      <c r="AQ1635" s="1759">
        <f t="shared" si="84"/>
        <v>1632</v>
      </c>
      <c r="AR1635" s="1756" t="e">
        <f>0.5*(S18+2*AQ1635)*LN(1+2*AQ1635/S18)</f>
        <v>#VALUE!</v>
      </c>
    </row>
    <row r="1636" spans="42:44">
      <c r="AP1636" s="1756" t="e">
        <f>IF(OR(AR1636=S13,AR1636&gt;S13),AR1636,"")</f>
        <v>#VALUE!</v>
      </c>
      <c r="AQ1636" s="1759">
        <f t="shared" si="84"/>
        <v>1633</v>
      </c>
      <c r="AR1636" s="1756" t="e">
        <f>0.5*(S18+2*AQ1636)*LN(1+2*AQ1636/S18)</f>
        <v>#VALUE!</v>
      </c>
    </row>
    <row r="1637" spans="42:44">
      <c r="AP1637" s="1756" t="e">
        <f>IF(OR(AR1637=S13,AR1637&gt;S13),AR1637,"")</f>
        <v>#VALUE!</v>
      </c>
      <c r="AQ1637" s="1759">
        <f t="shared" si="84"/>
        <v>1634</v>
      </c>
      <c r="AR1637" s="1756" t="e">
        <f>0.5*(S18+2*AQ1637)*LN(1+2*AQ1637/S18)</f>
        <v>#VALUE!</v>
      </c>
    </row>
    <row r="1638" spans="42:44">
      <c r="AP1638" s="1756" t="e">
        <f>IF(OR(AR1638=S13,AR1638&gt;S13),AR1638,"")</f>
        <v>#VALUE!</v>
      </c>
      <c r="AQ1638" s="1759">
        <f t="shared" si="84"/>
        <v>1635</v>
      </c>
      <c r="AR1638" s="1756" t="e">
        <f>0.5*(S18+2*AQ1638)*LN(1+2*AQ1638/S18)</f>
        <v>#VALUE!</v>
      </c>
    </row>
    <row r="1639" spans="42:44">
      <c r="AP1639" s="1756" t="e">
        <f>IF(OR(AR1639=S13,AR1639&gt;S13),AR1639,"")</f>
        <v>#VALUE!</v>
      </c>
      <c r="AQ1639" s="1759">
        <f t="shared" si="84"/>
        <v>1636</v>
      </c>
      <c r="AR1639" s="1756" t="e">
        <f>0.5*(S18+2*AQ1639)*LN(1+2*AQ1639/S18)</f>
        <v>#VALUE!</v>
      </c>
    </row>
    <row r="1640" spans="42:44">
      <c r="AP1640" s="1756" t="e">
        <f>IF(OR(AR1640=S13,AR1640&gt;S13),AR1640,"")</f>
        <v>#VALUE!</v>
      </c>
      <c r="AQ1640" s="1759">
        <f t="shared" si="84"/>
        <v>1637</v>
      </c>
      <c r="AR1640" s="1756" t="e">
        <f>0.5*(S18+2*AQ1640)*LN(1+2*AQ1640/S18)</f>
        <v>#VALUE!</v>
      </c>
    </row>
    <row r="1641" spans="42:44">
      <c r="AP1641" s="1756" t="e">
        <f>IF(OR(AR1641=S13,AR1641&gt;S13),AR1641,"")</f>
        <v>#VALUE!</v>
      </c>
      <c r="AQ1641" s="1759">
        <f t="shared" si="84"/>
        <v>1638</v>
      </c>
      <c r="AR1641" s="1756" t="e">
        <f>0.5*(S18+2*AQ1641)*LN(1+2*AQ1641/S18)</f>
        <v>#VALUE!</v>
      </c>
    </row>
    <row r="1642" spans="42:44">
      <c r="AP1642" s="1756" t="e">
        <f>IF(OR(AR1642=S13,AR1642&gt;S13),AR1642,"")</f>
        <v>#VALUE!</v>
      </c>
      <c r="AQ1642" s="1759">
        <f t="shared" si="84"/>
        <v>1639</v>
      </c>
      <c r="AR1642" s="1756" t="e">
        <f>0.5*(S18+2*AQ1642)*LN(1+2*AQ1642/S18)</f>
        <v>#VALUE!</v>
      </c>
    </row>
    <row r="1643" spans="42:44">
      <c r="AP1643" s="1756" t="e">
        <f>IF(OR(AR1643=S13,AR1643&gt;S13),AR1643,"")</f>
        <v>#VALUE!</v>
      </c>
      <c r="AQ1643" s="1759">
        <f t="shared" si="84"/>
        <v>1640</v>
      </c>
      <c r="AR1643" s="1756" t="e">
        <f>0.5*(S18+2*AQ1643)*LN(1+2*AQ1643/S18)</f>
        <v>#VALUE!</v>
      </c>
    </row>
    <row r="1644" spans="42:44">
      <c r="AP1644" s="1756" t="e">
        <f>IF(OR(AR1644=S13,AR1644&gt;S13),AR1644,"")</f>
        <v>#VALUE!</v>
      </c>
      <c r="AQ1644" s="1759">
        <f t="shared" si="84"/>
        <v>1641</v>
      </c>
      <c r="AR1644" s="1756" t="e">
        <f>0.5*(S18+2*AQ1644)*LN(1+2*AQ1644/S18)</f>
        <v>#VALUE!</v>
      </c>
    </row>
    <row r="1645" spans="42:44">
      <c r="AP1645" s="1756" t="e">
        <f>IF(OR(AR1645=S13,AR1645&gt;S13),AR1645,"")</f>
        <v>#VALUE!</v>
      </c>
      <c r="AQ1645" s="1759">
        <f t="shared" si="84"/>
        <v>1642</v>
      </c>
      <c r="AR1645" s="1756" t="e">
        <f>0.5*(S18+2*AQ1645)*LN(1+2*AQ1645/S18)</f>
        <v>#VALUE!</v>
      </c>
    </row>
    <row r="1646" spans="42:44">
      <c r="AP1646" s="1756" t="e">
        <f>IF(OR(AR1646=S13,AR1646&gt;S13),AR1646,"")</f>
        <v>#VALUE!</v>
      </c>
      <c r="AQ1646" s="1759">
        <f t="shared" si="84"/>
        <v>1643</v>
      </c>
      <c r="AR1646" s="1756" t="e">
        <f>0.5*(S18+2*AQ1646)*LN(1+2*AQ1646/S18)</f>
        <v>#VALUE!</v>
      </c>
    </row>
    <row r="1647" spans="42:44">
      <c r="AP1647" s="1756" t="e">
        <f>IF(OR(AR1647=S13,AR1647&gt;S13),AR1647,"")</f>
        <v>#VALUE!</v>
      </c>
      <c r="AQ1647" s="1759">
        <f t="shared" si="84"/>
        <v>1644</v>
      </c>
      <c r="AR1647" s="1756" t="e">
        <f>0.5*(S18+2*AQ1647)*LN(1+2*AQ1647/S18)</f>
        <v>#VALUE!</v>
      </c>
    </row>
    <row r="1648" spans="42:44">
      <c r="AP1648" s="1756" t="e">
        <f>IF(OR(AR1648=S13,AR1648&gt;S13),AR1648,"")</f>
        <v>#VALUE!</v>
      </c>
      <c r="AQ1648" s="1759">
        <f t="shared" si="84"/>
        <v>1645</v>
      </c>
      <c r="AR1648" s="1756" t="e">
        <f>0.5*(S18+2*AQ1648)*LN(1+2*AQ1648/S18)</f>
        <v>#VALUE!</v>
      </c>
    </row>
    <row r="1649" spans="42:44">
      <c r="AP1649" s="1756" t="e">
        <f>IF(OR(AR1649=S13,AR1649&gt;S13),AR1649,"")</f>
        <v>#VALUE!</v>
      </c>
      <c r="AQ1649" s="1759">
        <f t="shared" si="84"/>
        <v>1646</v>
      </c>
      <c r="AR1649" s="1756" t="e">
        <f>0.5*(S18+2*AQ1649)*LN(1+2*AQ1649/S18)</f>
        <v>#VALUE!</v>
      </c>
    </row>
    <row r="1650" spans="42:44">
      <c r="AP1650" s="1756" t="e">
        <f>IF(OR(AR1650=S13,AR1650&gt;S13),AR1650,"")</f>
        <v>#VALUE!</v>
      </c>
      <c r="AQ1650" s="1759">
        <f t="shared" si="84"/>
        <v>1647</v>
      </c>
      <c r="AR1650" s="1756" t="e">
        <f>0.5*(S18+2*AQ1650)*LN(1+2*AQ1650/S18)</f>
        <v>#VALUE!</v>
      </c>
    </row>
    <row r="1651" spans="42:44">
      <c r="AP1651" s="1756" t="e">
        <f>IF(OR(AR1651=S13,AR1651&gt;S13),AR1651,"")</f>
        <v>#VALUE!</v>
      </c>
      <c r="AQ1651" s="1759">
        <f t="shared" si="84"/>
        <v>1648</v>
      </c>
      <c r="AR1651" s="1756" t="e">
        <f>0.5*(S18+2*AQ1651)*LN(1+2*AQ1651/S18)</f>
        <v>#VALUE!</v>
      </c>
    </row>
    <row r="1652" spans="42:44">
      <c r="AP1652" s="1756" t="e">
        <f>IF(OR(AR1652=S13,AR1652&gt;S13),AR1652,"")</f>
        <v>#VALUE!</v>
      </c>
      <c r="AQ1652" s="1759">
        <f t="shared" si="84"/>
        <v>1649</v>
      </c>
      <c r="AR1652" s="1756" t="e">
        <f>0.5*(S18+2*AQ1652)*LN(1+2*AQ1652/S18)</f>
        <v>#VALUE!</v>
      </c>
    </row>
    <row r="1653" spans="42:44">
      <c r="AP1653" s="1756" t="e">
        <f>IF(OR(AR1653=S13,AR1653&gt;S13),AR1653,"")</f>
        <v>#VALUE!</v>
      </c>
      <c r="AQ1653" s="1759">
        <f t="shared" si="84"/>
        <v>1650</v>
      </c>
      <c r="AR1653" s="1756" t="e">
        <f>0.5*(S18+2*AQ1653)*LN(1+2*AQ1653/S18)</f>
        <v>#VALUE!</v>
      </c>
    </row>
    <row r="1654" spans="42:44">
      <c r="AP1654" s="1756" t="e">
        <f>IF(OR(AR1654=S13,AR1654&gt;S13),AR1654,"")</f>
        <v>#VALUE!</v>
      </c>
      <c r="AQ1654" s="1759">
        <f t="shared" si="84"/>
        <v>1651</v>
      </c>
      <c r="AR1654" s="1756" t="e">
        <f>0.5*(S18+2*AQ1654)*LN(1+2*AQ1654/S18)</f>
        <v>#VALUE!</v>
      </c>
    </row>
    <row r="1655" spans="42:44">
      <c r="AP1655" s="1756" t="e">
        <f>IF(OR(AR1655=S13,AR1655&gt;S13),AR1655,"")</f>
        <v>#VALUE!</v>
      </c>
      <c r="AQ1655" s="1759">
        <f t="shared" si="84"/>
        <v>1652</v>
      </c>
      <c r="AR1655" s="1756" t="e">
        <f>0.5*(S18+2*AQ1655)*LN(1+2*AQ1655/S18)</f>
        <v>#VALUE!</v>
      </c>
    </row>
    <row r="1656" spans="42:44">
      <c r="AP1656" s="1756" t="e">
        <f>IF(OR(AR1656=S13,AR1656&gt;S13),AR1656,"")</f>
        <v>#VALUE!</v>
      </c>
      <c r="AQ1656" s="1759">
        <f t="shared" si="84"/>
        <v>1653</v>
      </c>
      <c r="AR1656" s="1756" t="e">
        <f>0.5*(S18+2*AQ1656)*LN(1+2*AQ1656/S18)</f>
        <v>#VALUE!</v>
      </c>
    </row>
    <row r="1657" spans="42:44">
      <c r="AP1657" s="1756" t="e">
        <f>IF(OR(AR1657=S13,AR1657&gt;S13),AR1657,"")</f>
        <v>#VALUE!</v>
      </c>
      <c r="AQ1657" s="1759">
        <f t="shared" si="84"/>
        <v>1654</v>
      </c>
      <c r="AR1657" s="1756" t="e">
        <f>0.5*(S18+2*AQ1657)*LN(1+2*AQ1657/S18)</f>
        <v>#VALUE!</v>
      </c>
    </row>
    <row r="1658" spans="42:44">
      <c r="AP1658" s="1756" t="e">
        <f>IF(OR(AR1658=S13,AR1658&gt;S13),AR1658,"")</f>
        <v>#VALUE!</v>
      </c>
      <c r="AQ1658" s="1759">
        <f t="shared" si="84"/>
        <v>1655</v>
      </c>
      <c r="AR1658" s="1756" t="e">
        <f>0.5*(S18+2*AQ1658)*LN(1+2*AQ1658/S18)</f>
        <v>#VALUE!</v>
      </c>
    </row>
    <row r="1659" spans="42:44">
      <c r="AP1659" s="1756" t="e">
        <f>IF(OR(AR1659=S13,AR1659&gt;S13),AR1659,"")</f>
        <v>#VALUE!</v>
      </c>
      <c r="AQ1659" s="1759">
        <f t="shared" si="84"/>
        <v>1656</v>
      </c>
      <c r="AR1659" s="1756" t="e">
        <f>0.5*(S18+2*AQ1659)*LN(1+2*AQ1659/S18)</f>
        <v>#VALUE!</v>
      </c>
    </row>
    <row r="1660" spans="42:44">
      <c r="AP1660" s="1756" t="e">
        <f>IF(OR(AR1660=S13,AR1660&gt;S13),AR1660,"")</f>
        <v>#VALUE!</v>
      </c>
      <c r="AQ1660" s="1759">
        <f t="shared" si="84"/>
        <v>1657</v>
      </c>
      <c r="AR1660" s="1756" t="e">
        <f>0.5*(S18+2*AQ1660)*LN(1+2*AQ1660/S18)</f>
        <v>#VALUE!</v>
      </c>
    </row>
    <row r="1661" spans="42:44">
      <c r="AP1661" s="1756" t="e">
        <f>IF(OR(AR1661=S13,AR1661&gt;S13),AR1661,"")</f>
        <v>#VALUE!</v>
      </c>
      <c r="AQ1661" s="1759">
        <f t="shared" si="84"/>
        <v>1658</v>
      </c>
      <c r="AR1661" s="1756" t="e">
        <f>0.5*(S18+2*AQ1661)*LN(1+2*AQ1661/S18)</f>
        <v>#VALUE!</v>
      </c>
    </row>
    <row r="1662" spans="42:44">
      <c r="AP1662" s="1756" t="e">
        <f>IF(OR(AR1662=S13,AR1662&gt;S13),AR1662,"")</f>
        <v>#VALUE!</v>
      </c>
      <c r="AQ1662" s="1759">
        <f t="shared" si="84"/>
        <v>1659</v>
      </c>
      <c r="AR1662" s="1756" t="e">
        <f>0.5*(S18+2*AQ1662)*LN(1+2*AQ1662/S18)</f>
        <v>#VALUE!</v>
      </c>
    </row>
    <row r="1663" spans="42:44">
      <c r="AP1663" s="1756" t="e">
        <f>IF(OR(AR1663=S13,AR1663&gt;S13),AR1663,"")</f>
        <v>#VALUE!</v>
      </c>
      <c r="AQ1663" s="1759">
        <f t="shared" si="84"/>
        <v>1660</v>
      </c>
      <c r="AR1663" s="1756" t="e">
        <f>0.5*(S18+2*AQ1663)*LN(1+2*AQ1663/S18)</f>
        <v>#VALUE!</v>
      </c>
    </row>
    <row r="1664" spans="42:44">
      <c r="AP1664" s="1756" t="e">
        <f>IF(OR(AR1664=S13,AR1664&gt;S13),AR1664,"")</f>
        <v>#VALUE!</v>
      </c>
      <c r="AQ1664" s="1759">
        <f t="shared" si="84"/>
        <v>1661</v>
      </c>
      <c r="AR1664" s="1756" t="e">
        <f>0.5*(S18+2*AQ1664)*LN(1+2*AQ1664/S18)</f>
        <v>#VALUE!</v>
      </c>
    </row>
    <row r="1665" spans="42:44">
      <c r="AP1665" s="1756" t="e">
        <f>IF(OR(AR1665=S13,AR1665&gt;S13),AR1665,"")</f>
        <v>#VALUE!</v>
      </c>
      <c r="AQ1665" s="1759">
        <f t="shared" si="84"/>
        <v>1662</v>
      </c>
      <c r="AR1665" s="1756" t="e">
        <f>0.5*(S18+2*AQ1665)*LN(1+2*AQ1665/S18)</f>
        <v>#VALUE!</v>
      </c>
    </row>
    <row r="1666" spans="42:44">
      <c r="AP1666" s="1756" t="e">
        <f>IF(OR(AR1666=S13,AR1666&gt;S13),AR1666,"")</f>
        <v>#VALUE!</v>
      </c>
      <c r="AQ1666" s="1759">
        <f t="shared" si="84"/>
        <v>1663</v>
      </c>
      <c r="AR1666" s="1756" t="e">
        <f>0.5*(S18+2*AQ1666)*LN(1+2*AQ1666/S18)</f>
        <v>#VALUE!</v>
      </c>
    </row>
    <row r="1667" spans="42:44">
      <c r="AP1667" s="1756" t="e">
        <f>IF(OR(AR1667=S13,AR1667&gt;S13),AR1667,"")</f>
        <v>#VALUE!</v>
      </c>
      <c r="AQ1667" s="1759">
        <f t="shared" si="84"/>
        <v>1664</v>
      </c>
      <c r="AR1667" s="1756" t="e">
        <f>0.5*(S18+2*AQ1667)*LN(1+2*AQ1667/S18)</f>
        <v>#VALUE!</v>
      </c>
    </row>
    <row r="1668" spans="42:44">
      <c r="AP1668" s="1756" t="e">
        <f>IF(OR(AR1668=S13,AR1668&gt;S13),AR1668,"")</f>
        <v>#VALUE!</v>
      </c>
      <c r="AQ1668" s="1759">
        <f t="shared" si="84"/>
        <v>1665</v>
      </c>
      <c r="AR1668" s="1756" t="e">
        <f>0.5*(S18+2*AQ1668)*LN(1+2*AQ1668/S18)</f>
        <v>#VALUE!</v>
      </c>
    </row>
    <row r="1669" spans="42:44">
      <c r="AP1669" s="1756" t="e">
        <f>IF(OR(AR1669=S13,AR1669&gt;S13),AR1669,"")</f>
        <v>#VALUE!</v>
      </c>
      <c r="AQ1669" s="1759">
        <f t="shared" si="84"/>
        <v>1666</v>
      </c>
      <c r="AR1669" s="1756" t="e">
        <f>0.5*(S18+2*AQ1669)*LN(1+2*AQ1669/S18)</f>
        <v>#VALUE!</v>
      </c>
    </row>
    <row r="1670" spans="42:44">
      <c r="AP1670" s="1756" t="e">
        <f>IF(OR(AR1670=S13,AR1670&gt;S13),AR1670,"")</f>
        <v>#VALUE!</v>
      </c>
      <c r="AQ1670" s="1759">
        <f t="shared" ref="AQ1670:AQ1733" si="85">AQ1669+1</f>
        <v>1667</v>
      </c>
      <c r="AR1670" s="1756" t="e">
        <f>0.5*(S18+2*AQ1670)*LN(1+2*AQ1670/S18)</f>
        <v>#VALUE!</v>
      </c>
    </row>
    <row r="1671" spans="42:44">
      <c r="AP1671" s="1756" t="e">
        <f>IF(OR(AR1671=S13,AR1671&gt;S13),AR1671,"")</f>
        <v>#VALUE!</v>
      </c>
      <c r="AQ1671" s="1759">
        <f t="shared" si="85"/>
        <v>1668</v>
      </c>
      <c r="AR1671" s="1756" t="e">
        <f>0.5*(S18+2*AQ1671)*LN(1+2*AQ1671/S18)</f>
        <v>#VALUE!</v>
      </c>
    </row>
    <row r="1672" spans="42:44">
      <c r="AP1672" s="1756" t="e">
        <f>IF(OR(AR1672=S13,AR1672&gt;S13),AR1672,"")</f>
        <v>#VALUE!</v>
      </c>
      <c r="AQ1672" s="1759">
        <f t="shared" si="85"/>
        <v>1669</v>
      </c>
      <c r="AR1672" s="1756" t="e">
        <f>0.5*(S18+2*AQ1672)*LN(1+2*AQ1672/S18)</f>
        <v>#VALUE!</v>
      </c>
    </row>
    <row r="1673" spans="42:44">
      <c r="AP1673" s="1756" t="e">
        <f>IF(OR(AR1673=S13,AR1673&gt;S13),AR1673,"")</f>
        <v>#VALUE!</v>
      </c>
      <c r="AQ1673" s="1759">
        <f t="shared" si="85"/>
        <v>1670</v>
      </c>
      <c r="AR1673" s="1756" t="e">
        <f>0.5*(S18+2*AQ1673)*LN(1+2*AQ1673/S18)</f>
        <v>#VALUE!</v>
      </c>
    </row>
    <row r="1674" spans="42:44">
      <c r="AP1674" s="1756" t="e">
        <f>IF(OR(AR1674=S13,AR1674&gt;S13),AR1674,"")</f>
        <v>#VALUE!</v>
      </c>
      <c r="AQ1674" s="1759">
        <f t="shared" si="85"/>
        <v>1671</v>
      </c>
      <c r="AR1674" s="1756" t="e">
        <f>0.5*(S18+2*AQ1674)*LN(1+2*AQ1674/S18)</f>
        <v>#VALUE!</v>
      </c>
    </row>
    <row r="1675" spans="42:44">
      <c r="AP1675" s="1756" t="e">
        <f>IF(OR(AR1675=S13,AR1675&gt;S13),AR1675,"")</f>
        <v>#VALUE!</v>
      </c>
      <c r="AQ1675" s="1759">
        <f t="shared" si="85"/>
        <v>1672</v>
      </c>
      <c r="AR1675" s="1756" t="e">
        <f>0.5*(S18+2*AQ1675)*LN(1+2*AQ1675/S18)</f>
        <v>#VALUE!</v>
      </c>
    </row>
    <row r="1676" spans="42:44">
      <c r="AP1676" s="1756" t="e">
        <f>IF(OR(AR1676=S13,AR1676&gt;S13),AR1676,"")</f>
        <v>#VALUE!</v>
      </c>
      <c r="AQ1676" s="1759">
        <f t="shared" si="85"/>
        <v>1673</v>
      </c>
      <c r="AR1676" s="1756" t="e">
        <f>0.5*(S18+2*AQ1676)*LN(1+2*AQ1676/S18)</f>
        <v>#VALUE!</v>
      </c>
    </row>
    <row r="1677" spans="42:44">
      <c r="AP1677" s="1756" t="e">
        <f>IF(OR(AR1677=S13,AR1677&gt;S13),AR1677,"")</f>
        <v>#VALUE!</v>
      </c>
      <c r="AQ1677" s="1759">
        <f t="shared" si="85"/>
        <v>1674</v>
      </c>
      <c r="AR1677" s="1756" t="e">
        <f>0.5*(S18+2*AQ1677)*LN(1+2*AQ1677/S18)</f>
        <v>#VALUE!</v>
      </c>
    </row>
    <row r="1678" spans="42:44">
      <c r="AP1678" s="1756" t="e">
        <f>IF(OR(AR1678=S13,AR1678&gt;S13),AR1678,"")</f>
        <v>#VALUE!</v>
      </c>
      <c r="AQ1678" s="1759">
        <f t="shared" si="85"/>
        <v>1675</v>
      </c>
      <c r="AR1678" s="1756" t="e">
        <f>0.5*(S18+2*AQ1678)*LN(1+2*AQ1678/S18)</f>
        <v>#VALUE!</v>
      </c>
    </row>
    <row r="1679" spans="42:44">
      <c r="AP1679" s="1756" t="e">
        <f>IF(OR(AR1679=S13,AR1679&gt;S13),AR1679,"")</f>
        <v>#VALUE!</v>
      </c>
      <c r="AQ1679" s="1759">
        <f t="shared" si="85"/>
        <v>1676</v>
      </c>
      <c r="AR1679" s="1756" t="e">
        <f>0.5*(S18+2*AQ1679)*LN(1+2*AQ1679/S18)</f>
        <v>#VALUE!</v>
      </c>
    </row>
    <row r="1680" spans="42:44">
      <c r="AP1680" s="1756" t="e">
        <f>IF(OR(AR1680=S13,AR1680&gt;S13),AR1680,"")</f>
        <v>#VALUE!</v>
      </c>
      <c r="AQ1680" s="1759">
        <f t="shared" si="85"/>
        <v>1677</v>
      </c>
      <c r="AR1680" s="1756" t="e">
        <f>0.5*(S18+2*AQ1680)*LN(1+2*AQ1680/S18)</f>
        <v>#VALUE!</v>
      </c>
    </row>
    <row r="1681" spans="42:44">
      <c r="AP1681" s="1756" t="e">
        <f>IF(OR(AR1681=S13,AR1681&gt;S13),AR1681,"")</f>
        <v>#VALUE!</v>
      </c>
      <c r="AQ1681" s="1759">
        <f t="shared" si="85"/>
        <v>1678</v>
      </c>
      <c r="AR1681" s="1756" t="e">
        <f>0.5*(S18+2*AQ1681)*LN(1+2*AQ1681/S18)</f>
        <v>#VALUE!</v>
      </c>
    </row>
    <row r="1682" spans="42:44">
      <c r="AP1682" s="1756" t="e">
        <f>IF(OR(AR1682=S13,AR1682&gt;S13),AR1682,"")</f>
        <v>#VALUE!</v>
      </c>
      <c r="AQ1682" s="1759">
        <f t="shared" si="85"/>
        <v>1679</v>
      </c>
      <c r="AR1682" s="1756" t="e">
        <f>0.5*(S18+2*AQ1682)*LN(1+2*AQ1682/S18)</f>
        <v>#VALUE!</v>
      </c>
    </row>
    <row r="1683" spans="42:44">
      <c r="AP1683" s="1756" t="e">
        <f>IF(OR(AR1683=S13,AR1683&gt;S13),AR1683,"")</f>
        <v>#VALUE!</v>
      </c>
      <c r="AQ1683" s="1759">
        <f t="shared" si="85"/>
        <v>1680</v>
      </c>
      <c r="AR1683" s="1756" t="e">
        <f>0.5*(S18+2*AQ1683)*LN(1+2*AQ1683/S18)</f>
        <v>#VALUE!</v>
      </c>
    </row>
    <row r="1684" spans="42:44">
      <c r="AP1684" s="1756" t="e">
        <f>IF(OR(AR1684=S13,AR1684&gt;S13),AR1684,"")</f>
        <v>#VALUE!</v>
      </c>
      <c r="AQ1684" s="1759">
        <f t="shared" si="85"/>
        <v>1681</v>
      </c>
      <c r="AR1684" s="1756" t="e">
        <f>0.5*(S18+2*AQ1684)*LN(1+2*AQ1684/S18)</f>
        <v>#VALUE!</v>
      </c>
    </row>
    <row r="1685" spans="42:44">
      <c r="AP1685" s="1756" t="e">
        <f>IF(OR(AR1685=S13,AR1685&gt;S13),AR1685,"")</f>
        <v>#VALUE!</v>
      </c>
      <c r="AQ1685" s="1759">
        <f t="shared" si="85"/>
        <v>1682</v>
      </c>
      <c r="AR1685" s="1756" t="e">
        <f>0.5*(S18+2*AQ1685)*LN(1+2*AQ1685/S18)</f>
        <v>#VALUE!</v>
      </c>
    </row>
    <row r="1686" spans="42:44">
      <c r="AP1686" s="1756" t="e">
        <f>IF(OR(AR1686=S13,AR1686&gt;S13),AR1686,"")</f>
        <v>#VALUE!</v>
      </c>
      <c r="AQ1686" s="1759">
        <f t="shared" si="85"/>
        <v>1683</v>
      </c>
      <c r="AR1686" s="1756" t="e">
        <f>0.5*(S18+2*AQ1686)*LN(1+2*AQ1686/S18)</f>
        <v>#VALUE!</v>
      </c>
    </row>
    <row r="1687" spans="42:44">
      <c r="AP1687" s="1756" t="e">
        <f>IF(OR(AR1687=S13,AR1687&gt;S13),AR1687,"")</f>
        <v>#VALUE!</v>
      </c>
      <c r="AQ1687" s="1759">
        <f t="shared" si="85"/>
        <v>1684</v>
      </c>
      <c r="AR1687" s="1756" t="e">
        <f>0.5*(S18+2*AQ1687)*LN(1+2*AQ1687/S18)</f>
        <v>#VALUE!</v>
      </c>
    </row>
    <row r="1688" spans="42:44">
      <c r="AP1688" s="1756" t="e">
        <f>IF(OR(AR1688=S13,AR1688&gt;S13),AR1688,"")</f>
        <v>#VALUE!</v>
      </c>
      <c r="AQ1688" s="1759">
        <f t="shared" si="85"/>
        <v>1685</v>
      </c>
      <c r="AR1688" s="1756" t="e">
        <f>0.5*(S18+2*AQ1688)*LN(1+2*AQ1688/S18)</f>
        <v>#VALUE!</v>
      </c>
    </row>
    <row r="1689" spans="42:44">
      <c r="AP1689" s="1756" t="e">
        <f>IF(OR(AR1689=S13,AR1689&gt;S13),AR1689,"")</f>
        <v>#VALUE!</v>
      </c>
      <c r="AQ1689" s="1759">
        <f t="shared" si="85"/>
        <v>1686</v>
      </c>
      <c r="AR1689" s="1756" t="e">
        <f>0.5*(S18+2*AQ1689)*LN(1+2*AQ1689/S18)</f>
        <v>#VALUE!</v>
      </c>
    </row>
    <row r="1690" spans="42:44">
      <c r="AP1690" s="1756" t="e">
        <f>IF(OR(AR1690=S13,AR1690&gt;S13),AR1690,"")</f>
        <v>#VALUE!</v>
      </c>
      <c r="AQ1690" s="1759">
        <f t="shared" si="85"/>
        <v>1687</v>
      </c>
      <c r="AR1690" s="1756" t="e">
        <f>0.5*(S18+2*AQ1690)*LN(1+2*AQ1690/S18)</f>
        <v>#VALUE!</v>
      </c>
    </row>
    <row r="1691" spans="42:44">
      <c r="AP1691" s="1756" t="e">
        <f>IF(OR(AR1691=S13,AR1691&gt;S13),AR1691,"")</f>
        <v>#VALUE!</v>
      </c>
      <c r="AQ1691" s="1759">
        <f t="shared" si="85"/>
        <v>1688</v>
      </c>
      <c r="AR1691" s="1756" t="e">
        <f>0.5*(S18+2*AQ1691)*LN(1+2*AQ1691/S18)</f>
        <v>#VALUE!</v>
      </c>
    </row>
    <row r="1692" spans="42:44">
      <c r="AP1692" s="1756" t="e">
        <f>IF(OR(AR1692=S13,AR1692&gt;S13),AR1692,"")</f>
        <v>#VALUE!</v>
      </c>
      <c r="AQ1692" s="1759">
        <f t="shared" si="85"/>
        <v>1689</v>
      </c>
      <c r="AR1692" s="1756" t="e">
        <f>0.5*(S18+2*AQ1692)*LN(1+2*AQ1692/S18)</f>
        <v>#VALUE!</v>
      </c>
    </row>
    <row r="1693" spans="42:44">
      <c r="AP1693" s="1756" t="e">
        <f>IF(OR(AR1693=S13,AR1693&gt;S13),AR1693,"")</f>
        <v>#VALUE!</v>
      </c>
      <c r="AQ1693" s="1759">
        <f t="shared" si="85"/>
        <v>1690</v>
      </c>
      <c r="AR1693" s="1756" t="e">
        <f>0.5*(S18+2*AQ1693)*LN(1+2*AQ1693/S18)</f>
        <v>#VALUE!</v>
      </c>
    </row>
    <row r="1694" spans="42:44">
      <c r="AP1694" s="1756" t="e">
        <f>IF(OR(AR1694=S13,AR1694&gt;S13),AR1694,"")</f>
        <v>#VALUE!</v>
      </c>
      <c r="AQ1694" s="1759">
        <f t="shared" si="85"/>
        <v>1691</v>
      </c>
      <c r="AR1694" s="1756" t="e">
        <f>0.5*(S18+2*AQ1694)*LN(1+2*AQ1694/S18)</f>
        <v>#VALUE!</v>
      </c>
    </row>
    <row r="1695" spans="42:44">
      <c r="AP1695" s="1756" t="e">
        <f>IF(OR(AR1695=S13,AR1695&gt;S13),AR1695,"")</f>
        <v>#VALUE!</v>
      </c>
      <c r="AQ1695" s="1759">
        <f t="shared" si="85"/>
        <v>1692</v>
      </c>
      <c r="AR1695" s="1756" t="e">
        <f>0.5*(S18+2*AQ1695)*LN(1+2*AQ1695/S18)</f>
        <v>#VALUE!</v>
      </c>
    </row>
    <row r="1696" spans="42:44">
      <c r="AP1696" s="1756" t="e">
        <f>IF(OR(AR1696=S13,AR1696&gt;S13),AR1696,"")</f>
        <v>#VALUE!</v>
      </c>
      <c r="AQ1696" s="1759">
        <f t="shared" si="85"/>
        <v>1693</v>
      </c>
      <c r="AR1696" s="1756" t="e">
        <f>0.5*(S18+2*AQ1696)*LN(1+2*AQ1696/S18)</f>
        <v>#VALUE!</v>
      </c>
    </row>
    <row r="1697" spans="42:44">
      <c r="AP1697" s="1756" t="e">
        <f>IF(OR(AR1697=S13,AR1697&gt;S13),AR1697,"")</f>
        <v>#VALUE!</v>
      </c>
      <c r="AQ1697" s="1759">
        <f t="shared" si="85"/>
        <v>1694</v>
      </c>
      <c r="AR1697" s="1756" t="e">
        <f>0.5*(S18+2*AQ1697)*LN(1+2*AQ1697/S18)</f>
        <v>#VALUE!</v>
      </c>
    </row>
    <row r="1698" spans="42:44">
      <c r="AP1698" s="1756" t="e">
        <f>IF(OR(AR1698=S13,AR1698&gt;S13),AR1698,"")</f>
        <v>#VALUE!</v>
      </c>
      <c r="AQ1698" s="1759">
        <f t="shared" si="85"/>
        <v>1695</v>
      </c>
      <c r="AR1698" s="1756" t="e">
        <f>0.5*(S18+2*AQ1698)*LN(1+2*AQ1698/S18)</f>
        <v>#VALUE!</v>
      </c>
    </row>
    <row r="1699" spans="42:44">
      <c r="AP1699" s="1756" t="e">
        <f>IF(OR(AR1699=S13,AR1699&gt;S13),AR1699,"")</f>
        <v>#VALUE!</v>
      </c>
      <c r="AQ1699" s="1759">
        <f t="shared" si="85"/>
        <v>1696</v>
      </c>
      <c r="AR1699" s="1756" t="e">
        <f>0.5*(S18+2*AQ1699)*LN(1+2*AQ1699/S18)</f>
        <v>#VALUE!</v>
      </c>
    </row>
    <row r="1700" spans="42:44">
      <c r="AP1700" s="1756" t="e">
        <f>IF(OR(AR1700=S13,AR1700&gt;S13),AR1700,"")</f>
        <v>#VALUE!</v>
      </c>
      <c r="AQ1700" s="1759">
        <f t="shared" si="85"/>
        <v>1697</v>
      </c>
      <c r="AR1700" s="1756" t="e">
        <f>0.5*(S18+2*AQ1700)*LN(1+2*AQ1700/S18)</f>
        <v>#VALUE!</v>
      </c>
    </row>
    <row r="1701" spans="42:44">
      <c r="AP1701" s="1756" t="e">
        <f>IF(OR(AR1701=S13,AR1701&gt;S13),AR1701,"")</f>
        <v>#VALUE!</v>
      </c>
      <c r="AQ1701" s="1759">
        <f t="shared" si="85"/>
        <v>1698</v>
      </c>
      <c r="AR1701" s="1756" t="e">
        <f>0.5*(S18+2*AQ1701)*LN(1+2*AQ1701/S18)</f>
        <v>#VALUE!</v>
      </c>
    </row>
    <row r="1702" spans="42:44">
      <c r="AP1702" s="1756" t="e">
        <f>IF(OR(AR1702=S13,AR1702&gt;S13),AR1702,"")</f>
        <v>#VALUE!</v>
      </c>
      <c r="AQ1702" s="1759">
        <f t="shared" si="85"/>
        <v>1699</v>
      </c>
      <c r="AR1702" s="1756" t="e">
        <f>0.5*(S18+2*AQ1702)*LN(1+2*AQ1702/S18)</f>
        <v>#VALUE!</v>
      </c>
    </row>
    <row r="1703" spans="42:44">
      <c r="AP1703" s="1756" t="e">
        <f>IF(OR(AR1703=S13,AR1703&gt;S13),AR1703,"")</f>
        <v>#VALUE!</v>
      </c>
      <c r="AQ1703" s="1759">
        <f t="shared" si="85"/>
        <v>1700</v>
      </c>
      <c r="AR1703" s="1756" t="e">
        <f>0.5*(S18+2*AQ1703)*LN(1+2*AQ1703/S18)</f>
        <v>#VALUE!</v>
      </c>
    </row>
    <row r="1704" spans="42:44">
      <c r="AP1704" s="1756" t="e">
        <f>IF(OR(AR1704=S13,AR1704&gt;S13),AR1704,"")</f>
        <v>#VALUE!</v>
      </c>
      <c r="AQ1704" s="1759">
        <f t="shared" si="85"/>
        <v>1701</v>
      </c>
      <c r="AR1704" s="1756" t="e">
        <f>0.5*(S18+2*AQ1704)*LN(1+2*AQ1704/S18)</f>
        <v>#VALUE!</v>
      </c>
    </row>
    <row r="1705" spans="42:44">
      <c r="AP1705" s="1756" t="e">
        <f>IF(OR(AR1705=S13,AR1705&gt;S13),AR1705,"")</f>
        <v>#VALUE!</v>
      </c>
      <c r="AQ1705" s="1759">
        <f t="shared" si="85"/>
        <v>1702</v>
      </c>
      <c r="AR1705" s="1756" t="e">
        <f>0.5*(S18+2*AQ1705)*LN(1+2*AQ1705/S18)</f>
        <v>#VALUE!</v>
      </c>
    </row>
    <row r="1706" spans="42:44">
      <c r="AP1706" s="1756" t="e">
        <f>IF(OR(AR1706=S13,AR1706&gt;S13),AR1706,"")</f>
        <v>#VALUE!</v>
      </c>
      <c r="AQ1706" s="1759">
        <f t="shared" si="85"/>
        <v>1703</v>
      </c>
      <c r="AR1706" s="1756" t="e">
        <f>0.5*(S18+2*AQ1706)*LN(1+2*AQ1706/S18)</f>
        <v>#VALUE!</v>
      </c>
    </row>
    <row r="1707" spans="42:44">
      <c r="AP1707" s="1756" t="e">
        <f>IF(OR(AR1707=S13,AR1707&gt;S13),AR1707,"")</f>
        <v>#VALUE!</v>
      </c>
      <c r="AQ1707" s="1759">
        <f t="shared" si="85"/>
        <v>1704</v>
      </c>
      <c r="AR1707" s="1756" t="e">
        <f>0.5*(S18+2*AQ1707)*LN(1+2*AQ1707/S18)</f>
        <v>#VALUE!</v>
      </c>
    </row>
    <row r="1708" spans="42:44">
      <c r="AP1708" s="1756" t="e">
        <f>IF(OR(AR1708=S13,AR1708&gt;S13),AR1708,"")</f>
        <v>#VALUE!</v>
      </c>
      <c r="AQ1708" s="1759">
        <f t="shared" si="85"/>
        <v>1705</v>
      </c>
      <c r="AR1708" s="1756" t="e">
        <f>0.5*(S18+2*AQ1708)*LN(1+2*AQ1708/S18)</f>
        <v>#VALUE!</v>
      </c>
    </row>
    <row r="1709" spans="42:44">
      <c r="AP1709" s="1756" t="e">
        <f>IF(OR(AR1709=S13,AR1709&gt;S13),AR1709,"")</f>
        <v>#VALUE!</v>
      </c>
      <c r="AQ1709" s="1759">
        <f t="shared" si="85"/>
        <v>1706</v>
      </c>
      <c r="AR1709" s="1756" t="e">
        <f>0.5*(S18+2*AQ1709)*LN(1+2*AQ1709/S18)</f>
        <v>#VALUE!</v>
      </c>
    </row>
    <row r="1710" spans="42:44">
      <c r="AP1710" s="1756" t="e">
        <f>IF(OR(AR1710=S13,AR1710&gt;S13),AR1710,"")</f>
        <v>#VALUE!</v>
      </c>
      <c r="AQ1710" s="1759">
        <f t="shared" si="85"/>
        <v>1707</v>
      </c>
      <c r="AR1710" s="1756" t="e">
        <f>0.5*(S18+2*AQ1710)*LN(1+2*AQ1710/S18)</f>
        <v>#VALUE!</v>
      </c>
    </row>
    <row r="1711" spans="42:44">
      <c r="AP1711" s="1756" t="e">
        <f>IF(OR(AR1711=S13,AR1711&gt;S13),AR1711,"")</f>
        <v>#VALUE!</v>
      </c>
      <c r="AQ1711" s="1759">
        <f t="shared" si="85"/>
        <v>1708</v>
      </c>
      <c r="AR1711" s="1756" t="e">
        <f>0.5*(S18+2*AQ1711)*LN(1+2*AQ1711/S18)</f>
        <v>#VALUE!</v>
      </c>
    </row>
    <row r="1712" spans="42:44">
      <c r="AP1712" s="1756" t="e">
        <f>IF(OR(AR1712=S13,AR1712&gt;S13),AR1712,"")</f>
        <v>#VALUE!</v>
      </c>
      <c r="AQ1712" s="1759">
        <f t="shared" si="85"/>
        <v>1709</v>
      </c>
      <c r="AR1712" s="1756" t="e">
        <f>0.5*(S18+2*AQ1712)*LN(1+2*AQ1712/S18)</f>
        <v>#VALUE!</v>
      </c>
    </row>
    <row r="1713" spans="42:44">
      <c r="AP1713" s="1756" t="e">
        <f>IF(OR(AR1713=S13,AR1713&gt;S13),AR1713,"")</f>
        <v>#VALUE!</v>
      </c>
      <c r="AQ1713" s="1759">
        <f t="shared" si="85"/>
        <v>1710</v>
      </c>
      <c r="AR1713" s="1756" t="e">
        <f>0.5*(S18+2*AQ1713)*LN(1+2*AQ1713/S18)</f>
        <v>#VALUE!</v>
      </c>
    </row>
    <row r="1714" spans="42:44">
      <c r="AP1714" s="1756" t="e">
        <f>IF(OR(AR1714=S13,AR1714&gt;S13),AR1714,"")</f>
        <v>#VALUE!</v>
      </c>
      <c r="AQ1714" s="1759">
        <f t="shared" si="85"/>
        <v>1711</v>
      </c>
      <c r="AR1714" s="1756" t="e">
        <f>0.5*(S18+2*AQ1714)*LN(1+2*AQ1714/S18)</f>
        <v>#VALUE!</v>
      </c>
    </row>
    <row r="1715" spans="42:44">
      <c r="AP1715" s="1756" t="e">
        <f>IF(OR(AR1715=S13,AR1715&gt;S13),AR1715,"")</f>
        <v>#VALUE!</v>
      </c>
      <c r="AQ1715" s="1759">
        <f t="shared" si="85"/>
        <v>1712</v>
      </c>
      <c r="AR1715" s="1756" t="e">
        <f>0.5*(S18+2*AQ1715)*LN(1+2*AQ1715/S18)</f>
        <v>#VALUE!</v>
      </c>
    </row>
    <row r="1716" spans="42:44">
      <c r="AP1716" s="1756" t="e">
        <f>IF(OR(AR1716=S13,AR1716&gt;S13),AR1716,"")</f>
        <v>#VALUE!</v>
      </c>
      <c r="AQ1716" s="1759">
        <f t="shared" si="85"/>
        <v>1713</v>
      </c>
      <c r="AR1716" s="1756" t="e">
        <f>0.5*(S18+2*AQ1716)*LN(1+2*AQ1716/S18)</f>
        <v>#VALUE!</v>
      </c>
    </row>
    <row r="1717" spans="42:44">
      <c r="AP1717" s="1756" t="e">
        <f>IF(OR(AR1717=S13,AR1717&gt;S13),AR1717,"")</f>
        <v>#VALUE!</v>
      </c>
      <c r="AQ1717" s="1759">
        <f t="shared" si="85"/>
        <v>1714</v>
      </c>
      <c r="AR1717" s="1756" t="e">
        <f>0.5*(S18+2*AQ1717)*LN(1+2*AQ1717/S18)</f>
        <v>#VALUE!</v>
      </c>
    </row>
    <row r="1718" spans="42:44">
      <c r="AP1718" s="1756" t="e">
        <f>IF(OR(AR1718=S13,AR1718&gt;S13),AR1718,"")</f>
        <v>#VALUE!</v>
      </c>
      <c r="AQ1718" s="1759">
        <f t="shared" si="85"/>
        <v>1715</v>
      </c>
      <c r="AR1718" s="1756" t="e">
        <f>0.5*(S18+2*AQ1718)*LN(1+2*AQ1718/S18)</f>
        <v>#VALUE!</v>
      </c>
    </row>
    <row r="1719" spans="42:44">
      <c r="AP1719" s="1756" t="e">
        <f>IF(OR(AR1719=S13,AR1719&gt;S13),AR1719,"")</f>
        <v>#VALUE!</v>
      </c>
      <c r="AQ1719" s="1759">
        <f t="shared" si="85"/>
        <v>1716</v>
      </c>
      <c r="AR1719" s="1756" t="e">
        <f>0.5*(S18+2*AQ1719)*LN(1+2*AQ1719/S18)</f>
        <v>#VALUE!</v>
      </c>
    </row>
    <row r="1720" spans="42:44">
      <c r="AP1720" s="1756" t="e">
        <f>IF(OR(AR1720=S13,AR1720&gt;S13),AR1720,"")</f>
        <v>#VALUE!</v>
      </c>
      <c r="AQ1720" s="1759">
        <f t="shared" si="85"/>
        <v>1717</v>
      </c>
      <c r="AR1720" s="1756" t="e">
        <f>0.5*(S18+2*AQ1720)*LN(1+2*AQ1720/S18)</f>
        <v>#VALUE!</v>
      </c>
    </row>
    <row r="1721" spans="42:44">
      <c r="AP1721" s="1756" t="e">
        <f>IF(OR(AR1721=S13,AR1721&gt;S13),AR1721,"")</f>
        <v>#VALUE!</v>
      </c>
      <c r="AQ1721" s="1759">
        <f t="shared" si="85"/>
        <v>1718</v>
      </c>
      <c r="AR1721" s="1756" t="e">
        <f>0.5*(S18+2*AQ1721)*LN(1+2*AQ1721/S18)</f>
        <v>#VALUE!</v>
      </c>
    </row>
    <row r="1722" spans="42:44">
      <c r="AP1722" s="1756" t="e">
        <f>IF(OR(AR1722=S13,AR1722&gt;S13),AR1722,"")</f>
        <v>#VALUE!</v>
      </c>
      <c r="AQ1722" s="1759">
        <f t="shared" si="85"/>
        <v>1719</v>
      </c>
      <c r="AR1722" s="1756" t="e">
        <f>0.5*(S18+2*AQ1722)*LN(1+2*AQ1722/S18)</f>
        <v>#VALUE!</v>
      </c>
    </row>
    <row r="1723" spans="42:44">
      <c r="AP1723" s="1756" t="e">
        <f>IF(OR(AR1723=S13,AR1723&gt;S13),AR1723,"")</f>
        <v>#VALUE!</v>
      </c>
      <c r="AQ1723" s="1759">
        <f t="shared" si="85"/>
        <v>1720</v>
      </c>
      <c r="AR1723" s="1756" t="e">
        <f>0.5*(S18+2*AQ1723)*LN(1+2*AQ1723/S18)</f>
        <v>#VALUE!</v>
      </c>
    </row>
    <row r="1724" spans="42:44">
      <c r="AP1724" s="1756" t="e">
        <f>IF(OR(AR1724=S13,AR1724&gt;S13),AR1724,"")</f>
        <v>#VALUE!</v>
      </c>
      <c r="AQ1724" s="1759">
        <f t="shared" si="85"/>
        <v>1721</v>
      </c>
      <c r="AR1724" s="1756" t="e">
        <f>0.5*(S18+2*AQ1724)*LN(1+2*AQ1724/S18)</f>
        <v>#VALUE!</v>
      </c>
    </row>
    <row r="1725" spans="42:44">
      <c r="AP1725" s="1756" t="e">
        <f>IF(OR(AR1725=S13,AR1725&gt;S13),AR1725,"")</f>
        <v>#VALUE!</v>
      </c>
      <c r="AQ1725" s="1759">
        <f t="shared" si="85"/>
        <v>1722</v>
      </c>
      <c r="AR1725" s="1756" t="e">
        <f>0.5*(S18+2*AQ1725)*LN(1+2*AQ1725/S18)</f>
        <v>#VALUE!</v>
      </c>
    </row>
    <row r="1726" spans="42:44">
      <c r="AP1726" s="1756" t="e">
        <f>IF(OR(AR1726=S13,AR1726&gt;S13),AR1726,"")</f>
        <v>#VALUE!</v>
      </c>
      <c r="AQ1726" s="1759">
        <f t="shared" si="85"/>
        <v>1723</v>
      </c>
      <c r="AR1726" s="1756" t="e">
        <f>0.5*(S18+2*AQ1726)*LN(1+2*AQ1726/S18)</f>
        <v>#VALUE!</v>
      </c>
    </row>
    <row r="1727" spans="42:44">
      <c r="AP1727" s="1756" t="e">
        <f>IF(OR(AR1727=S13,AR1727&gt;S13),AR1727,"")</f>
        <v>#VALUE!</v>
      </c>
      <c r="AQ1727" s="1759">
        <f t="shared" si="85"/>
        <v>1724</v>
      </c>
      <c r="AR1727" s="1756" t="e">
        <f>0.5*(S18+2*AQ1727)*LN(1+2*AQ1727/S18)</f>
        <v>#VALUE!</v>
      </c>
    </row>
    <row r="1728" spans="42:44">
      <c r="AP1728" s="1756" t="e">
        <f>IF(OR(AR1728=S13,AR1728&gt;S13),AR1728,"")</f>
        <v>#VALUE!</v>
      </c>
      <c r="AQ1728" s="1759">
        <f t="shared" si="85"/>
        <v>1725</v>
      </c>
      <c r="AR1728" s="1756" t="e">
        <f>0.5*(S18+2*AQ1728)*LN(1+2*AQ1728/S18)</f>
        <v>#VALUE!</v>
      </c>
    </row>
    <row r="1729" spans="42:44">
      <c r="AP1729" s="1756" t="e">
        <f>IF(OR(AR1729=S13,AR1729&gt;S13),AR1729,"")</f>
        <v>#VALUE!</v>
      </c>
      <c r="AQ1729" s="1759">
        <f t="shared" si="85"/>
        <v>1726</v>
      </c>
      <c r="AR1729" s="1756" t="e">
        <f>0.5*(S18+2*AQ1729)*LN(1+2*AQ1729/S18)</f>
        <v>#VALUE!</v>
      </c>
    </row>
    <row r="1730" spans="42:44">
      <c r="AP1730" s="1756" t="e">
        <f>IF(OR(AR1730=S13,AR1730&gt;S13),AR1730,"")</f>
        <v>#VALUE!</v>
      </c>
      <c r="AQ1730" s="1759">
        <f t="shared" si="85"/>
        <v>1727</v>
      </c>
      <c r="AR1730" s="1756" t="e">
        <f>0.5*(S18+2*AQ1730)*LN(1+2*AQ1730/S18)</f>
        <v>#VALUE!</v>
      </c>
    </row>
    <row r="1731" spans="42:44">
      <c r="AP1731" s="1756" t="e">
        <f>IF(OR(AR1731=S13,AR1731&gt;S13),AR1731,"")</f>
        <v>#VALUE!</v>
      </c>
      <c r="AQ1731" s="1759">
        <f t="shared" si="85"/>
        <v>1728</v>
      </c>
      <c r="AR1731" s="1756" t="e">
        <f>0.5*(S18+2*AQ1731)*LN(1+2*AQ1731/S18)</f>
        <v>#VALUE!</v>
      </c>
    </row>
    <row r="1732" spans="42:44">
      <c r="AP1732" s="1756" t="e">
        <f>IF(OR(AR1732=S13,AR1732&gt;S13),AR1732,"")</f>
        <v>#VALUE!</v>
      </c>
      <c r="AQ1732" s="1759">
        <f t="shared" si="85"/>
        <v>1729</v>
      </c>
      <c r="AR1732" s="1756" t="e">
        <f>0.5*(S18+2*AQ1732)*LN(1+2*AQ1732/S18)</f>
        <v>#VALUE!</v>
      </c>
    </row>
    <row r="1733" spans="42:44">
      <c r="AP1733" s="1756" t="e">
        <f>IF(OR(AR1733=S13,AR1733&gt;S13),AR1733,"")</f>
        <v>#VALUE!</v>
      </c>
      <c r="AQ1733" s="1759">
        <f t="shared" si="85"/>
        <v>1730</v>
      </c>
      <c r="AR1733" s="1756" t="e">
        <f>0.5*(S18+2*AQ1733)*LN(1+2*AQ1733/S18)</f>
        <v>#VALUE!</v>
      </c>
    </row>
    <row r="1734" spans="42:44">
      <c r="AP1734" s="1756" t="e">
        <f>IF(OR(AR1734=S13,AR1734&gt;S13),AR1734,"")</f>
        <v>#VALUE!</v>
      </c>
      <c r="AQ1734" s="1759">
        <f t="shared" ref="AQ1734:AQ1797" si="86">AQ1733+1</f>
        <v>1731</v>
      </c>
      <c r="AR1734" s="1756" t="e">
        <f>0.5*(S18+2*AQ1734)*LN(1+2*AQ1734/S18)</f>
        <v>#VALUE!</v>
      </c>
    </row>
    <row r="1735" spans="42:44">
      <c r="AP1735" s="1756" t="e">
        <f>IF(OR(AR1735=S13,AR1735&gt;S13),AR1735,"")</f>
        <v>#VALUE!</v>
      </c>
      <c r="AQ1735" s="1759">
        <f t="shared" si="86"/>
        <v>1732</v>
      </c>
      <c r="AR1735" s="1756" t="e">
        <f>0.5*(S18+2*AQ1735)*LN(1+2*AQ1735/S18)</f>
        <v>#VALUE!</v>
      </c>
    </row>
    <row r="1736" spans="42:44">
      <c r="AP1736" s="1756" t="e">
        <f>IF(OR(AR1736=S13,AR1736&gt;S13),AR1736,"")</f>
        <v>#VALUE!</v>
      </c>
      <c r="AQ1736" s="1759">
        <f t="shared" si="86"/>
        <v>1733</v>
      </c>
      <c r="AR1736" s="1756" t="e">
        <f>0.5*(S18+2*AQ1736)*LN(1+2*AQ1736/S18)</f>
        <v>#VALUE!</v>
      </c>
    </row>
    <row r="1737" spans="42:44">
      <c r="AP1737" s="1756" t="e">
        <f>IF(OR(AR1737=S13,AR1737&gt;S13),AR1737,"")</f>
        <v>#VALUE!</v>
      </c>
      <c r="AQ1737" s="1759">
        <f t="shared" si="86"/>
        <v>1734</v>
      </c>
      <c r="AR1737" s="1756" t="e">
        <f>0.5*(S18+2*AQ1737)*LN(1+2*AQ1737/S18)</f>
        <v>#VALUE!</v>
      </c>
    </row>
    <row r="1738" spans="42:44">
      <c r="AP1738" s="1756" t="e">
        <f>IF(OR(AR1738=S13,AR1738&gt;S13),AR1738,"")</f>
        <v>#VALUE!</v>
      </c>
      <c r="AQ1738" s="1759">
        <f t="shared" si="86"/>
        <v>1735</v>
      </c>
      <c r="AR1738" s="1756" t="e">
        <f>0.5*(S18+2*AQ1738)*LN(1+2*AQ1738/S18)</f>
        <v>#VALUE!</v>
      </c>
    </row>
    <row r="1739" spans="42:44">
      <c r="AP1739" s="1756" t="e">
        <f>IF(OR(AR1739=S13,AR1739&gt;S13),AR1739,"")</f>
        <v>#VALUE!</v>
      </c>
      <c r="AQ1739" s="1759">
        <f t="shared" si="86"/>
        <v>1736</v>
      </c>
      <c r="AR1739" s="1756" t="e">
        <f>0.5*(S18+2*AQ1739)*LN(1+2*AQ1739/S18)</f>
        <v>#VALUE!</v>
      </c>
    </row>
    <row r="1740" spans="42:44">
      <c r="AP1740" s="1756" t="e">
        <f>IF(OR(AR1740=S13,AR1740&gt;S13),AR1740,"")</f>
        <v>#VALUE!</v>
      </c>
      <c r="AQ1740" s="1759">
        <f t="shared" si="86"/>
        <v>1737</v>
      </c>
      <c r="AR1740" s="1756" t="e">
        <f>0.5*(S18+2*AQ1740)*LN(1+2*AQ1740/S18)</f>
        <v>#VALUE!</v>
      </c>
    </row>
    <row r="1741" spans="42:44">
      <c r="AP1741" s="1756" t="e">
        <f>IF(OR(AR1741=S13,AR1741&gt;S13),AR1741,"")</f>
        <v>#VALUE!</v>
      </c>
      <c r="AQ1741" s="1759">
        <f t="shared" si="86"/>
        <v>1738</v>
      </c>
      <c r="AR1741" s="1756" t="e">
        <f>0.5*(S18+2*AQ1741)*LN(1+2*AQ1741/S18)</f>
        <v>#VALUE!</v>
      </c>
    </row>
    <row r="1742" spans="42:44">
      <c r="AP1742" s="1756" t="e">
        <f>IF(OR(AR1742=S13,AR1742&gt;S13),AR1742,"")</f>
        <v>#VALUE!</v>
      </c>
      <c r="AQ1742" s="1759">
        <f t="shared" si="86"/>
        <v>1739</v>
      </c>
      <c r="AR1742" s="1756" t="e">
        <f>0.5*(S18+2*AQ1742)*LN(1+2*AQ1742/S18)</f>
        <v>#VALUE!</v>
      </c>
    </row>
    <row r="1743" spans="42:44">
      <c r="AP1743" s="1756" t="e">
        <f>IF(OR(AR1743=S13,AR1743&gt;S13),AR1743,"")</f>
        <v>#VALUE!</v>
      </c>
      <c r="AQ1743" s="1759">
        <f t="shared" si="86"/>
        <v>1740</v>
      </c>
      <c r="AR1743" s="1756" t="e">
        <f>0.5*(S18+2*AQ1743)*LN(1+2*AQ1743/S18)</f>
        <v>#VALUE!</v>
      </c>
    </row>
    <row r="1744" spans="42:44">
      <c r="AP1744" s="1756" t="e">
        <f>IF(OR(AR1744=S13,AR1744&gt;S13),AR1744,"")</f>
        <v>#VALUE!</v>
      </c>
      <c r="AQ1744" s="1759">
        <f t="shared" si="86"/>
        <v>1741</v>
      </c>
      <c r="AR1744" s="1756" t="e">
        <f>0.5*(S18+2*AQ1744)*LN(1+2*AQ1744/S18)</f>
        <v>#VALUE!</v>
      </c>
    </row>
    <row r="1745" spans="42:44">
      <c r="AP1745" s="1756" t="e">
        <f>IF(OR(AR1745=S13,AR1745&gt;S13),AR1745,"")</f>
        <v>#VALUE!</v>
      </c>
      <c r="AQ1745" s="1759">
        <f t="shared" si="86"/>
        <v>1742</v>
      </c>
      <c r="AR1745" s="1756" t="e">
        <f>0.5*(S18+2*AQ1745)*LN(1+2*AQ1745/S18)</f>
        <v>#VALUE!</v>
      </c>
    </row>
    <row r="1746" spans="42:44">
      <c r="AP1746" s="1756" t="e">
        <f>IF(OR(AR1746=S13,AR1746&gt;S13),AR1746,"")</f>
        <v>#VALUE!</v>
      </c>
      <c r="AQ1746" s="1759">
        <f t="shared" si="86"/>
        <v>1743</v>
      </c>
      <c r="AR1746" s="1756" t="e">
        <f>0.5*(S18+2*AQ1746)*LN(1+2*AQ1746/S18)</f>
        <v>#VALUE!</v>
      </c>
    </row>
    <row r="1747" spans="42:44">
      <c r="AP1747" s="1756" t="e">
        <f>IF(OR(AR1747=S13,AR1747&gt;S13),AR1747,"")</f>
        <v>#VALUE!</v>
      </c>
      <c r="AQ1747" s="1759">
        <f t="shared" si="86"/>
        <v>1744</v>
      </c>
      <c r="AR1747" s="1756" t="e">
        <f>0.5*(S18+2*AQ1747)*LN(1+2*AQ1747/S18)</f>
        <v>#VALUE!</v>
      </c>
    </row>
    <row r="1748" spans="42:44">
      <c r="AP1748" s="1756" t="e">
        <f>IF(OR(AR1748=S13,AR1748&gt;S13),AR1748,"")</f>
        <v>#VALUE!</v>
      </c>
      <c r="AQ1748" s="1759">
        <f t="shared" si="86"/>
        <v>1745</v>
      </c>
      <c r="AR1748" s="1756" t="e">
        <f>0.5*(S18+2*AQ1748)*LN(1+2*AQ1748/S18)</f>
        <v>#VALUE!</v>
      </c>
    </row>
    <row r="1749" spans="42:44">
      <c r="AP1749" s="1756" t="e">
        <f>IF(OR(AR1749=S13,AR1749&gt;S13),AR1749,"")</f>
        <v>#VALUE!</v>
      </c>
      <c r="AQ1749" s="1759">
        <f t="shared" si="86"/>
        <v>1746</v>
      </c>
      <c r="AR1749" s="1756" t="e">
        <f>0.5*(S18+2*AQ1749)*LN(1+2*AQ1749/S18)</f>
        <v>#VALUE!</v>
      </c>
    </row>
    <row r="1750" spans="42:44">
      <c r="AP1750" s="1756" t="e">
        <f>IF(OR(AR1750=S13,AR1750&gt;S13),AR1750,"")</f>
        <v>#VALUE!</v>
      </c>
      <c r="AQ1750" s="1759">
        <f t="shared" si="86"/>
        <v>1747</v>
      </c>
      <c r="AR1750" s="1756" t="e">
        <f>0.5*(S18+2*AQ1750)*LN(1+2*AQ1750/S18)</f>
        <v>#VALUE!</v>
      </c>
    </row>
    <row r="1751" spans="42:44">
      <c r="AP1751" s="1756" t="e">
        <f>IF(OR(AR1751=S13,AR1751&gt;S13),AR1751,"")</f>
        <v>#VALUE!</v>
      </c>
      <c r="AQ1751" s="1759">
        <f t="shared" si="86"/>
        <v>1748</v>
      </c>
      <c r="AR1751" s="1756" t="e">
        <f>0.5*(S18+2*AQ1751)*LN(1+2*AQ1751/S18)</f>
        <v>#VALUE!</v>
      </c>
    </row>
    <row r="1752" spans="42:44">
      <c r="AP1752" s="1756" t="e">
        <f>IF(OR(AR1752=S13,AR1752&gt;S13),AR1752,"")</f>
        <v>#VALUE!</v>
      </c>
      <c r="AQ1752" s="1759">
        <f t="shared" si="86"/>
        <v>1749</v>
      </c>
      <c r="AR1752" s="1756" t="e">
        <f>0.5*(S18+2*AQ1752)*LN(1+2*AQ1752/S18)</f>
        <v>#VALUE!</v>
      </c>
    </row>
    <row r="1753" spans="42:44">
      <c r="AP1753" s="1756" t="e">
        <f>IF(OR(AR1753=S13,AR1753&gt;S13),AR1753,"")</f>
        <v>#VALUE!</v>
      </c>
      <c r="AQ1753" s="1759">
        <f t="shared" si="86"/>
        <v>1750</v>
      </c>
      <c r="AR1753" s="1756" t="e">
        <f>0.5*(S18+2*AQ1753)*LN(1+2*AQ1753/S18)</f>
        <v>#VALUE!</v>
      </c>
    </row>
    <row r="1754" spans="42:44">
      <c r="AP1754" s="1756" t="e">
        <f>IF(OR(AR1754=S13,AR1754&gt;S13),AR1754,"")</f>
        <v>#VALUE!</v>
      </c>
      <c r="AQ1754" s="1759">
        <f t="shared" si="86"/>
        <v>1751</v>
      </c>
      <c r="AR1754" s="1756" t="e">
        <f>0.5*(S18+2*AQ1754)*LN(1+2*AQ1754/S18)</f>
        <v>#VALUE!</v>
      </c>
    </row>
    <row r="1755" spans="42:44">
      <c r="AP1755" s="1756" t="e">
        <f>IF(OR(AR1755=S13,AR1755&gt;S13),AR1755,"")</f>
        <v>#VALUE!</v>
      </c>
      <c r="AQ1755" s="1759">
        <f t="shared" si="86"/>
        <v>1752</v>
      </c>
      <c r="AR1755" s="1756" t="e">
        <f>0.5*(S18+2*AQ1755)*LN(1+2*AQ1755/S18)</f>
        <v>#VALUE!</v>
      </c>
    </row>
    <row r="1756" spans="42:44">
      <c r="AP1756" s="1756" t="e">
        <f>IF(OR(AR1756=S13,AR1756&gt;S13),AR1756,"")</f>
        <v>#VALUE!</v>
      </c>
      <c r="AQ1756" s="1759">
        <f t="shared" si="86"/>
        <v>1753</v>
      </c>
      <c r="AR1756" s="1756" t="e">
        <f>0.5*(S18+2*AQ1756)*LN(1+2*AQ1756/S18)</f>
        <v>#VALUE!</v>
      </c>
    </row>
    <row r="1757" spans="42:44">
      <c r="AP1757" s="1756" t="e">
        <f>IF(OR(AR1757=S13,AR1757&gt;S13),AR1757,"")</f>
        <v>#VALUE!</v>
      </c>
      <c r="AQ1757" s="1759">
        <f t="shared" si="86"/>
        <v>1754</v>
      </c>
      <c r="AR1757" s="1756" t="e">
        <f>0.5*(S18+2*AQ1757)*LN(1+2*AQ1757/S18)</f>
        <v>#VALUE!</v>
      </c>
    </row>
    <row r="1758" spans="42:44">
      <c r="AP1758" s="1756" t="e">
        <f>IF(OR(AR1758=S13,AR1758&gt;S13),AR1758,"")</f>
        <v>#VALUE!</v>
      </c>
      <c r="AQ1758" s="1759">
        <f t="shared" si="86"/>
        <v>1755</v>
      </c>
      <c r="AR1758" s="1756" t="e">
        <f>0.5*(S18+2*AQ1758)*LN(1+2*AQ1758/S18)</f>
        <v>#VALUE!</v>
      </c>
    </row>
    <row r="1759" spans="42:44">
      <c r="AP1759" s="1756" t="e">
        <f>IF(OR(AR1759=S13,AR1759&gt;S13),AR1759,"")</f>
        <v>#VALUE!</v>
      </c>
      <c r="AQ1759" s="1759">
        <f t="shared" si="86"/>
        <v>1756</v>
      </c>
      <c r="AR1759" s="1756" t="e">
        <f>0.5*(S18+2*AQ1759)*LN(1+2*AQ1759/S18)</f>
        <v>#VALUE!</v>
      </c>
    </row>
    <row r="1760" spans="42:44">
      <c r="AP1760" s="1756" t="e">
        <f>IF(OR(AR1760=S13,AR1760&gt;S13),AR1760,"")</f>
        <v>#VALUE!</v>
      </c>
      <c r="AQ1760" s="1759">
        <f t="shared" si="86"/>
        <v>1757</v>
      </c>
      <c r="AR1760" s="1756" t="e">
        <f>0.5*(S18+2*AQ1760)*LN(1+2*AQ1760/S18)</f>
        <v>#VALUE!</v>
      </c>
    </row>
    <row r="1761" spans="42:44">
      <c r="AP1761" s="1756" t="e">
        <f>IF(OR(AR1761=S13,AR1761&gt;S13),AR1761,"")</f>
        <v>#VALUE!</v>
      </c>
      <c r="AQ1761" s="1759">
        <f t="shared" si="86"/>
        <v>1758</v>
      </c>
      <c r="AR1761" s="1756" t="e">
        <f>0.5*(S18+2*AQ1761)*LN(1+2*AQ1761/S18)</f>
        <v>#VALUE!</v>
      </c>
    </row>
    <row r="1762" spans="42:44">
      <c r="AP1762" s="1756" t="e">
        <f>IF(OR(AR1762=S13,AR1762&gt;S13),AR1762,"")</f>
        <v>#VALUE!</v>
      </c>
      <c r="AQ1762" s="1759">
        <f t="shared" si="86"/>
        <v>1759</v>
      </c>
      <c r="AR1762" s="1756" t="e">
        <f>0.5*(S18+2*AQ1762)*LN(1+2*AQ1762/S18)</f>
        <v>#VALUE!</v>
      </c>
    </row>
    <row r="1763" spans="42:44">
      <c r="AP1763" s="1756" t="e">
        <f>IF(OR(AR1763=S13,AR1763&gt;S13),AR1763,"")</f>
        <v>#VALUE!</v>
      </c>
      <c r="AQ1763" s="1759">
        <f t="shared" si="86"/>
        <v>1760</v>
      </c>
      <c r="AR1763" s="1756" t="e">
        <f>0.5*(S18+2*AQ1763)*LN(1+2*AQ1763/S18)</f>
        <v>#VALUE!</v>
      </c>
    </row>
    <row r="1764" spans="42:44">
      <c r="AP1764" s="1756" t="e">
        <f>IF(OR(AR1764=S13,AR1764&gt;S13),AR1764,"")</f>
        <v>#VALUE!</v>
      </c>
      <c r="AQ1764" s="1759">
        <f t="shared" si="86"/>
        <v>1761</v>
      </c>
      <c r="AR1764" s="1756" t="e">
        <f>0.5*(S18+2*AQ1764)*LN(1+2*AQ1764/S18)</f>
        <v>#VALUE!</v>
      </c>
    </row>
    <row r="1765" spans="42:44">
      <c r="AP1765" s="1756" t="e">
        <f>IF(OR(AR1765=S13,AR1765&gt;S13),AR1765,"")</f>
        <v>#VALUE!</v>
      </c>
      <c r="AQ1765" s="1759">
        <f t="shared" si="86"/>
        <v>1762</v>
      </c>
      <c r="AR1765" s="1756" t="e">
        <f>0.5*(S18+2*AQ1765)*LN(1+2*AQ1765/S18)</f>
        <v>#VALUE!</v>
      </c>
    </row>
    <row r="1766" spans="42:44">
      <c r="AP1766" s="1756" t="e">
        <f>IF(OR(AR1766=S13,AR1766&gt;S13),AR1766,"")</f>
        <v>#VALUE!</v>
      </c>
      <c r="AQ1766" s="1759">
        <f t="shared" si="86"/>
        <v>1763</v>
      </c>
      <c r="AR1766" s="1756" t="e">
        <f>0.5*(S18+2*AQ1766)*LN(1+2*AQ1766/S18)</f>
        <v>#VALUE!</v>
      </c>
    </row>
    <row r="1767" spans="42:44">
      <c r="AP1767" s="1756" t="e">
        <f>IF(OR(AR1767=S13,AR1767&gt;S13),AR1767,"")</f>
        <v>#VALUE!</v>
      </c>
      <c r="AQ1767" s="1759">
        <f t="shared" si="86"/>
        <v>1764</v>
      </c>
      <c r="AR1767" s="1756" t="e">
        <f>0.5*(S18+2*AQ1767)*LN(1+2*AQ1767/S18)</f>
        <v>#VALUE!</v>
      </c>
    </row>
    <row r="1768" spans="42:44">
      <c r="AP1768" s="1756" t="e">
        <f>IF(OR(AR1768=S13,AR1768&gt;S13),AR1768,"")</f>
        <v>#VALUE!</v>
      </c>
      <c r="AQ1768" s="1759">
        <f t="shared" si="86"/>
        <v>1765</v>
      </c>
      <c r="AR1768" s="1756" t="e">
        <f>0.5*(S18+2*AQ1768)*LN(1+2*AQ1768/S18)</f>
        <v>#VALUE!</v>
      </c>
    </row>
    <row r="1769" spans="42:44">
      <c r="AP1769" s="1756" t="e">
        <f>IF(OR(AR1769=S13,AR1769&gt;S13),AR1769,"")</f>
        <v>#VALUE!</v>
      </c>
      <c r="AQ1769" s="1759">
        <f t="shared" si="86"/>
        <v>1766</v>
      </c>
      <c r="AR1769" s="1756" t="e">
        <f>0.5*(S18+2*AQ1769)*LN(1+2*AQ1769/S18)</f>
        <v>#VALUE!</v>
      </c>
    </row>
    <row r="1770" spans="42:44">
      <c r="AP1770" s="1756" t="e">
        <f>IF(OR(AR1770=S13,AR1770&gt;S13),AR1770,"")</f>
        <v>#VALUE!</v>
      </c>
      <c r="AQ1770" s="1759">
        <f t="shared" si="86"/>
        <v>1767</v>
      </c>
      <c r="AR1770" s="1756" t="e">
        <f>0.5*(S18+2*AQ1770)*LN(1+2*AQ1770/S18)</f>
        <v>#VALUE!</v>
      </c>
    </row>
    <row r="1771" spans="42:44">
      <c r="AP1771" s="1756" t="e">
        <f>IF(OR(AR1771=S13,AR1771&gt;S13),AR1771,"")</f>
        <v>#VALUE!</v>
      </c>
      <c r="AQ1771" s="1759">
        <f t="shared" si="86"/>
        <v>1768</v>
      </c>
      <c r="AR1771" s="1756" t="e">
        <f>0.5*(S18+2*AQ1771)*LN(1+2*AQ1771/S18)</f>
        <v>#VALUE!</v>
      </c>
    </row>
    <row r="1772" spans="42:44">
      <c r="AP1772" s="1756" t="e">
        <f>IF(OR(AR1772=S13,AR1772&gt;S13),AR1772,"")</f>
        <v>#VALUE!</v>
      </c>
      <c r="AQ1772" s="1759">
        <f t="shared" si="86"/>
        <v>1769</v>
      </c>
      <c r="AR1772" s="1756" t="e">
        <f>0.5*(S18+2*AQ1772)*LN(1+2*AQ1772/S18)</f>
        <v>#VALUE!</v>
      </c>
    </row>
    <row r="1773" spans="42:44">
      <c r="AP1773" s="1756" t="e">
        <f>IF(OR(AR1773=S13,AR1773&gt;S13),AR1773,"")</f>
        <v>#VALUE!</v>
      </c>
      <c r="AQ1773" s="1759">
        <f t="shared" si="86"/>
        <v>1770</v>
      </c>
      <c r="AR1773" s="1756" t="e">
        <f>0.5*(S18+2*AQ1773)*LN(1+2*AQ1773/S18)</f>
        <v>#VALUE!</v>
      </c>
    </row>
    <row r="1774" spans="42:44">
      <c r="AP1774" s="1756" t="e">
        <f>IF(OR(AR1774=S13,AR1774&gt;S13),AR1774,"")</f>
        <v>#VALUE!</v>
      </c>
      <c r="AQ1774" s="1759">
        <f t="shared" si="86"/>
        <v>1771</v>
      </c>
      <c r="AR1774" s="1756" t="e">
        <f>0.5*(S18+2*AQ1774)*LN(1+2*AQ1774/S18)</f>
        <v>#VALUE!</v>
      </c>
    </row>
    <row r="1775" spans="42:44">
      <c r="AP1775" s="1756" t="e">
        <f>IF(OR(AR1775=S13,AR1775&gt;S13),AR1775,"")</f>
        <v>#VALUE!</v>
      </c>
      <c r="AQ1775" s="1759">
        <f t="shared" si="86"/>
        <v>1772</v>
      </c>
      <c r="AR1775" s="1756" t="e">
        <f>0.5*(S18+2*AQ1775)*LN(1+2*AQ1775/S18)</f>
        <v>#VALUE!</v>
      </c>
    </row>
    <row r="1776" spans="42:44">
      <c r="AP1776" s="1756" t="e">
        <f>IF(OR(AR1776=S13,AR1776&gt;S13),AR1776,"")</f>
        <v>#VALUE!</v>
      </c>
      <c r="AQ1776" s="1759">
        <f t="shared" si="86"/>
        <v>1773</v>
      </c>
      <c r="AR1776" s="1756" t="e">
        <f>0.5*(S18+2*AQ1776)*LN(1+2*AQ1776/S18)</f>
        <v>#VALUE!</v>
      </c>
    </row>
    <row r="1777" spans="42:44">
      <c r="AP1777" s="1756" t="e">
        <f>IF(OR(AR1777=S13,AR1777&gt;S13),AR1777,"")</f>
        <v>#VALUE!</v>
      </c>
      <c r="AQ1777" s="1759">
        <f t="shared" si="86"/>
        <v>1774</v>
      </c>
      <c r="AR1777" s="1756" t="e">
        <f>0.5*(S18+2*AQ1777)*LN(1+2*AQ1777/S18)</f>
        <v>#VALUE!</v>
      </c>
    </row>
    <row r="1778" spans="42:44">
      <c r="AP1778" s="1756" t="e">
        <f>IF(OR(AR1778=S13,AR1778&gt;S13),AR1778,"")</f>
        <v>#VALUE!</v>
      </c>
      <c r="AQ1778" s="1759">
        <f t="shared" si="86"/>
        <v>1775</v>
      </c>
      <c r="AR1778" s="1756" t="e">
        <f>0.5*(S18+2*AQ1778)*LN(1+2*AQ1778/S18)</f>
        <v>#VALUE!</v>
      </c>
    </row>
    <row r="1779" spans="42:44">
      <c r="AP1779" s="1756" t="e">
        <f>IF(OR(AR1779=S13,AR1779&gt;S13),AR1779,"")</f>
        <v>#VALUE!</v>
      </c>
      <c r="AQ1779" s="1759">
        <f t="shared" si="86"/>
        <v>1776</v>
      </c>
      <c r="AR1779" s="1756" t="e">
        <f>0.5*(S18+2*AQ1779)*LN(1+2*AQ1779/S18)</f>
        <v>#VALUE!</v>
      </c>
    </row>
    <row r="1780" spans="42:44">
      <c r="AP1780" s="1756" t="e">
        <f>IF(OR(AR1780=S13,AR1780&gt;S13),AR1780,"")</f>
        <v>#VALUE!</v>
      </c>
      <c r="AQ1780" s="1759">
        <f t="shared" si="86"/>
        <v>1777</v>
      </c>
      <c r="AR1780" s="1756" t="e">
        <f>0.5*(S18+2*AQ1780)*LN(1+2*AQ1780/S18)</f>
        <v>#VALUE!</v>
      </c>
    </row>
    <row r="1781" spans="42:44">
      <c r="AP1781" s="1756" t="e">
        <f>IF(OR(AR1781=S13,AR1781&gt;S13),AR1781,"")</f>
        <v>#VALUE!</v>
      </c>
      <c r="AQ1781" s="1759">
        <f t="shared" si="86"/>
        <v>1778</v>
      </c>
      <c r="AR1781" s="1756" t="e">
        <f>0.5*(S18+2*AQ1781)*LN(1+2*AQ1781/S18)</f>
        <v>#VALUE!</v>
      </c>
    </row>
    <row r="1782" spans="42:44">
      <c r="AP1782" s="1756" t="e">
        <f>IF(OR(AR1782=S13,AR1782&gt;S13),AR1782,"")</f>
        <v>#VALUE!</v>
      </c>
      <c r="AQ1782" s="1759">
        <f t="shared" si="86"/>
        <v>1779</v>
      </c>
      <c r="AR1782" s="1756" t="e">
        <f>0.5*(S18+2*AQ1782)*LN(1+2*AQ1782/S18)</f>
        <v>#VALUE!</v>
      </c>
    </row>
    <row r="1783" spans="42:44">
      <c r="AP1783" s="1756" t="e">
        <f>IF(OR(AR1783=S13,AR1783&gt;S13),AR1783,"")</f>
        <v>#VALUE!</v>
      </c>
      <c r="AQ1783" s="1759">
        <f t="shared" si="86"/>
        <v>1780</v>
      </c>
      <c r="AR1783" s="1756" t="e">
        <f>0.5*(S18+2*AQ1783)*LN(1+2*AQ1783/S18)</f>
        <v>#VALUE!</v>
      </c>
    </row>
    <row r="1784" spans="42:44">
      <c r="AP1784" s="1756" t="e">
        <f>IF(OR(AR1784=S13,AR1784&gt;S13),AR1784,"")</f>
        <v>#VALUE!</v>
      </c>
      <c r="AQ1784" s="1759">
        <f t="shared" si="86"/>
        <v>1781</v>
      </c>
      <c r="AR1784" s="1756" t="e">
        <f>0.5*(S18+2*AQ1784)*LN(1+2*AQ1784/S18)</f>
        <v>#VALUE!</v>
      </c>
    </row>
    <row r="1785" spans="42:44">
      <c r="AP1785" s="1756" t="e">
        <f>IF(OR(AR1785=S13,AR1785&gt;S13),AR1785,"")</f>
        <v>#VALUE!</v>
      </c>
      <c r="AQ1785" s="1759">
        <f t="shared" si="86"/>
        <v>1782</v>
      </c>
      <c r="AR1785" s="1756" t="e">
        <f>0.5*(S18+2*AQ1785)*LN(1+2*AQ1785/S18)</f>
        <v>#VALUE!</v>
      </c>
    </row>
    <row r="1786" spans="42:44">
      <c r="AP1786" s="1756" t="e">
        <f>IF(OR(AR1786=S13,AR1786&gt;S13),AR1786,"")</f>
        <v>#VALUE!</v>
      </c>
      <c r="AQ1786" s="1759">
        <f t="shared" si="86"/>
        <v>1783</v>
      </c>
      <c r="AR1786" s="1756" t="e">
        <f>0.5*(S18+2*AQ1786)*LN(1+2*AQ1786/S18)</f>
        <v>#VALUE!</v>
      </c>
    </row>
    <row r="1787" spans="42:44">
      <c r="AP1787" s="1756" t="e">
        <f>IF(OR(AR1787=S13,AR1787&gt;S13),AR1787,"")</f>
        <v>#VALUE!</v>
      </c>
      <c r="AQ1787" s="1759">
        <f t="shared" si="86"/>
        <v>1784</v>
      </c>
      <c r="AR1787" s="1756" t="e">
        <f>0.5*(S18+2*AQ1787)*LN(1+2*AQ1787/S18)</f>
        <v>#VALUE!</v>
      </c>
    </row>
    <row r="1788" spans="42:44">
      <c r="AP1788" s="1756" t="e">
        <f>IF(OR(AR1788=S13,AR1788&gt;S13),AR1788,"")</f>
        <v>#VALUE!</v>
      </c>
      <c r="AQ1788" s="1759">
        <f t="shared" si="86"/>
        <v>1785</v>
      </c>
      <c r="AR1788" s="1756" t="e">
        <f>0.5*(S18+2*AQ1788)*LN(1+2*AQ1788/S18)</f>
        <v>#VALUE!</v>
      </c>
    </row>
    <row r="1789" spans="42:44">
      <c r="AP1789" s="1756" t="e">
        <f>IF(OR(AR1789=S13,AR1789&gt;S13),AR1789,"")</f>
        <v>#VALUE!</v>
      </c>
      <c r="AQ1789" s="1759">
        <f t="shared" si="86"/>
        <v>1786</v>
      </c>
      <c r="AR1789" s="1756" t="e">
        <f>0.5*(S18+2*AQ1789)*LN(1+2*AQ1789/S18)</f>
        <v>#VALUE!</v>
      </c>
    </row>
    <row r="1790" spans="42:44">
      <c r="AP1790" s="1756" t="e">
        <f>IF(OR(AR1790=S13,AR1790&gt;S13),AR1790,"")</f>
        <v>#VALUE!</v>
      </c>
      <c r="AQ1790" s="1759">
        <f t="shared" si="86"/>
        <v>1787</v>
      </c>
      <c r="AR1790" s="1756" t="e">
        <f>0.5*(S18+2*AQ1790)*LN(1+2*AQ1790/S18)</f>
        <v>#VALUE!</v>
      </c>
    </row>
    <row r="1791" spans="42:44">
      <c r="AP1791" s="1756" t="e">
        <f>IF(OR(AR1791=S13,AR1791&gt;S13),AR1791,"")</f>
        <v>#VALUE!</v>
      </c>
      <c r="AQ1791" s="1759">
        <f t="shared" si="86"/>
        <v>1788</v>
      </c>
      <c r="AR1791" s="1756" t="e">
        <f>0.5*(S18+2*AQ1791)*LN(1+2*AQ1791/S18)</f>
        <v>#VALUE!</v>
      </c>
    </row>
    <row r="1792" spans="42:44">
      <c r="AP1792" s="1756" t="e">
        <f>IF(OR(AR1792=S13,AR1792&gt;S13),AR1792,"")</f>
        <v>#VALUE!</v>
      </c>
      <c r="AQ1792" s="1759">
        <f t="shared" si="86"/>
        <v>1789</v>
      </c>
      <c r="AR1792" s="1756" t="e">
        <f>0.5*(S18+2*AQ1792)*LN(1+2*AQ1792/S18)</f>
        <v>#VALUE!</v>
      </c>
    </row>
    <row r="1793" spans="42:44">
      <c r="AP1793" s="1756" t="e">
        <f>IF(OR(AR1793=S13,AR1793&gt;S13),AR1793,"")</f>
        <v>#VALUE!</v>
      </c>
      <c r="AQ1793" s="1759">
        <f t="shared" si="86"/>
        <v>1790</v>
      </c>
      <c r="AR1793" s="1756" t="e">
        <f>0.5*(S18+2*AQ1793)*LN(1+2*AQ1793/S18)</f>
        <v>#VALUE!</v>
      </c>
    </row>
    <row r="1794" spans="42:44">
      <c r="AP1794" s="1756" t="e">
        <f>IF(OR(AR1794=S13,AR1794&gt;S13),AR1794,"")</f>
        <v>#VALUE!</v>
      </c>
      <c r="AQ1794" s="1759">
        <f t="shared" si="86"/>
        <v>1791</v>
      </c>
      <c r="AR1794" s="1756" t="e">
        <f>0.5*(S18+2*AQ1794)*LN(1+2*AQ1794/S18)</f>
        <v>#VALUE!</v>
      </c>
    </row>
    <row r="1795" spans="42:44">
      <c r="AP1795" s="1756" t="e">
        <f>IF(OR(AR1795=S13,AR1795&gt;S13),AR1795,"")</f>
        <v>#VALUE!</v>
      </c>
      <c r="AQ1795" s="1759">
        <f t="shared" si="86"/>
        <v>1792</v>
      </c>
      <c r="AR1795" s="1756" t="e">
        <f>0.5*(S18+2*AQ1795)*LN(1+2*AQ1795/S18)</f>
        <v>#VALUE!</v>
      </c>
    </row>
    <row r="1796" spans="42:44">
      <c r="AP1796" s="1756" t="e">
        <f>IF(OR(AR1796=S13,AR1796&gt;S13),AR1796,"")</f>
        <v>#VALUE!</v>
      </c>
      <c r="AQ1796" s="1759">
        <f t="shared" si="86"/>
        <v>1793</v>
      </c>
      <c r="AR1796" s="1756" t="e">
        <f>0.5*(S18+2*AQ1796)*LN(1+2*AQ1796/S18)</f>
        <v>#VALUE!</v>
      </c>
    </row>
    <row r="1797" spans="42:44">
      <c r="AP1797" s="1756" t="e">
        <f>IF(OR(AR1797=S13,AR1797&gt;S13),AR1797,"")</f>
        <v>#VALUE!</v>
      </c>
      <c r="AQ1797" s="1759">
        <f t="shared" si="86"/>
        <v>1794</v>
      </c>
      <c r="AR1797" s="1756" t="e">
        <f>0.5*(S18+2*AQ1797)*LN(1+2*AQ1797/S18)</f>
        <v>#VALUE!</v>
      </c>
    </row>
    <row r="1798" spans="42:44">
      <c r="AP1798" s="1756" t="e">
        <f>IF(OR(AR1798=S13,AR1798&gt;S13),AR1798,"")</f>
        <v>#VALUE!</v>
      </c>
      <c r="AQ1798" s="1759">
        <f t="shared" ref="AQ1798:AQ1861" si="87">AQ1797+1</f>
        <v>1795</v>
      </c>
      <c r="AR1798" s="1756" t="e">
        <f>0.5*(S18+2*AQ1798)*LN(1+2*AQ1798/S18)</f>
        <v>#VALUE!</v>
      </c>
    </row>
    <row r="1799" spans="42:44">
      <c r="AP1799" s="1756" t="e">
        <f>IF(OR(AR1799=S13,AR1799&gt;S13),AR1799,"")</f>
        <v>#VALUE!</v>
      </c>
      <c r="AQ1799" s="1759">
        <f t="shared" si="87"/>
        <v>1796</v>
      </c>
      <c r="AR1799" s="1756" t="e">
        <f>0.5*(S18+2*AQ1799)*LN(1+2*AQ1799/S18)</f>
        <v>#VALUE!</v>
      </c>
    </row>
    <row r="1800" spans="42:44">
      <c r="AP1800" s="1756" t="e">
        <f>IF(OR(AR1800=S13,AR1800&gt;S13),AR1800,"")</f>
        <v>#VALUE!</v>
      </c>
      <c r="AQ1800" s="1759">
        <f t="shared" si="87"/>
        <v>1797</v>
      </c>
      <c r="AR1800" s="1756" t="e">
        <f>0.5*(S18+2*AQ1800)*LN(1+2*AQ1800/S18)</f>
        <v>#VALUE!</v>
      </c>
    </row>
    <row r="1801" spans="42:44">
      <c r="AP1801" s="1756" t="e">
        <f>IF(OR(AR1801=S13,AR1801&gt;S13),AR1801,"")</f>
        <v>#VALUE!</v>
      </c>
      <c r="AQ1801" s="1759">
        <f t="shared" si="87"/>
        <v>1798</v>
      </c>
      <c r="AR1801" s="1756" t="e">
        <f>0.5*(S18+2*AQ1801)*LN(1+2*AQ1801/S18)</f>
        <v>#VALUE!</v>
      </c>
    </row>
    <row r="1802" spans="42:44">
      <c r="AP1802" s="1756" t="e">
        <f>IF(OR(AR1802=S13,AR1802&gt;S13),AR1802,"")</f>
        <v>#VALUE!</v>
      </c>
      <c r="AQ1802" s="1759">
        <f t="shared" si="87"/>
        <v>1799</v>
      </c>
      <c r="AR1802" s="1756" t="e">
        <f>0.5*(S18+2*AQ1802)*LN(1+2*AQ1802/S18)</f>
        <v>#VALUE!</v>
      </c>
    </row>
    <row r="1803" spans="42:44">
      <c r="AP1803" s="1756" t="e">
        <f>IF(OR(AR1803=S13,AR1803&gt;S13),AR1803,"")</f>
        <v>#VALUE!</v>
      </c>
      <c r="AQ1803" s="1759">
        <f t="shared" si="87"/>
        <v>1800</v>
      </c>
      <c r="AR1803" s="1756" t="e">
        <f>0.5*(S18+2*AQ1803)*LN(1+2*AQ1803/S18)</f>
        <v>#VALUE!</v>
      </c>
    </row>
    <row r="1804" spans="42:44">
      <c r="AP1804" s="1756" t="e">
        <f>IF(OR(AR1804=S13,AR1804&gt;S13),AR1804,"")</f>
        <v>#VALUE!</v>
      </c>
      <c r="AQ1804" s="1759">
        <f t="shared" si="87"/>
        <v>1801</v>
      </c>
      <c r="AR1804" s="1756" t="e">
        <f>0.5*(S18+2*AQ1804)*LN(1+2*AQ1804/S18)</f>
        <v>#VALUE!</v>
      </c>
    </row>
    <row r="1805" spans="42:44">
      <c r="AP1805" s="1756" t="e">
        <f>IF(OR(AR1805=S13,AR1805&gt;S13),AR1805,"")</f>
        <v>#VALUE!</v>
      </c>
      <c r="AQ1805" s="1759">
        <f t="shared" si="87"/>
        <v>1802</v>
      </c>
      <c r="AR1805" s="1756" t="e">
        <f>0.5*(S18+2*AQ1805)*LN(1+2*AQ1805/S18)</f>
        <v>#VALUE!</v>
      </c>
    </row>
    <row r="1806" spans="42:44">
      <c r="AP1806" s="1756" t="e">
        <f>IF(OR(AR1806=S13,AR1806&gt;S13),AR1806,"")</f>
        <v>#VALUE!</v>
      </c>
      <c r="AQ1806" s="1759">
        <f t="shared" si="87"/>
        <v>1803</v>
      </c>
      <c r="AR1806" s="1756" t="e">
        <f>0.5*(S18+2*AQ1806)*LN(1+2*AQ1806/S18)</f>
        <v>#VALUE!</v>
      </c>
    </row>
    <row r="1807" spans="42:44">
      <c r="AP1807" s="1756" t="e">
        <f>IF(OR(AR1807=S13,AR1807&gt;S13),AR1807,"")</f>
        <v>#VALUE!</v>
      </c>
      <c r="AQ1807" s="1759">
        <f t="shared" si="87"/>
        <v>1804</v>
      </c>
      <c r="AR1807" s="1756" t="e">
        <f>0.5*(S18+2*AQ1807)*LN(1+2*AQ1807/S18)</f>
        <v>#VALUE!</v>
      </c>
    </row>
    <row r="1808" spans="42:44">
      <c r="AP1808" s="1756" t="e">
        <f>IF(OR(AR1808=S13,AR1808&gt;S13),AR1808,"")</f>
        <v>#VALUE!</v>
      </c>
      <c r="AQ1808" s="1759">
        <f t="shared" si="87"/>
        <v>1805</v>
      </c>
      <c r="AR1808" s="1756" t="e">
        <f>0.5*(S18+2*AQ1808)*LN(1+2*AQ1808/S18)</f>
        <v>#VALUE!</v>
      </c>
    </row>
    <row r="1809" spans="42:44">
      <c r="AP1809" s="1756" t="e">
        <f>IF(OR(AR1809=S13,AR1809&gt;S13),AR1809,"")</f>
        <v>#VALUE!</v>
      </c>
      <c r="AQ1809" s="1759">
        <f t="shared" si="87"/>
        <v>1806</v>
      </c>
      <c r="AR1809" s="1756" t="e">
        <f>0.5*(S18+2*AQ1809)*LN(1+2*AQ1809/S18)</f>
        <v>#VALUE!</v>
      </c>
    </row>
    <row r="1810" spans="42:44">
      <c r="AP1810" s="1756" t="e">
        <f>IF(OR(AR1810=S13,AR1810&gt;S13),AR1810,"")</f>
        <v>#VALUE!</v>
      </c>
      <c r="AQ1810" s="1759">
        <f t="shared" si="87"/>
        <v>1807</v>
      </c>
      <c r="AR1810" s="1756" t="e">
        <f>0.5*(S18+2*AQ1810)*LN(1+2*AQ1810/S18)</f>
        <v>#VALUE!</v>
      </c>
    </row>
    <row r="1811" spans="42:44">
      <c r="AP1811" s="1756" t="e">
        <f>IF(OR(AR1811=S13,AR1811&gt;S13),AR1811,"")</f>
        <v>#VALUE!</v>
      </c>
      <c r="AQ1811" s="1759">
        <f t="shared" si="87"/>
        <v>1808</v>
      </c>
      <c r="AR1811" s="1756" t="e">
        <f>0.5*(S18+2*AQ1811)*LN(1+2*AQ1811/S18)</f>
        <v>#VALUE!</v>
      </c>
    </row>
    <row r="1812" spans="42:44">
      <c r="AP1812" s="1756" t="e">
        <f>IF(OR(AR1812=S13,AR1812&gt;S13),AR1812,"")</f>
        <v>#VALUE!</v>
      </c>
      <c r="AQ1812" s="1759">
        <f t="shared" si="87"/>
        <v>1809</v>
      </c>
      <c r="AR1812" s="1756" t="e">
        <f>0.5*(S18+2*AQ1812)*LN(1+2*AQ1812/S18)</f>
        <v>#VALUE!</v>
      </c>
    </row>
    <row r="1813" spans="42:44">
      <c r="AP1813" s="1756" t="e">
        <f>IF(OR(AR1813=S13,AR1813&gt;S13),AR1813,"")</f>
        <v>#VALUE!</v>
      </c>
      <c r="AQ1813" s="1759">
        <f t="shared" si="87"/>
        <v>1810</v>
      </c>
      <c r="AR1813" s="1756" t="e">
        <f>0.5*(S18+2*AQ1813)*LN(1+2*AQ1813/S18)</f>
        <v>#VALUE!</v>
      </c>
    </row>
    <row r="1814" spans="42:44">
      <c r="AP1814" s="1756" t="e">
        <f>IF(OR(AR1814=S13,AR1814&gt;S13),AR1814,"")</f>
        <v>#VALUE!</v>
      </c>
      <c r="AQ1814" s="1759">
        <f t="shared" si="87"/>
        <v>1811</v>
      </c>
      <c r="AR1814" s="1756" t="e">
        <f>0.5*(S18+2*AQ1814)*LN(1+2*AQ1814/S18)</f>
        <v>#VALUE!</v>
      </c>
    </row>
    <row r="1815" spans="42:44">
      <c r="AP1815" s="1756" t="e">
        <f>IF(OR(AR1815=S13,AR1815&gt;S13),AR1815,"")</f>
        <v>#VALUE!</v>
      </c>
      <c r="AQ1815" s="1759">
        <f t="shared" si="87"/>
        <v>1812</v>
      </c>
      <c r="AR1815" s="1756" t="e">
        <f>0.5*(S18+2*AQ1815)*LN(1+2*AQ1815/S18)</f>
        <v>#VALUE!</v>
      </c>
    </row>
    <row r="1816" spans="42:44">
      <c r="AP1816" s="1756" t="e">
        <f>IF(OR(AR1816=S13,AR1816&gt;S13),AR1816,"")</f>
        <v>#VALUE!</v>
      </c>
      <c r="AQ1816" s="1759">
        <f t="shared" si="87"/>
        <v>1813</v>
      </c>
      <c r="AR1816" s="1756" t="e">
        <f>0.5*(S18+2*AQ1816)*LN(1+2*AQ1816/S18)</f>
        <v>#VALUE!</v>
      </c>
    </row>
    <row r="1817" spans="42:44">
      <c r="AP1817" s="1756" t="e">
        <f>IF(OR(AR1817=S13,AR1817&gt;S13),AR1817,"")</f>
        <v>#VALUE!</v>
      </c>
      <c r="AQ1817" s="1759">
        <f t="shared" si="87"/>
        <v>1814</v>
      </c>
      <c r="AR1817" s="1756" t="e">
        <f>0.5*(S18+2*AQ1817)*LN(1+2*AQ1817/S18)</f>
        <v>#VALUE!</v>
      </c>
    </row>
    <row r="1818" spans="42:44">
      <c r="AP1818" s="1756" t="e">
        <f>IF(OR(AR1818=S13,AR1818&gt;S13),AR1818,"")</f>
        <v>#VALUE!</v>
      </c>
      <c r="AQ1818" s="1759">
        <f t="shared" si="87"/>
        <v>1815</v>
      </c>
      <c r="AR1818" s="1756" t="e">
        <f>0.5*(S18+2*AQ1818)*LN(1+2*AQ1818/S18)</f>
        <v>#VALUE!</v>
      </c>
    </row>
    <row r="1819" spans="42:44">
      <c r="AP1819" s="1756" t="e">
        <f>IF(OR(AR1819=S13,AR1819&gt;S13),AR1819,"")</f>
        <v>#VALUE!</v>
      </c>
      <c r="AQ1819" s="1759">
        <f t="shared" si="87"/>
        <v>1816</v>
      </c>
      <c r="AR1819" s="1756" t="e">
        <f>0.5*(S18+2*AQ1819)*LN(1+2*AQ1819/S18)</f>
        <v>#VALUE!</v>
      </c>
    </row>
    <row r="1820" spans="42:44">
      <c r="AP1820" s="1756" t="e">
        <f>IF(OR(AR1820=S13,AR1820&gt;S13),AR1820,"")</f>
        <v>#VALUE!</v>
      </c>
      <c r="AQ1820" s="1759">
        <f t="shared" si="87"/>
        <v>1817</v>
      </c>
      <c r="AR1820" s="1756" t="e">
        <f>0.5*(S18+2*AQ1820)*LN(1+2*AQ1820/S18)</f>
        <v>#VALUE!</v>
      </c>
    </row>
    <row r="1821" spans="42:44">
      <c r="AP1821" s="1756" t="e">
        <f>IF(OR(AR1821=S13,AR1821&gt;S13),AR1821,"")</f>
        <v>#VALUE!</v>
      </c>
      <c r="AQ1821" s="1759">
        <f t="shared" si="87"/>
        <v>1818</v>
      </c>
      <c r="AR1821" s="1756" t="e">
        <f>0.5*(S18+2*AQ1821)*LN(1+2*AQ1821/S18)</f>
        <v>#VALUE!</v>
      </c>
    </row>
    <row r="1822" spans="42:44">
      <c r="AP1822" s="1756" t="e">
        <f>IF(OR(AR1822=S13,AR1822&gt;S13),AR1822,"")</f>
        <v>#VALUE!</v>
      </c>
      <c r="AQ1822" s="1759">
        <f t="shared" si="87"/>
        <v>1819</v>
      </c>
      <c r="AR1822" s="1756" t="e">
        <f>0.5*(S18+2*AQ1822)*LN(1+2*AQ1822/S18)</f>
        <v>#VALUE!</v>
      </c>
    </row>
    <row r="1823" spans="42:44">
      <c r="AP1823" s="1756" t="e">
        <f>IF(OR(AR1823=S13,AR1823&gt;S13),AR1823,"")</f>
        <v>#VALUE!</v>
      </c>
      <c r="AQ1823" s="1759">
        <f t="shared" si="87"/>
        <v>1820</v>
      </c>
      <c r="AR1823" s="1756" t="e">
        <f>0.5*(S18+2*AQ1823)*LN(1+2*AQ1823/S18)</f>
        <v>#VALUE!</v>
      </c>
    </row>
    <row r="1824" spans="42:44">
      <c r="AP1824" s="1756" t="e">
        <f>IF(OR(AR1824=S13,AR1824&gt;S13),AR1824,"")</f>
        <v>#VALUE!</v>
      </c>
      <c r="AQ1824" s="1759">
        <f t="shared" si="87"/>
        <v>1821</v>
      </c>
      <c r="AR1824" s="1756" t="e">
        <f>0.5*(S18+2*AQ1824)*LN(1+2*AQ1824/S18)</f>
        <v>#VALUE!</v>
      </c>
    </row>
    <row r="1825" spans="42:44">
      <c r="AP1825" s="1756" t="e">
        <f>IF(OR(AR1825=S13,AR1825&gt;S13),AR1825,"")</f>
        <v>#VALUE!</v>
      </c>
      <c r="AQ1825" s="1759">
        <f t="shared" si="87"/>
        <v>1822</v>
      </c>
      <c r="AR1825" s="1756" t="e">
        <f>0.5*(S18+2*AQ1825)*LN(1+2*AQ1825/S18)</f>
        <v>#VALUE!</v>
      </c>
    </row>
    <row r="1826" spans="42:44">
      <c r="AP1826" s="1756" t="e">
        <f>IF(OR(AR1826=S13,AR1826&gt;S13),AR1826,"")</f>
        <v>#VALUE!</v>
      </c>
      <c r="AQ1826" s="1759">
        <f t="shared" si="87"/>
        <v>1823</v>
      </c>
      <c r="AR1826" s="1756" t="e">
        <f>0.5*(S18+2*AQ1826)*LN(1+2*AQ1826/S18)</f>
        <v>#VALUE!</v>
      </c>
    </row>
    <row r="1827" spans="42:44">
      <c r="AP1827" s="1756" t="e">
        <f>IF(OR(AR1827=S13,AR1827&gt;S13),AR1827,"")</f>
        <v>#VALUE!</v>
      </c>
      <c r="AQ1827" s="1759">
        <f t="shared" si="87"/>
        <v>1824</v>
      </c>
      <c r="AR1827" s="1756" t="e">
        <f>0.5*(S18+2*AQ1827)*LN(1+2*AQ1827/S18)</f>
        <v>#VALUE!</v>
      </c>
    </row>
    <row r="1828" spans="42:44">
      <c r="AP1828" s="1756" t="e">
        <f>IF(OR(AR1828=S13,AR1828&gt;S13),AR1828,"")</f>
        <v>#VALUE!</v>
      </c>
      <c r="AQ1828" s="1759">
        <f t="shared" si="87"/>
        <v>1825</v>
      </c>
      <c r="AR1828" s="1756" t="e">
        <f>0.5*(S18+2*AQ1828)*LN(1+2*AQ1828/S18)</f>
        <v>#VALUE!</v>
      </c>
    </row>
    <row r="1829" spans="42:44">
      <c r="AP1829" s="1756" t="e">
        <f>IF(OR(AR1829=S13,AR1829&gt;S13),AR1829,"")</f>
        <v>#VALUE!</v>
      </c>
      <c r="AQ1829" s="1759">
        <f t="shared" si="87"/>
        <v>1826</v>
      </c>
      <c r="AR1829" s="1756" t="e">
        <f>0.5*(S18+2*AQ1829)*LN(1+2*AQ1829/S18)</f>
        <v>#VALUE!</v>
      </c>
    </row>
    <row r="1830" spans="42:44">
      <c r="AP1830" s="1756" t="e">
        <f>IF(OR(AR1830=S13,AR1830&gt;S13),AR1830,"")</f>
        <v>#VALUE!</v>
      </c>
      <c r="AQ1830" s="1759">
        <f t="shared" si="87"/>
        <v>1827</v>
      </c>
      <c r="AR1830" s="1756" t="e">
        <f>0.5*(S18+2*AQ1830)*LN(1+2*AQ1830/S18)</f>
        <v>#VALUE!</v>
      </c>
    </row>
    <row r="1831" spans="42:44">
      <c r="AP1831" s="1756" t="e">
        <f>IF(OR(AR1831=S13,AR1831&gt;S13),AR1831,"")</f>
        <v>#VALUE!</v>
      </c>
      <c r="AQ1831" s="1759">
        <f t="shared" si="87"/>
        <v>1828</v>
      </c>
      <c r="AR1831" s="1756" t="e">
        <f>0.5*(S18+2*AQ1831)*LN(1+2*AQ1831/S18)</f>
        <v>#VALUE!</v>
      </c>
    </row>
    <row r="1832" spans="42:44">
      <c r="AP1832" s="1756" t="e">
        <f>IF(OR(AR1832=S13,AR1832&gt;S13),AR1832,"")</f>
        <v>#VALUE!</v>
      </c>
      <c r="AQ1832" s="1759">
        <f t="shared" si="87"/>
        <v>1829</v>
      </c>
      <c r="AR1832" s="1756" t="e">
        <f>0.5*(S18+2*AQ1832)*LN(1+2*AQ1832/S18)</f>
        <v>#VALUE!</v>
      </c>
    </row>
    <row r="1833" spans="42:44">
      <c r="AP1833" s="1756" t="e">
        <f>IF(OR(AR1833=S13,AR1833&gt;S13),AR1833,"")</f>
        <v>#VALUE!</v>
      </c>
      <c r="AQ1833" s="1759">
        <f t="shared" si="87"/>
        <v>1830</v>
      </c>
      <c r="AR1833" s="1756" t="e">
        <f>0.5*(S18+2*AQ1833)*LN(1+2*AQ1833/S18)</f>
        <v>#VALUE!</v>
      </c>
    </row>
    <row r="1834" spans="42:44">
      <c r="AP1834" s="1756" t="e">
        <f>IF(OR(AR1834=S13,AR1834&gt;S13),AR1834,"")</f>
        <v>#VALUE!</v>
      </c>
      <c r="AQ1834" s="1759">
        <f t="shared" si="87"/>
        <v>1831</v>
      </c>
      <c r="AR1834" s="1756" t="e">
        <f>0.5*(S18+2*AQ1834)*LN(1+2*AQ1834/S18)</f>
        <v>#VALUE!</v>
      </c>
    </row>
    <row r="1835" spans="42:44">
      <c r="AP1835" s="1756" t="e">
        <f>IF(OR(AR1835=S13,AR1835&gt;S13),AR1835,"")</f>
        <v>#VALUE!</v>
      </c>
      <c r="AQ1835" s="1759">
        <f t="shared" si="87"/>
        <v>1832</v>
      </c>
      <c r="AR1835" s="1756" t="e">
        <f>0.5*(S18+2*AQ1835)*LN(1+2*AQ1835/S18)</f>
        <v>#VALUE!</v>
      </c>
    </row>
    <row r="1836" spans="42:44">
      <c r="AP1836" s="1756" t="e">
        <f>IF(OR(AR1836=S13,AR1836&gt;S13),AR1836,"")</f>
        <v>#VALUE!</v>
      </c>
      <c r="AQ1836" s="1759">
        <f t="shared" si="87"/>
        <v>1833</v>
      </c>
      <c r="AR1836" s="1756" t="e">
        <f>0.5*(S18+2*AQ1836)*LN(1+2*AQ1836/S18)</f>
        <v>#VALUE!</v>
      </c>
    </row>
    <row r="1837" spans="42:44">
      <c r="AP1837" s="1756" t="e">
        <f>IF(OR(AR1837=S13,AR1837&gt;S13),AR1837,"")</f>
        <v>#VALUE!</v>
      </c>
      <c r="AQ1837" s="1759">
        <f t="shared" si="87"/>
        <v>1834</v>
      </c>
      <c r="AR1837" s="1756" t="e">
        <f>0.5*(S18+2*AQ1837)*LN(1+2*AQ1837/S18)</f>
        <v>#VALUE!</v>
      </c>
    </row>
    <row r="1838" spans="42:44">
      <c r="AP1838" s="1756" t="e">
        <f>IF(OR(AR1838=S13,AR1838&gt;S13),AR1838,"")</f>
        <v>#VALUE!</v>
      </c>
      <c r="AQ1838" s="1759">
        <f t="shared" si="87"/>
        <v>1835</v>
      </c>
      <c r="AR1838" s="1756" t="e">
        <f>0.5*(S18+2*AQ1838)*LN(1+2*AQ1838/S18)</f>
        <v>#VALUE!</v>
      </c>
    </row>
    <row r="1839" spans="42:44">
      <c r="AP1839" s="1756" t="e">
        <f>IF(OR(AR1839=S13,AR1839&gt;S13),AR1839,"")</f>
        <v>#VALUE!</v>
      </c>
      <c r="AQ1839" s="1759">
        <f t="shared" si="87"/>
        <v>1836</v>
      </c>
      <c r="AR1839" s="1756" t="e">
        <f>0.5*(S18+2*AQ1839)*LN(1+2*AQ1839/S18)</f>
        <v>#VALUE!</v>
      </c>
    </row>
    <row r="1840" spans="42:44">
      <c r="AP1840" s="1756" t="e">
        <f>IF(OR(AR1840=S13,AR1840&gt;S13),AR1840,"")</f>
        <v>#VALUE!</v>
      </c>
      <c r="AQ1840" s="1759">
        <f t="shared" si="87"/>
        <v>1837</v>
      </c>
      <c r="AR1840" s="1756" t="e">
        <f>0.5*(S18+2*AQ1840)*LN(1+2*AQ1840/S18)</f>
        <v>#VALUE!</v>
      </c>
    </row>
    <row r="1841" spans="42:44">
      <c r="AP1841" s="1756" t="e">
        <f>IF(OR(AR1841=S13,AR1841&gt;S13),AR1841,"")</f>
        <v>#VALUE!</v>
      </c>
      <c r="AQ1841" s="1759">
        <f t="shared" si="87"/>
        <v>1838</v>
      </c>
      <c r="AR1841" s="1756" t="e">
        <f>0.5*(S18+2*AQ1841)*LN(1+2*AQ1841/S18)</f>
        <v>#VALUE!</v>
      </c>
    </row>
    <row r="1842" spans="42:44">
      <c r="AP1842" s="1756" t="e">
        <f>IF(OR(AR1842=S13,AR1842&gt;S13),AR1842,"")</f>
        <v>#VALUE!</v>
      </c>
      <c r="AQ1842" s="1759">
        <f t="shared" si="87"/>
        <v>1839</v>
      </c>
      <c r="AR1842" s="1756" t="e">
        <f>0.5*(S18+2*AQ1842)*LN(1+2*AQ1842/S18)</f>
        <v>#VALUE!</v>
      </c>
    </row>
    <row r="1843" spans="42:44">
      <c r="AP1843" s="1756" t="e">
        <f>IF(OR(AR1843=S13,AR1843&gt;S13),AR1843,"")</f>
        <v>#VALUE!</v>
      </c>
      <c r="AQ1843" s="1759">
        <f t="shared" si="87"/>
        <v>1840</v>
      </c>
      <c r="AR1843" s="1756" t="e">
        <f>0.5*(S18+2*AQ1843)*LN(1+2*AQ1843/S18)</f>
        <v>#VALUE!</v>
      </c>
    </row>
    <row r="1844" spans="42:44">
      <c r="AP1844" s="1756" t="e">
        <f>IF(OR(AR1844=S13,AR1844&gt;S13),AR1844,"")</f>
        <v>#VALUE!</v>
      </c>
      <c r="AQ1844" s="1759">
        <f t="shared" si="87"/>
        <v>1841</v>
      </c>
      <c r="AR1844" s="1756" t="e">
        <f>0.5*(S18+2*AQ1844)*LN(1+2*AQ1844/S18)</f>
        <v>#VALUE!</v>
      </c>
    </row>
    <row r="1845" spans="42:44">
      <c r="AP1845" s="1756" t="e">
        <f>IF(OR(AR1845=S13,AR1845&gt;S13),AR1845,"")</f>
        <v>#VALUE!</v>
      </c>
      <c r="AQ1845" s="1759">
        <f t="shared" si="87"/>
        <v>1842</v>
      </c>
      <c r="AR1845" s="1756" t="e">
        <f>0.5*(S18+2*AQ1845)*LN(1+2*AQ1845/S18)</f>
        <v>#VALUE!</v>
      </c>
    </row>
    <row r="1846" spans="42:44">
      <c r="AP1846" s="1756" t="e">
        <f>IF(OR(AR1846=S13,AR1846&gt;S13),AR1846,"")</f>
        <v>#VALUE!</v>
      </c>
      <c r="AQ1846" s="1759">
        <f t="shared" si="87"/>
        <v>1843</v>
      </c>
      <c r="AR1846" s="1756" t="e">
        <f>0.5*(S18+2*AQ1846)*LN(1+2*AQ1846/S18)</f>
        <v>#VALUE!</v>
      </c>
    </row>
    <row r="1847" spans="42:44">
      <c r="AP1847" s="1756" t="e">
        <f>IF(OR(AR1847=S13,AR1847&gt;S13),AR1847,"")</f>
        <v>#VALUE!</v>
      </c>
      <c r="AQ1847" s="1759">
        <f t="shared" si="87"/>
        <v>1844</v>
      </c>
      <c r="AR1847" s="1756" t="e">
        <f>0.5*(S18+2*AQ1847)*LN(1+2*AQ1847/S18)</f>
        <v>#VALUE!</v>
      </c>
    </row>
    <row r="1848" spans="42:44">
      <c r="AP1848" s="1756" t="e">
        <f>IF(OR(AR1848=S13,AR1848&gt;S13),AR1848,"")</f>
        <v>#VALUE!</v>
      </c>
      <c r="AQ1848" s="1759">
        <f t="shared" si="87"/>
        <v>1845</v>
      </c>
      <c r="AR1848" s="1756" t="e">
        <f>0.5*(S18+2*AQ1848)*LN(1+2*AQ1848/S18)</f>
        <v>#VALUE!</v>
      </c>
    </row>
    <row r="1849" spans="42:44">
      <c r="AP1849" s="1756" t="e">
        <f>IF(OR(AR1849=S13,AR1849&gt;S13),AR1849,"")</f>
        <v>#VALUE!</v>
      </c>
      <c r="AQ1849" s="1759">
        <f t="shared" si="87"/>
        <v>1846</v>
      </c>
      <c r="AR1849" s="1756" t="e">
        <f>0.5*(S18+2*AQ1849)*LN(1+2*AQ1849/S18)</f>
        <v>#VALUE!</v>
      </c>
    </row>
    <row r="1850" spans="42:44">
      <c r="AP1850" s="1756" t="e">
        <f>IF(OR(AR1850=S13,AR1850&gt;S13),AR1850,"")</f>
        <v>#VALUE!</v>
      </c>
      <c r="AQ1850" s="1759">
        <f t="shared" si="87"/>
        <v>1847</v>
      </c>
      <c r="AR1850" s="1756" t="e">
        <f>0.5*(S18+2*AQ1850)*LN(1+2*AQ1850/S18)</f>
        <v>#VALUE!</v>
      </c>
    </row>
    <row r="1851" spans="42:44">
      <c r="AP1851" s="1756" t="e">
        <f>IF(OR(AR1851=S13,AR1851&gt;S13),AR1851,"")</f>
        <v>#VALUE!</v>
      </c>
      <c r="AQ1851" s="1759">
        <f t="shared" si="87"/>
        <v>1848</v>
      </c>
      <c r="AR1851" s="1756" t="e">
        <f>0.5*(S18+2*AQ1851)*LN(1+2*AQ1851/S18)</f>
        <v>#VALUE!</v>
      </c>
    </row>
    <row r="1852" spans="42:44">
      <c r="AP1852" s="1756" t="e">
        <f>IF(OR(AR1852=S13,AR1852&gt;S13),AR1852,"")</f>
        <v>#VALUE!</v>
      </c>
      <c r="AQ1852" s="1759">
        <f t="shared" si="87"/>
        <v>1849</v>
      </c>
      <c r="AR1852" s="1756" t="e">
        <f>0.5*(S18+2*AQ1852)*LN(1+2*AQ1852/S18)</f>
        <v>#VALUE!</v>
      </c>
    </row>
    <row r="1853" spans="42:44">
      <c r="AP1853" s="1756" t="e">
        <f>IF(OR(AR1853=S13,AR1853&gt;S13),AR1853,"")</f>
        <v>#VALUE!</v>
      </c>
      <c r="AQ1853" s="1759">
        <f t="shared" si="87"/>
        <v>1850</v>
      </c>
      <c r="AR1853" s="1756" t="e">
        <f>0.5*(S18+2*AQ1853)*LN(1+2*AQ1853/S18)</f>
        <v>#VALUE!</v>
      </c>
    </row>
    <row r="1854" spans="42:44">
      <c r="AP1854" s="1756" t="e">
        <f>IF(OR(AR1854=S13,AR1854&gt;S13),AR1854,"")</f>
        <v>#VALUE!</v>
      </c>
      <c r="AQ1854" s="1759">
        <f t="shared" si="87"/>
        <v>1851</v>
      </c>
      <c r="AR1854" s="1756" t="e">
        <f>0.5*(S18+2*AQ1854)*LN(1+2*AQ1854/S18)</f>
        <v>#VALUE!</v>
      </c>
    </row>
    <row r="1855" spans="42:44">
      <c r="AP1855" s="1756" t="e">
        <f>IF(OR(AR1855=S13,AR1855&gt;S13),AR1855,"")</f>
        <v>#VALUE!</v>
      </c>
      <c r="AQ1855" s="1759">
        <f t="shared" si="87"/>
        <v>1852</v>
      </c>
      <c r="AR1855" s="1756" t="e">
        <f>0.5*(S18+2*AQ1855)*LN(1+2*AQ1855/S18)</f>
        <v>#VALUE!</v>
      </c>
    </row>
    <row r="1856" spans="42:44">
      <c r="AP1856" s="1756" t="e">
        <f>IF(OR(AR1856=S13,AR1856&gt;S13),AR1856,"")</f>
        <v>#VALUE!</v>
      </c>
      <c r="AQ1856" s="1759">
        <f t="shared" si="87"/>
        <v>1853</v>
      </c>
      <c r="AR1856" s="1756" t="e">
        <f>0.5*(S18+2*AQ1856)*LN(1+2*AQ1856/S18)</f>
        <v>#VALUE!</v>
      </c>
    </row>
    <row r="1857" spans="42:44">
      <c r="AP1857" s="1756" t="e">
        <f>IF(OR(AR1857=S13,AR1857&gt;S13),AR1857,"")</f>
        <v>#VALUE!</v>
      </c>
      <c r="AQ1857" s="1759">
        <f t="shared" si="87"/>
        <v>1854</v>
      </c>
      <c r="AR1857" s="1756" t="e">
        <f>0.5*(S18+2*AQ1857)*LN(1+2*AQ1857/S18)</f>
        <v>#VALUE!</v>
      </c>
    </row>
    <row r="1858" spans="42:44">
      <c r="AP1858" s="1756" t="e">
        <f>IF(OR(AR1858=S13,AR1858&gt;S13),AR1858,"")</f>
        <v>#VALUE!</v>
      </c>
      <c r="AQ1858" s="1759">
        <f t="shared" si="87"/>
        <v>1855</v>
      </c>
      <c r="AR1858" s="1756" t="e">
        <f>0.5*(S18+2*AQ1858)*LN(1+2*AQ1858/S18)</f>
        <v>#VALUE!</v>
      </c>
    </row>
    <row r="1859" spans="42:44">
      <c r="AP1859" s="1756" t="e">
        <f>IF(OR(AR1859=S13,AR1859&gt;S13),AR1859,"")</f>
        <v>#VALUE!</v>
      </c>
      <c r="AQ1859" s="1759">
        <f t="shared" si="87"/>
        <v>1856</v>
      </c>
      <c r="AR1859" s="1756" t="e">
        <f>0.5*(S18+2*AQ1859)*LN(1+2*AQ1859/S18)</f>
        <v>#VALUE!</v>
      </c>
    </row>
    <row r="1860" spans="42:44">
      <c r="AP1860" s="1756" t="e">
        <f>IF(OR(AR1860=S13,AR1860&gt;S13),AR1860,"")</f>
        <v>#VALUE!</v>
      </c>
      <c r="AQ1860" s="1759">
        <f t="shared" si="87"/>
        <v>1857</v>
      </c>
      <c r="AR1860" s="1756" t="e">
        <f>0.5*(S18+2*AQ1860)*LN(1+2*AQ1860/S18)</f>
        <v>#VALUE!</v>
      </c>
    </row>
    <row r="1861" spans="42:44">
      <c r="AP1861" s="1756" t="e">
        <f>IF(OR(AR1861=S13,AR1861&gt;S13),AR1861,"")</f>
        <v>#VALUE!</v>
      </c>
      <c r="AQ1861" s="1759">
        <f t="shared" si="87"/>
        <v>1858</v>
      </c>
      <c r="AR1861" s="1756" t="e">
        <f>0.5*(S18+2*AQ1861)*LN(1+2*AQ1861/S18)</f>
        <v>#VALUE!</v>
      </c>
    </row>
    <row r="1862" spans="42:44">
      <c r="AP1862" s="1756" t="e">
        <f>IF(OR(AR1862=S13,AR1862&gt;S13),AR1862,"")</f>
        <v>#VALUE!</v>
      </c>
      <c r="AQ1862" s="1759">
        <f t="shared" ref="AQ1862:AQ1925" si="88">AQ1861+1</f>
        <v>1859</v>
      </c>
      <c r="AR1862" s="1756" t="e">
        <f>0.5*(S18+2*AQ1862)*LN(1+2*AQ1862/S18)</f>
        <v>#VALUE!</v>
      </c>
    </row>
    <row r="1863" spans="42:44">
      <c r="AP1863" s="1756" t="e">
        <f>IF(OR(AR1863=S13,AR1863&gt;S13),AR1863,"")</f>
        <v>#VALUE!</v>
      </c>
      <c r="AQ1863" s="1759">
        <f t="shared" si="88"/>
        <v>1860</v>
      </c>
      <c r="AR1863" s="1756" t="e">
        <f>0.5*(S18+2*AQ1863)*LN(1+2*AQ1863/S18)</f>
        <v>#VALUE!</v>
      </c>
    </row>
    <row r="1864" spans="42:44">
      <c r="AP1864" s="1756" t="e">
        <f>IF(OR(AR1864=S13,AR1864&gt;S13),AR1864,"")</f>
        <v>#VALUE!</v>
      </c>
      <c r="AQ1864" s="1759">
        <f t="shared" si="88"/>
        <v>1861</v>
      </c>
      <c r="AR1864" s="1756" t="e">
        <f>0.5*(S18+2*AQ1864)*LN(1+2*AQ1864/S18)</f>
        <v>#VALUE!</v>
      </c>
    </row>
    <row r="1865" spans="42:44">
      <c r="AP1865" s="1756" t="e">
        <f>IF(OR(AR1865=S13,AR1865&gt;S13),AR1865,"")</f>
        <v>#VALUE!</v>
      </c>
      <c r="AQ1865" s="1759">
        <f t="shared" si="88"/>
        <v>1862</v>
      </c>
      <c r="AR1865" s="1756" t="e">
        <f>0.5*(S18+2*AQ1865)*LN(1+2*AQ1865/S18)</f>
        <v>#VALUE!</v>
      </c>
    </row>
    <row r="1866" spans="42:44">
      <c r="AP1866" s="1756" t="e">
        <f>IF(OR(AR1866=S13,AR1866&gt;S13),AR1866,"")</f>
        <v>#VALUE!</v>
      </c>
      <c r="AQ1866" s="1759">
        <f t="shared" si="88"/>
        <v>1863</v>
      </c>
      <c r="AR1866" s="1756" t="e">
        <f>0.5*(S18+2*AQ1866)*LN(1+2*AQ1866/S18)</f>
        <v>#VALUE!</v>
      </c>
    </row>
    <row r="1867" spans="42:44">
      <c r="AP1867" s="1756" t="e">
        <f>IF(OR(AR1867=S13,AR1867&gt;S13),AR1867,"")</f>
        <v>#VALUE!</v>
      </c>
      <c r="AQ1867" s="1759">
        <f t="shared" si="88"/>
        <v>1864</v>
      </c>
      <c r="AR1867" s="1756" t="e">
        <f>0.5*(S18+2*AQ1867)*LN(1+2*AQ1867/S18)</f>
        <v>#VALUE!</v>
      </c>
    </row>
    <row r="1868" spans="42:44">
      <c r="AP1868" s="1756" t="e">
        <f>IF(OR(AR1868=S13,AR1868&gt;S13),AR1868,"")</f>
        <v>#VALUE!</v>
      </c>
      <c r="AQ1868" s="1759">
        <f t="shared" si="88"/>
        <v>1865</v>
      </c>
      <c r="AR1868" s="1756" t="e">
        <f>0.5*(S18+2*AQ1868)*LN(1+2*AQ1868/S18)</f>
        <v>#VALUE!</v>
      </c>
    </row>
    <row r="1869" spans="42:44">
      <c r="AP1869" s="1756" t="e">
        <f>IF(OR(AR1869=S13,AR1869&gt;S13),AR1869,"")</f>
        <v>#VALUE!</v>
      </c>
      <c r="AQ1869" s="1759">
        <f t="shared" si="88"/>
        <v>1866</v>
      </c>
      <c r="AR1869" s="1756" t="e">
        <f>0.5*(S18+2*AQ1869)*LN(1+2*AQ1869/S18)</f>
        <v>#VALUE!</v>
      </c>
    </row>
    <row r="1870" spans="42:44">
      <c r="AP1870" s="1756" t="e">
        <f>IF(OR(AR1870=S13,AR1870&gt;S13),AR1870,"")</f>
        <v>#VALUE!</v>
      </c>
      <c r="AQ1870" s="1759">
        <f t="shared" si="88"/>
        <v>1867</v>
      </c>
      <c r="AR1870" s="1756" t="e">
        <f>0.5*(S18+2*AQ1870)*LN(1+2*AQ1870/S18)</f>
        <v>#VALUE!</v>
      </c>
    </row>
    <row r="1871" spans="42:44">
      <c r="AP1871" s="1756" t="e">
        <f>IF(OR(AR1871=S13,AR1871&gt;S13),AR1871,"")</f>
        <v>#VALUE!</v>
      </c>
      <c r="AQ1871" s="1759">
        <f t="shared" si="88"/>
        <v>1868</v>
      </c>
      <c r="AR1871" s="1756" t="e">
        <f>0.5*(S18+2*AQ1871)*LN(1+2*AQ1871/S18)</f>
        <v>#VALUE!</v>
      </c>
    </row>
    <row r="1872" spans="42:44">
      <c r="AP1872" s="1756" t="e">
        <f>IF(OR(AR1872=S13,AR1872&gt;S13),AR1872,"")</f>
        <v>#VALUE!</v>
      </c>
      <c r="AQ1872" s="1759">
        <f t="shared" si="88"/>
        <v>1869</v>
      </c>
      <c r="AR1872" s="1756" t="e">
        <f>0.5*(S18+2*AQ1872)*LN(1+2*AQ1872/S18)</f>
        <v>#VALUE!</v>
      </c>
    </row>
    <row r="1873" spans="42:44">
      <c r="AP1873" s="1756" t="e">
        <f>IF(OR(AR1873=S13,AR1873&gt;S13),AR1873,"")</f>
        <v>#VALUE!</v>
      </c>
      <c r="AQ1873" s="1759">
        <f t="shared" si="88"/>
        <v>1870</v>
      </c>
      <c r="AR1873" s="1756" t="e">
        <f>0.5*(S18+2*AQ1873)*LN(1+2*AQ1873/S18)</f>
        <v>#VALUE!</v>
      </c>
    </row>
    <row r="1874" spans="42:44">
      <c r="AP1874" s="1756" t="e">
        <f>IF(OR(AR1874=S13,AR1874&gt;S13),AR1874,"")</f>
        <v>#VALUE!</v>
      </c>
      <c r="AQ1874" s="1759">
        <f t="shared" si="88"/>
        <v>1871</v>
      </c>
      <c r="AR1874" s="1756" t="e">
        <f>0.5*(S18+2*AQ1874)*LN(1+2*AQ1874/S18)</f>
        <v>#VALUE!</v>
      </c>
    </row>
    <row r="1875" spans="42:44">
      <c r="AP1875" s="1756" t="e">
        <f>IF(OR(AR1875=S13,AR1875&gt;S13),AR1875,"")</f>
        <v>#VALUE!</v>
      </c>
      <c r="AQ1875" s="1759">
        <f t="shared" si="88"/>
        <v>1872</v>
      </c>
      <c r="AR1875" s="1756" t="e">
        <f>0.5*(S18+2*AQ1875)*LN(1+2*AQ1875/S18)</f>
        <v>#VALUE!</v>
      </c>
    </row>
    <row r="1876" spans="42:44">
      <c r="AP1876" s="1756" t="e">
        <f>IF(OR(AR1876=S13,AR1876&gt;S13),AR1876,"")</f>
        <v>#VALUE!</v>
      </c>
      <c r="AQ1876" s="1759">
        <f t="shared" si="88"/>
        <v>1873</v>
      </c>
      <c r="AR1876" s="1756" t="e">
        <f>0.5*(S18+2*AQ1876)*LN(1+2*AQ1876/S18)</f>
        <v>#VALUE!</v>
      </c>
    </row>
    <row r="1877" spans="42:44">
      <c r="AP1877" s="1756" t="e">
        <f>IF(OR(AR1877=S13,AR1877&gt;S13),AR1877,"")</f>
        <v>#VALUE!</v>
      </c>
      <c r="AQ1877" s="1759">
        <f t="shared" si="88"/>
        <v>1874</v>
      </c>
      <c r="AR1877" s="1756" t="e">
        <f>0.5*(S18+2*AQ1877)*LN(1+2*AQ1877/S18)</f>
        <v>#VALUE!</v>
      </c>
    </row>
    <row r="1878" spans="42:44">
      <c r="AP1878" s="1756" t="e">
        <f>IF(OR(AR1878=S13,AR1878&gt;S13),AR1878,"")</f>
        <v>#VALUE!</v>
      </c>
      <c r="AQ1878" s="1759">
        <f t="shared" si="88"/>
        <v>1875</v>
      </c>
      <c r="AR1878" s="1756" t="e">
        <f>0.5*(S18+2*AQ1878)*LN(1+2*AQ1878/S18)</f>
        <v>#VALUE!</v>
      </c>
    </row>
    <row r="1879" spans="42:44">
      <c r="AP1879" s="1756" t="e">
        <f>IF(OR(AR1879=S13,AR1879&gt;S13),AR1879,"")</f>
        <v>#VALUE!</v>
      </c>
      <c r="AQ1879" s="1759">
        <f t="shared" si="88"/>
        <v>1876</v>
      </c>
      <c r="AR1879" s="1756" t="e">
        <f>0.5*(S18+2*AQ1879)*LN(1+2*AQ1879/S18)</f>
        <v>#VALUE!</v>
      </c>
    </row>
    <row r="1880" spans="42:44">
      <c r="AP1880" s="1756" t="e">
        <f>IF(OR(AR1880=S13,AR1880&gt;S13),AR1880,"")</f>
        <v>#VALUE!</v>
      </c>
      <c r="AQ1880" s="1759">
        <f t="shared" si="88"/>
        <v>1877</v>
      </c>
      <c r="AR1880" s="1756" t="e">
        <f>0.5*(S18+2*AQ1880)*LN(1+2*AQ1880/S18)</f>
        <v>#VALUE!</v>
      </c>
    </row>
    <row r="1881" spans="42:44">
      <c r="AP1881" s="1756" t="e">
        <f>IF(OR(AR1881=S13,AR1881&gt;S13),AR1881,"")</f>
        <v>#VALUE!</v>
      </c>
      <c r="AQ1881" s="1759">
        <f t="shared" si="88"/>
        <v>1878</v>
      </c>
      <c r="AR1881" s="1756" t="e">
        <f>0.5*(S18+2*AQ1881)*LN(1+2*AQ1881/S18)</f>
        <v>#VALUE!</v>
      </c>
    </row>
    <row r="1882" spans="42:44">
      <c r="AP1882" s="1756" t="e">
        <f>IF(OR(AR1882=S13,AR1882&gt;S13),AR1882,"")</f>
        <v>#VALUE!</v>
      </c>
      <c r="AQ1882" s="1759">
        <f t="shared" si="88"/>
        <v>1879</v>
      </c>
      <c r="AR1882" s="1756" t="e">
        <f>0.5*(S18+2*AQ1882)*LN(1+2*AQ1882/S18)</f>
        <v>#VALUE!</v>
      </c>
    </row>
    <row r="1883" spans="42:44">
      <c r="AP1883" s="1756" t="e">
        <f>IF(OR(AR1883=S13,AR1883&gt;S13),AR1883,"")</f>
        <v>#VALUE!</v>
      </c>
      <c r="AQ1883" s="1759">
        <f t="shared" si="88"/>
        <v>1880</v>
      </c>
      <c r="AR1883" s="1756" t="e">
        <f>0.5*(S18+2*AQ1883)*LN(1+2*AQ1883/S18)</f>
        <v>#VALUE!</v>
      </c>
    </row>
    <row r="1884" spans="42:44">
      <c r="AP1884" s="1756" t="e">
        <f>IF(OR(AR1884=S13,AR1884&gt;S13),AR1884,"")</f>
        <v>#VALUE!</v>
      </c>
      <c r="AQ1884" s="1759">
        <f t="shared" si="88"/>
        <v>1881</v>
      </c>
      <c r="AR1884" s="1756" t="e">
        <f>0.5*(S18+2*AQ1884)*LN(1+2*AQ1884/S18)</f>
        <v>#VALUE!</v>
      </c>
    </row>
    <row r="1885" spans="42:44">
      <c r="AP1885" s="1756" t="e">
        <f>IF(OR(AR1885=S13,AR1885&gt;S13),AR1885,"")</f>
        <v>#VALUE!</v>
      </c>
      <c r="AQ1885" s="1759">
        <f t="shared" si="88"/>
        <v>1882</v>
      </c>
      <c r="AR1885" s="1756" t="e">
        <f>0.5*(S18+2*AQ1885)*LN(1+2*AQ1885/S18)</f>
        <v>#VALUE!</v>
      </c>
    </row>
    <row r="1886" spans="42:44">
      <c r="AP1886" s="1756" t="e">
        <f>IF(OR(AR1886=S13,AR1886&gt;S13),AR1886,"")</f>
        <v>#VALUE!</v>
      </c>
      <c r="AQ1886" s="1759">
        <f t="shared" si="88"/>
        <v>1883</v>
      </c>
      <c r="AR1886" s="1756" t="e">
        <f>0.5*(S18+2*AQ1886)*LN(1+2*AQ1886/S18)</f>
        <v>#VALUE!</v>
      </c>
    </row>
    <row r="1887" spans="42:44">
      <c r="AP1887" s="1756" t="e">
        <f>IF(OR(AR1887=S13,AR1887&gt;S13),AR1887,"")</f>
        <v>#VALUE!</v>
      </c>
      <c r="AQ1887" s="1759">
        <f t="shared" si="88"/>
        <v>1884</v>
      </c>
      <c r="AR1887" s="1756" t="e">
        <f>0.5*(S18+2*AQ1887)*LN(1+2*AQ1887/S18)</f>
        <v>#VALUE!</v>
      </c>
    </row>
    <row r="1888" spans="42:44">
      <c r="AP1888" s="1756" t="e">
        <f>IF(OR(AR1888=S13,AR1888&gt;S13),AR1888,"")</f>
        <v>#VALUE!</v>
      </c>
      <c r="AQ1888" s="1759">
        <f t="shared" si="88"/>
        <v>1885</v>
      </c>
      <c r="AR1888" s="1756" t="e">
        <f>0.5*(S18+2*AQ1888)*LN(1+2*AQ1888/S18)</f>
        <v>#VALUE!</v>
      </c>
    </row>
    <row r="1889" spans="42:44">
      <c r="AP1889" s="1756" t="e">
        <f>IF(OR(AR1889=S13,AR1889&gt;S13),AR1889,"")</f>
        <v>#VALUE!</v>
      </c>
      <c r="AQ1889" s="1759">
        <f t="shared" si="88"/>
        <v>1886</v>
      </c>
      <c r="AR1889" s="1756" t="e">
        <f>0.5*(S18+2*AQ1889)*LN(1+2*AQ1889/S18)</f>
        <v>#VALUE!</v>
      </c>
    </row>
    <row r="1890" spans="42:44">
      <c r="AP1890" s="1756" t="e">
        <f>IF(OR(AR1890=S13,AR1890&gt;S13),AR1890,"")</f>
        <v>#VALUE!</v>
      </c>
      <c r="AQ1890" s="1759">
        <f t="shared" si="88"/>
        <v>1887</v>
      </c>
      <c r="AR1890" s="1756" t="e">
        <f>0.5*(S18+2*AQ1890)*LN(1+2*AQ1890/S18)</f>
        <v>#VALUE!</v>
      </c>
    </row>
    <row r="1891" spans="42:44">
      <c r="AP1891" s="1756" t="e">
        <f>IF(OR(AR1891=S13,AR1891&gt;S13),AR1891,"")</f>
        <v>#VALUE!</v>
      </c>
      <c r="AQ1891" s="1759">
        <f t="shared" si="88"/>
        <v>1888</v>
      </c>
      <c r="AR1891" s="1756" t="e">
        <f>0.5*(S18+2*AQ1891)*LN(1+2*AQ1891/S18)</f>
        <v>#VALUE!</v>
      </c>
    </row>
    <row r="1892" spans="42:44">
      <c r="AP1892" s="1756" t="e">
        <f>IF(OR(AR1892=S13,AR1892&gt;S13),AR1892,"")</f>
        <v>#VALUE!</v>
      </c>
      <c r="AQ1892" s="1759">
        <f t="shared" si="88"/>
        <v>1889</v>
      </c>
      <c r="AR1892" s="1756" t="e">
        <f>0.5*(S18+2*AQ1892)*LN(1+2*AQ1892/S18)</f>
        <v>#VALUE!</v>
      </c>
    </row>
    <row r="1893" spans="42:44">
      <c r="AP1893" s="1756" t="e">
        <f>IF(OR(AR1893=S13,AR1893&gt;S13),AR1893,"")</f>
        <v>#VALUE!</v>
      </c>
      <c r="AQ1893" s="1759">
        <f t="shared" si="88"/>
        <v>1890</v>
      </c>
      <c r="AR1893" s="1756" t="e">
        <f>0.5*(S18+2*AQ1893)*LN(1+2*AQ1893/S18)</f>
        <v>#VALUE!</v>
      </c>
    </row>
    <row r="1894" spans="42:44">
      <c r="AP1894" s="1756" t="e">
        <f>IF(OR(AR1894=S13,AR1894&gt;S13),AR1894,"")</f>
        <v>#VALUE!</v>
      </c>
      <c r="AQ1894" s="1759">
        <f t="shared" si="88"/>
        <v>1891</v>
      </c>
      <c r="AR1894" s="1756" t="e">
        <f>0.5*(S18+2*AQ1894)*LN(1+2*AQ1894/S18)</f>
        <v>#VALUE!</v>
      </c>
    </row>
    <row r="1895" spans="42:44">
      <c r="AP1895" s="1756" t="e">
        <f>IF(OR(AR1895=S13,AR1895&gt;S13),AR1895,"")</f>
        <v>#VALUE!</v>
      </c>
      <c r="AQ1895" s="1759">
        <f t="shared" si="88"/>
        <v>1892</v>
      </c>
      <c r="AR1895" s="1756" t="e">
        <f>0.5*(S18+2*AQ1895)*LN(1+2*AQ1895/S18)</f>
        <v>#VALUE!</v>
      </c>
    </row>
    <row r="1896" spans="42:44">
      <c r="AP1896" s="1756" t="e">
        <f>IF(OR(AR1896=S13,AR1896&gt;S13),AR1896,"")</f>
        <v>#VALUE!</v>
      </c>
      <c r="AQ1896" s="1759">
        <f t="shared" si="88"/>
        <v>1893</v>
      </c>
      <c r="AR1896" s="1756" t="e">
        <f>0.5*(S18+2*AQ1896)*LN(1+2*AQ1896/S18)</f>
        <v>#VALUE!</v>
      </c>
    </row>
    <row r="1897" spans="42:44">
      <c r="AP1897" s="1756" t="e">
        <f>IF(OR(AR1897=S13,AR1897&gt;S13),AR1897,"")</f>
        <v>#VALUE!</v>
      </c>
      <c r="AQ1897" s="1759">
        <f t="shared" si="88"/>
        <v>1894</v>
      </c>
      <c r="AR1897" s="1756" t="e">
        <f>0.5*(S18+2*AQ1897)*LN(1+2*AQ1897/S18)</f>
        <v>#VALUE!</v>
      </c>
    </row>
    <row r="1898" spans="42:44">
      <c r="AP1898" s="1756" t="e">
        <f>IF(OR(AR1898=S13,AR1898&gt;S13),AR1898,"")</f>
        <v>#VALUE!</v>
      </c>
      <c r="AQ1898" s="1759">
        <f t="shared" si="88"/>
        <v>1895</v>
      </c>
      <c r="AR1898" s="1756" t="e">
        <f>0.5*(S18+2*AQ1898)*LN(1+2*AQ1898/S18)</f>
        <v>#VALUE!</v>
      </c>
    </row>
    <row r="1899" spans="42:44">
      <c r="AP1899" s="1756" t="e">
        <f>IF(OR(AR1899=S13,AR1899&gt;S13),AR1899,"")</f>
        <v>#VALUE!</v>
      </c>
      <c r="AQ1899" s="1759">
        <f t="shared" si="88"/>
        <v>1896</v>
      </c>
      <c r="AR1899" s="1756" t="e">
        <f>0.5*(S18+2*AQ1899)*LN(1+2*AQ1899/S18)</f>
        <v>#VALUE!</v>
      </c>
    </row>
    <row r="1900" spans="42:44">
      <c r="AP1900" s="1756" t="e">
        <f>IF(OR(AR1900=S13,AR1900&gt;S13),AR1900,"")</f>
        <v>#VALUE!</v>
      </c>
      <c r="AQ1900" s="1759">
        <f t="shared" si="88"/>
        <v>1897</v>
      </c>
      <c r="AR1900" s="1756" t="e">
        <f>0.5*(S18+2*AQ1900)*LN(1+2*AQ1900/S18)</f>
        <v>#VALUE!</v>
      </c>
    </row>
    <row r="1901" spans="42:44">
      <c r="AP1901" s="1756" t="e">
        <f>IF(OR(AR1901=S13,AR1901&gt;S13),AR1901,"")</f>
        <v>#VALUE!</v>
      </c>
      <c r="AQ1901" s="1759">
        <f t="shared" si="88"/>
        <v>1898</v>
      </c>
      <c r="AR1901" s="1756" t="e">
        <f>0.5*(S18+2*AQ1901)*LN(1+2*AQ1901/S18)</f>
        <v>#VALUE!</v>
      </c>
    </row>
    <row r="1902" spans="42:44">
      <c r="AP1902" s="1756" t="e">
        <f>IF(OR(AR1902=S13,AR1902&gt;S13),AR1902,"")</f>
        <v>#VALUE!</v>
      </c>
      <c r="AQ1902" s="1759">
        <f t="shared" si="88"/>
        <v>1899</v>
      </c>
      <c r="AR1902" s="1756" t="e">
        <f>0.5*(S18+2*AQ1902)*LN(1+2*AQ1902/S18)</f>
        <v>#VALUE!</v>
      </c>
    </row>
    <row r="1903" spans="42:44">
      <c r="AP1903" s="1756" t="e">
        <f>IF(OR(AR1903=S13,AR1903&gt;S13),AR1903,"")</f>
        <v>#VALUE!</v>
      </c>
      <c r="AQ1903" s="1759">
        <f t="shared" si="88"/>
        <v>1900</v>
      </c>
      <c r="AR1903" s="1756" t="e">
        <f>0.5*(S18+2*AQ1903)*LN(1+2*AQ1903/S18)</f>
        <v>#VALUE!</v>
      </c>
    </row>
    <row r="1904" spans="42:44">
      <c r="AP1904" s="1756" t="e">
        <f>IF(OR(AR1904=S13,AR1904&gt;S13),AR1904,"")</f>
        <v>#VALUE!</v>
      </c>
      <c r="AQ1904" s="1759">
        <f t="shared" si="88"/>
        <v>1901</v>
      </c>
      <c r="AR1904" s="1756" t="e">
        <f>0.5*(S18+2*AQ1904)*LN(1+2*AQ1904/S18)</f>
        <v>#VALUE!</v>
      </c>
    </row>
    <row r="1905" spans="42:44">
      <c r="AP1905" s="1756" t="e">
        <f>IF(OR(AR1905=S13,AR1905&gt;S13),AR1905,"")</f>
        <v>#VALUE!</v>
      </c>
      <c r="AQ1905" s="1759">
        <f t="shared" si="88"/>
        <v>1902</v>
      </c>
      <c r="AR1905" s="1756" t="e">
        <f>0.5*(S18+2*AQ1905)*LN(1+2*AQ1905/S18)</f>
        <v>#VALUE!</v>
      </c>
    </row>
    <row r="1906" spans="42:44">
      <c r="AP1906" s="1756" t="e">
        <f>IF(OR(AR1906=S13,AR1906&gt;S13),AR1906,"")</f>
        <v>#VALUE!</v>
      </c>
      <c r="AQ1906" s="1759">
        <f t="shared" si="88"/>
        <v>1903</v>
      </c>
      <c r="AR1906" s="1756" t="e">
        <f>0.5*(S18+2*AQ1906)*LN(1+2*AQ1906/S18)</f>
        <v>#VALUE!</v>
      </c>
    </row>
    <row r="1907" spans="42:44">
      <c r="AP1907" s="1756" t="e">
        <f>IF(OR(AR1907=S13,AR1907&gt;S13),AR1907,"")</f>
        <v>#VALUE!</v>
      </c>
      <c r="AQ1907" s="1759">
        <f t="shared" si="88"/>
        <v>1904</v>
      </c>
      <c r="AR1907" s="1756" t="e">
        <f>0.5*(S18+2*AQ1907)*LN(1+2*AQ1907/S18)</f>
        <v>#VALUE!</v>
      </c>
    </row>
    <row r="1908" spans="42:44">
      <c r="AP1908" s="1756" t="e">
        <f>IF(OR(AR1908=S13,AR1908&gt;S13),AR1908,"")</f>
        <v>#VALUE!</v>
      </c>
      <c r="AQ1908" s="1759">
        <f t="shared" si="88"/>
        <v>1905</v>
      </c>
      <c r="AR1908" s="1756" t="e">
        <f>0.5*(S18+2*AQ1908)*LN(1+2*AQ1908/S18)</f>
        <v>#VALUE!</v>
      </c>
    </row>
    <row r="1909" spans="42:44">
      <c r="AP1909" s="1756" t="e">
        <f>IF(OR(AR1909=S13,AR1909&gt;S13),AR1909,"")</f>
        <v>#VALUE!</v>
      </c>
      <c r="AQ1909" s="1759">
        <f t="shared" si="88"/>
        <v>1906</v>
      </c>
      <c r="AR1909" s="1756" t="e">
        <f>0.5*(S18+2*AQ1909)*LN(1+2*AQ1909/S18)</f>
        <v>#VALUE!</v>
      </c>
    </row>
    <row r="1910" spans="42:44">
      <c r="AP1910" s="1756" t="e">
        <f>IF(OR(AR1910=S13,AR1910&gt;S13),AR1910,"")</f>
        <v>#VALUE!</v>
      </c>
      <c r="AQ1910" s="1759">
        <f t="shared" si="88"/>
        <v>1907</v>
      </c>
      <c r="AR1910" s="1756" t="e">
        <f>0.5*(S18+2*AQ1910)*LN(1+2*AQ1910/S18)</f>
        <v>#VALUE!</v>
      </c>
    </row>
    <row r="1911" spans="42:44">
      <c r="AP1911" s="1756" t="e">
        <f>IF(OR(AR1911=S13,AR1911&gt;S13),AR1911,"")</f>
        <v>#VALUE!</v>
      </c>
      <c r="AQ1911" s="1759">
        <f t="shared" si="88"/>
        <v>1908</v>
      </c>
      <c r="AR1911" s="1756" t="e">
        <f>0.5*(S18+2*AQ1911)*LN(1+2*AQ1911/S18)</f>
        <v>#VALUE!</v>
      </c>
    </row>
    <row r="1912" spans="42:44">
      <c r="AP1912" s="1756" t="e">
        <f>IF(OR(AR1912=S13,AR1912&gt;S13),AR1912,"")</f>
        <v>#VALUE!</v>
      </c>
      <c r="AQ1912" s="1759">
        <f t="shared" si="88"/>
        <v>1909</v>
      </c>
      <c r="AR1912" s="1756" t="e">
        <f>0.5*(S18+2*AQ1912)*LN(1+2*AQ1912/S18)</f>
        <v>#VALUE!</v>
      </c>
    </row>
    <row r="1913" spans="42:44">
      <c r="AP1913" s="1756" t="e">
        <f>IF(OR(AR1913=S13,AR1913&gt;S13),AR1913,"")</f>
        <v>#VALUE!</v>
      </c>
      <c r="AQ1913" s="1759">
        <f t="shared" si="88"/>
        <v>1910</v>
      </c>
      <c r="AR1913" s="1756" t="e">
        <f>0.5*(S18+2*AQ1913)*LN(1+2*AQ1913/S18)</f>
        <v>#VALUE!</v>
      </c>
    </row>
    <row r="1914" spans="42:44">
      <c r="AP1914" s="1756" t="e">
        <f>IF(OR(AR1914=S13,AR1914&gt;S13),AR1914,"")</f>
        <v>#VALUE!</v>
      </c>
      <c r="AQ1914" s="1759">
        <f t="shared" si="88"/>
        <v>1911</v>
      </c>
      <c r="AR1914" s="1756" t="e">
        <f>0.5*(S18+2*AQ1914)*LN(1+2*AQ1914/S18)</f>
        <v>#VALUE!</v>
      </c>
    </row>
    <row r="1915" spans="42:44">
      <c r="AP1915" s="1756" t="e">
        <f>IF(OR(AR1915=S13,AR1915&gt;S13),AR1915,"")</f>
        <v>#VALUE!</v>
      </c>
      <c r="AQ1915" s="1759">
        <f t="shared" si="88"/>
        <v>1912</v>
      </c>
      <c r="AR1915" s="1756" t="e">
        <f>0.5*(S18+2*AQ1915)*LN(1+2*AQ1915/S18)</f>
        <v>#VALUE!</v>
      </c>
    </row>
    <row r="1916" spans="42:44">
      <c r="AP1916" s="1756" t="e">
        <f>IF(OR(AR1916=S13,AR1916&gt;S13),AR1916,"")</f>
        <v>#VALUE!</v>
      </c>
      <c r="AQ1916" s="1759">
        <f t="shared" si="88"/>
        <v>1913</v>
      </c>
      <c r="AR1916" s="1756" t="e">
        <f>0.5*(S18+2*AQ1916)*LN(1+2*AQ1916/S18)</f>
        <v>#VALUE!</v>
      </c>
    </row>
    <row r="1917" spans="42:44">
      <c r="AP1917" s="1756" t="e">
        <f>IF(OR(AR1917=S13,AR1917&gt;S13),AR1917,"")</f>
        <v>#VALUE!</v>
      </c>
      <c r="AQ1917" s="1759">
        <f t="shared" si="88"/>
        <v>1914</v>
      </c>
      <c r="AR1917" s="1756" t="e">
        <f>0.5*(S18+2*AQ1917)*LN(1+2*AQ1917/S18)</f>
        <v>#VALUE!</v>
      </c>
    </row>
    <row r="1918" spans="42:44">
      <c r="AP1918" s="1756" t="e">
        <f>IF(OR(AR1918=S13,AR1918&gt;S13),AR1918,"")</f>
        <v>#VALUE!</v>
      </c>
      <c r="AQ1918" s="1759">
        <f t="shared" si="88"/>
        <v>1915</v>
      </c>
      <c r="AR1918" s="1756" t="e">
        <f>0.5*(S18+2*AQ1918)*LN(1+2*AQ1918/S18)</f>
        <v>#VALUE!</v>
      </c>
    </row>
    <row r="1919" spans="42:44">
      <c r="AP1919" s="1756" t="e">
        <f>IF(OR(AR1919=S13,AR1919&gt;S13),AR1919,"")</f>
        <v>#VALUE!</v>
      </c>
      <c r="AQ1919" s="1759">
        <f t="shared" si="88"/>
        <v>1916</v>
      </c>
      <c r="AR1919" s="1756" t="e">
        <f>0.5*(S18+2*AQ1919)*LN(1+2*AQ1919/S18)</f>
        <v>#VALUE!</v>
      </c>
    </row>
    <row r="1920" spans="42:44">
      <c r="AP1920" s="1756" t="e">
        <f>IF(OR(AR1920=S13,AR1920&gt;S13),AR1920,"")</f>
        <v>#VALUE!</v>
      </c>
      <c r="AQ1920" s="1759">
        <f t="shared" si="88"/>
        <v>1917</v>
      </c>
      <c r="AR1920" s="1756" t="e">
        <f>0.5*(S18+2*AQ1920)*LN(1+2*AQ1920/S18)</f>
        <v>#VALUE!</v>
      </c>
    </row>
    <row r="1921" spans="42:44">
      <c r="AP1921" s="1756" t="e">
        <f>IF(OR(AR1921=S13,AR1921&gt;S13),AR1921,"")</f>
        <v>#VALUE!</v>
      </c>
      <c r="AQ1921" s="1759">
        <f t="shared" si="88"/>
        <v>1918</v>
      </c>
      <c r="AR1921" s="1756" t="e">
        <f>0.5*(S18+2*AQ1921)*LN(1+2*AQ1921/S18)</f>
        <v>#VALUE!</v>
      </c>
    </row>
    <row r="1922" spans="42:44">
      <c r="AP1922" s="1756" t="e">
        <f>IF(OR(AR1922=S13,AR1922&gt;S13),AR1922,"")</f>
        <v>#VALUE!</v>
      </c>
      <c r="AQ1922" s="1759">
        <f t="shared" si="88"/>
        <v>1919</v>
      </c>
      <c r="AR1922" s="1756" t="e">
        <f>0.5*(S18+2*AQ1922)*LN(1+2*AQ1922/S18)</f>
        <v>#VALUE!</v>
      </c>
    </row>
    <row r="1923" spans="42:44">
      <c r="AP1923" s="1756" t="e">
        <f>IF(OR(AR1923=S13,AR1923&gt;S13),AR1923,"")</f>
        <v>#VALUE!</v>
      </c>
      <c r="AQ1923" s="1759">
        <f t="shared" si="88"/>
        <v>1920</v>
      </c>
      <c r="AR1923" s="1756" t="e">
        <f>0.5*(S18+2*AQ1923)*LN(1+2*AQ1923/S18)</f>
        <v>#VALUE!</v>
      </c>
    </row>
    <row r="1924" spans="42:44">
      <c r="AP1924" s="1756" t="e">
        <f>IF(OR(AR1924=S13,AR1924&gt;S13),AR1924,"")</f>
        <v>#VALUE!</v>
      </c>
      <c r="AQ1924" s="1759">
        <f t="shared" si="88"/>
        <v>1921</v>
      </c>
      <c r="AR1924" s="1756" t="e">
        <f>0.5*(S18+2*AQ1924)*LN(1+2*AQ1924/S18)</f>
        <v>#VALUE!</v>
      </c>
    </row>
    <row r="1925" spans="42:44">
      <c r="AP1925" s="1756" t="e">
        <f>IF(OR(AR1925=S13,AR1925&gt;S13),AR1925,"")</f>
        <v>#VALUE!</v>
      </c>
      <c r="AQ1925" s="1759">
        <f t="shared" si="88"/>
        <v>1922</v>
      </c>
      <c r="AR1925" s="1756" t="e">
        <f>0.5*(S18+2*AQ1925)*LN(1+2*AQ1925/S18)</f>
        <v>#VALUE!</v>
      </c>
    </row>
    <row r="1926" spans="42:44">
      <c r="AP1926" s="1756" t="e">
        <f>IF(OR(AR1926=S13,AR1926&gt;S13),AR1926,"")</f>
        <v>#VALUE!</v>
      </c>
      <c r="AQ1926" s="1759">
        <f t="shared" ref="AQ1926:AQ1989" si="89">AQ1925+1</f>
        <v>1923</v>
      </c>
      <c r="AR1926" s="1756" t="e">
        <f>0.5*(S18+2*AQ1926)*LN(1+2*AQ1926/S18)</f>
        <v>#VALUE!</v>
      </c>
    </row>
    <row r="1927" spans="42:44">
      <c r="AP1927" s="1756" t="e">
        <f>IF(OR(AR1927=S13,AR1927&gt;S13),AR1927,"")</f>
        <v>#VALUE!</v>
      </c>
      <c r="AQ1927" s="1759">
        <f t="shared" si="89"/>
        <v>1924</v>
      </c>
      <c r="AR1927" s="1756" t="e">
        <f>0.5*(S18+2*AQ1927)*LN(1+2*AQ1927/S18)</f>
        <v>#VALUE!</v>
      </c>
    </row>
    <row r="1928" spans="42:44">
      <c r="AP1928" s="1756" t="e">
        <f>IF(OR(AR1928=S13,AR1928&gt;S13),AR1928,"")</f>
        <v>#VALUE!</v>
      </c>
      <c r="AQ1928" s="1759">
        <f t="shared" si="89"/>
        <v>1925</v>
      </c>
      <c r="AR1928" s="1756" t="e">
        <f>0.5*(S18+2*AQ1928)*LN(1+2*AQ1928/S18)</f>
        <v>#VALUE!</v>
      </c>
    </row>
    <row r="1929" spans="42:44">
      <c r="AP1929" s="1756" t="e">
        <f>IF(OR(AR1929=S13,AR1929&gt;S13),AR1929,"")</f>
        <v>#VALUE!</v>
      </c>
      <c r="AQ1929" s="1759">
        <f t="shared" si="89"/>
        <v>1926</v>
      </c>
      <c r="AR1929" s="1756" t="e">
        <f>0.5*(S18+2*AQ1929)*LN(1+2*AQ1929/S18)</f>
        <v>#VALUE!</v>
      </c>
    </row>
    <row r="1930" spans="42:44">
      <c r="AP1930" s="1756" t="e">
        <f>IF(OR(AR1930=S13,AR1930&gt;S13),AR1930,"")</f>
        <v>#VALUE!</v>
      </c>
      <c r="AQ1930" s="1759">
        <f t="shared" si="89"/>
        <v>1927</v>
      </c>
      <c r="AR1930" s="1756" t="e">
        <f>0.5*(S18+2*AQ1930)*LN(1+2*AQ1930/S18)</f>
        <v>#VALUE!</v>
      </c>
    </row>
    <row r="1931" spans="42:44">
      <c r="AP1931" s="1756" t="e">
        <f>IF(OR(AR1931=S13,AR1931&gt;S13),AR1931,"")</f>
        <v>#VALUE!</v>
      </c>
      <c r="AQ1931" s="1759">
        <f t="shared" si="89"/>
        <v>1928</v>
      </c>
      <c r="AR1931" s="1756" t="e">
        <f>0.5*(S18+2*AQ1931)*LN(1+2*AQ1931/S18)</f>
        <v>#VALUE!</v>
      </c>
    </row>
    <row r="1932" spans="42:44">
      <c r="AP1932" s="1756" t="e">
        <f>IF(OR(AR1932=S13,AR1932&gt;S13),AR1932,"")</f>
        <v>#VALUE!</v>
      </c>
      <c r="AQ1932" s="1759">
        <f t="shared" si="89"/>
        <v>1929</v>
      </c>
      <c r="AR1932" s="1756" t="e">
        <f>0.5*(S18+2*AQ1932)*LN(1+2*AQ1932/S18)</f>
        <v>#VALUE!</v>
      </c>
    </row>
    <row r="1933" spans="42:44">
      <c r="AP1933" s="1756" t="e">
        <f>IF(OR(AR1933=S13,AR1933&gt;S13),AR1933,"")</f>
        <v>#VALUE!</v>
      </c>
      <c r="AQ1933" s="1759">
        <f t="shared" si="89"/>
        <v>1930</v>
      </c>
      <c r="AR1933" s="1756" t="e">
        <f>0.5*(S18+2*AQ1933)*LN(1+2*AQ1933/S18)</f>
        <v>#VALUE!</v>
      </c>
    </row>
    <row r="1934" spans="42:44">
      <c r="AP1934" s="1756" t="e">
        <f>IF(OR(AR1934=S13,AR1934&gt;S13),AR1934,"")</f>
        <v>#VALUE!</v>
      </c>
      <c r="AQ1934" s="1759">
        <f t="shared" si="89"/>
        <v>1931</v>
      </c>
      <c r="AR1934" s="1756" t="e">
        <f>0.5*(S18+2*AQ1934)*LN(1+2*AQ1934/S18)</f>
        <v>#VALUE!</v>
      </c>
    </row>
    <row r="1935" spans="42:44">
      <c r="AP1935" s="1756" t="e">
        <f>IF(OR(AR1935=S13,AR1935&gt;S13),AR1935,"")</f>
        <v>#VALUE!</v>
      </c>
      <c r="AQ1935" s="1759">
        <f t="shared" si="89"/>
        <v>1932</v>
      </c>
      <c r="AR1935" s="1756" t="e">
        <f>0.5*(S18+2*AQ1935)*LN(1+2*AQ1935/S18)</f>
        <v>#VALUE!</v>
      </c>
    </row>
    <row r="1936" spans="42:44">
      <c r="AP1936" s="1756" t="e">
        <f>IF(OR(AR1936=S13,AR1936&gt;S13),AR1936,"")</f>
        <v>#VALUE!</v>
      </c>
      <c r="AQ1936" s="1759">
        <f t="shared" si="89"/>
        <v>1933</v>
      </c>
      <c r="AR1936" s="1756" t="e">
        <f>0.5*(S18+2*AQ1936)*LN(1+2*AQ1936/S18)</f>
        <v>#VALUE!</v>
      </c>
    </row>
    <row r="1937" spans="42:44">
      <c r="AP1937" s="1756" t="e">
        <f>IF(OR(AR1937=S13,AR1937&gt;S13),AR1937,"")</f>
        <v>#VALUE!</v>
      </c>
      <c r="AQ1937" s="1759">
        <f t="shared" si="89"/>
        <v>1934</v>
      </c>
      <c r="AR1937" s="1756" t="e">
        <f>0.5*(S18+2*AQ1937)*LN(1+2*AQ1937/S18)</f>
        <v>#VALUE!</v>
      </c>
    </row>
    <row r="1938" spans="42:44">
      <c r="AP1938" s="1756" t="e">
        <f>IF(OR(AR1938=S13,AR1938&gt;S13),AR1938,"")</f>
        <v>#VALUE!</v>
      </c>
      <c r="AQ1938" s="1759">
        <f t="shared" si="89"/>
        <v>1935</v>
      </c>
      <c r="AR1938" s="1756" t="e">
        <f>0.5*(S18+2*AQ1938)*LN(1+2*AQ1938/S18)</f>
        <v>#VALUE!</v>
      </c>
    </row>
    <row r="1939" spans="42:44">
      <c r="AP1939" s="1756" t="e">
        <f>IF(OR(AR1939=S13,AR1939&gt;S13),AR1939,"")</f>
        <v>#VALUE!</v>
      </c>
      <c r="AQ1939" s="1759">
        <f t="shared" si="89"/>
        <v>1936</v>
      </c>
      <c r="AR1939" s="1756" t="e">
        <f>0.5*(S18+2*AQ1939)*LN(1+2*AQ1939/S18)</f>
        <v>#VALUE!</v>
      </c>
    </row>
    <row r="1940" spans="42:44">
      <c r="AP1940" s="1756" t="e">
        <f>IF(OR(AR1940=S13,AR1940&gt;S13),AR1940,"")</f>
        <v>#VALUE!</v>
      </c>
      <c r="AQ1940" s="1759">
        <f t="shared" si="89"/>
        <v>1937</v>
      </c>
      <c r="AR1940" s="1756" t="e">
        <f>0.5*(S18+2*AQ1940)*LN(1+2*AQ1940/S18)</f>
        <v>#VALUE!</v>
      </c>
    </row>
    <row r="1941" spans="42:44">
      <c r="AP1941" s="1756" t="e">
        <f>IF(OR(AR1941=S13,AR1941&gt;S13),AR1941,"")</f>
        <v>#VALUE!</v>
      </c>
      <c r="AQ1941" s="1759">
        <f t="shared" si="89"/>
        <v>1938</v>
      </c>
      <c r="AR1941" s="1756" t="e">
        <f>0.5*(S18+2*AQ1941)*LN(1+2*AQ1941/S18)</f>
        <v>#VALUE!</v>
      </c>
    </row>
    <row r="1942" spans="42:44">
      <c r="AP1942" s="1756" t="e">
        <f>IF(OR(AR1942=S13,AR1942&gt;S13),AR1942,"")</f>
        <v>#VALUE!</v>
      </c>
      <c r="AQ1942" s="1759">
        <f t="shared" si="89"/>
        <v>1939</v>
      </c>
      <c r="AR1942" s="1756" t="e">
        <f>0.5*(S18+2*AQ1942)*LN(1+2*AQ1942/S18)</f>
        <v>#VALUE!</v>
      </c>
    </row>
    <row r="1943" spans="42:44">
      <c r="AP1943" s="1756" t="e">
        <f>IF(OR(AR1943=S13,AR1943&gt;S13),AR1943,"")</f>
        <v>#VALUE!</v>
      </c>
      <c r="AQ1943" s="1759">
        <f t="shared" si="89"/>
        <v>1940</v>
      </c>
      <c r="AR1943" s="1756" t="e">
        <f>0.5*(S18+2*AQ1943)*LN(1+2*AQ1943/S18)</f>
        <v>#VALUE!</v>
      </c>
    </row>
    <row r="1944" spans="42:44">
      <c r="AP1944" s="1756" t="e">
        <f>IF(OR(AR1944=S13,AR1944&gt;S13),AR1944,"")</f>
        <v>#VALUE!</v>
      </c>
      <c r="AQ1944" s="1759">
        <f t="shared" si="89"/>
        <v>1941</v>
      </c>
      <c r="AR1944" s="1756" t="e">
        <f>0.5*(S18+2*AQ1944)*LN(1+2*AQ1944/S18)</f>
        <v>#VALUE!</v>
      </c>
    </row>
    <row r="1945" spans="42:44">
      <c r="AP1945" s="1756" t="e">
        <f>IF(OR(AR1945=S13,AR1945&gt;S13),AR1945,"")</f>
        <v>#VALUE!</v>
      </c>
      <c r="AQ1945" s="1759">
        <f t="shared" si="89"/>
        <v>1942</v>
      </c>
      <c r="AR1945" s="1756" t="e">
        <f>0.5*(S18+2*AQ1945)*LN(1+2*AQ1945/S18)</f>
        <v>#VALUE!</v>
      </c>
    </row>
    <row r="1946" spans="42:44">
      <c r="AP1946" s="1756" t="e">
        <f>IF(OR(AR1946=S13,AR1946&gt;S13),AR1946,"")</f>
        <v>#VALUE!</v>
      </c>
      <c r="AQ1946" s="1759">
        <f t="shared" si="89"/>
        <v>1943</v>
      </c>
      <c r="AR1946" s="1756" t="e">
        <f>0.5*(S18+2*AQ1946)*LN(1+2*AQ1946/S18)</f>
        <v>#VALUE!</v>
      </c>
    </row>
    <row r="1947" spans="42:44">
      <c r="AP1947" s="1756" t="e">
        <f>IF(OR(AR1947=S13,AR1947&gt;S13),AR1947,"")</f>
        <v>#VALUE!</v>
      </c>
      <c r="AQ1947" s="1759">
        <f t="shared" si="89"/>
        <v>1944</v>
      </c>
      <c r="AR1947" s="1756" t="e">
        <f>0.5*(S18+2*AQ1947)*LN(1+2*AQ1947/S18)</f>
        <v>#VALUE!</v>
      </c>
    </row>
    <row r="1948" spans="42:44">
      <c r="AP1948" s="1756" t="e">
        <f>IF(OR(AR1948=S13,AR1948&gt;S13),AR1948,"")</f>
        <v>#VALUE!</v>
      </c>
      <c r="AQ1948" s="1759">
        <f t="shared" si="89"/>
        <v>1945</v>
      </c>
      <c r="AR1948" s="1756" t="e">
        <f>0.5*(S18+2*AQ1948)*LN(1+2*AQ1948/S18)</f>
        <v>#VALUE!</v>
      </c>
    </row>
    <row r="1949" spans="42:44">
      <c r="AP1949" s="1756" t="e">
        <f>IF(OR(AR1949=S13,AR1949&gt;S13),AR1949,"")</f>
        <v>#VALUE!</v>
      </c>
      <c r="AQ1949" s="1759">
        <f t="shared" si="89"/>
        <v>1946</v>
      </c>
      <c r="AR1949" s="1756" t="e">
        <f>0.5*(S18+2*AQ1949)*LN(1+2*AQ1949/S18)</f>
        <v>#VALUE!</v>
      </c>
    </row>
    <row r="1950" spans="42:44">
      <c r="AP1950" s="1756" t="e">
        <f>IF(OR(AR1950=S13,AR1950&gt;S13),AR1950,"")</f>
        <v>#VALUE!</v>
      </c>
      <c r="AQ1950" s="1759">
        <f t="shared" si="89"/>
        <v>1947</v>
      </c>
      <c r="AR1950" s="1756" t="e">
        <f>0.5*(S18+2*AQ1950)*LN(1+2*AQ1950/S18)</f>
        <v>#VALUE!</v>
      </c>
    </row>
    <row r="1951" spans="42:44">
      <c r="AP1951" s="1756" t="e">
        <f>IF(OR(AR1951=S13,AR1951&gt;S13),AR1951,"")</f>
        <v>#VALUE!</v>
      </c>
      <c r="AQ1951" s="1759">
        <f t="shared" si="89"/>
        <v>1948</v>
      </c>
      <c r="AR1951" s="1756" t="e">
        <f>0.5*(S18+2*AQ1951)*LN(1+2*AQ1951/S18)</f>
        <v>#VALUE!</v>
      </c>
    </row>
    <row r="1952" spans="42:44">
      <c r="AP1952" s="1756" t="e">
        <f>IF(OR(AR1952=S13,AR1952&gt;S13),AR1952,"")</f>
        <v>#VALUE!</v>
      </c>
      <c r="AQ1952" s="1759">
        <f t="shared" si="89"/>
        <v>1949</v>
      </c>
      <c r="AR1952" s="1756" t="e">
        <f>0.5*(S18+2*AQ1952)*LN(1+2*AQ1952/S18)</f>
        <v>#VALUE!</v>
      </c>
    </row>
    <row r="1953" spans="42:44">
      <c r="AP1953" s="1756" t="e">
        <f>IF(OR(AR1953=S13,AR1953&gt;S13),AR1953,"")</f>
        <v>#VALUE!</v>
      </c>
      <c r="AQ1953" s="1759">
        <f t="shared" si="89"/>
        <v>1950</v>
      </c>
      <c r="AR1953" s="1756" t="e">
        <f>0.5*(S18+2*AQ1953)*LN(1+2*AQ1953/S18)</f>
        <v>#VALUE!</v>
      </c>
    </row>
    <row r="1954" spans="42:44">
      <c r="AP1954" s="1756" t="e">
        <f>IF(OR(AR1954=S13,AR1954&gt;S13),AR1954,"")</f>
        <v>#VALUE!</v>
      </c>
      <c r="AQ1954" s="1759">
        <f t="shared" si="89"/>
        <v>1951</v>
      </c>
      <c r="AR1954" s="1756" t="e">
        <f>0.5*(S18+2*AQ1954)*LN(1+2*AQ1954/S18)</f>
        <v>#VALUE!</v>
      </c>
    </row>
    <row r="1955" spans="42:44">
      <c r="AP1955" s="1756" t="e">
        <f>IF(OR(AR1955=S13,AR1955&gt;S13),AR1955,"")</f>
        <v>#VALUE!</v>
      </c>
      <c r="AQ1955" s="1759">
        <f t="shared" si="89"/>
        <v>1952</v>
      </c>
      <c r="AR1955" s="1756" t="e">
        <f>0.5*(S18+2*AQ1955)*LN(1+2*AQ1955/S18)</f>
        <v>#VALUE!</v>
      </c>
    </row>
    <row r="1956" spans="42:44">
      <c r="AP1956" s="1756" t="e">
        <f>IF(OR(AR1956=S13,AR1956&gt;S13),AR1956,"")</f>
        <v>#VALUE!</v>
      </c>
      <c r="AQ1956" s="1759">
        <f t="shared" si="89"/>
        <v>1953</v>
      </c>
      <c r="AR1956" s="1756" t="e">
        <f>0.5*(S18+2*AQ1956)*LN(1+2*AQ1956/S18)</f>
        <v>#VALUE!</v>
      </c>
    </row>
    <row r="1957" spans="42:44">
      <c r="AP1957" s="1756" t="e">
        <f>IF(OR(AR1957=S13,AR1957&gt;S13),AR1957,"")</f>
        <v>#VALUE!</v>
      </c>
      <c r="AQ1957" s="1759">
        <f t="shared" si="89"/>
        <v>1954</v>
      </c>
      <c r="AR1957" s="1756" t="e">
        <f>0.5*(S18+2*AQ1957)*LN(1+2*AQ1957/S18)</f>
        <v>#VALUE!</v>
      </c>
    </row>
    <row r="1958" spans="42:44">
      <c r="AP1958" s="1756" t="e">
        <f>IF(OR(AR1958=S13,AR1958&gt;S13),AR1958,"")</f>
        <v>#VALUE!</v>
      </c>
      <c r="AQ1958" s="1759">
        <f t="shared" si="89"/>
        <v>1955</v>
      </c>
      <c r="AR1958" s="1756" t="e">
        <f>0.5*(S18+2*AQ1958)*LN(1+2*AQ1958/S18)</f>
        <v>#VALUE!</v>
      </c>
    </row>
    <row r="1959" spans="42:44">
      <c r="AP1959" s="1756" t="e">
        <f>IF(OR(AR1959=S13,AR1959&gt;S13),AR1959,"")</f>
        <v>#VALUE!</v>
      </c>
      <c r="AQ1959" s="1759">
        <f t="shared" si="89"/>
        <v>1956</v>
      </c>
      <c r="AR1959" s="1756" t="e">
        <f>0.5*(S18+2*AQ1959)*LN(1+2*AQ1959/S18)</f>
        <v>#VALUE!</v>
      </c>
    </row>
    <row r="1960" spans="42:44">
      <c r="AP1960" s="1756" t="e">
        <f>IF(OR(AR1960=S13,AR1960&gt;S13),AR1960,"")</f>
        <v>#VALUE!</v>
      </c>
      <c r="AQ1960" s="1759">
        <f t="shared" si="89"/>
        <v>1957</v>
      </c>
      <c r="AR1960" s="1756" t="e">
        <f>0.5*(S18+2*AQ1960)*LN(1+2*AQ1960/S18)</f>
        <v>#VALUE!</v>
      </c>
    </row>
    <row r="1961" spans="42:44">
      <c r="AP1961" s="1756" t="e">
        <f>IF(OR(AR1961=S13,AR1961&gt;S13),AR1961,"")</f>
        <v>#VALUE!</v>
      </c>
      <c r="AQ1961" s="1759">
        <f t="shared" si="89"/>
        <v>1958</v>
      </c>
      <c r="AR1961" s="1756" t="e">
        <f>0.5*(S18+2*AQ1961)*LN(1+2*AQ1961/S18)</f>
        <v>#VALUE!</v>
      </c>
    </row>
    <row r="1962" spans="42:44">
      <c r="AP1962" s="1756" t="e">
        <f>IF(OR(AR1962=S13,AR1962&gt;S13),AR1962,"")</f>
        <v>#VALUE!</v>
      </c>
      <c r="AQ1962" s="1759">
        <f t="shared" si="89"/>
        <v>1959</v>
      </c>
      <c r="AR1962" s="1756" t="e">
        <f>0.5*(S18+2*AQ1962)*LN(1+2*AQ1962/S18)</f>
        <v>#VALUE!</v>
      </c>
    </row>
    <row r="1963" spans="42:44">
      <c r="AP1963" s="1756" t="e">
        <f>IF(OR(AR1963=S13,AR1963&gt;S13),AR1963,"")</f>
        <v>#VALUE!</v>
      </c>
      <c r="AQ1963" s="1759">
        <f t="shared" si="89"/>
        <v>1960</v>
      </c>
      <c r="AR1963" s="1756" t="e">
        <f>0.5*(S18+2*AQ1963)*LN(1+2*AQ1963/S18)</f>
        <v>#VALUE!</v>
      </c>
    </row>
    <row r="1964" spans="42:44">
      <c r="AP1964" s="1756" t="e">
        <f>IF(OR(AR1964=S13,AR1964&gt;S13),AR1964,"")</f>
        <v>#VALUE!</v>
      </c>
      <c r="AQ1964" s="1759">
        <f t="shared" si="89"/>
        <v>1961</v>
      </c>
      <c r="AR1964" s="1756" t="e">
        <f>0.5*(S18+2*AQ1964)*LN(1+2*AQ1964/S18)</f>
        <v>#VALUE!</v>
      </c>
    </row>
    <row r="1965" spans="42:44">
      <c r="AP1965" s="1756" t="e">
        <f>IF(OR(AR1965=S13,AR1965&gt;S13),AR1965,"")</f>
        <v>#VALUE!</v>
      </c>
      <c r="AQ1965" s="1759">
        <f t="shared" si="89"/>
        <v>1962</v>
      </c>
      <c r="AR1965" s="1756" t="e">
        <f>0.5*(S18+2*AQ1965)*LN(1+2*AQ1965/S18)</f>
        <v>#VALUE!</v>
      </c>
    </row>
    <row r="1966" spans="42:44">
      <c r="AP1966" s="1756" t="e">
        <f>IF(OR(AR1966=S13,AR1966&gt;S13),AR1966,"")</f>
        <v>#VALUE!</v>
      </c>
      <c r="AQ1966" s="1759">
        <f t="shared" si="89"/>
        <v>1963</v>
      </c>
      <c r="AR1966" s="1756" t="e">
        <f>0.5*(S18+2*AQ1966)*LN(1+2*AQ1966/S18)</f>
        <v>#VALUE!</v>
      </c>
    </row>
    <row r="1967" spans="42:44">
      <c r="AP1967" s="1756" t="e">
        <f>IF(OR(AR1967=S13,AR1967&gt;S13),AR1967,"")</f>
        <v>#VALUE!</v>
      </c>
      <c r="AQ1967" s="1759">
        <f t="shared" si="89"/>
        <v>1964</v>
      </c>
      <c r="AR1967" s="1756" t="e">
        <f>0.5*(S18+2*AQ1967)*LN(1+2*AQ1967/S18)</f>
        <v>#VALUE!</v>
      </c>
    </row>
    <row r="1968" spans="42:44">
      <c r="AP1968" s="1756" t="e">
        <f>IF(OR(AR1968=S13,AR1968&gt;S13),AR1968,"")</f>
        <v>#VALUE!</v>
      </c>
      <c r="AQ1968" s="1759">
        <f t="shared" si="89"/>
        <v>1965</v>
      </c>
      <c r="AR1968" s="1756" t="e">
        <f>0.5*(S18+2*AQ1968)*LN(1+2*AQ1968/S18)</f>
        <v>#VALUE!</v>
      </c>
    </row>
    <row r="1969" spans="42:44">
      <c r="AP1969" s="1756" t="e">
        <f>IF(OR(AR1969=S13,AR1969&gt;S13),AR1969,"")</f>
        <v>#VALUE!</v>
      </c>
      <c r="AQ1969" s="1759">
        <f t="shared" si="89"/>
        <v>1966</v>
      </c>
      <c r="AR1969" s="1756" t="e">
        <f>0.5*(S18+2*AQ1969)*LN(1+2*AQ1969/S18)</f>
        <v>#VALUE!</v>
      </c>
    </row>
    <row r="1970" spans="42:44">
      <c r="AP1970" s="1756" t="e">
        <f>IF(OR(AR1970=S13,AR1970&gt;S13),AR1970,"")</f>
        <v>#VALUE!</v>
      </c>
      <c r="AQ1970" s="1759">
        <f t="shared" si="89"/>
        <v>1967</v>
      </c>
      <c r="AR1970" s="1756" t="e">
        <f>0.5*(S18+2*AQ1970)*LN(1+2*AQ1970/S18)</f>
        <v>#VALUE!</v>
      </c>
    </row>
    <row r="1971" spans="42:44">
      <c r="AP1971" s="1756" t="e">
        <f>IF(OR(AR1971=S13,AR1971&gt;S13),AR1971,"")</f>
        <v>#VALUE!</v>
      </c>
      <c r="AQ1971" s="1759">
        <f t="shared" si="89"/>
        <v>1968</v>
      </c>
      <c r="AR1971" s="1756" t="e">
        <f>0.5*(S18+2*AQ1971)*LN(1+2*AQ1971/S18)</f>
        <v>#VALUE!</v>
      </c>
    </row>
    <row r="1972" spans="42:44">
      <c r="AP1972" s="1756" t="e">
        <f>IF(OR(AR1972=S13,AR1972&gt;S13),AR1972,"")</f>
        <v>#VALUE!</v>
      </c>
      <c r="AQ1972" s="1759">
        <f t="shared" si="89"/>
        <v>1969</v>
      </c>
      <c r="AR1972" s="1756" t="e">
        <f>0.5*(S18+2*AQ1972)*LN(1+2*AQ1972/S18)</f>
        <v>#VALUE!</v>
      </c>
    </row>
    <row r="1973" spans="42:44">
      <c r="AP1973" s="1756" t="e">
        <f>IF(OR(AR1973=S13,AR1973&gt;S13),AR1973,"")</f>
        <v>#VALUE!</v>
      </c>
      <c r="AQ1973" s="1759">
        <f t="shared" si="89"/>
        <v>1970</v>
      </c>
      <c r="AR1973" s="1756" t="e">
        <f>0.5*(S18+2*AQ1973)*LN(1+2*AQ1973/S18)</f>
        <v>#VALUE!</v>
      </c>
    </row>
    <row r="1974" spans="42:44">
      <c r="AP1974" s="1756" t="e">
        <f>IF(OR(AR1974=S13,AR1974&gt;S13),AR1974,"")</f>
        <v>#VALUE!</v>
      </c>
      <c r="AQ1974" s="1759">
        <f t="shared" si="89"/>
        <v>1971</v>
      </c>
      <c r="AR1974" s="1756" t="e">
        <f>0.5*(S18+2*AQ1974)*LN(1+2*AQ1974/S18)</f>
        <v>#VALUE!</v>
      </c>
    </row>
    <row r="1975" spans="42:44">
      <c r="AP1975" s="1756" t="e">
        <f>IF(OR(AR1975=S13,AR1975&gt;S13),AR1975,"")</f>
        <v>#VALUE!</v>
      </c>
      <c r="AQ1975" s="1759">
        <f t="shared" si="89"/>
        <v>1972</v>
      </c>
      <c r="AR1975" s="1756" t="e">
        <f>0.5*(S18+2*AQ1975)*LN(1+2*AQ1975/S18)</f>
        <v>#VALUE!</v>
      </c>
    </row>
    <row r="1976" spans="42:44">
      <c r="AP1976" s="1756" t="e">
        <f>IF(OR(AR1976=S13,AR1976&gt;S13),AR1976,"")</f>
        <v>#VALUE!</v>
      </c>
      <c r="AQ1976" s="1759">
        <f t="shared" si="89"/>
        <v>1973</v>
      </c>
      <c r="AR1976" s="1756" t="e">
        <f>0.5*(S18+2*AQ1976)*LN(1+2*AQ1976/S18)</f>
        <v>#VALUE!</v>
      </c>
    </row>
    <row r="1977" spans="42:44">
      <c r="AP1977" s="1756" t="e">
        <f>IF(OR(AR1977=S13,AR1977&gt;S13),AR1977,"")</f>
        <v>#VALUE!</v>
      </c>
      <c r="AQ1977" s="1759">
        <f t="shared" si="89"/>
        <v>1974</v>
      </c>
      <c r="AR1977" s="1756" t="e">
        <f>0.5*(S18+2*AQ1977)*LN(1+2*AQ1977/S18)</f>
        <v>#VALUE!</v>
      </c>
    </row>
    <row r="1978" spans="42:44">
      <c r="AP1978" s="1756" t="e">
        <f>IF(OR(AR1978=S13,AR1978&gt;S13),AR1978,"")</f>
        <v>#VALUE!</v>
      </c>
      <c r="AQ1978" s="1759">
        <f t="shared" si="89"/>
        <v>1975</v>
      </c>
      <c r="AR1978" s="1756" t="e">
        <f>0.5*(S18+2*AQ1978)*LN(1+2*AQ1978/S18)</f>
        <v>#VALUE!</v>
      </c>
    </row>
    <row r="1979" spans="42:44">
      <c r="AP1979" s="1756" t="e">
        <f>IF(OR(AR1979=S13,AR1979&gt;S13),AR1979,"")</f>
        <v>#VALUE!</v>
      </c>
      <c r="AQ1979" s="1759">
        <f t="shared" si="89"/>
        <v>1976</v>
      </c>
      <c r="AR1979" s="1756" t="e">
        <f>0.5*(S18+2*AQ1979)*LN(1+2*AQ1979/S18)</f>
        <v>#VALUE!</v>
      </c>
    </row>
    <row r="1980" spans="42:44">
      <c r="AP1980" s="1756" t="e">
        <f>IF(OR(AR1980=S13,AR1980&gt;S13),AR1980,"")</f>
        <v>#VALUE!</v>
      </c>
      <c r="AQ1980" s="1759">
        <f t="shared" si="89"/>
        <v>1977</v>
      </c>
      <c r="AR1980" s="1756" t="e">
        <f>0.5*(S18+2*AQ1980)*LN(1+2*AQ1980/S18)</f>
        <v>#VALUE!</v>
      </c>
    </row>
    <row r="1981" spans="42:44">
      <c r="AP1981" s="1756" t="e">
        <f>IF(OR(AR1981=S13,AR1981&gt;S13),AR1981,"")</f>
        <v>#VALUE!</v>
      </c>
      <c r="AQ1981" s="1759">
        <f t="shared" si="89"/>
        <v>1978</v>
      </c>
      <c r="AR1981" s="1756" t="e">
        <f>0.5*(S18+2*AQ1981)*LN(1+2*AQ1981/S18)</f>
        <v>#VALUE!</v>
      </c>
    </row>
    <row r="1982" spans="42:44">
      <c r="AP1982" s="1756" t="e">
        <f>IF(OR(AR1982=S13,AR1982&gt;S13),AR1982,"")</f>
        <v>#VALUE!</v>
      </c>
      <c r="AQ1982" s="1759">
        <f t="shared" si="89"/>
        <v>1979</v>
      </c>
      <c r="AR1982" s="1756" t="e">
        <f>0.5*(S18+2*AQ1982)*LN(1+2*AQ1982/S18)</f>
        <v>#VALUE!</v>
      </c>
    </row>
    <row r="1983" spans="42:44">
      <c r="AP1983" s="1756" t="e">
        <f>IF(OR(AR1983=S13,AR1983&gt;S13),AR1983,"")</f>
        <v>#VALUE!</v>
      </c>
      <c r="AQ1983" s="1759">
        <f t="shared" si="89"/>
        <v>1980</v>
      </c>
      <c r="AR1983" s="1756" t="e">
        <f>0.5*(S18+2*AQ1983)*LN(1+2*AQ1983/S18)</f>
        <v>#VALUE!</v>
      </c>
    </row>
    <row r="1984" spans="42:44">
      <c r="AP1984" s="1756" t="e">
        <f>IF(OR(AR1984=S13,AR1984&gt;S13),AR1984,"")</f>
        <v>#VALUE!</v>
      </c>
      <c r="AQ1984" s="1759">
        <f t="shared" si="89"/>
        <v>1981</v>
      </c>
      <c r="AR1984" s="1756" t="e">
        <f>0.5*(S18+2*AQ1984)*LN(1+2*AQ1984/S18)</f>
        <v>#VALUE!</v>
      </c>
    </row>
    <row r="1985" spans="42:44">
      <c r="AP1985" s="1756" t="e">
        <f>IF(OR(AR1985=S13,AR1985&gt;S13),AR1985,"")</f>
        <v>#VALUE!</v>
      </c>
      <c r="AQ1985" s="1759">
        <f t="shared" si="89"/>
        <v>1982</v>
      </c>
      <c r="AR1985" s="1756" t="e">
        <f>0.5*(S18+2*AQ1985)*LN(1+2*AQ1985/S18)</f>
        <v>#VALUE!</v>
      </c>
    </row>
    <row r="1986" spans="42:44">
      <c r="AP1986" s="1756" t="e">
        <f>IF(OR(AR1986=S13,AR1986&gt;S13),AR1986,"")</f>
        <v>#VALUE!</v>
      </c>
      <c r="AQ1986" s="1759">
        <f t="shared" si="89"/>
        <v>1983</v>
      </c>
      <c r="AR1986" s="1756" t="e">
        <f>0.5*(S18+2*AQ1986)*LN(1+2*AQ1986/S18)</f>
        <v>#VALUE!</v>
      </c>
    </row>
    <row r="1987" spans="42:44">
      <c r="AP1987" s="1756" t="e">
        <f>IF(OR(AR1987=S13,AR1987&gt;S13),AR1987,"")</f>
        <v>#VALUE!</v>
      </c>
      <c r="AQ1987" s="1759">
        <f t="shared" si="89"/>
        <v>1984</v>
      </c>
      <c r="AR1987" s="1756" t="e">
        <f>0.5*(S18+2*AQ1987)*LN(1+2*AQ1987/S18)</f>
        <v>#VALUE!</v>
      </c>
    </row>
    <row r="1988" spans="42:44">
      <c r="AP1988" s="1756" t="e">
        <f>IF(OR(AR1988=S13,AR1988&gt;S13),AR1988,"")</f>
        <v>#VALUE!</v>
      </c>
      <c r="AQ1988" s="1759">
        <f t="shared" si="89"/>
        <v>1985</v>
      </c>
      <c r="AR1988" s="1756" t="e">
        <f>0.5*(S18+2*AQ1988)*LN(1+2*AQ1988/S18)</f>
        <v>#VALUE!</v>
      </c>
    </row>
    <row r="1989" spans="42:44">
      <c r="AP1989" s="1756" t="e">
        <f>IF(OR(AR1989=S13,AR1989&gt;S13),AR1989,"")</f>
        <v>#VALUE!</v>
      </c>
      <c r="AQ1989" s="1759">
        <f t="shared" si="89"/>
        <v>1986</v>
      </c>
      <c r="AR1989" s="1756" t="e">
        <f>0.5*(S18+2*AQ1989)*LN(1+2*AQ1989/S18)</f>
        <v>#VALUE!</v>
      </c>
    </row>
    <row r="1990" spans="42:44">
      <c r="AP1990" s="1756" t="e">
        <f>IF(OR(AR1990=S13,AR1990&gt;S13),AR1990,"")</f>
        <v>#VALUE!</v>
      </c>
      <c r="AQ1990" s="1759">
        <f t="shared" ref="AQ1990:AQ2053" si="90">AQ1989+1</f>
        <v>1987</v>
      </c>
      <c r="AR1990" s="1756" t="e">
        <f>0.5*(S18+2*AQ1990)*LN(1+2*AQ1990/S18)</f>
        <v>#VALUE!</v>
      </c>
    </row>
    <row r="1991" spans="42:44">
      <c r="AP1991" s="1756" t="e">
        <f>IF(OR(AR1991=S13,AR1991&gt;S13),AR1991,"")</f>
        <v>#VALUE!</v>
      </c>
      <c r="AQ1991" s="1759">
        <f t="shared" si="90"/>
        <v>1988</v>
      </c>
      <c r="AR1991" s="1756" t="e">
        <f>0.5*(S18+2*AQ1991)*LN(1+2*AQ1991/S18)</f>
        <v>#VALUE!</v>
      </c>
    </row>
    <row r="1992" spans="42:44">
      <c r="AP1992" s="1756" t="e">
        <f>IF(OR(AR1992=S13,AR1992&gt;S13),AR1992,"")</f>
        <v>#VALUE!</v>
      </c>
      <c r="AQ1992" s="1759">
        <f t="shared" si="90"/>
        <v>1989</v>
      </c>
      <c r="AR1992" s="1756" t="e">
        <f>0.5*(S18+2*AQ1992)*LN(1+2*AQ1992/S18)</f>
        <v>#VALUE!</v>
      </c>
    </row>
    <row r="1993" spans="42:44">
      <c r="AP1993" s="1756" t="e">
        <f>IF(OR(AR1993=S13,AR1993&gt;S13),AR1993,"")</f>
        <v>#VALUE!</v>
      </c>
      <c r="AQ1993" s="1759">
        <f t="shared" si="90"/>
        <v>1990</v>
      </c>
      <c r="AR1993" s="1756" t="e">
        <f>0.5*(S18+2*AQ1993)*LN(1+2*AQ1993/S18)</f>
        <v>#VALUE!</v>
      </c>
    </row>
    <row r="1994" spans="42:44">
      <c r="AP1994" s="1756" t="e">
        <f>IF(OR(AR1994=S13,AR1994&gt;S13),AR1994,"")</f>
        <v>#VALUE!</v>
      </c>
      <c r="AQ1994" s="1759">
        <f t="shared" si="90"/>
        <v>1991</v>
      </c>
      <c r="AR1994" s="1756" t="e">
        <f>0.5*(S18+2*AQ1994)*LN(1+2*AQ1994/S18)</f>
        <v>#VALUE!</v>
      </c>
    </row>
    <row r="1995" spans="42:44">
      <c r="AP1995" s="1756" t="e">
        <f>IF(OR(AR1995=S13,AR1995&gt;S13),AR1995,"")</f>
        <v>#VALUE!</v>
      </c>
      <c r="AQ1995" s="1759">
        <f t="shared" si="90"/>
        <v>1992</v>
      </c>
      <c r="AR1995" s="1756" t="e">
        <f>0.5*(S18+2*AQ1995)*LN(1+2*AQ1995/S18)</f>
        <v>#VALUE!</v>
      </c>
    </row>
    <row r="1996" spans="42:44">
      <c r="AP1996" s="1756" t="e">
        <f>IF(OR(AR1996=S13,AR1996&gt;S13),AR1996,"")</f>
        <v>#VALUE!</v>
      </c>
      <c r="AQ1996" s="1759">
        <f t="shared" si="90"/>
        <v>1993</v>
      </c>
      <c r="AR1996" s="1756" t="e">
        <f>0.5*(S18+2*AQ1996)*LN(1+2*AQ1996/S18)</f>
        <v>#VALUE!</v>
      </c>
    </row>
    <row r="1997" spans="42:44">
      <c r="AP1997" s="1756" t="e">
        <f>IF(OR(AR1997=S13,AR1997&gt;S13),AR1997,"")</f>
        <v>#VALUE!</v>
      </c>
      <c r="AQ1997" s="1759">
        <f t="shared" si="90"/>
        <v>1994</v>
      </c>
      <c r="AR1997" s="1756" t="e">
        <f>0.5*(S18+2*AQ1997)*LN(1+2*AQ1997/S18)</f>
        <v>#VALUE!</v>
      </c>
    </row>
    <row r="1998" spans="42:44">
      <c r="AP1998" s="1756" t="e">
        <f>IF(OR(AR1998=S13,AR1998&gt;S13),AR1998,"")</f>
        <v>#VALUE!</v>
      </c>
      <c r="AQ1998" s="1759">
        <f t="shared" si="90"/>
        <v>1995</v>
      </c>
      <c r="AR1998" s="1756" t="e">
        <f>0.5*(S18+2*AQ1998)*LN(1+2*AQ1998/S18)</f>
        <v>#VALUE!</v>
      </c>
    </row>
    <row r="1999" spans="42:44">
      <c r="AP1999" s="1756" t="e">
        <f>IF(OR(AR1999=S13,AR1999&gt;S13),AR1999,"")</f>
        <v>#VALUE!</v>
      </c>
      <c r="AQ1999" s="1759">
        <f t="shared" si="90"/>
        <v>1996</v>
      </c>
      <c r="AR1999" s="1756" t="e">
        <f>0.5*(S18+2*AQ1999)*LN(1+2*AQ1999/S18)</f>
        <v>#VALUE!</v>
      </c>
    </row>
    <row r="2000" spans="42:44">
      <c r="AP2000" s="1756" t="e">
        <f>IF(OR(AR2000=S13,AR2000&gt;S13),AR2000,"")</f>
        <v>#VALUE!</v>
      </c>
      <c r="AQ2000" s="1759">
        <f t="shared" si="90"/>
        <v>1997</v>
      </c>
      <c r="AR2000" s="1756" t="e">
        <f>0.5*(S18+2*AQ2000)*LN(1+2*AQ2000/S18)</f>
        <v>#VALUE!</v>
      </c>
    </row>
    <row r="2001" spans="42:44">
      <c r="AP2001" s="1756" t="e">
        <f>IF(OR(AR2001=S13,AR2001&gt;S13),AR2001,"")</f>
        <v>#VALUE!</v>
      </c>
      <c r="AQ2001" s="1759">
        <f t="shared" si="90"/>
        <v>1998</v>
      </c>
      <c r="AR2001" s="1756" t="e">
        <f>0.5*(S18+2*AQ2001)*LN(1+2*AQ2001/S18)</f>
        <v>#VALUE!</v>
      </c>
    </row>
    <row r="2002" spans="42:44">
      <c r="AP2002" s="1756" t="e">
        <f>IF(OR(AR2002=S13,AR2002&gt;S13),AR2002,"")</f>
        <v>#VALUE!</v>
      </c>
      <c r="AQ2002" s="1759">
        <f t="shared" si="90"/>
        <v>1999</v>
      </c>
      <c r="AR2002" s="1756" t="e">
        <f>0.5*(S18+2*AQ2002)*LN(1+2*AQ2002/S18)</f>
        <v>#VALUE!</v>
      </c>
    </row>
    <row r="2003" spans="42:44">
      <c r="AP2003" s="1756" t="e">
        <f>IF(OR(AR2003=S13,AR2003&gt;S13),AR2003,"")</f>
        <v>#VALUE!</v>
      </c>
      <c r="AQ2003" s="1759">
        <f t="shared" si="90"/>
        <v>2000</v>
      </c>
      <c r="AR2003" s="1756" t="e">
        <f>0.5*(S18+2*AQ2003)*LN(1+2*AQ2003/S18)</f>
        <v>#VALUE!</v>
      </c>
    </row>
    <row r="2004" spans="42:44">
      <c r="AP2004" s="1756" t="e">
        <f>IF(OR(AR2004=S13,AR2004&gt;S13),AR2004,"")</f>
        <v>#VALUE!</v>
      </c>
      <c r="AQ2004" s="1759">
        <f t="shared" si="90"/>
        <v>2001</v>
      </c>
      <c r="AR2004" s="1756" t="e">
        <f>0.5*(S18+2*AQ2004)*LN(1+2*AQ2004/S18)</f>
        <v>#VALUE!</v>
      </c>
    </row>
    <row r="2005" spans="42:44">
      <c r="AP2005" s="1756" t="e">
        <f>IF(OR(AR2005=S13,AR2005&gt;S13),AR2005,"")</f>
        <v>#VALUE!</v>
      </c>
      <c r="AQ2005" s="1759">
        <f t="shared" si="90"/>
        <v>2002</v>
      </c>
      <c r="AR2005" s="1756" t="e">
        <f>0.5*(S18+2*AQ2005)*LN(1+2*AQ2005/S18)</f>
        <v>#VALUE!</v>
      </c>
    </row>
    <row r="2006" spans="42:44">
      <c r="AP2006" s="1756" t="e">
        <f>IF(OR(AR2006=S13,AR2006&gt;S13),AR2006,"")</f>
        <v>#VALUE!</v>
      </c>
      <c r="AQ2006" s="1759">
        <f t="shared" si="90"/>
        <v>2003</v>
      </c>
      <c r="AR2006" s="1756" t="e">
        <f>0.5*(S18+2*AQ2006)*LN(1+2*AQ2006/S18)</f>
        <v>#VALUE!</v>
      </c>
    </row>
    <row r="2007" spans="42:44">
      <c r="AP2007" s="1756" t="e">
        <f>IF(OR(AR2007=S13,AR2007&gt;S13),AR2007,"")</f>
        <v>#VALUE!</v>
      </c>
      <c r="AQ2007" s="1759">
        <f t="shared" si="90"/>
        <v>2004</v>
      </c>
      <c r="AR2007" s="1756" t="e">
        <f>0.5*(S18+2*AQ2007)*LN(1+2*AQ2007/S18)</f>
        <v>#VALUE!</v>
      </c>
    </row>
    <row r="2008" spans="42:44">
      <c r="AP2008" s="1756" t="e">
        <f>IF(OR(AR2008=S13,AR2008&gt;S13),AR2008,"")</f>
        <v>#VALUE!</v>
      </c>
      <c r="AQ2008" s="1759">
        <f t="shared" si="90"/>
        <v>2005</v>
      </c>
      <c r="AR2008" s="1756" t="e">
        <f>0.5*(S18+2*AQ2008)*LN(1+2*AQ2008/S18)</f>
        <v>#VALUE!</v>
      </c>
    </row>
    <row r="2009" spans="42:44">
      <c r="AP2009" s="1756" t="e">
        <f>IF(OR(AR2009=S13,AR2009&gt;S13),AR2009,"")</f>
        <v>#VALUE!</v>
      </c>
      <c r="AQ2009" s="1759">
        <f t="shared" si="90"/>
        <v>2006</v>
      </c>
      <c r="AR2009" s="1756" t="e">
        <f>0.5*(S18+2*AQ2009)*LN(1+2*AQ2009/S18)</f>
        <v>#VALUE!</v>
      </c>
    </row>
    <row r="2010" spans="42:44">
      <c r="AP2010" s="1756" t="e">
        <f>IF(OR(AR2010=S13,AR2010&gt;S13),AR2010,"")</f>
        <v>#VALUE!</v>
      </c>
      <c r="AQ2010" s="1759">
        <f t="shared" si="90"/>
        <v>2007</v>
      </c>
      <c r="AR2010" s="1756" t="e">
        <f>0.5*(S18+2*AQ2010)*LN(1+2*AQ2010/S18)</f>
        <v>#VALUE!</v>
      </c>
    </row>
    <row r="2011" spans="42:44">
      <c r="AP2011" s="1756" t="e">
        <f>IF(OR(AR2011=S13,AR2011&gt;S13),AR2011,"")</f>
        <v>#VALUE!</v>
      </c>
      <c r="AQ2011" s="1759">
        <f t="shared" si="90"/>
        <v>2008</v>
      </c>
      <c r="AR2011" s="1756" t="e">
        <f>0.5*(S18+2*AQ2011)*LN(1+2*AQ2011/S18)</f>
        <v>#VALUE!</v>
      </c>
    </row>
    <row r="2012" spans="42:44">
      <c r="AP2012" s="1756" t="e">
        <f>IF(OR(AR2012=S13,AR2012&gt;S13),AR2012,"")</f>
        <v>#VALUE!</v>
      </c>
      <c r="AQ2012" s="1759">
        <f t="shared" si="90"/>
        <v>2009</v>
      </c>
      <c r="AR2012" s="1756" t="e">
        <f>0.5*(S18+2*AQ2012)*LN(1+2*AQ2012/S18)</f>
        <v>#VALUE!</v>
      </c>
    </row>
    <row r="2013" spans="42:44">
      <c r="AP2013" s="1756" t="e">
        <f>IF(OR(AR2013=S13,AR2013&gt;S13),AR2013,"")</f>
        <v>#VALUE!</v>
      </c>
      <c r="AQ2013" s="1759">
        <f t="shared" si="90"/>
        <v>2010</v>
      </c>
      <c r="AR2013" s="1756" t="e">
        <f>0.5*(S18+2*AQ2013)*LN(1+2*AQ2013/S18)</f>
        <v>#VALUE!</v>
      </c>
    </row>
    <row r="2014" spans="42:44">
      <c r="AP2014" s="1756" t="e">
        <f>IF(OR(AR2014=S13,AR2014&gt;S13),AR2014,"")</f>
        <v>#VALUE!</v>
      </c>
      <c r="AQ2014" s="1759">
        <f t="shared" si="90"/>
        <v>2011</v>
      </c>
      <c r="AR2014" s="1756" t="e">
        <f>0.5*(S18+2*AQ2014)*LN(1+2*AQ2014/S18)</f>
        <v>#VALUE!</v>
      </c>
    </row>
    <row r="2015" spans="42:44">
      <c r="AP2015" s="1756" t="e">
        <f>IF(OR(AR2015=S13,AR2015&gt;S13),AR2015,"")</f>
        <v>#VALUE!</v>
      </c>
      <c r="AQ2015" s="1759">
        <f t="shared" si="90"/>
        <v>2012</v>
      </c>
      <c r="AR2015" s="1756" t="e">
        <f>0.5*(S18+2*AQ2015)*LN(1+2*AQ2015/S18)</f>
        <v>#VALUE!</v>
      </c>
    </row>
    <row r="2016" spans="42:44">
      <c r="AP2016" s="1756" t="e">
        <f>IF(OR(AR2016=S13,AR2016&gt;S13),AR2016,"")</f>
        <v>#VALUE!</v>
      </c>
      <c r="AQ2016" s="1759">
        <f t="shared" si="90"/>
        <v>2013</v>
      </c>
      <c r="AR2016" s="1756" t="e">
        <f>0.5*(S18+2*AQ2016)*LN(1+2*AQ2016/S18)</f>
        <v>#VALUE!</v>
      </c>
    </row>
    <row r="2017" spans="42:44">
      <c r="AP2017" s="1756" t="e">
        <f>IF(OR(AR2017=S13,AR2017&gt;S13),AR2017,"")</f>
        <v>#VALUE!</v>
      </c>
      <c r="AQ2017" s="1759">
        <f t="shared" si="90"/>
        <v>2014</v>
      </c>
      <c r="AR2017" s="1756" t="e">
        <f>0.5*(S18+2*AQ2017)*LN(1+2*AQ2017/S18)</f>
        <v>#VALUE!</v>
      </c>
    </row>
    <row r="2018" spans="42:44">
      <c r="AP2018" s="1756" t="e">
        <f>IF(OR(AR2018=S13,AR2018&gt;S13),AR2018,"")</f>
        <v>#VALUE!</v>
      </c>
      <c r="AQ2018" s="1759">
        <f t="shared" si="90"/>
        <v>2015</v>
      </c>
      <c r="AR2018" s="1756" t="e">
        <f>0.5*(S18+2*AQ2018)*LN(1+2*AQ2018/S18)</f>
        <v>#VALUE!</v>
      </c>
    </row>
    <row r="2019" spans="42:44">
      <c r="AP2019" s="1756" t="e">
        <f>IF(OR(AR2019=S13,AR2019&gt;S13),AR2019,"")</f>
        <v>#VALUE!</v>
      </c>
      <c r="AQ2019" s="1759">
        <f t="shared" si="90"/>
        <v>2016</v>
      </c>
      <c r="AR2019" s="1756" t="e">
        <f>0.5*(S18+2*AQ2019)*LN(1+2*AQ2019/S18)</f>
        <v>#VALUE!</v>
      </c>
    </row>
    <row r="2020" spans="42:44">
      <c r="AP2020" s="1756" t="e">
        <f>IF(OR(AR2020=S13,AR2020&gt;S13),AR2020,"")</f>
        <v>#VALUE!</v>
      </c>
      <c r="AQ2020" s="1759">
        <f t="shared" si="90"/>
        <v>2017</v>
      </c>
      <c r="AR2020" s="1756" t="e">
        <f>0.5*(S18+2*AQ2020)*LN(1+2*AQ2020/S18)</f>
        <v>#VALUE!</v>
      </c>
    </row>
    <row r="2021" spans="42:44">
      <c r="AP2021" s="1756" t="e">
        <f>IF(OR(AR2021=S13,AR2021&gt;S13),AR2021,"")</f>
        <v>#VALUE!</v>
      </c>
      <c r="AQ2021" s="1759">
        <f t="shared" si="90"/>
        <v>2018</v>
      </c>
      <c r="AR2021" s="1756" t="e">
        <f>0.5*(S18+2*AQ2021)*LN(1+2*AQ2021/S18)</f>
        <v>#VALUE!</v>
      </c>
    </row>
    <row r="2022" spans="42:44">
      <c r="AP2022" s="1756" t="e">
        <f>IF(OR(AR2022=S13,AR2022&gt;S13),AR2022,"")</f>
        <v>#VALUE!</v>
      </c>
      <c r="AQ2022" s="1759">
        <f t="shared" si="90"/>
        <v>2019</v>
      </c>
      <c r="AR2022" s="1756" t="e">
        <f>0.5*(S18+2*AQ2022)*LN(1+2*AQ2022/S18)</f>
        <v>#VALUE!</v>
      </c>
    </row>
    <row r="2023" spans="42:44">
      <c r="AP2023" s="1756" t="e">
        <f>IF(OR(AR2023=S13,AR2023&gt;S13),AR2023,"")</f>
        <v>#VALUE!</v>
      </c>
      <c r="AQ2023" s="1759">
        <f t="shared" si="90"/>
        <v>2020</v>
      </c>
      <c r="AR2023" s="1756" t="e">
        <f>0.5*(S18+2*AQ2023)*LN(1+2*AQ2023/S18)</f>
        <v>#VALUE!</v>
      </c>
    </row>
    <row r="2024" spans="42:44">
      <c r="AP2024" s="1756" t="e">
        <f>IF(OR(AR2024=S13,AR2024&gt;S13),AR2024,"")</f>
        <v>#VALUE!</v>
      </c>
      <c r="AQ2024" s="1759">
        <f t="shared" si="90"/>
        <v>2021</v>
      </c>
      <c r="AR2024" s="1756" t="e">
        <f>0.5*(S18+2*AQ2024)*LN(1+2*AQ2024/S18)</f>
        <v>#VALUE!</v>
      </c>
    </row>
    <row r="2025" spans="42:44">
      <c r="AP2025" s="1756" t="e">
        <f>IF(OR(AR2025=S13,AR2025&gt;S13),AR2025,"")</f>
        <v>#VALUE!</v>
      </c>
      <c r="AQ2025" s="1759">
        <f t="shared" si="90"/>
        <v>2022</v>
      </c>
      <c r="AR2025" s="1756" t="e">
        <f>0.5*(S18+2*AQ2025)*LN(1+2*AQ2025/S18)</f>
        <v>#VALUE!</v>
      </c>
    </row>
    <row r="2026" spans="42:44">
      <c r="AP2026" s="1756" t="e">
        <f>IF(OR(AR2026=S13,AR2026&gt;S13),AR2026,"")</f>
        <v>#VALUE!</v>
      </c>
      <c r="AQ2026" s="1759">
        <f t="shared" si="90"/>
        <v>2023</v>
      </c>
      <c r="AR2026" s="1756" t="e">
        <f>0.5*(S18+2*AQ2026)*LN(1+2*AQ2026/S18)</f>
        <v>#VALUE!</v>
      </c>
    </row>
    <row r="2027" spans="42:44">
      <c r="AP2027" s="1756" t="e">
        <f>IF(OR(AR2027=S13,AR2027&gt;S13),AR2027,"")</f>
        <v>#VALUE!</v>
      </c>
      <c r="AQ2027" s="1759">
        <f t="shared" si="90"/>
        <v>2024</v>
      </c>
      <c r="AR2027" s="1756" t="e">
        <f>0.5*(S18+2*AQ2027)*LN(1+2*AQ2027/S18)</f>
        <v>#VALUE!</v>
      </c>
    </row>
    <row r="2028" spans="42:44">
      <c r="AP2028" s="1756" t="e">
        <f>IF(OR(AR2028=S13,AR2028&gt;S13),AR2028,"")</f>
        <v>#VALUE!</v>
      </c>
      <c r="AQ2028" s="1759">
        <f t="shared" si="90"/>
        <v>2025</v>
      </c>
      <c r="AR2028" s="1756" t="e">
        <f>0.5*(S18+2*AQ2028)*LN(1+2*AQ2028/S18)</f>
        <v>#VALUE!</v>
      </c>
    </row>
    <row r="2029" spans="42:44">
      <c r="AP2029" s="1756" t="e">
        <f>IF(OR(AR2029=S13,AR2029&gt;S13),AR2029,"")</f>
        <v>#VALUE!</v>
      </c>
      <c r="AQ2029" s="1759">
        <f t="shared" si="90"/>
        <v>2026</v>
      </c>
      <c r="AR2029" s="1756" t="e">
        <f>0.5*(S18+2*AQ2029)*LN(1+2*AQ2029/S18)</f>
        <v>#VALUE!</v>
      </c>
    </row>
    <row r="2030" spans="42:44">
      <c r="AP2030" s="1756" t="e">
        <f>IF(OR(AR2030=S13,AR2030&gt;S13),AR2030,"")</f>
        <v>#VALUE!</v>
      </c>
      <c r="AQ2030" s="1759">
        <f t="shared" si="90"/>
        <v>2027</v>
      </c>
      <c r="AR2030" s="1756" t="e">
        <f>0.5*(S18+2*AQ2030)*LN(1+2*AQ2030/S18)</f>
        <v>#VALUE!</v>
      </c>
    </row>
    <row r="2031" spans="42:44">
      <c r="AP2031" s="1756" t="e">
        <f>IF(OR(AR2031=S13,AR2031&gt;S13),AR2031,"")</f>
        <v>#VALUE!</v>
      </c>
      <c r="AQ2031" s="1759">
        <f t="shared" si="90"/>
        <v>2028</v>
      </c>
      <c r="AR2031" s="1756" t="e">
        <f>0.5*(S18+2*AQ2031)*LN(1+2*AQ2031/S18)</f>
        <v>#VALUE!</v>
      </c>
    </row>
    <row r="2032" spans="42:44">
      <c r="AP2032" s="1756" t="e">
        <f>IF(OR(AR2032=S13,AR2032&gt;S13),AR2032,"")</f>
        <v>#VALUE!</v>
      </c>
      <c r="AQ2032" s="1759">
        <f t="shared" si="90"/>
        <v>2029</v>
      </c>
      <c r="AR2032" s="1756" t="e">
        <f>0.5*(S18+2*AQ2032)*LN(1+2*AQ2032/S18)</f>
        <v>#VALUE!</v>
      </c>
    </row>
    <row r="2033" spans="42:44">
      <c r="AP2033" s="1756" t="e">
        <f>IF(OR(AR2033=S13,AR2033&gt;S13),AR2033,"")</f>
        <v>#VALUE!</v>
      </c>
      <c r="AQ2033" s="1759">
        <f t="shared" si="90"/>
        <v>2030</v>
      </c>
      <c r="AR2033" s="1756" t="e">
        <f>0.5*(S18+2*AQ2033)*LN(1+2*AQ2033/S18)</f>
        <v>#VALUE!</v>
      </c>
    </row>
    <row r="2034" spans="42:44">
      <c r="AP2034" s="1756" t="e">
        <f>IF(OR(AR2034=S13,AR2034&gt;S13),AR2034,"")</f>
        <v>#VALUE!</v>
      </c>
      <c r="AQ2034" s="1759">
        <f t="shared" si="90"/>
        <v>2031</v>
      </c>
      <c r="AR2034" s="1756" t="e">
        <f>0.5*(S18+2*AQ2034)*LN(1+2*AQ2034/S18)</f>
        <v>#VALUE!</v>
      </c>
    </row>
    <row r="2035" spans="42:44">
      <c r="AP2035" s="1756" t="e">
        <f>IF(OR(AR2035=S13,AR2035&gt;S13),AR2035,"")</f>
        <v>#VALUE!</v>
      </c>
      <c r="AQ2035" s="1759">
        <f t="shared" si="90"/>
        <v>2032</v>
      </c>
      <c r="AR2035" s="1756" t="e">
        <f>0.5*(S18+2*AQ2035)*LN(1+2*AQ2035/S18)</f>
        <v>#VALUE!</v>
      </c>
    </row>
    <row r="2036" spans="42:44">
      <c r="AP2036" s="1756" t="e">
        <f>IF(OR(AR2036=S13,AR2036&gt;S13),AR2036,"")</f>
        <v>#VALUE!</v>
      </c>
      <c r="AQ2036" s="1759">
        <f t="shared" si="90"/>
        <v>2033</v>
      </c>
      <c r="AR2036" s="1756" t="e">
        <f>0.5*(S18+2*AQ2036)*LN(1+2*AQ2036/S18)</f>
        <v>#VALUE!</v>
      </c>
    </row>
    <row r="2037" spans="42:44">
      <c r="AP2037" s="1756" t="e">
        <f>IF(OR(AR2037=S13,AR2037&gt;S13),AR2037,"")</f>
        <v>#VALUE!</v>
      </c>
      <c r="AQ2037" s="1759">
        <f t="shared" si="90"/>
        <v>2034</v>
      </c>
      <c r="AR2037" s="1756" t="e">
        <f>0.5*(S18+2*AQ2037)*LN(1+2*AQ2037/S18)</f>
        <v>#VALUE!</v>
      </c>
    </row>
    <row r="2038" spans="42:44">
      <c r="AP2038" s="1756" t="e">
        <f>IF(OR(AR2038=S13,AR2038&gt;S13),AR2038,"")</f>
        <v>#VALUE!</v>
      </c>
      <c r="AQ2038" s="1759">
        <f t="shared" si="90"/>
        <v>2035</v>
      </c>
      <c r="AR2038" s="1756" t="e">
        <f>0.5*(S18+2*AQ2038)*LN(1+2*AQ2038/S18)</f>
        <v>#VALUE!</v>
      </c>
    </row>
    <row r="2039" spans="42:44">
      <c r="AP2039" s="1756" t="e">
        <f>IF(OR(AR2039=S13,AR2039&gt;S13),AR2039,"")</f>
        <v>#VALUE!</v>
      </c>
      <c r="AQ2039" s="1759">
        <f t="shared" si="90"/>
        <v>2036</v>
      </c>
      <c r="AR2039" s="1756" t="e">
        <f>0.5*(S18+2*AQ2039)*LN(1+2*AQ2039/S18)</f>
        <v>#VALUE!</v>
      </c>
    </row>
    <row r="2040" spans="42:44">
      <c r="AP2040" s="1756" t="e">
        <f>IF(OR(AR2040=S13,AR2040&gt;S13),AR2040,"")</f>
        <v>#VALUE!</v>
      </c>
      <c r="AQ2040" s="1759">
        <f t="shared" si="90"/>
        <v>2037</v>
      </c>
      <c r="AR2040" s="1756" t="e">
        <f>0.5*(S18+2*AQ2040)*LN(1+2*AQ2040/S18)</f>
        <v>#VALUE!</v>
      </c>
    </row>
    <row r="2041" spans="42:44">
      <c r="AP2041" s="1756" t="e">
        <f>IF(OR(AR2041=S13,AR2041&gt;S13),AR2041,"")</f>
        <v>#VALUE!</v>
      </c>
      <c r="AQ2041" s="1759">
        <f t="shared" si="90"/>
        <v>2038</v>
      </c>
      <c r="AR2041" s="1756" t="e">
        <f>0.5*(S18+2*AQ2041)*LN(1+2*AQ2041/S18)</f>
        <v>#VALUE!</v>
      </c>
    </row>
    <row r="2042" spans="42:44">
      <c r="AP2042" s="1756" t="e">
        <f>IF(OR(AR2042=S13,AR2042&gt;S13),AR2042,"")</f>
        <v>#VALUE!</v>
      </c>
      <c r="AQ2042" s="1759">
        <f t="shared" si="90"/>
        <v>2039</v>
      </c>
      <c r="AR2042" s="1756" t="e">
        <f>0.5*(S18+2*AQ2042)*LN(1+2*AQ2042/S18)</f>
        <v>#VALUE!</v>
      </c>
    </row>
    <row r="2043" spans="42:44">
      <c r="AP2043" s="1756" t="e">
        <f>IF(OR(AR2043=S13,AR2043&gt;S13),AR2043,"")</f>
        <v>#VALUE!</v>
      </c>
      <c r="AQ2043" s="1759">
        <f t="shared" si="90"/>
        <v>2040</v>
      </c>
      <c r="AR2043" s="1756" t="e">
        <f>0.5*(S18+2*AQ2043)*LN(1+2*AQ2043/S18)</f>
        <v>#VALUE!</v>
      </c>
    </row>
    <row r="2044" spans="42:44">
      <c r="AP2044" s="1756" t="e">
        <f>IF(OR(AR2044=S13,AR2044&gt;S13),AR2044,"")</f>
        <v>#VALUE!</v>
      </c>
      <c r="AQ2044" s="1759">
        <f t="shared" si="90"/>
        <v>2041</v>
      </c>
      <c r="AR2044" s="1756" t="e">
        <f>0.5*(S18+2*AQ2044)*LN(1+2*AQ2044/S18)</f>
        <v>#VALUE!</v>
      </c>
    </row>
    <row r="2045" spans="42:44">
      <c r="AP2045" s="1756" t="e">
        <f>IF(OR(AR2045=S13,AR2045&gt;S13),AR2045,"")</f>
        <v>#VALUE!</v>
      </c>
      <c r="AQ2045" s="1759">
        <f t="shared" si="90"/>
        <v>2042</v>
      </c>
      <c r="AR2045" s="1756" t="e">
        <f>0.5*(S18+2*AQ2045)*LN(1+2*AQ2045/S18)</f>
        <v>#VALUE!</v>
      </c>
    </row>
    <row r="2046" spans="42:44">
      <c r="AP2046" s="1756" t="e">
        <f>IF(OR(AR2046=S13,AR2046&gt;S13),AR2046,"")</f>
        <v>#VALUE!</v>
      </c>
      <c r="AQ2046" s="1759">
        <f t="shared" si="90"/>
        <v>2043</v>
      </c>
      <c r="AR2046" s="1756" t="e">
        <f>0.5*(S18+2*AQ2046)*LN(1+2*AQ2046/S18)</f>
        <v>#VALUE!</v>
      </c>
    </row>
    <row r="2047" spans="42:44">
      <c r="AP2047" s="1756" t="e">
        <f>IF(OR(AR2047=S13,AR2047&gt;S13),AR2047,"")</f>
        <v>#VALUE!</v>
      </c>
      <c r="AQ2047" s="1759">
        <f t="shared" si="90"/>
        <v>2044</v>
      </c>
      <c r="AR2047" s="1756" t="e">
        <f>0.5*(S18+2*AQ2047)*LN(1+2*AQ2047/S18)</f>
        <v>#VALUE!</v>
      </c>
    </row>
    <row r="2048" spans="42:44">
      <c r="AP2048" s="1756" t="e">
        <f>IF(OR(AR2048=S13,AR2048&gt;S13),AR2048,"")</f>
        <v>#VALUE!</v>
      </c>
      <c r="AQ2048" s="1759">
        <f t="shared" si="90"/>
        <v>2045</v>
      </c>
      <c r="AR2048" s="1756" t="e">
        <f>0.5*(S18+2*AQ2048)*LN(1+2*AQ2048/S18)</f>
        <v>#VALUE!</v>
      </c>
    </row>
    <row r="2049" spans="42:44">
      <c r="AP2049" s="1756" t="e">
        <f>IF(OR(AR2049=S13,AR2049&gt;S13),AR2049,"")</f>
        <v>#VALUE!</v>
      </c>
      <c r="AQ2049" s="1759">
        <f t="shared" si="90"/>
        <v>2046</v>
      </c>
      <c r="AR2049" s="1756" t="e">
        <f>0.5*(S18+2*AQ2049)*LN(1+2*AQ2049/S18)</f>
        <v>#VALUE!</v>
      </c>
    </row>
    <row r="2050" spans="42:44">
      <c r="AP2050" s="1756" t="e">
        <f>IF(OR(AR2050=S13,AR2050&gt;S13),AR2050,"")</f>
        <v>#VALUE!</v>
      </c>
      <c r="AQ2050" s="1759">
        <f t="shared" si="90"/>
        <v>2047</v>
      </c>
      <c r="AR2050" s="1756" t="e">
        <f>0.5*(S18+2*AQ2050)*LN(1+2*AQ2050/S18)</f>
        <v>#VALUE!</v>
      </c>
    </row>
    <row r="2051" spans="42:44">
      <c r="AP2051" s="1756" t="e">
        <f>IF(OR(AR2051=S13,AR2051&gt;S13),AR2051,"")</f>
        <v>#VALUE!</v>
      </c>
      <c r="AQ2051" s="1759">
        <f t="shared" si="90"/>
        <v>2048</v>
      </c>
      <c r="AR2051" s="1756" t="e">
        <f>0.5*(S18+2*AQ2051)*LN(1+2*AQ2051/S18)</f>
        <v>#VALUE!</v>
      </c>
    </row>
    <row r="2052" spans="42:44">
      <c r="AP2052" s="1756" t="e">
        <f>IF(OR(AR2052=S13,AR2052&gt;S13),AR2052,"")</f>
        <v>#VALUE!</v>
      </c>
      <c r="AQ2052" s="1759">
        <f t="shared" si="90"/>
        <v>2049</v>
      </c>
      <c r="AR2052" s="1756" t="e">
        <f>0.5*(S18+2*AQ2052)*LN(1+2*AQ2052/S18)</f>
        <v>#VALUE!</v>
      </c>
    </row>
    <row r="2053" spans="42:44">
      <c r="AP2053" s="1756" t="e">
        <f>IF(OR(AR2053=S13,AR2053&gt;S13),AR2053,"")</f>
        <v>#VALUE!</v>
      </c>
      <c r="AQ2053" s="1759">
        <f t="shared" si="90"/>
        <v>2050</v>
      </c>
      <c r="AR2053" s="1756" t="e">
        <f>0.5*(S18+2*AQ2053)*LN(1+2*AQ2053/S18)</f>
        <v>#VALUE!</v>
      </c>
    </row>
    <row r="2054" spans="42:44">
      <c r="AP2054" s="1756" t="e">
        <f>IF(OR(AR2054=S13,AR2054&gt;S13),AR2054,"")</f>
        <v>#VALUE!</v>
      </c>
      <c r="AQ2054" s="1759">
        <f t="shared" ref="AQ2054:AQ2117" si="91">AQ2053+1</f>
        <v>2051</v>
      </c>
      <c r="AR2054" s="1756" t="e">
        <f>0.5*(S18+2*AQ2054)*LN(1+2*AQ2054/S18)</f>
        <v>#VALUE!</v>
      </c>
    </row>
    <row r="2055" spans="42:44">
      <c r="AP2055" s="1756" t="e">
        <f>IF(OR(AR2055=S13,AR2055&gt;S13),AR2055,"")</f>
        <v>#VALUE!</v>
      </c>
      <c r="AQ2055" s="1759">
        <f t="shared" si="91"/>
        <v>2052</v>
      </c>
      <c r="AR2055" s="1756" t="e">
        <f>0.5*(S18+2*AQ2055)*LN(1+2*AQ2055/S18)</f>
        <v>#VALUE!</v>
      </c>
    </row>
    <row r="2056" spans="42:44">
      <c r="AP2056" s="1756" t="e">
        <f>IF(OR(AR2056=S13,AR2056&gt;S13),AR2056,"")</f>
        <v>#VALUE!</v>
      </c>
      <c r="AQ2056" s="1759">
        <f t="shared" si="91"/>
        <v>2053</v>
      </c>
      <c r="AR2056" s="1756" t="e">
        <f>0.5*(S18+2*AQ2056)*LN(1+2*AQ2056/S18)</f>
        <v>#VALUE!</v>
      </c>
    </row>
    <row r="2057" spans="42:44">
      <c r="AP2057" s="1756" t="e">
        <f>IF(OR(AR2057=S13,AR2057&gt;S13),AR2057,"")</f>
        <v>#VALUE!</v>
      </c>
      <c r="AQ2057" s="1759">
        <f t="shared" si="91"/>
        <v>2054</v>
      </c>
      <c r="AR2057" s="1756" t="e">
        <f>0.5*(S18+2*AQ2057)*LN(1+2*AQ2057/S18)</f>
        <v>#VALUE!</v>
      </c>
    </row>
    <row r="2058" spans="42:44">
      <c r="AP2058" s="1756" t="e">
        <f>IF(OR(AR2058=S13,AR2058&gt;S13),AR2058,"")</f>
        <v>#VALUE!</v>
      </c>
      <c r="AQ2058" s="1759">
        <f t="shared" si="91"/>
        <v>2055</v>
      </c>
      <c r="AR2058" s="1756" t="e">
        <f>0.5*(S18+2*AQ2058)*LN(1+2*AQ2058/S18)</f>
        <v>#VALUE!</v>
      </c>
    </row>
    <row r="2059" spans="42:44">
      <c r="AP2059" s="1756" t="e">
        <f>IF(OR(AR2059=S13,AR2059&gt;S13),AR2059,"")</f>
        <v>#VALUE!</v>
      </c>
      <c r="AQ2059" s="1759">
        <f t="shared" si="91"/>
        <v>2056</v>
      </c>
      <c r="AR2059" s="1756" t="e">
        <f>0.5*(S18+2*AQ2059)*LN(1+2*AQ2059/S18)</f>
        <v>#VALUE!</v>
      </c>
    </row>
    <row r="2060" spans="42:44">
      <c r="AP2060" s="1756" t="e">
        <f>IF(OR(AR2060=S13,AR2060&gt;S13),AR2060,"")</f>
        <v>#VALUE!</v>
      </c>
      <c r="AQ2060" s="1759">
        <f t="shared" si="91"/>
        <v>2057</v>
      </c>
      <c r="AR2060" s="1756" t="e">
        <f>0.5*(S18+2*AQ2060)*LN(1+2*AQ2060/S18)</f>
        <v>#VALUE!</v>
      </c>
    </row>
    <row r="2061" spans="42:44">
      <c r="AP2061" s="1756" t="e">
        <f>IF(OR(AR2061=S13,AR2061&gt;S13),AR2061,"")</f>
        <v>#VALUE!</v>
      </c>
      <c r="AQ2061" s="1759">
        <f t="shared" si="91"/>
        <v>2058</v>
      </c>
      <c r="AR2061" s="1756" t="e">
        <f>0.5*(S18+2*AQ2061)*LN(1+2*AQ2061/S18)</f>
        <v>#VALUE!</v>
      </c>
    </row>
    <row r="2062" spans="42:44">
      <c r="AP2062" s="1756" t="e">
        <f>IF(OR(AR2062=S13,AR2062&gt;S13),AR2062,"")</f>
        <v>#VALUE!</v>
      </c>
      <c r="AQ2062" s="1759">
        <f t="shared" si="91"/>
        <v>2059</v>
      </c>
      <c r="AR2062" s="1756" t="e">
        <f>0.5*(S18+2*AQ2062)*LN(1+2*AQ2062/S18)</f>
        <v>#VALUE!</v>
      </c>
    </row>
    <row r="2063" spans="42:44">
      <c r="AP2063" s="1756" t="e">
        <f>IF(OR(AR2063=S13,AR2063&gt;S13),AR2063,"")</f>
        <v>#VALUE!</v>
      </c>
      <c r="AQ2063" s="1759">
        <f t="shared" si="91"/>
        <v>2060</v>
      </c>
      <c r="AR2063" s="1756" t="e">
        <f>0.5*(S18+2*AQ2063)*LN(1+2*AQ2063/S18)</f>
        <v>#VALUE!</v>
      </c>
    </row>
    <row r="2064" spans="42:44">
      <c r="AP2064" s="1756" t="e">
        <f>IF(OR(AR2064=S13,AR2064&gt;S13),AR2064,"")</f>
        <v>#VALUE!</v>
      </c>
      <c r="AQ2064" s="1759">
        <f t="shared" si="91"/>
        <v>2061</v>
      </c>
      <c r="AR2064" s="1756" t="e">
        <f>0.5*(S18+2*AQ2064)*LN(1+2*AQ2064/S18)</f>
        <v>#VALUE!</v>
      </c>
    </row>
    <row r="2065" spans="42:44">
      <c r="AP2065" s="1756" t="e">
        <f>IF(OR(AR2065=S13,AR2065&gt;S13),AR2065,"")</f>
        <v>#VALUE!</v>
      </c>
      <c r="AQ2065" s="1759">
        <f t="shared" si="91"/>
        <v>2062</v>
      </c>
      <c r="AR2065" s="1756" t="e">
        <f>0.5*(S18+2*AQ2065)*LN(1+2*AQ2065/S18)</f>
        <v>#VALUE!</v>
      </c>
    </row>
    <row r="2066" spans="42:44">
      <c r="AP2066" s="1756" t="e">
        <f>IF(OR(AR2066=S13,AR2066&gt;S13),AR2066,"")</f>
        <v>#VALUE!</v>
      </c>
      <c r="AQ2066" s="1759">
        <f t="shared" si="91"/>
        <v>2063</v>
      </c>
      <c r="AR2066" s="1756" t="e">
        <f>0.5*(S18+2*AQ2066)*LN(1+2*AQ2066/S18)</f>
        <v>#VALUE!</v>
      </c>
    </row>
    <row r="2067" spans="42:44">
      <c r="AP2067" s="1756" t="e">
        <f>IF(OR(AR2067=S13,AR2067&gt;S13),AR2067,"")</f>
        <v>#VALUE!</v>
      </c>
      <c r="AQ2067" s="1759">
        <f t="shared" si="91"/>
        <v>2064</v>
      </c>
      <c r="AR2067" s="1756" t="e">
        <f>0.5*(S18+2*AQ2067)*LN(1+2*AQ2067/S18)</f>
        <v>#VALUE!</v>
      </c>
    </row>
    <row r="2068" spans="42:44">
      <c r="AP2068" s="1756" t="e">
        <f>IF(OR(AR2068=S13,AR2068&gt;S13),AR2068,"")</f>
        <v>#VALUE!</v>
      </c>
      <c r="AQ2068" s="1759">
        <f t="shared" si="91"/>
        <v>2065</v>
      </c>
      <c r="AR2068" s="1756" t="e">
        <f>0.5*(S18+2*AQ2068)*LN(1+2*AQ2068/S18)</f>
        <v>#VALUE!</v>
      </c>
    </row>
    <row r="2069" spans="42:44">
      <c r="AP2069" s="1756" t="e">
        <f>IF(OR(AR2069=S13,AR2069&gt;S13),AR2069,"")</f>
        <v>#VALUE!</v>
      </c>
      <c r="AQ2069" s="1759">
        <f t="shared" si="91"/>
        <v>2066</v>
      </c>
      <c r="AR2069" s="1756" t="e">
        <f>0.5*(S18+2*AQ2069)*LN(1+2*AQ2069/S18)</f>
        <v>#VALUE!</v>
      </c>
    </row>
    <row r="2070" spans="42:44">
      <c r="AP2070" s="1756" t="e">
        <f>IF(OR(AR2070=S13,AR2070&gt;S13),AR2070,"")</f>
        <v>#VALUE!</v>
      </c>
      <c r="AQ2070" s="1759">
        <f t="shared" si="91"/>
        <v>2067</v>
      </c>
      <c r="AR2070" s="1756" t="e">
        <f>0.5*(S18+2*AQ2070)*LN(1+2*AQ2070/S18)</f>
        <v>#VALUE!</v>
      </c>
    </row>
    <row r="2071" spans="42:44">
      <c r="AP2071" s="1756" t="e">
        <f>IF(OR(AR2071=S13,AR2071&gt;S13),AR2071,"")</f>
        <v>#VALUE!</v>
      </c>
      <c r="AQ2071" s="1759">
        <f t="shared" si="91"/>
        <v>2068</v>
      </c>
      <c r="AR2071" s="1756" t="e">
        <f>0.5*(S18+2*AQ2071)*LN(1+2*AQ2071/S18)</f>
        <v>#VALUE!</v>
      </c>
    </row>
    <row r="2072" spans="42:44">
      <c r="AP2072" s="1756" t="e">
        <f>IF(OR(AR2072=S13,AR2072&gt;S13),AR2072,"")</f>
        <v>#VALUE!</v>
      </c>
      <c r="AQ2072" s="1759">
        <f t="shared" si="91"/>
        <v>2069</v>
      </c>
      <c r="AR2072" s="1756" t="e">
        <f>0.5*(S18+2*AQ2072)*LN(1+2*AQ2072/S18)</f>
        <v>#VALUE!</v>
      </c>
    </row>
    <row r="2073" spans="42:44">
      <c r="AP2073" s="1756" t="e">
        <f>IF(OR(AR2073=S13,AR2073&gt;S13),AR2073,"")</f>
        <v>#VALUE!</v>
      </c>
      <c r="AQ2073" s="1759">
        <f t="shared" si="91"/>
        <v>2070</v>
      </c>
      <c r="AR2073" s="1756" t="e">
        <f>0.5*(S18+2*AQ2073)*LN(1+2*AQ2073/S18)</f>
        <v>#VALUE!</v>
      </c>
    </row>
    <row r="2074" spans="42:44">
      <c r="AP2074" s="1756" t="e">
        <f>IF(OR(AR2074=S13,AR2074&gt;S13),AR2074,"")</f>
        <v>#VALUE!</v>
      </c>
      <c r="AQ2074" s="1759">
        <f t="shared" si="91"/>
        <v>2071</v>
      </c>
      <c r="AR2074" s="1756" t="e">
        <f>0.5*(S18+2*AQ2074)*LN(1+2*AQ2074/S18)</f>
        <v>#VALUE!</v>
      </c>
    </row>
    <row r="2075" spans="42:44">
      <c r="AP2075" s="1756" t="e">
        <f>IF(OR(AR2075=S13,AR2075&gt;S13),AR2075,"")</f>
        <v>#VALUE!</v>
      </c>
      <c r="AQ2075" s="1759">
        <f t="shared" si="91"/>
        <v>2072</v>
      </c>
      <c r="AR2075" s="1756" t="e">
        <f>0.5*(S18+2*AQ2075)*LN(1+2*AQ2075/S18)</f>
        <v>#VALUE!</v>
      </c>
    </row>
    <row r="2076" spans="42:44">
      <c r="AP2076" s="1756" t="e">
        <f>IF(OR(AR2076=S13,AR2076&gt;S13),AR2076,"")</f>
        <v>#VALUE!</v>
      </c>
      <c r="AQ2076" s="1759">
        <f t="shared" si="91"/>
        <v>2073</v>
      </c>
      <c r="AR2076" s="1756" t="e">
        <f>0.5*(S18+2*AQ2076)*LN(1+2*AQ2076/S18)</f>
        <v>#VALUE!</v>
      </c>
    </row>
    <row r="2077" spans="42:44">
      <c r="AP2077" s="1756" t="e">
        <f>IF(OR(AR2077=S13,AR2077&gt;S13),AR2077,"")</f>
        <v>#VALUE!</v>
      </c>
      <c r="AQ2077" s="1759">
        <f t="shared" si="91"/>
        <v>2074</v>
      </c>
      <c r="AR2077" s="1756" t="e">
        <f>0.5*(S18+2*AQ2077)*LN(1+2*AQ2077/S18)</f>
        <v>#VALUE!</v>
      </c>
    </row>
    <row r="2078" spans="42:44">
      <c r="AP2078" s="1756" t="e">
        <f>IF(OR(AR2078=S13,AR2078&gt;S13),AR2078,"")</f>
        <v>#VALUE!</v>
      </c>
      <c r="AQ2078" s="1759">
        <f t="shared" si="91"/>
        <v>2075</v>
      </c>
      <c r="AR2078" s="1756" t="e">
        <f>0.5*(S18+2*AQ2078)*LN(1+2*AQ2078/S18)</f>
        <v>#VALUE!</v>
      </c>
    </row>
    <row r="2079" spans="42:44">
      <c r="AP2079" s="1756" t="e">
        <f>IF(OR(AR2079=S13,AR2079&gt;S13),AR2079,"")</f>
        <v>#VALUE!</v>
      </c>
      <c r="AQ2079" s="1759">
        <f t="shared" si="91"/>
        <v>2076</v>
      </c>
      <c r="AR2079" s="1756" t="e">
        <f>0.5*(S18+2*AQ2079)*LN(1+2*AQ2079/S18)</f>
        <v>#VALUE!</v>
      </c>
    </row>
    <row r="2080" spans="42:44">
      <c r="AP2080" s="1756" t="e">
        <f>IF(OR(AR2080=S13,AR2080&gt;S13),AR2080,"")</f>
        <v>#VALUE!</v>
      </c>
      <c r="AQ2080" s="1759">
        <f t="shared" si="91"/>
        <v>2077</v>
      </c>
      <c r="AR2080" s="1756" t="e">
        <f>0.5*(S18+2*AQ2080)*LN(1+2*AQ2080/S18)</f>
        <v>#VALUE!</v>
      </c>
    </row>
    <row r="2081" spans="42:44">
      <c r="AP2081" s="1756" t="e">
        <f>IF(OR(AR2081=S13,AR2081&gt;S13),AR2081,"")</f>
        <v>#VALUE!</v>
      </c>
      <c r="AQ2081" s="1759">
        <f t="shared" si="91"/>
        <v>2078</v>
      </c>
      <c r="AR2081" s="1756" t="e">
        <f>0.5*(S18+2*AQ2081)*LN(1+2*AQ2081/S18)</f>
        <v>#VALUE!</v>
      </c>
    </row>
    <row r="2082" spans="42:44">
      <c r="AP2082" s="1756" t="e">
        <f>IF(OR(AR2082=S13,AR2082&gt;S13),AR2082,"")</f>
        <v>#VALUE!</v>
      </c>
      <c r="AQ2082" s="1759">
        <f t="shared" si="91"/>
        <v>2079</v>
      </c>
      <c r="AR2082" s="1756" t="e">
        <f>0.5*(S18+2*AQ2082)*LN(1+2*AQ2082/S18)</f>
        <v>#VALUE!</v>
      </c>
    </row>
    <row r="2083" spans="42:44">
      <c r="AP2083" s="1756" t="e">
        <f>IF(OR(AR2083=S13,AR2083&gt;S13),AR2083,"")</f>
        <v>#VALUE!</v>
      </c>
      <c r="AQ2083" s="1759">
        <f t="shared" si="91"/>
        <v>2080</v>
      </c>
      <c r="AR2083" s="1756" t="e">
        <f>0.5*(S18+2*AQ2083)*LN(1+2*AQ2083/S18)</f>
        <v>#VALUE!</v>
      </c>
    </row>
    <row r="2084" spans="42:44">
      <c r="AP2084" s="1756" t="e">
        <f>IF(OR(AR2084=S13,AR2084&gt;S13),AR2084,"")</f>
        <v>#VALUE!</v>
      </c>
      <c r="AQ2084" s="1759">
        <f t="shared" si="91"/>
        <v>2081</v>
      </c>
      <c r="AR2084" s="1756" t="e">
        <f>0.5*(S18+2*AQ2084)*LN(1+2*AQ2084/S18)</f>
        <v>#VALUE!</v>
      </c>
    </row>
    <row r="2085" spans="42:44">
      <c r="AP2085" s="1756" t="e">
        <f>IF(OR(AR2085=S13,AR2085&gt;S13),AR2085,"")</f>
        <v>#VALUE!</v>
      </c>
      <c r="AQ2085" s="1759">
        <f t="shared" si="91"/>
        <v>2082</v>
      </c>
      <c r="AR2085" s="1756" t="e">
        <f>0.5*(S18+2*AQ2085)*LN(1+2*AQ2085/S18)</f>
        <v>#VALUE!</v>
      </c>
    </row>
    <row r="2086" spans="42:44">
      <c r="AP2086" s="1756" t="e">
        <f>IF(OR(AR2086=S13,AR2086&gt;S13),AR2086,"")</f>
        <v>#VALUE!</v>
      </c>
      <c r="AQ2086" s="1759">
        <f t="shared" si="91"/>
        <v>2083</v>
      </c>
      <c r="AR2086" s="1756" t="e">
        <f>0.5*(S18+2*AQ2086)*LN(1+2*AQ2086/S18)</f>
        <v>#VALUE!</v>
      </c>
    </row>
    <row r="2087" spans="42:44">
      <c r="AP2087" s="1756" t="e">
        <f>IF(OR(AR2087=S13,AR2087&gt;S13),AR2087,"")</f>
        <v>#VALUE!</v>
      </c>
      <c r="AQ2087" s="1759">
        <f t="shared" si="91"/>
        <v>2084</v>
      </c>
      <c r="AR2087" s="1756" t="e">
        <f>0.5*(S18+2*AQ2087)*LN(1+2*AQ2087/S18)</f>
        <v>#VALUE!</v>
      </c>
    </row>
    <row r="2088" spans="42:44">
      <c r="AP2088" s="1756" t="e">
        <f>IF(OR(AR2088=S13,AR2088&gt;S13),AR2088,"")</f>
        <v>#VALUE!</v>
      </c>
      <c r="AQ2088" s="1759">
        <f t="shared" si="91"/>
        <v>2085</v>
      </c>
      <c r="AR2088" s="1756" t="e">
        <f>0.5*(S18+2*AQ2088)*LN(1+2*AQ2088/S18)</f>
        <v>#VALUE!</v>
      </c>
    </row>
    <row r="2089" spans="42:44">
      <c r="AP2089" s="1756" t="e">
        <f>IF(OR(AR2089=S13,AR2089&gt;S13),AR2089,"")</f>
        <v>#VALUE!</v>
      </c>
      <c r="AQ2089" s="1759">
        <f t="shared" si="91"/>
        <v>2086</v>
      </c>
      <c r="AR2089" s="1756" t="e">
        <f>0.5*(S18+2*AQ2089)*LN(1+2*AQ2089/S18)</f>
        <v>#VALUE!</v>
      </c>
    </row>
    <row r="2090" spans="42:44">
      <c r="AP2090" s="1756" t="e">
        <f>IF(OR(AR2090=S13,AR2090&gt;S13),AR2090,"")</f>
        <v>#VALUE!</v>
      </c>
      <c r="AQ2090" s="1759">
        <f t="shared" si="91"/>
        <v>2087</v>
      </c>
      <c r="AR2090" s="1756" t="e">
        <f>0.5*(S18+2*AQ2090)*LN(1+2*AQ2090/S18)</f>
        <v>#VALUE!</v>
      </c>
    </row>
    <row r="2091" spans="42:44">
      <c r="AP2091" s="1756" t="e">
        <f>IF(OR(AR2091=S13,AR2091&gt;S13),AR2091,"")</f>
        <v>#VALUE!</v>
      </c>
      <c r="AQ2091" s="1759">
        <f t="shared" si="91"/>
        <v>2088</v>
      </c>
      <c r="AR2091" s="1756" t="e">
        <f>0.5*(S18+2*AQ2091)*LN(1+2*AQ2091/S18)</f>
        <v>#VALUE!</v>
      </c>
    </row>
    <row r="2092" spans="42:44">
      <c r="AP2092" s="1756" t="e">
        <f>IF(OR(AR2092=S13,AR2092&gt;S13),AR2092,"")</f>
        <v>#VALUE!</v>
      </c>
      <c r="AQ2092" s="1759">
        <f t="shared" si="91"/>
        <v>2089</v>
      </c>
      <c r="AR2092" s="1756" t="e">
        <f>0.5*(S18+2*AQ2092)*LN(1+2*AQ2092/S18)</f>
        <v>#VALUE!</v>
      </c>
    </row>
    <row r="2093" spans="42:44">
      <c r="AP2093" s="1756" t="e">
        <f>IF(OR(AR2093=S13,AR2093&gt;S13),AR2093,"")</f>
        <v>#VALUE!</v>
      </c>
      <c r="AQ2093" s="1759">
        <f t="shared" si="91"/>
        <v>2090</v>
      </c>
      <c r="AR2093" s="1756" t="e">
        <f>0.5*(S18+2*AQ2093)*LN(1+2*AQ2093/S18)</f>
        <v>#VALUE!</v>
      </c>
    </row>
    <row r="2094" spans="42:44">
      <c r="AP2094" s="1756" t="e">
        <f>IF(OR(AR2094=S13,AR2094&gt;S13),AR2094,"")</f>
        <v>#VALUE!</v>
      </c>
      <c r="AQ2094" s="1759">
        <f t="shared" si="91"/>
        <v>2091</v>
      </c>
      <c r="AR2094" s="1756" t="e">
        <f>0.5*(S18+2*AQ2094)*LN(1+2*AQ2094/S18)</f>
        <v>#VALUE!</v>
      </c>
    </row>
    <row r="2095" spans="42:44">
      <c r="AP2095" s="1756" t="e">
        <f>IF(OR(AR2095=S13,AR2095&gt;S13),AR2095,"")</f>
        <v>#VALUE!</v>
      </c>
      <c r="AQ2095" s="1759">
        <f t="shared" si="91"/>
        <v>2092</v>
      </c>
      <c r="AR2095" s="1756" t="e">
        <f>0.5*(S18+2*AQ2095)*LN(1+2*AQ2095/S18)</f>
        <v>#VALUE!</v>
      </c>
    </row>
    <row r="2096" spans="42:44">
      <c r="AP2096" s="1756" t="e">
        <f>IF(OR(AR2096=S13,AR2096&gt;S13),AR2096,"")</f>
        <v>#VALUE!</v>
      </c>
      <c r="AQ2096" s="1759">
        <f t="shared" si="91"/>
        <v>2093</v>
      </c>
      <c r="AR2096" s="1756" t="e">
        <f>0.5*(S18+2*AQ2096)*LN(1+2*AQ2096/S18)</f>
        <v>#VALUE!</v>
      </c>
    </row>
    <row r="2097" spans="42:44">
      <c r="AP2097" s="1756" t="e">
        <f>IF(OR(AR2097=S13,AR2097&gt;S13),AR2097,"")</f>
        <v>#VALUE!</v>
      </c>
      <c r="AQ2097" s="1759">
        <f t="shared" si="91"/>
        <v>2094</v>
      </c>
      <c r="AR2097" s="1756" t="e">
        <f>0.5*(S18+2*AQ2097)*LN(1+2*AQ2097/S18)</f>
        <v>#VALUE!</v>
      </c>
    </row>
    <row r="2098" spans="42:44">
      <c r="AP2098" s="1756" t="e">
        <f>IF(OR(AR2098=S13,AR2098&gt;S13),AR2098,"")</f>
        <v>#VALUE!</v>
      </c>
      <c r="AQ2098" s="1759">
        <f t="shared" si="91"/>
        <v>2095</v>
      </c>
      <c r="AR2098" s="1756" t="e">
        <f>0.5*(S18+2*AQ2098)*LN(1+2*AQ2098/S18)</f>
        <v>#VALUE!</v>
      </c>
    </row>
    <row r="2099" spans="42:44">
      <c r="AP2099" s="1756" t="e">
        <f>IF(OR(AR2099=S13,AR2099&gt;S13),AR2099,"")</f>
        <v>#VALUE!</v>
      </c>
      <c r="AQ2099" s="1759">
        <f t="shared" si="91"/>
        <v>2096</v>
      </c>
      <c r="AR2099" s="1756" t="e">
        <f>0.5*(S18+2*AQ2099)*LN(1+2*AQ2099/S18)</f>
        <v>#VALUE!</v>
      </c>
    </row>
    <row r="2100" spans="42:44">
      <c r="AP2100" s="1756" t="e">
        <f>IF(OR(AR2100=S13,AR2100&gt;S13),AR2100,"")</f>
        <v>#VALUE!</v>
      </c>
      <c r="AQ2100" s="1759">
        <f t="shared" si="91"/>
        <v>2097</v>
      </c>
      <c r="AR2100" s="1756" t="e">
        <f>0.5*(S18+2*AQ2100)*LN(1+2*AQ2100/S18)</f>
        <v>#VALUE!</v>
      </c>
    </row>
    <row r="2101" spans="42:44">
      <c r="AP2101" s="1756" t="e">
        <f>IF(OR(AR2101=S13,AR2101&gt;S13),AR2101,"")</f>
        <v>#VALUE!</v>
      </c>
      <c r="AQ2101" s="1759">
        <f t="shared" si="91"/>
        <v>2098</v>
      </c>
      <c r="AR2101" s="1756" t="e">
        <f>0.5*(S18+2*AQ2101)*LN(1+2*AQ2101/S18)</f>
        <v>#VALUE!</v>
      </c>
    </row>
    <row r="2102" spans="42:44">
      <c r="AP2102" s="1756" t="e">
        <f>IF(OR(AR2102=S13,AR2102&gt;S13),AR2102,"")</f>
        <v>#VALUE!</v>
      </c>
      <c r="AQ2102" s="1759">
        <f t="shared" si="91"/>
        <v>2099</v>
      </c>
      <c r="AR2102" s="1756" t="e">
        <f>0.5*(S18+2*AQ2102)*LN(1+2*AQ2102/S18)</f>
        <v>#VALUE!</v>
      </c>
    </row>
    <row r="2103" spans="42:44">
      <c r="AP2103" s="1756" t="e">
        <f>IF(OR(AR2103=S13,AR2103&gt;S13),AR2103,"")</f>
        <v>#VALUE!</v>
      </c>
      <c r="AQ2103" s="1759">
        <f t="shared" si="91"/>
        <v>2100</v>
      </c>
      <c r="AR2103" s="1756" t="e">
        <f>0.5*(S18+2*AQ2103)*LN(1+2*AQ2103/S18)</f>
        <v>#VALUE!</v>
      </c>
    </row>
    <row r="2104" spans="42:44">
      <c r="AP2104" s="1756" t="e">
        <f>IF(OR(AR2104=S13,AR2104&gt;S13),AR2104,"")</f>
        <v>#VALUE!</v>
      </c>
      <c r="AQ2104" s="1759">
        <f t="shared" si="91"/>
        <v>2101</v>
      </c>
      <c r="AR2104" s="1756" t="e">
        <f>0.5*(S18+2*AQ2104)*LN(1+2*AQ2104/S18)</f>
        <v>#VALUE!</v>
      </c>
    </row>
    <row r="2105" spans="42:44">
      <c r="AP2105" s="1756" t="e">
        <f>IF(OR(AR2105=S13,AR2105&gt;S13),AR2105,"")</f>
        <v>#VALUE!</v>
      </c>
      <c r="AQ2105" s="1759">
        <f t="shared" si="91"/>
        <v>2102</v>
      </c>
      <c r="AR2105" s="1756" t="e">
        <f>0.5*(S18+2*AQ2105)*LN(1+2*AQ2105/S18)</f>
        <v>#VALUE!</v>
      </c>
    </row>
    <row r="2106" spans="42:44">
      <c r="AP2106" s="1756" t="e">
        <f>IF(OR(AR2106=S13,AR2106&gt;S13),AR2106,"")</f>
        <v>#VALUE!</v>
      </c>
      <c r="AQ2106" s="1759">
        <f t="shared" si="91"/>
        <v>2103</v>
      </c>
      <c r="AR2106" s="1756" t="e">
        <f>0.5*(S18+2*AQ2106)*LN(1+2*AQ2106/S18)</f>
        <v>#VALUE!</v>
      </c>
    </row>
    <row r="2107" spans="42:44">
      <c r="AP2107" s="1756" t="e">
        <f>IF(OR(AR2107=S13,AR2107&gt;S13),AR2107,"")</f>
        <v>#VALUE!</v>
      </c>
      <c r="AQ2107" s="1759">
        <f t="shared" si="91"/>
        <v>2104</v>
      </c>
      <c r="AR2107" s="1756" t="e">
        <f>0.5*(S18+2*AQ2107)*LN(1+2*AQ2107/S18)</f>
        <v>#VALUE!</v>
      </c>
    </row>
    <row r="2108" spans="42:44">
      <c r="AP2108" s="1756" t="e">
        <f>IF(OR(AR2108=S13,AR2108&gt;S13),AR2108,"")</f>
        <v>#VALUE!</v>
      </c>
      <c r="AQ2108" s="1759">
        <f t="shared" si="91"/>
        <v>2105</v>
      </c>
      <c r="AR2108" s="1756" t="e">
        <f>0.5*(S18+2*AQ2108)*LN(1+2*AQ2108/S18)</f>
        <v>#VALUE!</v>
      </c>
    </row>
    <row r="2109" spans="42:44">
      <c r="AP2109" s="1756" t="e">
        <f>IF(OR(AR2109=S13,AR2109&gt;S13),AR2109,"")</f>
        <v>#VALUE!</v>
      </c>
      <c r="AQ2109" s="1759">
        <f t="shared" si="91"/>
        <v>2106</v>
      </c>
      <c r="AR2109" s="1756" t="e">
        <f>0.5*(S18+2*AQ2109)*LN(1+2*AQ2109/S18)</f>
        <v>#VALUE!</v>
      </c>
    </row>
    <row r="2110" spans="42:44">
      <c r="AP2110" s="1756" t="e">
        <f>IF(OR(AR2110=S13,AR2110&gt;S13),AR2110,"")</f>
        <v>#VALUE!</v>
      </c>
      <c r="AQ2110" s="1759">
        <f t="shared" si="91"/>
        <v>2107</v>
      </c>
      <c r="AR2110" s="1756" t="e">
        <f>0.5*(S18+2*AQ2110)*LN(1+2*AQ2110/S18)</f>
        <v>#VALUE!</v>
      </c>
    </row>
    <row r="2111" spans="42:44">
      <c r="AP2111" s="1756" t="e">
        <f>IF(OR(AR2111=S13,AR2111&gt;S13),AR2111,"")</f>
        <v>#VALUE!</v>
      </c>
      <c r="AQ2111" s="1759">
        <f t="shared" si="91"/>
        <v>2108</v>
      </c>
      <c r="AR2111" s="1756" t="e">
        <f>0.5*(S18+2*AQ2111)*LN(1+2*AQ2111/S18)</f>
        <v>#VALUE!</v>
      </c>
    </row>
    <row r="2112" spans="42:44">
      <c r="AP2112" s="1756" t="e">
        <f>IF(OR(AR2112=S13,AR2112&gt;S13),AR2112,"")</f>
        <v>#VALUE!</v>
      </c>
      <c r="AQ2112" s="1759">
        <f t="shared" si="91"/>
        <v>2109</v>
      </c>
      <c r="AR2112" s="1756" t="e">
        <f>0.5*(S18+2*AQ2112)*LN(1+2*AQ2112/S18)</f>
        <v>#VALUE!</v>
      </c>
    </row>
    <row r="2113" spans="42:44">
      <c r="AP2113" s="1756" t="e">
        <f>IF(OR(AR2113=S13,AR2113&gt;S13),AR2113,"")</f>
        <v>#VALUE!</v>
      </c>
      <c r="AQ2113" s="1759">
        <f t="shared" si="91"/>
        <v>2110</v>
      </c>
      <c r="AR2113" s="1756" t="e">
        <f>0.5*(S18+2*AQ2113)*LN(1+2*AQ2113/S18)</f>
        <v>#VALUE!</v>
      </c>
    </row>
    <row r="2114" spans="42:44">
      <c r="AP2114" s="1756" t="e">
        <f>IF(OR(AR2114=S13,AR2114&gt;S13),AR2114,"")</f>
        <v>#VALUE!</v>
      </c>
      <c r="AQ2114" s="1759">
        <f t="shared" si="91"/>
        <v>2111</v>
      </c>
      <c r="AR2114" s="1756" t="e">
        <f>0.5*(S18+2*AQ2114)*LN(1+2*AQ2114/S18)</f>
        <v>#VALUE!</v>
      </c>
    </row>
    <row r="2115" spans="42:44">
      <c r="AP2115" s="1756" t="e">
        <f>IF(OR(AR2115=S13,AR2115&gt;S13),AR2115,"")</f>
        <v>#VALUE!</v>
      </c>
      <c r="AQ2115" s="1759">
        <f t="shared" si="91"/>
        <v>2112</v>
      </c>
      <c r="AR2115" s="1756" t="e">
        <f>0.5*(S18+2*AQ2115)*LN(1+2*AQ2115/S18)</f>
        <v>#VALUE!</v>
      </c>
    </row>
    <row r="2116" spans="42:44">
      <c r="AP2116" s="1756" t="e">
        <f>IF(OR(AR2116=S13,AR2116&gt;S13),AR2116,"")</f>
        <v>#VALUE!</v>
      </c>
      <c r="AQ2116" s="1759">
        <f t="shared" si="91"/>
        <v>2113</v>
      </c>
      <c r="AR2116" s="1756" t="e">
        <f>0.5*(S18+2*AQ2116)*LN(1+2*AQ2116/S18)</f>
        <v>#VALUE!</v>
      </c>
    </row>
    <row r="2117" spans="42:44">
      <c r="AP2117" s="1756" t="e">
        <f>IF(OR(AR2117=S13,AR2117&gt;S13),AR2117,"")</f>
        <v>#VALUE!</v>
      </c>
      <c r="AQ2117" s="1759">
        <f t="shared" si="91"/>
        <v>2114</v>
      </c>
      <c r="AR2117" s="1756" t="e">
        <f>0.5*(S18+2*AQ2117)*LN(1+2*AQ2117/S18)</f>
        <v>#VALUE!</v>
      </c>
    </row>
    <row r="2118" spans="42:44">
      <c r="AP2118" s="1756" t="e">
        <f>IF(OR(AR2118=S13,AR2118&gt;S13),AR2118,"")</f>
        <v>#VALUE!</v>
      </c>
      <c r="AQ2118" s="1759">
        <f t="shared" ref="AQ2118:AQ2181" si="92">AQ2117+1</f>
        <v>2115</v>
      </c>
      <c r="AR2118" s="1756" t="e">
        <f>0.5*(S18+2*AQ2118)*LN(1+2*AQ2118/S18)</f>
        <v>#VALUE!</v>
      </c>
    </row>
    <row r="2119" spans="42:44">
      <c r="AP2119" s="1756" t="e">
        <f>IF(OR(AR2119=S13,AR2119&gt;S13),AR2119,"")</f>
        <v>#VALUE!</v>
      </c>
      <c r="AQ2119" s="1759">
        <f t="shared" si="92"/>
        <v>2116</v>
      </c>
      <c r="AR2119" s="1756" t="e">
        <f>0.5*(S18+2*AQ2119)*LN(1+2*AQ2119/S18)</f>
        <v>#VALUE!</v>
      </c>
    </row>
    <row r="2120" spans="42:44">
      <c r="AP2120" s="1756" t="e">
        <f>IF(OR(AR2120=S13,AR2120&gt;S13),AR2120,"")</f>
        <v>#VALUE!</v>
      </c>
      <c r="AQ2120" s="1759">
        <f t="shared" si="92"/>
        <v>2117</v>
      </c>
      <c r="AR2120" s="1756" t="e">
        <f>0.5*(S18+2*AQ2120)*LN(1+2*AQ2120/S18)</f>
        <v>#VALUE!</v>
      </c>
    </row>
    <row r="2121" spans="42:44">
      <c r="AP2121" s="1756" t="e">
        <f>IF(OR(AR2121=S13,AR2121&gt;S13),AR2121,"")</f>
        <v>#VALUE!</v>
      </c>
      <c r="AQ2121" s="1759">
        <f t="shared" si="92"/>
        <v>2118</v>
      </c>
      <c r="AR2121" s="1756" t="e">
        <f>0.5*(S18+2*AQ2121)*LN(1+2*AQ2121/S18)</f>
        <v>#VALUE!</v>
      </c>
    </row>
    <row r="2122" spans="42:44">
      <c r="AP2122" s="1756" t="e">
        <f>IF(OR(AR2122=S13,AR2122&gt;S13),AR2122,"")</f>
        <v>#VALUE!</v>
      </c>
      <c r="AQ2122" s="1759">
        <f t="shared" si="92"/>
        <v>2119</v>
      </c>
      <c r="AR2122" s="1756" t="e">
        <f>0.5*(S18+2*AQ2122)*LN(1+2*AQ2122/S18)</f>
        <v>#VALUE!</v>
      </c>
    </row>
    <row r="2123" spans="42:44">
      <c r="AP2123" s="1756" t="e">
        <f>IF(OR(AR2123=S13,AR2123&gt;S13),AR2123,"")</f>
        <v>#VALUE!</v>
      </c>
      <c r="AQ2123" s="1759">
        <f t="shared" si="92"/>
        <v>2120</v>
      </c>
      <c r="AR2123" s="1756" t="e">
        <f>0.5*(S18+2*AQ2123)*LN(1+2*AQ2123/S18)</f>
        <v>#VALUE!</v>
      </c>
    </row>
    <row r="2124" spans="42:44">
      <c r="AP2124" s="1756" t="e">
        <f>IF(OR(AR2124=S13,AR2124&gt;S13),AR2124,"")</f>
        <v>#VALUE!</v>
      </c>
      <c r="AQ2124" s="1759">
        <f t="shared" si="92"/>
        <v>2121</v>
      </c>
      <c r="AR2124" s="1756" t="e">
        <f>0.5*(S18+2*AQ2124)*LN(1+2*AQ2124/S18)</f>
        <v>#VALUE!</v>
      </c>
    </row>
    <row r="2125" spans="42:44">
      <c r="AP2125" s="1756" t="e">
        <f>IF(OR(AR2125=S13,AR2125&gt;S13),AR2125,"")</f>
        <v>#VALUE!</v>
      </c>
      <c r="AQ2125" s="1759">
        <f t="shared" si="92"/>
        <v>2122</v>
      </c>
      <c r="AR2125" s="1756" t="e">
        <f>0.5*(S18+2*AQ2125)*LN(1+2*AQ2125/S18)</f>
        <v>#VALUE!</v>
      </c>
    </row>
    <row r="2126" spans="42:44">
      <c r="AP2126" s="1756" t="e">
        <f>IF(OR(AR2126=S13,AR2126&gt;S13),AR2126,"")</f>
        <v>#VALUE!</v>
      </c>
      <c r="AQ2126" s="1759">
        <f t="shared" si="92"/>
        <v>2123</v>
      </c>
      <c r="AR2126" s="1756" t="e">
        <f>0.5*(S18+2*AQ2126)*LN(1+2*AQ2126/S18)</f>
        <v>#VALUE!</v>
      </c>
    </row>
    <row r="2127" spans="42:44">
      <c r="AP2127" s="1756" t="e">
        <f>IF(OR(AR2127=S13,AR2127&gt;S13),AR2127,"")</f>
        <v>#VALUE!</v>
      </c>
      <c r="AQ2127" s="1759">
        <f t="shared" si="92"/>
        <v>2124</v>
      </c>
      <c r="AR2127" s="1756" t="e">
        <f>0.5*(S18+2*AQ2127)*LN(1+2*AQ2127/S18)</f>
        <v>#VALUE!</v>
      </c>
    </row>
    <row r="2128" spans="42:44">
      <c r="AP2128" s="1756" t="e">
        <f>IF(OR(AR2128=S13,AR2128&gt;S13),AR2128,"")</f>
        <v>#VALUE!</v>
      </c>
      <c r="AQ2128" s="1759">
        <f t="shared" si="92"/>
        <v>2125</v>
      </c>
      <c r="AR2128" s="1756" t="e">
        <f>0.5*(S18+2*AQ2128)*LN(1+2*AQ2128/S18)</f>
        <v>#VALUE!</v>
      </c>
    </row>
    <row r="2129" spans="42:44">
      <c r="AP2129" s="1756" t="e">
        <f>IF(OR(AR2129=S13,AR2129&gt;S13),AR2129,"")</f>
        <v>#VALUE!</v>
      </c>
      <c r="AQ2129" s="1759">
        <f t="shared" si="92"/>
        <v>2126</v>
      </c>
      <c r="AR2129" s="1756" t="e">
        <f>0.5*(S18+2*AQ2129)*LN(1+2*AQ2129/S18)</f>
        <v>#VALUE!</v>
      </c>
    </row>
    <row r="2130" spans="42:44">
      <c r="AP2130" s="1756" t="e">
        <f>IF(OR(AR2130=S13,AR2130&gt;S13),AR2130,"")</f>
        <v>#VALUE!</v>
      </c>
      <c r="AQ2130" s="1759">
        <f t="shared" si="92"/>
        <v>2127</v>
      </c>
      <c r="AR2130" s="1756" t="e">
        <f>0.5*(S18+2*AQ2130)*LN(1+2*AQ2130/S18)</f>
        <v>#VALUE!</v>
      </c>
    </row>
    <row r="2131" spans="42:44">
      <c r="AP2131" s="1756" t="e">
        <f>IF(OR(AR2131=S13,AR2131&gt;S13),AR2131,"")</f>
        <v>#VALUE!</v>
      </c>
      <c r="AQ2131" s="1759">
        <f t="shared" si="92"/>
        <v>2128</v>
      </c>
      <c r="AR2131" s="1756" t="e">
        <f>0.5*(S18+2*AQ2131)*LN(1+2*AQ2131/S18)</f>
        <v>#VALUE!</v>
      </c>
    </row>
    <row r="2132" spans="42:44">
      <c r="AP2132" s="1756" t="e">
        <f>IF(OR(AR2132=S13,AR2132&gt;S13),AR2132,"")</f>
        <v>#VALUE!</v>
      </c>
      <c r="AQ2132" s="1759">
        <f t="shared" si="92"/>
        <v>2129</v>
      </c>
      <c r="AR2132" s="1756" t="e">
        <f>0.5*(S18+2*AQ2132)*LN(1+2*AQ2132/S18)</f>
        <v>#VALUE!</v>
      </c>
    </row>
    <row r="2133" spans="42:44">
      <c r="AP2133" s="1756" t="e">
        <f>IF(OR(AR2133=S13,AR2133&gt;S13),AR2133,"")</f>
        <v>#VALUE!</v>
      </c>
      <c r="AQ2133" s="1759">
        <f t="shared" si="92"/>
        <v>2130</v>
      </c>
      <c r="AR2133" s="1756" t="e">
        <f>0.5*(S18+2*AQ2133)*LN(1+2*AQ2133/S18)</f>
        <v>#VALUE!</v>
      </c>
    </row>
    <row r="2134" spans="42:44">
      <c r="AP2134" s="1756" t="e">
        <f>IF(OR(AR2134=S13,AR2134&gt;S13),AR2134,"")</f>
        <v>#VALUE!</v>
      </c>
      <c r="AQ2134" s="1759">
        <f t="shared" si="92"/>
        <v>2131</v>
      </c>
      <c r="AR2134" s="1756" t="e">
        <f>0.5*(S18+2*AQ2134)*LN(1+2*AQ2134/S18)</f>
        <v>#VALUE!</v>
      </c>
    </row>
    <row r="2135" spans="42:44">
      <c r="AP2135" s="1756" t="e">
        <f>IF(OR(AR2135=S13,AR2135&gt;S13),AR2135,"")</f>
        <v>#VALUE!</v>
      </c>
      <c r="AQ2135" s="1759">
        <f t="shared" si="92"/>
        <v>2132</v>
      </c>
      <c r="AR2135" s="1756" t="e">
        <f>0.5*(S18+2*AQ2135)*LN(1+2*AQ2135/S18)</f>
        <v>#VALUE!</v>
      </c>
    </row>
    <row r="2136" spans="42:44">
      <c r="AP2136" s="1756" t="e">
        <f>IF(OR(AR2136=S13,AR2136&gt;S13),AR2136,"")</f>
        <v>#VALUE!</v>
      </c>
      <c r="AQ2136" s="1759">
        <f t="shared" si="92"/>
        <v>2133</v>
      </c>
      <c r="AR2136" s="1756" t="e">
        <f>0.5*(S18+2*AQ2136)*LN(1+2*AQ2136/S18)</f>
        <v>#VALUE!</v>
      </c>
    </row>
    <row r="2137" spans="42:44">
      <c r="AP2137" s="1756" t="e">
        <f>IF(OR(AR2137=S13,AR2137&gt;S13),AR2137,"")</f>
        <v>#VALUE!</v>
      </c>
      <c r="AQ2137" s="1759">
        <f t="shared" si="92"/>
        <v>2134</v>
      </c>
      <c r="AR2137" s="1756" t="e">
        <f>0.5*(S18+2*AQ2137)*LN(1+2*AQ2137/S18)</f>
        <v>#VALUE!</v>
      </c>
    </row>
    <row r="2138" spans="42:44">
      <c r="AP2138" s="1756" t="e">
        <f>IF(OR(AR2138=S13,AR2138&gt;S13),AR2138,"")</f>
        <v>#VALUE!</v>
      </c>
      <c r="AQ2138" s="1759">
        <f t="shared" si="92"/>
        <v>2135</v>
      </c>
      <c r="AR2138" s="1756" t="e">
        <f>0.5*(S18+2*AQ2138)*LN(1+2*AQ2138/S18)</f>
        <v>#VALUE!</v>
      </c>
    </row>
    <row r="2139" spans="42:44">
      <c r="AP2139" s="1756" t="e">
        <f>IF(OR(AR2139=S13,AR2139&gt;S13),AR2139,"")</f>
        <v>#VALUE!</v>
      </c>
      <c r="AQ2139" s="1759">
        <f t="shared" si="92"/>
        <v>2136</v>
      </c>
      <c r="AR2139" s="1756" t="e">
        <f>0.5*(S18+2*AQ2139)*LN(1+2*AQ2139/S18)</f>
        <v>#VALUE!</v>
      </c>
    </row>
    <row r="2140" spans="42:44">
      <c r="AP2140" s="1756" t="e">
        <f>IF(OR(AR2140=S13,AR2140&gt;S13),AR2140,"")</f>
        <v>#VALUE!</v>
      </c>
      <c r="AQ2140" s="1759">
        <f t="shared" si="92"/>
        <v>2137</v>
      </c>
      <c r="AR2140" s="1756" t="e">
        <f>0.5*(S18+2*AQ2140)*LN(1+2*AQ2140/S18)</f>
        <v>#VALUE!</v>
      </c>
    </row>
    <row r="2141" spans="42:44">
      <c r="AP2141" s="1756" t="e">
        <f>IF(OR(AR2141=S13,AR2141&gt;S13),AR2141,"")</f>
        <v>#VALUE!</v>
      </c>
      <c r="AQ2141" s="1759">
        <f t="shared" si="92"/>
        <v>2138</v>
      </c>
      <c r="AR2141" s="1756" t="e">
        <f>0.5*(S18+2*AQ2141)*LN(1+2*AQ2141/S18)</f>
        <v>#VALUE!</v>
      </c>
    </row>
    <row r="2142" spans="42:44">
      <c r="AP2142" s="1756" t="e">
        <f>IF(OR(AR2142=S13,AR2142&gt;S13),AR2142,"")</f>
        <v>#VALUE!</v>
      </c>
      <c r="AQ2142" s="1759">
        <f t="shared" si="92"/>
        <v>2139</v>
      </c>
      <c r="AR2142" s="1756" t="e">
        <f>0.5*(S18+2*AQ2142)*LN(1+2*AQ2142/S18)</f>
        <v>#VALUE!</v>
      </c>
    </row>
    <row r="2143" spans="42:44">
      <c r="AP2143" s="1756" t="e">
        <f>IF(OR(AR2143=S13,AR2143&gt;S13),AR2143,"")</f>
        <v>#VALUE!</v>
      </c>
      <c r="AQ2143" s="1759">
        <f t="shared" si="92"/>
        <v>2140</v>
      </c>
      <c r="AR2143" s="1756" t="e">
        <f>0.5*(S18+2*AQ2143)*LN(1+2*AQ2143/S18)</f>
        <v>#VALUE!</v>
      </c>
    </row>
    <row r="2144" spans="42:44">
      <c r="AP2144" s="1756" t="e">
        <f>IF(OR(AR2144=S13,AR2144&gt;S13),AR2144,"")</f>
        <v>#VALUE!</v>
      </c>
      <c r="AQ2144" s="1759">
        <f t="shared" si="92"/>
        <v>2141</v>
      </c>
      <c r="AR2144" s="1756" t="e">
        <f>0.5*(S18+2*AQ2144)*LN(1+2*AQ2144/S18)</f>
        <v>#VALUE!</v>
      </c>
    </row>
    <row r="2145" spans="42:44">
      <c r="AP2145" s="1756" t="e">
        <f>IF(OR(AR2145=S13,AR2145&gt;S13),AR2145,"")</f>
        <v>#VALUE!</v>
      </c>
      <c r="AQ2145" s="1759">
        <f t="shared" si="92"/>
        <v>2142</v>
      </c>
      <c r="AR2145" s="1756" t="e">
        <f>0.5*(S18+2*AQ2145)*LN(1+2*AQ2145/S18)</f>
        <v>#VALUE!</v>
      </c>
    </row>
    <row r="2146" spans="42:44">
      <c r="AP2146" s="1756" t="e">
        <f>IF(OR(AR2146=S13,AR2146&gt;S13),AR2146,"")</f>
        <v>#VALUE!</v>
      </c>
      <c r="AQ2146" s="1759">
        <f t="shared" si="92"/>
        <v>2143</v>
      </c>
      <c r="AR2146" s="1756" t="e">
        <f>0.5*(S18+2*AQ2146)*LN(1+2*AQ2146/S18)</f>
        <v>#VALUE!</v>
      </c>
    </row>
    <row r="2147" spans="42:44">
      <c r="AP2147" s="1756" t="e">
        <f>IF(OR(AR2147=S13,AR2147&gt;S13),AR2147,"")</f>
        <v>#VALUE!</v>
      </c>
      <c r="AQ2147" s="1759">
        <f t="shared" si="92"/>
        <v>2144</v>
      </c>
      <c r="AR2147" s="1756" t="e">
        <f>0.5*(S18+2*AQ2147)*LN(1+2*AQ2147/S18)</f>
        <v>#VALUE!</v>
      </c>
    </row>
    <row r="2148" spans="42:44">
      <c r="AP2148" s="1756" t="e">
        <f>IF(OR(AR2148=S13,AR2148&gt;S13),AR2148,"")</f>
        <v>#VALUE!</v>
      </c>
      <c r="AQ2148" s="1759">
        <f t="shared" si="92"/>
        <v>2145</v>
      </c>
      <c r="AR2148" s="1756" t="e">
        <f>0.5*(S18+2*AQ2148)*LN(1+2*AQ2148/S18)</f>
        <v>#VALUE!</v>
      </c>
    </row>
    <row r="2149" spans="42:44">
      <c r="AP2149" s="1756" t="e">
        <f>IF(OR(AR2149=S13,AR2149&gt;S13),AR2149,"")</f>
        <v>#VALUE!</v>
      </c>
      <c r="AQ2149" s="1759">
        <f t="shared" si="92"/>
        <v>2146</v>
      </c>
      <c r="AR2149" s="1756" t="e">
        <f>0.5*(S18+2*AQ2149)*LN(1+2*AQ2149/S18)</f>
        <v>#VALUE!</v>
      </c>
    </row>
    <row r="2150" spans="42:44">
      <c r="AP2150" s="1756" t="e">
        <f>IF(OR(AR2150=S13,AR2150&gt;S13),AR2150,"")</f>
        <v>#VALUE!</v>
      </c>
      <c r="AQ2150" s="1759">
        <f t="shared" si="92"/>
        <v>2147</v>
      </c>
      <c r="AR2150" s="1756" t="e">
        <f>0.5*(S18+2*AQ2150)*LN(1+2*AQ2150/S18)</f>
        <v>#VALUE!</v>
      </c>
    </row>
    <row r="2151" spans="42:44">
      <c r="AP2151" s="1756" t="e">
        <f>IF(OR(AR2151=S13,AR2151&gt;S13),AR2151,"")</f>
        <v>#VALUE!</v>
      </c>
      <c r="AQ2151" s="1759">
        <f t="shared" si="92"/>
        <v>2148</v>
      </c>
      <c r="AR2151" s="1756" t="e">
        <f>0.5*(S18+2*AQ2151)*LN(1+2*AQ2151/S18)</f>
        <v>#VALUE!</v>
      </c>
    </row>
    <row r="2152" spans="42:44">
      <c r="AP2152" s="1756" t="e">
        <f>IF(OR(AR2152=S13,AR2152&gt;S13),AR2152,"")</f>
        <v>#VALUE!</v>
      </c>
      <c r="AQ2152" s="1759">
        <f t="shared" si="92"/>
        <v>2149</v>
      </c>
      <c r="AR2152" s="1756" t="e">
        <f>0.5*(S18+2*AQ2152)*LN(1+2*AQ2152/S18)</f>
        <v>#VALUE!</v>
      </c>
    </row>
    <row r="2153" spans="42:44">
      <c r="AP2153" s="1756" t="e">
        <f>IF(OR(AR2153=S13,AR2153&gt;S13),AR2153,"")</f>
        <v>#VALUE!</v>
      </c>
      <c r="AQ2153" s="1759">
        <f t="shared" si="92"/>
        <v>2150</v>
      </c>
      <c r="AR2153" s="1756" t="e">
        <f>0.5*(S18+2*AQ2153)*LN(1+2*AQ2153/S18)</f>
        <v>#VALUE!</v>
      </c>
    </row>
    <row r="2154" spans="42:44">
      <c r="AP2154" s="1756" t="e">
        <f>IF(OR(AR2154=S13,AR2154&gt;S13),AR2154,"")</f>
        <v>#VALUE!</v>
      </c>
      <c r="AQ2154" s="1759">
        <f t="shared" si="92"/>
        <v>2151</v>
      </c>
      <c r="AR2154" s="1756" t="e">
        <f>0.5*(S18+2*AQ2154)*LN(1+2*AQ2154/S18)</f>
        <v>#VALUE!</v>
      </c>
    </row>
    <row r="2155" spans="42:44">
      <c r="AP2155" s="1756" t="e">
        <f>IF(OR(AR2155=S13,AR2155&gt;S13),AR2155,"")</f>
        <v>#VALUE!</v>
      </c>
      <c r="AQ2155" s="1759">
        <f t="shared" si="92"/>
        <v>2152</v>
      </c>
      <c r="AR2155" s="1756" t="e">
        <f>0.5*(S18+2*AQ2155)*LN(1+2*AQ2155/S18)</f>
        <v>#VALUE!</v>
      </c>
    </row>
    <row r="2156" spans="42:44">
      <c r="AP2156" s="1756" t="e">
        <f>IF(OR(AR2156=S13,AR2156&gt;S13),AR2156,"")</f>
        <v>#VALUE!</v>
      </c>
      <c r="AQ2156" s="1759">
        <f t="shared" si="92"/>
        <v>2153</v>
      </c>
      <c r="AR2156" s="1756" t="e">
        <f>0.5*(S18+2*AQ2156)*LN(1+2*AQ2156/S18)</f>
        <v>#VALUE!</v>
      </c>
    </row>
    <row r="2157" spans="42:44">
      <c r="AP2157" s="1756" t="e">
        <f>IF(OR(AR2157=S13,AR2157&gt;S13),AR2157,"")</f>
        <v>#VALUE!</v>
      </c>
      <c r="AQ2157" s="1759">
        <f t="shared" si="92"/>
        <v>2154</v>
      </c>
      <c r="AR2157" s="1756" t="e">
        <f>0.5*(S18+2*AQ2157)*LN(1+2*AQ2157/S18)</f>
        <v>#VALUE!</v>
      </c>
    </row>
    <row r="2158" spans="42:44">
      <c r="AP2158" s="1756" t="e">
        <f>IF(OR(AR2158=S13,AR2158&gt;S13),AR2158,"")</f>
        <v>#VALUE!</v>
      </c>
      <c r="AQ2158" s="1759">
        <f t="shared" si="92"/>
        <v>2155</v>
      </c>
      <c r="AR2158" s="1756" t="e">
        <f>0.5*(S18+2*AQ2158)*LN(1+2*AQ2158/S18)</f>
        <v>#VALUE!</v>
      </c>
    </row>
    <row r="2159" spans="42:44">
      <c r="AP2159" s="1756" t="e">
        <f>IF(OR(AR2159=S13,AR2159&gt;S13),AR2159,"")</f>
        <v>#VALUE!</v>
      </c>
      <c r="AQ2159" s="1759">
        <f t="shared" si="92"/>
        <v>2156</v>
      </c>
      <c r="AR2159" s="1756" t="e">
        <f>0.5*(S18+2*AQ2159)*LN(1+2*AQ2159/S18)</f>
        <v>#VALUE!</v>
      </c>
    </row>
    <row r="2160" spans="42:44">
      <c r="AP2160" s="1756" t="e">
        <f>IF(OR(AR2160=S13,AR2160&gt;S13),AR2160,"")</f>
        <v>#VALUE!</v>
      </c>
      <c r="AQ2160" s="1759">
        <f t="shared" si="92"/>
        <v>2157</v>
      </c>
      <c r="AR2160" s="1756" t="e">
        <f>0.5*(S18+2*AQ2160)*LN(1+2*AQ2160/S18)</f>
        <v>#VALUE!</v>
      </c>
    </row>
    <row r="2161" spans="42:44">
      <c r="AP2161" s="1756" t="e">
        <f>IF(OR(AR2161=S13,AR2161&gt;S13),AR2161,"")</f>
        <v>#VALUE!</v>
      </c>
      <c r="AQ2161" s="1759">
        <f t="shared" si="92"/>
        <v>2158</v>
      </c>
      <c r="AR2161" s="1756" t="e">
        <f>0.5*(S18+2*AQ2161)*LN(1+2*AQ2161/S18)</f>
        <v>#VALUE!</v>
      </c>
    </row>
    <row r="2162" spans="42:44">
      <c r="AP2162" s="1756" t="e">
        <f>IF(OR(AR2162=S13,AR2162&gt;S13),AR2162,"")</f>
        <v>#VALUE!</v>
      </c>
      <c r="AQ2162" s="1759">
        <f t="shared" si="92"/>
        <v>2159</v>
      </c>
      <c r="AR2162" s="1756" t="e">
        <f>0.5*(S18+2*AQ2162)*LN(1+2*AQ2162/S18)</f>
        <v>#VALUE!</v>
      </c>
    </row>
    <row r="2163" spans="42:44">
      <c r="AP2163" s="1756" t="e">
        <f>IF(OR(AR2163=S13,AR2163&gt;S13),AR2163,"")</f>
        <v>#VALUE!</v>
      </c>
      <c r="AQ2163" s="1759">
        <f t="shared" si="92"/>
        <v>2160</v>
      </c>
      <c r="AR2163" s="1756" t="e">
        <f>0.5*(S18+2*AQ2163)*LN(1+2*AQ2163/S18)</f>
        <v>#VALUE!</v>
      </c>
    </row>
    <row r="2164" spans="42:44">
      <c r="AP2164" s="1756" t="e">
        <f>IF(OR(AR2164=S13,AR2164&gt;S13),AR2164,"")</f>
        <v>#VALUE!</v>
      </c>
      <c r="AQ2164" s="1759">
        <f t="shared" si="92"/>
        <v>2161</v>
      </c>
      <c r="AR2164" s="1756" t="e">
        <f>0.5*(S18+2*AQ2164)*LN(1+2*AQ2164/S18)</f>
        <v>#VALUE!</v>
      </c>
    </row>
    <row r="2165" spans="42:44">
      <c r="AP2165" s="1756" t="e">
        <f>IF(OR(AR2165=S13,AR2165&gt;S13),AR2165,"")</f>
        <v>#VALUE!</v>
      </c>
      <c r="AQ2165" s="1759">
        <f t="shared" si="92"/>
        <v>2162</v>
      </c>
      <c r="AR2165" s="1756" t="e">
        <f>0.5*(S18+2*AQ2165)*LN(1+2*AQ2165/S18)</f>
        <v>#VALUE!</v>
      </c>
    </row>
    <row r="2166" spans="42:44">
      <c r="AP2166" s="1756" t="e">
        <f>IF(OR(AR2166=S13,AR2166&gt;S13),AR2166,"")</f>
        <v>#VALUE!</v>
      </c>
      <c r="AQ2166" s="1759">
        <f t="shared" si="92"/>
        <v>2163</v>
      </c>
      <c r="AR2166" s="1756" t="e">
        <f>0.5*(S18+2*AQ2166)*LN(1+2*AQ2166/S18)</f>
        <v>#VALUE!</v>
      </c>
    </row>
    <row r="2167" spans="42:44">
      <c r="AP2167" s="1756" t="e">
        <f>IF(OR(AR2167=S13,AR2167&gt;S13),AR2167,"")</f>
        <v>#VALUE!</v>
      </c>
      <c r="AQ2167" s="1759">
        <f t="shared" si="92"/>
        <v>2164</v>
      </c>
      <c r="AR2167" s="1756" t="e">
        <f>0.5*(S18+2*AQ2167)*LN(1+2*AQ2167/S18)</f>
        <v>#VALUE!</v>
      </c>
    </row>
    <row r="2168" spans="42:44">
      <c r="AP2168" s="1756" t="e">
        <f>IF(OR(AR2168=S13,AR2168&gt;S13),AR2168,"")</f>
        <v>#VALUE!</v>
      </c>
      <c r="AQ2168" s="1759">
        <f t="shared" si="92"/>
        <v>2165</v>
      </c>
      <c r="AR2168" s="1756" t="e">
        <f>0.5*(S18+2*AQ2168)*LN(1+2*AQ2168/S18)</f>
        <v>#VALUE!</v>
      </c>
    </row>
    <row r="2169" spans="42:44">
      <c r="AP2169" s="1756" t="e">
        <f>IF(OR(AR2169=S13,AR2169&gt;S13),AR2169,"")</f>
        <v>#VALUE!</v>
      </c>
      <c r="AQ2169" s="1759">
        <f t="shared" si="92"/>
        <v>2166</v>
      </c>
      <c r="AR2169" s="1756" t="e">
        <f>0.5*(S18+2*AQ2169)*LN(1+2*AQ2169/S18)</f>
        <v>#VALUE!</v>
      </c>
    </row>
    <row r="2170" spans="42:44">
      <c r="AP2170" s="1756" t="e">
        <f>IF(OR(AR2170=S13,AR2170&gt;S13),AR2170,"")</f>
        <v>#VALUE!</v>
      </c>
      <c r="AQ2170" s="1759">
        <f t="shared" si="92"/>
        <v>2167</v>
      </c>
      <c r="AR2170" s="1756" t="e">
        <f>0.5*(S18+2*AQ2170)*LN(1+2*AQ2170/S18)</f>
        <v>#VALUE!</v>
      </c>
    </row>
    <row r="2171" spans="42:44">
      <c r="AP2171" s="1756" t="e">
        <f>IF(OR(AR2171=S13,AR2171&gt;S13),AR2171,"")</f>
        <v>#VALUE!</v>
      </c>
      <c r="AQ2171" s="1759">
        <f t="shared" si="92"/>
        <v>2168</v>
      </c>
      <c r="AR2171" s="1756" t="e">
        <f>0.5*(S18+2*AQ2171)*LN(1+2*AQ2171/S18)</f>
        <v>#VALUE!</v>
      </c>
    </row>
    <row r="2172" spans="42:44">
      <c r="AP2172" s="1756" t="e">
        <f>IF(OR(AR2172=S13,AR2172&gt;S13),AR2172,"")</f>
        <v>#VALUE!</v>
      </c>
      <c r="AQ2172" s="1759">
        <f t="shared" si="92"/>
        <v>2169</v>
      </c>
      <c r="AR2172" s="1756" t="e">
        <f>0.5*(S18+2*AQ2172)*LN(1+2*AQ2172/S18)</f>
        <v>#VALUE!</v>
      </c>
    </row>
    <row r="2173" spans="42:44">
      <c r="AP2173" s="1756" t="e">
        <f>IF(OR(AR2173=S13,AR2173&gt;S13),AR2173,"")</f>
        <v>#VALUE!</v>
      </c>
      <c r="AQ2173" s="1759">
        <f t="shared" si="92"/>
        <v>2170</v>
      </c>
      <c r="AR2173" s="1756" t="e">
        <f>0.5*(S18+2*AQ2173)*LN(1+2*AQ2173/S18)</f>
        <v>#VALUE!</v>
      </c>
    </row>
    <row r="2174" spans="42:44">
      <c r="AP2174" s="1756" t="e">
        <f>IF(OR(AR2174=S13,AR2174&gt;S13),AR2174,"")</f>
        <v>#VALUE!</v>
      </c>
      <c r="AQ2174" s="1759">
        <f t="shared" si="92"/>
        <v>2171</v>
      </c>
      <c r="AR2174" s="1756" t="e">
        <f>0.5*(S18+2*AQ2174)*LN(1+2*AQ2174/S18)</f>
        <v>#VALUE!</v>
      </c>
    </row>
    <row r="2175" spans="42:44">
      <c r="AP2175" s="1756" t="e">
        <f>IF(OR(AR2175=S13,AR2175&gt;S13),AR2175,"")</f>
        <v>#VALUE!</v>
      </c>
      <c r="AQ2175" s="1759">
        <f t="shared" si="92"/>
        <v>2172</v>
      </c>
      <c r="AR2175" s="1756" t="e">
        <f>0.5*(S18+2*AQ2175)*LN(1+2*AQ2175/S18)</f>
        <v>#VALUE!</v>
      </c>
    </row>
    <row r="2176" spans="42:44">
      <c r="AP2176" s="1756" t="e">
        <f>IF(OR(AR2176=S13,AR2176&gt;S13),AR2176,"")</f>
        <v>#VALUE!</v>
      </c>
      <c r="AQ2176" s="1759">
        <f t="shared" si="92"/>
        <v>2173</v>
      </c>
      <c r="AR2176" s="1756" t="e">
        <f>0.5*(S18+2*AQ2176)*LN(1+2*AQ2176/S18)</f>
        <v>#VALUE!</v>
      </c>
    </row>
    <row r="2177" spans="42:44">
      <c r="AP2177" s="1756" t="e">
        <f>IF(OR(AR2177=S13,AR2177&gt;S13),AR2177,"")</f>
        <v>#VALUE!</v>
      </c>
      <c r="AQ2177" s="1759">
        <f t="shared" si="92"/>
        <v>2174</v>
      </c>
      <c r="AR2177" s="1756" t="e">
        <f>0.5*(S18+2*AQ2177)*LN(1+2*AQ2177/S18)</f>
        <v>#VALUE!</v>
      </c>
    </row>
    <row r="2178" spans="42:44">
      <c r="AP2178" s="1756" t="e">
        <f>IF(OR(AR2178=S13,AR2178&gt;S13),AR2178,"")</f>
        <v>#VALUE!</v>
      </c>
      <c r="AQ2178" s="1759">
        <f t="shared" si="92"/>
        <v>2175</v>
      </c>
      <c r="AR2178" s="1756" t="e">
        <f>0.5*(S18+2*AQ2178)*LN(1+2*AQ2178/S18)</f>
        <v>#VALUE!</v>
      </c>
    </row>
    <row r="2179" spans="42:44">
      <c r="AP2179" s="1756" t="e">
        <f>IF(OR(AR2179=S13,AR2179&gt;S13),AR2179,"")</f>
        <v>#VALUE!</v>
      </c>
      <c r="AQ2179" s="1759">
        <f t="shared" si="92"/>
        <v>2176</v>
      </c>
      <c r="AR2179" s="1756" t="e">
        <f>0.5*(S18+2*AQ2179)*LN(1+2*AQ2179/S18)</f>
        <v>#VALUE!</v>
      </c>
    </row>
    <row r="2180" spans="42:44">
      <c r="AP2180" s="1756" t="e">
        <f>IF(OR(AR2180=S13,AR2180&gt;S13),AR2180,"")</f>
        <v>#VALUE!</v>
      </c>
      <c r="AQ2180" s="1759">
        <f t="shared" si="92"/>
        <v>2177</v>
      </c>
      <c r="AR2180" s="1756" t="e">
        <f>0.5*(S18+2*AQ2180)*LN(1+2*AQ2180/S18)</f>
        <v>#VALUE!</v>
      </c>
    </row>
    <row r="2181" spans="42:44">
      <c r="AP2181" s="1756" t="e">
        <f>IF(OR(AR2181=S13,AR2181&gt;S13),AR2181,"")</f>
        <v>#VALUE!</v>
      </c>
      <c r="AQ2181" s="1759">
        <f t="shared" si="92"/>
        <v>2178</v>
      </c>
      <c r="AR2181" s="1756" t="e">
        <f>0.5*(S18+2*AQ2181)*LN(1+2*AQ2181/S18)</f>
        <v>#VALUE!</v>
      </c>
    </row>
    <row r="2182" spans="42:44">
      <c r="AP2182" s="1756" t="e">
        <f>IF(OR(AR2182=S13,AR2182&gt;S13),AR2182,"")</f>
        <v>#VALUE!</v>
      </c>
      <c r="AQ2182" s="1759">
        <f t="shared" ref="AQ2182:AQ2245" si="93">AQ2181+1</f>
        <v>2179</v>
      </c>
      <c r="AR2182" s="1756" t="e">
        <f>0.5*(S18+2*AQ2182)*LN(1+2*AQ2182/S18)</f>
        <v>#VALUE!</v>
      </c>
    </row>
    <row r="2183" spans="42:44">
      <c r="AP2183" s="1756" t="e">
        <f>IF(OR(AR2183=S13,AR2183&gt;S13),AR2183,"")</f>
        <v>#VALUE!</v>
      </c>
      <c r="AQ2183" s="1759">
        <f t="shared" si="93"/>
        <v>2180</v>
      </c>
      <c r="AR2183" s="1756" t="e">
        <f>0.5*(S18+2*AQ2183)*LN(1+2*AQ2183/S18)</f>
        <v>#VALUE!</v>
      </c>
    </row>
    <row r="2184" spans="42:44">
      <c r="AP2184" s="1756" t="e">
        <f>IF(OR(AR2184=S13,AR2184&gt;S13),AR2184,"")</f>
        <v>#VALUE!</v>
      </c>
      <c r="AQ2184" s="1759">
        <f t="shared" si="93"/>
        <v>2181</v>
      </c>
      <c r="AR2184" s="1756" t="e">
        <f>0.5*(S18+2*AQ2184)*LN(1+2*AQ2184/S18)</f>
        <v>#VALUE!</v>
      </c>
    </row>
    <row r="2185" spans="42:44">
      <c r="AP2185" s="1756" t="e">
        <f>IF(OR(AR2185=S13,AR2185&gt;S13),AR2185,"")</f>
        <v>#VALUE!</v>
      </c>
      <c r="AQ2185" s="1759">
        <f t="shared" si="93"/>
        <v>2182</v>
      </c>
      <c r="AR2185" s="1756" t="e">
        <f>0.5*(S18+2*AQ2185)*LN(1+2*AQ2185/S18)</f>
        <v>#VALUE!</v>
      </c>
    </row>
    <row r="2186" spans="42:44">
      <c r="AP2186" s="1756" t="e">
        <f>IF(OR(AR2186=S13,AR2186&gt;S13),AR2186,"")</f>
        <v>#VALUE!</v>
      </c>
      <c r="AQ2186" s="1759">
        <f t="shared" si="93"/>
        <v>2183</v>
      </c>
      <c r="AR2186" s="1756" t="e">
        <f>0.5*(S18+2*AQ2186)*LN(1+2*AQ2186/S18)</f>
        <v>#VALUE!</v>
      </c>
    </row>
    <row r="2187" spans="42:44">
      <c r="AP2187" s="1756" t="e">
        <f>IF(OR(AR2187=S13,AR2187&gt;S13),AR2187,"")</f>
        <v>#VALUE!</v>
      </c>
      <c r="AQ2187" s="1759">
        <f t="shared" si="93"/>
        <v>2184</v>
      </c>
      <c r="AR2187" s="1756" t="e">
        <f>0.5*(S18+2*AQ2187)*LN(1+2*AQ2187/S18)</f>
        <v>#VALUE!</v>
      </c>
    </row>
    <row r="2188" spans="42:44">
      <c r="AP2188" s="1756" t="e">
        <f>IF(OR(AR2188=S13,AR2188&gt;S13),AR2188,"")</f>
        <v>#VALUE!</v>
      </c>
      <c r="AQ2188" s="1759">
        <f t="shared" si="93"/>
        <v>2185</v>
      </c>
      <c r="AR2188" s="1756" t="e">
        <f>0.5*(S18+2*AQ2188)*LN(1+2*AQ2188/S18)</f>
        <v>#VALUE!</v>
      </c>
    </row>
    <row r="2189" spans="42:44">
      <c r="AP2189" s="1756" t="e">
        <f>IF(OR(AR2189=S13,AR2189&gt;S13),AR2189,"")</f>
        <v>#VALUE!</v>
      </c>
      <c r="AQ2189" s="1759">
        <f t="shared" si="93"/>
        <v>2186</v>
      </c>
      <c r="AR2189" s="1756" t="e">
        <f>0.5*(S18+2*AQ2189)*LN(1+2*AQ2189/S18)</f>
        <v>#VALUE!</v>
      </c>
    </row>
    <row r="2190" spans="42:44">
      <c r="AP2190" s="1756" t="e">
        <f>IF(OR(AR2190=S13,AR2190&gt;S13),AR2190,"")</f>
        <v>#VALUE!</v>
      </c>
      <c r="AQ2190" s="1759">
        <f t="shared" si="93"/>
        <v>2187</v>
      </c>
      <c r="AR2190" s="1756" t="e">
        <f>0.5*(S18+2*AQ2190)*LN(1+2*AQ2190/S18)</f>
        <v>#VALUE!</v>
      </c>
    </row>
    <row r="2191" spans="42:44">
      <c r="AP2191" s="1756" t="e">
        <f>IF(OR(AR2191=S13,AR2191&gt;S13),AR2191,"")</f>
        <v>#VALUE!</v>
      </c>
      <c r="AQ2191" s="1759">
        <f t="shared" si="93"/>
        <v>2188</v>
      </c>
      <c r="AR2191" s="1756" t="e">
        <f>0.5*(S18+2*AQ2191)*LN(1+2*AQ2191/S18)</f>
        <v>#VALUE!</v>
      </c>
    </row>
    <row r="2192" spans="42:44">
      <c r="AP2192" s="1756" t="e">
        <f>IF(OR(AR2192=S13,AR2192&gt;S13),AR2192,"")</f>
        <v>#VALUE!</v>
      </c>
      <c r="AQ2192" s="1759">
        <f t="shared" si="93"/>
        <v>2189</v>
      </c>
      <c r="AR2192" s="1756" t="e">
        <f>0.5*(S18+2*AQ2192)*LN(1+2*AQ2192/S18)</f>
        <v>#VALUE!</v>
      </c>
    </row>
    <row r="2193" spans="42:44">
      <c r="AP2193" s="1756" t="e">
        <f>IF(OR(AR2193=S13,AR2193&gt;S13),AR2193,"")</f>
        <v>#VALUE!</v>
      </c>
      <c r="AQ2193" s="1759">
        <f t="shared" si="93"/>
        <v>2190</v>
      </c>
      <c r="AR2193" s="1756" t="e">
        <f>0.5*(S18+2*AQ2193)*LN(1+2*AQ2193/S18)</f>
        <v>#VALUE!</v>
      </c>
    </row>
    <row r="2194" spans="42:44">
      <c r="AP2194" s="1756" t="e">
        <f>IF(OR(AR2194=S13,AR2194&gt;S13),AR2194,"")</f>
        <v>#VALUE!</v>
      </c>
      <c r="AQ2194" s="1759">
        <f t="shared" si="93"/>
        <v>2191</v>
      </c>
      <c r="AR2194" s="1756" t="e">
        <f>0.5*(S18+2*AQ2194)*LN(1+2*AQ2194/S18)</f>
        <v>#VALUE!</v>
      </c>
    </row>
    <row r="2195" spans="42:44">
      <c r="AP2195" s="1756" t="e">
        <f>IF(OR(AR2195=S13,AR2195&gt;S13),AR2195,"")</f>
        <v>#VALUE!</v>
      </c>
      <c r="AQ2195" s="1759">
        <f t="shared" si="93"/>
        <v>2192</v>
      </c>
      <c r="AR2195" s="1756" t="e">
        <f>0.5*(S18+2*AQ2195)*LN(1+2*AQ2195/S18)</f>
        <v>#VALUE!</v>
      </c>
    </row>
    <row r="2196" spans="42:44">
      <c r="AP2196" s="1756" t="e">
        <f>IF(OR(AR2196=S13,AR2196&gt;S13),AR2196,"")</f>
        <v>#VALUE!</v>
      </c>
      <c r="AQ2196" s="1759">
        <f t="shared" si="93"/>
        <v>2193</v>
      </c>
      <c r="AR2196" s="1756" t="e">
        <f>0.5*(S18+2*AQ2196)*LN(1+2*AQ2196/S18)</f>
        <v>#VALUE!</v>
      </c>
    </row>
    <row r="2197" spans="42:44">
      <c r="AP2197" s="1756" t="e">
        <f>IF(OR(AR2197=S13,AR2197&gt;S13),AR2197,"")</f>
        <v>#VALUE!</v>
      </c>
      <c r="AQ2197" s="1759">
        <f t="shared" si="93"/>
        <v>2194</v>
      </c>
      <c r="AR2197" s="1756" t="e">
        <f>0.5*(S18+2*AQ2197)*LN(1+2*AQ2197/S18)</f>
        <v>#VALUE!</v>
      </c>
    </row>
    <row r="2198" spans="42:44">
      <c r="AP2198" s="1756" t="e">
        <f>IF(OR(AR2198=S13,AR2198&gt;S13),AR2198,"")</f>
        <v>#VALUE!</v>
      </c>
      <c r="AQ2198" s="1759">
        <f t="shared" si="93"/>
        <v>2195</v>
      </c>
      <c r="AR2198" s="1756" t="e">
        <f>0.5*(S18+2*AQ2198)*LN(1+2*AQ2198/S18)</f>
        <v>#VALUE!</v>
      </c>
    </row>
    <row r="2199" spans="42:44">
      <c r="AP2199" s="1756" t="e">
        <f>IF(OR(AR2199=S13,AR2199&gt;S13),AR2199,"")</f>
        <v>#VALUE!</v>
      </c>
      <c r="AQ2199" s="1759">
        <f t="shared" si="93"/>
        <v>2196</v>
      </c>
      <c r="AR2199" s="1756" t="e">
        <f>0.5*(S18+2*AQ2199)*LN(1+2*AQ2199/S18)</f>
        <v>#VALUE!</v>
      </c>
    </row>
    <row r="2200" spans="42:44">
      <c r="AP2200" s="1756" t="e">
        <f>IF(OR(AR2200=S13,AR2200&gt;S13),AR2200,"")</f>
        <v>#VALUE!</v>
      </c>
      <c r="AQ2200" s="1759">
        <f t="shared" si="93"/>
        <v>2197</v>
      </c>
      <c r="AR2200" s="1756" t="e">
        <f>0.5*(S18+2*AQ2200)*LN(1+2*AQ2200/S18)</f>
        <v>#VALUE!</v>
      </c>
    </row>
    <row r="2201" spans="42:44">
      <c r="AP2201" s="1756" t="e">
        <f>IF(OR(AR2201=S13,AR2201&gt;S13),AR2201,"")</f>
        <v>#VALUE!</v>
      </c>
      <c r="AQ2201" s="1759">
        <f t="shared" si="93"/>
        <v>2198</v>
      </c>
      <c r="AR2201" s="1756" t="e">
        <f>0.5*(S18+2*AQ2201)*LN(1+2*AQ2201/S18)</f>
        <v>#VALUE!</v>
      </c>
    </row>
    <row r="2202" spans="42:44">
      <c r="AP2202" s="1756" t="e">
        <f>IF(OR(AR2202=S13,AR2202&gt;S13),AR2202,"")</f>
        <v>#VALUE!</v>
      </c>
      <c r="AQ2202" s="1759">
        <f t="shared" si="93"/>
        <v>2199</v>
      </c>
      <c r="AR2202" s="1756" t="e">
        <f>0.5*(S18+2*AQ2202)*LN(1+2*AQ2202/S18)</f>
        <v>#VALUE!</v>
      </c>
    </row>
    <row r="2203" spans="42:44">
      <c r="AP2203" s="1756" t="e">
        <f>IF(OR(AR2203=S13,AR2203&gt;S13),AR2203,"")</f>
        <v>#VALUE!</v>
      </c>
      <c r="AQ2203" s="1759">
        <f t="shared" si="93"/>
        <v>2200</v>
      </c>
      <c r="AR2203" s="1756" t="e">
        <f>0.5*(S18+2*AQ2203)*LN(1+2*AQ2203/S18)</f>
        <v>#VALUE!</v>
      </c>
    </row>
    <row r="2204" spans="42:44">
      <c r="AP2204" s="1756" t="e">
        <f>IF(OR(AR2204=S13,AR2204&gt;S13),AR2204,"")</f>
        <v>#VALUE!</v>
      </c>
      <c r="AQ2204" s="1759">
        <f t="shared" si="93"/>
        <v>2201</v>
      </c>
      <c r="AR2204" s="1756" t="e">
        <f>0.5*(S18+2*AQ2204)*LN(1+2*AQ2204/S18)</f>
        <v>#VALUE!</v>
      </c>
    </row>
    <row r="2205" spans="42:44">
      <c r="AP2205" s="1756" t="e">
        <f>IF(OR(AR2205=S13,AR2205&gt;S13),AR2205,"")</f>
        <v>#VALUE!</v>
      </c>
      <c r="AQ2205" s="1759">
        <f t="shared" si="93"/>
        <v>2202</v>
      </c>
      <c r="AR2205" s="1756" t="e">
        <f>0.5*(S18+2*AQ2205)*LN(1+2*AQ2205/S18)</f>
        <v>#VALUE!</v>
      </c>
    </row>
    <row r="2206" spans="42:44">
      <c r="AP2206" s="1756" t="e">
        <f>IF(OR(AR2206=S13,AR2206&gt;S13),AR2206,"")</f>
        <v>#VALUE!</v>
      </c>
      <c r="AQ2206" s="1759">
        <f t="shared" si="93"/>
        <v>2203</v>
      </c>
      <c r="AR2206" s="1756" t="e">
        <f>0.5*(S18+2*AQ2206)*LN(1+2*AQ2206/S18)</f>
        <v>#VALUE!</v>
      </c>
    </row>
    <row r="2207" spans="42:44">
      <c r="AP2207" s="1756" t="e">
        <f>IF(OR(AR2207=S13,AR2207&gt;S13),AR2207,"")</f>
        <v>#VALUE!</v>
      </c>
      <c r="AQ2207" s="1759">
        <f t="shared" si="93"/>
        <v>2204</v>
      </c>
      <c r="AR2207" s="1756" t="e">
        <f>0.5*(S18+2*AQ2207)*LN(1+2*AQ2207/S18)</f>
        <v>#VALUE!</v>
      </c>
    </row>
    <row r="2208" spans="42:44">
      <c r="AP2208" s="1756" t="e">
        <f>IF(OR(AR2208=S13,AR2208&gt;S13),AR2208,"")</f>
        <v>#VALUE!</v>
      </c>
      <c r="AQ2208" s="1759">
        <f t="shared" si="93"/>
        <v>2205</v>
      </c>
      <c r="AR2208" s="1756" t="e">
        <f>0.5*(S18+2*AQ2208)*LN(1+2*AQ2208/S18)</f>
        <v>#VALUE!</v>
      </c>
    </row>
    <row r="2209" spans="42:44">
      <c r="AP2209" s="1756" t="e">
        <f>IF(OR(AR2209=S13,AR2209&gt;S13),AR2209,"")</f>
        <v>#VALUE!</v>
      </c>
      <c r="AQ2209" s="1759">
        <f t="shared" si="93"/>
        <v>2206</v>
      </c>
      <c r="AR2209" s="1756" t="e">
        <f>0.5*(S18+2*AQ2209)*LN(1+2*AQ2209/S18)</f>
        <v>#VALUE!</v>
      </c>
    </row>
    <row r="2210" spans="42:44">
      <c r="AP2210" s="1756" t="e">
        <f>IF(OR(AR2210=S13,AR2210&gt;S13),AR2210,"")</f>
        <v>#VALUE!</v>
      </c>
      <c r="AQ2210" s="1759">
        <f t="shared" si="93"/>
        <v>2207</v>
      </c>
      <c r="AR2210" s="1756" t="e">
        <f>0.5*(S18+2*AQ2210)*LN(1+2*AQ2210/S18)</f>
        <v>#VALUE!</v>
      </c>
    </row>
    <row r="2211" spans="42:44">
      <c r="AP2211" s="1756" t="e">
        <f>IF(OR(AR2211=S13,AR2211&gt;S13),AR2211,"")</f>
        <v>#VALUE!</v>
      </c>
      <c r="AQ2211" s="1759">
        <f t="shared" si="93"/>
        <v>2208</v>
      </c>
      <c r="AR2211" s="1756" t="e">
        <f>0.5*(S18+2*AQ2211)*LN(1+2*AQ2211/S18)</f>
        <v>#VALUE!</v>
      </c>
    </row>
    <row r="2212" spans="42:44">
      <c r="AP2212" s="1756" t="e">
        <f>IF(OR(AR2212=S13,AR2212&gt;S13),AR2212,"")</f>
        <v>#VALUE!</v>
      </c>
      <c r="AQ2212" s="1759">
        <f t="shared" si="93"/>
        <v>2209</v>
      </c>
      <c r="AR2212" s="1756" t="e">
        <f>0.5*(S18+2*AQ2212)*LN(1+2*AQ2212/S18)</f>
        <v>#VALUE!</v>
      </c>
    </row>
    <row r="2213" spans="42:44">
      <c r="AP2213" s="1756" t="e">
        <f>IF(OR(AR2213=S13,AR2213&gt;S13),AR2213,"")</f>
        <v>#VALUE!</v>
      </c>
      <c r="AQ2213" s="1759">
        <f t="shared" si="93"/>
        <v>2210</v>
      </c>
      <c r="AR2213" s="1756" t="e">
        <f>0.5*(S18+2*AQ2213)*LN(1+2*AQ2213/S18)</f>
        <v>#VALUE!</v>
      </c>
    </row>
    <row r="2214" spans="42:44">
      <c r="AP2214" s="1756" t="e">
        <f>IF(OR(AR2214=S13,AR2214&gt;S13),AR2214,"")</f>
        <v>#VALUE!</v>
      </c>
      <c r="AQ2214" s="1759">
        <f t="shared" si="93"/>
        <v>2211</v>
      </c>
      <c r="AR2214" s="1756" t="e">
        <f>0.5*(S18+2*AQ2214)*LN(1+2*AQ2214/S18)</f>
        <v>#VALUE!</v>
      </c>
    </row>
    <row r="2215" spans="42:44">
      <c r="AP2215" s="1756" t="e">
        <f>IF(OR(AR2215=S13,AR2215&gt;S13),AR2215,"")</f>
        <v>#VALUE!</v>
      </c>
      <c r="AQ2215" s="1759">
        <f t="shared" si="93"/>
        <v>2212</v>
      </c>
      <c r="AR2215" s="1756" t="e">
        <f>0.5*(S18+2*AQ2215)*LN(1+2*AQ2215/S18)</f>
        <v>#VALUE!</v>
      </c>
    </row>
    <row r="2216" spans="42:44">
      <c r="AP2216" s="1756" t="e">
        <f>IF(OR(AR2216=S13,AR2216&gt;S13),AR2216,"")</f>
        <v>#VALUE!</v>
      </c>
      <c r="AQ2216" s="1759">
        <f t="shared" si="93"/>
        <v>2213</v>
      </c>
      <c r="AR2216" s="1756" t="e">
        <f>0.5*(S18+2*AQ2216)*LN(1+2*AQ2216/S18)</f>
        <v>#VALUE!</v>
      </c>
    </row>
    <row r="2217" spans="42:44">
      <c r="AP2217" s="1756" t="e">
        <f>IF(OR(AR2217=S13,AR2217&gt;S13),AR2217,"")</f>
        <v>#VALUE!</v>
      </c>
      <c r="AQ2217" s="1759">
        <f t="shared" si="93"/>
        <v>2214</v>
      </c>
      <c r="AR2217" s="1756" t="e">
        <f>0.5*(S18+2*AQ2217)*LN(1+2*AQ2217/S18)</f>
        <v>#VALUE!</v>
      </c>
    </row>
    <row r="2218" spans="42:44">
      <c r="AP2218" s="1756" t="e">
        <f>IF(OR(AR2218=S13,AR2218&gt;S13),AR2218,"")</f>
        <v>#VALUE!</v>
      </c>
      <c r="AQ2218" s="1759">
        <f t="shared" si="93"/>
        <v>2215</v>
      </c>
      <c r="AR2218" s="1756" t="e">
        <f>0.5*(S18+2*AQ2218)*LN(1+2*AQ2218/S18)</f>
        <v>#VALUE!</v>
      </c>
    </row>
    <row r="2219" spans="42:44">
      <c r="AP2219" s="1756" t="e">
        <f>IF(OR(AR2219=S13,AR2219&gt;S13),AR2219,"")</f>
        <v>#VALUE!</v>
      </c>
      <c r="AQ2219" s="1759">
        <f t="shared" si="93"/>
        <v>2216</v>
      </c>
      <c r="AR2219" s="1756" t="e">
        <f>0.5*(S18+2*AQ2219)*LN(1+2*AQ2219/S18)</f>
        <v>#VALUE!</v>
      </c>
    </row>
    <row r="2220" spans="42:44">
      <c r="AP2220" s="1756" t="e">
        <f>IF(OR(AR2220=S13,AR2220&gt;S13),AR2220,"")</f>
        <v>#VALUE!</v>
      </c>
      <c r="AQ2220" s="1759">
        <f t="shared" si="93"/>
        <v>2217</v>
      </c>
      <c r="AR2220" s="1756" t="e">
        <f>0.5*(S18+2*AQ2220)*LN(1+2*AQ2220/S18)</f>
        <v>#VALUE!</v>
      </c>
    </row>
    <row r="2221" spans="42:44">
      <c r="AP2221" s="1756" t="e">
        <f>IF(OR(AR2221=S13,AR2221&gt;S13),AR2221,"")</f>
        <v>#VALUE!</v>
      </c>
      <c r="AQ2221" s="1759">
        <f t="shared" si="93"/>
        <v>2218</v>
      </c>
      <c r="AR2221" s="1756" t="e">
        <f>0.5*(S18+2*AQ2221)*LN(1+2*AQ2221/S18)</f>
        <v>#VALUE!</v>
      </c>
    </row>
    <row r="2222" spans="42:44">
      <c r="AP2222" s="1756" t="e">
        <f>IF(OR(AR2222=S13,AR2222&gt;S13),AR2222,"")</f>
        <v>#VALUE!</v>
      </c>
      <c r="AQ2222" s="1759">
        <f t="shared" si="93"/>
        <v>2219</v>
      </c>
      <c r="AR2222" s="1756" t="e">
        <f>0.5*(S18+2*AQ2222)*LN(1+2*AQ2222/S18)</f>
        <v>#VALUE!</v>
      </c>
    </row>
    <row r="2223" spans="42:44">
      <c r="AP2223" s="1756" t="e">
        <f>IF(OR(AR2223=S13,AR2223&gt;S13),AR2223,"")</f>
        <v>#VALUE!</v>
      </c>
      <c r="AQ2223" s="1759">
        <f t="shared" si="93"/>
        <v>2220</v>
      </c>
      <c r="AR2223" s="1756" t="e">
        <f>0.5*(S18+2*AQ2223)*LN(1+2*AQ2223/S18)</f>
        <v>#VALUE!</v>
      </c>
    </row>
    <row r="2224" spans="42:44">
      <c r="AP2224" s="1756" t="e">
        <f>IF(OR(AR2224=S13,AR2224&gt;S13),AR2224,"")</f>
        <v>#VALUE!</v>
      </c>
      <c r="AQ2224" s="1759">
        <f t="shared" si="93"/>
        <v>2221</v>
      </c>
      <c r="AR2224" s="1756" t="e">
        <f>0.5*(S18+2*AQ2224)*LN(1+2*AQ2224/S18)</f>
        <v>#VALUE!</v>
      </c>
    </row>
    <row r="2225" spans="42:44">
      <c r="AP2225" s="1756" t="e">
        <f>IF(OR(AR2225=S13,AR2225&gt;S13),AR2225,"")</f>
        <v>#VALUE!</v>
      </c>
      <c r="AQ2225" s="1759">
        <f t="shared" si="93"/>
        <v>2222</v>
      </c>
      <c r="AR2225" s="1756" t="e">
        <f>0.5*(S18+2*AQ2225)*LN(1+2*AQ2225/S18)</f>
        <v>#VALUE!</v>
      </c>
    </row>
    <row r="2226" spans="42:44">
      <c r="AP2226" s="1756" t="e">
        <f>IF(OR(AR2226=S13,AR2226&gt;S13),AR2226,"")</f>
        <v>#VALUE!</v>
      </c>
      <c r="AQ2226" s="1759">
        <f t="shared" si="93"/>
        <v>2223</v>
      </c>
      <c r="AR2226" s="1756" t="e">
        <f>0.5*(S18+2*AQ2226)*LN(1+2*AQ2226/S18)</f>
        <v>#VALUE!</v>
      </c>
    </row>
    <row r="2227" spans="42:44">
      <c r="AP2227" s="1756" t="e">
        <f>IF(OR(AR2227=S13,AR2227&gt;S13),AR2227,"")</f>
        <v>#VALUE!</v>
      </c>
      <c r="AQ2227" s="1759">
        <f t="shared" si="93"/>
        <v>2224</v>
      </c>
      <c r="AR2227" s="1756" t="e">
        <f>0.5*(S18+2*AQ2227)*LN(1+2*AQ2227/S18)</f>
        <v>#VALUE!</v>
      </c>
    </row>
    <row r="2228" spans="42:44">
      <c r="AP2228" s="1756" t="e">
        <f>IF(OR(AR2228=S13,AR2228&gt;S13),AR2228,"")</f>
        <v>#VALUE!</v>
      </c>
      <c r="AQ2228" s="1759">
        <f t="shared" si="93"/>
        <v>2225</v>
      </c>
      <c r="AR2228" s="1756" t="e">
        <f>0.5*(S18+2*AQ2228)*LN(1+2*AQ2228/S18)</f>
        <v>#VALUE!</v>
      </c>
    </row>
    <row r="2229" spans="42:44">
      <c r="AP2229" s="1756" t="e">
        <f>IF(OR(AR2229=S13,AR2229&gt;S13),AR2229,"")</f>
        <v>#VALUE!</v>
      </c>
      <c r="AQ2229" s="1759">
        <f t="shared" si="93"/>
        <v>2226</v>
      </c>
      <c r="AR2229" s="1756" t="e">
        <f>0.5*(S18+2*AQ2229)*LN(1+2*AQ2229/S18)</f>
        <v>#VALUE!</v>
      </c>
    </row>
    <row r="2230" spans="42:44">
      <c r="AP2230" s="1756" t="e">
        <f>IF(OR(AR2230=S13,AR2230&gt;S13),AR2230,"")</f>
        <v>#VALUE!</v>
      </c>
      <c r="AQ2230" s="1759">
        <f t="shared" si="93"/>
        <v>2227</v>
      </c>
      <c r="AR2230" s="1756" t="e">
        <f>0.5*(S18+2*AQ2230)*LN(1+2*AQ2230/S18)</f>
        <v>#VALUE!</v>
      </c>
    </row>
    <row r="2231" spans="42:44">
      <c r="AP2231" s="1756" t="e">
        <f>IF(OR(AR2231=S13,AR2231&gt;S13),AR2231,"")</f>
        <v>#VALUE!</v>
      </c>
      <c r="AQ2231" s="1759">
        <f t="shared" si="93"/>
        <v>2228</v>
      </c>
      <c r="AR2231" s="1756" t="e">
        <f>0.5*(S18+2*AQ2231)*LN(1+2*AQ2231/S18)</f>
        <v>#VALUE!</v>
      </c>
    </row>
    <row r="2232" spans="42:44">
      <c r="AP2232" s="1756" t="e">
        <f>IF(OR(AR2232=S13,AR2232&gt;S13),AR2232,"")</f>
        <v>#VALUE!</v>
      </c>
      <c r="AQ2232" s="1759">
        <f t="shared" si="93"/>
        <v>2229</v>
      </c>
      <c r="AR2232" s="1756" t="e">
        <f>0.5*(S18+2*AQ2232)*LN(1+2*AQ2232/S18)</f>
        <v>#VALUE!</v>
      </c>
    </row>
    <row r="2233" spans="42:44">
      <c r="AP2233" s="1756" t="e">
        <f>IF(OR(AR2233=S13,AR2233&gt;S13),AR2233,"")</f>
        <v>#VALUE!</v>
      </c>
      <c r="AQ2233" s="1759">
        <f t="shared" si="93"/>
        <v>2230</v>
      </c>
      <c r="AR2233" s="1756" t="e">
        <f>0.5*(S18+2*AQ2233)*LN(1+2*AQ2233/S18)</f>
        <v>#VALUE!</v>
      </c>
    </row>
    <row r="2234" spans="42:44">
      <c r="AP2234" s="1756" t="e">
        <f>IF(OR(AR2234=S13,AR2234&gt;S13),AR2234,"")</f>
        <v>#VALUE!</v>
      </c>
      <c r="AQ2234" s="1759">
        <f t="shared" si="93"/>
        <v>2231</v>
      </c>
      <c r="AR2234" s="1756" t="e">
        <f>0.5*(S18+2*AQ2234)*LN(1+2*AQ2234/S18)</f>
        <v>#VALUE!</v>
      </c>
    </row>
    <row r="2235" spans="42:44">
      <c r="AP2235" s="1756" t="e">
        <f>IF(OR(AR2235=S13,AR2235&gt;S13),AR2235,"")</f>
        <v>#VALUE!</v>
      </c>
      <c r="AQ2235" s="1759">
        <f t="shared" si="93"/>
        <v>2232</v>
      </c>
      <c r="AR2235" s="1756" t="e">
        <f>0.5*(S18+2*AQ2235)*LN(1+2*AQ2235/S18)</f>
        <v>#VALUE!</v>
      </c>
    </row>
    <row r="2236" spans="42:44">
      <c r="AP2236" s="1756" t="e">
        <f>IF(OR(AR2236=S13,AR2236&gt;S13),AR2236,"")</f>
        <v>#VALUE!</v>
      </c>
      <c r="AQ2236" s="1759">
        <f t="shared" si="93"/>
        <v>2233</v>
      </c>
      <c r="AR2236" s="1756" t="e">
        <f>0.5*(S18+2*AQ2236)*LN(1+2*AQ2236/S18)</f>
        <v>#VALUE!</v>
      </c>
    </row>
    <row r="2237" spans="42:44">
      <c r="AP2237" s="1756" t="e">
        <f>IF(OR(AR2237=S13,AR2237&gt;S13),AR2237,"")</f>
        <v>#VALUE!</v>
      </c>
      <c r="AQ2237" s="1759">
        <f t="shared" si="93"/>
        <v>2234</v>
      </c>
      <c r="AR2237" s="1756" t="e">
        <f>0.5*(S18+2*AQ2237)*LN(1+2*AQ2237/S18)</f>
        <v>#VALUE!</v>
      </c>
    </row>
    <row r="2238" spans="42:44">
      <c r="AP2238" s="1756" t="e">
        <f>IF(OR(AR2238=S13,AR2238&gt;S13),AR2238,"")</f>
        <v>#VALUE!</v>
      </c>
      <c r="AQ2238" s="1759">
        <f t="shared" si="93"/>
        <v>2235</v>
      </c>
      <c r="AR2238" s="1756" t="e">
        <f>0.5*(S18+2*AQ2238)*LN(1+2*AQ2238/S18)</f>
        <v>#VALUE!</v>
      </c>
    </row>
    <row r="2239" spans="42:44">
      <c r="AP2239" s="1756" t="e">
        <f>IF(OR(AR2239=S13,AR2239&gt;S13),AR2239,"")</f>
        <v>#VALUE!</v>
      </c>
      <c r="AQ2239" s="1759">
        <f t="shared" si="93"/>
        <v>2236</v>
      </c>
      <c r="AR2239" s="1756" t="e">
        <f>0.5*(S18+2*AQ2239)*LN(1+2*AQ2239/S18)</f>
        <v>#VALUE!</v>
      </c>
    </row>
    <row r="2240" spans="42:44">
      <c r="AP2240" s="1756" t="e">
        <f>IF(OR(AR2240=S13,AR2240&gt;S13),AR2240,"")</f>
        <v>#VALUE!</v>
      </c>
      <c r="AQ2240" s="1759">
        <f t="shared" si="93"/>
        <v>2237</v>
      </c>
      <c r="AR2240" s="1756" t="e">
        <f>0.5*(S18+2*AQ2240)*LN(1+2*AQ2240/S18)</f>
        <v>#VALUE!</v>
      </c>
    </row>
    <row r="2241" spans="42:44">
      <c r="AP2241" s="1756" t="e">
        <f>IF(OR(AR2241=S13,AR2241&gt;S13),AR2241,"")</f>
        <v>#VALUE!</v>
      </c>
      <c r="AQ2241" s="1759">
        <f t="shared" si="93"/>
        <v>2238</v>
      </c>
      <c r="AR2241" s="1756" t="e">
        <f>0.5*(S18+2*AQ2241)*LN(1+2*AQ2241/S18)</f>
        <v>#VALUE!</v>
      </c>
    </row>
    <row r="2242" spans="42:44">
      <c r="AP2242" s="1756" t="e">
        <f>IF(OR(AR2242=S13,AR2242&gt;S13),AR2242,"")</f>
        <v>#VALUE!</v>
      </c>
      <c r="AQ2242" s="1759">
        <f t="shared" si="93"/>
        <v>2239</v>
      </c>
      <c r="AR2242" s="1756" t="e">
        <f>0.5*(S18+2*AQ2242)*LN(1+2*AQ2242/S18)</f>
        <v>#VALUE!</v>
      </c>
    </row>
    <row r="2243" spans="42:44">
      <c r="AP2243" s="1756" t="e">
        <f>IF(OR(AR2243=S13,AR2243&gt;S13),AR2243,"")</f>
        <v>#VALUE!</v>
      </c>
      <c r="AQ2243" s="1759">
        <f t="shared" si="93"/>
        <v>2240</v>
      </c>
      <c r="AR2243" s="1756" t="e">
        <f>0.5*(S18+2*AQ2243)*LN(1+2*AQ2243/S18)</f>
        <v>#VALUE!</v>
      </c>
    </row>
    <row r="2244" spans="42:44">
      <c r="AP2244" s="1756" t="e">
        <f>IF(OR(AR2244=S13,AR2244&gt;S13),AR2244,"")</f>
        <v>#VALUE!</v>
      </c>
      <c r="AQ2244" s="1759">
        <f t="shared" si="93"/>
        <v>2241</v>
      </c>
      <c r="AR2244" s="1756" t="e">
        <f>0.5*(S18+2*AQ2244)*LN(1+2*AQ2244/S18)</f>
        <v>#VALUE!</v>
      </c>
    </row>
    <row r="2245" spans="42:44">
      <c r="AP2245" s="1756" t="e">
        <f>IF(OR(AR2245=S13,AR2245&gt;S13),AR2245,"")</f>
        <v>#VALUE!</v>
      </c>
      <c r="AQ2245" s="1759">
        <f t="shared" si="93"/>
        <v>2242</v>
      </c>
      <c r="AR2245" s="1756" t="e">
        <f>0.5*(S18+2*AQ2245)*LN(1+2*AQ2245/S18)</f>
        <v>#VALUE!</v>
      </c>
    </row>
    <row r="2246" spans="42:44">
      <c r="AP2246" s="1756" t="e">
        <f>IF(OR(AR2246=S13,AR2246&gt;S13),AR2246,"")</f>
        <v>#VALUE!</v>
      </c>
      <c r="AQ2246" s="1759">
        <f t="shared" ref="AQ2246:AQ2309" si="94">AQ2245+1</f>
        <v>2243</v>
      </c>
      <c r="AR2246" s="1756" t="e">
        <f>0.5*(S18+2*AQ2246)*LN(1+2*AQ2246/S18)</f>
        <v>#VALUE!</v>
      </c>
    </row>
    <row r="2247" spans="42:44">
      <c r="AP2247" s="1756" t="e">
        <f>IF(OR(AR2247=S13,AR2247&gt;S13),AR2247,"")</f>
        <v>#VALUE!</v>
      </c>
      <c r="AQ2247" s="1759">
        <f t="shared" si="94"/>
        <v>2244</v>
      </c>
      <c r="AR2247" s="1756" t="e">
        <f>0.5*(S18+2*AQ2247)*LN(1+2*AQ2247/S18)</f>
        <v>#VALUE!</v>
      </c>
    </row>
    <row r="2248" spans="42:44">
      <c r="AP2248" s="1756" t="e">
        <f>IF(OR(AR2248=S13,AR2248&gt;S13),AR2248,"")</f>
        <v>#VALUE!</v>
      </c>
      <c r="AQ2248" s="1759">
        <f t="shared" si="94"/>
        <v>2245</v>
      </c>
      <c r="AR2248" s="1756" t="e">
        <f>0.5*(S18+2*AQ2248)*LN(1+2*AQ2248/S18)</f>
        <v>#VALUE!</v>
      </c>
    </row>
    <row r="2249" spans="42:44">
      <c r="AP2249" s="1756" t="e">
        <f>IF(OR(AR2249=S13,AR2249&gt;S13),AR2249,"")</f>
        <v>#VALUE!</v>
      </c>
      <c r="AQ2249" s="1759">
        <f t="shared" si="94"/>
        <v>2246</v>
      </c>
      <c r="AR2249" s="1756" t="e">
        <f>0.5*(S18+2*AQ2249)*LN(1+2*AQ2249/S18)</f>
        <v>#VALUE!</v>
      </c>
    </row>
    <row r="2250" spans="42:44">
      <c r="AP2250" s="1756" t="e">
        <f>IF(OR(AR2250=S13,AR2250&gt;S13),AR2250,"")</f>
        <v>#VALUE!</v>
      </c>
      <c r="AQ2250" s="1759">
        <f t="shared" si="94"/>
        <v>2247</v>
      </c>
      <c r="AR2250" s="1756" t="e">
        <f>0.5*(S18+2*AQ2250)*LN(1+2*AQ2250/S18)</f>
        <v>#VALUE!</v>
      </c>
    </row>
    <row r="2251" spans="42:44">
      <c r="AP2251" s="1756" t="e">
        <f>IF(OR(AR2251=S13,AR2251&gt;S13),AR2251,"")</f>
        <v>#VALUE!</v>
      </c>
      <c r="AQ2251" s="1759">
        <f t="shared" si="94"/>
        <v>2248</v>
      </c>
      <c r="AR2251" s="1756" t="e">
        <f>0.5*(S18+2*AQ2251)*LN(1+2*AQ2251/S18)</f>
        <v>#VALUE!</v>
      </c>
    </row>
    <row r="2252" spans="42:44">
      <c r="AP2252" s="1756" t="e">
        <f>IF(OR(AR2252=S13,AR2252&gt;S13),AR2252,"")</f>
        <v>#VALUE!</v>
      </c>
      <c r="AQ2252" s="1759">
        <f t="shared" si="94"/>
        <v>2249</v>
      </c>
      <c r="AR2252" s="1756" t="e">
        <f>0.5*(S18+2*AQ2252)*LN(1+2*AQ2252/S18)</f>
        <v>#VALUE!</v>
      </c>
    </row>
    <row r="2253" spans="42:44">
      <c r="AP2253" s="1756" t="e">
        <f>IF(OR(AR2253=S13,AR2253&gt;S13),AR2253,"")</f>
        <v>#VALUE!</v>
      </c>
      <c r="AQ2253" s="1759">
        <f t="shared" si="94"/>
        <v>2250</v>
      </c>
      <c r="AR2253" s="1756" t="e">
        <f>0.5*(S18+2*AQ2253)*LN(1+2*AQ2253/S18)</f>
        <v>#VALUE!</v>
      </c>
    </row>
    <row r="2254" spans="42:44">
      <c r="AP2254" s="1756" t="e">
        <f>IF(OR(AR2254=S13,AR2254&gt;S13),AR2254,"")</f>
        <v>#VALUE!</v>
      </c>
      <c r="AQ2254" s="1759">
        <f t="shared" si="94"/>
        <v>2251</v>
      </c>
      <c r="AR2254" s="1756" t="e">
        <f>0.5*(S18+2*AQ2254)*LN(1+2*AQ2254/S18)</f>
        <v>#VALUE!</v>
      </c>
    </row>
    <row r="2255" spans="42:44">
      <c r="AP2255" s="1756" t="e">
        <f>IF(OR(AR2255=S13,AR2255&gt;S13),AR2255,"")</f>
        <v>#VALUE!</v>
      </c>
      <c r="AQ2255" s="1759">
        <f t="shared" si="94"/>
        <v>2252</v>
      </c>
      <c r="AR2255" s="1756" t="e">
        <f>0.5*(S18+2*AQ2255)*LN(1+2*AQ2255/S18)</f>
        <v>#VALUE!</v>
      </c>
    </row>
    <row r="2256" spans="42:44">
      <c r="AP2256" s="1756" t="e">
        <f>IF(OR(AR2256=S13,AR2256&gt;S13),AR2256,"")</f>
        <v>#VALUE!</v>
      </c>
      <c r="AQ2256" s="1759">
        <f t="shared" si="94"/>
        <v>2253</v>
      </c>
      <c r="AR2256" s="1756" t="e">
        <f>0.5*(S18+2*AQ2256)*LN(1+2*AQ2256/S18)</f>
        <v>#VALUE!</v>
      </c>
    </row>
    <row r="2257" spans="42:44">
      <c r="AP2257" s="1756" t="e">
        <f>IF(OR(AR2257=S13,AR2257&gt;S13),AR2257,"")</f>
        <v>#VALUE!</v>
      </c>
      <c r="AQ2257" s="1759">
        <f t="shared" si="94"/>
        <v>2254</v>
      </c>
      <c r="AR2257" s="1756" t="e">
        <f>0.5*(S18+2*AQ2257)*LN(1+2*AQ2257/S18)</f>
        <v>#VALUE!</v>
      </c>
    </row>
    <row r="2258" spans="42:44">
      <c r="AP2258" s="1756" t="e">
        <f>IF(OR(AR2258=S13,AR2258&gt;S13),AR2258,"")</f>
        <v>#VALUE!</v>
      </c>
      <c r="AQ2258" s="1759">
        <f t="shared" si="94"/>
        <v>2255</v>
      </c>
      <c r="AR2258" s="1756" t="e">
        <f>0.5*(S18+2*AQ2258)*LN(1+2*AQ2258/S18)</f>
        <v>#VALUE!</v>
      </c>
    </row>
    <row r="2259" spans="42:44">
      <c r="AP2259" s="1756" t="e">
        <f>IF(OR(AR2259=S13,AR2259&gt;S13),AR2259,"")</f>
        <v>#VALUE!</v>
      </c>
      <c r="AQ2259" s="1759">
        <f t="shared" si="94"/>
        <v>2256</v>
      </c>
      <c r="AR2259" s="1756" t="e">
        <f>0.5*(S18+2*AQ2259)*LN(1+2*AQ2259/S18)</f>
        <v>#VALUE!</v>
      </c>
    </row>
    <row r="2260" spans="42:44">
      <c r="AP2260" s="1756" t="e">
        <f>IF(OR(AR2260=S13,AR2260&gt;S13),AR2260,"")</f>
        <v>#VALUE!</v>
      </c>
      <c r="AQ2260" s="1759">
        <f t="shared" si="94"/>
        <v>2257</v>
      </c>
      <c r="AR2260" s="1756" t="e">
        <f>0.5*(S18+2*AQ2260)*LN(1+2*AQ2260/S18)</f>
        <v>#VALUE!</v>
      </c>
    </row>
    <row r="2261" spans="42:44">
      <c r="AP2261" s="1756" t="e">
        <f>IF(OR(AR2261=S13,AR2261&gt;S13),AR2261,"")</f>
        <v>#VALUE!</v>
      </c>
      <c r="AQ2261" s="1759">
        <f t="shared" si="94"/>
        <v>2258</v>
      </c>
      <c r="AR2261" s="1756" t="e">
        <f>0.5*(S18+2*AQ2261)*LN(1+2*AQ2261/S18)</f>
        <v>#VALUE!</v>
      </c>
    </row>
    <row r="2262" spans="42:44">
      <c r="AP2262" s="1756" t="e">
        <f>IF(OR(AR2262=S13,AR2262&gt;S13),AR2262,"")</f>
        <v>#VALUE!</v>
      </c>
      <c r="AQ2262" s="1759">
        <f t="shared" si="94"/>
        <v>2259</v>
      </c>
      <c r="AR2262" s="1756" t="e">
        <f>0.5*(S18+2*AQ2262)*LN(1+2*AQ2262/S18)</f>
        <v>#VALUE!</v>
      </c>
    </row>
    <row r="2263" spans="42:44">
      <c r="AP2263" s="1756" t="e">
        <f>IF(OR(AR2263=S13,AR2263&gt;S13),AR2263,"")</f>
        <v>#VALUE!</v>
      </c>
      <c r="AQ2263" s="1759">
        <f t="shared" si="94"/>
        <v>2260</v>
      </c>
      <c r="AR2263" s="1756" t="e">
        <f>0.5*(S18+2*AQ2263)*LN(1+2*AQ2263/S18)</f>
        <v>#VALUE!</v>
      </c>
    </row>
    <row r="2264" spans="42:44">
      <c r="AP2264" s="1756" t="e">
        <f>IF(OR(AR2264=S13,AR2264&gt;S13),AR2264,"")</f>
        <v>#VALUE!</v>
      </c>
      <c r="AQ2264" s="1759">
        <f t="shared" si="94"/>
        <v>2261</v>
      </c>
      <c r="AR2264" s="1756" t="e">
        <f>0.5*(S18+2*AQ2264)*LN(1+2*AQ2264/S18)</f>
        <v>#VALUE!</v>
      </c>
    </row>
    <row r="2265" spans="42:44">
      <c r="AP2265" s="1756" t="e">
        <f>IF(OR(AR2265=S13,AR2265&gt;S13),AR2265,"")</f>
        <v>#VALUE!</v>
      </c>
      <c r="AQ2265" s="1759">
        <f t="shared" si="94"/>
        <v>2262</v>
      </c>
      <c r="AR2265" s="1756" t="e">
        <f>0.5*(S18+2*AQ2265)*LN(1+2*AQ2265/S18)</f>
        <v>#VALUE!</v>
      </c>
    </row>
    <row r="2266" spans="42:44">
      <c r="AP2266" s="1756" t="e">
        <f>IF(OR(AR2266=S13,AR2266&gt;S13),AR2266,"")</f>
        <v>#VALUE!</v>
      </c>
      <c r="AQ2266" s="1759">
        <f t="shared" si="94"/>
        <v>2263</v>
      </c>
      <c r="AR2266" s="1756" t="e">
        <f>0.5*(S18+2*AQ2266)*LN(1+2*AQ2266/S18)</f>
        <v>#VALUE!</v>
      </c>
    </row>
    <row r="2267" spans="42:44">
      <c r="AP2267" s="1756" t="e">
        <f>IF(OR(AR2267=S13,AR2267&gt;S13),AR2267,"")</f>
        <v>#VALUE!</v>
      </c>
      <c r="AQ2267" s="1759">
        <f t="shared" si="94"/>
        <v>2264</v>
      </c>
      <c r="AR2267" s="1756" t="e">
        <f>0.5*(S18+2*AQ2267)*LN(1+2*AQ2267/S18)</f>
        <v>#VALUE!</v>
      </c>
    </row>
    <row r="2268" spans="42:44">
      <c r="AP2268" s="1756" t="e">
        <f>IF(OR(AR2268=S13,AR2268&gt;S13),AR2268,"")</f>
        <v>#VALUE!</v>
      </c>
      <c r="AQ2268" s="1759">
        <f t="shared" si="94"/>
        <v>2265</v>
      </c>
      <c r="AR2268" s="1756" t="e">
        <f>0.5*(S18+2*AQ2268)*LN(1+2*AQ2268/S18)</f>
        <v>#VALUE!</v>
      </c>
    </row>
    <row r="2269" spans="42:44">
      <c r="AP2269" s="1756" t="e">
        <f>IF(OR(AR2269=S13,AR2269&gt;S13),AR2269,"")</f>
        <v>#VALUE!</v>
      </c>
      <c r="AQ2269" s="1759">
        <f t="shared" si="94"/>
        <v>2266</v>
      </c>
      <c r="AR2269" s="1756" t="e">
        <f>0.5*(S18+2*AQ2269)*LN(1+2*AQ2269/S18)</f>
        <v>#VALUE!</v>
      </c>
    </row>
    <row r="2270" spans="42:44">
      <c r="AP2270" s="1756" t="e">
        <f>IF(OR(AR2270=S13,AR2270&gt;S13),AR2270,"")</f>
        <v>#VALUE!</v>
      </c>
      <c r="AQ2270" s="1759">
        <f t="shared" si="94"/>
        <v>2267</v>
      </c>
      <c r="AR2270" s="1756" t="e">
        <f>0.5*(S18+2*AQ2270)*LN(1+2*AQ2270/S18)</f>
        <v>#VALUE!</v>
      </c>
    </row>
    <row r="2271" spans="42:44">
      <c r="AP2271" s="1756" t="e">
        <f>IF(OR(AR2271=S13,AR2271&gt;S13),AR2271,"")</f>
        <v>#VALUE!</v>
      </c>
      <c r="AQ2271" s="1759">
        <f t="shared" si="94"/>
        <v>2268</v>
      </c>
      <c r="AR2271" s="1756" t="e">
        <f>0.5*(S18+2*AQ2271)*LN(1+2*AQ2271/S18)</f>
        <v>#VALUE!</v>
      </c>
    </row>
    <row r="2272" spans="42:44">
      <c r="AP2272" s="1756" t="e">
        <f>IF(OR(AR2272=S13,AR2272&gt;S13),AR2272,"")</f>
        <v>#VALUE!</v>
      </c>
      <c r="AQ2272" s="1759">
        <f t="shared" si="94"/>
        <v>2269</v>
      </c>
      <c r="AR2272" s="1756" t="e">
        <f>0.5*(S18+2*AQ2272)*LN(1+2*AQ2272/S18)</f>
        <v>#VALUE!</v>
      </c>
    </row>
    <row r="2273" spans="42:44">
      <c r="AP2273" s="1756" t="e">
        <f>IF(OR(AR2273=S13,AR2273&gt;S13),AR2273,"")</f>
        <v>#VALUE!</v>
      </c>
      <c r="AQ2273" s="1759">
        <f t="shared" si="94"/>
        <v>2270</v>
      </c>
      <c r="AR2273" s="1756" t="e">
        <f>0.5*(S18+2*AQ2273)*LN(1+2*AQ2273/S18)</f>
        <v>#VALUE!</v>
      </c>
    </row>
    <row r="2274" spans="42:44">
      <c r="AP2274" s="1756" t="e">
        <f>IF(OR(AR2274=S13,AR2274&gt;S13),AR2274,"")</f>
        <v>#VALUE!</v>
      </c>
      <c r="AQ2274" s="1759">
        <f t="shared" si="94"/>
        <v>2271</v>
      </c>
      <c r="AR2274" s="1756" t="e">
        <f>0.5*(S18+2*AQ2274)*LN(1+2*AQ2274/S18)</f>
        <v>#VALUE!</v>
      </c>
    </row>
    <row r="2275" spans="42:44">
      <c r="AP2275" s="1756" t="e">
        <f>IF(OR(AR2275=S13,AR2275&gt;S13),AR2275,"")</f>
        <v>#VALUE!</v>
      </c>
      <c r="AQ2275" s="1759">
        <f t="shared" si="94"/>
        <v>2272</v>
      </c>
      <c r="AR2275" s="1756" t="e">
        <f>0.5*(S18+2*AQ2275)*LN(1+2*AQ2275/S18)</f>
        <v>#VALUE!</v>
      </c>
    </row>
    <row r="2276" spans="42:44">
      <c r="AP2276" s="1756" t="e">
        <f>IF(OR(AR2276=S13,AR2276&gt;S13),AR2276,"")</f>
        <v>#VALUE!</v>
      </c>
      <c r="AQ2276" s="1759">
        <f t="shared" si="94"/>
        <v>2273</v>
      </c>
      <c r="AR2276" s="1756" t="e">
        <f>0.5*(S18+2*AQ2276)*LN(1+2*AQ2276/S18)</f>
        <v>#VALUE!</v>
      </c>
    </row>
    <row r="2277" spans="42:44">
      <c r="AP2277" s="1756" t="e">
        <f>IF(OR(AR2277=S13,AR2277&gt;S13),AR2277,"")</f>
        <v>#VALUE!</v>
      </c>
      <c r="AQ2277" s="1759">
        <f t="shared" si="94"/>
        <v>2274</v>
      </c>
      <c r="AR2277" s="1756" t="e">
        <f>0.5*(S18+2*AQ2277)*LN(1+2*AQ2277/S18)</f>
        <v>#VALUE!</v>
      </c>
    </row>
    <row r="2278" spans="42:44">
      <c r="AP2278" s="1756" t="e">
        <f>IF(OR(AR2278=S13,AR2278&gt;S13),AR2278,"")</f>
        <v>#VALUE!</v>
      </c>
      <c r="AQ2278" s="1759">
        <f t="shared" si="94"/>
        <v>2275</v>
      </c>
      <c r="AR2278" s="1756" t="e">
        <f>0.5*(S18+2*AQ2278)*LN(1+2*AQ2278/S18)</f>
        <v>#VALUE!</v>
      </c>
    </row>
    <row r="2279" spans="42:44">
      <c r="AP2279" s="1756" t="e">
        <f>IF(OR(AR2279=S13,AR2279&gt;S13),AR2279,"")</f>
        <v>#VALUE!</v>
      </c>
      <c r="AQ2279" s="1759">
        <f t="shared" si="94"/>
        <v>2276</v>
      </c>
      <c r="AR2279" s="1756" t="e">
        <f>0.5*(S18+2*AQ2279)*LN(1+2*AQ2279/S18)</f>
        <v>#VALUE!</v>
      </c>
    </row>
    <row r="2280" spans="42:44">
      <c r="AP2280" s="1756" t="e">
        <f>IF(OR(AR2280=S13,AR2280&gt;S13),AR2280,"")</f>
        <v>#VALUE!</v>
      </c>
      <c r="AQ2280" s="1759">
        <f t="shared" si="94"/>
        <v>2277</v>
      </c>
      <c r="AR2280" s="1756" t="e">
        <f>0.5*(S18+2*AQ2280)*LN(1+2*AQ2280/S18)</f>
        <v>#VALUE!</v>
      </c>
    </row>
    <row r="2281" spans="42:44">
      <c r="AP2281" s="1756" t="e">
        <f>IF(OR(AR2281=S13,AR2281&gt;S13),AR2281,"")</f>
        <v>#VALUE!</v>
      </c>
      <c r="AQ2281" s="1759">
        <f t="shared" si="94"/>
        <v>2278</v>
      </c>
      <c r="AR2281" s="1756" t="e">
        <f>0.5*(S18+2*AQ2281)*LN(1+2*AQ2281/S18)</f>
        <v>#VALUE!</v>
      </c>
    </row>
    <row r="2282" spans="42:44">
      <c r="AP2282" s="1756" t="e">
        <f>IF(OR(AR2282=S13,AR2282&gt;S13),AR2282,"")</f>
        <v>#VALUE!</v>
      </c>
      <c r="AQ2282" s="1759">
        <f t="shared" si="94"/>
        <v>2279</v>
      </c>
      <c r="AR2282" s="1756" t="e">
        <f>0.5*(S18+2*AQ2282)*LN(1+2*AQ2282/S18)</f>
        <v>#VALUE!</v>
      </c>
    </row>
    <row r="2283" spans="42:44">
      <c r="AP2283" s="1756" t="e">
        <f>IF(OR(AR2283=S13,AR2283&gt;S13),AR2283,"")</f>
        <v>#VALUE!</v>
      </c>
      <c r="AQ2283" s="1759">
        <f t="shared" si="94"/>
        <v>2280</v>
      </c>
      <c r="AR2283" s="1756" t="e">
        <f>0.5*(S18+2*AQ2283)*LN(1+2*AQ2283/S18)</f>
        <v>#VALUE!</v>
      </c>
    </row>
    <row r="2284" spans="42:44">
      <c r="AP2284" s="1756" t="e">
        <f>IF(OR(AR2284=S13,AR2284&gt;S13),AR2284,"")</f>
        <v>#VALUE!</v>
      </c>
      <c r="AQ2284" s="1759">
        <f t="shared" si="94"/>
        <v>2281</v>
      </c>
      <c r="AR2284" s="1756" t="e">
        <f>0.5*(S18+2*AQ2284)*LN(1+2*AQ2284/S18)</f>
        <v>#VALUE!</v>
      </c>
    </row>
    <row r="2285" spans="42:44">
      <c r="AP2285" s="1756" t="e">
        <f>IF(OR(AR2285=S13,AR2285&gt;S13),AR2285,"")</f>
        <v>#VALUE!</v>
      </c>
      <c r="AQ2285" s="1759">
        <f t="shared" si="94"/>
        <v>2282</v>
      </c>
      <c r="AR2285" s="1756" t="e">
        <f>0.5*(S18+2*AQ2285)*LN(1+2*AQ2285/S18)</f>
        <v>#VALUE!</v>
      </c>
    </row>
    <row r="2286" spans="42:44">
      <c r="AP2286" s="1756" t="e">
        <f>IF(OR(AR2286=S13,AR2286&gt;S13),AR2286,"")</f>
        <v>#VALUE!</v>
      </c>
      <c r="AQ2286" s="1759">
        <f t="shared" si="94"/>
        <v>2283</v>
      </c>
      <c r="AR2286" s="1756" t="e">
        <f>0.5*(S18+2*AQ2286)*LN(1+2*AQ2286/S18)</f>
        <v>#VALUE!</v>
      </c>
    </row>
    <row r="2287" spans="42:44">
      <c r="AP2287" s="1756" t="e">
        <f>IF(OR(AR2287=S13,AR2287&gt;S13),AR2287,"")</f>
        <v>#VALUE!</v>
      </c>
      <c r="AQ2287" s="1759">
        <f t="shared" si="94"/>
        <v>2284</v>
      </c>
      <c r="AR2287" s="1756" t="e">
        <f>0.5*(S18+2*AQ2287)*LN(1+2*AQ2287/S18)</f>
        <v>#VALUE!</v>
      </c>
    </row>
    <row r="2288" spans="42:44">
      <c r="AP2288" s="1756" t="e">
        <f>IF(OR(AR2288=S13,AR2288&gt;S13),AR2288,"")</f>
        <v>#VALUE!</v>
      </c>
      <c r="AQ2288" s="1759">
        <f t="shared" si="94"/>
        <v>2285</v>
      </c>
      <c r="AR2288" s="1756" t="e">
        <f>0.5*(S18+2*AQ2288)*LN(1+2*AQ2288/S18)</f>
        <v>#VALUE!</v>
      </c>
    </row>
    <row r="2289" spans="42:44">
      <c r="AP2289" s="1756" t="e">
        <f>IF(OR(AR2289=S13,AR2289&gt;S13),AR2289,"")</f>
        <v>#VALUE!</v>
      </c>
      <c r="AQ2289" s="1759">
        <f t="shared" si="94"/>
        <v>2286</v>
      </c>
      <c r="AR2289" s="1756" t="e">
        <f>0.5*(S18+2*AQ2289)*LN(1+2*AQ2289/S18)</f>
        <v>#VALUE!</v>
      </c>
    </row>
    <row r="2290" spans="42:44">
      <c r="AP2290" s="1756" t="e">
        <f>IF(OR(AR2290=S13,AR2290&gt;S13),AR2290,"")</f>
        <v>#VALUE!</v>
      </c>
      <c r="AQ2290" s="1759">
        <f t="shared" si="94"/>
        <v>2287</v>
      </c>
      <c r="AR2290" s="1756" t="e">
        <f>0.5*(S18+2*AQ2290)*LN(1+2*AQ2290/S18)</f>
        <v>#VALUE!</v>
      </c>
    </row>
    <row r="2291" spans="42:44">
      <c r="AP2291" s="1756" t="e">
        <f>IF(OR(AR2291=S13,AR2291&gt;S13),AR2291,"")</f>
        <v>#VALUE!</v>
      </c>
      <c r="AQ2291" s="1759">
        <f t="shared" si="94"/>
        <v>2288</v>
      </c>
      <c r="AR2291" s="1756" t="e">
        <f>0.5*(S18+2*AQ2291)*LN(1+2*AQ2291/S18)</f>
        <v>#VALUE!</v>
      </c>
    </row>
    <row r="2292" spans="42:44">
      <c r="AP2292" s="1756" t="e">
        <f>IF(OR(AR2292=S13,AR2292&gt;S13),AR2292,"")</f>
        <v>#VALUE!</v>
      </c>
      <c r="AQ2292" s="1759">
        <f t="shared" si="94"/>
        <v>2289</v>
      </c>
      <c r="AR2292" s="1756" t="e">
        <f>0.5*(S18+2*AQ2292)*LN(1+2*AQ2292/S18)</f>
        <v>#VALUE!</v>
      </c>
    </row>
    <row r="2293" spans="42:44">
      <c r="AP2293" s="1756" t="e">
        <f>IF(OR(AR2293=S13,AR2293&gt;S13),AR2293,"")</f>
        <v>#VALUE!</v>
      </c>
      <c r="AQ2293" s="1759">
        <f t="shared" si="94"/>
        <v>2290</v>
      </c>
      <c r="AR2293" s="1756" t="e">
        <f>0.5*(S18+2*AQ2293)*LN(1+2*AQ2293/S18)</f>
        <v>#VALUE!</v>
      </c>
    </row>
    <row r="2294" spans="42:44">
      <c r="AP2294" s="1756" t="e">
        <f>IF(OR(AR2294=S13,AR2294&gt;S13),AR2294,"")</f>
        <v>#VALUE!</v>
      </c>
      <c r="AQ2294" s="1759">
        <f t="shared" si="94"/>
        <v>2291</v>
      </c>
      <c r="AR2294" s="1756" t="e">
        <f>0.5*(S18+2*AQ2294)*LN(1+2*AQ2294/S18)</f>
        <v>#VALUE!</v>
      </c>
    </row>
    <row r="2295" spans="42:44">
      <c r="AP2295" s="1756" t="e">
        <f>IF(OR(AR2295=S13,AR2295&gt;S13),AR2295,"")</f>
        <v>#VALUE!</v>
      </c>
      <c r="AQ2295" s="1759">
        <f t="shared" si="94"/>
        <v>2292</v>
      </c>
      <c r="AR2295" s="1756" t="e">
        <f>0.5*(S18+2*AQ2295)*LN(1+2*AQ2295/S18)</f>
        <v>#VALUE!</v>
      </c>
    </row>
    <row r="2296" spans="42:44">
      <c r="AP2296" s="1756" t="e">
        <f>IF(OR(AR2296=S13,AR2296&gt;S13),AR2296,"")</f>
        <v>#VALUE!</v>
      </c>
      <c r="AQ2296" s="1759">
        <f t="shared" si="94"/>
        <v>2293</v>
      </c>
      <c r="AR2296" s="1756" t="e">
        <f>0.5*(S18+2*AQ2296)*LN(1+2*AQ2296/S18)</f>
        <v>#VALUE!</v>
      </c>
    </row>
    <row r="2297" spans="42:44">
      <c r="AP2297" s="1756" t="e">
        <f>IF(OR(AR2297=S13,AR2297&gt;S13),AR2297,"")</f>
        <v>#VALUE!</v>
      </c>
      <c r="AQ2297" s="1759">
        <f t="shared" si="94"/>
        <v>2294</v>
      </c>
      <c r="AR2297" s="1756" t="e">
        <f>0.5*(S18+2*AQ2297)*LN(1+2*AQ2297/S18)</f>
        <v>#VALUE!</v>
      </c>
    </row>
    <row r="2298" spans="42:44">
      <c r="AP2298" s="1756" t="e">
        <f>IF(OR(AR2298=S13,AR2298&gt;S13),AR2298,"")</f>
        <v>#VALUE!</v>
      </c>
      <c r="AQ2298" s="1759">
        <f t="shared" si="94"/>
        <v>2295</v>
      </c>
      <c r="AR2298" s="1756" t="e">
        <f>0.5*(S18+2*AQ2298)*LN(1+2*AQ2298/S18)</f>
        <v>#VALUE!</v>
      </c>
    </row>
    <row r="2299" spans="42:44">
      <c r="AP2299" s="1756" t="e">
        <f>IF(OR(AR2299=S13,AR2299&gt;S13),AR2299,"")</f>
        <v>#VALUE!</v>
      </c>
      <c r="AQ2299" s="1759">
        <f t="shared" si="94"/>
        <v>2296</v>
      </c>
      <c r="AR2299" s="1756" t="e">
        <f>0.5*(S18+2*AQ2299)*LN(1+2*AQ2299/S18)</f>
        <v>#VALUE!</v>
      </c>
    </row>
    <row r="2300" spans="42:44">
      <c r="AP2300" s="1756" t="e">
        <f>IF(OR(AR2300=S13,AR2300&gt;S13),AR2300,"")</f>
        <v>#VALUE!</v>
      </c>
      <c r="AQ2300" s="1759">
        <f t="shared" si="94"/>
        <v>2297</v>
      </c>
      <c r="AR2300" s="1756" t="e">
        <f>0.5*(S18+2*AQ2300)*LN(1+2*AQ2300/S18)</f>
        <v>#VALUE!</v>
      </c>
    </row>
    <row r="2301" spans="42:44">
      <c r="AP2301" s="1756" t="e">
        <f>IF(OR(AR2301=S13,AR2301&gt;S13),AR2301,"")</f>
        <v>#VALUE!</v>
      </c>
      <c r="AQ2301" s="1759">
        <f t="shared" si="94"/>
        <v>2298</v>
      </c>
      <c r="AR2301" s="1756" t="e">
        <f>0.5*(S18+2*AQ2301)*LN(1+2*AQ2301/S18)</f>
        <v>#VALUE!</v>
      </c>
    </row>
    <row r="2302" spans="42:44">
      <c r="AP2302" s="1756" t="e">
        <f>IF(OR(AR2302=S13,AR2302&gt;S13),AR2302,"")</f>
        <v>#VALUE!</v>
      </c>
      <c r="AQ2302" s="1759">
        <f t="shared" si="94"/>
        <v>2299</v>
      </c>
      <c r="AR2302" s="1756" t="e">
        <f>0.5*(S18+2*AQ2302)*LN(1+2*AQ2302/S18)</f>
        <v>#VALUE!</v>
      </c>
    </row>
    <row r="2303" spans="42:44">
      <c r="AP2303" s="1756" t="e">
        <f>IF(OR(AR2303=S13,AR2303&gt;S13),AR2303,"")</f>
        <v>#VALUE!</v>
      </c>
      <c r="AQ2303" s="1759">
        <f t="shared" si="94"/>
        <v>2300</v>
      </c>
      <c r="AR2303" s="1756" t="e">
        <f>0.5*(S18+2*AQ2303)*LN(1+2*AQ2303/S18)</f>
        <v>#VALUE!</v>
      </c>
    </row>
    <row r="2304" spans="42:44">
      <c r="AP2304" s="1756" t="e">
        <f>IF(OR(AR2304=S13,AR2304&gt;S13),AR2304,"")</f>
        <v>#VALUE!</v>
      </c>
      <c r="AQ2304" s="1759">
        <f t="shared" si="94"/>
        <v>2301</v>
      </c>
      <c r="AR2304" s="1756" t="e">
        <f>0.5*(S18+2*AQ2304)*LN(1+2*AQ2304/S18)</f>
        <v>#VALUE!</v>
      </c>
    </row>
    <row r="2305" spans="42:44">
      <c r="AP2305" s="1756" t="e">
        <f>IF(OR(AR2305=S13,AR2305&gt;S13),AR2305,"")</f>
        <v>#VALUE!</v>
      </c>
      <c r="AQ2305" s="1759">
        <f t="shared" si="94"/>
        <v>2302</v>
      </c>
      <c r="AR2305" s="1756" t="e">
        <f>0.5*(S18+2*AQ2305)*LN(1+2*AQ2305/S18)</f>
        <v>#VALUE!</v>
      </c>
    </row>
    <row r="2306" spans="42:44">
      <c r="AP2306" s="1756" t="e">
        <f>IF(OR(AR2306=S13,AR2306&gt;S13),AR2306,"")</f>
        <v>#VALUE!</v>
      </c>
      <c r="AQ2306" s="1759">
        <f t="shared" si="94"/>
        <v>2303</v>
      </c>
      <c r="AR2306" s="1756" t="e">
        <f>0.5*(S18+2*AQ2306)*LN(1+2*AQ2306/S18)</f>
        <v>#VALUE!</v>
      </c>
    </row>
    <row r="2307" spans="42:44">
      <c r="AP2307" s="1756" t="e">
        <f>IF(OR(AR2307=S13,AR2307&gt;S13),AR2307,"")</f>
        <v>#VALUE!</v>
      </c>
      <c r="AQ2307" s="1759">
        <f t="shared" si="94"/>
        <v>2304</v>
      </c>
      <c r="AR2307" s="1756" t="e">
        <f>0.5*(S18+2*AQ2307)*LN(1+2*AQ2307/S18)</f>
        <v>#VALUE!</v>
      </c>
    </row>
    <row r="2308" spans="42:44">
      <c r="AP2308" s="1756" t="e">
        <f>IF(OR(AR2308=S13,AR2308&gt;S13),AR2308,"")</f>
        <v>#VALUE!</v>
      </c>
      <c r="AQ2308" s="1759">
        <f t="shared" si="94"/>
        <v>2305</v>
      </c>
      <c r="AR2308" s="1756" t="e">
        <f>0.5*(S18+2*AQ2308)*LN(1+2*AQ2308/S18)</f>
        <v>#VALUE!</v>
      </c>
    </row>
    <row r="2309" spans="42:44">
      <c r="AP2309" s="1756" t="e">
        <f>IF(OR(AR2309=S13,AR2309&gt;S13),AR2309,"")</f>
        <v>#VALUE!</v>
      </c>
      <c r="AQ2309" s="1759">
        <f t="shared" si="94"/>
        <v>2306</v>
      </c>
      <c r="AR2309" s="1756" t="e">
        <f>0.5*(S18+2*AQ2309)*LN(1+2*AQ2309/S18)</f>
        <v>#VALUE!</v>
      </c>
    </row>
    <row r="2310" spans="42:44">
      <c r="AP2310" s="1756" t="e">
        <f>IF(OR(AR2310=S13,AR2310&gt;S13),AR2310,"")</f>
        <v>#VALUE!</v>
      </c>
      <c r="AQ2310" s="1759">
        <f t="shared" ref="AQ2310:AQ2373" si="95">AQ2309+1</f>
        <v>2307</v>
      </c>
      <c r="AR2310" s="1756" t="e">
        <f>0.5*(S18+2*AQ2310)*LN(1+2*AQ2310/S18)</f>
        <v>#VALUE!</v>
      </c>
    </row>
    <row r="2311" spans="42:44">
      <c r="AP2311" s="1756" t="e">
        <f>IF(OR(AR2311=S13,AR2311&gt;S13),AR2311,"")</f>
        <v>#VALUE!</v>
      </c>
      <c r="AQ2311" s="1759">
        <f t="shared" si="95"/>
        <v>2308</v>
      </c>
      <c r="AR2311" s="1756" t="e">
        <f>0.5*(S18+2*AQ2311)*LN(1+2*AQ2311/S18)</f>
        <v>#VALUE!</v>
      </c>
    </row>
    <row r="2312" spans="42:44">
      <c r="AP2312" s="1756" t="e">
        <f>IF(OR(AR2312=S13,AR2312&gt;S13),AR2312,"")</f>
        <v>#VALUE!</v>
      </c>
      <c r="AQ2312" s="1759">
        <f t="shared" si="95"/>
        <v>2309</v>
      </c>
      <c r="AR2312" s="1756" t="e">
        <f>0.5*(S18+2*AQ2312)*LN(1+2*AQ2312/S18)</f>
        <v>#VALUE!</v>
      </c>
    </row>
    <row r="2313" spans="42:44">
      <c r="AP2313" s="1756" t="e">
        <f>IF(OR(AR2313=S13,AR2313&gt;S13),AR2313,"")</f>
        <v>#VALUE!</v>
      </c>
      <c r="AQ2313" s="1759">
        <f t="shared" si="95"/>
        <v>2310</v>
      </c>
      <c r="AR2313" s="1756" t="e">
        <f>0.5*(S18+2*AQ2313)*LN(1+2*AQ2313/S18)</f>
        <v>#VALUE!</v>
      </c>
    </row>
    <row r="2314" spans="42:44">
      <c r="AP2314" s="1756" t="e">
        <f>IF(OR(AR2314=S13,AR2314&gt;S13),AR2314,"")</f>
        <v>#VALUE!</v>
      </c>
      <c r="AQ2314" s="1759">
        <f t="shared" si="95"/>
        <v>2311</v>
      </c>
      <c r="AR2314" s="1756" t="e">
        <f>0.5*(S18+2*AQ2314)*LN(1+2*AQ2314/S18)</f>
        <v>#VALUE!</v>
      </c>
    </row>
    <row r="2315" spans="42:44">
      <c r="AP2315" s="1756" t="e">
        <f>IF(OR(AR2315=S13,AR2315&gt;S13),AR2315,"")</f>
        <v>#VALUE!</v>
      </c>
      <c r="AQ2315" s="1759">
        <f t="shared" si="95"/>
        <v>2312</v>
      </c>
      <c r="AR2315" s="1756" t="e">
        <f>0.5*(S18+2*AQ2315)*LN(1+2*AQ2315/S18)</f>
        <v>#VALUE!</v>
      </c>
    </row>
    <row r="2316" spans="42:44">
      <c r="AP2316" s="1756" t="e">
        <f>IF(OR(AR2316=S13,AR2316&gt;S13),AR2316,"")</f>
        <v>#VALUE!</v>
      </c>
      <c r="AQ2316" s="1759">
        <f t="shared" si="95"/>
        <v>2313</v>
      </c>
      <c r="AR2316" s="1756" t="e">
        <f>0.5*(S18+2*AQ2316)*LN(1+2*AQ2316/S18)</f>
        <v>#VALUE!</v>
      </c>
    </row>
    <row r="2317" spans="42:44">
      <c r="AP2317" s="1756" t="e">
        <f>IF(OR(AR2317=S13,AR2317&gt;S13),AR2317,"")</f>
        <v>#VALUE!</v>
      </c>
      <c r="AQ2317" s="1759">
        <f t="shared" si="95"/>
        <v>2314</v>
      </c>
      <c r="AR2317" s="1756" t="e">
        <f>0.5*(S18+2*AQ2317)*LN(1+2*AQ2317/S18)</f>
        <v>#VALUE!</v>
      </c>
    </row>
    <row r="2318" spans="42:44">
      <c r="AP2318" s="1756" t="e">
        <f>IF(OR(AR2318=S13,AR2318&gt;S13),AR2318,"")</f>
        <v>#VALUE!</v>
      </c>
      <c r="AQ2318" s="1759">
        <f t="shared" si="95"/>
        <v>2315</v>
      </c>
      <c r="AR2318" s="1756" t="e">
        <f>0.5*(S18+2*AQ2318)*LN(1+2*AQ2318/S18)</f>
        <v>#VALUE!</v>
      </c>
    </row>
    <row r="2319" spans="42:44">
      <c r="AP2319" s="1756" t="e">
        <f>IF(OR(AR2319=S13,AR2319&gt;S13),AR2319,"")</f>
        <v>#VALUE!</v>
      </c>
      <c r="AQ2319" s="1759">
        <f t="shared" si="95"/>
        <v>2316</v>
      </c>
      <c r="AR2319" s="1756" t="e">
        <f>0.5*(S18+2*AQ2319)*LN(1+2*AQ2319/S18)</f>
        <v>#VALUE!</v>
      </c>
    </row>
    <row r="2320" spans="42:44">
      <c r="AP2320" s="1756" t="e">
        <f>IF(OR(AR2320=S13,AR2320&gt;S13),AR2320,"")</f>
        <v>#VALUE!</v>
      </c>
      <c r="AQ2320" s="1759">
        <f t="shared" si="95"/>
        <v>2317</v>
      </c>
      <c r="AR2320" s="1756" t="e">
        <f>0.5*(S18+2*AQ2320)*LN(1+2*AQ2320/S18)</f>
        <v>#VALUE!</v>
      </c>
    </row>
    <row r="2321" spans="42:44">
      <c r="AP2321" s="1756" t="e">
        <f>IF(OR(AR2321=S13,AR2321&gt;S13),AR2321,"")</f>
        <v>#VALUE!</v>
      </c>
      <c r="AQ2321" s="1759">
        <f t="shared" si="95"/>
        <v>2318</v>
      </c>
      <c r="AR2321" s="1756" t="e">
        <f>0.5*(S18+2*AQ2321)*LN(1+2*AQ2321/S18)</f>
        <v>#VALUE!</v>
      </c>
    </row>
    <row r="2322" spans="42:44">
      <c r="AP2322" s="1756" t="e">
        <f>IF(OR(AR2322=S13,AR2322&gt;S13),AR2322,"")</f>
        <v>#VALUE!</v>
      </c>
      <c r="AQ2322" s="1759">
        <f t="shared" si="95"/>
        <v>2319</v>
      </c>
      <c r="AR2322" s="1756" t="e">
        <f>0.5*(S18+2*AQ2322)*LN(1+2*AQ2322/S18)</f>
        <v>#VALUE!</v>
      </c>
    </row>
    <row r="2323" spans="42:44">
      <c r="AP2323" s="1756" t="e">
        <f>IF(OR(AR2323=S13,AR2323&gt;S13),AR2323,"")</f>
        <v>#VALUE!</v>
      </c>
      <c r="AQ2323" s="1759">
        <f t="shared" si="95"/>
        <v>2320</v>
      </c>
      <c r="AR2323" s="1756" t="e">
        <f>0.5*(S18+2*AQ2323)*LN(1+2*AQ2323/S18)</f>
        <v>#VALUE!</v>
      </c>
    </row>
    <row r="2324" spans="42:44">
      <c r="AP2324" s="1756" t="e">
        <f>IF(OR(AR2324=S13,AR2324&gt;S13),AR2324,"")</f>
        <v>#VALUE!</v>
      </c>
      <c r="AQ2324" s="1759">
        <f t="shared" si="95"/>
        <v>2321</v>
      </c>
      <c r="AR2324" s="1756" t="e">
        <f>0.5*(S18+2*AQ2324)*LN(1+2*AQ2324/S18)</f>
        <v>#VALUE!</v>
      </c>
    </row>
    <row r="2325" spans="42:44">
      <c r="AP2325" s="1756" t="e">
        <f>IF(OR(AR2325=S13,AR2325&gt;S13),AR2325,"")</f>
        <v>#VALUE!</v>
      </c>
      <c r="AQ2325" s="1759">
        <f t="shared" si="95"/>
        <v>2322</v>
      </c>
      <c r="AR2325" s="1756" t="e">
        <f>0.5*(S18+2*AQ2325)*LN(1+2*AQ2325/S18)</f>
        <v>#VALUE!</v>
      </c>
    </row>
    <row r="2326" spans="42:44">
      <c r="AP2326" s="1756" t="e">
        <f>IF(OR(AR2326=S13,AR2326&gt;S13),AR2326,"")</f>
        <v>#VALUE!</v>
      </c>
      <c r="AQ2326" s="1759">
        <f t="shared" si="95"/>
        <v>2323</v>
      </c>
      <c r="AR2326" s="1756" t="e">
        <f>0.5*(S18+2*AQ2326)*LN(1+2*AQ2326/S18)</f>
        <v>#VALUE!</v>
      </c>
    </row>
    <row r="2327" spans="42:44">
      <c r="AP2327" s="1756" t="e">
        <f>IF(OR(AR2327=S13,AR2327&gt;S13),AR2327,"")</f>
        <v>#VALUE!</v>
      </c>
      <c r="AQ2327" s="1759">
        <f t="shared" si="95"/>
        <v>2324</v>
      </c>
      <c r="AR2327" s="1756" t="e">
        <f>0.5*(S18+2*AQ2327)*LN(1+2*AQ2327/S18)</f>
        <v>#VALUE!</v>
      </c>
    </row>
    <row r="2328" spans="42:44">
      <c r="AP2328" s="1756" t="e">
        <f>IF(OR(AR2328=S13,AR2328&gt;S13),AR2328,"")</f>
        <v>#VALUE!</v>
      </c>
      <c r="AQ2328" s="1759">
        <f t="shared" si="95"/>
        <v>2325</v>
      </c>
      <c r="AR2328" s="1756" t="e">
        <f>0.5*(S18+2*AQ2328)*LN(1+2*AQ2328/S18)</f>
        <v>#VALUE!</v>
      </c>
    </row>
    <row r="2329" spans="42:44">
      <c r="AP2329" s="1756" t="e">
        <f>IF(OR(AR2329=S13,AR2329&gt;S13),AR2329,"")</f>
        <v>#VALUE!</v>
      </c>
      <c r="AQ2329" s="1759">
        <f t="shared" si="95"/>
        <v>2326</v>
      </c>
      <c r="AR2329" s="1756" t="e">
        <f>0.5*(S18+2*AQ2329)*LN(1+2*AQ2329/S18)</f>
        <v>#VALUE!</v>
      </c>
    </row>
    <row r="2330" spans="42:44">
      <c r="AP2330" s="1756" t="e">
        <f>IF(OR(AR2330=S13,AR2330&gt;S13),AR2330,"")</f>
        <v>#VALUE!</v>
      </c>
      <c r="AQ2330" s="1759">
        <f t="shared" si="95"/>
        <v>2327</v>
      </c>
      <c r="AR2330" s="1756" t="e">
        <f>0.5*(S18+2*AQ2330)*LN(1+2*AQ2330/S18)</f>
        <v>#VALUE!</v>
      </c>
    </row>
    <row r="2331" spans="42:44">
      <c r="AP2331" s="1756" t="e">
        <f>IF(OR(AR2331=S13,AR2331&gt;S13),AR2331,"")</f>
        <v>#VALUE!</v>
      </c>
      <c r="AQ2331" s="1759">
        <f t="shared" si="95"/>
        <v>2328</v>
      </c>
      <c r="AR2331" s="1756" t="e">
        <f>0.5*(S18+2*AQ2331)*LN(1+2*AQ2331/S18)</f>
        <v>#VALUE!</v>
      </c>
    </row>
    <row r="2332" spans="42:44">
      <c r="AP2332" s="1756" t="e">
        <f>IF(OR(AR2332=S13,AR2332&gt;S13),AR2332,"")</f>
        <v>#VALUE!</v>
      </c>
      <c r="AQ2332" s="1759">
        <f t="shared" si="95"/>
        <v>2329</v>
      </c>
      <c r="AR2332" s="1756" t="e">
        <f>0.5*(S18+2*AQ2332)*LN(1+2*AQ2332/S18)</f>
        <v>#VALUE!</v>
      </c>
    </row>
    <row r="2333" spans="42:44">
      <c r="AP2333" s="1756" t="e">
        <f>IF(OR(AR2333=S13,AR2333&gt;S13),AR2333,"")</f>
        <v>#VALUE!</v>
      </c>
      <c r="AQ2333" s="1759">
        <f t="shared" si="95"/>
        <v>2330</v>
      </c>
      <c r="AR2333" s="1756" t="e">
        <f>0.5*(S18+2*AQ2333)*LN(1+2*AQ2333/S18)</f>
        <v>#VALUE!</v>
      </c>
    </row>
    <row r="2334" spans="42:44">
      <c r="AP2334" s="1756" t="e">
        <f>IF(OR(AR2334=S13,AR2334&gt;S13),AR2334,"")</f>
        <v>#VALUE!</v>
      </c>
      <c r="AQ2334" s="1759">
        <f t="shared" si="95"/>
        <v>2331</v>
      </c>
      <c r="AR2334" s="1756" t="e">
        <f>0.5*(S18+2*AQ2334)*LN(1+2*AQ2334/S18)</f>
        <v>#VALUE!</v>
      </c>
    </row>
    <row r="2335" spans="42:44">
      <c r="AP2335" s="1756" t="e">
        <f>IF(OR(AR2335=S13,AR2335&gt;S13),AR2335,"")</f>
        <v>#VALUE!</v>
      </c>
      <c r="AQ2335" s="1759">
        <f t="shared" si="95"/>
        <v>2332</v>
      </c>
      <c r="AR2335" s="1756" t="e">
        <f>0.5*(S18+2*AQ2335)*LN(1+2*AQ2335/S18)</f>
        <v>#VALUE!</v>
      </c>
    </row>
    <row r="2336" spans="42:44">
      <c r="AP2336" s="1756" t="e">
        <f>IF(OR(AR2336=S13,AR2336&gt;S13),AR2336,"")</f>
        <v>#VALUE!</v>
      </c>
      <c r="AQ2336" s="1759">
        <f t="shared" si="95"/>
        <v>2333</v>
      </c>
      <c r="AR2336" s="1756" t="e">
        <f>0.5*(S18+2*AQ2336)*LN(1+2*AQ2336/S18)</f>
        <v>#VALUE!</v>
      </c>
    </row>
    <row r="2337" spans="42:44">
      <c r="AP2337" s="1756" t="e">
        <f>IF(OR(AR2337=S13,AR2337&gt;S13),AR2337,"")</f>
        <v>#VALUE!</v>
      </c>
      <c r="AQ2337" s="1759">
        <f t="shared" si="95"/>
        <v>2334</v>
      </c>
      <c r="AR2337" s="1756" t="e">
        <f>0.5*(S18+2*AQ2337)*LN(1+2*AQ2337/S18)</f>
        <v>#VALUE!</v>
      </c>
    </row>
    <row r="2338" spans="42:44">
      <c r="AP2338" s="1756" t="e">
        <f>IF(OR(AR2338=S13,AR2338&gt;S13),AR2338,"")</f>
        <v>#VALUE!</v>
      </c>
      <c r="AQ2338" s="1759">
        <f t="shared" si="95"/>
        <v>2335</v>
      </c>
      <c r="AR2338" s="1756" t="e">
        <f>0.5*(S18+2*AQ2338)*LN(1+2*AQ2338/S18)</f>
        <v>#VALUE!</v>
      </c>
    </row>
    <row r="2339" spans="42:44">
      <c r="AP2339" s="1756" t="e">
        <f>IF(OR(AR2339=S13,AR2339&gt;S13),AR2339,"")</f>
        <v>#VALUE!</v>
      </c>
      <c r="AQ2339" s="1759">
        <f t="shared" si="95"/>
        <v>2336</v>
      </c>
      <c r="AR2339" s="1756" t="e">
        <f>0.5*(S18+2*AQ2339)*LN(1+2*AQ2339/S18)</f>
        <v>#VALUE!</v>
      </c>
    </row>
    <row r="2340" spans="42:44">
      <c r="AP2340" s="1756" t="e">
        <f>IF(OR(AR2340=S13,AR2340&gt;S13),AR2340,"")</f>
        <v>#VALUE!</v>
      </c>
      <c r="AQ2340" s="1759">
        <f t="shared" si="95"/>
        <v>2337</v>
      </c>
      <c r="AR2340" s="1756" t="e">
        <f>0.5*(S18+2*AQ2340)*LN(1+2*AQ2340/S18)</f>
        <v>#VALUE!</v>
      </c>
    </row>
    <row r="2341" spans="42:44">
      <c r="AP2341" s="1756" t="e">
        <f>IF(OR(AR2341=S13,AR2341&gt;S13),AR2341,"")</f>
        <v>#VALUE!</v>
      </c>
      <c r="AQ2341" s="1759">
        <f t="shared" si="95"/>
        <v>2338</v>
      </c>
      <c r="AR2341" s="1756" t="e">
        <f>0.5*(S18+2*AQ2341)*LN(1+2*AQ2341/S18)</f>
        <v>#VALUE!</v>
      </c>
    </row>
    <row r="2342" spans="42:44">
      <c r="AP2342" s="1756" t="e">
        <f>IF(OR(AR2342=S13,AR2342&gt;S13),AR2342,"")</f>
        <v>#VALUE!</v>
      </c>
      <c r="AQ2342" s="1759">
        <f t="shared" si="95"/>
        <v>2339</v>
      </c>
      <c r="AR2342" s="1756" t="e">
        <f>0.5*(S18+2*AQ2342)*LN(1+2*AQ2342/S18)</f>
        <v>#VALUE!</v>
      </c>
    </row>
    <row r="2343" spans="42:44">
      <c r="AP2343" s="1756" t="e">
        <f>IF(OR(AR2343=S13,AR2343&gt;S13),AR2343,"")</f>
        <v>#VALUE!</v>
      </c>
      <c r="AQ2343" s="1759">
        <f t="shared" si="95"/>
        <v>2340</v>
      </c>
      <c r="AR2343" s="1756" t="e">
        <f>0.5*(S18+2*AQ2343)*LN(1+2*AQ2343/S18)</f>
        <v>#VALUE!</v>
      </c>
    </row>
    <row r="2344" spans="42:44">
      <c r="AP2344" s="1756" t="e">
        <f>IF(OR(AR2344=S13,AR2344&gt;S13),AR2344,"")</f>
        <v>#VALUE!</v>
      </c>
      <c r="AQ2344" s="1759">
        <f t="shared" si="95"/>
        <v>2341</v>
      </c>
      <c r="AR2344" s="1756" t="e">
        <f>0.5*(S18+2*AQ2344)*LN(1+2*AQ2344/S18)</f>
        <v>#VALUE!</v>
      </c>
    </row>
    <row r="2345" spans="42:44">
      <c r="AP2345" s="1756" t="e">
        <f>IF(OR(AR2345=S13,AR2345&gt;S13),AR2345,"")</f>
        <v>#VALUE!</v>
      </c>
      <c r="AQ2345" s="1759">
        <f t="shared" si="95"/>
        <v>2342</v>
      </c>
      <c r="AR2345" s="1756" t="e">
        <f>0.5*(S18+2*AQ2345)*LN(1+2*AQ2345/S18)</f>
        <v>#VALUE!</v>
      </c>
    </row>
    <row r="2346" spans="42:44">
      <c r="AP2346" s="1756" t="e">
        <f>IF(OR(AR2346=S13,AR2346&gt;S13),AR2346,"")</f>
        <v>#VALUE!</v>
      </c>
      <c r="AQ2346" s="1759">
        <f t="shared" si="95"/>
        <v>2343</v>
      </c>
      <c r="AR2346" s="1756" t="e">
        <f>0.5*(S18+2*AQ2346)*LN(1+2*AQ2346/S18)</f>
        <v>#VALUE!</v>
      </c>
    </row>
    <row r="2347" spans="42:44">
      <c r="AP2347" s="1756" t="e">
        <f>IF(OR(AR2347=S13,AR2347&gt;S13),AR2347,"")</f>
        <v>#VALUE!</v>
      </c>
      <c r="AQ2347" s="1759">
        <f t="shared" si="95"/>
        <v>2344</v>
      </c>
      <c r="AR2347" s="1756" t="e">
        <f>0.5*(S18+2*AQ2347)*LN(1+2*AQ2347/S18)</f>
        <v>#VALUE!</v>
      </c>
    </row>
    <row r="2348" spans="42:44">
      <c r="AP2348" s="1756" t="e">
        <f>IF(OR(AR2348=S13,AR2348&gt;S13),AR2348,"")</f>
        <v>#VALUE!</v>
      </c>
      <c r="AQ2348" s="1759">
        <f t="shared" si="95"/>
        <v>2345</v>
      </c>
      <c r="AR2348" s="1756" t="e">
        <f>0.5*(S18+2*AQ2348)*LN(1+2*AQ2348/S18)</f>
        <v>#VALUE!</v>
      </c>
    </row>
    <row r="2349" spans="42:44">
      <c r="AP2349" s="1756" t="e">
        <f>IF(OR(AR2349=S13,AR2349&gt;S13),AR2349,"")</f>
        <v>#VALUE!</v>
      </c>
      <c r="AQ2349" s="1759">
        <f t="shared" si="95"/>
        <v>2346</v>
      </c>
      <c r="AR2349" s="1756" t="e">
        <f>0.5*(S18+2*AQ2349)*LN(1+2*AQ2349/S18)</f>
        <v>#VALUE!</v>
      </c>
    </row>
    <row r="2350" spans="42:44">
      <c r="AP2350" s="1756" t="e">
        <f>IF(OR(AR2350=S13,AR2350&gt;S13),AR2350,"")</f>
        <v>#VALUE!</v>
      </c>
      <c r="AQ2350" s="1759">
        <f t="shared" si="95"/>
        <v>2347</v>
      </c>
      <c r="AR2350" s="1756" t="e">
        <f>0.5*(S18+2*AQ2350)*LN(1+2*AQ2350/S18)</f>
        <v>#VALUE!</v>
      </c>
    </row>
    <row r="2351" spans="42:44">
      <c r="AP2351" s="1756" t="e">
        <f>IF(OR(AR2351=S13,AR2351&gt;S13),AR2351,"")</f>
        <v>#VALUE!</v>
      </c>
      <c r="AQ2351" s="1759">
        <f t="shared" si="95"/>
        <v>2348</v>
      </c>
      <c r="AR2351" s="1756" t="e">
        <f>0.5*(S18+2*AQ2351)*LN(1+2*AQ2351/S18)</f>
        <v>#VALUE!</v>
      </c>
    </row>
    <row r="2352" spans="42:44">
      <c r="AP2352" s="1756" t="e">
        <f>IF(OR(AR2352=S13,AR2352&gt;S13),AR2352,"")</f>
        <v>#VALUE!</v>
      </c>
      <c r="AQ2352" s="1759">
        <f t="shared" si="95"/>
        <v>2349</v>
      </c>
      <c r="AR2352" s="1756" t="e">
        <f>0.5*(S18+2*AQ2352)*LN(1+2*AQ2352/S18)</f>
        <v>#VALUE!</v>
      </c>
    </row>
    <row r="2353" spans="42:44">
      <c r="AP2353" s="1756" t="e">
        <f>IF(OR(AR2353=S13,AR2353&gt;S13),AR2353,"")</f>
        <v>#VALUE!</v>
      </c>
      <c r="AQ2353" s="1759">
        <f t="shared" si="95"/>
        <v>2350</v>
      </c>
      <c r="AR2353" s="1756" t="e">
        <f>0.5*(S18+2*AQ2353)*LN(1+2*AQ2353/S18)</f>
        <v>#VALUE!</v>
      </c>
    </row>
    <row r="2354" spans="42:44">
      <c r="AP2354" s="1756" t="e">
        <f>IF(OR(AR2354=S13,AR2354&gt;S13),AR2354,"")</f>
        <v>#VALUE!</v>
      </c>
      <c r="AQ2354" s="1759">
        <f t="shared" si="95"/>
        <v>2351</v>
      </c>
      <c r="AR2354" s="1756" t="e">
        <f>0.5*(S18+2*AQ2354)*LN(1+2*AQ2354/S18)</f>
        <v>#VALUE!</v>
      </c>
    </row>
    <row r="2355" spans="42:44">
      <c r="AP2355" s="1756" t="e">
        <f>IF(OR(AR2355=S13,AR2355&gt;S13),AR2355,"")</f>
        <v>#VALUE!</v>
      </c>
      <c r="AQ2355" s="1759">
        <f t="shared" si="95"/>
        <v>2352</v>
      </c>
      <c r="AR2355" s="1756" t="e">
        <f>0.5*(S18+2*AQ2355)*LN(1+2*AQ2355/S18)</f>
        <v>#VALUE!</v>
      </c>
    </row>
    <row r="2356" spans="42:44">
      <c r="AP2356" s="1756" t="e">
        <f>IF(OR(AR2356=S13,AR2356&gt;S13),AR2356,"")</f>
        <v>#VALUE!</v>
      </c>
      <c r="AQ2356" s="1759">
        <f t="shared" si="95"/>
        <v>2353</v>
      </c>
      <c r="AR2356" s="1756" t="e">
        <f>0.5*(S18+2*AQ2356)*LN(1+2*AQ2356/S18)</f>
        <v>#VALUE!</v>
      </c>
    </row>
    <row r="2357" spans="42:44">
      <c r="AP2357" s="1756" t="e">
        <f>IF(OR(AR2357=S13,AR2357&gt;S13),AR2357,"")</f>
        <v>#VALUE!</v>
      </c>
      <c r="AQ2357" s="1759">
        <f t="shared" si="95"/>
        <v>2354</v>
      </c>
      <c r="AR2357" s="1756" t="e">
        <f>0.5*(S18+2*AQ2357)*LN(1+2*AQ2357/S18)</f>
        <v>#VALUE!</v>
      </c>
    </row>
    <row r="2358" spans="42:44">
      <c r="AP2358" s="1756" t="e">
        <f>IF(OR(AR2358=S13,AR2358&gt;S13),AR2358,"")</f>
        <v>#VALUE!</v>
      </c>
      <c r="AQ2358" s="1759">
        <f t="shared" si="95"/>
        <v>2355</v>
      </c>
      <c r="AR2358" s="1756" t="e">
        <f>0.5*(S18+2*AQ2358)*LN(1+2*AQ2358/S18)</f>
        <v>#VALUE!</v>
      </c>
    </row>
    <row r="2359" spans="42:44">
      <c r="AP2359" s="1756" t="e">
        <f>IF(OR(AR2359=S13,AR2359&gt;S13),AR2359,"")</f>
        <v>#VALUE!</v>
      </c>
      <c r="AQ2359" s="1759">
        <f t="shared" si="95"/>
        <v>2356</v>
      </c>
      <c r="AR2359" s="1756" t="e">
        <f>0.5*(S18+2*AQ2359)*LN(1+2*AQ2359/S18)</f>
        <v>#VALUE!</v>
      </c>
    </row>
    <row r="2360" spans="42:44">
      <c r="AP2360" s="1756" t="e">
        <f>IF(OR(AR2360=S13,AR2360&gt;S13),AR2360,"")</f>
        <v>#VALUE!</v>
      </c>
      <c r="AQ2360" s="1759">
        <f t="shared" si="95"/>
        <v>2357</v>
      </c>
      <c r="AR2360" s="1756" t="e">
        <f>0.5*(S18+2*AQ2360)*LN(1+2*AQ2360/S18)</f>
        <v>#VALUE!</v>
      </c>
    </row>
    <row r="2361" spans="42:44">
      <c r="AP2361" s="1756" t="e">
        <f>IF(OR(AR2361=S13,AR2361&gt;S13),AR2361,"")</f>
        <v>#VALUE!</v>
      </c>
      <c r="AQ2361" s="1759">
        <f t="shared" si="95"/>
        <v>2358</v>
      </c>
      <c r="AR2361" s="1756" t="e">
        <f>0.5*(S18+2*AQ2361)*LN(1+2*AQ2361/S18)</f>
        <v>#VALUE!</v>
      </c>
    </row>
    <row r="2362" spans="42:44">
      <c r="AP2362" s="1756" t="e">
        <f>IF(OR(AR2362=S13,AR2362&gt;S13),AR2362,"")</f>
        <v>#VALUE!</v>
      </c>
      <c r="AQ2362" s="1759">
        <f t="shared" si="95"/>
        <v>2359</v>
      </c>
      <c r="AR2362" s="1756" t="e">
        <f>0.5*(S18+2*AQ2362)*LN(1+2*AQ2362/S18)</f>
        <v>#VALUE!</v>
      </c>
    </row>
    <row r="2363" spans="42:44">
      <c r="AP2363" s="1756" t="e">
        <f>IF(OR(AR2363=S13,AR2363&gt;S13),AR2363,"")</f>
        <v>#VALUE!</v>
      </c>
      <c r="AQ2363" s="1759">
        <f t="shared" si="95"/>
        <v>2360</v>
      </c>
      <c r="AR2363" s="1756" t="e">
        <f>0.5*(S18+2*AQ2363)*LN(1+2*AQ2363/S18)</f>
        <v>#VALUE!</v>
      </c>
    </row>
    <row r="2364" spans="42:44">
      <c r="AP2364" s="1756" t="e">
        <f>IF(OR(AR2364=S13,AR2364&gt;S13),AR2364,"")</f>
        <v>#VALUE!</v>
      </c>
      <c r="AQ2364" s="1759">
        <f t="shared" si="95"/>
        <v>2361</v>
      </c>
      <c r="AR2364" s="1756" t="e">
        <f>0.5*(S18+2*AQ2364)*LN(1+2*AQ2364/S18)</f>
        <v>#VALUE!</v>
      </c>
    </row>
    <row r="2365" spans="42:44">
      <c r="AP2365" s="1756" t="e">
        <f>IF(OR(AR2365=S13,AR2365&gt;S13),AR2365,"")</f>
        <v>#VALUE!</v>
      </c>
      <c r="AQ2365" s="1759">
        <f t="shared" si="95"/>
        <v>2362</v>
      </c>
      <c r="AR2365" s="1756" t="e">
        <f>0.5*(S18+2*AQ2365)*LN(1+2*AQ2365/S18)</f>
        <v>#VALUE!</v>
      </c>
    </row>
    <row r="2366" spans="42:44">
      <c r="AP2366" s="1756" t="e">
        <f>IF(OR(AR2366=S13,AR2366&gt;S13),AR2366,"")</f>
        <v>#VALUE!</v>
      </c>
      <c r="AQ2366" s="1759">
        <f t="shared" si="95"/>
        <v>2363</v>
      </c>
      <c r="AR2366" s="1756" t="e">
        <f>0.5*(S18+2*AQ2366)*LN(1+2*AQ2366/S18)</f>
        <v>#VALUE!</v>
      </c>
    </row>
    <row r="2367" spans="42:44">
      <c r="AP2367" s="1756" t="e">
        <f>IF(OR(AR2367=S13,AR2367&gt;S13),AR2367,"")</f>
        <v>#VALUE!</v>
      </c>
      <c r="AQ2367" s="1759">
        <f t="shared" si="95"/>
        <v>2364</v>
      </c>
      <c r="AR2367" s="1756" t="e">
        <f>0.5*(S18+2*AQ2367)*LN(1+2*AQ2367/S18)</f>
        <v>#VALUE!</v>
      </c>
    </row>
    <row r="2368" spans="42:44">
      <c r="AP2368" s="1756" t="e">
        <f>IF(OR(AR2368=S13,AR2368&gt;S13),AR2368,"")</f>
        <v>#VALUE!</v>
      </c>
      <c r="AQ2368" s="1759">
        <f t="shared" si="95"/>
        <v>2365</v>
      </c>
      <c r="AR2368" s="1756" t="e">
        <f>0.5*(S18+2*AQ2368)*LN(1+2*AQ2368/S18)</f>
        <v>#VALUE!</v>
      </c>
    </row>
    <row r="2369" spans="42:44">
      <c r="AP2369" s="1756" t="e">
        <f>IF(OR(AR2369=S13,AR2369&gt;S13),AR2369,"")</f>
        <v>#VALUE!</v>
      </c>
      <c r="AQ2369" s="1759">
        <f t="shared" si="95"/>
        <v>2366</v>
      </c>
      <c r="AR2369" s="1756" t="e">
        <f>0.5*(S18+2*AQ2369)*LN(1+2*AQ2369/S18)</f>
        <v>#VALUE!</v>
      </c>
    </row>
    <row r="2370" spans="42:44">
      <c r="AP2370" s="1756" t="e">
        <f>IF(OR(AR2370=S13,AR2370&gt;S13),AR2370,"")</f>
        <v>#VALUE!</v>
      </c>
      <c r="AQ2370" s="1759">
        <f t="shared" si="95"/>
        <v>2367</v>
      </c>
      <c r="AR2370" s="1756" t="e">
        <f>0.5*(S18+2*AQ2370)*LN(1+2*AQ2370/S18)</f>
        <v>#VALUE!</v>
      </c>
    </row>
    <row r="2371" spans="42:44">
      <c r="AP2371" s="1756" t="e">
        <f>IF(OR(AR2371=S13,AR2371&gt;S13),AR2371,"")</f>
        <v>#VALUE!</v>
      </c>
      <c r="AQ2371" s="1759">
        <f t="shared" si="95"/>
        <v>2368</v>
      </c>
      <c r="AR2371" s="1756" t="e">
        <f>0.5*(S18+2*AQ2371)*LN(1+2*AQ2371/S18)</f>
        <v>#VALUE!</v>
      </c>
    </row>
    <row r="2372" spans="42:44">
      <c r="AP2372" s="1756" t="e">
        <f>IF(OR(AR2372=S13,AR2372&gt;S13),AR2372,"")</f>
        <v>#VALUE!</v>
      </c>
      <c r="AQ2372" s="1759">
        <f t="shared" si="95"/>
        <v>2369</v>
      </c>
      <c r="AR2372" s="1756" t="e">
        <f>0.5*(S18+2*AQ2372)*LN(1+2*AQ2372/S18)</f>
        <v>#VALUE!</v>
      </c>
    </row>
    <row r="2373" spans="42:44">
      <c r="AP2373" s="1756" t="e">
        <f>IF(OR(AR2373=S13,AR2373&gt;S13),AR2373,"")</f>
        <v>#VALUE!</v>
      </c>
      <c r="AQ2373" s="1759">
        <f t="shared" si="95"/>
        <v>2370</v>
      </c>
      <c r="AR2373" s="1756" t="e">
        <f>0.5*(S18+2*AQ2373)*LN(1+2*AQ2373/S18)</f>
        <v>#VALUE!</v>
      </c>
    </row>
    <row r="2374" spans="42:44">
      <c r="AP2374" s="1756" t="e">
        <f>IF(OR(AR2374=S13,AR2374&gt;S13),AR2374,"")</f>
        <v>#VALUE!</v>
      </c>
      <c r="AQ2374" s="1759">
        <f t="shared" ref="AQ2374:AQ2437" si="96">AQ2373+1</f>
        <v>2371</v>
      </c>
      <c r="AR2374" s="1756" t="e">
        <f>0.5*(S18+2*AQ2374)*LN(1+2*AQ2374/S18)</f>
        <v>#VALUE!</v>
      </c>
    </row>
    <row r="2375" spans="42:44">
      <c r="AP2375" s="1756" t="e">
        <f>IF(OR(AR2375=S13,AR2375&gt;S13),AR2375,"")</f>
        <v>#VALUE!</v>
      </c>
      <c r="AQ2375" s="1759">
        <f t="shared" si="96"/>
        <v>2372</v>
      </c>
      <c r="AR2375" s="1756" t="e">
        <f>0.5*(S18+2*AQ2375)*LN(1+2*AQ2375/S18)</f>
        <v>#VALUE!</v>
      </c>
    </row>
    <row r="2376" spans="42:44">
      <c r="AP2376" s="1756" t="e">
        <f>IF(OR(AR2376=S13,AR2376&gt;S13),AR2376,"")</f>
        <v>#VALUE!</v>
      </c>
      <c r="AQ2376" s="1759">
        <f t="shared" si="96"/>
        <v>2373</v>
      </c>
      <c r="AR2376" s="1756" t="e">
        <f>0.5*(S18+2*AQ2376)*LN(1+2*AQ2376/S18)</f>
        <v>#VALUE!</v>
      </c>
    </row>
    <row r="2377" spans="42:44">
      <c r="AP2377" s="1756" t="e">
        <f>IF(OR(AR2377=S13,AR2377&gt;S13),AR2377,"")</f>
        <v>#VALUE!</v>
      </c>
      <c r="AQ2377" s="1759">
        <f t="shared" si="96"/>
        <v>2374</v>
      </c>
      <c r="AR2377" s="1756" t="e">
        <f>0.5*(S18+2*AQ2377)*LN(1+2*AQ2377/S18)</f>
        <v>#VALUE!</v>
      </c>
    </row>
    <row r="2378" spans="42:44">
      <c r="AP2378" s="1756" t="e">
        <f>IF(OR(AR2378=S13,AR2378&gt;S13),AR2378,"")</f>
        <v>#VALUE!</v>
      </c>
      <c r="AQ2378" s="1759">
        <f t="shared" si="96"/>
        <v>2375</v>
      </c>
      <c r="AR2378" s="1756" t="e">
        <f>0.5*(S18+2*AQ2378)*LN(1+2*AQ2378/S18)</f>
        <v>#VALUE!</v>
      </c>
    </row>
    <row r="2379" spans="42:44">
      <c r="AP2379" s="1756" t="e">
        <f>IF(OR(AR2379=S13,AR2379&gt;S13),AR2379,"")</f>
        <v>#VALUE!</v>
      </c>
      <c r="AQ2379" s="1759">
        <f t="shared" si="96"/>
        <v>2376</v>
      </c>
      <c r="AR2379" s="1756" t="e">
        <f>0.5*(S18+2*AQ2379)*LN(1+2*AQ2379/S18)</f>
        <v>#VALUE!</v>
      </c>
    </row>
    <row r="2380" spans="42:44">
      <c r="AP2380" s="1756" t="e">
        <f>IF(OR(AR2380=S13,AR2380&gt;S13),AR2380,"")</f>
        <v>#VALUE!</v>
      </c>
      <c r="AQ2380" s="1759">
        <f t="shared" si="96"/>
        <v>2377</v>
      </c>
      <c r="AR2380" s="1756" t="e">
        <f>0.5*(S18+2*AQ2380)*LN(1+2*AQ2380/S18)</f>
        <v>#VALUE!</v>
      </c>
    </row>
    <row r="2381" spans="42:44">
      <c r="AP2381" s="1756" t="e">
        <f>IF(OR(AR2381=S13,AR2381&gt;S13),AR2381,"")</f>
        <v>#VALUE!</v>
      </c>
      <c r="AQ2381" s="1759">
        <f t="shared" si="96"/>
        <v>2378</v>
      </c>
      <c r="AR2381" s="1756" t="e">
        <f>0.5*(S18+2*AQ2381)*LN(1+2*AQ2381/S18)</f>
        <v>#VALUE!</v>
      </c>
    </row>
    <row r="2382" spans="42:44">
      <c r="AP2382" s="1756" t="e">
        <f>IF(OR(AR2382=S13,AR2382&gt;S13),AR2382,"")</f>
        <v>#VALUE!</v>
      </c>
      <c r="AQ2382" s="1759">
        <f t="shared" si="96"/>
        <v>2379</v>
      </c>
      <c r="AR2382" s="1756" t="e">
        <f>0.5*(S18+2*AQ2382)*LN(1+2*AQ2382/S18)</f>
        <v>#VALUE!</v>
      </c>
    </row>
    <row r="2383" spans="42:44">
      <c r="AP2383" s="1756" t="e">
        <f>IF(OR(AR2383=S13,AR2383&gt;S13),AR2383,"")</f>
        <v>#VALUE!</v>
      </c>
      <c r="AQ2383" s="1759">
        <f t="shared" si="96"/>
        <v>2380</v>
      </c>
      <c r="AR2383" s="1756" t="e">
        <f>0.5*(S18+2*AQ2383)*LN(1+2*AQ2383/S18)</f>
        <v>#VALUE!</v>
      </c>
    </row>
    <row r="2384" spans="42:44">
      <c r="AP2384" s="1756" t="e">
        <f>IF(OR(AR2384=S13,AR2384&gt;S13),AR2384,"")</f>
        <v>#VALUE!</v>
      </c>
      <c r="AQ2384" s="1759">
        <f t="shared" si="96"/>
        <v>2381</v>
      </c>
      <c r="AR2384" s="1756" t="e">
        <f>0.5*(S18+2*AQ2384)*LN(1+2*AQ2384/S18)</f>
        <v>#VALUE!</v>
      </c>
    </row>
    <row r="2385" spans="42:44">
      <c r="AP2385" s="1756" t="e">
        <f>IF(OR(AR2385=S13,AR2385&gt;S13),AR2385,"")</f>
        <v>#VALUE!</v>
      </c>
      <c r="AQ2385" s="1759">
        <f t="shared" si="96"/>
        <v>2382</v>
      </c>
      <c r="AR2385" s="1756" t="e">
        <f>0.5*(S18+2*AQ2385)*LN(1+2*AQ2385/S18)</f>
        <v>#VALUE!</v>
      </c>
    </row>
    <row r="2386" spans="42:44">
      <c r="AP2386" s="1756" t="e">
        <f>IF(OR(AR2386=S13,AR2386&gt;S13),AR2386,"")</f>
        <v>#VALUE!</v>
      </c>
      <c r="AQ2386" s="1759">
        <f t="shared" si="96"/>
        <v>2383</v>
      </c>
      <c r="AR2386" s="1756" t="e">
        <f>0.5*(S18+2*AQ2386)*LN(1+2*AQ2386/S18)</f>
        <v>#VALUE!</v>
      </c>
    </row>
    <row r="2387" spans="42:44">
      <c r="AP2387" s="1756" t="e">
        <f>IF(OR(AR2387=S13,AR2387&gt;S13),AR2387,"")</f>
        <v>#VALUE!</v>
      </c>
      <c r="AQ2387" s="1759">
        <f t="shared" si="96"/>
        <v>2384</v>
      </c>
      <c r="AR2387" s="1756" t="e">
        <f>0.5*(S18+2*AQ2387)*LN(1+2*AQ2387/S18)</f>
        <v>#VALUE!</v>
      </c>
    </row>
    <row r="2388" spans="42:44">
      <c r="AP2388" s="1756" t="e">
        <f>IF(OR(AR2388=S13,AR2388&gt;S13),AR2388,"")</f>
        <v>#VALUE!</v>
      </c>
      <c r="AQ2388" s="1759">
        <f t="shared" si="96"/>
        <v>2385</v>
      </c>
      <c r="AR2388" s="1756" t="e">
        <f>0.5*(S18+2*AQ2388)*LN(1+2*AQ2388/S18)</f>
        <v>#VALUE!</v>
      </c>
    </row>
    <row r="2389" spans="42:44">
      <c r="AP2389" s="1756" t="e">
        <f>IF(OR(AR2389=S13,AR2389&gt;S13),AR2389,"")</f>
        <v>#VALUE!</v>
      </c>
      <c r="AQ2389" s="1759">
        <f t="shared" si="96"/>
        <v>2386</v>
      </c>
      <c r="AR2389" s="1756" t="e">
        <f>0.5*(S18+2*AQ2389)*LN(1+2*AQ2389/S18)</f>
        <v>#VALUE!</v>
      </c>
    </row>
    <row r="2390" spans="42:44">
      <c r="AP2390" s="1756" t="e">
        <f>IF(OR(AR2390=S13,AR2390&gt;S13),AR2390,"")</f>
        <v>#VALUE!</v>
      </c>
      <c r="AQ2390" s="1759">
        <f t="shared" si="96"/>
        <v>2387</v>
      </c>
      <c r="AR2390" s="1756" t="e">
        <f>0.5*(S18+2*AQ2390)*LN(1+2*AQ2390/S18)</f>
        <v>#VALUE!</v>
      </c>
    </row>
    <row r="2391" spans="42:44">
      <c r="AP2391" s="1756" t="e">
        <f>IF(OR(AR2391=S13,AR2391&gt;S13),AR2391,"")</f>
        <v>#VALUE!</v>
      </c>
      <c r="AQ2391" s="1759">
        <f t="shared" si="96"/>
        <v>2388</v>
      </c>
      <c r="AR2391" s="1756" t="e">
        <f>0.5*(S18+2*AQ2391)*LN(1+2*AQ2391/S18)</f>
        <v>#VALUE!</v>
      </c>
    </row>
    <row r="2392" spans="42:44">
      <c r="AP2392" s="1756" t="e">
        <f>IF(OR(AR2392=S13,AR2392&gt;S13),AR2392,"")</f>
        <v>#VALUE!</v>
      </c>
      <c r="AQ2392" s="1759">
        <f t="shared" si="96"/>
        <v>2389</v>
      </c>
      <c r="AR2392" s="1756" t="e">
        <f>0.5*(S18+2*AQ2392)*LN(1+2*AQ2392/S18)</f>
        <v>#VALUE!</v>
      </c>
    </row>
    <row r="2393" spans="42:44">
      <c r="AP2393" s="1756" t="e">
        <f>IF(OR(AR2393=S13,AR2393&gt;S13),AR2393,"")</f>
        <v>#VALUE!</v>
      </c>
      <c r="AQ2393" s="1759">
        <f t="shared" si="96"/>
        <v>2390</v>
      </c>
      <c r="AR2393" s="1756" t="e">
        <f>0.5*(S18+2*AQ2393)*LN(1+2*AQ2393/S18)</f>
        <v>#VALUE!</v>
      </c>
    </row>
    <row r="2394" spans="42:44">
      <c r="AP2394" s="1756" t="e">
        <f>IF(OR(AR2394=S13,AR2394&gt;S13),AR2394,"")</f>
        <v>#VALUE!</v>
      </c>
      <c r="AQ2394" s="1759">
        <f t="shared" si="96"/>
        <v>2391</v>
      </c>
      <c r="AR2394" s="1756" t="e">
        <f>0.5*(S18+2*AQ2394)*LN(1+2*AQ2394/S18)</f>
        <v>#VALUE!</v>
      </c>
    </row>
    <row r="2395" spans="42:44">
      <c r="AP2395" s="1756" t="e">
        <f>IF(OR(AR2395=S13,AR2395&gt;S13),AR2395,"")</f>
        <v>#VALUE!</v>
      </c>
      <c r="AQ2395" s="1759">
        <f t="shared" si="96"/>
        <v>2392</v>
      </c>
      <c r="AR2395" s="1756" t="e">
        <f>0.5*(S18+2*AQ2395)*LN(1+2*AQ2395/S18)</f>
        <v>#VALUE!</v>
      </c>
    </row>
    <row r="2396" spans="42:44">
      <c r="AP2396" s="1756" t="e">
        <f>IF(OR(AR2396=S13,AR2396&gt;S13),AR2396,"")</f>
        <v>#VALUE!</v>
      </c>
      <c r="AQ2396" s="1759">
        <f t="shared" si="96"/>
        <v>2393</v>
      </c>
      <c r="AR2396" s="1756" t="e">
        <f>0.5*(S18+2*AQ2396)*LN(1+2*AQ2396/S18)</f>
        <v>#VALUE!</v>
      </c>
    </row>
    <row r="2397" spans="42:44">
      <c r="AP2397" s="1756" t="e">
        <f>IF(OR(AR2397=S13,AR2397&gt;S13),AR2397,"")</f>
        <v>#VALUE!</v>
      </c>
      <c r="AQ2397" s="1759">
        <f t="shared" si="96"/>
        <v>2394</v>
      </c>
      <c r="AR2397" s="1756" t="e">
        <f>0.5*(S18+2*AQ2397)*LN(1+2*AQ2397/S18)</f>
        <v>#VALUE!</v>
      </c>
    </row>
    <row r="2398" spans="42:44">
      <c r="AP2398" s="1756" t="e">
        <f>IF(OR(AR2398=S13,AR2398&gt;S13),AR2398,"")</f>
        <v>#VALUE!</v>
      </c>
      <c r="AQ2398" s="1759">
        <f t="shared" si="96"/>
        <v>2395</v>
      </c>
      <c r="AR2398" s="1756" t="e">
        <f>0.5*(S18+2*AQ2398)*LN(1+2*AQ2398/S18)</f>
        <v>#VALUE!</v>
      </c>
    </row>
    <row r="2399" spans="42:44">
      <c r="AP2399" s="1756" t="e">
        <f>IF(OR(AR2399=S13,AR2399&gt;S13),AR2399,"")</f>
        <v>#VALUE!</v>
      </c>
      <c r="AQ2399" s="1759">
        <f t="shared" si="96"/>
        <v>2396</v>
      </c>
      <c r="AR2399" s="1756" t="e">
        <f>0.5*(S18+2*AQ2399)*LN(1+2*AQ2399/S18)</f>
        <v>#VALUE!</v>
      </c>
    </row>
    <row r="2400" spans="42:44">
      <c r="AP2400" s="1756" t="e">
        <f>IF(OR(AR2400=S13,AR2400&gt;S13),AR2400,"")</f>
        <v>#VALUE!</v>
      </c>
      <c r="AQ2400" s="1759">
        <f t="shared" si="96"/>
        <v>2397</v>
      </c>
      <c r="AR2400" s="1756" t="e">
        <f>0.5*(S18+2*AQ2400)*LN(1+2*AQ2400/S18)</f>
        <v>#VALUE!</v>
      </c>
    </row>
    <row r="2401" spans="42:44">
      <c r="AP2401" s="1756" t="e">
        <f>IF(OR(AR2401=S13,AR2401&gt;S13),AR2401,"")</f>
        <v>#VALUE!</v>
      </c>
      <c r="AQ2401" s="1759">
        <f t="shared" si="96"/>
        <v>2398</v>
      </c>
      <c r="AR2401" s="1756" t="e">
        <f>0.5*(S18+2*AQ2401)*LN(1+2*AQ2401/S18)</f>
        <v>#VALUE!</v>
      </c>
    </row>
    <row r="2402" spans="42:44">
      <c r="AP2402" s="1756" t="e">
        <f>IF(OR(AR2402=S13,AR2402&gt;S13),AR2402,"")</f>
        <v>#VALUE!</v>
      </c>
      <c r="AQ2402" s="1759">
        <f t="shared" si="96"/>
        <v>2399</v>
      </c>
      <c r="AR2402" s="1756" t="e">
        <f>0.5*(S18+2*AQ2402)*LN(1+2*AQ2402/S18)</f>
        <v>#VALUE!</v>
      </c>
    </row>
    <row r="2403" spans="42:44">
      <c r="AP2403" s="1756" t="e">
        <f>IF(OR(AR2403=S13,AR2403&gt;S13),AR2403,"")</f>
        <v>#VALUE!</v>
      </c>
      <c r="AQ2403" s="1759">
        <f t="shared" si="96"/>
        <v>2400</v>
      </c>
      <c r="AR2403" s="1756" t="e">
        <f>0.5*(S18+2*AQ2403)*LN(1+2*AQ2403/S18)</f>
        <v>#VALUE!</v>
      </c>
    </row>
    <row r="2404" spans="42:44">
      <c r="AP2404" s="1756" t="e">
        <f>IF(OR(AR2404=S13,AR2404&gt;S13),AR2404,"")</f>
        <v>#VALUE!</v>
      </c>
      <c r="AQ2404" s="1759">
        <f t="shared" si="96"/>
        <v>2401</v>
      </c>
      <c r="AR2404" s="1756" t="e">
        <f>0.5*(S18+2*AQ2404)*LN(1+2*AQ2404/S18)</f>
        <v>#VALUE!</v>
      </c>
    </row>
    <row r="2405" spans="42:44">
      <c r="AP2405" s="1756" t="e">
        <f>IF(OR(AR2405=S13,AR2405&gt;S13),AR2405,"")</f>
        <v>#VALUE!</v>
      </c>
      <c r="AQ2405" s="1759">
        <f t="shared" si="96"/>
        <v>2402</v>
      </c>
      <c r="AR2405" s="1756" t="e">
        <f>0.5*(S18+2*AQ2405)*LN(1+2*AQ2405/S18)</f>
        <v>#VALUE!</v>
      </c>
    </row>
    <row r="2406" spans="42:44">
      <c r="AP2406" s="1756" t="e">
        <f>IF(OR(AR2406=S13,AR2406&gt;S13),AR2406,"")</f>
        <v>#VALUE!</v>
      </c>
      <c r="AQ2406" s="1759">
        <f t="shared" si="96"/>
        <v>2403</v>
      </c>
      <c r="AR2406" s="1756" t="e">
        <f>0.5*(S18+2*AQ2406)*LN(1+2*AQ2406/S18)</f>
        <v>#VALUE!</v>
      </c>
    </row>
    <row r="2407" spans="42:44">
      <c r="AP2407" s="1756" t="e">
        <f>IF(OR(AR2407=S13,AR2407&gt;S13),AR2407,"")</f>
        <v>#VALUE!</v>
      </c>
      <c r="AQ2407" s="1759">
        <f t="shared" si="96"/>
        <v>2404</v>
      </c>
      <c r="AR2407" s="1756" t="e">
        <f>0.5*(S18+2*AQ2407)*LN(1+2*AQ2407/S18)</f>
        <v>#VALUE!</v>
      </c>
    </row>
    <row r="2408" spans="42:44">
      <c r="AP2408" s="1756" t="e">
        <f>IF(OR(AR2408=S13,AR2408&gt;S13),AR2408,"")</f>
        <v>#VALUE!</v>
      </c>
      <c r="AQ2408" s="1759">
        <f t="shared" si="96"/>
        <v>2405</v>
      </c>
      <c r="AR2408" s="1756" t="e">
        <f>0.5*(S18+2*AQ2408)*LN(1+2*AQ2408/S18)</f>
        <v>#VALUE!</v>
      </c>
    </row>
    <row r="2409" spans="42:44">
      <c r="AP2409" s="1756" t="e">
        <f>IF(OR(AR2409=S13,AR2409&gt;S13),AR2409,"")</f>
        <v>#VALUE!</v>
      </c>
      <c r="AQ2409" s="1759">
        <f t="shared" si="96"/>
        <v>2406</v>
      </c>
      <c r="AR2409" s="1756" t="e">
        <f>0.5*(S18+2*AQ2409)*LN(1+2*AQ2409/S18)</f>
        <v>#VALUE!</v>
      </c>
    </row>
    <row r="2410" spans="42:44">
      <c r="AP2410" s="1756" t="e">
        <f>IF(OR(AR2410=S13,AR2410&gt;S13),AR2410,"")</f>
        <v>#VALUE!</v>
      </c>
      <c r="AQ2410" s="1759">
        <f t="shared" si="96"/>
        <v>2407</v>
      </c>
      <c r="AR2410" s="1756" t="e">
        <f>0.5*(S18+2*AQ2410)*LN(1+2*AQ2410/S18)</f>
        <v>#VALUE!</v>
      </c>
    </row>
    <row r="2411" spans="42:44">
      <c r="AP2411" s="1756" t="e">
        <f>IF(OR(AR2411=S13,AR2411&gt;S13),AR2411,"")</f>
        <v>#VALUE!</v>
      </c>
      <c r="AQ2411" s="1759">
        <f t="shared" si="96"/>
        <v>2408</v>
      </c>
      <c r="AR2411" s="1756" t="e">
        <f>0.5*(S18+2*AQ2411)*LN(1+2*AQ2411/S18)</f>
        <v>#VALUE!</v>
      </c>
    </row>
    <row r="2412" spans="42:44">
      <c r="AP2412" s="1756" t="e">
        <f>IF(OR(AR2412=S13,AR2412&gt;S13),AR2412,"")</f>
        <v>#VALUE!</v>
      </c>
      <c r="AQ2412" s="1759">
        <f t="shared" si="96"/>
        <v>2409</v>
      </c>
      <c r="AR2412" s="1756" t="e">
        <f>0.5*(S18+2*AQ2412)*LN(1+2*AQ2412/S18)</f>
        <v>#VALUE!</v>
      </c>
    </row>
    <row r="2413" spans="42:44">
      <c r="AP2413" s="1756" t="e">
        <f>IF(OR(AR2413=S13,AR2413&gt;S13),AR2413,"")</f>
        <v>#VALUE!</v>
      </c>
      <c r="AQ2413" s="1759">
        <f t="shared" si="96"/>
        <v>2410</v>
      </c>
      <c r="AR2413" s="1756" t="e">
        <f>0.5*(S18+2*AQ2413)*LN(1+2*AQ2413/S18)</f>
        <v>#VALUE!</v>
      </c>
    </row>
    <row r="2414" spans="42:44">
      <c r="AP2414" s="1756" t="e">
        <f>IF(OR(AR2414=S13,AR2414&gt;S13),AR2414,"")</f>
        <v>#VALUE!</v>
      </c>
      <c r="AQ2414" s="1759">
        <f t="shared" si="96"/>
        <v>2411</v>
      </c>
      <c r="AR2414" s="1756" t="e">
        <f>0.5*(S18+2*AQ2414)*LN(1+2*AQ2414/S18)</f>
        <v>#VALUE!</v>
      </c>
    </row>
    <row r="2415" spans="42:44">
      <c r="AP2415" s="1756" t="e">
        <f>IF(OR(AR2415=S13,AR2415&gt;S13),AR2415,"")</f>
        <v>#VALUE!</v>
      </c>
      <c r="AQ2415" s="1759">
        <f t="shared" si="96"/>
        <v>2412</v>
      </c>
      <c r="AR2415" s="1756" t="e">
        <f>0.5*(S18+2*AQ2415)*LN(1+2*AQ2415/S18)</f>
        <v>#VALUE!</v>
      </c>
    </row>
    <row r="2416" spans="42:44">
      <c r="AP2416" s="1756" t="e">
        <f>IF(OR(AR2416=S13,AR2416&gt;S13),AR2416,"")</f>
        <v>#VALUE!</v>
      </c>
      <c r="AQ2416" s="1759">
        <f t="shared" si="96"/>
        <v>2413</v>
      </c>
      <c r="AR2416" s="1756" t="e">
        <f>0.5*(S18+2*AQ2416)*LN(1+2*AQ2416/S18)</f>
        <v>#VALUE!</v>
      </c>
    </row>
    <row r="2417" spans="42:44">
      <c r="AP2417" s="1756" t="e">
        <f>IF(OR(AR2417=S13,AR2417&gt;S13),AR2417,"")</f>
        <v>#VALUE!</v>
      </c>
      <c r="AQ2417" s="1759">
        <f t="shared" si="96"/>
        <v>2414</v>
      </c>
      <c r="AR2417" s="1756" t="e">
        <f>0.5*(S18+2*AQ2417)*LN(1+2*AQ2417/S18)</f>
        <v>#VALUE!</v>
      </c>
    </row>
    <row r="2418" spans="42:44">
      <c r="AP2418" s="1756" t="e">
        <f>IF(OR(AR2418=S13,AR2418&gt;S13),AR2418,"")</f>
        <v>#VALUE!</v>
      </c>
      <c r="AQ2418" s="1759">
        <f t="shared" si="96"/>
        <v>2415</v>
      </c>
      <c r="AR2418" s="1756" t="e">
        <f>0.5*(S18+2*AQ2418)*LN(1+2*AQ2418/S18)</f>
        <v>#VALUE!</v>
      </c>
    </row>
    <row r="2419" spans="42:44">
      <c r="AP2419" s="1756" t="e">
        <f>IF(OR(AR2419=S13,AR2419&gt;S13),AR2419,"")</f>
        <v>#VALUE!</v>
      </c>
      <c r="AQ2419" s="1759">
        <f t="shared" si="96"/>
        <v>2416</v>
      </c>
      <c r="AR2419" s="1756" t="e">
        <f>0.5*(S18+2*AQ2419)*LN(1+2*AQ2419/S18)</f>
        <v>#VALUE!</v>
      </c>
    </row>
    <row r="2420" spans="42:44">
      <c r="AP2420" s="1756" t="e">
        <f>IF(OR(AR2420=S13,AR2420&gt;S13),AR2420,"")</f>
        <v>#VALUE!</v>
      </c>
      <c r="AQ2420" s="1759">
        <f t="shared" si="96"/>
        <v>2417</v>
      </c>
      <c r="AR2420" s="1756" t="e">
        <f>0.5*(S18+2*AQ2420)*LN(1+2*AQ2420/S18)</f>
        <v>#VALUE!</v>
      </c>
    </row>
    <row r="2421" spans="42:44">
      <c r="AP2421" s="1756" t="e">
        <f>IF(OR(AR2421=S13,AR2421&gt;S13),AR2421,"")</f>
        <v>#VALUE!</v>
      </c>
      <c r="AQ2421" s="1759">
        <f t="shared" si="96"/>
        <v>2418</v>
      </c>
      <c r="AR2421" s="1756" t="e">
        <f>0.5*(S18+2*AQ2421)*LN(1+2*AQ2421/S18)</f>
        <v>#VALUE!</v>
      </c>
    </row>
    <row r="2422" spans="42:44">
      <c r="AP2422" s="1756" t="e">
        <f>IF(OR(AR2422=S13,AR2422&gt;S13),AR2422,"")</f>
        <v>#VALUE!</v>
      </c>
      <c r="AQ2422" s="1759">
        <f t="shared" si="96"/>
        <v>2419</v>
      </c>
      <c r="AR2422" s="1756" t="e">
        <f>0.5*(S18+2*AQ2422)*LN(1+2*AQ2422/S18)</f>
        <v>#VALUE!</v>
      </c>
    </row>
    <row r="2423" spans="42:44">
      <c r="AP2423" s="1756" t="e">
        <f>IF(OR(AR2423=S13,AR2423&gt;S13),AR2423,"")</f>
        <v>#VALUE!</v>
      </c>
      <c r="AQ2423" s="1759">
        <f t="shared" si="96"/>
        <v>2420</v>
      </c>
      <c r="AR2423" s="1756" t="e">
        <f>0.5*(S18+2*AQ2423)*LN(1+2*AQ2423/S18)</f>
        <v>#VALUE!</v>
      </c>
    </row>
    <row r="2424" spans="42:44">
      <c r="AP2424" s="1756" t="e">
        <f>IF(OR(AR2424=S13,AR2424&gt;S13),AR2424,"")</f>
        <v>#VALUE!</v>
      </c>
      <c r="AQ2424" s="1759">
        <f t="shared" si="96"/>
        <v>2421</v>
      </c>
      <c r="AR2424" s="1756" t="e">
        <f>0.5*(S18+2*AQ2424)*LN(1+2*AQ2424/S18)</f>
        <v>#VALUE!</v>
      </c>
    </row>
    <row r="2425" spans="42:44">
      <c r="AP2425" s="1756" t="e">
        <f>IF(OR(AR2425=S13,AR2425&gt;S13),AR2425,"")</f>
        <v>#VALUE!</v>
      </c>
      <c r="AQ2425" s="1759">
        <f t="shared" si="96"/>
        <v>2422</v>
      </c>
      <c r="AR2425" s="1756" t="e">
        <f>0.5*(S18+2*AQ2425)*LN(1+2*AQ2425/S18)</f>
        <v>#VALUE!</v>
      </c>
    </row>
    <row r="2426" spans="42:44">
      <c r="AP2426" s="1756" t="e">
        <f>IF(OR(AR2426=S13,AR2426&gt;S13),AR2426,"")</f>
        <v>#VALUE!</v>
      </c>
      <c r="AQ2426" s="1759">
        <f t="shared" si="96"/>
        <v>2423</v>
      </c>
      <c r="AR2426" s="1756" t="e">
        <f>0.5*(S18+2*AQ2426)*LN(1+2*AQ2426/S18)</f>
        <v>#VALUE!</v>
      </c>
    </row>
    <row r="2427" spans="42:44">
      <c r="AP2427" s="1756" t="e">
        <f>IF(OR(AR2427=S13,AR2427&gt;S13),AR2427,"")</f>
        <v>#VALUE!</v>
      </c>
      <c r="AQ2427" s="1759">
        <f t="shared" si="96"/>
        <v>2424</v>
      </c>
      <c r="AR2427" s="1756" t="e">
        <f>0.5*(S18+2*AQ2427)*LN(1+2*AQ2427/S18)</f>
        <v>#VALUE!</v>
      </c>
    </row>
    <row r="2428" spans="42:44">
      <c r="AP2428" s="1756" t="e">
        <f>IF(OR(AR2428=S13,AR2428&gt;S13),AR2428,"")</f>
        <v>#VALUE!</v>
      </c>
      <c r="AQ2428" s="1759">
        <f t="shared" si="96"/>
        <v>2425</v>
      </c>
      <c r="AR2428" s="1756" t="e">
        <f>0.5*(S18+2*AQ2428)*LN(1+2*AQ2428/S18)</f>
        <v>#VALUE!</v>
      </c>
    </row>
    <row r="2429" spans="42:44">
      <c r="AP2429" s="1756" t="e">
        <f>IF(OR(AR2429=S13,AR2429&gt;S13),AR2429,"")</f>
        <v>#VALUE!</v>
      </c>
      <c r="AQ2429" s="1759">
        <f t="shared" si="96"/>
        <v>2426</v>
      </c>
      <c r="AR2429" s="1756" t="e">
        <f>0.5*(S18+2*AQ2429)*LN(1+2*AQ2429/S18)</f>
        <v>#VALUE!</v>
      </c>
    </row>
    <row r="2430" spans="42:44">
      <c r="AP2430" s="1756" t="e">
        <f>IF(OR(AR2430=S13,AR2430&gt;S13),AR2430,"")</f>
        <v>#VALUE!</v>
      </c>
      <c r="AQ2430" s="1759">
        <f t="shared" si="96"/>
        <v>2427</v>
      </c>
      <c r="AR2430" s="1756" t="e">
        <f>0.5*(S18+2*AQ2430)*LN(1+2*AQ2430/S18)</f>
        <v>#VALUE!</v>
      </c>
    </row>
    <row r="2431" spans="42:44">
      <c r="AP2431" s="1756" t="e">
        <f>IF(OR(AR2431=S13,AR2431&gt;S13),AR2431,"")</f>
        <v>#VALUE!</v>
      </c>
      <c r="AQ2431" s="1759">
        <f t="shared" si="96"/>
        <v>2428</v>
      </c>
      <c r="AR2431" s="1756" t="e">
        <f>0.5*(S18+2*AQ2431)*LN(1+2*AQ2431/S18)</f>
        <v>#VALUE!</v>
      </c>
    </row>
    <row r="2432" spans="42:44">
      <c r="AP2432" s="1756" t="e">
        <f>IF(OR(AR2432=S13,AR2432&gt;S13),AR2432,"")</f>
        <v>#VALUE!</v>
      </c>
      <c r="AQ2432" s="1759">
        <f t="shared" si="96"/>
        <v>2429</v>
      </c>
      <c r="AR2432" s="1756" t="e">
        <f>0.5*(S18+2*AQ2432)*LN(1+2*AQ2432/S18)</f>
        <v>#VALUE!</v>
      </c>
    </row>
    <row r="2433" spans="42:44">
      <c r="AP2433" s="1756" t="e">
        <f>IF(OR(AR2433=S13,AR2433&gt;S13),AR2433,"")</f>
        <v>#VALUE!</v>
      </c>
      <c r="AQ2433" s="1759">
        <f t="shared" si="96"/>
        <v>2430</v>
      </c>
      <c r="AR2433" s="1756" t="e">
        <f>0.5*(S18+2*AQ2433)*LN(1+2*AQ2433/S18)</f>
        <v>#VALUE!</v>
      </c>
    </row>
    <row r="2434" spans="42:44">
      <c r="AP2434" s="1756" t="e">
        <f>IF(OR(AR2434=S13,AR2434&gt;S13),AR2434,"")</f>
        <v>#VALUE!</v>
      </c>
      <c r="AQ2434" s="1759">
        <f t="shared" si="96"/>
        <v>2431</v>
      </c>
      <c r="AR2434" s="1756" t="e">
        <f>0.5*(S18+2*AQ2434)*LN(1+2*AQ2434/S18)</f>
        <v>#VALUE!</v>
      </c>
    </row>
    <row r="2435" spans="42:44">
      <c r="AP2435" s="1756" t="e">
        <f>IF(OR(AR2435=S13,AR2435&gt;S13),AR2435,"")</f>
        <v>#VALUE!</v>
      </c>
      <c r="AQ2435" s="1759">
        <f t="shared" si="96"/>
        <v>2432</v>
      </c>
      <c r="AR2435" s="1756" t="e">
        <f>0.5*(S18+2*AQ2435)*LN(1+2*AQ2435/S18)</f>
        <v>#VALUE!</v>
      </c>
    </row>
    <row r="2436" spans="42:44">
      <c r="AP2436" s="1756" t="e">
        <f>IF(OR(AR2436=S13,AR2436&gt;S13),AR2436,"")</f>
        <v>#VALUE!</v>
      </c>
      <c r="AQ2436" s="1759">
        <f t="shared" si="96"/>
        <v>2433</v>
      </c>
      <c r="AR2436" s="1756" t="e">
        <f>0.5*(S18+2*AQ2436)*LN(1+2*AQ2436/S18)</f>
        <v>#VALUE!</v>
      </c>
    </row>
    <row r="2437" spans="42:44">
      <c r="AP2437" s="1756" t="e">
        <f>IF(OR(AR2437=S13,AR2437&gt;S13),AR2437,"")</f>
        <v>#VALUE!</v>
      </c>
      <c r="AQ2437" s="1759">
        <f t="shared" si="96"/>
        <v>2434</v>
      </c>
      <c r="AR2437" s="1756" t="e">
        <f>0.5*(S18+2*AQ2437)*LN(1+2*AQ2437/S18)</f>
        <v>#VALUE!</v>
      </c>
    </row>
    <row r="2438" spans="42:44">
      <c r="AP2438" s="1756" t="e">
        <f>IF(OR(AR2438=S13,AR2438&gt;S13),AR2438,"")</f>
        <v>#VALUE!</v>
      </c>
      <c r="AQ2438" s="1759">
        <f t="shared" ref="AQ2438:AQ2501" si="97">AQ2437+1</f>
        <v>2435</v>
      </c>
      <c r="AR2438" s="1756" t="e">
        <f>0.5*(S18+2*AQ2438)*LN(1+2*AQ2438/S18)</f>
        <v>#VALUE!</v>
      </c>
    </row>
    <row r="2439" spans="42:44">
      <c r="AP2439" s="1756" t="e">
        <f>IF(OR(AR2439=S13,AR2439&gt;S13),AR2439,"")</f>
        <v>#VALUE!</v>
      </c>
      <c r="AQ2439" s="1759">
        <f t="shared" si="97"/>
        <v>2436</v>
      </c>
      <c r="AR2439" s="1756" t="e">
        <f>0.5*(S18+2*AQ2439)*LN(1+2*AQ2439/S18)</f>
        <v>#VALUE!</v>
      </c>
    </row>
    <row r="2440" spans="42:44">
      <c r="AP2440" s="1756" t="e">
        <f>IF(OR(AR2440=S13,AR2440&gt;S13),AR2440,"")</f>
        <v>#VALUE!</v>
      </c>
      <c r="AQ2440" s="1759">
        <f t="shared" si="97"/>
        <v>2437</v>
      </c>
      <c r="AR2440" s="1756" t="e">
        <f>0.5*(S18+2*AQ2440)*LN(1+2*AQ2440/S18)</f>
        <v>#VALUE!</v>
      </c>
    </row>
    <row r="2441" spans="42:44">
      <c r="AP2441" s="1756" t="e">
        <f>IF(OR(AR2441=S13,AR2441&gt;S13),AR2441,"")</f>
        <v>#VALUE!</v>
      </c>
      <c r="AQ2441" s="1759">
        <f t="shared" si="97"/>
        <v>2438</v>
      </c>
      <c r="AR2441" s="1756" t="e">
        <f>0.5*(S18+2*AQ2441)*LN(1+2*AQ2441/S18)</f>
        <v>#VALUE!</v>
      </c>
    </row>
    <row r="2442" spans="42:44">
      <c r="AP2442" s="1756" t="e">
        <f>IF(OR(AR2442=S13,AR2442&gt;S13),AR2442,"")</f>
        <v>#VALUE!</v>
      </c>
      <c r="AQ2442" s="1759">
        <f t="shared" si="97"/>
        <v>2439</v>
      </c>
      <c r="AR2442" s="1756" t="e">
        <f>0.5*(S18+2*AQ2442)*LN(1+2*AQ2442/S18)</f>
        <v>#VALUE!</v>
      </c>
    </row>
    <row r="2443" spans="42:44">
      <c r="AP2443" s="1756" t="e">
        <f>IF(OR(AR2443=S13,AR2443&gt;S13),AR2443,"")</f>
        <v>#VALUE!</v>
      </c>
      <c r="AQ2443" s="1759">
        <f t="shared" si="97"/>
        <v>2440</v>
      </c>
      <c r="AR2443" s="1756" t="e">
        <f>0.5*(S18+2*AQ2443)*LN(1+2*AQ2443/S18)</f>
        <v>#VALUE!</v>
      </c>
    </row>
    <row r="2444" spans="42:44">
      <c r="AP2444" s="1756" t="e">
        <f>IF(OR(AR2444=S13,AR2444&gt;S13),AR2444,"")</f>
        <v>#VALUE!</v>
      </c>
      <c r="AQ2444" s="1759">
        <f t="shared" si="97"/>
        <v>2441</v>
      </c>
      <c r="AR2444" s="1756" t="e">
        <f>0.5*(S18+2*AQ2444)*LN(1+2*AQ2444/S18)</f>
        <v>#VALUE!</v>
      </c>
    </row>
    <row r="2445" spans="42:44">
      <c r="AP2445" s="1756" t="e">
        <f>IF(OR(AR2445=S13,AR2445&gt;S13),AR2445,"")</f>
        <v>#VALUE!</v>
      </c>
      <c r="AQ2445" s="1759">
        <f t="shared" si="97"/>
        <v>2442</v>
      </c>
      <c r="AR2445" s="1756" t="e">
        <f>0.5*(S18+2*AQ2445)*LN(1+2*AQ2445/S18)</f>
        <v>#VALUE!</v>
      </c>
    </row>
    <row r="2446" spans="42:44">
      <c r="AP2446" s="1756" t="e">
        <f>IF(OR(AR2446=S13,AR2446&gt;S13),AR2446,"")</f>
        <v>#VALUE!</v>
      </c>
      <c r="AQ2446" s="1759">
        <f t="shared" si="97"/>
        <v>2443</v>
      </c>
      <c r="AR2446" s="1756" t="e">
        <f>0.5*(S18+2*AQ2446)*LN(1+2*AQ2446/S18)</f>
        <v>#VALUE!</v>
      </c>
    </row>
    <row r="2447" spans="42:44">
      <c r="AP2447" s="1756" t="e">
        <f>IF(OR(AR2447=S13,AR2447&gt;S13),AR2447,"")</f>
        <v>#VALUE!</v>
      </c>
      <c r="AQ2447" s="1759">
        <f t="shared" si="97"/>
        <v>2444</v>
      </c>
      <c r="AR2447" s="1756" t="e">
        <f>0.5*(S18+2*AQ2447)*LN(1+2*AQ2447/S18)</f>
        <v>#VALUE!</v>
      </c>
    </row>
    <row r="2448" spans="42:44">
      <c r="AP2448" s="1756" t="e">
        <f>IF(OR(AR2448=S13,AR2448&gt;S13),AR2448,"")</f>
        <v>#VALUE!</v>
      </c>
      <c r="AQ2448" s="1759">
        <f t="shared" si="97"/>
        <v>2445</v>
      </c>
      <c r="AR2448" s="1756" t="e">
        <f>0.5*(S18+2*AQ2448)*LN(1+2*AQ2448/S18)</f>
        <v>#VALUE!</v>
      </c>
    </row>
    <row r="2449" spans="42:44">
      <c r="AP2449" s="1756" t="e">
        <f>IF(OR(AR2449=S13,AR2449&gt;S13),AR2449,"")</f>
        <v>#VALUE!</v>
      </c>
      <c r="AQ2449" s="1759">
        <f t="shared" si="97"/>
        <v>2446</v>
      </c>
      <c r="AR2449" s="1756" t="e">
        <f>0.5*(S18+2*AQ2449)*LN(1+2*AQ2449/S18)</f>
        <v>#VALUE!</v>
      </c>
    </row>
    <row r="2450" spans="42:44">
      <c r="AP2450" s="1756" t="e">
        <f>IF(OR(AR2450=S13,AR2450&gt;S13),AR2450,"")</f>
        <v>#VALUE!</v>
      </c>
      <c r="AQ2450" s="1759">
        <f t="shared" si="97"/>
        <v>2447</v>
      </c>
      <c r="AR2450" s="1756" t="e">
        <f>0.5*(S18+2*AQ2450)*LN(1+2*AQ2450/S18)</f>
        <v>#VALUE!</v>
      </c>
    </row>
    <row r="2451" spans="42:44">
      <c r="AP2451" s="1756" t="e">
        <f>IF(OR(AR2451=S13,AR2451&gt;S13),AR2451,"")</f>
        <v>#VALUE!</v>
      </c>
      <c r="AQ2451" s="1759">
        <f t="shared" si="97"/>
        <v>2448</v>
      </c>
      <c r="AR2451" s="1756" t="e">
        <f>0.5*(S18+2*AQ2451)*LN(1+2*AQ2451/S18)</f>
        <v>#VALUE!</v>
      </c>
    </row>
    <row r="2452" spans="42:44">
      <c r="AP2452" s="1756" t="e">
        <f>IF(OR(AR2452=S13,AR2452&gt;S13),AR2452,"")</f>
        <v>#VALUE!</v>
      </c>
      <c r="AQ2452" s="1759">
        <f t="shared" si="97"/>
        <v>2449</v>
      </c>
      <c r="AR2452" s="1756" t="e">
        <f>0.5*(S18+2*AQ2452)*LN(1+2*AQ2452/S18)</f>
        <v>#VALUE!</v>
      </c>
    </row>
    <row r="2453" spans="42:44">
      <c r="AP2453" s="1756" t="e">
        <f>IF(OR(AR2453=S13,AR2453&gt;S13),AR2453,"")</f>
        <v>#VALUE!</v>
      </c>
      <c r="AQ2453" s="1759">
        <f t="shared" si="97"/>
        <v>2450</v>
      </c>
      <c r="AR2453" s="1756" t="e">
        <f>0.5*(S18+2*AQ2453)*LN(1+2*AQ2453/S18)</f>
        <v>#VALUE!</v>
      </c>
    </row>
    <row r="2454" spans="42:44">
      <c r="AP2454" s="1756" t="e">
        <f>IF(OR(AR2454=S13,AR2454&gt;S13),AR2454,"")</f>
        <v>#VALUE!</v>
      </c>
      <c r="AQ2454" s="1759">
        <f t="shared" si="97"/>
        <v>2451</v>
      </c>
      <c r="AR2454" s="1756" t="e">
        <f>0.5*(S18+2*AQ2454)*LN(1+2*AQ2454/S18)</f>
        <v>#VALUE!</v>
      </c>
    </row>
    <row r="2455" spans="42:44">
      <c r="AP2455" s="1756" t="e">
        <f>IF(OR(AR2455=S13,AR2455&gt;S13),AR2455,"")</f>
        <v>#VALUE!</v>
      </c>
      <c r="AQ2455" s="1759">
        <f t="shared" si="97"/>
        <v>2452</v>
      </c>
      <c r="AR2455" s="1756" t="e">
        <f>0.5*(S18+2*AQ2455)*LN(1+2*AQ2455/S18)</f>
        <v>#VALUE!</v>
      </c>
    </row>
    <row r="2456" spans="42:44">
      <c r="AP2456" s="1756" t="e">
        <f>IF(OR(AR2456=S13,AR2456&gt;S13),AR2456,"")</f>
        <v>#VALUE!</v>
      </c>
      <c r="AQ2456" s="1759">
        <f t="shared" si="97"/>
        <v>2453</v>
      </c>
      <c r="AR2456" s="1756" t="e">
        <f>0.5*(S18+2*AQ2456)*LN(1+2*AQ2456/S18)</f>
        <v>#VALUE!</v>
      </c>
    </row>
    <row r="2457" spans="42:44">
      <c r="AP2457" s="1756" t="e">
        <f>IF(OR(AR2457=S13,AR2457&gt;S13),AR2457,"")</f>
        <v>#VALUE!</v>
      </c>
      <c r="AQ2457" s="1759">
        <f t="shared" si="97"/>
        <v>2454</v>
      </c>
      <c r="AR2457" s="1756" t="e">
        <f>0.5*(S18+2*AQ2457)*LN(1+2*AQ2457/S18)</f>
        <v>#VALUE!</v>
      </c>
    </row>
    <row r="2458" spans="42:44">
      <c r="AP2458" s="1756" t="e">
        <f>IF(OR(AR2458=S13,AR2458&gt;S13),AR2458,"")</f>
        <v>#VALUE!</v>
      </c>
      <c r="AQ2458" s="1759">
        <f t="shared" si="97"/>
        <v>2455</v>
      </c>
      <c r="AR2458" s="1756" t="e">
        <f>0.5*(S18+2*AQ2458)*LN(1+2*AQ2458/S18)</f>
        <v>#VALUE!</v>
      </c>
    </row>
    <row r="2459" spans="42:44">
      <c r="AP2459" s="1756" t="e">
        <f>IF(OR(AR2459=S13,AR2459&gt;S13),AR2459,"")</f>
        <v>#VALUE!</v>
      </c>
      <c r="AQ2459" s="1759">
        <f t="shared" si="97"/>
        <v>2456</v>
      </c>
      <c r="AR2459" s="1756" t="e">
        <f>0.5*(S18+2*AQ2459)*LN(1+2*AQ2459/S18)</f>
        <v>#VALUE!</v>
      </c>
    </row>
    <row r="2460" spans="42:44">
      <c r="AP2460" s="1756" t="e">
        <f>IF(OR(AR2460=S13,AR2460&gt;S13),AR2460,"")</f>
        <v>#VALUE!</v>
      </c>
      <c r="AQ2460" s="1759">
        <f t="shared" si="97"/>
        <v>2457</v>
      </c>
      <c r="AR2460" s="1756" t="e">
        <f>0.5*(S18+2*AQ2460)*LN(1+2*AQ2460/S18)</f>
        <v>#VALUE!</v>
      </c>
    </row>
    <row r="2461" spans="42:44">
      <c r="AP2461" s="1756" t="e">
        <f>IF(OR(AR2461=S13,AR2461&gt;S13),AR2461,"")</f>
        <v>#VALUE!</v>
      </c>
      <c r="AQ2461" s="1759">
        <f t="shared" si="97"/>
        <v>2458</v>
      </c>
      <c r="AR2461" s="1756" t="e">
        <f>0.5*(S18+2*AQ2461)*LN(1+2*AQ2461/S18)</f>
        <v>#VALUE!</v>
      </c>
    </row>
    <row r="2462" spans="42:44">
      <c r="AP2462" s="1756" t="e">
        <f>IF(OR(AR2462=S13,AR2462&gt;S13),AR2462,"")</f>
        <v>#VALUE!</v>
      </c>
      <c r="AQ2462" s="1759">
        <f t="shared" si="97"/>
        <v>2459</v>
      </c>
      <c r="AR2462" s="1756" t="e">
        <f>0.5*(S18+2*AQ2462)*LN(1+2*AQ2462/S18)</f>
        <v>#VALUE!</v>
      </c>
    </row>
    <row r="2463" spans="42:44">
      <c r="AP2463" s="1756" t="e">
        <f>IF(OR(AR2463=S13,AR2463&gt;S13),AR2463,"")</f>
        <v>#VALUE!</v>
      </c>
      <c r="AQ2463" s="1759">
        <f t="shared" si="97"/>
        <v>2460</v>
      </c>
      <c r="AR2463" s="1756" t="e">
        <f>0.5*(S18+2*AQ2463)*LN(1+2*AQ2463/S18)</f>
        <v>#VALUE!</v>
      </c>
    </row>
    <row r="2464" spans="42:44">
      <c r="AP2464" s="1756" t="e">
        <f>IF(OR(AR2464=S13,AR2464&gt;S13),AR2464,"")</f>
        <v>#VALUE!</v>
      </c>
      <c r="AQ2464" s="1759">
        <f t="shared" si="97"/>
        <v>2461</v>
      </c>
      <c r="AR2464" s="1756" t="e">
        <f>0.5*(S18+2*AQ2464)*LN(1+2*AQ2464/S18)</f>
        <v>#VALUE!</v>
      </c>
    </row>
    <row r="2465" spans="42:44">
      <c r="AP2465" s="1756" t="e">
        <f>IF(OR(AR2465=S13,AR2465&gt;S13),AR2465,"")</f>
        <v>#VALUE!</v>
      </c>
      <c r="AQ2465" s="1759">
        <f t="shared" si="97"/>
        <v>2462</v>
      </c>
      <c r="AR2465" s="1756" t="e">
        <f>0.5*(S18+2*AQ2465)*LN(1+2*AQ2465/S18)</f>
        <v>#VALUE!</v>
      </c>
    </row>
    <row r="2466" spans="42:44">
      <c r="AP2466" s="1756" t="e">
        <f>IF(OR(AR2466=S13,AR2466&gt;S13),AR2466,"")</f>
        <v>#VALUE!</v>
      </c>
      <c r="AQ2466" s="1759">
        <f t="shared" si="97"/>
        <v>2463</v>
      </c>
      <c r="AR2466" s="1756" t="e">
        <f>0.5*(S18+2*AQ2466)*LN(1+2*AQ2466/S18)</f>
        <v>#VALUE!</v>
      </c>
    </row>
    <row r="2467" spans="42:44">
      <c r="AP2467" s="1756" t="e">
        <f>IF(OR(AR2467=S13,AR2467&gt;S13),AR2467,"")</f>
        <v>#VALUE!</v>
      </c>
      <c r="AQ2467" s="1759">
        <f t="shared" si="97"/>
        <v>2464</v>
      </c>
      <c r="AR2467" s="1756" t="e">
        <f>0.5*(S18+2*AQ2467)*LN(1+2*AQ2467/S18)</f>
        <v>#VALUE!</v>
      </c>
    </row>
    <row r="2468" spans="42:44">
      <c r="AP2468" s="1756" t="e">
        <f>IF(OR(AR2468=S13,AR2468&gt;S13),AR2468,"")</f>
        <v>#VALUE!</v>
      </c>
      <c r="AQ2468" s="1759">
        <f t="shared" si="97"/>
        <v>2465</v>
      </c>
      <c r="AR2468" s="1756" t="e">
        <f>0.5*(S18+2*AQ2468)*LN(1+2*AQ2468/S18)</f>
        <v>#VALUE!</v>
      </c>
    </row>
    <row r="2469" spans="42:44">
      <c r="AP2469" s="1756" t="e">
        <f>IF(OR(AR2469=S13,AR2469&gt;S13),AR2469,"")</f>
        <v>#VALUE!</v>
      </c>
      <c r="AQ2469" s="1759">
        <f t="shared" si="97"/>
        <v>2466</v>
      </c>
      <c r="AR2469" s="1756" t="e">
        <f>0.5*(S18+2*AQ2469)*LN(1+2*AQ2469/S18)</f>
        <v>#VALUE!</v>
      </c>
    </row>
    <row r="2470" spans="42:44">
      <c r="AP2470" s="1756" t="e">
        <f>IF(OR(AR2470=S13,AR2470&gt;S13),AR2470,"")</f>
        <v>#VALUE!</v>
      </c>
      <c r="AQ2470" s="1759">
        <f t="shared" si="97"/>
        <v>2467</v>
      </c>
      <c r="AR2470" s="1756" t="e">
        <f>0.5*(S18+2*AQ2470)*LN(1+2*AQ2470/S18)</f>
        <v>#VALUE!</v>
      </c>
    </row>
    <row r="2471" spans="42:44">
      <c r="AP2471" s="1756" t="e">
        <f>IF(OR(AR2471=S13,AR2471&gt;S13),AR2471,"")</f>
        <v>#VALUE!</v>
      </c>
      <c r="AQ2471" s="1759">
        <f t="shared" si="97"/>
        <v>2468</v>
      </c>
      <c r="AR2471" s="1756" t="e">
        <f>0.5*(S18+2*AQ2471)*LN(1+2*AQ2471/S18)</f>
        <v>#VALUE!</v>
      </c>
    </row>
    <row r="2472" spans="42:44">
      <c r="AP2472" s="1756" t="e">
        <f>IF(OR(AR2472=S13,AR2472&gt;S13),AR2472,"")</f>
        <v>#VALUE!</v>
      </c>
      <c r="AQ2472" s="1759">
        <f t="shared" si="97"/>
        <v>2469</v>
      </c>
      <c r="AR2472" s="1756" t="e">
        <f>0.5*(S18+2*AQ2472)*LN(1+2*AQ2472/S18)</f>
        <v>#VALUE!</v>
      </c>
    </row>
    <row r="2473" spans="42:44">
      <c r="AP2473" s="1756" t="e">
        <f>IF(OR(AR2473=S13,AR2473&gt;S13),AR2473,"")</f>
        <v>#VALUE!</v>
      </c>
      <c r="AQ2473" s="1759">
        <f t="shared" si="97"/>
        <v>2470</v>
      </c>
      <c r="AR2473" s="1756" t="e">
        <f>0.5*(S18+2*AQ2473)*LN(1+2*AQ2473/S18)</f>
        <v>#VALUE!</v>
      </c>
    </row>
    <row r="2474" spans="42:44">
      <c r="AP2474" s="1756" t="e">
        <f>IF(OR(AR2474=S13,AR2474&gt;S13),AR2474,"")</f>
        <v>#VALUE!</v>
      </c>
      <c r="AQ2474" s="1759">
        <f t="shared" si="97"/>
        <v>2471</v>
      </c>
      <c r="AR2474" s="1756" t="e">
        <f>0.5*(S18+2*AQ2474)*LN(1+2*AQ2474/S18)</f>
        <v>#VALUE!</v>
      </c>
    </row>
    <row r="2475" spans="42:44">
      <c r="AP2475" s="1756" t="e">
        <f>IF(OR(AR2475=S13,AR2475&gt;S13),AR2475,"")</f>
        <v>#VALUE!</v>
      </c>
      <c r="AQ2475" s="1759">
        <f t="shared" si="97"/>
        <v>2472</v>
      </c>
      <c r="AR2475" s="1756" t="e">
        <f>0.5*(S18+2*AQ2475)*LN(1+2*AQ2475/S18)</f>
        <v>#VALUE!</v>
      </c>
    </row>
    <row r="2476" spans="42:44">
      <c r="AP2476" s="1756" t="e">
        <f>IF(OR(AR2476=S13,AR2476&gt;S13),AR2476,"")</f>
        <v>#VALUE!</v>
      </c>
      <c r="AQ2476" s="1759">
        <f t="shared" si="97"/>
        <v>2473</v>
      </c>
      <c r="AR2476" s="1756" t="e">
        <f>0.5*(S18+2*AQ2476)*LN(1+2*AQ2476/S18)</f>
        <v>#VALUE!</v>
      </c>
    </row>
    <row r="2477" spans="42:44">
      <c r="AP2477" s="1756" t="e">
        <f>IF(OR(AR2477=S13,AR2477&gt;S13),AR2477,"")</f>
        <v>#VALUE!</v>
      </c>
      <c r="AQ2477" s="1759">
        <f t="shared" si="97"/>
        <v>2474</v>
      </c>
      <c r="AR2477" s="1756" t="e">
        <f>0.5*(S18+2*AQ2477)*LN(1+2*AQ2477/S18)</f>
        <v>#VALUE!</v>
      </c>
    </row>
    <row r="2478" spans="42:44">
      <c r="AP2478" s="1756" t="e">
        <f>IF(OR(AR2478=S13,AR2478&gt;S13),AR2478,"")</f>
        <v>#VALUE!</v>
      </c>
      <c r="AQ2478" s="1759">
        <f t="shared" si="97"/>
        <v>2475</v>
      </c>
      <c r="AR2478" s="1756" t="e">
        <f>0.5*(S18+2*AQ2478)*LN(1+2*AQ2478/S18)</f>
        <v>#VALUE!</v>
      </c>
    </row>
    <row r="2479" spans="42:44">
      <c r="AP2479" s="1756" t="e">
        <f>IF(OR(AR2479=S13,AR2479&gt;S13),AR2479,"")</f>
        <v>#VALUE!</v>
      </c>
      <c r="AQ2479" s="1759">
        <f t="shared" si="97"/>
        <v>2476</v>
      </c>
      <c r="AR2479" s="1756" t="e">
        <f>0.5*(S18+2*AQ2479)*LN(1+2*AQ2479/S18)</f>
        <v>#VALUE!</v>
      </c>
    </row>
    <row r="2480" spans="42:44">
      <c r="AP2480" s="1756" t="e">
        <f>IF(OR(AR2480=S13,AR2480&gt;S13),AR2480,"")</f>
        <v>#VALUE!</v>
      </c>
      <c r="AQ2480" s="1759">
        <f t="shared" si="97"/>
        <v>2477</v>
      </c>
      <c r="AR2480" s="1756" t="e">
        <f>0.5*(S18+2*AQ2480)*LN(1+2*AQ2480/S18)</f>
        <v>#VALUE!</v>
      </c>
    </row>
    <row r="2481" spans="42:44">
      <c r="AP2481" s="1756" t="e">
        <f>IF(OR(AR2481=S13,AR2481&gt;S13),AR2481,"")</f>
        <v>#VALUE!</v>
      </c>
      <c r="AQ2481" s="1759">
        <f t="shared" si="97"/>
        <v>2478</v>
      </c>
      <c r="AR2481" s="1756" t="e">
        <f>0.5*(S18+2*AQ2481)*LN(1+2*AQ2481/S18)</f>
        <v>#VALUE!</v>
      </c>
    </row>
    <row r="2482" spans="42:44">
      <c r="AP2482" s="1756" t="e">
        <f>IF(OR(AR2482=S13,AR2482&gt;S13),AR2482,"")</f>
        <v>#VALUE!</v>
      </c>
      <c r="AQ2482" s="1759">
        <f t="shared" si="97"/>
        <v>2479</v>
      </c>
      <c r="AR2482" s="1756" t="e">
        <f>0.5*(S18+2*AQ2482)*LN(1+2*AQ2482/S18)</f>
        <v>#VALUE!</v>
      </c>
    </row>
    <row r="2483" spans="42:44">
      <c r="AP2483" s="1756" t="e">
        <f>IF(OR(AR2483=S13,AR2483&gt;S13),AR2483,"")</f>
        <v>#VALUE!</v>
      </c>
      <c r="AQ2483" s="1759">
        <f t="shared" si="97"/>
        <v>2480</v>
      </c>
      <c r="AR2483" s="1756" t="e">
        <f>0.5*(S18+2*AQ2483)*LN(1+2*AQ2483/S18)</f>
        <v>#VALUE!</v>
      </c>
    </row>
    <row r="2484" spans="42:44">
      <c r="AP2484" s="1756" t="e">
        <f>IF(OR(AR2484=S13,AR2484&gt;S13),AR2484,"")</f>
        <v>#VALUE!</v>
      </c>
      <c r="AQ2484" s="1759">
        <f t="shared" si="97"/>
        <v>2481</v>
      </c>
      <c r="AR2484" s="1756" t="e">
        <f>0.5*(S18+2*AQ2484)*LN(1+2*AQ2484/S18)</f>
        <v>#VALUE!</v>
      </c>
    </row>
    <row r="2485" spans="42:44">
      <c r="AP2485" s="1756" t="e">
        <f>IF(OR(AR2485=S13,AR2485&gt;S13),AR2485,"")</f>
        <v>#VALUE!</v>
      </c>
      <c r="AQ2485" s="1759">
        <f t="shared" si="97"/>
        <v>2482</v>
      </c>
      <c r="AR2485" s="1756" t="e">
        <f>0.5*(S18+2*AQ2485)*LN(1+2*AQ2485/S18)</f>
        <v>#VALUE!</v>
      </c>
    </row>
    <row r="2486" spans="42:44">
      <c r="AP2486" s="1756" t="e">
        <f>IF(OR(AR2486=S13,AR2486&gt;S13),AR2486,"")</f>
        <v>#VALUE!</v>
      </c>
      <c r="AQ2486" s="1759">
        <f t="shared" si="97"/>
        <v>2483</v>
      </c>
      <c r="AR2486" s="1756" t="e">
        <f>0.5*(S18+2*AQ2486)*LN(1+2*AQ2486/S18)</f>
        <v>#VALUE!</v>
      </c>
    </row>
    <row r="2487" spans="42:44">
      <c r="AP2487" s="1756" t="e">
        <f>IF(OR(AR2487=S13,AR2487&gt;S13),AR2487,"")</f>
        <v>#VALUE!</v>
      </c>
      <c r="AQ2487" s="1759">
        <f t="shared" si="97"/>
        <v>2484</v>
      </c>
      <c r="AR2487" s="1756" t="e">
        <f>0.5*(S18+2*AQ2487)*LN(1+2*AQ2487/S18)</f>
        <v>#VALUE!</v>
      </c>
    </row>
    <row r="2488" spans="42:44">
      <c r="AP2488" s="1756" t="e">
        <f>IF(OR(AR2488=S13,AR2488&gt;S13),AR2488,"")</f>
        <v>#VALUE!</v>
      </c>
      <c r="AQ2488" s="1759">
        <f t="shared" si="97"/>
        <v>2485</v>
      </c>
      <c r="AR2488" s="1756" t="e">
        <f>0.5*(S18+2*AQ2488)*LN(1+2*AQ2488/S18)</f>
        <v>#VALUE!</v>
      </c>
    </row>
    <row r="2489" spans="42:44">
      <c r="AP2489" s="1756" t="e">
        <f>IF(OR(AR2489=S13,AR2489&gt;S13),AR2489,"")</f>
        <v>#VALUE!</v>
      </c>
      <c r="AQ2489" s="1759">
        <f t="shared" si="97"/>
        <v>2486</v>
      </c>
      <c r="AR2489" s="1756" t="e">
        <f>0.5*(S18+2*AQ2489)*LN(1+2*AQ2489/S18)</f>
        <v>#VALUE!</v>
      </c>
    </row>
    <row r="2490" spans="42:44">
      <c r="AP2490" s="1756" t="e">
        <f>IF(OR(AR2490=S13,AR2490&gt;S13),AR2490,"")</f>
        <v>#VALUE!</v>
      </c>
      <c r="AQ2490" s="1759">
        <f t="shared" si="97"/>
        <v>2487</v>
      </c>
      <c r="AR2490" s="1756" t="e">
        <f>0.5*(S18+2*AQ2490)*LN(1+2*AQ2490/S18)</f>
        <v>#VALUE!</v>
      </c>
    </row>
    <row r="2491" spans="42:44">
      <c r="AP2491" s="1756" t="e">
        <f>IF(OR(AR2491=S13,AR2491&gt;S13),AR2491,"")</f>
        <v>#VALUE!</v>
      </c>
      <c r="AQ2491" s="1759">
        <f t="shared" si="97"/>
        <v>2488</v>
      </c>
      <c r="AR2491" s="1756" t="e">
        <f>0.5*(S18+2*AQ2491)*LN(1+2*AQ2491/S18)</f>
        <v>#VALUE!</v>
      </c>
    </row>
    <row r="2492" spans="42:44">
      <c r="AP2492" s="1756" t="e">
        <f>IF(OR(AR2492=S13,AR2492&gt;S13),AR2492,"")</f>
        <v>#VALUE!</v>
      </c>
      <c r="AQ2492" s="1759">
        <f t="shared" si="97"/>
        <v>2489</v>
      </c>
      <c r="AR2492" s="1756" t="e">
        <f>0.5*(S18+2*AQ2492)*LN(1+2*AQ2492/S18)</f>
        <v>#VALUE!</v>
      </c>
    </row>
    <row r="2493" spans="42:44">
      <c r="AP2493" s="1756" t="e">
        <f>IF(OR(AR2493=S13,AR2493&gt;S13),AR2493,"")</f>
        <v>#VALUE!</v>
      </c>
      <c r="AQ2493" s="1759">
        <f t="shared" si="97"/>
        <v>2490</v>
      </c>
      <c r="AR2493" s="1756" t="e">
        <f>0.5*(S18+2*AQ2493)*LN(1+2*AQ2493/S18)</f>
        <v>#VALUE!</v>
      </c>
    </row>
    <row r="2494" spans="42:44">
      <c r="AP2494" s="1756" t="e">
        <f>IF(OR(AR2494=S13,AR2494&gt;S13),AR2494,"")</f>
        <v>#VALUE!</v>
      </c>
      <c r="AQ2494" s="1759">
        <f t="shared" si="97"/>
        <v>2491</v>
      </c>
      <c r="AR2494" s="1756" t="e">
        <f>0.5*(S18+2*AQ2494)*LN(1+2*AQ2494/S18)</f>
        <v>#VALUE!</v>
      </c>
    </row>
    <row r="2495" spans="42:44">
      <c r="AP2495" s="1756" t="e">
        <f>IF(OR(AR2495=S13,AR2495&gt;S13),AR2495,"")</f>
        <v>#VALUE!</v>
      </c>
      <c r="AQ2495" s="1759">
        <f t="shared" si="97"/>
        <v>2492</v>
      </c>
      <c r="AR2495" s="1756" t="e">
        <f>0.5*(S18+2*AQ2495)*LN(1+2*AQ2495/S18)</f>
        <v>#VALUE!</v>
      </c>
    </row>
    <row r="2496" spans="42:44">
      <c r="AP2496" s="1756" t="e">
        <f>IF(OR(AR2496=S13,AR2496&gt;S13),AR2496,"")</f>
        <v>#VALUE!</v>
      </c>
      <c r="AQ2496" s="1759">
        <f t="shared" si="97"/>
        <v>2493</v>
      </c>
      <c r="AR2496" s="1756" t="e">
        <f>0.5*(S18+2*AQ2496)*LN(1+2*AQ2496/S18)</f>
        <v>#VALUE!</v>
      </c>
    </row>
    <row r="2497" spans="42:44">
      <c r="AP2497" s="1756" t="e">
        <f>IF(OR(AR2497=S13,AR2497&gt;S13),AR2497,"")</f>
        <v>#VALUE!</v>
      </c>
      <c r="AQ2497" s="1759">
        <f t="shared" si="97"/>
        <v>2494</v>
      </c>
      <c r="AR2497" s="1756" t="e">
        <f>0.5*(S18+2*AQ2497)*LN(1+2*AQ2497/S18)</f>
        <v>#VALUE!</v>
      </c>
    </row>
    <row r="2498" spans="42:44">
      <c r="AP2498" s="1756" t="e">
        <f>IF(OR(AR2498=S13,AR2498&gt;S13),AR2498,"")</f>
        <v>#VALUE!</v>
      </c>
      <c r="AQ2498" s="1759">
        <f t="shared" si="97"/>
        <v>2495</v>
      </c>
      <c r="AR2498" s="1756" t="e">
        <f>0.5*(S18+2*AQ2498)*LN(1+2*AQ2498/S18)</f>
        <v>#VALUE!</v>
      </c>
    </row>
    <row r="2499" spans="42:44">
      <c r="AP2499" s="1756" t="e">
        <f>IF(OR(AR2499=S13,AR2499&gt;S13),AR2499,"")</f>
        <v>#VALUE!</v>
      </c>
      <c r="AQ2499" s="1759">
        <f t="shared" si="97"/>
        <v>2496</v>
      </c>
      <c r="AR2499" s="1756" t="e">
        <f>0.5*(S18+2*AQ2499)*LN(1+2*AQ2499/S18)</f>
        <v>#VALUE!</v>
      </c>
    </row>
    <row r="2500" spans="42:44">
      <c r="AP2500" s="1756" t="e">
        <f>IF(OR(AR2500=S13,AR2500&gt;S13),AR2500,"")</f>
        <v>#VALUE!</v>
      </c>
      <c r="AQ2500" s="1759">
        <f t="shared" si="97"/>
        <v>2497</v>
      </c>
      <c r="AR2500" s="1756" t="e">
        <f>0.5*(S18+2*AQ2500)*LN(1+2*AQ2500/S18)</f>
        <v>#VALUE!</v>
      </c>
    </row>
    <row r="2501" spans="42:44">
      <c r="AP2501" s="1756" t="e">
        <f>IF(OR(AR2501=S13,AR2501&gt;S13),AR2501,"")</f>
        <v>#VALUE!</v>
      </c>
      <c r="AQ2501" s="1759">
        <f t="shared" si="97"/>
        <v>2498</v>
      </c>
      <c r="AR2501" s="1756" t="e">
        <f>0.5*(S18+2*AQ2501)*LN(1+2*AQ2501/S18)</f>
        <v>#VALUE!</v>
      </c>
    </row>
    <row r="2502" spans="42:44">
      <c r="AP2502" s="1756" t="e">
        <f>IF(OR(AR2502=S13,AR2502&gt;S13),AR2502,"")</f>
        <v>#VALUE!</v>
      </c>
      <c r="AQ2502" s="1759">
        <f t="shared" ref="AQ2502:AQ2565" si="98">AQ2501+1</f>
        <v>2499</v>
      </c>
      <c r="AR2502" s="1756" t="e">
        <f>0.5*(S18+2*AQ2502)*LN(1+2*AQ2502/S18)</f>
        <v>#VALUE!</v>
      </c>
    </row>
    <row r="2503" spans="42:44">
      <c r="AP2503" s="1756" t="e">
        <f>IF(OR(AR2503=S13,AR2503&gt;S13),AR2503,"")</f>
        <v>#VALUE!</v>
      </c>
      <c r="AQ2503" s="1759">
        <f t="shared" si="98"/>
        <v>2500</v>
      </c>
      <c r="AR2503" s="1756" t="e">
        <f>0.5*(S18+2*AQ2503)*LN(1+2*AQ2503/S18)</f>
        <v>#VALUE!</v>
      </c>
    </row>
    <row r="2504" spans="42:44">
      <c r="AP2504" s="1756" t="e">
        <f>IF(OR(AR2504=S13,AR2504&gt;S13),AR2504,"")</f>
        <v>#VALUE!</v>
      </c>
      <c r="AQ2504" s="1759">
        <f t="shared" si="98"/>
        <v>2501</v>
      </c>
      <c r="AR2504" s="1756" t="e">
        <f>0.5*(S18+2*AQ2504)*LN(1+2*AQ2504/S18)</f>
        <v>#VALUE!</v>
      </c>
    </row>
    <row r="2505" spans="42:44">
      <c r="AP2505" s="1756" t="e">
        <f>IF(OR(AR2505=S13,AR2505&gt;S13),AR2505,"")</f>
        <v>#VALUE!</v>
      </c>
      <c r="AQ2505" s="1759">
        <f t="shared" si="98"/>
        <v>2502</v>
      </c>
      <c r="AR2505" s="1756" t="e">
        <f>0.5*(S18+2*AQ2505)*LN(1+2*AQ2505/S18)</f>
        <v>#VALUE!</v>
      </c>
    </row>
    <row r="2506" spans="42:44">
      <c r="AP2506" s="1756" t="e">
        <f>IF(OR(AR2506=S13,AR2506&gt;S13),AR2506,"")</f>
        <v>#VALUE!</v>
      </c>
      <c r="AQ2506" s="1759">
        <f t="shared" si="98"/>
        <v>2503</v>
      </c>
      <c r="AR2506" s="1756" t="e">
        <f>0.5*(S18+2*AQ2506)*LN(1+2*AQ2506/S18)</f>
        <v>#VALUE!</v>
      </c>
    </row>
    <row r="2507" spans="42:44">
      <c r="AP2507" s="1756" t="e">
        <f>IF(OR(AR2507=S13,AR2507&gt;S13),AR2507,"")</f>
        <v>#VALUE!</v>
      </c>
      <c r="AQ2507" s="1759">
        <f t="shared" si="98"/>
        <v>2504</v>
      </c>
      <c r="AR2507" s="1756" t="e">
        <f>0.5*(S18+2*AQ2507)*LN(1+2*AQ2507/S18)</f>
        <v>#VALUE!</v>
      </c>
    </row>
    <row r="2508" spans="42:44">
      <c r="AP2508" s="1756" t="e">
        <f>IF(OR(AR2508=S13,AR2508&gt;S13),AR2508,"")</f>
        <v>#VALUE!</v>
      </c>
      <c r="AQ2508" s="1759">
        <f t="shared" si="98"/>
        <v>2505</v>
      </c>
      <c r="AR2508" s="1756" t="e">
        <f>0.5*(S18+2*AQ2508)*LN(1+2*AQ2508/S18)</f>
        <v>#VALUE!</v>
      </c>
    </row>
    <row r="2509" spans="42:44">
      <c r="AP2509" s="1756" t="e">
        <f>IF(OR(AR2509=S13,AR2509&gt;S13),AR2509,"")</f>
        <v>#VALUE!</v>
      </c>
      <c r="AQ2509" s="1759">
        <f t="shared" si="98"/>
        <v>2506</v>
      </c>
      <c r="AR2509" s="1756" t="e">
        <f>0.5*(S18+2*AQ2509)*LN(1+2*AQ2509/S18)</f>
        <v>#VALUE!</v>
      </c>
    </row>
    <row r="2510" spans="42:44">
      <c r="AP2510" s="1756" t="e">
        <f>IF(OR(AR2510=S13,AR2510&gt;S13),AR2510,"")</f>
        <v>#VALUE!</v>
      </c>
      <c r="AQ2510" s="1759">
        <f t="shared" si="98"/>
        <v>2507</v>
      </c>
      <c r="AR2510" s="1756" t="e">
        <f>0.5*(S18+2*AQ2510)*LN(1+2*AQ2510/S18)</f>
        <v>#VALUE!</v>
      </c>
    </row>
    <row r="2511" spans="42:44">
      <c r="AP2511" s="1756" t="e">
        <f>IF(OR(AR2511=S13,AR2511&gt;S13),AR2511,"")</f>
        <v>#VALUE!</v>
      </c>
      <c r="AQ2511" s="1759">
        <f t="shared" si="98"/>
        <v>2508</v>
      </c>
      <c r="AR2511" s="1756" t="e">
        <f>0.5*(S18+2*AQ2511)*LN(1+2*AQ2511/S18)</f>
        <v>#VALUE!</v>
      </c>
    </row>
    <row r="2512" spans="42:44">
      <c r="AP2512" s="1756" t="e">
        <f>IF(OR(AR2512=S13,AR2512&gt;S13),AR2512,"")</f>
        <v>#VALUE!</v>
      </c>
      <c r="AQ2512" s="1759">
        <f t="shared" si="98"/>
        <v>2509</v>
      </c>
      <c r="AR2512" s="1756" t="e">
        <f>0.5*(S18+2*AQ2512)*LN(1+2*AQ2512/S18)</f>
        <v>#VALUE!</v>
      </c>
    </row>
    <row r="2513" spans="42:44">
      <c r="AP2513" s="1756" t="e">
        <f>IF(OR(AR2513=S13,AR2513&gt;S13),AR2513,"")</f>
        <v>#VALUE!</v>
      </c>
      <c r="AQ2513" s="1759">
        <f t="shared" si="98"/>
        <v>2510</v>
      </c>
      <c r="AR2513" s="1756" t="e">
        <f>0.5*(S18+2*AQ2513)*LN(1+2*AQ2513/S18)</f>
        <v>#VALUE!</v>
      </c>
    </row>
    <row r="2514" spans="42:44">
      <c r="AP2514" s="1756" t="e">
        <f>IF(OR(AR2514=S13,AR2514&gt;S13),AR2514,"")</f>
        <v>#VALUE!</v>
      </c>
      <c r="AQ2514" s="1759">
        <f t="shared" si="98"/>
        <v>2511</v>
      </c>
      <c r="AR2514" s="1756" t="e">
        <f>0.5*(S18+2*AQ2514)*LN(1+2*AQ2514/S18)</f>
        <v>#VALUE!</v>
      </c>
    </row>
    <row r="2515" spans="42:44">
      <c r="AP2515" s="1756" t="e">
        <f>IF(OR(AR2515=S13,AR2515&gt;S13),AR2515,"")</f>
        <v>#VALUE!</v>
      </c>
      <c r="AQ2515" s="1759">
        <f t="shared" si="98"/>
        <v>2512</v>
      </c>
      <c r="AR2515" s="1756" t="e">
        <f>0.5*(S18+2*AQ2515)*LN(1+2*AQ2515/S18)</f>
        <v>#VALUE!</v>
      </c>
    </row>
    <row r="2516" spans="42:44">
      <c r="AP2516" s="1756" t="e">
        <f>IF(OR(AR2516=S13,AR2516&gt;S13),AR2516,"")</f>
        <v>#VALUE!</v>
      </c>
      <c r="AQ2516" s="1759">
        <f t="shared" si="98"/>
        <v>2513</v>
      </c>
      <c r="AR2516" s="1756" t="e">
        <f>0.5*(S18+2*AQ2516)*LN(1+2*AQ2516/S18)</f>
        <v>#VALUE!</v>
      </c>
    </row>
    <row r="2517" spans="42:44">
      <c r="AP2517" s="1756" t="e">
        <f>IF(OR(AR2517=S13,AR2517&gt;S13),AR2517,"")</f>
        <v>#VALUE!</v>
      </c>
      <c r="AQ2517" s="1759">
        <f t="shared" si="98"/>
        <v>2514</v>
      </c>
      <c r="AR2517" s="1756" t="e">
        <f>0.5*(S18+2*AQ2517)*LN(1+2*AQ2517/S18)</f>
        <v>#VALUE!</v>
      </c>
    </row>
    <row r="2518" spans="42:44">
      <c r="AP2518" s="1756" t="e">
        <f>IF(OR(AR2518=S13,AR2518&gt;S13),AR2518,"")</f>
        <v>#VALUE!</v>
      </c>
      <c r="AQ2518" s="1759">
        <f t="shared" si="98"/>
        <v>2515</v>
      </c>
      <c r="AR2518" s="1756" t="e">
        <f>0.5*(S18+2*AQ2518)*LN(1+2*AQ2518/S18)</f>
        <v>#VALUE!</v>
      </c>
    </row>
    <row r="2519" spans="42:44">
      <c r="AP2519" s="1756" t="e">
        <f>IF(OR(AR2519=S13,AR2519&gt;S13),AR2519,"")</f>
        <v>#VALUE!</v>
      </c>
      <c r="AQ2519" s="1759">
        <f t="shared" si="98"/>
        <v>2516</v>
      </c>
      <c r="AR2519" s="1756" t="e">
        <f>0.5*(S18+2*AQ2519)*LN(1+2*AQ2519/S18)</f>
        <v>#VALUE!</v>
      </c>
    </row>
    <row r="2520" spans="42:44">
      <c r="AP2520" s="1756" t="e">
        <f>IF(OR(AR2520=S13,AR2520&gt;S13),AR2520,"")</f>
        <v>#VALUE!</v>
      </c>
      <c r="AQ2520" s="1759">
        <f t="shared" si="98"/>
        <v>2517</v>
      </c>
      <c r="AR2520" s="1756" t="e">
        <f>0.5*(S18+2*AQ2520)*LN(1+2*AQ2520/S18)</f>
        <v>#VALUE!</v>
      </c>
    </row>
    <row r="2521" spans="42:44">
      <c r="AP2521" s="1756" t="e">
        <f>IF(OR(AR2521=S13,AR2521&gt;S13),AR2521,"")</f>
        <v>#VALUE!</v>
      </c>
      <c r="AQ2521" s="1759">
        <f t="shared" si="98"/>
        <v>2518</v>
      </c>
      <c r="AR2521" s="1756" t="e">
        <f>0.5*(S18+2*AQ2521)*LN(1+2*AQ2521/S18)</f>
        <v>#VALUE!</v>
      </c>
    </row>
    <row r="2522" spans="42:44">
      <c r="AP2522" s="1756" t="e">
        <f>IF(OR(AR2522=S13,AR2522&gt;S13),AR2522,"")</f>
        <v>#VALUE!</v>
      </c>
      <c r="AQ2522" s="1759">
        <f t="shared" si="98"/>
        <v>2519</v>
      </c>
      <c r="AR2522" s="1756" t="e">
        <f>0.5*(S18+2*AQ2522)*LN(1+2*AQ2522/S18)</f>
        <v>#VALUE!</v>
      </c>
    </row>
    <row r="2523" spans="42:44">
      <c r="AP2523" s="1756" t="e">
        <f>IF(OR(AR2523=S13,AR2523&gt;S13),AR2523,"")</f>
        <v>#VALUE!</v>
      </c>
      <c r="AQ2523" s="1759">
        <f t="shared" si="98"/>
        <v>2520</v>
      </c>
      <c r="AR2523" s="1756" t="e">
        <f>0.5*(S18+2*AQ2523)*LN(1+2*AQ2523/S18)</f>
        <v>#VALUE!</v>
      </c>
    </row>
    <row r="2524" spans="42:44">
      <c r="AP2524" s="1756" t="e">
        <f>IF(OR(AR2524=S13,AR2524&gt;S13),AR2524,"")</f>
        <v>#VALUE!</v>
      </c>
      <c r="AQ2524" s="1759">
        <f t="shared" si="98"/>
        <v>2521</v>
      </c>
      <c r="AR2524" s="1756" t="e">
        <f>0.5*(S18+2*AQ2524)*LN(1+2*AQ2524/S18)</f>
        <v>#VALUE!</v>
      </c>
    </row>
    <row r="2525" spans="42:44">
      <c r="AP2525" s="1756" t="e">
        <f>IF(OR(AR2525=S13,AR2525&gt;S13),AR2525,"")</f>
        <v>#VALUE!</v>
      </c>
      <c r="AQ2525" s="1759">
        <f t="shared" si="98"/>
        <v>2522</v>
      </c>
      <c r="AR2525" s="1756" t="e">
        <f>0.5*(S18+2*AQ2525)*LN(1+2*AQ2525/S18)</f>
        <v>#VALUE!</v>
      </c>
    </row>
    <row r="2526" spans="42:44">
      <c r="AP2526" s="1756" t="e">
        <f>IF(OR(AR2526=S13,AR2526&gt;S13),AR2526,"")</f>
        <v>#VALUE!</v>
      </c>
      <c r="AQ2526" s="1759">
        <f t="shared" si="98"/>
        <v>2523</v>
      </c>
      <c r="AR2526" s="1756" t="e">
        <f>0.5*(S18+2*AQ2526)*LN(1+2*AQ2526/S18)</f>
        <v>#VALUE!</v>
      </c>
    </row>
    <row r="2527" spans="42:44">
      <c r="AP2527" s="1756" t="e">
        <f>IF(OR(AR2527=S13,AR2527&gt;S13),AR2527,"")</f>
        <v>#VALUE!</v>
      </c>
      <c r="AQ2527" s="1759">
        <f t="shared" si="98"/>
        <v>2524</v>
      </c>
      <c r="AR2527" s="1756" t="e">
        <f>0.5*(S18+2*AQ2527)*LN(1+2*AQ2527/S18)</f>
        <v>#VALUE!</v>
      </c>
    </row>
    <row r="2528" spans="42:44">
      <c r="AP2528" s="1756" t="e">
        <f>IF(OR(AR2528=S13,AR2528&gt;S13),AR2528,"")</f>
        <v>#VALUE!</v>
      </c>
      <c r="AQ2528" s="1759">
        <f t="shared" si="98"/>
        <v>2525</v>
      </c>
      <c r="AR2528" s="1756" t="e">
        <f>0.5*(S18+2*AQ2528)*LN(1+2*AQ2528/S18)</f>
        <v>#VALUE!</v>
      </c>
    </row>
    <row r="2529" spans="42:44">
      <c r="AP2529" s="1756" t="e">
        <f>IF(OR(AR2529=S13,AR2529&gt;S13),AR2529,"")</f>
        <v>#VALUE!</v>
      </c>
      <c r="AQ2529" s="1759">
        <f t="shared" si="98"/>
        <v>2526</v>
      </c>
      <c r="AR2529" s="1756" t="e">
        <f>0.5*(S18+2*AQ2529)*LN(1+2*AQ2529/S18)</f>
        <v>#VALUE!</v>
      </c>
    </row>
    <row r="2530" spans="42:44">
      <c r="AP2530" s="1756" t="e">
        <f>IF(OR(AR2530=S13,AR2530&gt;S13),AR2530,"")</f>
        <v>#VALUE!</v>
      </c>
      <c r="AQ2530" s="1759">
        <f t="shared" si="98"/>
        <v>2527</v>
      </c>
      <c r="AR2530" s="1756" t="e">
        <f>0.5*(S18+2*AQ2530)*LN(1+2*AQ2530/S18)</f>
        <v>#VALUE!</v>
      </c>
    </row>
    <row r="2531" spans="42:44">
      <c r="AP2531" s="1756" t="e">
        <f>IF(OR(AR2531=S13,AR2531&gt;S13),AR2531,"")</f>
        <v>#VALUE!</v>
      </c>
      <c r="AQ2531" s="1759">
        <f t="shared" si="98"/>
        <v>2528</v>
      </c>
      <c r="AR2531" s="1756" t="e">
        <f>0.5*(S18+2*AQ2531)*LN(1+2*AQ2531/S18)</f>
        <v>#VALUE!</v>
      </c>
    </row>
    <row r="2532" spans="42:44">
      <c r="AP2532" s="1756" t="e">
        <f>IF(OR(AR2532=S13,AR2532&gt;S13),AR2532,"")</f>
        <v>#VALUE!</v>
      </c>
      <c r="AQ2532" s="1759">
        <f t="shared" si="98"/>
        <v>2529</v>
      </c>
      <c r="AR2532" s="1756" t="e">
        <f>0.5*(S18+2*AQ2532)*LN(1+2*AQ2532/S18)</f>
        <v>#VALUE!</v>
      </c>
    </row>
    <row r="2533" spans="42:44">
      <c r="AP2533" s="1756" t="e">
        <f>IF(OR(AR2533=S13,AR2533&gt;S13),AR2533,"")</f>
        <v>#VALUE!</v>
      </c>
      <c r="AQ2533" s="1759">
        <f t="shared" si="98"/>
        <v>2530</v>
      </c>
      <c r="AR2533" s="1756" t="e">
        <f>0.5*(S18+2*AQ2533)*LN(1+2*AQ2533/S18)</f>
        <v>#VALUE!</v>
      </c>
    </row>
    <row r="2534" spans="42:44">
      <c r="AP2534" s="1756" t="e">
        <f>IF(OR(AR2534=S13,AR2534&gt;S13),AR2534,"")</f>
        <v>#VALUE!</v>
      </c>
      <c r="AQ2534" s="1759">
        <f t="shared" si="98"/>
        <v>2531</v>
      </c>
      <c r="AR2534" s="1756" t="e">
        <f>0.5*(S18+2*AQ2534)*LN(1+2*AQ2534/S18)</f>
        <v>#VALUE!</v>
      </c>
    </row>
    <row r="2535" spans="42:44">
      <c r="AP2535" s="1756" t="e">
        <f>IF(OR(AR2535=S13,AR2535&gt;S13),AR2535,"")</f>
        <v>#VALUE!</v>
      </c>
      <c r="AQ2535" s="1759">
        <f t="shared" si="98"/>
        <v>2532</v>
      </c>
      <c r="AR2535" s="1756" t="e">
        <f>0.5*(S18+2*AQ2535)*LN(1+2*AQ2535/S18)</f>
        <v>#VALUE!</v>
      </c>
    </row>
    <row r="2536" spans="42:44">
      <c r="AP2536" s="1756" t="e">
        <f>IF(OR(AR2536=S13,AR2536&gt;S13),AR2536,"")</f>
        <v>#VALUE!</v>
      </c>
      <c r="AQ2536" s="1759">
        <f t="shared" si="98"/>
        <v>2533</v>
      </c>
      <c r="AR2536" s="1756" t="e">
        <f>0.5*(S18+2*AQ2536)*LN(1+2*AQ2536/S18)</f>
        <v>#VALUE!</v>
      </c>
    </row>
    <row r="2537" spans="42:44">
      <c r="AP2537" s="1756" t="e">
        <f>IF(OR(AR2537=S13,AR2537&gt;S13),AR2537,"")</f>
        <v>#VALUE!</v>
      </c>
      <c r="AQ2537" s="1759">
        <f t="shared" si="98"/>
        <v>2534</v>
      </c>
      <c r="AR2537" s="1756" t="e">
        <f>0.5*(S18+2*AQ2537)*LN(1+2*AQ2537/S18)</f>
        <v>#VALUE!</v>
      </c>
    </row>
    <row r="2538" spans="42:44">
      <c r="AP2538" s="1756" t="e">
        <f>IF(OR(AR2538=S13,AR2538&gt;S13),AR2538,"")</f>
        <v>#VALUE!</v>
      </c>
      <c r="AQ2538" s="1759">
        <f t="shared" si="98"/>
        <v>2535</v>
      </c>
      <c r="AR2538" s="1756" t="e">
        <f>0.5*(S18+2*AQ2538)*LN(1+2*AQ2538/S18)</f>
        <v>#VALUE!</v>
      </c>
    </row>
    <row r="2539" spans="42:44">
      <c r="AP2539" s="1756" t="e">
        <f>IF(OR(AR2539=S13,AR2539&gt;S13),AR2539,"")</f>
        <v>#VALUE!</v>
      </c>
      <c r="AQ2539" s="1759">
        <f t="shared" si="98"/>
        <v>2536</v>
      </c>
      <c r="AR2539" s="1756" t="e">
        <f>0.5*(S18+2*AQ2539)*LN(1+2*AQ2539/S18)</f>
        <v>#VALUE!</v>
      </c>
    </row>
    <row r="2540" spans="42:44">
      <c r="AP2540" s="1756" t="e">
        <f>IF(OR(AR2540=S13,AR2540&gt;S13),AR2540,"")</f>
        <v>#VALUE!</v>
      </c>
      <c r="AQ2540" s="1759">
        <f t="shared" si="98"/>
        <v>2537</v>
      </c>
      <c r="AR2540" s="1756" t="e">
        <f>0.5*(S18+2*AQ2540)*LN(1+2*AQ2540/S18)</f>
        <v>#VALUE!</v>
      </c>
    </row>
    <row r="2541" spans="42:44">
      <c r="AP2541" s="1756" t="e">
        <f>IF(OR(AR2541=S13,AR2541&gt;S13),AR2541,"")</f>
        <v>#VALUE!</v>
      </c>
      <c r="AQ2541" s="1759">
        <f t="shared" si="98"/>
        <v>2538</v>
      </c>
      <c r="AR2541" s="1756" t="e">
        <f>0.5*(S18+2*AQ2541)*LN(1+2*AQ2541/S18)</f>
        <v>#VALUE!</v>
      </c>
    </row>
    <row r="2542" spans="42:44">
      <c r="AP2542" s="1756" t="e">
        <f>IF(OR(AR2542=S13,AR2542&gt;S13),AR2542,"")</f>
        <v>#VALUE!</v>
      </c>
      <c r="AQ2542" s="1759">
        <f t="shared" si="98"/>
        <v>2539</v>
      </c>
      <c r="AR2542" s="1756" t="e">
        <f>0.5*(S18+2*AQ2542)*LN(1+2*AQ2542/S18)</f>
        <v>#VALUE!</v>
      </c>
    </row>
    <row r="2543" spans="42:44">
      <c r="AP2543" s="1756" t="e">
        <f>IF(OR(AR2543=S13,AR2543&gt;S13),AR2543,"")</f>
        <v>#VALUE!</v>
      </c>
      <c r="AQ2543" s="1759">
        <f t="shared" si="98"/>
        <v>2540</v>
      </c>
      <c r="AR2543" s="1756" t="e">
        <f>0.5*(S18+2*AQ2543)*LN(1+2*AQ2543/S18)</f>
        <v>#VALUE!</v>
      </c>
    </row>
    <row r="2544" spans="42:44">
      <c r="AP2544" s="1756" t="e">
        <f>IF(OR(AR2544=S13,AR2544&gt;S13),AR2544,"")</f>
        <v>#VALUE!</v>
      </c>
      <c r="AQ2544" s="1759">
        <f t="shared" si="98"/>
        <v>2541</v>
      </c>
      <c r="AR2544" s="1756" t="e">
        <f>0.5*(S18+2*AQ2544)*LN(1+2*AQ2544/S18)</f>
        <v>#VALUE!</v>
      </c>
    </row>
    <row r="2545" spans="42:44">
      <c r="AP2545" s="1756" t="e">
        <f>IF(OR(AR2545=S13,AR2545&gt;S13),AR2545,"")</f>
        <v>#VALUE!</v>
      </c>
      <c r="AQ2545" s="1759">
        <f t="shared" si="98"/>
        <v>2542</v>
      </c>
      <c r="AR2545" s="1756" t="e">
        <f>0.5*(S18+2*AQ2545)*LN(1+2*AQ2545/S18)</f>
        <v>#VALUE!</v>
      </c>
    </row>
    <row r="2546" spans="42:44">
      <c r="AP2546" s="1756" t="e">
        <f>IF(OR(AR2546=S13,AR2546&gt;S13),AR2546,"")</f>
        <v>#VALUE!</v>
      </c>
      <c r="AQ2546" s="1759">
        <f t="shared" si="98"/>
        <v>2543</v>
      </c>
      <c r="AR2546" s="1756" t="e">
        <f>0.5*(S18+2*AQ2546)*LN(1+2*AQ2546/S18)</f>
        <v>#VALUE!</v>
      </c>
    </row>
    <row r="2547" spans="42:44">
      <c r="AP2547" s="1756" t="e">
        <f>IF(OR(AR2547=S13,AR2547&gt;S13),AR2547,"")</f>
        <v>#VALUE!</v>
      </c>
      <c r="AQ2547" s="1759">
        <f t="shared" si="98"/>
        <v>2544</v>
      </c>
      <c r="AR2547" s="1756" t="e">
        <f>0.5*(S18+2*AQ2547)*LN(1+2*AQ2547/S18)</f>
        <v>#VALUE!</v>
      </c>
    </row>
    <row r="2548" spans="42:44">
      <c r="AP2548" s="1756" t="e">
        <f>IF(OR(AR2548=S13,AR2548&gt;S13),AR2548,"")</f>
        <v>#VALUE!</v>
      </c>
      <c r="AQ2548" s="1759">
        <f t="shared" si="98"/>
        <v>2545</v>
      </c>
      <c r="AR2548" s="1756" t="e">
        <f>0.5*(S18+2*AQ2548)*LN(1+2*AQ2548/S18)</f>
        <v>#VALUE!</v>
      </c>
    </row>
    <row r="2549" spans="42:44">
      <c r="AP2549" s="1756" t="e">
        <f>IF(OR(AR2549=S13,AR2549&gt;S13),AR2549,"")</f>
        <v>#VALUE!</v>
      </c>
      <c r="AQ2549" s="1759">
        <f t="shared" si="98"/>
        <v>2546</v>
      </c>
      <c r="AR2549" s="1756" t="e">
        <f>0.5*(S18+2*AQ2549)*LN(1+2*AQ2549/S18)</f>
        <v>#VALUE!</v>
      </c>
    </row>
    <row r="2550" spans="42:44">
      <c r="AP2550" s="1756" t="e">
        <f>IF(OR(AR2550=S13,AR2550&gt;S13),AR2550,"")</f>
        <v>#VALUE!</v>
      </c>
      <c r="AQ2550" s="1759">
        <f t="shared" si="98"/>
        <v>2547</v>
      </c>
      <c r="AR2550" s="1756" t="e">
        <f>0.5*(S18+2*AQ2550)*LN(1+2*AQ2550/S18)</f>
        <v>#VALUE!</v>
      </c>
    </row>
    <row r="2551" spans="42:44">
      <c r="AP2551" s="1756" t="e">
        <f>IF(OR(AR2551=S13,AR2551&gt;S13),AR2551,"")</f>
        <v>#VALUE!</v>
      </c>
      <c r="AQ2551" s="1759">
        <f t="shared" si="98"/>
        <v>2548</v>
      </c>
      <c r="AR2551" s="1756" t="e">
        <f>0.5*(S18+2*AQ2551)*LN(1+2*AQ2551/S18)</f>
        <v>#VALUE!</v>
      </c>
    </row>
    <row r="2552" spans="42:44">
      <c r="AP2552" s="1756" t="e">
        <f>IF(OR(AR2552=S13,AR2552&gt;S13),AR2552,"")</f>
        <v>#VALUE!</v>
      </c>
      <c r="AQ2552" s="1759">
        <f t="shared" si="98"/>
        <v>2549</v>
      </c>
      <c r="AR2552" s="1756" t="e">
        <f>0.5*(S18+2*AQ2552)*LN(1+2*AQ2552/S18)</f>
        <v>#VALUE!</v>
      </c>
    </row>
    <row r="2553" spans="42:44">
      <c r="AP2553" s="1756" t="e">
        <f>IF(OR(AR2553=S13,AR2553&gt;S13),AR2553,"")</f>
        <v>#VALUE!</v>
      </c>
      <c r="AQ2553" s="1759">
        <f t="shared" si="98"/>
        <v>2550</v>
      </c>
      <c r="AR2553" s="1756" t="e">
        <f>0.5*(S18+2*AQ2553)*LN(1+2*AQ2553/S18)</f>
        <v>#VALUE!</v>
      </c>
    </row>
    <row r="2554" spans="42:44">
      <c r="AP2554" s="1756" t="e">
        <f>IF(OR(AR2554=S13,AR2554&gt;S13),AR2554,"")</f>
        <v>#VALUE!</v>
      </c>
      <c r="AQ2554" s="1759">
        <f t="shared" si="98"/>
        <v>2551</v>
      </c>
      <c r="AR2554" s="1756" t="e">
        <f>0.5*(S18+2*AQ2554)*LN(1+2*AQ2554/S18)</f>
        <v>#VALUE!</v>
      </c>
    </row>
    <row r="2555" spans="42:44">
      <c r="AP2555" s="1756" t="e">
        <f>IF(OR(AR2555=S13,AR2555&gt;S13),AR2555,"")</f>
        <v>#VALUE!</v>
      </c>
      <c r="AQ2555" s="1759">
        <f t="shared" si="98"/>
        <v>2552</v>
      </c>
      <c r="AR2555" s="1756" t="e">
        <f>0.5*(S18+2*AQ2555)*LN(1+2*AQ2555/S18)</f>
        <v>#VALUE!</v>
      </c>
    </row>
    <row r="2556" spans="42:44">
      <c r="AP2556" s="1756" t="e">
        <f>IF(OR(AR2556=S13,AR2556&gt;S13),AR2556,"")</f>
        <v>#VALUE!</v>
      </c>
      <c r="AQ2556" s="1759">
        <f t="shared" si="98"/>
        <v>2553</v>
      </c>
      <c r="AR2556" s="1756" t="e">
        <f>0.5*(S18+2*AQ2556)*LN(1+2*AQ2556/S18)</f>
        <v>#VALUE!</v>
      </c>
    </row>
    <row r="2557" spans="42:44">
      <c r="AP2557" s="1756" t="e">
        <f>IF(OR(AR2557=S13,AR2557&gt;S13),AR2557,"")</f>
        <v>#VALUE!</v>
      </c>
      <c r="AQ2557" s="1759">
        <f t="shared" si="98"/>
        <v>2554</v>
      </c>
      <c r="AR2557" s="1756" t="e">
        <f>0.5*(S18+2*AQ2557)*LN(1+2*AQ2557/S18)</f>
        <v>#VALUE!</v>
      </c>
    </row>
    <row r="2558" spans="42:44">
      <c r="AP2558" s="1756" t="e">
        <f>IF(OR(AR2558=S13,AR2558&gt;S13),AR2558,"")</f>
        <v>#VALUE!</v>
      </c>
      <c r="AQ2558" s="1759">
        <f t="shared" si="98"/>
        <v>2555</v>
      </c>
      <c r="AR2558" s="1756" t="e">
        <f>0.5*(S18+2*AQ2558)*LN(1+2*AQ2558/S18)</f>
        <v>#VALUE!</v>
      </c>
    </row>
    <row r="2559" spans="42:44">
      <c r="AP2559" s="1756" t="e">
        <f>IF(OR(AR2559=S13,AR2559&gt;S13),AR2559,"")</f>
        <v>#VALUE!</v>
      </c>
      <c r="AQ2559" s="1759">
        <f t="shared" si="98"/>
        <v>2556</v>
      </c>
      <c r="AR2559" s="1756" t="e">
        <f>0.5*(S18+2*AQ2559)*LN(1+2*AQ2559/S18)</f>
        <v>#VALUE!</v>
      </c>
    </row>
    <row r="2560" spans="42:44">
      <c r="AP2560" s="1756" t="e">
        <f>IF(OR(AR2560=S13,AR2560&gt;S13),AR2560,"")</f>
        <v>#VALUE!</v>
      </c>
      <c r="AQ2560" s="1759">
        <f t="shared" si="98"/>
        <v>2557</v>
      </c>
      <c r="AR2560" s="1756" t="e">
        <f>0.5*(S18+2*AQ2560)*LN(1+2*AQ2560/S18)</f>
        <v>#VALUE!</v>
      </c>
    </row>
    <row r="2561" spans="42:44">
      <c r="AP2561" s="1756" t="e">
        <f>IF(OR(AR2561=S13,AR2561&gt;S13),AR2561,"")</f>
        <v>#VALUE!</v>
      </c>
      <c r="AQ2561" s="1759">
        <f t="shared" si="98"/>
        <v>2558</v>
      </c>
      <c r="AR2561" s="1756" t="e">
        <f>0.5*(S18+2*AQ2561)*LN(1+2*AQ2561/S18)</f>
        <v>#VALUE!</v>
      </c>
    </row>
    <row r="2562" spans="42:44">
      <c r="AP2562" s="1756" t="e">
        <f>IF(OR(AR2562=S13,AR2562&gt;S13),AR2562,"")</f>
        <v>#VALUE!</v>
      </c>
      <c r="AQ2562" s="1759">
        <f t="shared" si="98"/>
        <v>2559</v>
      </c>
      <c r="AR2562" s="1756" t="e">
        <f>0.5*(S18+2*AQ2562)*LN(1+2*AQ2562/S18)</f>
        <v>#VALUE!</v>
      </c>
    </row>
    <row r="2563" spans="42:44">
      <c r="AP2563" s="1756" t="e">
        <f>IF(OR(AR2563=S13,AR2563&gt;S13),AR2563,"")</f>
        <v>#VALUE!</v>
      </c>
      <c r="AQ2563" s="1759">
        <f t="shared" si="98"/>
        <v>2560</v>
      </c>
      <c r="AR2563" s="1756" t="e">
        <f>0.5*(S18+2*AQ2563)*LN(1+2*AQ2563/S18)</f>
        <v>#VALUE!</v>
      </c>
    </row>
    <row r="2564" spans="42:44">
      <c r="AP2564" s="1756" t="e">
        <f>IF(OR(AR2564=S13,AR2564&gt;S13),AR2564,"")</f>
        <v>#VALUE!</v>
      </c>
      <c r="AQ2564" s="1759">
        <f t="shared" si="98"/>
        <v>2561</v>
      </c>
      <c r="AR2564" s="1756" t="e">
        <f>0.5*(S18+2*AQ2564)*LN(1+2*AQ2564/S18)</f>
        <v>#VALUE!</v>
      </c>
    </row>
    <row r="2565" spans="42:44">
      <c r="AP2565" s="1756" t="e">
        <f>IF(OR(AR2565=S13,AR2565&gt;S13),AR2565,"")</f>
        <v>#VALUE!</v>
      </c>
      <c r="AQ2565" s="1759">
        <f t="shared" si="98"/>
        <v>2562</v>
      </c>
      <c r="AR2565" s="1756" t="e">
        <f>0.5*(S18+2*AQ2565)*LN(1+2*AQ2565/S18)</f>
        <v>#VALUE!</v>
      </c>
    </row>
    <row r="2566" spans="42:44">
      <c r="AP2566" s="1756" t="e">
        <f>IF(OR(AR2566=S13,AR2566&gt;S13),AR2566,"")</f>
        <v>#VALUE!</v>
      </c>
      <c r="AQ2566" s="1759">
        <f t="shared" ref="AQ2566:AQ2629" si="99">AQ2565+1</f>
        <v>2563</v>
      </c>
      <c r="AR2566" s="1756" t="e">
        <f>0.5*(S18+2*AQ2566)*LN(1+2*AQ2566/S18)</f>
        <v>#VALUE!</v>
      </c>
    </row>
    <row r="2567" spans="42:44">
      <c r="AP2567" s="1756" t="e">
        <f>IF(OR(AR2567=S13,AR2567&gt;S13),AR2567,"")</f>
        <v>#VALUE!</v>
      </c>
      <c r="AQ2567" s="1759">
        <f t="shared" si="99"/>
        <v>2564</v>
      </c>
      <c r="AR2567" s="1756" t="e">
        <f>0.5*(S18+2*AQ2567)*LN(1+2*AQ2567/S18)</f>
        <v>#VALUE!</v>
      </c>
    </row>
    <row r="2568" spans="42:44">
      <c r="AP2568" s="1756" t="e">
        <f>IF(OR(AR2568=S13,AR2568&gt;S13),AR2568,"")</f>
        <v>#VALUE!</v>
      </c>
      <c r="AQ2568" s="1759">
        <f t="shared" si="99"/>
        <v>2565</v>
      </c>
      <c r="AR2568" s="1756" t="e">
        <f>0.5*(S18+2*AQ2568)*LN(1+2*AQ2568/S18)</f>
        <v>#VALUE!</v>
      </c>
    </row>
    <row r="2569" spans="42:44">
      <c r="AP2569" s="1756" t="e">
        <f>IF(OR(AR2569=S13,AR2569&gt;S13),AR2569,"")</f>
        <v>#VALUE!</v>
      </c>
      <c r="AQ2569" s="1759">
        <f t="shared" si="99"/>
        <v>2566</v>
      </c>
      <c r="AR2569" s="1756" t="e">
        <f>0.5*(S18+2*AQ2569)*LN(1+2*AQ2569/S18)</f>
        <v>#VALUE!</v>
      </c>
    </row>
    <row r="2570" spans="42:44">
      <c r="AP2570" s="1756" t="e">
        <f>IF(OR(AR2570=S13,AR2570&gt;S13),AR2570,"")</f>
        <v>#VALUE!</v>
      </c>
      <c r="AQ2570" s="1759">
        <f t="shared" si="99"/>
        <v>2567</v>
      </c>
      <c r="AR2570" s="1756" t="e">
        <f>0.5*(S18+2*AQ2570)*LN(1+2*AQ2570/S18)</f>
        <v>#VALUE!</v>
      </c>
    </row>
    <row r="2571" spans="42:44">
      <c r="AP2571" s="1756" t="e">
        <f>IF(OR(AR2571=S13,AR2571&gt;S13),AR2571,"")</f>
        <v>#VALUE!</v>
      </c>
      <c r="AQ2571" s="1759">
        <f t="shared" si="99"/>
        <v>2568</v>
      </c>
      <c r="AR2571" s="1756" t="e">
        <f>0.5*(S18+2*AQ2571)*LN(1+2*AQ2571/S18)</f>
        <v>#VALUE!</v>
      </c>
    </row>
    <row r="2572" spans="42:44">
      <c r="AP2572" s="1756" t="e">
        <f>IF(OR(AR2572=S13,AR2572&gt;S13),AR2572,"")</f>
        <v>#VALUE!</v>
      </c>
      <c r="AQ2572" s="1759">
        <f t="shared" si="99"/>
        <v>2569</v>
      </c>
      <c r="AR2572" s="1756" t="e">
        <f>0.5*(S18+2*AQ2572)*LN(1+2*AQ2572/S18)</f>
        <v>#VALUE!</v>
      </c>
    </row>
    <row r="2573" spans="42:44">
      <c r="AP2573" s="1756" t="e">
        <f>IF(OR(AR2573=S13,AR2573&gt;S13),AR2573,"")</f>
        <v>#VALUE!</v>
      </c>
      <c r="AQ2573" s="1759">
        <f t="shared" si="99"/>
        <v>2570</v>
      </c>
      <c r="AR2573" s="1756" t="e">
        <f>0.5*(S18+2*AQ2573)*LN(1+2*AQ2573/S18)</f>
        <v>#VALUE!</v>
      </c>
    </row>
    <row r="2574" spans="42:44">
      <c r="AP2574" s="1756" t="e">
        <f>IF(OR(AR2574=S13,AR2574&gt;S13),AR2574,"")</f>
        <v>#VALUE!</v>
      </c>
      <c r="AQ2574" s="1759">
        <f t="shared" si="99"/>
        <v>2571</v>
      </c>
      <c r="AR2574" s="1756" t="e">
        <f>0.5*(S18+2*AQ2574)*LN(1+2*AQ2574/S18)</f>
        <v>#VALUE!</v>
      </c>
    </row>
    <row r="2575" spans="42:44">
      <c r="AP2575" s="1756" t="e">
        <f>IF(OR(AR2575=S13,AR2575&gt;S13),AR2575,"")</f>
        <v>#VALUE!</v>
      </c>
      <c r="AQ2575" s="1759">
        <f t="shared" si="99"/>
        <v>2572</v>
      </c>
      <c r="AR2575" s="1756" t="e">
        <f>0.5*(S18+2*AQ2575)*LN(1+2*AQ2575/S18)</f>
        <v>#VALUE!</v>
      </c>
    </row>
    <row r="2576" spans="42:44">
      <c r="AP2576" s="1756" t="e">
        <f>IF(OR(AR2576=S13,AR2576&gt;S13),AR2576,"")</f>
        <v>#VALUE!</v>
      </c>
      <c r="AQ2576" s="1759">
        <f t="shared" si="99"/>
        <v>2573</v>
      </c>
      <c r="AR2576" s="1756" t="e">
        <f>0.5*(S18+2*AQ2576)*LN(1+2*AQ2576/S18)</f>
        <v>#VALUE!</v>
      </c>
    </row>
    <row r="2577" spans="42:44">
      <c r="AP2577" s="1756" t="e">
        <f>IF(OR(AR2577=S13,AR2577&gt;S13),AR2577,"")</f>
        <v>#VALUE!</v>
      </c>
      <c r="AQ2577" s="1759">
        <f t="shared" si="99"/>
        <v>2574</v>
      </c>
      <c r="AR2577" s="1756" t="e">
        <f>0.5*(S18+2*AQ2577)*LN(1+2*AQ2577/S18)</f>
        <v>#VALUE!</v>
      </c>
    </row>
    <row r="2578" spans="42:44">
      <c r="AP2578" s="1756" t="e">
        <f>IF(OR(AR2578=S13,AR2578&gt;S13),AR2578,"")</f>
        <v>#VALUE!</v>
      </c>
      <c r="AQ2578" s="1759">
        <f t="shared" si="99"/>
        <v>2575</v>
      </c>
      <c r="AR2578" s="1756" t="e">
        <f>0.5*(S18+2*AQ2578)*LN(1+2*AQ2578/S18)</f>
        <v>#VALUE!</v>
      </c>
    </row>
    <row r="2579" spans="42:44">
      <c r="AP2579" s="1756" t="e">
        <f>IF(OR(AR2579=S13,AR2579&gt;S13),AR2579,"")</f>
        <v>#VALUE!</v>
      </c>
      <c r="AQ2579" s="1759">
        <f t="shared" si="99"/>
        <v>2576</v>
      </c>
      <c r="AR2579" s="1756" t="e">
        <f>0.5*(S18+2*AQ2579)*LN(1+2*AQ2579/S18)</f>
        <v>#VALUE!</v>
      </c>
    </row>
    <row r="2580" spans="42:44">
      <c r="AP2580" s="1756" t="e">
        <f>IF(OR(AR2580=S13,AR2580&gt;S13),AR2580,"")</f>
        <v>#VALUE!</v>
      </c>
      <c r="AQ2580" s="1759">
        <f t="shared" si="99"/>
        <v>2577</v>
      </c>
      <c r="AR2580" s="1756" t="e">
        <f>0.5*(S18+2*AQ2580)*LN(1+2*AQ2580/S18)</f>
        <v>#VALUE!</v>
      </c>
    </row>
    <row r="2581" spans="42:44">
      <c r="AP2581" s="1756" t="e">
        <f>IF(OR(AR2581=S13,AR2581&gt;S13),AR2581,"")</f>
        <v>#VALUE!</v>
      </c>
      <c r="AQ2581" s="1759">
        <f t="shared" si="99"/>
        <v>2578</v>
      </c>
      <c r="AR2581" s="1756" t="e">
        <f>0.5*(S18+2*AQ2581)*LN(1+2*AQ2581/S18)</f>
        <v>#VALUE!</v>
      </c>
    </row>
    <row r="2582" spans="42:44">
      <c r="AP2582" s="1756" t="e">
        <f>IF(OR(AR2582=S13,AR2582&gt;S13),AR2582,"")</f>
        <v>#VALUE!</v>
      </c>
      <c r="AQ2582" s="1759">
        <f t="shared" si="99"/>
        <v>2579</v>
      </c>
      <c r="AR2582" s="1756" t="e">
        <f>0.5*(S18+2*AQ2582)*LN(1+2*AQ2582/S18)</f>
        <v>#VALUE!</v>
      </c>
    </row>
    <row r="2583" spans="42:44">
      <c r="AP2583" s="1756" t="e">
        <f>IF(OR(AR2583=S13,AR2583&gt;S13),AR2583,"")</f>
        <v>#VALUE!</v>
      </c>
      <c r="AQ2583" s="1759">
        <f t="shared" si="99"/>
        <v>2580</v>
      </c>
      <c r="AR2583" s="1756" t="e">
        <f>0.5*(S18+2*AQ2583)*LN(1+2*AQ2583/S18)</f>
        <v>#VALUE!</v>
      </c>
    </row>
    <row r="2584" spans="42:44">
      <c r="AP2584" s="1756" t="e">
        <f>IF(OR(AR2584=S13,AR2584&gt;S13),AR2584,"")</f>
        <v>#VALUE!</v>
      </c>
      <c r="AQ2584" s="1759">
        <f t="shared" si="99"/>
        <v>2581</v>
      </c>
      <c r="AR2584" s="1756" t="e">
        <f>0.5*(S18+2*AQ2584)*LN(1+2*AQ2584/S18)</f>
        <v>#VALUE!</v>
      </c>
    </row>
    <row r="2585" spans="42:44">
      <c r="AP2585" s="1756" t="e">
        <f>IF(OR(AR2585=S13,AR2585&gt;S13),AR2585,"")</f>
        <v>#VALUE!</v>
      </c>
      <c r="AQ2585" s="1759">
        <f t="shared" si="99"/>
        <v>2582</v>
      </c>
      <c r="AR2585" s="1756" t="e">
        <f>0.5*(S18+2*AQ2585)*LN(1+2*AQ2585/S18)</f>
        <v>#VALUE!</v>
      </c>
    </row>
    <row r="2586" spans="42:44">
      <c r="AP2586" s="1756" t="e">
        <f>IF(OR(AR2586=S13,AR2586&gt;S13),AR2586,"")</f>
        <v>#VALUE!</v>
      </c>
      <c r="AQ2586" s="1759">
        <f t="shared" si="99"/>
        <v>2583</v>
      </c>
      <c r="AR2586" s="1756" t="e">
        <f>0.5*(S18+2*AQ2586)*LN(1+2*AQ2586/S18)</f>
        <v>#VALUE!</v>
      </c>
    </row>
    <row r="2587" spans="42:44">
      <c r="AP2587" s="1756" t="e">
        <f>IF(OR(AR2587=S13,AR2587&gt;S13),AR2587,"")</f>
        <v>#VALUE!</v>
      </c>
      <c r="AQ2587" s="1759">
        <f t="shared" si="99"/>
        <v>2584</v>
      </c>
      <c r="AR2587" s="1756" t="e">
        <f>0.5*(S18+2*AQ2587)*LN(1+2*AQ2587/S18)</f>
        <v>#VALUE!</v>
      </c>
    </row>
    <row r="2588" spans="42:44">
      <c r="AP2588" s="1756" t="e">
        <f>IF(OR(AR2588=S13,AR2588&gt;S13),AR2588,"")</f>
        <v>#VALUE!</v>
      </c>
      <c r="AQ2588" s="1759">
        <f t="shared" si="99"/>
        <v>2585</v>
      </c>
      <c r="AR2588" s="1756" t="e">
        <f>0.5*(S18+2*AQ2588)*LN(1+2*AQ2588/S18)</f>
        <v>#VALUE!</v>
      </c>
    </row>
    <row r="2589" spans="42:44">
      <c r="AP2589" s="1756" t="e">
        <f>IF(OR(AR2589=S13,AR2589&gt;S13),AR2589,"")</f>
        <v>#VALUE!</v>
      </c>
      <c r="AQ2589" s="1759">
        <f t="shared" si="99"/>
        <v>2586</v>
      </c>
      <c r="AR2589" s="1756" t="e">
        <f>0.5*(S18+2*AQ2589)*LN(1+2*AQ2589/S18)</f>
        <v>#VALUE!</v>
      </c>
    </row>
    <row r="2590" spans="42:44">
      <c r="AP2590" s="1756" t="e">
        <f>IF(OR(AR2590=S13,AR2590&gt;S13),AR2590,"")</f>
        <v>#VALUE!</v>
      </c>
      <c r="AQ2590" s="1759">
        <f t="shared" si="99"/>
        <v>2587</v>
      </c>
      <c r="AR2590" s="1756" t="e">
        <f>0.5*(S18+2*AQ2590)*LN(1+2*AQ2590/S18)</f>
        <v>#VALUE!</v>
      </c>
    </row>
    <row r="2591" spans="42:44">
      <c r="AP2591" s="1756" t="e">
        <f>IF(OR(AR2591=S13,AR2591&gt;S13),AR2591,"")</f>
        <v>#VALUE!</v>
      </c>
      <c r="AQ2591" s="1759">
        <f t="shared" si="99"/>
        <v>2588</v>
      </c>
      <c r="AR2591" s="1756" t="e">
        <f>0.5*(S18+2*AQ2591)*LN(1+2*AQ2591/S18)</f>
        <v>#VALUE!</v>
      </c>
    </row>
    <row r="2592" spans="42:44">
      <c r="AP2592" s="1756" t="e">
        <f>IF(OR(AR2592=S13,AR2592&gt;S13),AR2592,"")</f>
        <v>#VALUE!</v>
      </c>
      <c r="AQ2592" s="1759">
        <f t="shared" si="99"/>
        <v>2589</v>
      </c>
      <c r="AR2592" s="1756" t="e">
        <f>0.5*(S18+2*AQ2592)*LN(1+2*AQ2592/S18)</f>
        <v>#VALUE!</v>
      </c>
    </row>
    <row r="2593" spans="42:44">
      <c r="AP2593" s="1756" t="e">
        <f>IF(OR(AR2593=S13,AR2593&gt;S13),AR2593,"")</f>
        <v>#VALUE!</v>
      </c>
      <c r="AQ2593" s="1759">
        <f t="shared" si="99"/>
        <v>2590</v>
      </c>
      <c r="AR2593" s="1756" t="e">
        <f>0.5*(S18+2*AQ2593)*LN(1+2*AQ2593/S18)</f>
        <v>#VALUE!</v>
      </c>
    </row>
    <row r="2594" spans="42:44">
      <c r="AP2594" s="1756" t="e">
        <f>IF(OR(AR2594=S13,AR2594&gt;S13),AR2594,"")</f>
        <v>#VALUE!</v>
      </c>
      <c r="AQ2594" s="1759">
        <f t="shared" si="99"/>
        <v>2591</v>
      </c>
      <c r="AR2594" s="1756" t="e">
        <f>0.5*(S18+2*AQ2594)*LN(1+2*AQ2594/S18)</f>
        <v>#VALUE!</v>
      </c>
    </row>
    <row r="2595" spans="42:44">
      <c r="AP2595" s="1756" t="e">
        <f>IF(OR(AR2595=S13,AR2595&gt;S13),AR2595,"")</f>
        <v>#VALUE!</v>
      </c>
      <c r="AQ2595" s="1759">
        <f t="shared" si="99"/>
        <v>2592</v>
      </c>
      <c r="AR2595" s="1756" t="e">
        <f>0.5*(S18+2*AQ2595)*LN(1+2*AQ2595/S18)</f>
        <v>#VALUE!</v>
      </c>
    </row>
    <row r="2596" spans="42:44">
      <c r="AP2596" s="1756" t="e">
        <f>IF(OR(AR2596=S13,AR2596&gt;S13),AR2596,"")</f>
        <v>#VALUE!</v>
      </c>
      <c r="AQ2596" s="1759">
        <f t="shared" si="99"/>
        <v>2593</v>
      </c>
      <c r="AR2596" s="1756" t="e">
        <f>0.5*(S18+2*AQ2596)*LN(1+2*AQ2596/S18)</f>
        <v>#VALUE!</v>
      </c>
    </row>
    <row r="2597" spans="42:44">
      <c r="AP2597" s="1756" t="e">
        <f>IF(OR(AR2597=S13,AR2597&gt;S13),AR2597,"")</f>
        <v>#VALUE!</v>
      </c>
      <c r="AQ2597" s="1759">
        <f t="shared" si="99"/>
        <v>2594</v>
      </c>
      <c r="AR2597" s="1756" t="e">
        <f>0.5*(S18+2*AQ2597)*LN(1+2*AQ2597/S18)</f>
        <v>#VALUE!</v>
      </c>
    </row>
    <row r="2598" spans="42:44">
      <c r="AP2598" s="1756" t="e">
        <f>IF(OR(AR2598=S13,AR2598&gt;S13),AR2598,"")</f>
        <v>#VALUE!</v>
      </c>
      <c r="AQ2598" s="1759">
        <f t="shared" si="99"/>
        <v>2595</v>
      </c>
      <c r="AR2598" s="1756" t="e">
        <f>0.5*(S18+2*AQ2598)*LN(1+2*AQ2598/S18)</f>
        <v>#VALUE!</v>
      </c>
    </row>
    <row r="2599" spans="42:44">
      <c r="AP2599" s="1756" t="e">
        <f>IF(OR(AR2599=S13,AR2599&gt;S13),AR2599,"")</f>
        <v>#VALUE!</v>
      </c>
      <c r="AQ2599" s="1759">
        <f t="shared" si="99"/>
        <v>2596</v>
      </c>
      <c r="AR2599" s="1756" t="e">
        <f>0.5*(S18+2*AQ2599)*LN(1+2*AQ2599/S18)</f>
        <v>#VALUE!</v>
      </c>
    </row>
    <row r="2600" spans="42:44">
      <c r="AP2600" s="1756" t="e">
        <f>IF(OR(AR2600=S13,AR2600&gt;S13),AR2600,"")</f>
        <v>#VALUE!</v>
      </c>
      <c r="AQ2600" s="1759">
        <f t="shared" si="99"/>
        <v>2597</v>
      </c>
      <c r="AR2600" s="1756" t="e">
        <f>0.5*(S18+2*AQ2600)*LN(1+2*AQ2600/S18)</f>
        <v>#VALUE!</v>
      </c>
    </row>
    <row r="2601" spans="42:44">
      <c r="AP2601" s="1756" t="e">
        <f>IF(OR(AR2601=S13,AR2601&gt;S13),AR2601,"")</f>
        <v>#VALUE!</v>
      </c>
      <c r="AQ2601" s="1759">
        <f t="shared" si="99"/>
        <v>2598</v>
      </c>
      <c r="AR2601" s="1756" t="e">
        <f>0.5*(S18+2*AQ2601)*LN(1+2*AQ2601/S18)</f>
        <v>#VALUE!</v>
      </c>
    </row>
    <row r="2602" spans="42:44">
      <c r="AP2602" s="1756" t="e">
        <f>IF(OR(AR2602=S13,AR2602&gt;S13),AR2602,"")</f>
        <v>#VALUE!</v>
      </c>
      <c r="AQ2602" s="1759">
        <f t="shared" si="99"/>
        <v>2599</v>
      </c>
      <c r="AR2602" s="1756" t="e">
        <f>0.5*(S18+2*AQ2602)*LN(1+2*AQ2602/S18)</f>
        <v>#VALUE!</v>
      </c>
    </row>
    <row r="2603" spans="42:44">
      <c r="AP2603" s="1756" t="e">
        <f>IF(OR(AR2603=S13,AR2603&gt;S13),AR2603,"")</f>
        <v>#VALUE!</v>
      </c>
      <c r="AQ2603" s="1759">
        <f t="shared" si="99"/>
        <v>2600</v>
      </c>
      <c r="AR2603" s="1756" t="e">
        <f>0.5*(S18+2*AQ2603)*LN(1+2*AQ2603/S18)</f>
        <v>#VALUE!</v>
      </c>
    </row>
    <row r="2604" spans="42:44">
      <c r="AP2604" s="1756" t="e">
        <f>IF(OR(AR2604=S13,AR2604&gt;S13),AR2604,"")</f>
        <v>#VALUE!</v>
      </c>
      <c r="AQ2604" s="1759">
        <f t="shared" si="99"/>
        <v>2601</v>
      </c>
      <c r="AR2604" s="1756" t="e">
        <f>0.5*(S18+2*AQ2604)*LN(1+2*AQ2604/S18)</f>
        <v>#VALUE!</v>
      </c>
    </row>
    <row r="2605" spans="42:44">
      <c r="AP2605" s="1756" t="e">
        <f>IF(OR(AR2605=S13,AR2605&gt;S13),AR2605,"")</f>
        <v>#VALUE!</v>
      </c>
      <c r="AQ2605" s="1759">
        <f t="shared" si="99"/>
        <v>2602</v>
      </c>
      <c r="AR2605" s="1756" t="e">
        <f>0.5*(S18+2*AQ2605)*LN(1+2*AQ2605/S18)</f>
        <v>#VALUE!</v>
      </c>
    </row>
    <row r="2606" spans="42:44">
      <c r="AP2606" s="1756" t="e">
        <f>IF(OR(AR2606=S13,AR2606&gt;S13),AR2606,"")</f>
        <v>#VALUE!</v>
      </c>
      <c r="AQ2606" s="1759">
        <f t="shared" si="99"/>
        <v>2603</v>
      </c>
      <c r="AR2606" s="1756" t="e">
        <f>0.5*(S18+2*AQ2606)*LN(1+2*AQ2606/S18)</f>
        <v>#VALUE!</v>
      </c>
    </row>
    <row r="2607" spans="42:44">
      <c r="AP2607" s="1756" t="e">
        <f>IF(OR(AR2607=S13,AR2607&gt;S13),AR2607,"")</f>
        <v>#VALUE!</v>
      </c>
      <c r="AQ2607" s="1759">
        <f t="shared" si="99"/>
        <v>2604</v>
      </c>
      <c r="AR2607" s="1756" t="e">
        <f>0.5*(S18+2*AQ2607)*LN(1+2*AQ2607/S18)</f>
        <v>#VALUE!</v>
      </c>
    </row>
    <row r="2608" spans="42:44">
      <c r="AP2608" s="1756" t="e">
        <f>IF(OR(AR2608=S13,AR2608&gt;S13),AR2608,"")</f>
        <v>#VALUE!</v>
      </c>
      <c r="AQ2608" s="1759">
        <f t="shared" si="99"/>
        <v>2605</v>
      </c>
      <c r="AR2608" s="1756" t="e">
        <f>0.5*(S18+2*AQ2608)*LN(1+2*AQ2608/S18)</f>
        <v>#VALUE!</v>
      </c>
    </row>
    <row r="2609" spans="42:44">
      <c r="AP2609" s="1756" t="e">
        <f>IF(OR(AR2609=S13,AR2609&gt;S13),AR2609,"")</f>
        <v>#VALUE!</v>
      </c>
      <c r="AQ2609" s="1759">
        <f t="shared" si="99"/>
        <v>2606</v>
      </c>
      <c r="AR2609" s="1756" t="e">
        <f>0.5*(S18+2*AQ2609)*LN(1+2*AQ2609/S18)</f>
        <v>#VALUE!</v>
      </c>
    </row>
    <row r="2610" spans="42:44">
      <c r="AP2610" s="1756" t="e">
        <f>IF(OR(AR2610=S13,AR2610&gt;S13),AR2610,"")</f>
        <v>#VALUE!</v>
      </c>
      <c r="AQ2610" s="1759">
        <f t="shared" si="99"/>
        <v>2607</v>
      </c>
      <c r="AR2610" s="1756" t="e">
        <f>0.5*(S18+2*AQ2610)*LN(1+2*AQ2610/S18)</f>
        <v>#VALUE!</v>
      </c>
    </row>
    <row r="2611" spans="42:44">
      <c r="AP2611" s="1756" t="e">
        <f>IF(OR(AR2611=S13,AR2611&gt;S13),AR2611,"")</f>
        <v>#VALUE!</v>
      </c>
      <c r="AQ2611" s="1759">
        <f t="shared" si="99"/>
        <v>2608</v>
      </c>
      <c r="AR2611" s="1756" t="e">
        <f>0.5*(S18+2*AQ2611)*LN(1+2*AQ2611/S18)</f>
        <v>#VALUE!</v>
      </c>
    </row>
    <row r="2612" spans="42:44">
      <c r="AP2612" s="1756" t="e">
        <f>IF(OR(AR2612=S13,AR2612&gt;S13),AR2612,"")</f>
        <v>#VALUE!</v>
      </c>
      <c r="AQ2612" s="1759">
        <f t="shared" si="99"/>
        <v>2609</v>
      </c>
      <c r="AR2612" s="1756" t="e">
        <f>0.5*(S18+2*AQ2612)*LN(1+2*AQ2612/S18)</f>
        <v>#VALUE!</v>
      </c>
    </row>
    <row r="2613" spans="42:44">
      <c r="AP2613" s="1756" t="e">
        <f>IF(OR(AR2613=S13,AR2613&gt;S13),AR2613,"")</f>
        <v>#VALUE!</v>
      </c>
      <c r="AQ2613" s="1759">
        <f t="shared" si="99"/>
        <v>2610</v>
      </c>
      <c r="AR2613" s="1756" t="e">
        <f>0.5*(S18+2*AQ2613)*LN(1+2*AQ2613/S18)</f>
        <v>#VALUE!</v>
      </c>
    </row>
    <row r="2614" spans="42:44">
      <c r="AP2614" s="1756" t="e">
        <f>IF(OR(AR2614=S13,AR2614&gt;S13),AR2614,"")</f>
        <v>#VALUE!</v>
      </c>
      <c r="AQ2614" s="1759">
        <f t="shared" si="99"/>
        <v>2611</v>
      </c>
      <c r="AR2614" s="1756" t="e">
        <f>0.5*(S18+2*AQ2614)*LN(1+2*AQ2614/S18)</f>
        <v>#VALUE!</v>
      </c>
    </row>
    <row r="2615" spans="42:44">
      <c r="AP2615" s="1756" t="e">
        <f>IF(OR(AR2615=S13,AR2615&gt;S13),AR2615,"")</f>
        <v>#VALUE!</v>
      </c>
      <c r="AQ2615" s="1759">
        <f t="shared" si="99"/>
        <v>2612</v>
      </c>
      <c r="AR2615" s="1756" t="e">
        <f>0.5*(S18+2*AQ2615)*LN(1+2*AQ2615/S18)</f>
        <v>#VALUE!</v>
      </c>
    </row>
    <row r="2616" spans="42:44">
      <c r="AP2616" s="1756" t="e">
        <f>IF(OR(AR2616=S13,AR2616&gt;S13),AR2616,"")</f>
        <v>#VALUE!</v>
      </c>
      <c r="AQ2616" s="1759">
        <f t="shared" si="99"/>
        <v>2613</v>
      </c>
      <c r="AR2616" s="1756" t="e">
        <f>0.5*(S18+2*AQ2616)*LN(1+2*AQ2616/S18)</f>
        <v>#VALUE!</v>
      </c>
    </row>
    <row r="2617" spans="42:44">
      <c r="AP2617" s="1756" t="e">
        <f>IF(OR(AR2617=S13,AR2617&gt;S13),AR2617,"")</f>
        <v>#VALUE!</v>
      </c>
      <c r="AQ2617" s="1759">
        <f t="shared" si="99"/>
        <v>2614</v>
      </c>
      <c r="AR2617" s="1756" t="e">
        <f>0.5*(S18+2*AQ2617)*LN(1+2*AQ2617/S18)</f>
        <v>#VALUE!</v>
      </c>
    </row>
    <row r="2618" spans="42:44">
      <c r="AP2618" s="1756" t="e">
        <f>IF(OR(AR2618=S13,AR2618&gt;S13),AR2618,"")</f>
        <v>#VALUE!</v>
      </c>
      <c r="AQ2618" s="1759">
        <f t="shared" si="99"/>
        <v>2615</v>
      </c>
      <c r="AR2618" s="1756" t="e">
        <f>0.5*(S18+2*AQ2618)*LN(1+2*AQ2618/S18)</f>
        <v>#VALUE!</v>
      </c>
    </row>
    <row r="2619" spans="42:44">
      <c r="AP2619" s="1756" t="e">
        <f>IF(OR(AR2619=S13,AR2619&gt;S13),AR2619,"")</f>
        <v>#VALUE!</v>
      </c>
      <c r="AQ2619" s="1759">
        <f t="shared" si="99"/>
        <v>2616</v>
      </c>
      <c r="AR2619" s="1756" t="e">
        <f>0.5*(S18+2*AQ2619)*LN(1+2*AQ2619/S18)</f>
        <v>#VALUE!</v>
      </c>
    </row>
    <row r="2620" spans="42:44">
      <c r="AP2620" s="1756" t="e">
        <f>IF(OR(AR2620=S13,AR2620&gt;S13),AR2620,"")</f>
        <v>#VALUE!</v>
      </c>
      <c r="AQ2620" s="1759">
        <f t="shared" si="99"/>
        <v>2617</v>
      </c>
      <c r="AR2620" s="1756" t="e">
        <f>0.5*(S18+2*AQ2620)*LN(1+2*AQ2620/S18)</f>
        <v>#VALUE!</v>
      </c>
    </row>
    <row r="2621" spans="42:44">
      <c r="AP2621" s="1756" t="e">
        <f>IF(OR(AR2621=S13,AR2621&gt;S13),AR2621,"")</f>
        <v>#VALUE!</v>
      </c>
      <c r="AQ2621" s="1759">
        <f t="shared" si="99"/>
        <v>2618</v>
      </c>
      <c r="AR2621" s="1756" t="e">
        <f>0.5*(S18+2*AQ2621)*LN(1+2*AQ2621/S18)</f>
        <v>#VALUE!</v>
      </c>
    </row>
    <row r="2622" spans="42:44">
      <c r="AP2622" s="1756" t="e">
        <f>IF(OR(AR2622=S13,AR2622&gt;S13),AR2622,"")</f>
        <v>#VALUE!</v>
      </c>
      <c r="AQ2622" s="1759">
        <f t="shared" si="99"/>
        <v>2619</v>
      </c>
      <c r="AR2622" s="1756" t="e">
        <f>0.5*(S18+2*AQ2622)*LN(1+2*AQ2622/S18)</f>
        <v>#VALUE!</v>
      </c>
    </row>
    <row r="2623" spans="42:44">
      <c r="AP2623" s="1756" t="e">
        <f>IF(OR(AR2623=S13,AR2623&gt;S13),AR2623,"")</f>
        <v>#VALUE!</v>
      </c>
      <c r="AQ2623" s="1759">
        <f t="shared" si="99"/>
        <v>2620</v>
      </c>
      <c r="AR2623" s="1756" t="e">
        <f>0.5*(S18+2*AQ2623)*LN(1+2*AQ2623/S18)</f>
        <v>#VALUE!</v>
      </c>
    </row>
    <row r="2624" spans="42:44">
      <c r="AP2624" s="1756" t="e">
        <f>IF(OR(AR2624=S13,AR2624&gt;S13),AR2624,"")</f>
        <v>#VALUE!</v>
      </c>
      <c r="AQ2624" s="1759">
        <f t="shared" si="99"/>
        <v>2621</v>
      </c>
      <c r="AR2624" s="1756" t="e">
        <f>0.5*(S18+2*AQ2624)*LN(1+2*AQ2624/S18)</f>
        <v>#VALUE!</v>
      </c>
    </row>
    <row r="2625" spans="42:44">
      <c r="AP2625" s="1756" t="e">
        <f>IF(OR(AR2625=S13,AR2625&gt;S13),AR2625,"")</f>
        <v>#VALUE!</v>
      </c>
      <c r="AQ2625" s="1759">
        <f t="shared" si="99"/>
        <v>2622</v>
      </c>
      <c r="AR2625" s="1756" t="e">
        <f>0.5*(S18+2*AQ2625)*LN(1+2*AQ2625/S18)</f>
        <v>#VALUE!</v>
      </c>
    </row>
    <row r="2626" spans="42:44">
      <c r="AP2626" s="1756" t="e">
        <f>IF(OR(AR2626=S13,AR2626&gt;S13),AR2626,"")</f>
        <v>#VALUE!</v>
      </c>
      <c r="AQ2626" s="1759">
        <f t="shared" si="99"/>
        <v>2623</v>
      </c>
      <c r="AR2626" s="1756" t="e">
        <f>0.5*(S18+2*AQ2626)*LN(1+2*AQ2626/S18)</f>
        <v>#VALUE!</v>
      </c>
    </row>
    <row r="2627" spans="42:44">
      <c r="AP2627" s="1756" t="e">
        <f>IF(OR(AR2627=S13,AR2627&gt;S13),AR2627,"")</f>
        <v>#VALUE!</v>
      </c>
      <c r="AQ2627" s="1759">
        <f t="shared" si="99"/>
        <v>2624</v>
      </c>
      <c r="AR2627" s="1756" t="e">
        <f>0.5*(S18+2*AQ2627)*LN(1+2*AQ2627/S18)</f>
        <v>#VALUE!</v>
      </c>
    </row>
    <row r="2628" spans="42:44">
      <c r="AP2628" s="1756" t="e">
        <f>IF(OR(AR2628=S13,AR2628&gt;S13),AR2628,"")</f>
        <v>#VALUE!</v>
      </c>
      <c r="AQ2628" s="1759">
        <f t="shared" si="99"/>
        <v>2625</v>
      </c>
      <c r="AR2628" s="1756" t="e">
        <f>0.5*(S18+2*AQ2628)*LN(1+2*AQ2628/S18)</f>
        <v>#VALUE!</v>
      </c>
    </row>
    <row r="2629" spans="42:44">
      <c r="AP2629" s="1756" t="e">
        <f>IF(OR(AR2629=S13,AR2629&gt;S13),AR2629,"")</f>
        <v>#VALUE!</v>
      </c>
      <c r="AQ2629" s="1759">
        <f t="shared" si="99"/>
        <v>2626</v>
      </c>
      <c r="AR2629" s="1756" t="e">
        <f>0.5*(S18+2*AQ2629)*LN(1+2*AQ2629/S18)</f>
        <v>#VALUE!</v>
      </c>
    </row>
    <row r="2630" spans="42:44">
      <c r="AP2630" s="1756" t="e">
        <f>IF(OR(AR2630=S13,AR2630&gt;S13),AR2630,"")</f>
        <v>#VALUE!</v>
      </c>
      <c r="AQ2630" s="1759">
        <f t="shared" ref="AQ2630:AQ2693" si="100">AQ2629+1</f>
        <v>2627</v>
      </c>
      <c r="AR2630" s="1756" t="e">
        <f>0.5*(S18+2*AQ2630)*LN(1+2*AQ2630/S18)</f>
        <v>#VALUE!</v>
      </c>
    </row>
    <row r="2631" spans="42:44">
      <c r="AP2631" s="1756" t="e">
        <f>IF(OR(AR2631=S13,AR2631&gt;S13),AR2631,"")</f>
        <v>#VALUE!</v>
      </c>
      <c r="AQ2631" s="1759">
        <f t="shared" si="100"/>
        <v>2628</v>
      </c>
      <c r="AR2631" s="1756" t="e">
        <f>0.5*(S18+2*AQ2631)*LN(1+2*AQ2631/S18)</f>
        <v>#VALUE!</v>
      </c>
    </row>
    <row r="2632" spans="42:44">
      <c r="AP2632" s="1756" t="e">
        <f>IF(OR(AR2632=S13,AR2632&gt;S13),AR2632,"")</f>
        <v>#VALUE!</v>
      </c>
      <c r="AQ2632" s="1759">
        <f t="shared" si="100"/>
        <v>2629</v>
      </c>
      <c r="AR2632" s="1756" t="e">
        <f>0.5*(S18+2*AQ2632)*LN(1+2*AQ2632/S18)</f>
        <v>#VALUE!</v>
      </c>
    </row>
    <row r="2633" spans="42:44">
      <c r="AP2633" s="1756" t="e">
        <f>IF(OR(AR2633=S13,AR2633&gt;S13),AR2633,"")</f>
        <v>#VALUE!</v>
      </c>
      <c r="AQ2633" s="1759">
        <f t="shared" si="100"/>
        <v>2630</v>
      </c>
      <c r="AR2633" s="1756" t="e">
        <f>0.5*(S18+2*AQ2633)*LN(1+2*AQ2633/S18)</f>
        <v>#VALUE!</v>
      </c>
    </row>
    <row r="2634" spans="42:44">
      <c r="AP2634" s="1756" t="e">
        <f>IF(OR(AR2634=S13,AR2634&gt;S13),AR2634,"")</f>
        <v>#VALUE!</v>
      </c>
      <c r="AQ2634" s="1759">
        <f t="shared" si="100"/>
        <v>2631</v>
      </c>
      <c r="AR2634" s="1756" t="e">
        <f>0.5*(S18+2*AQ2634)*LN(1+2*AQ2634/S18)</f>
        <v>#VALUE!</v>
      </c>
    </row>
    <row r="2635" spans="42:44">
      <c r="AP2635" s="1756" t="e">
        <f>IF(OR(AR2635=S13,AR2635&gt;S13),AR2635,"")</f>
        <v>#VALUE!</v>
      </c>
      <c r="AQ2635" s="1759">
        <f t="shared" si="100"/>
        <v>2632</v>
      </c>
      <c r="AR2635" s="1756" t="e">
        <f>0.5*(S18+2*AQ2635)*LN(1+2*AQ2635/S18)</f>
        <v>#VALUE!</v>
      </c>
    </row>
    <row r="2636" spans="42:44">
      <c r="AP2636" s="1756" t="e">
        <f>IF(OR(AR2636=S13,AR2636&gt;S13),AR2636,"")</f>
        <v>#VALUE!</v>
      </c>
      <c r="AQ2636" s="1759">
        <f t="shared" si="100"/>
        <v>2633</v>
      </c>
      <c r="AR2636" s="1756" t="e">
        <f>0.5*(S18+2*AQ2636)*LN(1+2*AQ2636/S18)</f>
        <v>#VALUE!</v>
      </c>
    </row>
    <row r="2637" spans="42:44">
      <c r="AP2637" s="1756" t="e">
        <f>IF(OR(AR2637=S13,AR2637&gt;S13),AR2637,"")</f>
        <v>#VALUE!</v>
      </c>
      <c r="AQ2637" s="1759">
        <f t="shared" si="100"/>
        <v>2634</v>
      </c>
      <c r="AR2637" s="1756" t="e">
        <f>0.5*(S18+2*AQ2637)*LN(1+2*AQ2637/S18)</f>
        <v>#VALUE!</v>
      </c>
    </row>
    <row r="2638" spans="42:44">
      <c r="AP2638" s="1756" t="e">
        <f>IF(OR(AR2638=S13,AR2638&gt;S13),AR2638,"")</f>
        <v>#VALUE!</v>
      </c>
      <c r="AQ2638" s="1759">
        <f t="shared" si="100"/>
        <v>2635</v>
      </c>
      <c r="AR2638" s="1756" t="e">
        <f>0.5*(S18+2*AQ2638)*LN(1+2*AQ2638/S18)</f>
        <v>#VALUE!</v>
      </c>
    </row>
    <row r="2639" spans="42:44">
      <c r="AP2639" s="1756" t="e">
        <f>IF(OR(AR2639=S13,AR2639&gt;S13),AR2639,"")</f>
        <v>#VALUE!</v>
      </c>
      <c r="AQ2639" s="1759">
        <f t="shared" si="100"/>
        <v>2636</v>
      </c>
      <c r="AR2639" s="1756" t="e">
        <f>0.5*(S18+2*AQ2639)*LN(1+2*AQ2639/S18)</f>
        <v>#VALUE!</v>
      </c>
    </row>
    <row r="2640" spans="42:44">
      <c r="AP2640" s="1756" t="e">
        <f>IF(OR(AR2640=S13,AR2640&gt;S13),AR2640,"")</f>
        <v>#VALUE!</v>
      </c>
      <c r="AQ2640" s="1759">
        <f t="shared" si="100"/>
        <v>2637</v>
      </c>
      <c r="AR2640" s="1756" t="e">
        <f>0.5*(S18+2*AQ2640)*LN(1+2*AQ2640/S18)</f>
        <v>#VALUE!</v>
      </c>
    </row>
    <row r="2641" spans="42:44">
      <c r="AP2641" s="1756" t="e">
        <f>IF(OR(AR2641=S13,AR2641&gt;S13),AR2641,"")</f>
        <v>#VALUE!</v>
      </c>
      <c r="AQ2641" s="1759">
        <f t="shared" si="100"/>
        <v>2638</v>
      </c>
      <c r="AR2641" s="1756" t="e">
        <f>0.5*(S18+2*AQ2641)*LN(1+2*AQ2641/S18)</f>
        <v>#VALUE!</v>
      </c>
    </row>
    <row r="2642" spans="42:44">
      <c r="AP2642" s="1756" t="e">
        <f>IF(OR(AR2642=S13,AR2642&gt;S13),AR2642,"")</f>
        <v>#VALUE!</v>
      </c>
      <c r="AQ2642" s="1759">
        <f t="shared" si="100"/>
        <v>2639</v>
      </c>
      <c r="AR2642" s="1756" t="e">
        <f>0.5*(S18+2*AQ2642)*LN(1+2*AQ2642/S18)</f>
        <v>#VALUE!</v>
      </c>
    </row>
    <row r="2643" spans="42:44">
      <c r="AP2643" s="1756" t="e">
        <f>IF(OR(AR2643=S13,AR2643&gt;S13),AR2643,"")</f>
        <v>#VALUE!</v>
      </c>
      <c r="AQ2643" s="1759">
        <f t="shared" si="100"/>
        <v>2640</v>
      </c>
      <c r="AR2643" s="1756" t="e">
        <f>0.5*(S18+2*AQ2643)*LN(1+2*AQ2643/S18)</f>
        <v>#VALUE!</v>
      </c>
    </row>
    <row r="2644" spans="42:44">
      <c r="AP2644" s="1756" t="e">
        <f>IF(OR(AR2644=S13,AR2644&gt;S13),AR2644,"")</f>
        <v>#VALUE!</v>
      </c>
      <c r="AQ2644" s="1759">
        <f t="shared" si="100"/>
        <v>2641</v>
      </c>
      <c r="AR2644" s="1756" t="e">
        <f>0.5*(S18+2*AQ2644)*LN(1+2*AQ2644/S18)</f>
        <v>#VALUE!</v>
      </c>
    </row>
    <row r="2645" spans="42:44">
      <c r="AP2645" s="1756" t="e">
        <f>IF(OR(AR2645=S13,AR2645&gt;S13),AR2645,"")</f>
        <v>#VALUE!</v>
      </c>
      <c r="AQ2645" s="1759">
        <f t="shared" si="100"/>
        <v>2642</v>
      </c>
      <c r="AR2645" s="1756" t="e">
        <f>0.5*(S18+2*AQ2645)*LN(1+2*AQ2645/S18)</f>
        <v>#VALUE!</v>
      </c>
    </row>
    <row r="2646" spans="42:44">
      <c r="AP2646" s="1756" t="e">
        <f>IF(OR(AR2646=S13,AR2646&gt;S13),AR2646,"")</f>
        <v>#VALUE!</v>
      </c>
      <c r="AQ2646" s="1759">
        <f t="shared" si="100"/>
        <v>2643</v>
      </c>
      <c r="AR2646" s="1756" t="e">
        <f>0.5*(S18+2*AQ2646)*LN(1+2*AQ2646/S18)</f>
        <v>#VALUE!</v>
      </c>
    </row>
    <row r="2647" spans="42:44">
      <c r="AP2647" s="1756" t="e">
        <f>IF(OR(AR2647=S13,AR2647&gt;S13),AR2647,"")</f>
        <v>#VALUE!</v>
      </c>
      <c r="AQ2647" s="1759">
        <f t="shared" si="100"/>
        <v>2644</v>
      </c>
      <c r="AR2647" s="1756" t="e">
        <f>0.5*(S18+2*AQ2647)*LN(1+2*AQ2647/S18)</f>
        <v>#VALUE!</v>
      </c>
    </row>
    <row r="2648" spans="42:44">
      <c r="AP2648" s="1756" t="e">
        <f>IF(OR(AR2648=S13,AR2648&gt;S13),AR2648,"")</f>
        <v>#VALUE!</v>
      </c>
      <c r="AQ2648" s="1759">
        <f t="shared" si="100"/>
        <v>2645</v>
      </c>
      <c r="AR2648" s="1756" t="e">
        <f>0.5*(S18+2*AQ2648)*LN(1+2*AQ2648/S18)</f>
        <v>#VALUE!</v>
      </c>
    </row>
    <row r="2649" spans="42:44">
      <c r="AP2649" s="1756" t="e">
        <f>IF(OR(AR2649=S13,AR2649&gt;S13),AR2649,"")</f>
        <v>#VALUE!</v>
      </c>
      <c r="AQ2649" s="1759">
        <f t="shared" si="100"/>
        <v>2646</v>
      </c>
      <c r="AR2649" s="1756" t="e">
        <f>0.5*(S18+2*AQ2649)*LN(1+2*AQ2649/S18)</f>
        <v>#VALUE!</v>
      </c>
    </row>
    <row r="2650" spans="42:44">
      <c r="AP2650" s="1756" t="e">
        <f>IF(OR(AR2650=S13,AR2650&gt;S13),AR2650,"")</f>
        <v>#VALUE!</v>
      </c>
      <c r="AQ2650" s="1759">
        <f t="shared" si="100"/>
        <v>2647</v>
      </c>
      <c r="AR2650" s="1756" t="e">
        <f>0.5*(S18+2*AQ2650)*LN(1+2*AQ2650/S18)</f>
        <v>#VALUE!</v>
      </c>
    </row>
    <row r="2651" spans="42:44">
      <c r="AP2651" s="1756" t="e">
        <f>IF(OR(AR2651=S13,AR2651&gt;S13),AR2651,"")</f>
        <v>#VALUE!</v>
      </c>
      <c r="AQ2651" s="1759">
        <f t="shared" si="100"/>
        <v>2648</v>
      </c>
      <c r="AR2651" s="1756" t="e">
        <f>0.5*(S18+2*AQ2651)*LN(1+2*AQ2651/S18)</f>
        <v>#VALUE!</v>
      </c>
    </row>
    <row r="2652" spans="42:44">
      <c r="AP2652" s="1756" t="e">
        <f>IF(OR(AR2652=S13,AR2652&gt;S13),AR2652,"")</f>
        <v>#VALUE!</v>
      </c>
      <c r="AQ2652" s="1759">
        <f t="shared" si="100"/>
        <v>2649</v>
      </c>
      <c r="AR2652" s="1756" t="e">
        <f>0.5*(S18+2*AQ2652)*LN(1+2*AQ2652/S18)</f>
        <v>#VALUE!</v>
      </c>
    </row>
    <row r="2653" spans="42:44">
      <c r="AP2653" s="1756" t="e">
        <f>IF(OR(AR2653=S13,AR2653&gt;S13),AR2653,"")</f>
        <v>#VALUE!</v>
      </c>
      <c r="AQ2653" s="1759">
        <f t="shared" si="100"/>
        <v>2650</v>
      </c>
      <c r="AR2653" s="1756" t="e">
        <f>0.5*(S18+2*AQ2653)*LN(1+2*AQ2653/S18)</f>
        <v>#VALUE!</v>
      </c>
    </row>
    <row r="2654" spans="42:44">
      <c r="AP2654" s="1756" t="e">
        <f>IF(OR(AR2654=S13,AR2654&gt;S13),AR2654,"")</f>
        <v>#VALUE!</v>
      </c>
      <c r="AQ2654" s="1759">
        <f t="shared" si="100"/>
        <v>2651</v>
      </c>
      <c r="AR2654" s="1756" t="e">
        <f>0.5*(S18+2*AQ2654)*LN(1+2*AQ2654/S18)</f>
        <v>#VALUE!</v>
      </c>
    </row>
    <row r="2655" spans="42:44">
      <c r="AP2655" s="1756" t="e">
        <f>IF(OR(AR2655=S13,AR2655&gt;S13),AR2655,"")</f>
        <v>#VALUE!</v>
      </c>
      <c r="AQ2655" s="1759">
        <f t="shared" si="100"/>
        <v>2652</v>
      </c>
      <c r="AR2655" s="1756" t="e">
        <f>0.5*(S18+2*AQ2655)*LN(1+2*AQ2655/S18)</f>
        <v>#VALUE!</v>
      </c>
    </row>
    <row r="2656" spans="42:44">
      <c r="AP2656" s="1756" t="e">
        <f>IF(OR(AR2656=S13,AR2656&gt;S13),AR2656,"")</f>
        <v>#VALUE!</v>
      </c>
      <c r="AQ2656" s="1759">
        <f t="shared" si="100"/>
        <v>2653</v>
      </c>
      <c r="AR2656" s="1756" t="e">
        <f>0.5*(S18+2*AQ2656)*LN(1+2*AQ2656/S18)</f>
        <v>#VALUE!</v>
      </c>
    </row>
    <row r="2657" spans="42:44">
      <c r="AP2657" s="1756" t="e">
        <f>IF(OR(AR2657=S13,AR2657&gt;S13),AR2657,"")</f>
        <v>#VALUE!</v>
      </c>
      <c r="AQ2657" s="1759">
        <f t="shared" si="100"/>
        <v>2654</v>
      </c>
      <c r="AR2657" s="1756" t="e">
        <f>0.5*(S18+2*AQ2657)*LN(1+2*AQ2657/S18)</f>
        <v>#VALUE!</v>
      </c>
    </row>
    <row r="2658" spans="42:44">
      <c r="AP2658" s="1756" t="e">
        <f>IF(OR(AR2658=S13,AR2658&gt;S13),AR2658,"")</f>
        <v>#VALUE!</v>
      </c>
      <c r="AQ2658" s="1759">
        <f t="shared" si="100"/>
        <v>2655</v>
      </c>
      <c r="AR2658" s="1756" t="e">
        <f>0.5*(S18+2*AQ2658)*LN(1+2*AQ2658/S18)</f>
        <v>#VALUE!</v>
      </c>
    </row>
    <row r="2659" spans="42:44">
      <c r="AP2659" s="1756" t="e">
        <f>IF(OR(AR2659=S13,AR2659&gt;S13),AR2659,"")</f>
        <v>#VALUE!</v>
      </c>
      <c r="AQ2659" s="1759">
        <f t="shared" si="100"/>
        <v>2656</v>
      </c>
      <c r="AR2659" s="1756" t="e">
        <f>0.5*(S18+2*AQ2659)*LN(1+2*AQ2659/S18)</f>
        <v>#VALUE!</v>
      </c>
    </row>
    <row r="2660" spans="42:44">
      <c r="AP2660" s="1756" t="e">
        <f>IF(OR(AR2660=S13,AR2660&gt;S13),AR2660,"")</f>
        <v>#VALUE!</v>
      </c>
      <c r="AQ2660" s="1759">
        <f t="shared" si="100"/>
        <v>2657</v>
      </c>
      <c r="AR2660" s="1756" t="e">
        <f>0.5*(S18+2*AQ2660)*LN(1+2*AQ2660/S18)</f>
        <v>#VALUE!</v>
      </c>
    </row>
    <row r="2661" spans="42:44">
      <c r="AP2661" s="1756" t="e">
        <f>IF(OR(AR2661=S13,AR2661&gt;S13),AR2661,"")</f>
        <v>#VALUE!</v>
      </c>
      <c r="AQ2661" s="1759">
        <f t="shared" si="100"/>
        <v>2658</v>
      </c>
      <c r="AR2661" s="1756" t="e">
        <f>0.5*(S18+2*AQ2661)*LN(1+2*AQ2661/S18)</f>
        <v>#VALUE!</v>
      </c>
    </row>
    <row r="2662" spans="42:44">
      <c r="AP2662" s="1756" t="e">
        <f>IF(OR(AR2662=S13,AR2662&gt;S13),AR2662,"")</f>
        <v>#VALUE!</v>
      </c>
      <c r="AQ2662" s="1759">
        <f t="shared" si="100"/>
        <v>2659</v>
      </c>
      <c r="AR2662" s="1756" t="e">
        <f>0.5*(S18+2*AQ2662)*LN(1+2*AQ2662/S18)</f>
        <v>#VALUE!</v>
      </c>
    </row>
    <row r="2663" spans="42:44">
      <c r="AP2663" s="1756" t="e">
        <f>IF(OR(AR2663=S13,AR2663&gt;S13),AR2663,"")</f>
        <v>#VALUE!</v>
      </c>
      <c r="AQ2663" s="1759">
        <f t="shared" si="100"/>
        <v>2660</v>
      </c>
      <c r="AR2663" s="1756" t="e">
        <f>0.5*(S18+2*AQ2663)*LN(1+2*AQ2663/S18)</f>
        <v>#VALUE!</v>
      </c>
    </row>
    <row r="2664" spans="42:44">
      <c r="AP2664" s="1756" t="e">
        <f>IF(OR(AR2664=S13,AR2664&gt;S13),AR2664,"")</f>
        <v>#VALUE!</v>
      </c>
      <c r="AQ2664" s="1759">
        <f t="shared" si="100"/>
        <v>2661</v>
      </c>
      <c r="AR2664" s="1756" t="e">
        <f>0.5*(S18+2*AQ2664)*LN(1+2*AQ2664/S18)</f>
        <v>#VALUE!</v>
      </c>
    </row>
    <row r="2665" spans="42:44">
      <c r="AP2665" s="1756" t="e">
        <f>IF(OR(AR2665=S13,AR2665&gt;S13),AR2665,"")</f>
        <v>#VALUE!</v>
      </c>
      <c r="AQ2665" s="1759">
        <f t="shared" si="100"/>
        <v>2662</v>
      </c>
      <c r="AR2665" s="1756" t="e">
        <f>0.5*(S18+2*AQ2665)*LN(1+2*AQ2665/S18)</f>
        <v>#VALUE!</v>
      </c>
    </row>
    <row r="2666" spans="42:44">
      <c r="AP2666" s="1756" t="e">
        <f>IF(OR(AR2666=S13,AR2666&gt;S13),AR2666,"")</f>
        <v>#VALUE!</v>
      </c>
      <c r="AQ2666" s="1759">
        <f t="shared" si="100"/>
        <v>2663</v>
      </c>
      <c r="AR2666" s="1756" t="e">
        <f>0.5*(S18+2*AQ2666)*LN(1+2*AQ2666/S18)</f>
        <v>#VALUE!</v>
      </c>
    </row>
    <row r="2667" spans="42:44">
      <c r="AP2667" s="1756" t="e">
        <f>IF(OR(AR2667=S13,AR2667&gt;S13),AR2667,"")</f>
        <v>#VALUE!</v>
      </c>
      <c r="AQ2667" s="1759">
        <f t="shared" si="100"/>
        <v>2664</v>
      </c>
      <c r="AR2667" s="1756" t="e">
        <f>0.5*(S18+2*AQ2667)*LN(1+2*AQ2667/S18)</f>
        <v>#VALUE!</v>
      </c>
    </row>
    <row r="2668" spans="42:44">
      <c r="AP2668" s="1756" t="e">
        <f>IF(OR(AR2668=S13,AR2668&gt;S13),AR2668,"")</f>
        <v>#VALUE!</v>
      </c>
      <c r="AQ2668" s="1759">
        <f t="shared" si="100"/>
        <v>2665</v>
      </c>
      <c r="AR2668" s="1756" t="e">
        <f>0.5*(S18+2*AQ2668)*LN(1+2*AQ2668/S18)</f>
        <v>#VALUE!</v>
      </c>
    </row>
    <row r="2669" spans="42:44">
      <c r="AP2669" s="1756" t="e">
        <f>IF(OR(AR2669=S13,AR2669&gt;S13),AR2669,"")</f>
        <v>#VALUE!</v>
      </c>
      <c r="AQ2669" s="1759">
        <f t="shared" si="100"/>
        <v>2666</v>
      </c>
      <c r="AR2669" s="1756" t="e">
        <f>0.5*(S18+2*AQ2669)*LN(1+2*AQ2669/S18)</f>
        <v>#VALUE!</v>
      </c>
    </row>
    <row r="2670" spans="42:44">
      <c r="AP2670" s="1756" t="e">
        <f>IF(OR(AR2670=S13,AR2670&gt;S13),AR2670,"")</f>
        <v>#VALUE!</v>
      </c>
      <c r="AQ2670" s="1759">
        <f t="shared" si="100"/>
        <v>2667</v>
      </c>
      <c r="AR2670" s="1756" t="e">
        <f>0.5*(S18+2*AQ2670)*LN(1+2*AQ2670/S18)</f>
        <v>#VALUE!</v>
      </c>
    </row>
    <row r="2671" spans="42:44">
      <c r="AP2671" s="1756" t="e">
        <f>IF(OR(AR2671=S13,AR2671&gt;S13),AR2671,"")</f>
        <v>#VALUE!</v>
      </c>
      <c r="AQ2671" s="1759">
        <f t="shared" si="100"/>
        <v>2668</v>
      </c>
      <c r="AR2671" s="1756" t="e">
        <f>0.5*(S18+2*AQ2671)*LN(1+2*AQ2671/S18)</f>
        <v>#VALUE!</v>
      </c>
    </row>
    <row r="2672" spans="42:44">
      <c r="AP2672" s="1756" t="e">
        <f>IF(OR(AR2672=S13,AR2672&gt;S13),AR2672,"")</f>
        <v>#VALUE!</v>
      </c>
      <c r="AQ2672" s="1759">
        <f t="shared" si="100"/>
        <v>2669</v>
      </c>
      <c r="AR2672" s="1756" t="e">
        <f>0.5*(S18+2*AQ2672)*LN(1+2*AQ2672/S18)</f>
        <v>#VALUE!</v>
      </c>
    </row>
    <row r="2673" spans="42:44">
      <c r="AP2673" s="1756" t="e">
        <f>IF(OR(AR2673=S13,AR2673&gt;S13),AR2673,"")</f>
        <v>#VALUE!</v>
      </c>
      <c r="AQ2673" s="1759">
        <f t="shared" si="100"/>
        <v>2670</v>
      </c>
      <c r="AR2673" s="1756" t="e">
        <f>0.5*(S18+2*AQ2673)*LN(1+2*AQ2673/S18)</f>
        <v>#VALUE!</v>
      </c>
    </row>
    <row r="2674" spans="42:44">
      <c r="AP2674" s="1756" t="e">
        <f>IF(OR(AR2674=S13,AR2674&gt;S13),AR2674,"")</f>
        <v>#VALUE!</v>
      </c>
      <c r="AQ2674" s="1759">
        <f t="shared" si="100"/>
        <v>2671</v>
      </c>
      <c r="AR2674" s="1756" t="e">
        <f>0.5*(S18+2*AQ2674)*LN(1+2*AQ2674/S18)</f>
        <v>#VALUE!</v>
      </c>
    </row>
    <row r="2675" spans="42:44">
      <c r="AP2675" s="1756" t="e">
        <f>IF(OR(AR2675=S13,AR2675&gt;S13),AR2675,"")</f>
        <v>#VALUE!</v>
      </c>
      <c r="AQ2675" s="1759">
        <f t="shared" si="100"/>
        <v>2672</v>
      </c>
      <c r="AR2675" s="1756" t="e">
        <f>0.5*(S18+2*AQ2675)*LN(1+2*AQ2675/S18)</f>
        <v>#VALUE!</v>
      </c>
    </row>
    <row r="2676" spans="42:44">
      <c r="AP2676" s="1756" t="e">
        <f>IF(OR(AR2676=S13,AR2676&gt;S13),AR2676,"")</f>
        <v>#VALUE!</v>
      </c>
      <c r="AQ2676" s="1759">
        <f t="shared" si="100"/>
        <v>2673</v>
      </c>
      <c r="AR2676" s="1756" t="e">
        <f>0.5*(S18+2*AQ2676)*LN(1+2*AQ2676/S18)</f>
        <v>#VALUE!</v>
      </c>
    </row>
    <row r="2677" spans="42:44">
      <c r="AP2677" s="1756" t="e">
        <f>IF(OR(AR2677=S13,AR2677&gt;S13),AR2677,"")</f>
        <v>#VALUE!</v>
      </c>
      <c r="AQ2677" s="1759">
        <f t="shared" si="100"/>
        <v>2674</v>
      </c>
      <c r="AR2677" s="1756" t="e">
        <f>0.5*(S18+2*AQ2677)*LN(1+2*AQ2677/S18)</f>
        <v>#VALUE!</v>
      </c>
    </row>
    <row r="2678" spans="42:44">
      <c r="AP2678" s="1756" t="e">
        <f>IF(OR(AR2678=S13,AR2678&gt;S13),AR2678,"")</f>
        <v>#VALUE!</v>
      </c>
      <c r="AQ2678" s="1759">
        <f t="shared" si="100"/>
        <v>2675</v>
      </c>
      <c r="AR2678" s="1756" t="e">
        <f>0.5*(S18+2*AQ2678)*LN(1+2*AQ2678/S18)</f>
        <v>#VALUE!</v>
      </c>
    </row>
    <row r="2679" spans="42:44">
      <c r="AP2679" s="1756" t="e">
        <f>IF(OR(AR2679=S13,AR2679&gt;S13),AR2679,"")</f>
        <v>#VALUE!</v>
      </c>
      <c r="AQ2679" s="1759">
        <f t="shared" si="100"/>
        <v>2676</v>
      </c>
      <c r="AR2679" s="1756" t="e">
        <f>0.5*(S18+2*AQ2679)*LN(1+2*AQ2679/S18)</f>
        <v>#VALUE!</v>
      </c>
    </row>
    <row r="2680" spans="42:44">
      <c r="AP2680" s="1756" t="e">
        <f>IF(OR(AR2680=S13,AR2680&gt;S13),AR2680,"")</f>
        <v>#VALUE!</v>
      </c>
      <c r="AQ2680" s="1759">
        <f t="shared" si="100"/>
        <v>2677</v>
      </c>
      <c r="AR2680" s="1756" t="e">
        <f>0.5*(S18+2*AQ2680)*LN(1+2*AQ2680/S18)</f>
        <v>#VALUE!</v>
      </c>
    </row>
    <row r="2681" spans="42:44">
      <c r="AP2681" s="1756" t="e">
        <f>IF(OR(AR2681=S13,AR2681&gt;S13),AR2681,"")</f>
        <v>#VALUE!</v>
      </c>
      <c r="AQ2681" s="1759">
        <f t="shared" si="100"/>
        <v>2678</v>
      </c>
      <c r="AR2681" s="1756" t="e">
        <f>0.5*(S18+2*AQ2681)*LN(1+2*AQ2681/S18)</f>
        <v>#VALUE!</v>
      </c>
    </row>
    <row r="2682" spans="42:44">
      <c r="AP2682" s="1756" t="e">
        <f>IF(OR(AR2682=S13,AR2682&gt;S13),AR2682,"")</f>
        <v>#VALUE!</v>
      </c>
      <c r="AQ2682" s="1759">
        <f t="shared" si="100"/>
        <v>2679</v>
      </c>
      <c r="AR2682" s="1756" t="e">
        <f>0.5*(S18+2*AQ2682)*LN(1+2*AQ2682/S18)</f>
        <v>#VALUE!</v>
      </c>
    </row>
    <row r="2683" spans="42:44">
      <c r="AP2683" s="1756" t="e">
        <f>IF(OR(AR2683=S13,AR2683&gt;S13),AR2683,"")</f>
        <v>#VALUE!</v>
      </c>
      <c r="AQ2683" s="1759">
        <f t="shared" si="100"/>
        <v>2680</v>
      </c>
      <c r="AR2683" s="1756" t="e">
        <f>0.5*(S18+2*AQ2683)*LN(1+2*AQ2683/S18)</f>
        <v>#VALUE!</v>
      </c>
    </row>
    <row r="2684" spans="42:44">
      <c r="AP2684" s="1756" t="e">
        <f>IF(OR(AR2684=S13,AR2684&gt;S13),AR2684,"")</f>
        <v>#VALUE!</v>
      </c>
      <c r="AQ2684" s="1759">
        <f t="shared" si="100"/>
        <v>2681</v>
      </c>
      <c r="AR2684" s="1756" t="e">
        <f>0.5*(S18+2*AQ2684)*LN(1+2*AQ2684/S18)</f>
        <v>#VALUE!</v>
      </c>
    </row>
    <row r="2685" spans="42:44">
      <c r="AP2685" s="1756" t="e">
        <f>IF(OR(AR2685=S13,AR2685&gt;S13),AR2685,"")</f>
        <v>#VALUE!</v>
      </c>
      <c r="AQ2685" s="1759">
        <f t="shared" si="100"/>
        <v>2682</v>
      </c>
      <c r="AR2685" s="1756" t="e">
        <f>0.5*(S18+2*AQ2685)*LN(1+2*AQ2685/S18)</f>
        <v>#VALUE!</v>
      </c>
    </row>
    <row r="2686" spans="42:44">
      <c r="AP2686" s="1756" t="e">
        <f>IF(OR(AR2686=S13,AR2686&gt;S13),AR2686,"")</f>
        <v>#VALUE!</v>
      </c>
      <c r="AQ2686" s="1759">
        <f t="shared" si="100"/>
        <v>2683</v>
      </c>
      <c r="AR2686" s="1756" t="e">
        <f>0.5*(S18+2*AQ2686)*LN(1+2*AQ2686/S18)</f>
        <v>#VALUE!</v>
      </c>
    </row>
    <row r="2687" spans="42:44">
      <c r="AP2687" s="1756" t="e">
        <f>IF(OR(AR2687=S13,AR2687&gt;S13),AR2687,"")</f>
        <v>#VALUE!</v>
      </c>
      <c r="AQ2687" s="1759">
        <f t="shared" si="100"/>
        <v>2684</v>
      </c>
      <c r="AR2687" s="1756" t="e">
        <f>0.5*(S18+2*AQ2687)*LN(1+2*AQ2687/S18)</f>
        <v>#VALUE!</v>
      </c>
    </row>
    <row r="2688" spans="42:44">
      <c r="AP2688" s="1756" t="e">
        <f>IF(OR(AR2688=S13,AR2688&gt;S13),AR2688,"")</f>
        <v>#VALUE!</v>
      </c>
      <c r="AQ2688" s="1759">
        <f t="shared" si="100"/>
        <v>2685</v>
      </c>
      <c r="AR2688" s="1756" t="e">
        <f>0.5*(S18+2*AQ2688)*LN(1+2*AQ2688/S18)</f>
        <v>#VALUE!</v>
      </c>
    </row>
    <row r="2689" spans="42:44">
      <c r="AP2689" s="1756" t="e">
        <f>IF(OR(AR2689=S13,AR2689&gt;S13),AR2689,"")</f>
        <v>#VALUE!</v>
      </c>
      <c r="AQ2689" s="1759">
        <f t="shared" si="100"/>
        <v>2686</v>
      </c>
      <c r="AR2689" s="1756" t="e">
        <f>0.5*(S18+2*AQ2689)*LN(1+2*AQ2689/S18)</f>
        <v>#VALUE!</v>
      </c>
    </row>
    <row r="2690" spans="42:44">
      <c r="AP2690" s="1756" t="e">
        <f>IF(OR(AR2690=S13,AR2690&gt;S13),AR2690,"")</f>
        <v>#VALUE!</v>
      </c>
      <c r="AQ2690" s="1759">
        <f t="shared" si="100"/>
        <v>2687</v>
      </c>
      <c r="AR2690" s="1756" t="e">
        <f>0.5*(S18+2*AQ2690)*LN(1+2*AQ2690/S18)</f>
        <v>#VALUE!</v>
      </c>
    </row>
    <row r="2691" spans="42:44">
      <c r="AP2691" s="1756" t="e">
        <f>IF(OR(AR2691=S13,AR2691&gt;S13),AR2691,"")</f>
        <v>#VALUE!</v>
      </c>
      <c r="AQ2691" s="1759">
        <f t="shared" si="100"/>
        <v>2688</v>
      </c>
      <c r="AR2691" s="1756" t="e">
        <f>0.5*(S18+2*AQ2691)*LN(1+2*AQ2691/S18)</f>
        <v>#VALUE!</v>
      </c>
    </row>
    <row r="2692" spans="42:44">
      <c r="AP2692" s="1756" t="e">
        <f>IF(OR(AR2692=S13,AR2692&gt;S13),AR2692,"")</f>
        <v>#VALUE!</v>
      </c>
      <c r="AQ2692" s="1759">
        <f t="shared" si="100"/>
        <v>2689</v>
      </c>
      <c r="AR2692" s="1756" t="e">
        <f>0.5*(S18+2*AQ2692)*LN(1+2*AQ2692/S18)</f>
        <v>#VALUE!</v>
      </c>
    </row>
    <row r="2693" spans="42:44">
      <c r="AP2693" s="1756" t="e">
        <f>IF(OR(AR2693=S13,AR2693&gt;S13),AR2693,"")</f>
        <v>#VALUE!</v>
      </c>
      <c r="AQ2693" s="1759">
        <f t="shared" si="100"/>
        <v>2690</v>
      </c>
      <c r="AR2693" s="1756" t="e">
        <f>0.5*(S18+2*AQ2693)*LN(1+2*AQ2693/S18)</f>
        <v>#VALUE!</v>
      </c>
    </row>
    <row r="2694" spans="42:44">
      <c r="AP2694" s="1756" t="e">
        <f>IF(OR(AR2694=S13,AR2694&gt;S13),AR2694,"")</f>
        <v>#VALUE!</v>
      </c>
      <c r="AQ2694" s="1759">
        <f t="shared" ref="AQ2694:AQ2757" si="101">AQ2693+1</f>
        <v>2691</v>
      </c>
      <c r="AR2694" s="1756" t="e">
        <f>0.5*(S18+2*AQ2694)*LN(1+2*AQ2694/S18)</f>
        <v>#VALUE!</v>
      </c>
    </row>
    <row r="2695" spans="42:44">
      <c r="AP2695" s="1756" t="e">
        <f>IF(OR(AR2695=S13,AR2695&gt;S13),AR2695,"")</f>
        <v>#VALUE!</v>
      </c>
      <c r="AQ2695" s="1759">
        <f t="shared" si="101"/>
        <v>2692</v>
      </c>
      <c r="AR2695" s="1756" t="e">
        <f>0.5*(S18+2*AQ2695)*LN(1+2*AQ2695/S18)</f>
        <v>#VALUE!</v>
      </c>
    </row>
    <row r="2696" spans="42:44">
      <c r="AP2696" s="1756" t="e">
        <f>IF(OR(AR2696=S13,AR2696&gt;S13),AR2696,"")</f>
        <v>#VALUE!</v>
      </c>
      <c r="AQ2696" s="1759">
        <f t="shared" si="101"/>
        <v>2693</v>
      </c>
      <c r="AR2696" s="1756" t="e">
        <f>0.5*(S18+2*AQ2696)*LN(1+2*AQ2696/S18)</f>
        <v>#VALUE!</v>
      </c>
    </row>
    <row r="2697" spans="42:44">
      <c r="AP2697" s="1756" t="e">
        <f>IF(OR(AR2697=S13,AR2697&gt;S13),AR2697,"")</f>
        <v>#VALUE!</v>
      </c>
      <c r="AQ2697" s="1759">
        <f t="shared" si="101"/>
        <v>2694</v>
      </c>
      <c r="AR2697" s="1756" t="e">
        <f>0.5*(S18+2*AQ2697)*LN(1+2*AQ2697/S18)</f>
        <v>#VALUE!</v>
      </c>
    </row>
    <row r="2698" spans="42:44">
      <c r="AP2698" s="1756" t="e">
        <f>IF(OR(AR2698=S13,AR2698&gt;S13),AR2698,"")</f>
        <v>#VALUE!</v>
      </c>
      <c r="AQ2698" s="1759">
        <f t="shared" si="101"/>
        <v>2695</v>
      </c>
      <c r="AR2698" s="1756" t="e">
        <f>0.5*(S18+2*AQ2698)*LN(1+2*AQ2698/S18)</f>
        <v>#VALUE!</v>
      </c>
    </row>
    <row r="2699" spans="42:44">
      <c r="AP2699" s="1756" t="e">
        <f>IF(OR(AR2699=S13,AR2699&gt;S13),AR2699,"")</f>
        <v>#VALUE!</v>
      </c>
      <c r="AQ2699" s="1759">
        <f t="shared" si="101"/>
        <v>2696</v>
      </c>
      <c r="AR2699" s="1756" t="e">
        <f>0.5*(S18+2*AQ2699)*LN(1+2*AQ2699/S18)</f>
        <v>#VALUE!</v>
      </c>
    </row>
    <row r="2700" spans="42:44">
      <c r="AP2700" s="1756" t="e">
        <f>IF(OR(AR2700=S13,AR2700&gt;S13),AR2700,"")</f>
        <v>#VALUE!</v>
      </c>
      <c r="AQ2700" s="1759">
        <f t="shared" si="101"/>
        <v>2697</v>
      </c>
      <c r="AR2700" s="1756" t="e">
        <f>0.5*(S18+2*AQ2700)*LN(1+2*AQ2700/S18)</f>
        <v>#VALUE!</v>
      </c>
    </row>
    <row r="2701" spans="42:44">
      <c r="AP2701" s="1756" t="e">
        <f>IF(OR(AR2701=S13,AR2701&gt;S13),AR2701,"")</f>
        <v>#VALUE!</v>
      </c>
      <c r="AQ2701" s="1759">
        <f t="shared" si="101"/>
        <v>2698</v>
      </c>
      <c r="AR2701" s="1756" t="e">
        <f>0.5*(S18+2*AQ2701)*LN(1+2*AQ2701/S18)</f>
        <v>#VALUE!</v>
      </c>
    </row>
    <row r="2702" spans="42:44">
      <c r="AP2702" s="1756" t="e">
        <f>IF(OR(AR2702=S13,AR2702&gt;S13),AR2702,"")</f>
        <v>#VALUE!</v>
      </c>
      <c r="AQ2702" s="1759">
        <f t="shared" si="101"/>
        <v>2699</v>
      </c>
      <c r="AR2702" s="1756" t="e">
        <f>0.5*(S18+2*AQ2702)*LN(1+2*AQ2702/S18)</f>
        <v>#VALUE!</v>
      </c>
    </row>
    <row r="2703" spans="42:44">
      <c r="AP2703" s="1756" t="e">
        <f>IF(OR(AR2703=S13,AR2703&gt;S13),AR2703,"")</f>
        <v>#VALUE!</v>
      </c>
      <c r="AQ2703" s="1759">
        <f t="shared" si="101"/>
        <v>2700</v>
      </c>
      <c r="AR2703" s="1756" t="e">
        <f>0.5*(S18+2*AQ2703)*LN(1+2*AQ2703/S18)</f>
        <v>#VALUE!</v>
      </c>
    </row>
    <row r="2704" spans="42:44">
      <c r="AP2704" s="1756" t="e">
        <f>IF(OR(AR2704=S13,AR2704&gt;S13),AR2704,"")</f>
        <v>#VALUE!</v>
      </c>
      <c r="AQ2704" s="1759">
        <f t="shared" si="101"/>
        <v>2701</v>
      </c>
      <c r="AR2704" s="1756" t="e">
        <f>0.5*(S18+2*AQ2704)*LN(1+2*AQ2704/S18)</f>
        <v>#VALUE!</v>
      </c>
    </row>
    <row r="2705" spans="42:44">
      <c r="AP2705" s="1756" t="e">
        <f>IF(OR(AR2705=S13,AR2705&gt;S13),AR2705,"")</f>
        <v>#VALUE!</v>
      </c>
      <c r="AQ2705" s="1759">
        <f t="shared" si="101"/>
        <v>2702</v>
      </c>
      <c r="AR2705" s="1756" t="e">
        <f>0.5*(S18+2*AQ2705)*LN(1+2*AQ2705/S18)</f>
        <v>#VALUE!</v>
      </c>
    </row>
    <row r="2706" spans="42:44">
      <c r="AP2706" s="1756" t="e">
        <f>IF(OR(AR2706=S13,AR2706&gt;S13),AR2706,"")</f>
        <v>#VALUE!</v>
      </c>
      <c r="AQ2706" s="1759">
        <f t="shared" si="101"/>
        <v>2703</v>
      </c>
      <c r="AR2706" s="1756" t="e">
        <f>0.5*(S18+2*AQ2706)*LN(1+2*AQ2706/S18)</f>
        <v>#VALUE!</v>
      </c>
    </row>
    <row r="2707" spans="42:44">
      <c r="AP2707" s="1756" t="e">
        <f>IF(OR(AR2707=S13,AR2707&gt;S13),AR2707,"")</f>
        <v>#VALUE!</v>
      </c>
      <c r="AQ2707" s="1759">
        <f t="shared" si="101"/>
        <v>2704</v>
      </c>
      <c r="AR2707" s="1756" t="e">
        <f>0.5*(S18+2*AQ2707)*LN(1+2*AQ2707/S18)</f>
        <v>#VALUE!</v>
      </c>
    </row>
    <row r="2708" spans="42:44">
      <c r="AP2708" s="1756" t="e">
        <f>IF(OR(AR2708=S13,AR2708&gt;S13),AR2708,"")</f>
        <v>#VALUE!</v>
      </c>
      <c r="AQ2708" s="1759">
        <f t="shared" si="101"/>
        <v>2705</v>
      </c>
      <c r="AR2708" s="1756" t="e">
        <f>0.5*(S18+2*AQ2708)*LN(1+2*AQ2708/S18)</f>
        <v>#VALUE!</v>
      </c>
    </row>
    <row r="2709" spans="42:44">
      <c r="AP2709" s="1756" t="e">
        <f>IF(OR(AR2709=S13,AR2709&gt;S13),AR2709,"")</f>
        <v>#VALUE!</v>
      </c>
      <c r="AQ2709" s="1759">
        <f t="shared" si="101"/>
        <v>2706</v>
      </c>
      <c r="AR2709" s="1756" t="e">
        <f>0.5*(S18+2*AQ2709)*LN(1+2*AQ2709/S18)</f>
        <v>#VALUE!</v>
      </c>
    </row>
    <row r="2710" spans="42:44">
      <c r="AP2710" s="1756" t="e">
        <f>IF(OR(AR2710=S13,AR2710&gt;S13),AR2710,"")</f>
        <v>#VALUE!</v>
      </c>
      <c r="AQ2710" s="1759">
        <f t="shared" si="101"/>
        <v>2707</v>
      </c>
      <c r="AR2710" s="1756" t="e">
        <f>0.5*(S18+2*AQ2710)*LN(1+2*AQ2710/S18)</f>
        <v>#VALUE!</v>
      </c>
    </row>
    <row r="2711" spans="42:44">
      <c r="AP2711" s="1756" t="e">
        <f>IF(OR(AR2711=S13,AR2711&gt;S13),AR2711,"")</f>
        <v>#VALUE!</v>
      </c>
      <c r="AQ2711" s="1759">
        <f t="shared" si="101"/>
        <v>2708</v>
      </c>
      <c r="AR2711" s="1756" t="e">
        <f>0.5*(S18+2*AQ2711)*LN(1+2*AQ2711/S18)</f>
        <v>#VALUE!</v>
      </c>
    </row>
    <row r="2712" spans="42:44">
      <c r="AP2712" s="1756" t="e">
        <f>IF(OR(AR2712=S13,AR2712&gt;S13),AR2712,"")</f>
        <v>#VALUE!</v>
      </c>
      <c r="AQ2712" s="1759">
        <f t="shared" si="101"/>
        <v>2709</v>
      </c>
      <c r="AR2712" s="1756" t="e">
        <f>0.5*(S18+2*AQ2712)*LN(1+2*AQ2712/S18)</f>
        <v>#VALUE!</v>
      </c>
    </row>
    <row r="2713" spans="42:44">
      <c r="AP2713" s="1756" t="e">
        <f>IF(OR(AR2713=S13,AR2713&gt;S13),AR2713,"")</f>
        <v>#VALUE!</v>
      </c>
      <c r="AQ2713" s="1759">
        <f t="shared" si="101"/>
        <v>2710</v>
      </c>
      <c r="AR2713" s="1756" t="e">
        <f>0.5*(S18+2*AQ2713)*LN(1+2*AQ2713/S18)</f>
        <v>#VALUE!</v>
      </c>
    </row>
    <row r="2714" spans="42:44">
      <c r="AP2714" s="1756" t="e">
        <f>IF(OR(AR2714=S13,AR2714&gt;S13),AR2714,"")</f>
        <v>#VALUE!</v>
      </c>
      <c r="AQ2714" s="1759">
        <f t="shared" si="101"/>
        <v>2711</v>
      </c>
      <c r="AR2714" s="1756" t="e">
        <f>0.5*(S18+2*AQ2714)*LN(1+2*AQ2714/S18)</f>
        <v>#VALUE!</v>
      </c>
    </row>
    <row r="2715" spans="42:44">
      <c r="AP2715" s="1756" t="e">
        <f>IF(OR(AR2715=S13,AR2715&gt;S13),AR2715,"")</f>
        <v>#VALUE!</v>
      </c>
      <c r="AQ2715" s="1759">
        <f t="shared" si="101"/>
        <v>2712</v>
      </c>
      <c r="AR2715" s="1756" t="e">
        <f>0.5*(S18+2*AQ2715)*LN(1+2*AQ2715/S18)</f>
        <v>#VALUE!</v>
      </c>
    </row>
    <row r="2716" spans="42:44">
      <c r="AP2716" s="1756" t="e">
        <f>IF(OR(AR2716=S13,AR2716&gt;S13),AR2716,"")</f>
        <v>#VALUE!</v>
      </c>
      <c r="AQ2716" s="1759">
        <f t="shared" si="101"/>
        <v>2713</v>
      </c>
      <c r="AR2716" s="1756" t="e">
        <f>0.5*(S18+2*AQ2716)*LN(1+2*AQ2716/S18)</f>
        <v>#VALUE!</v>
      </c>
    </row>
    <row r="2717" spans="42:44">
      <c r="AP2717" s="1756" t="e">
        <f>IF(OR(AR2717=S13,AR2717&gt;S13),AR2717,"")</f>
        <v>#VALUE!</v>
      </c>
      <c r="AQ2717" s="1759">
        <f t="shared" si="101"/>
        <v>2714</v>
      </c>
      <c r="AR2717" s="1756" t="e">
        <f>0.5*(S18+2*AQ2717)*LN(1+2*AQ2717/S18)</f>
        <v>#VALUE!</v>
      </c>
    </row>
    <row r="2718" spans="42:44">
      <c r="AP2718" s="1756" t="e">
        <f>IF(OR(AR2718=S13,AR2718&gt;S13),AR2718,"")</f>
        <v>#VALUE!</v>
      </c>
      <c r="AQ2718" s="1759">
        <f t="shared" si="101"/>
        <v>2715</v>
      </c>
      <c r="AR2718" s="1756" t="e">
        <f>0.5*(S18+2*AQ2718)*LN(1+2*AQ2718/S18)</f>
        <v>#VALUE!</v>
      </c>
    </row>
    <row r="2719" spans="42:44">
      <c r="AP2719" s="1756" t="e">
        <f>IF(OR(AR2719=S13,AR2719&gt;S13),AR2719,"")</f>
        <v>#VALUE!</v>
      </c>
      <c r="AQ2719" s="1759">
        <f t="shared" si="101"/>
        <v>2716</v>
      </c>
      <c r="AR2719" s="1756" t="e">
        <f>0.5*(S18+2*AQ2719)*LN(1+2*AQ2719/S18)</f>
        <v>#VALUE!</v>
      </c>
    </row>
    <row r="2720" spans="42:44">
      <c r="AP2720" s="1756" t="e">
        <f>IF(OR(AR2720=S13,AR2720&gt;S13),AR2720,"")</f>
        <v>#VALUE!</v>
      </c>
      <c r="AQ2720" s="1759">
        <f t="shared" si="101"/>
        <v>2717</v>
      </c>
      <c r="AR2720" s="1756" t="e">
        <f>0.5*(S18+2*AQ2720)*LN(1+2*AQ2720/S18)</f>
        <v>#VALUE!</v>
      </c>
    </row>
    <row r="2721" spans="42:44">
      <c r="AP2721" s="1756" t="e">
        <f>IF(OR(AR2721=S13,AR2721&gt;S13),AR2721,"")</f>
        <v>#VALUE!</v>
      </c>
      <c r="AQ2721" s="1759">
        <f t="shared" si="101"/>
        <v>2718</v>
      </c>
      <c r="AR2721" s="1756" t="e">
        <f>0.5*(S18+2*AQ2721)*LN(1+2*AQ2721/S18)</f>
        <v>#VALUE!</v>
      </c>
    </row>
    <row r="2722" spans="42:44">
      <c r="AP2722" s="1756" t="e">
        <f>IF(OR(AR2722=S13,AR2722&gt;S13),AR2722,"")</f>
        <v>#VALUE!</v>
      </c>
      <c r="AQ2722" s="1759">
        <f t="shared" si="101"/>
        <v>2719</v>
      </c>
      <c r="AR2722" s="1756" t="e">
        <f>0.5*(S18+2*AQ2722)*LN(1+2*AQ2722/S18)</f>
        <v>#VALUE!</v>
      </c>
    </row>
    <row r="2723" spans="42:44">
      <c r="AP2723" s="1756" t="e">
        <f>IF(OR(AR2723=S13,AR2723&gt;S13),AR2723,"")</f>
        <v>#VALUE!</v>
      </c>
      <c r="AQ2723" s="1759">
        <f t="shared" si="101"/>
        <v>2720</v>
      </c>
      <c r="AR2723" s="1756" t="e">
        <f>0.5*(S18+2*AQ2723)*LN(1+2*AQ2723/S18)</f>
        <v>#VALUE!</v>
      </c>
    </row>
    <row r="2724" spans="42:44">
      <c r="AP2724" s="1756" t="e">
        <f>IF(OR(AR2724=S13,AR2724&gt;S13),AR2724,"")</f>
        <v>#VALUE!</v>
      </c>
      <c r="AQ2724" s="1759">
        <f t="shared" si="101"/>
        <v>2721</v>
      </c>
      <c r="AR2724" s="1756" t="e">
        <f>0.5*(S18+2*AQ2724)*LN(1+2*AQ2724/S18)</f>
        <v>#VALUE!</v>
      </c>
    </row>
    <row r="2725" spans="42:44">
      <c r="AP2725" s="1756" t="e">
        <f>IF(OR(AR2725=S13,AR2725&gt;S13),AR2725,"")</f>
        <v>#VALUE!</v>
      </c>
      <c r="AQ2725" s="1759">
        <f t="shared" si="101"/>
        <v>2722</v>
      </c>
      <c r="AR2725" s="1756" t="e">
        <f>0.5*(S18+2*AQ2725)*LN(1+2*AQ2725/S18)</f>
        <v>#VALUE!</v>
      </c>
    </row>
    <row r="2726" spans="42:44">
      <c r="AP2726" s="1756" t="e">
        <f>IF(OR(AR2726=S13,AR2726&gt;S13),AR2726,"")</f>
        <v>#VALUE!</v>
      </c>
      <c r="AQ2726" s="1759">
        <f t="shared" si="101"/>
        <v>2723</v>
      </c>
      <c r="AR2726" s="1756" t="e">
        <f>0.5*(S18+2*AQ2726)*LN(1+2*AQ2726/S18)</f>
        <v>#VALUE!</v>
      </c>
    </row>
    <row r="2727" spans="42:44">
      <c r="AP2727" s="1756" t="e">
        <f>IF(OR(AR2727=S13,AR2727&gt;S13),AR2727,"")</f>
        <v>#VALUE!</v>
      </c>
      <c r="AQ2727" s="1759">
        <f t="shared" si="101"/>
        <v>2724</v>
      </c>
      <c r="AR2727" s="1756" t="e">
        <f>0.5*(S18+2*AQ2727)*LN(1+2*AQ2727/S18)</f>
        <v>#VALUE!</v>
      </c>
    </row>
    <row r="2728" spans="42:44">
      <c r="AP2728" s="1756" t="e">
        <f>IF(OR(AR2728=S13,AR2728&gt;S13),AR2728,"")</f>
        <v>#VALUE!</v>
      </c>
      <c r="AQ2728" s="1759">
        <f t="shared" si="101"/>
        <v>2725</v>
      </c>
      <c r="AR2728" s="1756" t="e">
        <f>0.5*(S18+2*AQ2728)*LN(1+2*AQ2728/S18)</f>
        <v>#VALUE!</v>
      </c>
    </row>
    <row r="2729" spans="42:44">
      <c r="AP2729" s="1756" t="e">
        <f>IF(OR(AR2729=S13,AR2729&gt;S13),AR2729,"")</f>
        <v>#VALUE!</v>
      </c>
      <c r="AQ2729" s="1759">
        <f t="shared" si="101"/>
        <v>2726</v>
      </c>
      <c r="AR2729" s="1756" t="e">
        <f>0.5*(S18+2*AQ2729)*LN(1+2*AQ2729/S18)</f>
        <v>#VALUE!</v>
      </c>
    </row>
    <row r="2730" spans="42:44">
      <c r="AP2730" s="1756" t="e">
        <f>IF(OR(AR2730=S13,AR2730&gt;S13),AR2730,"")</f>
        <v>#VALUE!</v>
      </c>
      <c r="AQ2730" s="1759">
        <f t="shared" si="101"/>
        <v>2727</v>
      </c>
      <c r="AR2730" s="1756" t="e">
        <f>0.5*(S18+2*AQ2730)*LN(1+2*AQ2730/S18)</f>
        <v>#VALUE!</v>
      </c>
    </row>
    <row r="2731" spans="42:44">
      <c r="AP2731" s="1756" t="e">
        <f>IF(OR(AR2731=S13,AR2731&gt;S13),AR2731,"")</f>
        <v>#VALUE!</v>
      </c>
      <c r="AQ2731" s="1759">
        <f t="shared" si="101"/>
        <v>2728</v>
      </c>
      <c r="AR2731" s="1756" t="e">
        <f>0.5*(S18+2*AQ2731)*LN(1+2*AQ2731/S18)</f>
        <v>#VALUE!</v>
      </c>
    </row>
    <row r="2732" spans="42:44">
      <c r="AP2732" s="1756" t="e">
        <f>IF(OR(AR2732=S13,AR2732&gt;S13),AR2732,"")</f>
        <v>#VALUE!</v>
      </c>
      <c r="AQ2732" s="1759">
        <f t="shared" si="101"/>
        <v>2729</v>
      </c>
      <c r="AR2732" s="1756" t="e">
        <f>0.5*(S18+2*AQ2732)*LN(1+2*AQ2732/S18)</f>
        <v>#VALUE!</v>
      </c>
    </row>
    <row r="2733" spans="42:44">
      <c r="AP2733" s="1756" t="e">
        <f>IF(OR(AR2733=S13,AR2733&gt;S13),AR2733,"")</f>
        <v>#VALUE!</v>
      </c>
      <c r="AQ2733" s="1759">
        <f t="shared" si="101"/>
        <v>2730</v>
      </c>
      <c r="AR2733" s="1756" t="e">
        <f>0.5*(S18+2*AQ2733)*LN(1+2*AQ2733/S18)</f>
        <v>#VALUE!</v>
      </c>
    </row>
    <row r="2734" spans="42:44">
      <c r="AP2734" s="1756" t="e">
        <f>IF(OR(AR2734=S13,AR2734&gt;S13),AR2734,"")</f>
        <v>#VALUE!</v>
      </c>
      <c r="AQ2734" s="1759">
        <f t="shared" si="101"/>
        <v>2731</v>
      </c>
      <c r="AR2734" s="1756" t="e">
        <f>0.5*(S18+2*AQ2734)*LN(1+2*AQ2734/S18)</f>
        <v>#VALUE!</v>
      </c>
    </row>
    <row r="2735" spans="42:44">
      <c r="AP2735" s="1756" t="e">
        <f>IF(OR(AR2735=S13,AR2735&gt;S13),AR2735,"")</f>
        <v>#VALUE!</v>
      </c>
      <c r="AQ2735" s="1759">
        <f t="shared" si="101"/>
        <v>2732</v>
      </c>
      <c r="AR2735" s="1756" t="e">
        <f>0.5*(S18+2*AQ2735)*LN(1+2*AQ2735/S18)</f>
        <v>#VALUE!</v>
      </c>
    </row>
    <row r="2736" spans="42:44">
      <c r="AP2736" s="1756" t="e">
        <f>IF(OR(AR2736=S13,AR2736&gt;S13),AR2736,"")</f>
        <v>#VALUE!</v>
      </c>
      <c r="AQ2736" s="1759">
        <f t="shared" si="101"/>
        <v>2733</v>
      </c>
      <c r="AR2736" s="1756" t="e">
        <f>0.5*(S18+2*AQ2736)*LN(1+2*AQ2736/S18)</f>
        <v>#VALUE!</v>
      </c>
    </row>
    <row r="2737" spans="42:44">
      <c r="AP2737" s="1756" t="e">
        <f>IF(OR(AR2737=S13,AR2737&gt;S13),AR2737,"")</f>
        <v>#VALUE!</v>
      </c>
      <c r="AQ2737" s="1759">
        <f t="shared" si="101"/>
        <v>2734</v>
      </c>
      <c r="AR2737" s="1756" t="e">
        <f>0.5*(S18+2*AQ2737)*LN(1+2*AQ2737/S18)</f>
        <v>#VALUE!</v>
      </c>
    </row>
    <row r="2738" spans="42:44">
      <c r="AP2738" s="1756" t="e">
        <f>IF(OR(AR2738=S13,AR2738&gt;S13),AR2738,"")</f>
        <v>#VALUE!</v>
      </c>
      <c r="AQ2738" s="1759">
        <f t="shared" si="101"/>
        <v>2735</v>
      </c>
      <c r="AR2738" s="1756" t="e">
        <f>0.5*(S18+2*AQ2738)*LN(1+2*AQ2738/S18)</f>
        <v>#VALUE!</v>
      </c>
    </row>
    <row r="2739" spans="42:44">
      <c r="AP2739" s="1756" t="e">
        <f>IF(OR(AR2739=S13,AR2739&gt;S13),AR2739,"")</f>
        <v>#VALUE!</v>
      </c>
      <c r="AQ2739" s="1759">
        <f t="shared" si="101"/>
        <v>2736</v>
      </c>
      <c r="AR2739" s="1756" t="e">
        <f>0.5*(S18+2*AQ2739)*LN(1+2*AQ2739/S18)</f>
        <v>#VALUE!</v>
      </c>
    </row>
    <row r="2740" spans="42:44">
      <c r="AP2740" s="1756" t="e">
        <f>IF(OR(AR2740=S13,AR2740&gt;S13),AR2740,"")</f>
        <v>#VALUE!</v>
      </c>
      <c r="AQ2740" s="1759">
        <f t="shared" si="101"/>
        <v>2737</v>
      </c>
      <c r="AR2740" s="1756" t="e">
        <f>0.5*(S18+2*AQ2740)*LN(1+2*AQ2740/S18)</f>
        <v>#VALUE!</v>
      </c>
    </row>
    <row r="2741" spans="42:44">
      <c r="AP2741" s="1756" t="e">
        <f>IF(OR(AR2741=S13,AR2741&gt;S13),AR2741,"")</f>
        <v>#VALUE!</v>
      </c>
      <c r="AQ2741" s="1759">
        <f t="shared" si="101"/>
        <v>2738</v>
      </c>
      <c r="AR2741" s="1756" t="e">
        <f>0.5*(S18+2*AQ2741)*LN(1+2*AQ2741/S18)</f>
        <v>#VALUE!</v>
      </c>
    </row>
    <row r="2742" spans="42:44">
      <c r="AP2742" s="1756" t="e">
        <f>IF(OR(AR2742=S13,AR2742&gt;S13),AR2742,"")</f>
        <v>#VALUE!</v>
      </c>
      <c r="AQ2742" s="1759">
        <f t="shared" si="101"/>
        <v>2739</v>
      </c>
      <c r="AR2742" s="1756" t="e">
        <f>0.5*(S18+2*AQ2742)*LN(1+2*AQ2742/S18)</f>
        <v>#VALUE!</v>
      </c>
    </row>
    <row r="2743" spans="42:44">
      <c r="AP2743" s="1756" t="e">
        <f>IF(OR(AR2743=S13,AR2743&gt;S13),AR2743,"")</f>
        <v>#VALUE!</v>
      </c>
      <c r="AQ2743" s="1759">
        <f t="shared" si="101"/>
        <v>2740</v>
      </c>
      <c r="AR2743" s="1756" t="e">
        <f>0.5*(S18+2*AQ2743)*LN(1+2*AQ2743/S18)</f>
        <v>#VALUE!</v>
      </c>
    </row>
    <row r="2744" spans="42:44">
      <c r="AP2744" s="1756" t="e">
        <f>IF(OR(AR2744=S13,AR2744&gt;S13),AR2744,"")</f>
        <v>#VALUE!</v>
      </c>
      <c r="AQ2744" s="1759">
        <f t="shared" si="101"/>
        <v>2741</v>
      </c>
      <c r="AR2744" s="1756" t="e">
        <f>0.5*(S18+2*AQ2744)*LN(1+2*AQ2744/S18)</f>
        <v>#VALUE!</v>
      </c>
    </row>
    <row r="2745" spans="42:44">
      <c r="AP2745" s="1756" t="e">
        <f>IF(OR(AR2745=S13,AR2745&gt;S13),AR2745,"")</f>
        <v>#VALUE!</v>
      </c>
      <c r="AQ2745" s="1759">
        <f t="shared" si="101"/>
        <v>2742</v>
      </c>
      <c r="AR2745" s="1756" t="e">
        <f>0.5*(S18+2*AQ2745)*LN(1+2*AQ2745/S18)</f>
        <v>#VALUE!</v>
      </c>
    </row>
    <row r="2746" spans="42:44">
      <c r="AP2746" s="1756" t="e">
        <f>IF(OR(AR2746=S13,AR2746&gt;S13),AR2746,"")</f>
        <v>#VALUE!</v>
      </c>
      <c r="AQ2746" s="1759">
        <f t="shared" si="101"/>
        <v>2743</v>
      </c>
      <c r="AR2746" s="1756" t="e">
        <f>0.5*(S18+2*AQ2746)*LN(1+2*AQ2746/S18)</f>
        <v>#VALUE!</v>
      </c>
    </row>
    <row r="2747" spans="42:44">
      <c r="AP2747" s="1756" t="e">
        <f>IF(OR(AR2747=S13,AR2747&gt;S13),AR2747,"")</f>
        <v>#VALUE!</v>
      </c>
      <c r="AQ2747" s="1759">
        <f t="shared" si="101"/>
        <v>2744</v>
      </c>
      <c r="AR2747" s="1756" t="e">
        <f>0.5*(S18+2*AQ2747)*LN(1+2*AQ2747/S18)</f>
        <v>#VALUE!</v>
      </c>
    </row>
    <row r="2748" spans="42:44">
      <c r="AP2748" s="1756" t="e">
        <f>IF(OR(AR2748=S13,AR2748&gt;S13),AR2748,"")</f>
        <v>#VALUE!</v>
      </c>
      <c r="AQ2748" s="1759">
        <f t="shared" si="101"/>
        <v>2745</v>
      </c>
      <c r="AR2748" s="1756" t="e">
        <f>0.5*(S18+2*AQ2748)*LN(1+2*AQ2748/S18)</f>
        <v>#VALUE!</v>
      </c>
    </row>
    <row r="2749" spans="42:44">
      <c r="AP2749" s="1756" t="e">
        <f>IF(OR(AR2749=S13,AR2749&gt;S13),AR2749,"")</f>
        <v>#VALUE!</v>
      </c>
      <c r="AQ2749" s="1759">
        <f t="shared" si="101"/>
        <v>2746</v>
      </c>
      <c r="AR2749" s="1756" t="e">
        <f>0.5*(S18+2*AQ2749)*LN(1+2*AQ2749/S18)</f>
        <v>#VALUE!</v>
      </c>
    </row>
    <row r="2750" spans="42:44">
      <c r="AP2750" s="1756" t="e">
        <f>IF(OR(AR2750=S13,AR2750&gt;S13),AR2750,"")</f>
        <v>#VALUE!</v>
      </c>
      <c r="AQ2750" s="1759">
        <f t="shared" si="101"/>
        <v>2747</v>
      </c>
      <c r="AR2750" s="1756" t="e">
        <f>0.5*(S18+2*AQ2750)*LN(1+2*AQ2750/S18)</f>
        <v>#VALUE!</v>
      </c>
    </row>
    <row r="2751" spans="42:44">
      <c r="AP2751" s="1756" t="e">
        <f>IF(OR(AR2751=S13,AR2751&gt;S13),AR2751,"")</f>
        <v>#VALUE!</v>
      </c>
      <c r="AQ2751" s="1759">
        <f t="shared" si="101"/>
        <v>2748</v>
      </c>
      <c r="AR2751" s="1756" t="e">
        <f>0.5*(S18+2*AQ2751)*LN(1+2*AQ2751/S18)</f>
        <v>#VALUE!</v>
      </c>
    </row>
    <row r="2752" spans="42:44">
      <c r="AP2752" s="1756" t="e">
        <f>IF(OR(AR2752=S13,AR2752&gt;S13),AR2752,"")</f>
        <v>#VALUE!</v>
      </c>
      <c r="AQ2752" s="1759">
        <f t="shared" si="101"/>
        <v>2749</v>
      </c>
      <c r="AR2752" s="1756" t="e">
        <f>0.5*(S18+2*AQ2752)*LN(1+2*AQ2752/S18)</f>
        <v>#VALUE!</v>
      </c>
    </row>
    <row r="2753" spans="42:44">
      <c r="AP2753" s="1756" t="e">
        <f>IF(OR(AR2753=S13,AR2753&gt;S13),AR2753,"")</f>
        <v>#VALUE!</v>
      </c>
      <c r="AQ2753" s="1759">
        <f t="shared" si="101"/>
        <v>2750</v>
      </c>
      <c r="AR2753" s="1756" t="e">
        <f>0.5*(S18+2*AQ2753)*LN(1+2*AQ2753/S18)</f>
        <v>#VALUE!</v>
      </c>
    </row>
    <row r="2754" spans="42:44">
      <c r="AP2754" s="1756" t="e">
        <f>IF(OR(AR2754=S13,AR2754&gt;S13),AR2754,"")</f>
        <v>#VALUE!</v>
      </c>
      <c r="AQ2754" s="1759">
        <f t="shared" si="101"/>
        <v>2751</v>
      </c>
      <c r="AR2754" s="1756" t="e">
        <f>0.5*(S18+2*AQ2754)*LN(1+2*AQ2754/S18)</f>
        <v>#VALUE!</v>
      </c>
    </row>
    <row r="2755" spans="42:44">
      <c r="AP2755" s="1756" t="e">
        <f>IF(OR(AR2755=S13,AR2755&gt;S13),AR2755,"")</f>
        <v>#VALUE!</v>
      </c>
      <c r="AQ2755" s="1759">
        <f t="shared" si="101"/>
        <v>2752</v>
      </c>
      <c r="AR2755" s="1756" t="e">
        <f>0.5*(S18+2*AQ2755)*LN(1+2*AQ2755/S18)</f>
        <v>#VALUE!</v>
      </c>
    </row>
    <row r="2756" spans="42:44">
      <c r="AP2756" s="1756" t="e">
        <f>IF(OR(AR2756=S13,AR2756&gt;S13),AR2756,"")</f>
        <v>#VALUE!</v>
      </c>
      <c r="AQ2756" s="1759">
        <f t="shared" si="101"/>
        <v>2753</v>
      </c>
      <c r="AR2756" s="1756" t="e">
        <f>0.5*(S18+2*AQ2756)*LN(1+2*AQ2756/S18)</f>
        <v>#VALUE!</v>
      </c>
    </row>
    <row r="2757" spans="42:44">
      <c r="AP2757" s="1756" t="e">
        <f>IF(OR(AR2757=S13,AR2757&gt;S13),AR2757,"")</f>
        <v>#VALUE!</v>
      </c>
      <c r="AQ2757" s="1759">
        <f t="shared" si="101"/>
        <v>2754</v>
      </c>
      <c r="AR2757" s="1756" t="e">
        <f>0.5*(S18+2*AQ2757)*LN(1+2*AQ2757/S18)</f>
        <v>#VALUE!</v>
      </c>
    </row>
    <row r="2758" spans="42:44">
      <c r="AP2758" s="1756" t="e">
        <f>IF(OR(AR2758=S13,AR2758&gt;S13),AR2758,"")</f>
        <v>#VALUE!</v>
      </c>
      <c r="AQ2758" s="1759">
        <f t="shared" ref="AQ2758:AQ2821" si="102">AQ2757+1</f>
        <v>2755</v>
      </c>
      <c r="AR2758" s="1756" t="e">
        <f>0.5*(S18+2*AQ2758)*LN(1+2*AQ2758/S18)</f>
        <v>#VALUE!</v>
      </c>
    </row>
    <row r="2759" spans="42:44">
      <c r="AP2759" s="1756" t="e">
        <f>IF(OR(AR2759=S13,AR2759&gt;S13),AR2759,"")</f>
        <v>#VALUE!</v>
      </c>
      <c r="AQ2759" s="1759">
        <f t="shared" si="102"/>
        <v>2756</v>
      </c>
      <c r="AR2759" s="1756" t="e">
        <f>0.5*(S18+2*AQ2759)*LN(1+2*AQ2759/S18)</f>
        <v>#VALUE!</v>
      </c>
    </row>
    <row r="2760" spans="42:44">
      <c r="AP2760" s="1756" t="e">
        <f>IF(OR(AR2760=S13,AR2760&gt;S13),AR2760,"")</f>
        <v>#VALUE!</v>
      </c>
      <c r="AQ2760" s="1759">
        <f t="shared" si="102"/>
        <v>2757</v>
      </c>
      <c r="AR2760" s="1756" t="e">
        <f>0.5*(S18+2*AQ2760)*LN(1+2*AQ2760/S18)</f>
        <v>#VALUE!</v>
      </c>
    </row>
    <row r="2761" spans="42:44">
      <c r="AP2761" s="1756" t="e">
        <f>IF(OR(AR2761=S13,AR2761&gt;S13),AR2761,"")</f>
        <v>#VALUE!</v>
      </c>
      <c r="AQ2761" s="1759">
        <f t="shared" si="102"/>
        <v>2758</v>
      </c>
      <c r="AR2761" s="1756" t="e">
        <f>0.5*(S18+2*AQ2761)*LN(1+2*AQ2761/S18)</f>
        <v>#VALUE!</v>
      </c>
    </row>
    <row r="2762" spans="42:44">
      <c r="AP2762" s="1756" t="e">
        <f>IF(OR(AR2762=S13,AR2762&gt;S13),AR2762,"")</f>
        <v>#VALUE!</v>
      </c>
      <c r="AQ2762" s="1759">
        <f t="shared" si="102"/>
        <v>2759</v>
      </c>
      <c r="AR2762" s="1756" t="e">
        <f>0.5*(S18+2*AQ2762)*LN(1+2*AQ2762/S18)</f>
        <v>#VALUE!</v>
      </c>
    </row>
    <row r="2763" spans="42:44">
      <c r="AP2763" s="1756" t="e">
        <f>IF(OR(AR2763=S13,AR2763&gt;S13),AR2763,"")</f>
        <v>#VALUE!</v>
      </c>
      <c r="AQ2763" s="1759">
        <f t="shared" si="102"/>
        <v>2760</v>
      </c>
      <c r="AR2763" s="1756" t="e">
        <f>0.5*(S18+2*AQ2763)*LN(1+2*AQ2763/S18)</f>
        <v>#VALUE!</v>
      </c>
    </row>
    <row r="2764" spans="42:44">
      <c r="AP2764" s="1756" t="e">
        <f>IF(OR(AR2764=S13,AR2764&gt;S13),AR2764,"")</f>
        <v>#VALUE!</v>
      </c>
      <c r="AQ2764" s="1759">
        <f t="shared" si="102"/>
        <v>2761</v>
      </c>
      <c r="AR2764" s="1756" t="e">
        <f>0.5*(S18+2*AQ2764)*LN(1+2*AQ2764/S18)</f>
        <v>#VALUE!</v>
      </c>
    </row>
    <row r="2765" spans="42:44">
      <c r="AP2765" s="1756" t="e">
        <f>IF(OR(AR2765=S13,AR2765&gt;S13),AR2765,"")</f>
        <v>#VALUE!</v>
      </c>
      <c r="AQ2765" s="1759">
        <f t="shared" si="102"/>
        <v>2762</v>
      </c>
      <c r="AR2765" s="1756" t="e">
        <f>0.5*(S18+2*AQ2765)*LN(1+2*AQ2765/S18)</f>
        <v>#VALUE!</v>
      </c>
    </row>
    <row r="2766" spans="42:44">
      <c r="AP2766" s="1756" t="e">
        <f>IF(OR(AR2766=S13,AR2766&gt;S13),AR2766,"")</f>
        <v>#VALUE!</v>
      </c>
      <c r="AQ2766" s="1759">
        <f t="shared" si="102"/>
        <v>2763</v>
      </c>
      <c r="AR2766" s="1756" t="e">
        <f>0.5*(S18+2*AQ2766)*LN(1+2*AQ2766/S18)</f>
        <v>#VALUE!</v>
      </c>
    </row>
    <row r="2767" spans="42:44">
      <c r="AP2767" s="1756" t="e">
        <f>IF(OR(AR2767=S13,AR2767&gt;S13),AR2767,"")</f>
        <v>#VALUE!</v>
      </c>
      <c r="AQ2767" s="1759">
        <f t="shared" si="102"/>
        <v>2764</v>
      </c>
      <c r="AR2767" s="1756" t="e">
        <f>0.5*(S18+2*AQ2767)*LN(1+2*AQ2767/S18)</f>
        <v>#VALUE!</v>
      </c>
    </row>
    <row r="2768" spans="42:44">
      <c r="AP2768" s="1756" t="e">
        <f>IF(OR(AR2768=S13,AR2768&gt;S13),AR2768,"")</f>
        <v>#VALUE!</v>
      </c>
      <c r="AQ2768" s="1759">
        <f t="shared" si="102"/>
        <v>2765</v>
      </c>
      <c r="AR2768" s="1756" t="e">
        <f>0.5*(S18+2*AQ2768)*LN(1+2*AQ2768/S18)</f>
        <v>#VALUE!</v>
      </c>
    </row>
    <row r="2769" spans="42:44">
      <c r="AP2769" s="1756" t="e">
        <f>IF(OR(AR2769=S13,AR2769&gt;S13),AR2769,"")</f>
        <v>#VALUE!</v>
      </c>
      <c r="AQ2769" s="1759">
        <f t="shared" si="102"/>
        <v>2766</v>
      </c>
      <c r="AR2769" s="1756" t="e">
        <f>0.5*(S18+2*AQ2769)*LN(1+2*AQ2769/S18)</f>
        <v>#VALUE!</v>
      </c>
    </row>
    <row r="2770" spans="42:44">
      <c r="AP2770" s="1756" t="e">
        <f>IF(OR(AR2770=S13,AR2770&gt;S13),AR2770,"")</f>
        <v>#VALUE!</v>
      </c>
      <c r="AQ2770" s="1759">
        <f t="shared" si="102"/>
        <v>2767</v>
      </c>
      <c r="AR2770" s="1756" t="e">
        <f>0.5*(S18+2*AQ2770)*LN(1+2*AQ2770/S18)</f>
        <v>#VALUE!</v>
      </c>
    </row>
    <row r="2771" spans="42:44">
      <c r="AP2771" s="1756" t="e">
        <f>IF(OR(AR2771=S13,AR2771&gt;S13),AR2771,"")</f>
        <v>#VALUE!</v>
      </c>
      <c r="AQ2771" s="1759">
        <f t="shared" si="102"/>
        <v>2768</v>
      </c>
      <c r="AR2771" s="1756" t="e">
        <f>0.5*(S18+2*AQ2771)*LN(1+2*AQ2771/S18)</f>
        <v>#VALUE!</v>
      </c>
    </row>
    <row r="2772" spans="42:44">
      <c r="AP2772" s="1756" t="e">
        <f>IF(OR(AR2772=S13,AR2772&gt;S13),AR2772,"")</f>
        <v>#VALUE!</v>
      </c>
      <c r="AQ2772" s="1759">
        <f t="shared" si="102"/>
        <v>2769</v>
      </c>
      <c r="AR2772" s="1756" t="e">
        <f>0.5*(S18+2*AQ2772)*LN(1+2*AQ2772/S18)</f>
        <v>#VALUE!</v>
      </c>
    </row>
    <row r="2773" spans="42:44">
      <c r="AP2773" s="1756" t="e">
        <f>IF(OR(AR2773=S13,AR2773&gt;S13),AR2773,"")</f>
        <v>#VALUE!</v>
      </c>
      <c r="AQ2773" s="1759">
        <f t="shared" si="102"/>
        <v>2770</v>
      </c>
      <c r="AR2773" s="1756" t="e">
        <f>0.5*(S18+2*AQ2773)*LN(1+2*AQ2773/S18)</f>
        <v>#VALUE!</v>
      </c>
    </row>
    <row r="2774" spans="42:44">
      <c r="AP2774" s="1756" t="e">
        <f>IF(OR(AR2774=S13,AR2774&gt;S13),AR2774,"")</f>
        <v>#VALUE!</v>
      </c>
      <c r="AQ2774" s="1759">
        <f t="shared" si="102"/>
        <v>2771</v>
      </c>
      <c r="AR2774" s="1756" t="e">
        <f>0.5*(S18+2*AQ2774)*LN(1+2*AQ2774/S18)</f>
        <v>#VALUE!</v>
      </c>
    </row>
    <row r="2775" spans="42:44">
      <c r="AP2775" s="1756" t="e">
        <f>IF(OR(AR2775=S13,AR2775&gt;S13),AR2775,"")</f>
        <v>#VALUE!</v>
      </c>
      <c r="AQ2775" s="1759">
        <f t="shared" si="102"/>
        <v>2772</v>
      </c>
      <c r="AR2775" s="1756" t="e">
        <f>0.5*(S18+2*AQ2775)*LN(1+2*AQ2775/S18)</f>
        <v>#VALUE!</v>
      </c>
    </row>
    <row r="2776" spans="42:44">
      <c r="AP2776" s="1756" t="e">
        <f>IF(OR(AR2776=S13,AR2776&gt;S13),AR2776,"")</f>
        <v>#VALUE!</v>
      </c>
      <c r="AQ2776" s="1759">
        <f t="shared" si="102"/>
        <v>2773</v>
      </c>
      <c r="AR2776" s="1756" t="e">
        <f>0.5*(S18+2*AQ2776)*LN(1+2*AQ2776/S18)</f>
        <v>#VALUE!</v>
      </c>
    </row>
    <row r="2777" spans="42:44">
      <c r="AP2777" s="1756" t="e">
        <f>IF(OR(AR2777=S13,AR2777&gt;S13),AR2777,"")</f>
        <v>#VALUE!</v>
      </c>
      <c r="AQ2777" s="1759">
        <f t="shared" si="102"/>
        <v>2774</v>
      </c>
      <c r="AR2777" s="1756" t="e">
        <f>0.5*(S18+2*AQ2777)*LN(1+2*AQ2777/S18)</f>
        <v>#VALUE!</v>
      </c>
    </row>
    <row r="2778" spans="42:44">
      <c r="AP2778" s="1756" t="e">
        <f>IF(OR(AR2778=S13,AR2778&gt;S13),AR2778,"")</f>
        <v>#VALUE!</v>
      </c>
      <c r="AQ2778" s="1759">
        <f t="shared" si="102"/>
        <v>2775</v>
      </c>
      <c r="AR2778" s="1756" t="e">
        <f>0.5*(S18+2*AQ2778)*LN(1+2*AQ2778/S18)</f>
        <v>#VALUE!</v>
      </c>
    </row>
    <row r="2779" spans="42:44">
      <c r="AP2779" s="1756" t="e">
        <f>IF(OR(AR2779=S13,AR2779&gt;S13),AR2779,"")</f>
        <v>#VALUE!</v>
      </c>
      <c r="AQ2779" s="1759">
        <f t="shared" si="102"/>
        <v>2776</v>
      </c>
      <c r="AR2779" s="1756" t="e">
        <f>0.5*(S18+2*AQ2779)*LN(1+2*AQ2779/S18)</f>
        <v>#VALUE!</v>
      </c>
    </row>
    <row r="2780" spans="42:44">
      <c r="AP2780" s="1756" t="e">
        <f>IF(OR(AR2780=S13,AR2780&gt;S13),AR2780,"")</f>
        <v>#VALUE!</v>
      </c>
      <c r="AQ2780" s="1759">
        <f t="shared" si="102"/>
        <v>2777</v>
      </c>
      <c r="AR2780" s="1756" t="e">
        <f>0.5*(S18+2*AQ2780)*LN(1+2*AQ2780/S18)</f>
        <v>#VALUE!</v>
      </c>
    </row>
    <row r="2781" spans="42:44">
      <c r="AP2781" s="1756" t="e">
        <f>IF(OR(AR2781=S13,AR2781&gt;S13),AR2781,"")</f>
        <v>#VALUE!</v>
      </c>
      <c r="AQ2781" s="1759">
        <f t="shared" si="102"/>
        <v>2778</v>
      </c>
      <c r="AR2781" s="1756" t="e">
        <f>0.5*(S18+2*AQ2781)*LN(1+2*AQ2781/S18)</f>
        <v>#VALUE!</v>
      </c>
    </row>
    <row r="2782" spans="42:44">
      <c r="AP2782" s="1756" t="e">
        <f>IF(OR(AR2782=S13,AR2782&gt;S13),AR2782,"")</f>
        <v>#VALUE!</v>
      </c>
      <c r="AQ2782" s="1759">
        <f t="shared" si="102"/>
        <v>2779</v>
      </c>
      <c r="AR2782" s="1756" t="e">
        <f>0.5*(S18+2*AQ2782)*LN(1+2*AQ2782/S18)</f>
        <v>#VALUE!</v>
      </c>
    </row>
    <row r="2783" spans="42:44">
      <c r="AP2783" s="1756" t="e">
        <f>IF(OR(AR2783=S13,AR2783&gt;S13),AR2783,"")</f>
        <v>#VALUE!</v>
      </c>
      <c r="AQ2783" s="1759">
        <f t="shared" si="102"/>
        <v>2780</v>
      </c>
      <c r="AR2783" s="1756" t="e">
        <f>0.5*(S18+2*AQ2783)*LN(1+2*AQ2783/S18)</f>
        <v>#VALUE!</v>
      </c>
    </row>
    <row r="2784" spans="42:44">
      <c r="AP2784" s="1756" t="e">
        <f>IF(OR(AR2784=S13,AR2784&gt;S13),AR2784,"")</f>
        <v>#VALUE!</v>
      </c>
      <c r="AQ2784" s="1759">
        <f t="shared" si="102"/>
        <v>2781</v>
      </c>
      <c r="AR2784" s="1756" t="e">
        <f>0.5*(S18+2*AQ2784)*LN(1+2*AQ2784/S18)</f>
        <v>#VALUE!</v>
      </c>
    </row>
    <row r="2785" spans="42:44">
      <c r="AP2785" s="1756" t="e">
        <f>IF(OR(AR2785=S13,AR2785&gt;S13),AR2785,"")</f>
        <v>#VALUE!</v>
      </c>
      <c r="AQ2785" s="1759">
        <f t="shared" si="102"/>
        <v>2782</v>
      </c>
      <c r="AR2785" s="1756" t="e">
        <f>0.5*(S18+2*AQ2785)*LN(1+2*AQ2785/S18)</f>
        <v>#VALUE!</v>
      </c>
    </row>
    <row r="2786" spans="42:44">
      <c r="AP2786" s="1756" t="e">
        <f>IF(OR(AR2786=S13,AR2786&gt;S13),AR2786,"")</f>
        <v>#VALUE!</v>
      </c>
      <c r="AQ2786" s="1759">
        <f t="shared" si="102"/>
        <v>2783</v>
      </c>
      <c r="AR2786" s="1756" t="e">
        <f>0.5*(S18+2*AQ2786)*LN(1+2*AQ2786/S18)</f>
        <v>#VALUE!</v>
      </c>
    </row>
    <row r="2787" spans="42:44">
      <c r="AP2787" s="1756" t="e">
        <f>IF(OR(AR2787=S13,AR2787&gt;S13),AR2787,"")</f>
        <v>#VALUE!</v>
      </c>
      <c r="AQ2787" s="1759">
        <f t="shared" si="102"/>
        <v>2784</v>
      </c>
      <c r="AR2787" s="1756" t="e">
        <f>0.5*(S18+2*AQ2787)*LN(1+2*AQ2787/S18)</f>
        <v>#VALUE!</v>
      </c>
    </row>
    <row r="2788" spans="42:44">
      <c r="AP2788" s="1756" t="e">
        <f>IF(OR(AR2788=S13,AR2788&gt;S13),AR2788,"")</f>
        <v>#VALUE!</v>
      </c>
      <c r="AQ2788" s="1759">
        <f t="shared" si="102"/>
        <v>2785</v>
      </c>
      <c r="AR2788" s="1756" t="e">
        <f>0.5*(S18+2*AQ2788)*LN(1+2*AQ2788/S18)</f>
        <v>#VALUE!</v>
      </c>
    </row>
    <row r="2789" spans="42:44">
      <c r="AP2789" s="1756" t="e">
        <f>IF(OR(AR2789=S13,AR2789&gt;S13),AR2789,"")</f>
        <v>#VALUE!</v>
      </c>
      <c r="AQ2789" s="1759">
        <f t="shared" si="102"/>
        <v>2786</v>
      </c>
      <c r="AR2789" s="1756" t="e">
        <f>0.5*(S18+2*AQ2789)*LN(1+2*AQ2789/S18)</f>
        <v>#VALUE!</v>
      </c>
    </row>
    <row r="2790" spans="42:44">
      <c r="AP2790" s="1756" t="e">
        <f>IF(OR(AR2790=S13,AR2790&gt;S13),AR2790,"")</f>
        <v>#VALUE!</v>
      </c>
      <c r="AQ2790" s="1759">
        <f t="shared" si="102"/>
        <v>2787</v>
      </c>
      <c r="AR2790" s="1756" t="e">
        <f>0.5*(S18+2*AQ2790)*LN(1+2*AQ2790/S18)</f>
        <v>#VALUE!</v>
      </c>
    </row>
    <row r="2791" spans="42:44">
      <c r="AP2791" s="1756" t="e">
        <f>IF(OR(AR2791=S13,AR2791&gt;S13),AR2791,"")</f>
        <v>#VALUE!</v>
      </c>
      <c r="AQ2791" s="1759">
        <f t="shared" si="102"/>
        <v>2788</v>
      </c>
      <c r="AR2791" s="1756" t="e">
        <f>0.5*(S18+2*AQ2791)*LN(1+2*AQ2791/S18)</f>
        <v>#VALUE!</v>
      </c>
    </row>
    <row r="2792" spans="42:44">
      <c r="AP2792" s="1756" t="e">
        <f>IF(OR(AR2792=S13,AR2792&gt;S13),AR2792,"")</f>
        <v>#VALUE!</v>
      </c>
      <c r="AQ2792" s="1759">
        <f t="shared" si="102"/>
        <v>2789</v>
      </c>
      <c r="AR2792" s="1756" t="e">
        <f>0.5*(S18+2*AQ2792)*LN(1+2*AQ2792/S18)</f>
        <v>#VALUE!</v>
      </c>
    </row>
    <row r="2793" spans="42:44">
      <c r="AP2793" s="1756" t="e">
        <f>IF(OR(AR2793=S13,AR2793&gt;S13),AR2793,"")</f>
        <v>#VALUE!</v>
      </c>
      <c r="AQ2793" s="1759">
        <f t="shared" si="102"/>
        <v>2790</v>
      </c>
      <c r="AR2793" s="1756" t="e">
        <f>0.5*(S18+2*AQ2793)*LN(1+2*AQ2793/S18)</f>
        <v>#VALUE!</v>
      </c>
    </row>
    <row r="2794" spans="42:44">
      <c r="AP2794" s="1756" t="e">
        <f>IF(OR(AR2794=S13,AR2794&gt;S13),AR2794,"")</f>
        <v>#VALUE!</v>
      </c>
      <c r="AQ2794" s="1759">
        <f t="shared" si="102"/>
        <v>2791</v>
      </c>
      <c r="AR2794" s="1756" t="e">
        <f>0.5*(S18+2*AQ2794)*LN(1+2*AQ2794/S18)</f>
        <v>#VALUE!</v>
      </c>
    </row>
    <row r="2795" spans="42:44">
      <c r="AP2795" s="1756" t="e">
        <f>IF(OR(AR2795=S13,AR2795&gt;S13),AR2795,"")</f>
        <v>#VALUE!</v>
      </c>
      <c r="AQ2795" s="1759">
        <f t="shared" si="102"/>
        <v>2792</v>
      </c>
      <c r="AR2795" s="1756" t="e">
        <f>0.5*(S18+2*AQ2795)*LN(1+2*AQ2795/S18)</f>
        <v>#VALUE!</v>
      </c>
    </row>
    <row r="2796" spans="42:44">
      <c r="AP2796" s="1756" t="e">
        <f>IF(OR(AR2796=S13,AR2796&gt;S13),AR2796,"")</f>
        <v>#VALUE!</v>
      </c>
      <c r="AQ2796" s="1759">
        <f t="shared" si="102"/>
        <v>2793</v>
      </c>
      <c r="AR2796" s="1756" t="e">
        <f>0.5*(S18+2*AQ2796)*LN(1+2*AQ2796/S18)</f>
        <v>#VALUE!</v>
      </c>
    </row>
    <row r="2797" spans="42:44">
      <c r="AP2797" s="1756" t="e">
        <f>IF(OR(AR2797=S13,AR2797&gt;S13),AR2797,"")</f>
        <v>#VALUE!</v>
      </c>
      <c r="AQ2797" s="1759">
        <f t="shared" si="102"/>
        <v>2794</v>
      </c>
      <c r="AR2797" s="1756" t="e">
        <f>0.5*(S18+2*AQ2797)*LN(1+2*AQ2797/S18)</f>
        <v>#VALUE!</v>
      </c>
    </row>
    <row r="2798" spans="42:44">
      <c r="AP2798" s="1756" t="e">
        <f>IF(OR(AR2798=S13,AR2798&gt;S13),AR2798,"")</f>
        <v>#VALUE!</v>
      </c>
      <c r="AQ2798" s="1759">
        <f t="shared" si="102"/>
        <v>2795</v>
      </c>
      <c r="AR2798" s="1756" t="e">
        <f>0.5*(S18+2*AQ2798)*LN(1+2*AQ2798/S18)</f>
        <v>#VALUE!</v>
      </c>
    </row>
    <row r="2799" spans="42:44">
      <c r="AP2799" s="1756" t="e">
        <f>IF(OR(AR2799=S13,AR2799&gt;S13),AR2799,"")</f>
        <v>#VALUE!</v>
      </c>
      <c r="AQ2799" s="1759">
        <f t="shared" si="102"/>
        <v>2796</v>
      </c>
      <c r="AR2799" s="1756" t="e">
        <f>0.5*(S18+2*AQ2799)*LN(1+2*AQ2799/S18)</f>
        <v>#VALUE!</v>
      </c>
    </row>
    <row r="2800" spans="42:44">
      <c r="AP2800" s="1756" t="e">
        <f>IF(OR(AR2800=S13,AR2800&gt;S13),AR2800,"")</f>
        <v>#VALUE!</v>
      </c>
      <c r="AQ2800" s="1759">
        <f t="shared" si="102"/>
        <v>2797</v>
      </c>
      <c r="AR2800" s="1756" t="e">
        <f>0.5*(S18+2*AQ2800)*LN(1+2*AQ2800/S18)</f>
        <v>#VALUE!</v>
      </c>
    </row>
    <row r="2801" spans="42:44">
      <c r="AP2801" s="1756" t="e">
        <f>IF(OR(AR2801=S13,AR2801&gt;S13),AR2801,"")</f>
        <v>#VALUE!</v>
      </c>
      <c r="AQ2801" s="1759">
        <f t="shared" si="102"/>
        <v>2798</v>
      </c>
      <c r="AR2801" s="1756" t="e">
        <f>0.5*(S18+2*AQ2801)*LN(1+2*AQ2801/S18)</f>
        <v>#VALUE!</v>
      </c>
    </row>
    <row r="2802" spans="42:44">
      <c r="AP2802" s="1756" t="e">
        <f>IF(OR(AR2802=S13,AR2802&gt;S13),AR2802,"")</f>
        <v>#VALUE!</v>
      </c>
      <c r="AQ2802" s="1759">
        <f t="shared" si="102"/>
        <v>2799</v>
      </c>
      <c r="AR2802" s="1756" t="e">
        <f>0.5*(S18+2*AQ2802)*LN(1+2*AQ2802/S18)</f>
        <v>#VALUE!</v>
      </c>
    </row>
    <row r="2803" spans="42:44">
      <c r="AP2803" s="1756" t="e">
        <f>IF(OR(AR2803=S13,AR2803&gt;S13),AR2803,"")</f>
        <v>#VALUE!</v>
      </c>
      <c r="AQ2803" s="1759">
        <f t="shared" si="102"/>
        <v>2800</v>
      </c>
      <c r="AR2803" s="1756" t="e">
        <f>0.5*(S18+2*AQ2803)*LN(1+2*AQ2803/S18)</f>
        <v>#VALUE!</v>
      </c>
    </row>
    <row r="2804" spans="42:44">
      <c r="AP2804" s="1756" t="e">
        <f>IF(OR(AR2804=S13,AR2804&gt;S13),AR2804,"")</f>
        <v>#VALUE!</v>
      </c>
      <c r="AQ2804" s="1759">
        <f t="shared" si="102"/>
        <v>2801</v>
      </c>
      <c r="AR2804" s="1756" t="e">
        <f>0.5*(S18+2*AQ2804)*LN(1+2*AQ2804/S18)</f>
        <v>#VALUE!</v>
      </c>
    </row>
    <row r="2805" spans="42:44">
      <c r="AP2805" s="1756" t="e">
        <f>IF(OR(AR2805=S13,AR2805&gt;S13),AR2805,"")</f>
        <v>#VALUE!</v>
      </c>
      <c r="AQ2805" s="1759">
        <f t="shared" si="102"/>
        <v>2802</v>
      </c>
      <c r="AR2805" s="1756" t="e">
        <f>0.5*(S18+2*AQ2805)*LN(1+2*AQ2805/S18)</f>
        <v>#VALUE!</v>
      </c>
    </row>
    <row r="2806" spans="42:44">
      <c r="AP2806" s="1756" t="e">
        <f>IF(OR(AR2806=S13,AR2806&gt;S13),AR2806,"")</f>
        <v>#VALUE!</v>
      </c>
      <c r="AQ2806" s="1759">
        <f t="shared" si="102"/>
        <v>2803</v>
      </c>
      <c r="AR2806" s="1756" t="e">
        <f>0.5*(S18+2*AQ2806)*LN(1+2*AQ2806/S18)</f>
        <v>#VALUE!</v>
      </c>
    </row>
    <row r="2807" spans="42:44">
      <c r="AP2807" s="1756" t="e">
        <f>IF(OR(AR2807=S13,AR2807&gt;S13),AR2807,"")</f>
        <v>#VALUE!</v>
      </c>
      <c r="AQ2807" s="1759">
        <f t="shared" si="102"/>
        <v>2804</v>
      </c>
      <c r="AR2807" s="1756" t="e">
        <f>0.5*(S18+2*AQ2807)*LN(1+2*AQ2807/S18)</f>
        <v>#VALUE!</v>
      </c>
    </row>
    <row r="2808" spans="42:44">
      <c r="AP2808" s="1756" t="e">
        <f>IF(OR(AR2808=S13,AR2808&gt;S13),AR2808,"")</f>
        <v>#VALUE!</v>
      </c>
      <c r="AQ2808" s="1759">
        <f t="shared" si="102"/>
        <v>2805</v>
      </c>
      <c r="AR2808" s="1756" t="e">
        <f>0.5*(S18+2*AQ2808)*LN(1+2*AQ2808/S18)</f>
        <v>#VALUE!</v>
      </c>
    </row>
    <row r="2809" spans="42:44">
      <c r="AP2809" s="1756" t="e">
        <f>IF(OR(AR2809=S13,AR2809&gt;S13),AR2809,"")</f>
        <v>#VALUE!</v>
      </c>
      <c r="AQ2809" s="1759">
        <f t="shared" si="102"/>
        <v>2806</v>
      </c>
      <c r="AR2809" s="1756" t="e">
        <f>0.5*(S18+2*AQ2809)*LN(1+2*AQ2809/S18)</f>
        <v>#VALUE!</v>
      </c>
    </row>
    <row r="2810" spans="42:44">
      <c r="AP2810" s="1756" t="e">
        <f>IF(OR(AR2810=S13,AR2810&gt;S13),AR2810,"")</f>
        <v>#VALUE!</v>
      </c>
      <c r="AQ2810" s="1759">
        <f t="shared" si="102"/>
        <v>2807</v>
      </c>
      <c r="AR2810" s="1756" t="e">
        <f>0.5*(S18+2*AQ2810)*LN(1+2*AQ2810/S18)</f>
        <v>#VALUE!</v>
      </c>
    </row>
    <row r="2811" spans="42:44">
      <c r="AP2811" s="1756" t="e">
        <f>IF(OR(AR2811=S13,AR2811&gt;S13),AR2811,"")</f>
        <v>#VALUE!</v>
      </c>
      <c r="AQ2811" s="1759">
        <f t="shared" si="102"/>
        <v>2808</v>
      </c>
      <c r="AR2811" s="1756" t="e">
        <f>0.5*(S18+2*AQ2811)*LN(1+2*AQ2811/S18)</f>
        <v>#VALUE!</v>
      </c>
    </row>
    <row r="2812" spans="42:44">
      <c r="AP2812" s="1756" t="e">
        <f>IF(OR(AR2812=S13,AR2812&gt;S13),AR2812,"")</f>
        <v>#VALUE!</v>
      </c>
      <c r="AQ2812" s="1759">
        <f t="shared" si="102"/>
        <v>2809</v>
      </c>
      <c r="AR2812" s="1756" t="e">
        <f>0.5*(S18+2*AQ2812)*LN(1+2*AQ2812/S18)</f>
        <v>#VALUE!</v>
      </c>
    </row>
    <row r="2813" spans="42:44">
      <c r="AP2813" s="1756" t="e">
        <f>IF(OR(AR2813=S13,AR2813&gt;S13),AR2813,"")</f>
        <v>#VALUE!</v>
      </c>
      <c r="AQ2813" s="1759">
        <f t="shared" si="102"/>
        <v>2810</v>
      </c>
      <c r="AR2813" s="1756" t="e">
        <f>0.5*(S18+2*AQ2813)*LN(1+2*AQ2813/S18)</f>
        <v>#VALUE!</v>
      </c>
    </row>
    <row r="2814" spans="42:44">
      <c r="AP2814" s="1756" t="e">
        <f>IF(OR(AR2814=S13,AR2814&gt;S13),AR2814,"")</f>
        <v>#VALUE!</v>
      </c>
      <c r="AQ2814" s="1759">
        <f t="shared" si="102"/>
        <v>2811</v>
      </c>
      <c r="AR2814" s="1756" t="e">
        <f>0.5*(S18+2*AQ2814)*LN(1+2*AQ2814/S18)</f>
        <v>#VALUE!</v>
      </c>
    </row>
    <row r="2815" spans="42:44">
      <c r="AP2815" s="1756" t="e">
        <f>IF(OR(AR2815=S13,AR2815&gt;S13),AR2815,"")</f>
        <v>#VALUE!</v>
      </c>
      <c r="AQ2815" s="1759">
        <f t="shared" si="102"/>
        <v>2812</v>
      </c>
      <c r="AR2815" s="1756" t="e">
        <f>0.5*(S18+2*AQ2815)*LN(1+2*AQ2815/S18)</f>
        <v>#VALUE!</v>
      </c>
    </row>
    <row r="2816" spans="42:44">
      <c r="AP2816" s="1756" t="e">
        <f>IF(OR(AR2816=S13,AR2816&gt;S13),AR2816,"")</f>
        <v>#VALUE!</v>
      </c>
      <c r="AQ2816" s="1759">
        <f t="shared" si="102"/>
        <v>2813</v>
      </c>
      <c r="AR2816" s="1756" t="e">
        <f>0.5*(S18+2*AQ2816)*LN(1+2*AQ2816/S18)</f>
        <v>#VALUE!</v>
      </c>
    </row>
    <row r="2817" spans="42:44">
      <c r="AP2817" s="1756" t="e">
        <f>IF(OR(AR2817=S13,AR2817&gt;S13),AR2817,"")</f>
        <v>#VALUE!</v>
      </c>
      <c r="AQ2817" s="1759">
        <f t="shared" si="102"/>
        <v>2814</v>
      </c>
      <c r="AR2817" s="1756" t="e">
        <f>0.5*(S18+2*AQ2817)*LN(1+2*AQ2817/S18)</f>
        <v>#VALUE!</v>
      </c>
    </row>
    <row r="2818" spans="42:44">
      <c r="AP2818" s="1756" t="e">
        <f>IF(OR(AR2818=S13,AR2818&gt;S13),AR2818,"")</f>
        <v>#VALUE!</v>
      </c>
      <c r="AQ2818" s="1759">
        <f t="shared" si="102"/>
        <v>2815</v>
      </c>
      <c r="AR2818" s="1756" t="e">
        <f>0.5*(S18+2*AQ2818)*LN(1+2*AQ2818/S18)</f>
        <v>#VALUE!</v>
      </c>
    </row>
    <row r="2819" spans="42:44">
      <c r="AP2819" s="1756" t="e">
        <f>IF(OR(AR2819=S13,AR2819&gt;S13),AR2819,"")</f>
        <v>#VALUE!</v>
      </c>
      <c r="AQ2819" s="1759">
        <f t="shared" si="102"/>
        <v>2816</v>
      </c>
      <c r="AR2819" s="1756" t="e">
        <f>0.5*(S18+2*AQ2819)*LN(1+2*AQ2819/S18)</f>
        <v>#VALUE!</v>
      </c>
    </row>
    <row r="2820" spans="42:44">
      <c r="AP2820" s="1756" t="e">
        <f>IF(OR(AR2820=S13,AR2820&gt;S13),AR2820,"")</f>
        <v>#VALUE!</v>
      </c>
      <c r="AQ2820" s="1759">
        <f t="shared" si="102"/>
        <v>2817</v>
      </c>
      <c r="AR2820" s="1756" t="e">
        <f>0.5*(S18+2*AQ2820)*LN(1+2*AQ2820/S18)</f>
        <v>#VALUE!</v>
      </c>
    </row>
    <row r="2821" spans="42:44">
      <c r="AP2821" s="1756" t="e">
        <f>IF(OR(AR2821=S13,AR2821&gt;S13),AR2821,"")</f>
        <v>#VALUE!</v>
      </c>
      <c r="AQ2821" s="1759">
        <f t="shared" si="102"/>
        <v>2818</v>
      </c>
      <c r="AR2821" s="1756" t="e">
        <f>0.5*(S18+2*AQ2821)*LN(1+2*AQ2821/S18)</f>
        <v>#VALUE!</v>
      </c>
    </row>
    <row r="2822" spans="42:44">
      <c r="AP2822" s="1756" t="e">
        <f>IF(OR(AR2822=S13,AR2822&gt;S13),AR2822,"")</f>
        <v>#VALUE!</v>
      </c>
      <c r="AQ2822" s="1759">
        <f t="shared" ref="AQ2822:AQ2885" si="103">AQ2821+1</f>
        <v>2819</v>
      </c>
      <c r="AR2822" s="1756" t="e">
        <f>0.5*(S18+2*AQ2822)*LN(1+2*AQ2822/S18)</f>
        <v>#VALUE!</v>
      </c>
    </row>
    <row r="2823" spans="42:44">
      <c r="AP2823" s="1756" t="e">
        <f>IF(OR(AR2823=S13,AR2823&gt;S13),AR2823,"")</f>
        <v>#VALUE!</v>
      </c>
      <c r="AQ2823" s="1759">
        <f t="shared" si="103"/>
        <v>2820</v>
      </c>
      <c r="AR2823" s="1756" t="e">
        <f>0.5*(S18+2*AQ2823)*LN(1+2*AQ2823/S18)</f>
        <v>#VALUE!</v>
      </c>
    </row>
    <row r="2824" spans="42:44">
      <c r="AP2824" s="1756" t="e">
        <f>IF(OR(AR2824=S13,AR2824&gt;S13),AR2824,"")</f>
        <v>#VALUE!</v>
      </c>
      <c r="AQ2824" s="1759">
        <f t="shared" si="103"/>
        <v>2821</v>
      </c>
      <c r="AR2824" s="1756" t="e">
        <f>0.5*(S18+2*AQ2824)*LN(1+2*AQ2824/S18)</f>
        <v>#VALUE!</v>
      </c>
    </row>
    <row r="2825" spans="42:44">
      <c r="AP2825" s="1756" t="e">
        <f>IF(OR(AR2825=S13,AR2825&gt;S13),AR2825,"")</f>
        <v>#VALUE!</v>
      </c>
      <c r="AQ2825" s="1759">
        <f t="shared" si="103"/>
        <v>2822</v>
      </c>
      <c r="AR2825" s="1756" t="e">
        <f>0.5*(S18+2*AQ2825)*LN(1+2*AQ2825/S18)</f>
        <v>#VALUE!</v>
      </c>
    </row>
    <row r="2826" spans="42:44">
      <c r="AP2826" s="1756" t="e">
        <f>IF(OR(AR2826=S13,AR2826&gt;S13),AR2826,"")</f>
        <v>#VALUE!</v>
      </c>
      <c r="AQ2826" s="1759">
        <f t="shared" si="103"/>
        <v>2823</v>
      </c>
      <c r="AR2826" s="1756" t="e">
        <f>0.5*(S18+2*AQ2826)*LN(1+2*AQ2826/S18)</f>
        <v>#VALUE!</v>
      </c>
    </row>
    <row r="2827" spans="42:44">
      <c r="AP2827" s="1756" t="e">
        <f>IF(OR(AR2827=S13,AR2827&gt;S13),AR2827,"")</f>
        <v>#VALUE!</v>
      </c>
      <c r="AQ2827" s="1759">
        <f t="shared" si="103"/>
        <v>2824</v>
      </c>
      <c r="AR2827" s="1756" t="e">
        <f>0.5*(S18+2*AQ2827)*LN(1+2*AQ2827/S18)</f>
        <v>#VALUE!</v>
      </c>
    </row>
    <row r="2828" spans="42:44">
      <c r="AP2828" s="1756" t="e">
        <f>IF(OR(AR2828=S13,AR2828&gt;S13),AR2828,"")</f>
        <v>#VALUE!</v>
      </c>
      <c r="AQ2828" s="1759">
        <f t="shared" si="103"/>
        <v>2825</v>
      </c>
      <c r="AR2828" s="1756" t="e">
        <f>0.5*(S18+2*AQ2828)*LN(1+2*AQ2828/S18)</f>
        <v>#VALUE!</v>
      </c>
    </row>
    <row r="2829" spans="42:44">
      <c r="AP2829" s="1756" t="e">
        <f>IF(OR(AR2829=S13,AR2829&gt;S13),AR2829,"")</f>
        <v>#VALUE!</v>
      </c>
      <c r="AQ2829" s="1759">
        <f t="shared" si="103"/>
        <v>2826</v>
      </c>
      <c r="AR2829" s="1756" t="e">
        <f>0.5*(S18+2*AQ2829)*LN(1+2*AQ2829/S18)</f>
        <v>#VALUE!</v>
      </c>
    </row>
    <row r="2830" spans="42:44">
      <c r="AP2830" s="1756" t="e">
        <f>IF(OR(AR2830=S13,AR2830&gt;S13),AR2830,"")</f>
        <v>#VALUE!</v>
      </c>
      <c r="AQ2830" s="1759">
        <f t="shared" si="103"/>
        <v>2827</v>
      </c>
      <c r="AR2830" s="1756" t="e">
        <f>0.5*(S18+2*AQ2830)*LN(1+2*AQ2830/S18)</f>
        <v>#VALUE!</v>
      </c>
    </row>
    <row r="2831" spans="42:44">
      <c r="AP2831" s="1756" t="e">
        <f>IF(OR(AR2831=S13,AR2831&gt;S13),AR2831,"")</f>
        <v>#VALUE!</v>
      </c>
      <c r="AQ2831" s="1759">
        <f t="shared" si="103"/>
        <v>2828</v>
      </c>
      <c r="AR2831" s="1756" t="e">
        <f>0.5*(S18+2*AQ2831)*LN(1+2*AQ2831/S18)</f>
        <v>#VALUE!</v>
      </c>
    </row>
    <row r="2832" spans="42:44">
      <c r="AP2832" s="1756" t="e">
        <f>IF(OR(AR2832=S13,AR2832&gt;S13),AR2832,"")</f>
        <v>#VALUE!</v>
      </c>
      <c r="AQ2832" s="1759">
        <f t="shared" si="103"/>
        <v>2829</v>
      </c>
      <c r="AR2832" s="1756" t="e">
        <f>0.5*(S18+2*AQ2832)*LN(1+2*AQ2832/S18)</f>
        <v>#VALUE!</v>
      </c>
    </row>
    <row r="2833" spans="42:44">
      <c r="AP2833" s="1756" t="e">
        <f>IF(OR(AR2833=S13,AR2833&gt;S13),AR2833,"")</f>
        <v>#VALUE!</v>
      </c>
      <c r="AQ2833" s="1759">
        <f t="shared" si="103"/>
        <v>2830</v>
      </c>
      <c r="AR2833" s="1756" t="e">
        <f>0.5*(S18+2*AQ2833)*LN(1+2*AQ2833/S18)</f>
        <v>#VALUE!</v>
      </c>
    </row>
    <row r="2834" spans="42:44">
      <c r="AP2834" s="1756" t="e">
        <f>IF(OR(AR2834=S13,AR2834&gt;S13),AR2834,"")</f>
        <v>#VALUE!</v>
      </c>
      <c r="AQ2834" s="1759">
        <f t="shared" si="103"/>
        <v>2831</v>
      </c>
      <c r="AR2834" s="1756" t="e">
        <f>0.5*(S18+2*AQ2834)*LN(1+2*AQ2834/S18)</f>
        <v>#VALUE!</v>
      </c>
    </row>
    <row r="2835" spans="42:44">
      <c r="AP2835" s="1756" t="e">
        <f>IF(OR(AR2835=S13,AR2835&gt;S13),AR2835,"")</f>
        <v>#VALUE!</v>
      </c>
      <c r="AQ2835" s="1759">
        <f t="shared" si="103"/>
        <v>2832</v>
      </c>
      <c r="AR2835" s="1756" t="e">
        <f>0.5*(S18+2*AQ2835)*LN(1+2*AQ2835/S18)</f>
        <v>#VALUE!</v>
      </c>
    </row>
    <row r="2836" spans="42:44">
      <c r="AP2836" s="1756" t="e">
        <f>IF(OR(AR2836=S13,AR2836&gt;S13),AR2836,"")</f>
        <v>#VALUE!</v>
      </c>
      <c r="AQ2836" s="1759">
        <f t="shared" si="103"/>
        <v>2833</v>
      </c>
      <c r="AR2836" s="1756" t="e">
        <f>0.5*(S18+2*AQ2836)*LN(1+2*AQ2836/S18)</f>
        <v>#VALUE!</v>
      </c>
    </row>
    <row r="2837" spans="42:44">
      <c r="AP2837" s="1756" t="e">
        <f>IF(OR(AR2837=S13,AR2837&gt;S13),AR2837,"")</f>
        <v>#VALUE!</v>
      </c>
      <c r="AQ2837" s="1759">
        <f t="shared" si="103"/>
        <v>2834</v>
      </c>
      <c r="AR2837" s="1756" t="e">
        <f>0.5*(S18+2*AQ2837)*LN(1+2*AQ2837/S18)</f>
        <v>#VALUE!</v>
      </c>
    </row>
    <row r="2838" spans="42:44">
      <c r="AP2838" s="1756" t="e">
        <f>IF(OR(AR2838=S13,AR2838&gt;S13),AR2838,"")</f>
        <v>#VALUE!</v>
      </c>
      <c r="AQ2838" s="1759">
        <f t="shared" si="103"/>
        <v>2835</v>
      </c>
      <c r="AR2838" s="1756" t="e">
        <f>0.5*(S18+2*AQ2838)*LN(1+2*AQ2838/S18)</f>
        <v>#VALUE!</v>
      </c>
    </row>
    <row r="2839" spans="42:44">
      <c r="AP2839" s="1756" t="e">
        <f>IF(OR(AR2839=S13,AR2839&gt;S13),AR2839,"")</f>
        <v>#VALUE!</v>
      </c>
      <c r="AQ2839" s="1759">
        <f t="shared" si="103"/>
        <v>2836</v>
      </c>
      <c r="AR2839" s="1756" t="e">
        <f>0.5*(S18+2*AQ2839)*LN(1+2*AQ2839/S18)</f>
        <v>#VALUE!</v>
      </c>
    </row>
    <row r="2840" spans="42:44">
      <c r="AP2840" s="1756" t="e">
        <f>IF(OR(AR2840=S13,AR2840&gt;S13),AR2840,"")</f>
        <v>#VALUE!</v>
      </c>
      <c r="AQ2840" s="1759">
        <f t="shared" si="103"/>
        <v>2837</v>
      </c>
      <c r="AR2840" s="1756" t="e">
        <f>0.5*(S18+2*AQ2840)*LN(1+2*AQ2840/S18)</f>
        <v>#VALUE!</v>
      </c>
    </row>
    <row r="2841" spans="42:44">
      <c r="AP2841" s="1756" t="e">
        <f>IF(OR(AR2841=S13,AR2841&gt;S13),AR2841,"")</f>
        <v>#VALUE!</v>
      </c>
      <c r="AQ2841" s="1759">
        <f t="shared" si="103"/>
        <v>2838</v>
      </c>
      <c r="AR2841" s="1756" t="e">
        <f>0.5*(S18+2*AQ2841)*LN(1+2*AQ2841/S18)</f>
        <v>#VALUE!</v>
      </c>
    </row>
    <row r="2842" spans="42:44">
      <c r="AP2842" s="1756" t="e">
        <f>IF(OR(AR2842=S13,AR2842&gt;S13),AR2842,"")</f>
        <v>#VALUE!</v>
      </c>
      <c r="AQ2842" s="1759">
        <f t="shared" si="103"/>
        <v>2839</v>
      </c>
      <c r="AR2842" s="1756" t="e">
        <f>0.5*(S18+2*AQ2842)*LN(1+2*AQ2842/S18)</f>
        <v>#VALUE!</v>
      </c>
    </row>
    <row r="2843" spans="42:44">
      <c r="AP2843" s="1756" t="e">
        <f>IF(OR(AR2843=S13,AR2843&gt;S13),AR2843,"")</f>
        <v>#VALUE!</v>
      </c>
      <c r="AQ2843" s="1759">
        <f t="shared" si="103"/>
        <v>2840</v>
      </c>
      <c r="AR2843" s="1756" t="e">
        <f>0.5*(S18+2*AQ2843)*LN(1+2*AQ2843/S18)</f>
        <v>#VALUE!</v>
      </c>
    </row>
    <row r="2844" spans="42:44">
      <c r="AP2844" s="1756" t="e">
        <f>IF(OR(AR2844=S13,AR2844&gt;S13),AR2844,"")</f>
        <v>#VALUE!</v>
      </c>
      <c r="AQ2844" s="1759">
        <f t="shared" si="103"/>
        <v>2841</v>
      </c>
      <c r="AR2844" s="1756" t="e">
        <f>0.5*(S18+2*AQ2844)*LN(1+2*AQ2844/S18)</f>
        <v>#VALUE!</v>
      </c>
    </row>
    <row r="2845" spans="42:44">
      <c r="AP2845" s="1756" t="e">
        <f>IF(OR(AR2845=S13,AR2845&gt;S13),AR2845,"")</f>
        <v>#VALUE!</v>
      </c>
      <c r="AQ2845" s="1759">
        <f t="shared" si="103"/>
        <v>2842</v>
      </c>
      <c r="AR2845" s="1756" t="e">
        <f>0.5*(S18+2*AQ2845)*LN(1+2*AQ2845/S18)</f>
        <v>#VALUE!</v>
      </c>
    </row>
    <row r="2846" spans="42:44">
      <c r="AP2846" s="1756" t="e">
        <f>IF(OR(AR2846=S13,AR2846&gt;S13),AR2846,"")</f>
        <v>#VALUE!</v>
      </c>
      <c r="AQ2846" s="1759">
        <f t="shared" si="103"/>
        <v>2843</v>
      </c>
      <c r="AR2846" s="1756" t="e">
        <f>0.5*(S18+2*AQ2846)*LN(1+2*AQ2846/S18)</f>
        <v>#VALUE!</v>
      </c>
    </row>
    <row r="2847" spans="42:44">
      <c r="AP2847" s="1756" t="e">
        <f>IF(OR(AR2847=S13,AR2847&gt;S13),AR2847,"")</f>
        <v>#VALUE!</v>
      </c>
      <c r="AQ2847" s="1759">
        <f t="shared" si="103"/>
        <v>2844</v>
      </c>
      <c r="AR2847" s="1756" t="e">
        <f>0.5*(S18+2*AQ2847)*LN(1+2*AQ2847/S18)</f>
        <v>#VALUE!</v>
      </c>
    </row>
    <row r="2848" spans="42:44">
      <c r="AP2848" s="1756" t="e">
        <f>IF(OR(AR2848=S13,AR2848&gt;S13),AR2848,"")</f>
        <v>#VALUE!</v>
      </c>
      <c r="AQ2848" s="1759">
        <f t="shared" si="103"/>
        <v>2845</v>
      </c>
      <c r="AR2848" s="1756" t="e">
        <f>0.5*(S18+2*AQ2848)*LN(1+2*AQ2848/S18)</f>
        <v>#VALUE!</v>
      </c>
    </row>
    <row r="2849" spans="42:44">
      <c r="AP2849" s="1756" t="e">
        <f>IF(OR(AR2849=S13,AR2849&gt;S13),AR2849,"")</f>
        <v>#VALUE!</v>
      </c>
      <c r="AQ2849" s="1759">
        <f t="shared" si="103"/>
        <v>2846</v>
      </c>
      <c r="AR2849" s="1756" t="e">
        <f>0.5*(S18+2*AQ2849)*LN(1+2*AQ2849/S18)</f>
        <v>#VALUE!</v>
      </c>
    </row>
    <row r="2850" spans="42:44">
      <c r="AP2850" s="1756" t="e">
        <f>IF(OR(AR2850=S13,AR2850&gt;S13),AR2850,"")</f>
        <v>#VALUE!</v>
      </c>
      <c r="AQ2850" s="1759">
        <f t="shared" si="103"/>
        <v>2847</v>
      </c>
      <c r="AR2850" s="1756" t="e">
        <f>0.5*(S18+2*AQ2850)*LN(1+2*AQ2850/S18)</f>
        <v>#VALUE!</v>
      </c>
    </row>
    <row r="2851" spans="42:44">
      <c r="AP2851" s="1756" t="e">
        <f>IF(OR(AR2851=S13,AR2851&gt;S13),AR2851,"")</f>
        <v>#VALUE!</v>
      </c>
      <c r="AQ2851" s="1759">
        <f t="shared" si="103"/>
        <v>2848</v>
      </c>
      <c r="AR2851" s="1756" t="e">
        <f>0.5*(S18+2*AQ2851)*LN(1+2*AQ2851/S18)</f>
        <v>#VALUE!</v>
      </c>
    </row>
    <row r="2852" spans="42:44">
      <c r="AP2852" s="1756" t="e">
        <f>IF(OR(AR2852=S13,AR2852&gt;S13),AR2852,"")</f>
        <v>#VALUE!</v>
      </c>
      <c r="AQ2852" s="1759">
        <f t="shared" si="103"/>
        <v>2849</v>
      </c>
      <c r="AR2852" s="1756" t="e">
        <f>0.5*(S18+2*AQ2852)*LN(1+2*AQ2852/S18)</f>
        <v>#VALUE!</v>
      </c>
    </row>
    <row r="2853" spans="42:44">
      <c r="AP2853" s="1756" t="e">
        <f>IF(OR(AR2853=S13,AR2853&gt;S13),AR2853,"")</f>
        <v>#VALUE!</v>
      </c>
      <c r="AQ2853" s="1759">
        <f t="shared" si="103"/>
        <v>2850</v>
      </c>
      <c r="AR2853" s="1756" t="e">
        <f>0.5*(S18+2*AQ2853)*LN(1+2*AQ2853/S18)</f>
        <v>#VALUE!</v>
      </c>
    </row>
    <row r="2854" spans="42:44">
      <c r="AP2854" s="1756" t="e">
        <f>IF(OR(AR2854=S13,AR2854&gt;S13),AR2854,"")</f>
        <v>#VALUE!</v>
      </c>
      <c r="AQ2854" s="1759">
        <f t="shared" si="103"/>
        <v>2851</v>
      </c>
      <c r="AR2854" s="1756" t="e">
        <f>0.5*(S18+2*AQ2854)*LN(1+2*AQ2854/S18)</f>
        <v>#VALUE!</v>
      </c>
    </row>
    <row r="2855" spans="42:44">
      <c r="AP2855" s="1756" t="e">
        <f>IF(OR(AR2855=S13,AR2855&gt;S13),AR2855,"")</f>
        <v>#VALUE!</v>
      </c>
      <c r="AQ2855" s="1759">
        <f t="shared" si="103"/>
        <v>2852</v>
      </c>
      <c r="AR2855" s="1756" t="e">
        <f>0.5*(S18+2*AQ2855)*LN(1+2*AQ2855/S18)</f>
        <v>#VALUE!</v>
      </c>
    </row>
    <row r="2856" spans="42:44">
      <c r="AP2856" s="1756" t="e">
        <f>IF(OR(AR2856=S13,AR2856&gt;S13),AR2856,"")</f>
        <v>#VALUE!</v>
      </c>
      <c r="AQ2856" s="1759">
        <f t="shared" si="103"/>
        <v>2853</v>
      </c>
      <c r="AR2856" s="1756" t="e">
        <f>0.5*(S18+2*AQ2856)*LN(1+2*AQ2856/S18)</f>
        <v>#VALUE!</v>
      </c>
    </row>
    <row r="2857" spans="42:44">
      <c r="AP2857" s="1756" t="e">
        <f>IF(OR(AR2857=S13,AR2857&gt;S13),AR2857,"")</f>
        <v>#VALUE!</v>
      </c>
      <c r="AQ2857" s="1759">
        <f t="shared" si="103"/>
        <v>2854</v>
      </c>
      <c r="AR2857" s="1756" t="e">
        <f>0.5*(S18+2*AQ2857)*LN(1+2*AQ2857/S18)</f>
        <v>#VALUE!</v>
      </c>
    </row>
    <row r="2858" spans="42:44">
      <c r="AP2858" s="1756" t="e">
        <f>IF(OR(AR2858=S13,AR2858&gt;S13),AR2858,"")</f>
        <v>#VALUE!</v>
      </c>
      <c r="AQ2858" s="1759">
        <f t="shared" si="103"/>
        <v>2855</v>
      </c>
      <c r="AR2858" s="1756" t="e">
        <f>0.5*(S18+2*AQ2858)*LN(1+2*AQ2858/S18)</f>
        <v>#VALUE!</v>
      </c>
    </row>
    <row r="2859" spans="42:44">
      <c r="AP2859" s="1756" t="e">
        <f>IF(OR(AR2859=S13,AR2859&gt;S13),AR2859,"")</f>
        <v>#VALUE!</v>
      </c>
      <c r="AQ2859" s="1759">
        <f t="shared" si="103"/>
        <v>2856</v>
      </c>
      <c r="AR2859" s="1756" t="e">
        <f>0.5*(S18+2*AQ2859)*LN(1+2*AQ2859/S18)</f>
        <v>#VALUE!</v>
      </c>
    </row>
    <row r="2860" spans="42:44">
      <c r="AP2860" s="1756" t="e">
        <f>IF(OR(AR2860=S13,AR2860&gt;S13),AR2860,"")</f>
        <v>#VALUE!</v>
      </c>
      <c r="AQ2860" s="1759">
        <f t="shared" si="103"/>
        <v>2857</v>
      </c>
      <c r="AR2860" s="1756" t="e">
        <f>0.5*(S18+2*AQ2860)*LN(1+2*AQ2860/S18)</f>
        <v>#VALUE!</v>
      </c>
    </row>
    <row r="2861" spans="42:44">
      <c r="AP2861" s="1756" t="e">
        <f>IF(OR(AR2861=S13,AR2861&gt;S13),AR2861,"")</f>
        <v>#VALUE!</v>
      </c>
      <c r="AQ2861" s="1759">
        <f t="shared" si="103"/>
        <v>2858</v>
      </c>
      <c r="AR2861" s="1756" t="e">
        <f>0.5*(S18+2*AQ2861)*LN(1+2*AQ2861/S18)</f>
        <v>#VALUE!</v>
      </c>
    </row>
    <row r="2862" spans="42:44">
      <c r="AP2862" s="1756" t="e">
        <f>IF(OR(AR2862=S13,AR2862&gt;S13),AR2862,"")</f>
        <v>#VALUE!</v>
      </c>
      <c r="AQ2862" s="1759">
        <f t="shared" si="103"/>
        <v>2859</v>
      </c>
      <c r="AR2862" s="1756" t="e">
        <f>0.5*(S18+2*AQ2862)*LN(1+2*AQ2862/S18)</f>
        <v>#VALUE!</v>
      </c>
    </row>
    <row r="2863" spans="42:44">
      <c r="AP2863" s="1756" t="e">
        <f>IF(OR(AR2863=S13,AR2863&gt;S13),AR2863,"")</f>
        <v>#VALUE!</v>
      </c>
      <c r="AQ2863" s="1759">
        <f t="shared" si="103"/>
        <v>2860</v>
      </c>
      <c r="AR2863" s="1756" t="e">
        <f>0.5*(S18+2*AQ2863)*LN(1+2*AQ2863/S18)</f>
        <v>#VALUE!</v>
      </c>
    </row>
    <row r="2864" spans="42:44">
      <c r="AP2864" s="1756" t="e">
        <f>IF(OR(AR2864=S13,AR2864&gt;S13),AR2864,"")</f>
        <v>#VALUE!</v>
      </c>
      <c r="AQ2864" s="1759">
        <f t="shared" si="103"/>
        <v>2861</v>
      </c>
      <c r="AR2864" s="1756" t="e">
        <f>0.5*(S18+2*AQ2864)*LN(1+2*AQ2864/S18)</f>
        <v>#VALUE!</v>
      </c>
    </row>
    <row r="2865" spans="42:44">
      <c r="AP2865" s="1756" t="e">
        <f>IF(OR(AR2865=S13,AR2865&gt;S13),AR2865,"")</f>
        <v>#VALUE!</v>
      </c>
      <c r="AQ2865" s="1759">
        <f t="shared" si="103"/>
        <v>2862</v>
      </c>
      <c r="AR2865" s="1756" t="e">
        <f>0.5*(S18+2*AQ2865)*LN(1+2*AQ2865/S18)</f>
        <v>#VALUE!</v>
      </c>
    </row>
    <row r="2866" spans="42:44">
      <c r="AP2866" s="1756" t="e">
        <f>IF(OR(AR2866=S13,AR2866&gt;S13),AR2866,"")</f>
        <v>#VALUE!</v>
      </c>
      <c r="AQ2866" s="1759">
        <f t="shared" si="103"/>
        <v>2863</v>
      </c>
      <c r="AR2866" s="1756" t="e">
        <f>0.5*(S18+2*AQ2866)*LN(1+2*AQ2866/S18)</f>
        <v>#VALUE!</v>
      </c>
    </row>
    <row r="2867" spans="42:44">
      <c r="AP2867" s="1756" t="e">
        <f>IF(OR(AR2867=S13,AR2867&gt;S13),AR2867,"")</f>
        <v>#VALUE!</v>
      </c>
      <c r="AQ2867" s="1759">
        <f t="shared" si="103"/>
        <v>2864</v>
      </c>
      <c r="AR2867" s="1756" t="e">
        <f>0.5*(S18+2*AQ2867)*LN(1+2*AQ2867/S18)</f>
        <v>#VALUE!</v>
      </c>
    </row>
    <row r="2868" spans="42:44">
      <c r="AP2868" s="1756" t="e">
        <f>IF(OR(AR2868=S13,AR2868&gt;S13),AR2868,"")</f>
        <v>#VALUE!</v>
      </c>
      <c r="AQ2868" s="1759">
        <f t="shared" si="103"/>
        <v>2865</v>
      </c>
      <c r="AR2868" s="1756" t="e">
        <f>0.5*(S18+2*AQ2868)*LN(1+2*AQ2868/S18)</f>
        <v>#VALUE!</v>
      </c>
    </row>
    <row r="2869" spans="42:44">
      <c r="AP2869" s="1756" t="e">
        <f>IF(OR(AR2869=S13,AR2869&gt;S13),AR2869,"")</f>
        <v>#VALUE!</v>
      </c>
      <c r="AQ2869" s="1759">
        <f t="shared" si="103"/>
        <v>2866</v>
      </c>
      <c r="AR2869" s="1756" t="e">
        <f>0.5*(S18+2*AQ2869)*LN(1+2*AQ2869/S18)</f>
        <v>#VALUE!</v>
      </c>
    </row>
    <row r="2870" spans="42:44">
      <c r="AP2870" s="1756" t="e">
        <f>IF(OR(AR2870=S13,AR2870&gt;S13),AR2870,"")</f>
        <v>#VALUE!</v>
      </c>
      <c r="AQ2870" s="1759">
        <f t="shared" si="103"/>
        <v>2867</v>
      </c>
      <c r="AR2870" s="1756" t="e">
        <f>0.5*(S18+2*AQ2870)*LN(1+2*AQ2870/S18)</f>
        <v>#VALUE!</v>
      </c>
    </row>
    <row r="2871" spans="42:44">
      <c r="AP2871" s="1756" t="e">
        <f>IF(OR(AR2871=S13,AR2871&gt;S13),AR2871,"")</f>
        <v>#VALUE!</v>
      </c>
      <c r="AQ2871" s="1759">
        <f t="shared" si="103"/>
        <v>2868</v>
      </c>
      <c r="AR2871" s="1756" t="e">
        <f>0.5*(S18+2*AQ2871)*LN(1+2*AQ2871/S18)</f>
        <v>#VALUE!</v>
      </c>
    </row>
    <row r="2872" spans="42:44">
      <c r="AP2872" s="1756" t="e">
        <f>IF(OR(AR2872=S13,AR2872&gt;S13),AR2872,"")</f>
        <v>#VALUE!</v>
      </c>
      <c r="AQ2872" s="1759">
        <f t="shared" si="103"/>
        <v>2869</v>
      </c>
      <c r="AR2872" s="1756" t="e">
        <f>0.5*(S18+2*AQ2872)*LN(1+2*AQ2872/S18)</f>
        <v>#VALUE!</v>
      </c>
    </row>
    <row r="2873" spans="42:44">
      <c r="AP2873" s="1756" t="e">
        <f>IF(OR(AR2873=S13,AR2873&gt;S13),AR2873,"")</f>
        <v>#VALUE!</v>
      </c>
      <c r="AQ2873" s="1759">
        <f t="shared" si="103"/>
        <v>2870</v>
      </c>
      <c r="AR2873" s="1756" t="e">
        <f>0.5*(S18+2*AQ2873)*LN(1+2*AQ2873/S18)</f>
        <v>#VALUE!</v>
      </c>
    </row>
    <row r="2874" spans="42:44">
      <c r="AP2874" s="1756" t="e">
        <f>IF(OR(AR2874=S13,AR2874&gt;S13),AR2874,"")</f>
        <v>#VALUE!</v>
      </c>
      <c r="AQ2874" s="1759">
        <f t="shared" si="103"/>
        <v>2871</v>
      </c>
      <c r="AR2874" s="1756" t="e">
        <f>0.5*(S18+2*AQ2874)*LN(1+2*AQ2874/S18)</f>
        <v>#VALUE!</v>
      </c>
    </row>
    <row r="2875" spans="42:44">
      <c r="AP2875" s="1756" t="e">
        <f>IF(OR(AR2875=S13,AR2875&gt;S13),AR2875,"")</f>
        <v>#VALUE!</v>
      </c>
      <c r="AQ2875" s="1759">
        <f t="shared" si="103"/>
        <v>2872</v>
      </c>
      <c r="AR2875" s="1756" t="e">
        <f>0.5*(S18+2*AQ2875)*LN(1+2*AQ2875/S18)</f>
        <v>#VALUE!</v>
      </c>
    </row>
    <row r="2876" spans="42:44">
      <c r="AP2876" s="1756" t="e">
        <f>IF(OR(AR2876=S13,AR2876&gt;S13),AR2876,"")</f>
        <v>#VALUE!</v>
      </c>
      <c r="AQ2876" s="1759">
        <f t="shared" si="103"/>
        <v>2873</v>
      </c>
      <c r="AR2876" s="1756" t="e">
        <f>0.5*(S18+2*AQ2876)*LN(1+2*AQ2876/S18)</f>
        <v>#VALUE!</v>
      </c>
    </row>
    <row r="2877" spans="42:44">
      <c r="AP2877" s="1756" t="e">
        <f>IF(OR(AR2877=S13,AR2877&gt;S13),AR2877,"")</f>
        <v>#VALUE!</v>
      </c>
      <c r="AQ2877" s="1759">
        <f t="shared" si="103"/>
        <v>2874</v>
      </c>
      <c r="AR2877" s="1756" t="e">
        <f>0.5*(S18+2*AQ2877)*LN(1+2*AQ2877/S18)</f>
        <v>#VALUE!</v>
      </c>
    </row>
    <row r="2878" spans="42:44">
      <c r="AP2878" s="1756" t="e">
        <f>IF(OR(AR2878=S13,AR2878&gt;S13),AR2878,"")</f>
        <v>#VALUE!</v>
      </c>
      <c r="AQ2878" s="1759">
        <f t="shared" si="103"/>
        <v>2875</v>
      </c>
      <c r="AR2878" s="1756" t="e">
        <f>0.5*(S18+2*AQ2878)*LN(1+2*AQ2878/S18)</f>
        <v>#VALUE!</v>
      </c>
    </row>
    <row r="2879" spans="42:44">
      <c r="AP2879" s="1756" t="e">
        <f>IF(OR(AR2879=S13,AR2879&gt;S13),AR2879,"")</f>
        <v>#VALUE!</v>
      </c>
      <c r="AQ2879" s="1759">
        <f t="shared" si="103"/>
        <v>2876</v>
      </c>
      <c r="AR2879" s="1756" t="e">
        <f>0.5*(S18+2*AQ2879)*LN(1+2*AQ2879/S18)</f>
        <v>#VALUE!</v>
      </c>
    </row>
    <row r="2880" spans="42:44">
      <c r="AP2880" s="1756" t="e">
        <f>IF(OR(AR2880=S13,AR2880&gt;S13),AR2880,"")</f>
        <v>#VALUE!</v>
      </c>
      <c r="AQ2880" s="1759">
        <f t="shared" si="103"/>
        <v>2877</v>
      </c>
      <c r="AR2880" s="1756" t="e">
        <f>0.5*(S18+2*AQ2880)*LN(1+2*AQ2880/S18)</f>
        <v>#VALUE!</v>
      </c>
    </row>
    <row r="2881" spans="42:44">
      <c r="AP2881" s="1756" t="e">
        <f>IF(OR(AR2881=S13,AR2881&gt;S13),AR2881,"")</f>
        <v>#VALUE!</v>
      </c>
      <c r="AQ2881" s="1759">
        <f t="shared" si="103"/>
        <v>2878</v>
      </c>
      <c r="AR2881" s="1756" t="e">
        <f>0.5*(S18+2*AQ2881)*LN(1+2*AQ2881/S18)</f>
        <v>#VALUE!</v>
      </c>
    </row>
    <row r="2882" spans="42:44">
      <c r="AP2882" s="1756" t="e">
        <f>IF(OR(AR2882=S13,AR2882&gt;S13),AR2882,"")</f>
        <v>#VALUE!</v>
      </c>
      <c r="AQ2882" s="1759">
        <f t="shared" si="103"/>
        <v>2879</v>
      </c>
      <c r="AR2882" s="1756" t="e">
        <f>0.5*(S18+2*AQ2882)*LN(1+2*AQ2882/S18)</f>
        <v>#VALUE!</v>
      </c>
    </row>
    <row r="2883" spans="42:44">
      <c r="AP2883" s="1756" t="e">
        <f>IF(OR(AR2883=S13,AR2883&gt;S13),AR2883,"")</f>
        <v>#VALUE!</v>
      </c>
      <c r="AQ2883" s="1759">
        <f t="shared" si="103"/>
        <v>2880</v>
      </c>
      <c r="AR2883" s="1756" t="e">
        <f>0.5*(S18+2*AQ2883)*LN(1+2*AQ2883/S18)</f>
        <v>#VALUE!</v>
      </c>
    </row>
    <row r="2884" spans="42:44">
      <c r="AP2884" s="1756" t="e">
        <f>IF(OR(AR2884=S13,AR2884&gt;S13),AR2884,"")</f>
        <v>#VALUE!</v>
      </c>
      <c r="AQ2884" s="1759">
        <f t="shared" si="103"/>
        <v>2881</v>
      </c>
      <c r="AR2884" s="1756" t="e">
        <f>0.5*(S18+2*AQ2884)*LN(1+2*AQ2884/S18)</f>
        <v>#VALUE!</v>
      </c>
    </row>
    <row r="2885" spans="42:44">
      <c r="AP2885" s="1756" t="e">
        <f>IF(OR(AR2885=S13,AR2885&gt;S13),AR2885,"")</f>
        <v>#VALUE!</v>
      </c>
      <c r="AQ2885" s="1759">
        <f t="shared" si="103"/>
        <v>2882</v>
      </c>
      <c r="AR2885" s="1756" t="e">
        <f>0.5*(S18+2*AQ2885)*LN(1+2*AQ2885/S18)</f>
        <v>#VALUE!</v>
      </c>
    </row>
    <row r="2886" spans="42:44">
      <c r="AP2886" s="1756" t="e">
        <f>IF(OR(AR2886=S13,AR2886&gt;S13),AR2886,"")</f>
        <v>#VALUE!</v>
      </c>
      <c r="AQ2886" s="1759">
        <f t="shared" ref="AQ2886:AQ2949" si="104">AQ2885+1</f>
        <v>2883</v>
      </c>
      <c r="AR2886" s="1756" t="e">
        <f>0.5*(S18+2*AQ2886)*LN(1+2*AQ2886/S18)</f>
        <v>#VALUE!</v>
      </c>
    </row>
    <row r="2887" spans="42:44">
      <c r="AP2887" s="1756" t="e">
        <f>IF(OR(AR2887=S13,AR2887&gt;S13),AR2887,"")</f>
        <v>#VALUE!</v>
      </c>
      <c r="AQ2887" s="1759">
        <f t="shared" si="104"/>
        <v>2884</v>
      </c>
      <c r="AR2887" s="1756" t="e">
        <f>0.5*(S18+2*AQ2887)*LN(1+2*AQ2887/S18)</f>
        <v>#VALUE!</v>
      </c>
    </row>
    <row r="2888" spans="42:44">
      <c r="AP2888" s="1756" t="e">
        <f>IF(OR(AR2888=S13,AR2888&gt;S13),AR2888,"")</f>
        <v>#VALUE!</v>
      </c>
      <c r="AQ2888" s="1759">
        <f t="shared" si="104"/>
        <v>2885</v>
      </c>
      <c r="AR2888" s="1756" t="e">
        <f>0.5*(S18+2*AQ2888)*LN(1+2*AQ2888/S18)</f>
        <v>#VALUE!</v>
      </c>
    </row>
    <row r="2889" spans="42:44">
      <c r="AP2889" s="1756" t="e">
        <f>IF(OR(AR2889=S13,AR2889&gt;S13),AR2889,"")</f>
        <v>#VALUE!</v>
      </c>
      <c r="AQ2889" s="1759">
        <f t="shared" si="104"/>
        <v>2886</v>
      </c>
      <c r="AR2889" s="1756" t="e">
        <f>0.5*(S18+2*AQ2889)*LN(1+2*AQ2889/S18)</f>
        <v>#VALUE!</v>
      </c>
    </row>
    <row r="2890" spans="42:44">
      <c r="AP2890" s="1756" t="e">
        <f>IF(OR(AR2890=S13,AR2890&gt;S13),AR2890,"")</f>
        <v>#VALUE!</v>
      </c>
      <c r="AQ2890" s="1759">
        <f t="shared" si="104"/>
        <v>2887</v>
      </c>
      <c r="AR2890" s="1756" t="e">
        <f>0.5*(S18+2*AQ2890)*LN(1+2*AQ2890/S18)</f>
        <v>#VALUE!</v>
      </c>
    </row>
    <row r="2891" spans="42:44">
      <c r="AP2891" s="1756" t="e">
        <f>IF(OR(AR2891=S13,AR2891&gt;S13),AR2891,"")</f>
        <v>#VALUE!</v>
      </c>
      <c r="AQ2891" s="1759">
        <f t="shared" si="104"/>
        <v>2888</v>
      </c>
      <c r="AR2891" s="1756" t="e">
        <f>0.5*(S18+2*AQ2891)*LN(1+2*AQ2891/S18)</f>
        <v>#VALUE!</v>
      </c>
    </row>
    <row r="2892" spans="42:44">
      <c r="AP2892" s="1756" t="e">
        <f>IF(OR(AR2892=S13,AR2892&gt;S13),AR2892,"")</f>
        <v>#VALUE!</v>
      </c>
      <c r="AQ2892" s="1759">
        <f t="shared" si="104"/>
        <v>2889</v>
      </c>
      <c r="AR2892" s="1756" t="e">
        <f>0.5*(S18+2*AQ2892)*LN(1+2*AQ2892/S18)</f>
        <v>#VALUE!</v>
      </c>
    </row>
    <row r="2893" spans="42:44">
      <c r="AP2893" s="1756" t="e">
        <f>IF(OR(AR2893=S13,AR2893&gt;S13),AR2893,"")</f>
        <v>#VALUE!</v>
      </c>
      <c r="AQ2893" s="1759">
        <f t="shared" si="104"/>
        <v>2890</v>
      </c>
      <c r="AR2893" s="1756" t="e">
        <f>0.5*(S18+2*AQ2893)*LN(1+2*AQ2893/S18)</f>
        <v>#VALUE!</v>
      </c>
    </row>
    <row r="2894" spans="42:44">
      <c r="AP2894" s="1756" t="e">
        <f>IF(OR(AR2894=S13,AR2894&gt;S13),AR2894,"")</f>
        <v>#VALUE!</v>
      </c>
      <c r="AQ2894" s="1759">
        <f t="shared" si="104"/>
        <v>2891</v>
      </c>
      <c r="AR2894" s="1756" t="e">
        <f>0.5*(S18+2*AQ2894)*LN(1+2*AQ2894/S18)</f>
        <v>#VALUE!</v>
      </c>
    </row>
    <row r="2895" spans="42:44">
      <c r="AP2895" s="1756" t="e">
        <f>IF(OR(AR2895=S13,AR2895&gt;S13),AR2895,"")</f>
        <v>#VALUE!</v>
      </c>
      <c r="AQ2895" s="1759">
        <f t="shared" si="104"/>
        <v>2892</v>
      </c>
      <c r="AR2895" s="1756" t="e">
        <f>0.5*(S18+2*AQ2895)*LN(1+2*AQ2895/S18)</f>
        <v>#VALUE!</v>
      </c>
    </row>
    <row r="2896" spans="42:44">
      <c r="AP2896" s="1756" t="e">
        <f>IF(OR(AR2896=S13,AR2896&gt;S13),AR2896,"")</f>
        <v>#VALUE!</v>
      </c>
      <c r="AQ2896" s="1759">
        <f t="shared" si="104"/>
        <v>2893</v>
      </c>
      <c r="AR2896" s="1756" t="e">
        <f>0.5*(S18+2*AQ2896)*LN(1+2*AQ2896/S18)</f>
        <v>#VALUE!</v>
      </c>
    </row>
    <row r="2897" spans="42:44">
      <c r="AP2897" s="1756" t="e">
        <f>IF(OR(AR2897=S13,AR2897&gt;S13),AR2897,"")</f>
        <v>#VALUE!</v>
      </c>
      <c r="AQ2897" s="1759">
        <f t="shared" si="104"/>
        <v>2894</v>
      </c>
      <c r="AR2897" s="1756" t="e">
        <f>0.5*(S18+2*AQ2897)*LN(1+2*AQ2897/S18)</f>
        <v>#VALUE!</v>
      </c>
    </row>
    <row r="2898" spans="42:44">
      <c r="AP2898" s="1756" t="e">
        <f>IF(OR(AR2898=S13,AR2898&gt;S13),AR2898,"")</f>
        <v>#VALUE!</v>
      </c>
      <c r="AQ2898" s="1759">
        <f t="shared" si="104"/>
        <v>2895</v>
      </c>
      <c r="AR2898" s="1756" t="e">
        <f>0.5*(S18+2*AQ2898)*LN(1+2*AQ2898/S18)</f>
        <v>#VALUE!</v>
      </c>
    </row>
    <row r="2899" spans="42:44">
      <c r="AP2899" s="1756" t="e">
        <f>IF(OR(AR2899=S13,AR2899&gt;S13),AR2899,"")</f>
        <v>#VALUE!</v>
      </c>
      <c r="AQ2899" s="1759">
        <f t="shared" si="104"/>
        <v>2896</v>
      </c>
      <c r="AR2899" s="1756" t="e">
        <f>0.5*(S18+2*AQ2899)*LN(1+2*AQ2899/S18)</f>
        <v>#VALUE!</v>
      </c>
    </row>
    <row r="2900" spans="42:44">
      <c r="AP2900" s="1756" t="e">
        <f>IF(OR(AR2900=S13,AR2900&gt;S13),AR2900,"")</f>
        <v>#VALUE!</v>
      </c>
      <c r="AQ2900" s="1759">
        <f t="shared" si="104"/>
        <v>2897</v>
      </c>
      <c r="AR2900" s="1756" t="e">
        <f>0.5*(S18+2*AQ2900)*LN(1+2*AQ2900/S18)</f>
        <v>#VALUE!</v>
      </c>
    </row>
    <row r="2901" spans="42:44">
      <c r="AP2901" s="1756" t="e">
        <f>IF(OR(AR2901=S13,AR2901&gt;S13),AR2901,"")</f>
        <v>#VALUE!</v>
      </c>
      <c r="AQ2901" s="1759">
        <f t="shared" si="104"/>
        <v>2898</v>
      </c>
      <c r="AR2901" s="1756" t="e">
        <f>0.5*(S18+2*AQ2901)*LN(1+2*AQ2901/S18)</f>
        <v>#VALUE!</v>
      </c>
    </row>
    <row r="2902" spans="42:44">
      <c r="AP2902" s="1756" t="e">
        <f>IF(OR(AR2902=S13,AR2902&gt;S13),AR2902,"")</f>
        <v>#VALUE!</v>
      </c>
      <c r="AQ2902" s="1759">
        <f t="shared" si="104"/>
        <v>2899</v>
      </c>
      <c r="AR2902" s="1756" t="e">
        <f>0.5*(S18+2*AQ2902)*LN(1+2*AQ2902/S18)</f>
        <v>#VALUE!</v>
      </c>
    </row>
    <row r="2903" spans="42:44">
      <c r="AP2903" s="1756" t="e">
        <f>IF(OR(AR2903=S13,AR2903&gt;S13),AR2903,"")</f>
        <v>#VALUE!</v>
      </c>
      <c r="AQ2903" s="1759">
        <f t="shared" si="104"/>
        <v>2900</v>
      </c>
      <c r="AR2903" s="1756" t="e">
        <f>0.5*(S18+2*AQ2903)*LN(1+2*AQ2903/S18)</f>
        <v>#VALUE!</v>
      </c>
    </row>
    <row r="2904" spans="42:44">
      <c r="AP2904" s="1756" t="e">
        <f>IF(OR(AR2904=S13,AR2904&gt;S13),AR2904,"")</f>
        <v>#VALUE!</v>
      </c>
      <c r="AQ2904" s="1759">
        <f t="shared" si="104"/>
        <v>2901</v>
      </c>
      <c r="AR2904" s="1756" t="e">
        <f>0.5*(S18+2*AQ2904)*LN(1+2*AQ2904/S18)</f>
        <v>#VALUE!</v>
      </c>
    </row>
    <row r="2905" spans="42:44">
      <c r="AP2905" s="1756" t="e">
        <f>IF(OR(AR2905=S13,AR2905&gt;S13),AR2905,"")</f>
        <v>#VALUE!</v>
      </c>
      <c r="AQ2905" s="1759">
        <f t="shared" si="104"/>
        <v>2902</v>
      </c>
      <c r="AR2905" s="1756" t="e">
        <f>0.5*(S18+2*AQ2905)*LN(1+2*AQ2905/S18)</f>
        <v>#VALUE!</v>
      </c>
    </row>
    <row r="2906" spans="42:44">
      <c r="AP2906" s="1756" t="e">
        <f>IF(OR(AR2906=S13,AR2906&gt;S13),AR2906,"")</f>
        <v>#VALUE!</v>
      </c>
      <c r="AQ2906" s="1759">
        <f t="shared" si="104"/>
        <v>2903</v>
      </c>
      <c r="AR2906" s="1756" t="e">
        <f>0.5*(S18+2*AQ2906)*LN(1+2*AQ2906/S18)</f>
        <v>#VALUE!</v>
      </c>
    </row>
    <row r="2907" spans="42:44">
      <c r="AP2907" s="1756" t="e">
        <f>IF(OR(AR2907=S13,AR2907&gt;S13),AR2907,"")</f>
        <v>#VALUE!</v>
      </c>
      <c r="AQ2907" s="1759">
        <f t="shared" si="104"/>
        <v>2904</v>
      </c>
      <c r="AR2907" s="1756" t="e">
        <f>0.5*(S18+2*AQ2907)*LN(1+2*AQ2907/S18)</f>
        <v>#VALUE!</v>
      </c>
    </row>
    <row r="2908" spans="42:44">
      <c r="AP2908" s="1756" t="e">
        <f>IF(OR(AR2908=S13,AR2908&gt;S13),AR2908,"")</f>
        <v>#VALUE!</v>
      </c>
      <c r="AQ2908" s="1759">
        <f t="shared" si="104"/>
        <v>2905</v>
      </c>
      <c r="AR2908" s="1756" t="e">
        <f>0.5*(S18+2*AQ2908)*LN(1+2*AQ2908/S18)</f>
        <v>#VALUE!</v>
      </c>
    </row>
    <row r="2909" spans="42:44">
      <c r="AP2909" s="1756" t="e">
        <f>IF(OR(AR2909=S13,AR2909&gt;S13),AR2909,"")</f>
        <v>#VALUE!</v>
      </c>
      <c r="AQ2909" s="1759">
        <f t="shared" si="104"/>
        <v>2906</v>
      </c>
      <c r="AR2909" s="1756" t="e">
        <f>0.5*(S18+2*AQ2909)*LN(1+2*AQ2909/S18)</f>
        <v>#VALUE!</v>
      </c>
    </row>
    <row r="2910" spans="42:44">
      <c r="AP2910" s="1756" t="e">
        <f>IF(OR(AR2910=S13,AR2910&gt;S13),AR2910,"")</f>
        <v>#VALUE!</v>
      </c>
      <c r="AQ2910" s="1759">
        <f t="shared" si="104"/>
        <v>2907</v>
      </c>
      <c r="AR2910" s="1756" t="e">
        <f>0.5*(S18+2*AQ2910)*LN(1+2*AQ2910/S18)</f>
        <v>#VALUE!</v>
      </c>
    </row>
    <row r="2911" spans="42:44">
      <c r="AP2911" s="1756" t="e">
        <f>IF(OR(AR2911=S13,AR2911&gt;S13),AR2911,"")</f>
        <v>#VALUE!</v>
      </c>
      <c r="AQ2911" s="1759">
        <f t="shared" si="104"/>
        <v>2908</v>
      </c>
      <c r="AR2911" s="1756" t="e">
        <f>0.5*(S18+2*AQ2911)*LN(1+2*AQ2911/S18)</f>
        <v>#VALUE!</v>
      </c>
    </row>
    <row r="2912" spans="42:44">
      <c r="AP2912" s="1756" t="e">
        <f>IF(OR(AR2912=S13,AR2912&gt;S13),AR2912,"")</f>
        <v>#VALUE!</v>
      </c>
      <c r="AQ2912" s="1759">
        <f t="shared" si="104"/>
        <v>2909</v>
      </c>
      <c r="AR2912" s="1756" t="e">
        <f>0.5*(S18+2*AQ2912)*LN(1+2*AQ2912/S18)</f>
        <v>#VALUE!</v>
      </c>
    </row>
    <row r="2913" spans="42:44">
      <c r="AP2913" s="1756" t="e">
        <f>IF(OR(AR2913=S13,AR2913&gt;S13),AR2913,"")</f>
        <v>#VALUE!</v>
      </c>
      <c r="AQ2913" s="1759">
        <f t="shared" si="104"/>
        <v>2910</v>
      </c>
      <c r="AR2913" s="1756" t="e">
        <f>0.5*(S18+2*AQ2913)*LN(1+2*AQ2913/S18)</f>
        <v>#VALUE!</v>
      </c>
    </row>
    <row r="2914" spans="42:44">
      <c r="AP2914" s="1756" t="e">
        <f>IF(OR(AR2914=S13,AR2914&gt;S13),AR2914,"")</f>
        <v>#VALUE!</v>
      </c>
      <c r="AQ2914" s="1759">
        <f t="shared" si="104"/>
        <v>2911</v>
      </c>
      <c r="AR2914" s="1756" t="e">
        <f>0.5*(S18+2*AQ2914)*LN(1+2*AQ2914/S18)</f>
        <v>#VALUE!</v>
      </c>
    </row>
    <row r="2915" spans="42:44">
      <c r="AP2915" s="1756" t="e">
        <f>IF(OR(AR2915=S13,AR2915&gt;S13),AR2915,"")</f>
        <v>#VALUE!</v>
      </c>
      <c r="AQ2915" s="1759">
        <f t="shared" si="104"/>
        <v>2912</v>
      </c>
      <c r="AR2915" s="1756" t="e">
        <f>0.5*(S18+2*AQ2915)*LN(1+2*AQ2915/S18)</f>
        <v>#VALUE!</v>
      </c>
    </row>
    <row r="2916" spans="42:44">
      <c r="AP2916" s="1756" t="e">
        <f>IF(OR(AR2916=S13,AR2916&gt;S13),AR2916,"")</f>
        <v>#VALUE!</v>
      </c>
      <c r="AQ2916" s="1759">
        <f t="shared" si="104"/>
        <v>2913</v>
      </c>
      <c r="AR2916" s="1756" t="e">
        <f>0.5*(S18+2*AQ2916)*LN(1+2*AQ2916/S18)</f>
        <v>#VALUE!</v>
      </c>
    </row>
    <row r="2917" spans="42:44">
      <c r="AP2917" s="1756" t="e">
        <f>IF(OR(AR2917=S13,AR2917&gt;S13),AR2917,"")</f>
        <v>#VALUE!</v>
      </c>
      <c r="AQ2917" s="1759">
        <f t="shared" si="104"/>
        <v>2914</v>
      </c>
      <c r="AR2917" s="1756" t="e">
        <f>0.5*(S18+2*AQ2917)*LN(1+2*AQ2917/S18)</f>
        <v>#VALUE!</v>
      </c>
    </row>
    <row r="2918" spans="42:44">
      <c r="AP2918" s="1756" t="e">
        <f>IF(OR(AR2918=S13,AR2918&gt;S13),AR2918,"")</f>
        <v>#VALUE!</v>
      </c>
      <c r="AQ2918" s="1759">
        <f t="shared" si="104"/>
        <v>2915</v>
      </c>
      <c r="AR2918" s="1756" t="e">
        <f>0.5*(S18+2*AQ2918)*LN(1+2*AQ2918/S18)</f>
        <v>#VALUE!</v>
      </c>
    </row>
    <row r="2919" spans="42:44">
      <c r="AP2919" s="1756" t="e">
        <f>IF(OR(AR2919=S13,AR2919&gt;S13),AR2919,"")</f>
        <v>#VALUE!</v>
      </c>
      <c r="AQ2919" s="1759">
        <f t="shared" si="104"/>
        <v>2916</v>
      </c>
      <c r="AR2919" s="1756" t="e">
        <f>0.5*(S18+2*AQ2919)*LN(1+2*AQ2919/S18)</f>
        <v>#VALUE!</v>
      </c>
    </row>
    <row r="2920" spans="42:44">
      <c r="AP2920" s="1756" t="e">
        <f>IF(OR(AR2920=S13,AR2920&gt;S13),AR2920,"")</f>
        <v>#VALUE!</v>
      </c>
      <c r="AQ2920" s="1759">
        <f t="shared" si="104"/>
        <v>2917</v>
      </c>
      <c r="AR2920" s="1756" t="e">
        <f>0.5*(S18+2*AQ2920)*LN(1+2*AQ2920/S18)</f>
        <v>#VALUE!</v>
      </c>
    </row>
    <row r="2921" spans="42:44">
      <c r="AP2921" s="1756" t="e">
        <f>IF(OR(AR2921=S13,AR2921&gt;S13),AR2921,"")</f>
        <v>#VALUE!</v>
      </c>
      <c r="AQ2921" s="1759">
        <f t="shared" si="104"/>
        <v>2918</v>
      </c>
      <c r="AR2921" s="1756" t="e">
        <f>0.5*(S18+2*AQ2921)*LN(1+2*AQ2921/S18)</f>
        <v>#VALUE!</v>
      </c>
    </row>
    <row r="2922" spans="42:44">
      <c r="AP2922" s="1756" t="e">
        <f>IF(OR(AR2922=S13,AR2922&gt;S13),AR2922,"")</f>
        <v>#VALUE!</v>
      </c>
      <c r="AQ2922" s="1759">
        <f t="shared" si="104"/>
        <v>2919</v>
      </c>
      <c r="AR2922" s="1756" t="e">
        <f>0.5*(S18+2*AQ2922)*LN(1+2*AQ2922/S18)</f>
        <v>#VALUE!</v>
      </c>
    </row>
    <row r="2923" spans="42:44">
      <c r="AP2923" s="1756" t="e">
        <f>IF(OR(AR2923=S13,AR2923&gt;S13),AR2923,"")</f>
        <v>#VALUE!</v>
      </c>
      <c r="AQ2923" s="1759">
        <f t="shared" si="104"/>
        <v>2920</v>
      </c>
      <c r="AR2923" s="1756" t="e">
        <f>0.5*(S18+2*AQ2923)*LN(1+2*AQ2923/S18)</f>
        <v>#VALUE!</v>
      </c>
    </row>
    <row r="2924" spans="42:44">
      <c r="AP2924" s="1756" t="e">
        <f>IF(OR(AR2924=S13,AR2924&gt;S13),AR2924,"")</f>
        <v>#VALUE!</v>
      </c>
      <c r="AQ2924" s="1759">
        <f t="shared" si="104"/>
        <v>2921</v>
      </c>
      <c r="AR2924" s="1756" t="e">
        <f>0.5*(S18+2*AQ2924)*LN(1+2*AQ2924/S18)</f>
        <v>#VALUE!</v>
      </c>
    </row>
    <row r="2925" spans="42:44">
      <c r="AP2925" s="1756" t="e">
        <f>IF(OR(AR2925=S13,AR2925&gt;S13),AR2925,"")</f>
        <v>#VALUE!</v>
      </c>
      <c r="AQ2925" s="1759">
        <f t="shared" si="104"/>
        <v>2922</v>
      </c>
      <c r="AR2925" s="1756" t="e">
        <f>0.5*(S18+2*AQ2925)*LN(1+2*AQ2925/S18)</f>
        <v>#VALUE!</v>
      </c>
    </row>
    <row r="2926" spans="42:44">
      <c r="AP2926" s="1756" t="e">
        <f>IF(OR(AR2926=S13,AR2926&gt;S13),AR2926,"")</f>
        <v>#VALUE!</v>
      </c>
      <c r="AQ2926" s="1759">
        <f t="shared" si="104"/>
        <v>2923</v>
      </c>
      <c r="AR2926" s="1756" t="e">
        <f>0.5*(S18+2*AQ2926)*LN(1+2*AQ2926/S18)</f>
        <v>#VALUE!</v>
      </c>
    </row>
    <row r="2927" spans="42:44">
      <c r="AP2927" s="1756" t="e">
        <f>IF(OR(AR2927=S13,AR2927&gt;S13),AR2927,"")</f>
        <v>#VALUE!</v>
      </c>
      <c r="AQ2927" s="1759">
        <f t="shared" si="104"/>
        <v>2924</v>
      </c>
      <c r="AR2927" s="1756" t="e">
        <f>0.5*(S18+2*AQ2927)*LN(1+2*AQ2927/S18)</f>
        <v>#VALUE!</v>
      </c>
    </row>
    <row r="2928" spans="42:44">
      <c r="AP2928" s="1756" t="e">
        <f>IF(OR(AR2928=S13,AR2928&gt;S13),AR2928,"")</f>
        <v>#VALUE!</v>
      </c>
      <c r="AQ2928" s="1759">
        <f t="shared" si="104"/>
        <v>2925</v>
      </c>
      <c r="AR2928" s="1756" t="e">
        <f>0.5*(S18+2*AQ2928)*LN(1+2*AQ2928/S18)</f>
        <v>#VALUE!</v>
      </c>
    </row>
    <row r="2929" spans="42:44">
      <c r="AP2929" s="1756" t="e">
        <f>IF(OR(AR2929=S13,AR2929&gt;S13),AR2929,"")</f>
        <v>#VALUE!</v>
      </c>
      <c r="AQ2929" s="1759">
        <f t="shared" si="104"/>
        <v>2926</v>
      </c>
      <c r="AR2929" s="1756" t="e">
        <f>0.5*(S18+2*AQ2929)*LN(1+2*AQ2929/S18)</f>
        <v>#VALUE!</v>
      </c>
    </row>
    <row r="2930" spans="42:44">
      <c r="AP2930" s="1756" t="e">
        <f>IF(OR(AR2930=S13,AR2930&gt;S13),AR2930,"")</f>
        <v>#VALUE!</v>
      </c>
      <c r="AQ2930" s="1759">
        <f t="shared" si="104"/>
        <v>2927</v>
      </c>
      <c r="AR2930" s="1756" t="e">
        <f>0.5*(S18+2*AQ2930)*LN(1+2*AQ2930/S18)</f>
        <v>#VALUE!</v>
      </c>
    </row>
    <row r="2931" spans="42:44">
      <c r="AP2931" s="1756" t="e">
        <f>IF(OR(AR2931=S13,AR2931&gt;S13),AR2931,"")</f>
        <v>#VALUE!</v>
      </c>
      <c r="AQ2931" s="1759">
        <f t="shared" si="104"/>
        <v>2928</v>
      </c>
      <c r="AR2931" s="1756" t="e">
        <f>0.5*(S18+2*AQ2931)*LN(1+2*AQ2931/S18)</f>
        <v>#VALUE!</v>
      </c>
    </row>
    <row r="2932" spans="42:44">
      <c r="AP2932" s="1756" t="e">
        <f>IF(OR(AR2932=S13,AR2932&gt;S13),AR2932,"")</f>
        <v>#VALUE!</v>
      </c>
      <c r="AQ2932" s="1759">
        <f t="shared" si="104"/>
        <v>2929</v>
      </c>
      <c r="AR2932" s="1756" t="e">
        <f>0.5*(S18+2*AQ2932)*LN(1+2*AQ2932/S18)</f>
        <v>#VALUE!</v>
      </c>
    </row>
    <row r="2933" spans="42:44">
      <c r="AP2933" s="1756" t="e">
        <f>IF(OR(AR2933=S13,AR2933&gt;S13),AR2933,"")</f>
        <v>#VALUE!</v>
      </c>
      <c r="AQ2933" s="1759">
        <f t="shared" si="104"/>
        <v>2930</v>
      </c>
      <c r="AR2933" s="1756" t="e">
        <f>0.5*(S18+2*AQ2933)*LN(1+2*AQ2933/S18)</f>
        <v>#VALUE!</v>
      </c>
    </row>
    <row r="2934" spans="42:44">
      <c r="AP2934" s="1756" t="e">
        <f>IF(OR(AR2934=S13,AR2934&gt;S13),AR2934,"")</f>
        <v>#VALUE!</v>
      </c>
      <c r="AQ2934" s="1759">
        <f t="shared" si="104"/>
        <v>2931</v>
      </c>
      <c r="AR2934" s="1756" t="e">
        <f>0.5*(S18+2*AQ2934)*LN(1+2*AQ2934/S18)</f>
        <v>#VALUE!</v>
      </c>
    </row>
    <row r="2935" spans="42:44">
      <c r="AP2935" s="1756" t="e">
        <f>IF(OR(AR2935=S13,AR2935&gt;S13),AR2935,"")</f>
        <v>#VALUE!</v>
      </c>
      <c r="AQ2935" s="1759">
        <f t="shared" si="104"/>
        <v>2932</v>
      </c>
      <c r="AR2935" s="1756" t="e">
        <f>0.5*(S18+2*AQ2935)*LN(1+2*AQ2935/S18)</f>
        <v>#VALUE!</v>
      </c>
    </row>
    <row r="2936" spans="42:44">
      <c r="AP2936" s="1756" t="e">
        <f>IF(OR(AR2936=S13,AR2936&gt;S13),AR2936,"")</f>
        <v>#VALUE!</v>
      </c>
      <c r="AQ2936" s="1759">
        <f t="shared" si="104"/>
        <v>2933</v>
      </c>
      <c r="AR2936" s="1756" t="e">
        <f>0.5*(S18+2*AQ2936)*LN(1+2*AQ2936/S18)</f>
        <v>#VALUE!</v>
      </c>
    </row>
    <row r="2937" spans="42:44">
      <c r="AP2937" s="1756" t="e">
        <f>IF(OR(AR2937=S13,AR2937&gt;S13),AR2937,"")</f>
        <v>#VALUE!</v>
      </c>
      <c r="AQ2937" s="1759">
        <f t="shared" si="104"/>
        <v>2934</v>
      </c>
      <c r="AR2937" s="1756" t="e">
        <f>0.5*(S18+2*AQ2937)*LN(1+2*AQ2937/S18)</f>
        <v>#VALUE!</v>
      </c>
    </row>
    <row r="2938" spans="42:44">
      <c r="AP2938" s="1756" t="e">
        <f>IF(OR(AR2938=S13,AR2938&gt;S13),AR2938,"")</f>
        <v>#VALUE!</v>
      </c>
      <c r="AQ2938" s="1759">
        <f t="shared" si="104"/>
        <v>2935</v>
      </c>
      <c r="AR2938" s="1756" t="e">
        <f>0.5*(S18+2*AQ2938)*LN(1+2*AQ2938/S18)</f>
        <v>#VALUE!</v>
      </c>
    </row>
    <row r="2939" spans="42:44">
      <c r="AP2939" s="1756" t="e">
        <f>IF(OR(AR2939=S13,AR2939&gt;S13),AR2939,"")</f>
        <v>#VALUE!</v>
      </c>
      <c r="AQ2939" s="1759">
        <f t="shared" si="104"/>
        <v>2936</v>
      </c>
      <c r="AR2939" s="1756" t="e">
        <f>0.5*(S18+2*AQ2939)*LN(1+2*AQ2939/S18)</f>
        <v>#VALUE!</v>
      </c>
    </row>
    <row r="2940" spans="42:44">
      <c r="AP2940" s="1756" t="e">
        <f>IF(OR(AR2940=S13,AR2940&gt;S13),AR2940,"")</f>
        <v>#VALUE!</v>
      </c>
      <c r="AQ2940" s="1759">
        <f t="shared" si="104"/>
        <v>2937</v>
      </c>
      <c r="AR2940" s="1756" t="e">
        <f>0.5*(S18+2*AQ2940)*LN(1+2*AQ2940/S18)</f>
        <v>#VALUE!</v>
      </c>
    </row>
    <row r="2941" spans="42:44">
      <c r="AP2941" s="1756" t="e">
        <f>IF(OR(AR2941=S13,AR2941&gt;S13),AR2941,"")</f>
        <v>#VALUE!</v>
      </c>
      <c r="AQ2941" s="1759">
        <f t="shared" si="104"/>
        <v>2938</v>
      </c>
      <c r="AR2941" s="1756" t="e">
        <f>0.5*(S18+2*AQ2941)*LN(1+2*AQ2941/S18)</f>
        <v>#VALUE!</v>
      </c>
    </row>
    <row r="2942" spans="42:44">
      <c r="AP2942" s="1756" t="e">
        <f>IF(OR(AR2942=S13,AR2942&gt;S13),AR2942,"")</f>
        <v>#VALUE!</v>
      </c>
      <c r="AQ2942" s="1759">
        <f t="shared" si="104"/>
        <v>2939</v>
      </c>
      <c r="AR2942" s="1756" t="e">
        <f>0.5*(S18+2*AQ2942)*LN(1+2*AQ2942/S18)</f>
        <v>#VALUE!</v>
      </c>
    </row>
    <row r="2943" spans="42:44">
      <c r="AP2943" s="1756" t="e">
        <f>IF(OR(AR2943=S13,AR2943&gt;S13),AR2943,"")</f>
        <v>#VALUE!</v>
      </c>
      <c r="AQ2943" s="1759">
        <f t="shared" si="104"/>
        <v>2940</v>
      </c>
      <c r="AR2943" s="1756" t="e">
        <f>0.5*(S18+2*AQ2943)*LN(1+2*AQ2943/S18)</f>
        <v>#VALUE!</v>
      </c>
    </row>
    <row r="2944" spans="42:44">
      <c r="AP2944" s="1756" t="e">
        <f>IF(OR(AR2944=S13,AR2944&gt;S13),AR2944,"")</f>
        <v>#VALUE!</v>
      </c>
      <c r="AQ2944" s="1759">
        <f t="shared" si="104"/>
        <v>2941</v>
      </c>
      <c r="AR2944" s="1756" t="e">
        <f>0.5*(S18+2*AQ2944)*LN(1+2*AQ2944/S18)</f>
        <v>#VALUE!</v>
      </c>
    </row>
    <row r="2945" spans="42:44">
      <c r="AP2945" s="1756" t="e">
        <f>IF(OR(AR2945=S13,AR2945&gt;S13),AR2945,"")</f>
        <v>#VALUE!</v>
      </c>
      <c r="AQ2945" s="1759">
        <f t="shared" si="104"/>
        <v>2942</v>
      </c>
      <c r="AR2945" s="1756" t="e">
        <f>0.5*(S18+2*AQ2945)*LN(1+2*AQ2945/S18)</f>
        <v>#VALUE!</v>
      </c>
    </row>
    <row r="2946" spans="42:44">
      <c r="AP2946" s="1756" t="e">
        <f>IF(OR(AR2946=S13,AR2946&gt;S13),AR2946,"")</f>
        <v>#VALUE!</v>
      </c>
      <c r="AQ2946" s="1759">
        <f t="shared" si="104"/>
        <v>2943</v>
      </c>
      <c r="AR2946" s="1756" t="e">
        <f>0.5*(S18+2*AQ2946)*LN(1+2*AQ2946/S18)</f>
        <v>#VALUE!</v>
      </c>
    </row>
    <row r="2947" spans="42:44">
      <c r="AP2947" s="1756" t="e">
        <f>IF(OR(AR2947=S13,AR2947&gt;S13),AR2947,"")</f>
        <v>#VALUE!</v>
      </c>
      <c r="AQ2947" s="1759">
        <f t="shared" si="104"/>
        <v>2944</v>
      </c>
      <c r="AR2947" s="1756" t="e">
        <f>0.5*(S18+2*AQ2947)*LN(1+2*AQ2947/S18)</f>
        <v>#VALUE!</v>
      </c>
    </row>
    <row r="2948" spans="42:44">
      <c r="AP2948" s="1756" t="e">
        <f>IF(OR(AR2948=S13,AR2948&gt;S13),AR2948,"")</f>
        <v>#VALUE!</v>
      </c>
      <c r="AQ2948" s="1759">
        <f t="shared" si="104"/>
        <v>2945</v>
      </c>
      <c r="AR2948" s="1756" t="e">
        <f>0.5*(S18+2*AQ2948)*LN(1+2*AQ2948/S18)</f>
        <v>#VALUE!</v>
      </c>
    </row>
    <row r="2949" spans="42:44">
      <c r="AP2949" s="1756" t="e">
        <f>IF(OR(AR2949=S13,AR2949&gt;S13),AR2949,"")</f>
        <v>#VALUE!</v>
      </c>
      <c r="AQ2949" s="1759">
        <f t="shared" si="104"/>
        <v>2946</v>
      </c>
      <c r="AR2949" s="1756" t="e">
        <f>0.5*(S18+2*AQ2949)*LN(1+2*AQ2949/S18)</f>
        <v>#VALUE!</v>
      </c>
    </row>
    <row r="2950" spans="42:44">
      <c r="AP2950" s="1756" t="e">
        <f>IF(OR(AR2950=S13,AR2950&gt;S13),AR2950,"")</f>
        <v>#VALUE!</v>
      </c>
      <c r="AQ2950" s="1759">
        <f t="shared" ref="AQ2950:AQ3013" si="105">AQ2949+1</f>
        <v>2947</v>
      </c>
      <c r="AR2950" s="1756" t="e">
        <f>0.5*(S18+2*AQ2950)*LN(1+2*AQ2950/S18)</f>
        <v>#VALUE!</v>
      </c>
    </row>
    <row r="2951" spans="42:44">
      <c r="AP2951" s="1756" t="e">
        <f>IF(OR(AR2951=S13,AR2951&gt;S13),AR2951,"")</f>
        <v>#VALUE!</v>
      </c>
      <c r="AQ2951" s="1759">
        <f t="shared" si="105"/>
        <v>2948</v>
      </c>
      <c r="AR2951" s="1756" t="e">
        <f>0.5*(S18+2*AQ2951)*LN(1+2*AQ2951/S18)</f>
        <v>#VALUE!</v>
      </c>
    </row>
    <row r="2952" spans="42:44">
      <c r="AP2952" s="1756" t="e">
        <f>IF(OR(AR2952=S13,AR2952&gt;S13),AR2952,"")</f>
        <v>#VALUE!</v>
      </c>
      <c r="AQ2952" s="1759">
        <f t="shared" si="105"/>
        <v>2949</v>
      </c>
      <c r="AR2952" s="1756" t="e">
        <f>0.5*(S18+2*AQ2952)*LN(1+2*AQ2952/S18)</f>
        <v>#VALUE!</v>
      </c>
    </row>
    <row r="2953" spans="42:44">
      <c r="AP2953" s="1756" t="e">
        <f>IF(OR(AR2953=S13,AR2953&gt;S13),AR2953,"")</f>
        <v>#VALUE!</v>
      </c>
      <c r="AQ2953" s="1759">
        <f t="shared" si="105"/>
        <v>2950</v>
      </c>
      <c r="AR2953" s="1756" t="e">
        <f>0.5*(S18+2*AQ2953)*LN(1+2*AQ2953/S18)</f>
        <v>#VALUE!</v>
      </c>
    </row>
    <row r="2954" spans="42:44">
      <c r="AP2954" s="1756" t="e">
        <f>IF(OR(AR2954=S13,AR2954&gt;S13),AR2954,"")</f>
        <v>#VALUE!</v>
      </c>
      <c r="AQ2954" s="1759">
        <f t="shared" si="105"/>
        <v>2951</v>
      </c>
      <c r="AR2954" s="1756" t="e">
        <f>0.5*(S18+2*AQ2954)*LN(1+2*AQ2954/S18)</f>
        <v>#VALUE!</v>
      </c>
    </row>
    <row r="2955" spans="42:44">
      <c r="AP2955" s="1756" t="e">
        <f>IF(OR(AR2955=S13,AR2955&gt;S13),AR2955,"")</f>
        <v>#VALUE!</v>
      </c>
      <c r="AQ2955" s="1759">
        <f t="shared" si="105"/>
        <v>2952</v>
      </c>
      <c r="AR2955" s="1756" t="e">
        <f>0.5*(S18+2*AQ2955)*LN(1+2*AQ2955/S18)</f>
        <v>#VALUE!</v>
      </c>
    </row>
    <row r="2956" spans="42:44">
      <c r="AP2956" s="1756" t="e">
        <f>IF(OR(AR2956=S13,AR2956&gt;S13),AR2956,"")</f>
        <v>#VALUE!</v>
      </c>
      <c r="AQ2956" s="1759">
        <f t="shared" si="105"/>
        <v>2953</v>
      </c>
      <c r="AR2956" s="1756" t="e">
        <f>0.5*(S18+2*AQ2956)*LN(1+2*AQ2956/S18)</f>
        <v>#VALUE!</v>
      </c>
    </row>
    <row r="2957" spans="42:44">
      <c r="AP2957" s="1756" t="e">
        <f>IF(OR(AR2957=S13,AR2957&gt;S13),AR2957,"")</f>
        <v>#VALUE!</v>
      </c>
      <c r="AQ2957" s="1759">
        <f t="shared" si="105"/>
        <v>2954</v>
      </c>
      <c r="AR2957" s="1756" t="e">
        <f>0.5*(S18+2*AQ2957)*LN(1+2*AQ2957/S18)</f>
        <v>#VALUE!</v>
      </c>
    </row>
    <row r="2958" spans="42:44">
      <c r="AP2958" s="1756" t="e">
        <f>IF(OR(AR2958=S13,AR2958&gt;S13),AR2958,"")</f>
        <v>#VALUE!</v>
      </c>
      <c r="AQ2958" s="1759">
        <f t="shared" si="105"/>
        <v>2955</v>
      </c>
      <c r="AR2958" s="1756" t="e">
        <f>0.5*(S18+2*AQ2958)*LN(1+2*AQ2958/S18)</f>
        <v>#VALUE!</v>
      </c>
    </row>
    <row r="2959" spans="42:44">
      <c r="AP2959" s="1756" t="e">
        <f>IF(OR(AR2959=S13,AR2959&gt;S13),AR2959,"")</f>
        <v>#VALUE!</v>
      </c>
      <c r="AQ2959" s="1759">
        <f t="shared" si="105"/>
        <v>2956</v>
      </c>
      <c r="AR2959" s="1756" t="e">
        <f>0.5*(S18+2*AQ2959)*LN(1+2*AQ2959/S18)</f>
        <v>#VALUE!</v>
      </c>
    </row>
    <row r="2960" spans="42:44">
      <c r="AP2960" s="1756" t="e">
        <f>IF(OR(AR2960=S13,AR2960&gt;S13),AR2960,"")</f>
        <v>#VALUE!</v>
      </c>
      <c r="AQ2960" s="1759">
        <f t="shared" si="105"/>
        <v>2957</v>
      </c>
      <c r="AR2960" s="1756" t="e">
        <f>0.5*(S18+2*AQ2960)*LN(1+2*AQ2960/S18)</f>
        <v>#VALUE!</v>
      </c>
    </row>
    <row r="2961" spans="42:44">
      <c r="AP2961" s="1756" t="e">
        <f>IF(OR(AR2961=S13,AR2961&gt;S13),AR2961,"")</f>
        <v>#VALUE!</v>
      </c>
      <c r="AQ2961" s="1759">
        <f t="shared" si="105"/>
        <v>2958</v>
      </c>
      <c r="AR2961" s="1756" t="e">
        <f>0.5*(S18+2*AQ2961)*LN(1+2*AQ2961/S18)</f>
        <v>#VALUE!</v>
      </c>
    </row>
    <row r="2962" spans="42:44">
      <c r="AP2962" s="1756" t="e">
        <f>IF(OR(AR2962=S13,AR2962&gt;S13),AR2962,"")</f>
        <v>#VALUE!</v>
      </c>
      <c r="AQ2962" s="1759">
        <f t="shared" si="105"/>
        <v>2959</v>
      </c>
      <c r="AR2962" s="1756" t="e">
        <f>0.5*(S18+2*AQ2962)*LN(1+2*AQ2962/S18)</f>
        <v>#VALUE!</v>
      </c>
    </row>
    <row r="2963" spans="42:44">
      <c r="AP2963" s="1756" t="e">
        <f>IF(OR(AR2963=S13,AR2963&gt;S13),AR2963,"")</f>
        <v>#VALUE!</v>
      </c>
      <c r="AQ2963" s="1759">
        <f t="shared" si="105"/>
        <v>2960</v>
      </c>
      <c r="AR2963" s="1756" t="e">
        <f>0.5*(S18+2*AQ2963)*LN(1+2*AQ2963/S18)</f>
        <v>#VALUE!</v>
      </c>
    </row>
    <row r="2964" spans="42:44">
      <c r="AP2964" s="1756" t="e">
        <f>IF(OR(AR2964=S13,AR2964&gt;S13),AR2964,"")</f>
        <v>#VALUE!</v>
      </c>
      <c r="AQ2964" s="1759">
        <f t="shared" si="105"/>
        <v>2961</v>
      </c>
      <c r="AR2964" s="1756" t="e">
        <f>0.5*(S18+2*AQ2964)*LN(1+2*AQ2964/S18)</f>
        <v>#VALUE!</v>
      </c>
    </row>
    <row r="2965" spans="42:44">
      <c r="AP2965" s="1756" t="e">
        <f>IF(OR(AR2965=S13,AR2965&gt;S13),AR2965,"")</f>
        <v>#VALUE!</v>
      </c>
      <c r="AQ2965" s="1759">
        <f t="shared" si="105"/>
        <v>2962</v>
      </c>
      <c r="AR2965" s="1756" t="e">
        <f>0.5*(S18+2*AQ2965)*LN(1+2*AQ2965/S18)</f>
        <v>#VALUE!</v>
      </c>
    </row>
    <row r="2966" spans="42:44">
      <c r="AP2966" s="1756" t="e">
        <f>IF(OR(AR2966=S13,AR2966&gt;S13),AR2966,"")</f>
        <v>#VALUE!</v>
      </c>
      <c r="AQ2966" s="1759">
        <f t="shared" si="105"/>
        <v>2963</v>
      </c>
      <c r="AR2966" s="1756" t="e">
        <f>0.5*(S18+2*AQ2966)*LN(1+2*AQ2966/S18)</f>
        <v>#VALUE!</v>
      </c>
    </row>
    <row r="2967" spans="42:44">
      <c r="AP2967" s="1756" t="e">
        <f>IF(OR(AR2967=S13,AR2967&gt;S13),AR2967,"")</f>
        <v>#VALUE!</v>
      </c>
      <c r="AQ2967" s="1759">
        <f t="shared" si="105"/>
        <v>2964</v>
      </c>
      <c r="AR2967" s="1756" t="e">
        <f>0.5*(S18+2*AQ2967)*LN(1+2*AQ2967/S18)</f>
        <v>#VALUE!</v>
      </c>
    </row>
    <row r="2968" spans="42:44">
      <c r="AP2968" s="1756" t="e">
        <f>IF(OR(AR2968=S13,AR2968&gt;S13),AR2968,"")</f>
        <v>#VALUE!</v>
      </c>
      <c r="AQ2968" s="1759">
        <f t="shared" si="105"/>
        <v>2965</v>
      </c>
      <c r="AR2968" s="1756" t="e">
        <f>0.5*(S18+2*AQ2968)*LN(1+2*AQ2968/S18)</f>
        <v>#VALUE!</v>
      </c>
    </row>
    <row r="2969" spans="42:44">
      <c r="AP2969" s="1756" t="e">
        <f>IF(OR(AR2969=S13,AR2969&gt;S13),AR2969,"")</f>
        <v>#VALUE!</v>
      </c>
      <c r="AQ2969" s="1759">
        <f t="shared" si="105"/>
        <v>2966</v>
      </c>
      <c r="AR2969" s="1756" t="e">
        <f>0.5*(S18+2*AQ2969)*LN(1+2*AQ2969/S18)</f>
        <v>#VALUE!</v>
      </c>
    </row>
    <row r="2970" spans="42:44">
      <c r="AP2970" s="1756" t="e">
        <f>IF(OR(AR2970=S13,AR2970&gt;S13),AR2970,"")</f>
        <v>#VALUE!</v>
      </c>
      <c r="AQ2970" s="1759">
        <f t="shared" si="105"/>
        <v>2967</v>
      </c>
      <c r="AR2970" s="1756" t="e">
        <f>0.5*(S18+2*AQ2970)*LN(1+2*AQ2970/S18)</f>
        <v>#VALUE!</v>
      </c>
    </row>
    <row r="2971" spans="42:44">
      <c r="AP2971" s="1756" t="e">
        <f>IF(OR(AR2971=S13,AR2971&gt;S13),AR2971,"")</f>
        <v>#VALUE!</v>
      </c>
      <c r="AQ2971" s="1759">
        <f t="shared" si="105"/>
        <v>2968</v>
      </c>
      <c r="AR2971" s="1756" t="e">
        <f>0.5*(S18+2*AQ2971)*LN(1+2*AQ2971/S18)</f>
        <v>#VALUE!</v>
      </c>
    </row>
    <row r="2972" spans="42:44">
      <c r="AP2972" s="1756" t="e">
        <f>IF(OR(AR2972=S13,AR2972&gt;S13),AR2972,"")</f>
        <v>#VALUE!</v>
      </c>
      <c r="AQ2972" s="1759">
        <f t="shared" si="105"/>
        <v>2969</v>
      </c>
      <c r="AR2972" s="1756" t="e">
        <f>0.5*(S18+2*AQ2972)*LN(1+2*AQ2972/S18)</f>
        <v>#VALUE!</v>
      </c>
    </row>
    <row r="2973" spans="42:44">
      <c r="AP2973" s="1756" t="e">
        <f>IF(OR(AR2973=S13,AR2973&gt;S13),AR2973,"")</f>
        <v>#VALUE!</v>
      </c>
      <c r="AQ2973" s="1759">
        <f t="shared" si="105"/>
        <v>2970</v>
      </c>
      <c r="AR2973" s="1756" t="e">
        <f>0.5*(S18+2*AQ2973)*LN(1+2*AQ2973/S18)</f>
        <v>#VALUE!</v>
      </c>
    </row>
    <row r="2974" spans="42:44">
      <c r="AP2974" s="1756" t="e">
        <f>IF(OR(AR2974=S13,AR2974&gt;S13),AR2974,"")</f>
        <v>#VALUE!</v>
      </c>
      <c r="AQ2974" s="1759">
        <f t="shared" si="105"/>
        <v>2971</v>
      </c>
      <c r="AR2974" s="1756" t="e">
        <f>0.5*(S18+2*AQ2974)*LN(1+2*AQ2974/S18)</f>
        <v>#VALUE!</v>
      </c>
    </row>
    <row r="2975" spans="42:44">
      <c r="AP2975" s="1756" t="e">
        <f>IF(OR(AR2975=S13,AR2975&gt;S13),AR2975,"")</f>
        <v>#VALUE!</v>
      </c>
      <c r="AQ2975" s="1759">
        <f t="shared" si="105"/>
        <v>2972</v>
      </c>
      <c r="AR2975" s="1756" t="e">
        <f>0.5*(S18+2*AQ2975)*LN(1+2*AQ2975/S18)</f>
        <v>#VALUE!</v>
      </c>
    </row>
    <row r="2976" spans="42:44">
      <c r="AP2976" s="1756" t="e">
        <f>IF(OR(AR2976=S13,AR2976&gt;S13),AR2976,"")</f>
        <v>#VALUE!</v>
      </c>
      <c r="AQ2976" s="1759">
        <f t="shared" si="105"/>
        <v>2973</v>
      </c>
      <c r="AR2976" s="1756" t="e">
        <f>0.5*(S18+2*AQ2976)*LN(1+2*AQ2976/S18)</f>
        <v>#VALUE!</v>
      </c>
    </row>
    <row r="2977" spans="42:44">
      <c r="AP2977" s="1756" t="e">
        <f>IF(OR(AR2977=S13,AR2977&gt;S13),AR2977,"")</f>
        <v>#VALUE!</v>
      </c>
      <c r="AQ2977" s="1759">
        <f t="shared" si="105"/>
        <v>2974</v>
      </c>
      <c r="AR2977" s="1756" t="e">
        <f>0.5*(S18+2*AQ2977)*LN(1+2*AQ2977/S18)</f>
        <v>#VALUE!</v>
      </c>
    </row>
    <row r="2978" spans="42:44">
      <c r="AP2978" s="1756" t="e">
        <f>IF(OR(AR2978=S13,AR2978&gt;S13),AR2978,"")</f>
        <v>#VALUE!</v>
      </c>
      <c r="AQ2978" s="1759">
        <f t="shared" si="105"/>
        <v>2975</v>
      </c>
      <c r="AR2978" s="1756" t="e">
        <f>0.5*(S18+2*AQ2978)*LN(1+2*AQ2978/S18)</f>
        <v>#VALUE!</v>
      </c>
    </row>
    <row r="2979" spans="42:44">
      <c r="AP2979" s="1756" t="e">
        <f>IF(OR(AR2979=S13,AR2979&gt;S13),AR2979,"")</f>
        <v>#VALUE!</v>
      </c>
      <c r="AQ2979" s="1759">
        <f t="shared" si="105"/>
        <v>2976</v>
      </c>
      <c r="AR2979" s="1756" t="e">
        <f>0.5*(S18+2*AQ2979)*LN(1+2*AQ2979/S18)</f>
        <v>#VALUE!</v>
      </c>
    </row>
    <row r="2980" spans="42:44">
      <c r="AP2980" s="1756" t="e">
        <f>IF(OR(AR2980=S13,AR2980&gt;S13),AR2980,"")</f>
        <v>#VALUE!</v>
      </c>
      <c r="AQ2980" s="1759">
        <f t="shared" si="105"/>
        <v>2977</v>
      </c>
      <c r="AR2980" s="1756" t="e">
        <f>0.5*(S18+2*AQ2980)*LN(1+2*AQ2980/S18)</f>
        <v>#VALUE!</v>
      </c>
    </row>
    <row r="2981" spans="42:44">
      <c r="AP2981" s="1756" t="e">
        <f>IF(OR(AR2981=S13,AR2981&gt;S13),AR2981,"")</f>
        <v>#VALUE!</v>
      </c>
      <c r="AQ2981" s="1759">
        <f t="shared" si="105"/>
        <v>2978</v>
      </c>
      <c r="AR2981" s="1756" t="e">
        <f>0.5*(S18+2*AQ2981)*LN(1+2*AQ2981/S18)</f>
        <v>#VALUE!</v>
      </c>
    </row>
    <row r="2982" spans="42:44">
      <c r="AP2982" s="1756" t="e">
        <f>IF(OR(AR2982=S13,AR2982&gt;S13),AR2982,"")</f>
        <v>#VALUE!</v>
      </c>
      <c r="AQ2982" s="1759">
        <f t="shared" si="105"/>
        <v>2979</v>
      </c>
      <c r="AR2982" s="1756" t="e">
        <f>0.5*(S18+2*AQ2982)*LN(1+2*AQ2982/S18)</f>
        <v>#VALUE!</v>
      </c>
    </row>
    <row r="2983" spans="42:44">
      <c r="AP2983" s="1756" t="e">
        <f>IF(OR(AR2983=S13,AR2983&gt;S13),AR2983,"")</f>
        <v>#VALUE!</v>
      </c>
      <c r="AQ2983" s="1759">
        <f t="shared" si="105"/>
        <v>2980</v>
      </c>
      <c r="AR2983" s="1756" t="e">
        <f>0.5*(S18+2*AQ2983)*LN(1+2*AQ2983/S18)</f>
        <v>#VALUE!</v>
      </c>
    </row>
    <row r="2984" spans="42:44">
      <c r="AP2984" s="1756" t="e">
        <f>IF(OR(AR2984=S13,AR2984&gt;S13),AR2984,"")</f>
        <v>#VALUE!</v>
      </c>
      <c r="AQ2984" s="1759">
        <f t="shared" si="105"/>
        <v>2981</v>
      </c>
      <c r="AR2984" s="1756" t="e">
        <f>0.5*(S18+2*AQ2984)*LN(1+2*AQ2984/S18)</f>
        <v>#VALUE!</v>
      </c>
    </row>
    <row r="2985" spans="42:44">
      <c r="AP2985" s="1756" t="e">
        <f>IF(OR(AR2985=S13,AR2985&gt;S13),AR2985,"")</f>
        <v>#VALUE!</v>
      </c>
      <c r="AQ2985" s="1759">
        <f t="shared" si="105"/>
        <v>2982</v>
      </c>
      <c r="AR2985" s="1756" t="e">
        <f>0.5*(S18+2*AQ2985)*LN(1+2*AQ2985/S18)</f>
        <v>#VALUE!</v>
      </c>
    </row>
    <row r="2986" spans="42:44">
      <c r="AP2986" s="1756" t="e">
        <f>IF(OR(AR2986=S13,AR2986&gt;S13),AR2986,"")</f>
        <v>#VALUE!</v>
      </c>
      <c r="AQ2986" s="1759">
        <f t="shared" si="105"/>
        <v>2983</v>
      </c>
      <c r="AR2986" s="1756" t="e">
        <f>0.5*(S18+2*AQ2986)*LN(1+2*AQ2986/S18)</f>
        <v>#VALUE!</v>
      </c>
    </row>
    <row r="2987" spans="42:44">
      <c r="AP2987" s="1756" t="e">
        <f>IF(OR(AR2987=S13,AR2987&gt;S13),AR2987,"")</f>
        <v>#VALUE!</v>
      </c>
      <c r="AQ2987" s="1759">
        <f t="shared" si="105"/>
        <v>2984</v>
      </c>
      <c r="AR2987" s="1756" t="e">
        <f>0.5*(S18+2*AQ2987)*LN(1+2*AQ2987/S18)</f>
        <v>#VALUE!</v>
      </c>
    </row>
    <row r="2988" spans="42:44">
      <c r="AP2988" s="1756" t="e">
        <f>IF(OR(AR2988=S13,AR2988&gt;S13),AR2988,"")</f>
        <v>#VALUE!</v>
      </c>
      <c r="AQ2988" s="1759">
        <f t="shared" si="105"/>
        <v>2985</v>
      </c>
      <c r="AR2988" s="1756" t="e">
        <f>0.5*(S18+2*AQ2988)*LN(1+2*AQ2988/S18)</f>
        <v>#VALUE!</v>
      </c>
    </row>
    <row r="2989" spans="42:44">
      <c r="AP2989" s="1756" t="e">
        <f>IF(OR(AR2989=S13,AR2989&gt;S13),AR2989,"")</f>
        <v>#VALUE!</v>
      </c>
      <c r="AQ2989" s="1759">
        <f t="shared" si="105"/>
        <v>2986</v>
      </c>
      <c r="AR2989" s="1756" t="e">
        <f>0.5*(S18+2*AQ2989)*LN(1+2*AQ2989/S18)</f>
        <v>#VALUE!</v>
      </c>
    </row>
    <row r="2990" spans="42:44">
      <c r="AP2990" s="1756" t="e">
        <f>IF(OR(AR2990=S13,AR2990&gt;S13),AR2990,"")</f>
        <v>#VALUE!</v>
      </c>
      <c r="AQ2990" s="1759">
        <f t="shared" si="105"/>
        <v>2987</v>
      </c>
      <c r="AR2990" s="1756" t="e">
        <f>0.5*(S18+2*AQ2990)*LN(1+2*AQ2990/S18)</f>
        <v>#VALUE!</v>
      </c>
    </row>
    <row r="2991" spans="42:44">
      <c r="AP2991" s="1756" t="e">
        <f>IF(OR(AR2991=S13,AR2991&gt;S13),AR2991,"")</f>
        <v>#VALUE!</v>
      </c>
      <c r="AQ2991" s="1759">
        <f t="shared" si="105"/>
        <v>2988</v>
      </c>
      <c r="AR2991" s="1756" t="e">
        <f>0.5*(S18+2*AQ2991)*LN(1+2*AQ2991/S18)</f>
        <v>#VALUE!</v>
      </c>
    </row>
    <row r="2992" spans="42:44">
      <c r="AP2992" s="1756" t="e">
        <f>IF(OR(AR2992=S13,AR2992&gt;S13),AR2992,"")</f>
        <v>#VALUE!</v>
      </c>
      <c r="AQ2992" s="1759">
        <f t="shared" si="105"/>
        <v>2989</v>
      </c>
      <c r="AR2992" s="1756" t="e">
        <f>0.5*(S18+2*AQ2992)*LN(1+2*AQ2992/S18)</f>
        <v>#VALUE!</v>
      </c>
    </row>
    <row r="2993" spans="42:44">
      <c r="AP2993" s="1756" t="e">
        <f>IF(OR(AR2993=S13,AR2993&gt;S13),AR2993,"")</f>
        <v>#VALUE!</v>
      </c>
      <c r="AQ2993" s="1759">
        <f t="shared" si="105"/>
        <v>2990</v>
      </c>
      <c r="AR2993" s="1756" t="e">
        <f>0.5*(S18+2*AQ2993)*LN(1+2*AQ2993/S18)</f>
        <v>#VALUE!</v>
      </c>
    </row>
    <row r="2994" spans="42:44">
      <c r="AP2994" s="1756" t="e">
        <f>IF(OR(AR2994=S13,AR2994&gt;S13),AR2994,"")</f>
        <v>#VALUE!</v>
      </c>
      <c r="AQ2994" s="1759">
        <f t="shared" si="105"/>
        <v>2991</v>
      </c>
      <c r="AR2994" s="1756" t="e">
        <f>0.5*(S18+2*AQ2994)*LN(1+2*AQ2994/S18)</f>
        <v>#VALUE!</v>
      </c>
    </row>
    <row r="2995" spans="42:44">
      <c r="AP2995" s="1756" t="e">
        <f>IF(OR(AR2995=S13,AR2995&gt;S13),AR2995,"")</f>
        <v>#VALUE!</v>
      </c>
      <c r="AQ2995" s="1759">
        <f t="shared" si="105"/>
        <v>2992</v>
      </c>
      <c r="AR2995" s="1756" t="e">
        <f>0.5*(S18+2*AQ2995)*LN(1+2*AQ2995/S18)</f>
        <v>#VALUE!</v>
      </c>
    </row>
    <row r="2996" spans="42:44">
      <c r="AP2996" s="1756" t="e">
        <f>IF(OR(AR2996=S13,AR2996&gt;S13),AR2996,"")</f>
        <v>#VALUE!</v>
      </c>
      <c r="AQ2996" s="1759">
        <f t="shared" si="105"/>
        <v>2993</v>
      </c>
      <c r="AR2996" s="1756" t="e">
        <f>0.5*(S18+2*AQ2996)*LN(1+2*AQ2996/S18)</f>
        <v>#VALUE!</v>
      </c>
    </row>
    <row r="2997" spans="42:44">
      <c r="AP2997" s="1756" t="e">
        <f>IF(OR(AR2997=S13,AR2997&gt;S13),AR2997,"")</f>
        <v>#VALUE!</v>
      </c>
      <c r="AQ2997" s="1759">
        <f t="shared" si="105"/>
        <v>2994</v>
      </c>
      <c r="AR2997" s="1756" t="e">
        <f>0.5*(S18+2*AQ2997)*LN(1+2*AQ2997/S18)</f>
        <v>#VALUE!</v>
      </c>
    </row>
    <row r="2998" spans="42:44">
      <c r="AP2998" s="1756" t="e">
        <f>IF(OR(AR2998=S13,AR2998&gt;S13),AR2998,"")</f>
        <v>#VALUE!</v>
      </c>
      <c r="AQ2998" s="1759">
        <f t="shared" si="105"/>
        <v>2995</v>
      </c>
      <c r="AR2998" s="1756" t="e">
        <f>0.5*(S18+2*AQ2998)*LN(1+2*AQ2998/S18)</f>
        <v>#VALUE!</v>
      </c>
    </row>
    <row r="2999" spans="42:44">
      <c r="AP2999" s="1756" t="e">
        <f>IF(OR(AR2999=S13,AR2999&gt;S13),AR2999,"")</f>
        <v>#VALUE!</v>
      </c>
      <c r="AQ2999" s="1759">
        <f t="shared" si="105"/>
        <v>2996</v>
      </c>
      <c r="AR2999" s="1756" t="e">
        <f>0.5*(S18+2*AQ2999)*LN(1+2*AQ2999/S18)</f>
        <v>#VALUE!</v>
      </c>
    </row>
    <row r="3000" spans="42:44">
      <c r="AP3000" s="1756" t="e">
        <f>IF(OR(AR3000=S13,AR3000&gt;S13),AR3000,"")</f>
        <v>#VALUE!</v>
      </c>
      <c r="AQ3000" s="1759">
        <f t="shared" si="105"/>
        <v>2997</v>
      </c>
      <c r="AR3000" s="1756" t="e">
        <f>0.5*(S18+2*AQ3000)*LN(1+2*AQ3000/S18)</f>
        <v>#VALUE!</v>
      </c>
    </row>
    <row r="3001" spans="42:44">
      <c r="AP3001" s="1756" t="e">
        <f>IF(OR(AR3001=S13,AR3001&gt;S13),AR3001,"")</f>
        <v>#VALUE!</v>
      </c>
      <c r="AQ3001" s="1759">
        <f t="shared" si="105"/>
        <v>2998</v>
      </c>
      <c r="AR3001" s="1756" t="e">
        <f>0.5*(S18+2*AQ3001)*LN(1+2*AQ3001/S18)</f>
        <v>#VALUE!</v>
      </c>
    </row>
    <row r="3002" spans="42:44">
      <c r="AP3002" s="1756" t="e">
        <f>IF(OR(AR3002=S13,AR3002&gt;S13),AR3002,"")</f>
        <v>#VALUE!</v>
      </c>
      <c r="AQ3002" s="1759">
        <f t="shared" si="105"/>
        <v>2999</v>
      </c>
      <c r="AR3002" s="1756" t="e">
        <f>0.5*(S18+2*AQ3002)*LN(1+2*AQ3002/S18)</f>
        <v>#VALUE!</v>
      </c>
    </row>
    <row r="3003" spans="42:44">
      <c r="AP3003" s="1756" t="e">
        <f>IF(OR(AR3003=S13,AR3003&gt;S13),AR3003,"")</f>
        <v>#VALUE!</v>
      </c>
      <c r="AQ3003" s="1759">
        <f t="shared" si="105"/>
        <v>3000</v>
      </c>
      <c r="AR3003" s="1756" t="e">
        <f>0.5*(S18+2*AQ3003)*LN(1+2*AQ3003/S18)</f>
        <v>#VALUE!</v>
      </c>
    </row>
    <row r="3004" spans="42:44">
      <c r="AP3004" s="1756" t="e">
        <f>IF(OR(AR3004=S13,AR3004&gt;S13),AR3004,"")</f>
        <v>#VALUE!</v>
      </c>
      <c r="AQ3004" s="1759">
        <f t="shared" si="105"/>
        <v>3001</v>
      </c>
      <c r="AR3004" s="1756" t="e">
        <f>0.5*(S18+2*AQ3004)*LN(1+2*AQ3004/S18)</f>
        <v>#VALUE!</v>
      </c>
    </row>
    <row r="3005" spans="42:44">
      <c r="AP3005" s="1756" t="e">
        <f>IF(OR(AR3005=S13,AR3005&gt;S13),AR3005,"")</f>
        <v>#VALUE!</v>
      </c>
      <c r="AQ3005" s="1759">
        <f t="shared" si="105"/>
        <v>3002</v>
      </c>
      <c r="AR3005" s="1756" t="e">
        <f>0.5*(S18+2*AQ3005)*LN(1+2*AQ3005/S18)</f>
        <v>#VALUE!</v>
      </c>
    </row>
    <row r="3006" spans="42:44">
      <c r="AP3006" s="1756" t="e">
        <f>IF(OR(AR3006=S13,AR3006&gt;S13),AR3006,"")</f>
        <v>#VALUE!</v>
      </c>
      <c r="AQ3006" s="1759">
        <f t="shared" si="105"/>
        <v>3003</v>
      </c>
      <c r="AR3006" s="1756" t="e">
        <f>0.5*(S18+2*AQ3006)*LN(1+2*AQ3006/S18)</f>
        <v>#VALUE!</v>
      </c>
    </row>
    <row r="3007" spans="42:44">
      <c r="AP3007" s="1756" t="e">
        <f>IF(OR(AR3007=S13,AR3007&gt;S13),AR3007,"")</f>
        <v>#VALUE!</v>
      </c>
      <c r="AQ3007" s="1759">
        <f t="shared" si="105"/>
        <v>3004</v>
      </c>
      <c r="AR3007" s="1756" t="e">
        <f>0.5*(S18+2*AQ3007)*LN(1+2*AQ3007/S18)</f>
        <v>#VALUE!</v>
      </c>
    </row>
    <row r="3008" spans="42:44">
      <c r="AP3008" s="1756" t="e">
        <f>IF(OR(AR3008=S13,AR3008&gt;S13),AR3008,"")</f>
        <v>#VALUE!</v>
      </c>
      <c r="AQ3008" s="1759">
        <f t="shared" si="105"/>
        <v>3005</v>
      </c>
      <c r="AR3008" s="1756" t="e">
        <f>0.5*(S18+2*AQ3008)*LN(1+2*AQ3008/S18)</f>
        <v>#VALUE!</v>
      </c>
    </row>
    <row r="3009" spans="42:44">
      <c r="AP3009" s="1756" t="e">
        <f>IF(OR(AR3009=S13,AR3009&gt;S13),AR3009,"")</f>
        <v>#VALUE!</v>
      </c>
      <c r="AQ3009" s="1759">
        <f t="shared" si="105"/>
        <v>3006</v>
      </c>
      <c r="AR3009" s="1756" t="e">
        <f>0.5*(S18+2*AQ3009)*LN(1+2*AQ3009/S18)</f>
        <v>#VALUE!</v>
      </c>
    </row>
    <row r="3010" spans="42:44">
      <c r="AP3010" s="1756" t="e">
        <f>IF(OR(AR3010=S13,AR3010&gt;S13),AR3010,"")</f>
        <v>#VALUE!</v>
      </c>
      <c r="AQ3010" s="1759">
        <f t="shared" si="105"/>
        <v>3007</v>
      </c>
      <c r="AR3010" s="1756" t="e">
        <f>0.5*(S18+2*AQ3010)*LN(1+2*AQ3010/S18)</f>
        <v>#VALUE!</v>
      </c>
    </row>
    <row r="3011" spans="42:44">
      <c r="AP3011" s="1756" t="e">
        <f>IF(OR(AR3011=S13,AR3011&gt;S13),AR3011,"")</f>
        <v>#VALUE!</v>
      </c>
      <c r="AQ3011" s="1759">
        <f t="shared" si="105"/>
        <v>3008</v>
      </c>
      <c r="AR3011" s="1756" t="e">
        <f>0.5*(S18+2*AQ3011)*LN(1+2*AQ3011/S18)</f>
        <v>#VALUE!</v>
      </c>
    </row>
    <row r="3012" spans="42:44">
      <c r="AP3012" s="1756" t="e">
        <f>IF(OR(AR3012=S13,AR3012&gt;S13),AR3012,"")</f>
        <v>#VALUE!</v>
      </c>
      <c r="AQ3012" s="1759">
        <f t="shared" si="105"/>
        <v>3009</v>
      </c>
      <c r="AR3012" s="1756" t="e">
        <f>0.5*(S18+2*AQ3012)*LN(1+2*AQ3012/S18)</f>
        <v>#VALUE!</v>
      </c>
    </row>
    <row r="3013" spans="42:44">
      <c r="AP3013" s="1756" t="e">
        <f>IF(OR(AR3013=S13,AR3013&gt;S13),AR3013,"")</f>
        <v>#VALUE!</v>
      </c>
      <c r="AQ3013" s="1759">
        <f t="shared" si="105"/>
        <v>3010</v>
      </c>
      <c r="AR3013" s="1756" t="e">
        <f>0.5*(S18+2*AQ3013)*LN(1+2*AQ3013/S18)</f>
        <v>#VALUE!</v>
      </c>
    </row>
    <row r="3014" spans="42:44">
      <c r="AP3014" s="1756" t="e">
        <f>IF(OR(AR3014=S13,AR3014&gt;S13),AR3014,"")</f>
        <v>#VALUE!</v>
      </c>
      <c r="AQ3014" s="1759">
        <f t="shared" ref="AQ3014:AQ3077" si="106">AQ3013+1</f>
        <v>3011</v>
      </c>
      <c r="AR3014" s="1756" t="e">
        <f>0.5*(S18+2*AQ3014)*LN(1+2*AQ3014/S18)</f>
        <v>#VALUE!</v>
      </c>
    </row>
    <row r="3015" spans="42:44">
      <c r="AP3015" s="1756" t="e">
        <f>IF(OR(AR3015=S13,AR3015&gt;S13),AR3015,"")</f>
        <v>#VALUE!</v>
      </c>
      <c r="AQ3015" s="1759">
        <f t="shared" si="106"/>
        <v>3012</v>
      </c>
      <c r="AR3015" s="1756" t="e">
        <f>0.5*(S18+2*AQ3015)*LN(1+2*AQ3015/S18)</f>
        <v>#VALUE!</v>
      </c>
    </row>
    <row r="3016" spans="42:44">
      <c r="AP3016" s="1756" t="e">
        <f>IF(OR(AR3016=S13,AR3016&gt;S13),AR3016,"")</f>
        <v>#VALUE!</v>
      </c>
      <c r="AQ3016" s="1759">
        <f t="shared" si="106"/>
        <v>3013</v>
      </c>
      <c r="AR3016" s="1756" t="e">
        <f>0.5*(S18+2*AQ3016)*LN(1+2*AQ3016/S18)</f>
        <v>#VALUE!</v>
      </c>
    </row>
    <row r="3017" spans="42:44">
      <c r="AP3017" s="1756" t="e">
        <f>IF(OR(AR3017=S13,AR3017&gt;S13),AR3017,"")</f>
        <v>#VALUE!</v>
      </c>
      <c r="AQ3017" s="1759">
        <f t="shared" si="106"/>
        <v>3014</v>
      </c>
      <c r="AR3017" s="1756" t="e">
        <f>0.5*(S18+2*AQ3017)*LN(1+2*AQ3017/S18)</f>
        <v>#VALUE!</v>
      </c>
    </row>
    <row r="3018" spans="42:44">
      <c r="AP3018" s="1756" t="e">
        <f>IF(OR(AR3018=S13,AR3018&gt;S13),AR3018,"")</f>
        <v>#VALUE!</v>
      </c>
      <c r="AQ3018" s="1759">
        <f t="shared" si="106"/>
        <v>3015</v>
      </c>
      <c r="AR3018" s="1756" t="e">
        <f>0.5*(S18+2*AQ3018)*LN(1+2*AQ3018/S18)</f>
        <v>#VALUE!</v>
      </c>
    </row>
    <row r="3019" spans="42:44">
      <c r="AP3019" s="1756" t="e">
        <f>IF(OR(AR3019=S13,AR3019&gt;S13),AR3019,"")</f>
        <v>#VALUE!</v>
      </c>
      <c r="AQ3019" s="1759">
        <f t="shared" si="106"/>
        <v>3016</v>
      </c>
      <c r="AR3019" s="1756" t="e">
        <f>0.5*(S18+2*AQ3019)*LN(1+2*AQ3019/S18)</f>
        <v>#VALUE!</v>
      </c>
    </row>
    <row r="3020" spans="42:44">
      <c r="AP3020" s="1756" t="e">
        <f>IF(OR(AR3020=S13,AR3020&gt;S13),AR3020,"")</f>
        <v>#VALUE!</v>
      </c>
      <c r="AQ3020" s="1759">
        <f t="shared" si="106"/>
        <v>3017</v>
      </c>
      <c r="AR3020" s="1756" t="e">
        <f>0.5*(S18+2*AQ3020)*LN(1+2*AQ3020/S18)</f>
        <v>#VALUE!</v>
      </c>
    </row>
    <row r="3021" spans="42:44">
      <c r="AP3021" s="1756" t="e">
        <f>IF(OR(AR3021=S13,AR3021&gt;S13),AR3021,"")</f>
        <v>#VALUE!</v>
      </c>
      <c r="AQ3021" s="1759">
        <f t="shared" si="106"/>
        <v>3018</v>
      </c>
      <c r="AR3021" s="1756" t="e">
        <f>0.5*(S18+2*AQ3021)*LN(1+2*AQ3021/S18)</f>
        <v>#VALUE!</v>
      </c>
    </row>
    <row r="3022" spans="42:44">
      <c r="AP3022" s="1756" t="e">
        <f>IF(OR(AR3022=S13,AR3022&gt;S13),AR3022,"")</f>
        <v>#VALUE!</v>
      </c>
      <c r="AQ3022" s="1759">
        <f t="shared" si="106"/>
        <v>3019</v>
      </c>
      <c r="AR3022" s="1756" t="e">
        <f>0.5*(S18+2*AQ3022)*LN(1+2*AQ3022/S18)</f>
        <v>#VALUE!</v>
      </c>
    </row>
    <row r="3023" spans="42:44">
      <c r="AP3023" s="1756" t="e">
        <f>IF(OR(AR3023=S13,AR3023&gt;S13),AR3023,"")</f>
        <v>#VALUE!</v>
      </c>
      <c r="AQ3023" s="1759">
        <f t="shared" si="106"/>
        <v>3020</v>
      </c>
      <c r="AR3023" s="1756" t="e">
        <f>0.5*(S18+2*AQ3023)*LN(1+2*AQ3023/S18)</f>
        <v>#VALUE!</v>
      </c>
    </row>
    <row r="3024" spans="42:44">
      <c r="AP3024" s="1756" t="e">
        <f>IF(OR(AR3024=S13,AR3024&gt;S13),AR3024,"")</f>
        <v>#VALUE!</v>
      </c>
      <c r="AQ3024" s="1759">
        <f t="shared" si="106"/>
        <v>3021</v>
      </c>
      <c r="AR3024" s="1756" t="e">
        <f>0.5*(S18+2*AQ3024)*LN(1+2*AQ3024/S18)</f>
        <v>#VALUE!</v>
      </c>
    </row>
    <row r="3025" spans="42:44">
      <c r="AP3025" s="1756" t="e">
        <f>IF(OR(AR3025=S13,AR3025&gt;S13),AR3025,"")</f>
        <v>#VALUE!</v>
      </c>
      <c r="AQ3025" s="1759">
        <f t="shared" si="106"/>
        <v>3022</v>
      </c>
      <c r="AR3025" s="1756" t="e">
        <f>0.5*(S18+2*AQ3025)*LN(1+2*AQ3025/S18)</f>
        <v>#VALUE!</v>
      </c>
    </row>
    <row r="3026" spans="42:44">
      <c r="AP3026" s="1756" t="e">
        <f>IF(OR(AR3026=S13,AR3026&gt;S13),AR3026,"")</f>
        <v>#VALUE!</v>
      </c>
      <c r="AQ3026" s="1759">
        <f t="shared" si="106"/>
        <v>3023</v>
      </c>
      <c r="AR3026" s="1756" t="e">
        <f>0.5*(S18+2*AQ3026)*LN(1+2*AQ3026/S18)</f>
        <v>#VALUE!</v>
      </c>
    </row>
    <row r="3027" spans="42:44">
      <c r="AP3027" s="1756" t="e">
        <f>IF(OR(AR3027=S13,AR3027&gt;S13),AR3027,"")</f>
        <v>#VALUE!</v>
      </c>
      <c r="AQ3027" s="1759">
        <f t="shared" si="106"/>
        <v>3024</v>
      </c>
      <c r="AR3027" s="1756" t="e">
        <f>0.5*(S18+2*AQ3027)*LN(1+2*AQ3027/S18)</f>
        <v>#VALUE!</v>
      </c>
    </row>
    <row r="3028" spans="42:44">
      <c r="AP3028" s="1756" t="e">
        <f>IF(OR(AR3028=S13,AR3028&gt;S13),AR3028,"")</f>
        <v>#VALUE!</v>
      </c>
      <c r="AQ3028" s="1759">
        <f t="shared" si="106"/>
        <v>3025</v>
      </c>
      <c r="AR3028" s="1756" t="e">
        <f>0.5*(S18+2*AQ3028)*LN(1+2*AQ3028/S18)</f>
        <v>#VALUE!</v>
      </c>
    </row>
    <row r="3029" spans="42:44">
      <c r="AP3029" s="1756" t="e">
        <f>IF(OR(AR3029=S13,AR3029&gt;S13),AR3029,"")</f>
        <v>#VALUE!</v>
      </c>
      <c r="AQ3029" s="1759">
        <f t="shared" si="106"/>
        <v>3026</v>
      </c>
      <c r="AR3029" s="1756" t="e">
        <f>0.5*(S18+2*AQ3029)*LN(1+2*AQ3029/S18)</f>
        <v>#VALUE!</v>
      </c>
    </row>
    <row r="3030" spans="42:44">
      <c r="AP3030" s="1756" t="e">
        <f>IF(OR(AR3030=S13,AR3030&gt;S13),AR3030,"")</f>
        <v>#VALUE!</v>
      </c>
      <c r="AQ3030" s="1759">
        <f t="shared" si="106"/>
        <v>3027</v>
      </c>
      <c r="AR3030" s="1756" t="e">
        <f>0.5*(S18+2*AQ3030)*LN(1+2*AQ3030/S18)</f>
        <v>#VALUE!</v>
      </c>
    </row>
    <row r="3031" spans="42:44">
      <c r="AP3031" s="1756" t="e">
        <f>IF(OR(AR3031=S13,AR3031&gt;S13),AR3031,"")</f>
        <v>#VALUE!</v>
      </c>
      <c r="AQ3031" s="1759">
        <f t="shared" si="106"/>
        <v>3028</v>
      </c>
      <c r="AR3031" s="1756" t="e">
        <f>0.5*(S18+2*AQ3031)*LN(1+2*AQ3031/S18)</f>
        <v>#VALUE!</v>
      </c>
    </row>
    <row r="3032" spans="42:44">
      <c r="AP3032" s="1756" t="e">
        <f>IF(OR(AR3032=S13,AR3032&gt;S13),AR3032,"")</f>
        <v>#VALUE!</v>
      </c>
      <c r="AQ3032" s="1759">
        <f t="shared" si="106"/>
        <v>3029</v>
      </c>
      <c r="AR3032" s="1756" t="e">
        <f>0.5*(S18+2*AQ3032)*LN(1+2*AQ3032/S18)</f>
        <v>#VALUE!</v>
      </c>
    </row>
    <row r="3033" spans="42:44">
      <c r="AP3033" s="1756" t="e">
        <f>IF(OR(AR3033=S13,AR3033&gt;S13),AR3033,"")</f>
        <v>#VALUE!</v>
      </c>
      <c r="AQ3033" s="1759">
        <f t="shared" si="106"/>
        <v>3030</v>
      </c>
      <c r="AR3033" s="1756" t="e">
        <f>0.5*(S18+2*AQ3033)*LN(1+2*AQ3033/S18)</f>
        <v>#VALUE!</v>
      </c>
    </row>
    <row r="3034" spans="42:44">
      <c r="AP3034" s="1756" t="e">
        <f>IF(OR(AR3034=S13,AR3034&gt;S13),AR3034,"")</f>
        <v>#VALUE!</v>
      </c>
      <c r="AQ3034" s="1759">
        <f t="shared" si="106"/>
        <v>3031</v>
      </c>
      <c r="AR3034" s="1756" t="e">
        <f>0.5*(S18+2*AQ3034)*LN(1+2*AQ3034/S18)</f>
        <v>#VALUE!</v>
      </c>
    </row>
    <row r="3035" spans="42:44">
      <c r="AP3035" s="1756" t="e">
        <f>IF(OR(AR3035=S13,AR3035&gt;S13),AR3035,"")</f>
        <v>#VALUE!</v>
      </c>
      <c r="AQ3035" s="1759">
        <f t="shared" si="106"/>
        <v>3032</v>
      </c>
      <c r="AR3035" s="1756" t="e">
        <f>0.5*(S18+2*AQ3035)*LN(1+2*AQ3035/S18)</f>
        <v>#VALUE!</v>
      </c>
    </row>
    <row r="3036" spans="42:44">
      <c r="AP3036" s="1756" t="e">
        <f>IF(OR(AR3036=S13,AR3036&gt;S13),AR3036,"")</f>
        <v>#VALUE!</v>
      </c>
      <c r="AQ3036" s="1759">
        <f t="shared" si="106"/>
        <v>3033</v>
      </c>
      <c r="AR3036" s="1756" t="e">
        <f>0.5*(S18+2*AQ3036)*LN(1+2*AQ3036/S18)</f>
        <v>#VALUE!</v>
      </c>
    </row>
    <row r="3037" spans="42:44">
      <c r="AP3037" s="1756" t="e">
        <f>IF(OR(AR3037=S13,AR3037&gt;S13),AR3037,"")</f>
        <v>#VALUE!</v>
      </c>
      <c r="AQ3037" s="1759">
        <f t="shared" si="106"/>
        <v>3034</v>
      </c>
      <c r="AR3037" s="1756" t="e">
        <f>0.5*(S18+2*AQ3037)*LN(1+2*AQ3037/S18)</f>
        <v>#VALUE!</v>
      </c>
    </row>
    <row r="3038" spans="42:44">
      <c r="AP3038" s="1756" t="e">
        <f>IF(OR(AR3038=S13,AR3038&gt;S13),AR3038,"")</f>
        <v>#VALUE!</v>
      </c>
      <c r="AQ3038" s="1759">
        <f t="shared" si="106"/>
        <v>3035</v>
      </c>
      <c r="AR3038" s="1756" t="e">
        <f>0.5*(S18+2*AQ3038)*LN(1+2*AQ3038/S18)</f>
        <v>#VALUE!</v>
      </c>
    </row>
    <row r="3039" spans="42:44">
      <c r="AP3039" s="1756" t="e">
        <f>IF(OR(AR3039=S13,AR3039&gt;S13),AR3039,"")</f>
        <v>#VALUE!</v>
      </c>
      <c r="AQ3039" s="1759">
        <f t="shared" si="106"/>
        <v>3036</v>
      </c>
      <c r="AR3039" s="1756" t="e">
        <f>0.5*(S18+2*AQ3039)*LN(1+2*AQ3039/S18)</f>
        <v>#VALUE!</v>
      </c>
    </row>
    <row r="3040" spans="42:44">
      <c r="AP3040" s="1756" t="e">
        <f>IF(OR(AR3040=S13,AR3040&gt;S13),AR3040,"")</f>
        <v>#VALUE!</v>
      </c>
      <c r="AQ3040" s="1759">
        <f t="shared" si="106"/>
        <v>3037</v>
      </c>
      <c r="AR3040" s="1756" t="e">
        <f>0.5*(S18+2*AQ3040)*LN(1+2*AQ3040/S18)</f>
        <v>#VALUE!</v>
      </c>
    </row>
    <row r="3041" spans="42:44">
      <c r="AP3041" s="1756" t="e">
        <f>IF(OR(AR3041=S13,AR3041&gt;S13),AR3041,"")</f>
        <v>#VALUE!</v>
      </c>
      <c r="AQ3041" s="1759">
        <f t="shared" si="106"/>
        <v>3038</v>
      </c>
      <c r="AR3041" s="1756" t="e">
        <f>0.5*(S18+2*AQ3041)*LN(1+2*AQ3041/S18)</f>
        <v>#VALUE!</v>
      </c>
    </row>
    <row r="3042" spans="42:44">
      <c r="AP3042" s="1756" t="e">
        <f>IF(OR(AR3042=S13,AR3042&gt;S13),AR3042,"")</f>
        <v>#VALUE!</v>
      </c>
      <c r="AQ3042" s="1759">
        <f t="shared" si="106"/>
        <v>3039</v>
      </c>
      <c r="AR3042" s="1756" t="e">
        <f>0.5*(S18+2*AQ3042)*LN(1+2*AQ3042/S18)</f>
        <v>#VALUE!</v>
      </c>
    </row>
    <row r="3043" spans="42:44">
      <c r="AP3043" s="1756" t="e">
        <f>IF(OR(AR3043=S13,AR3043&gt;S13),AR3043,"")</f>
        <v>#VALUE!</v>
      </c>
      <c r="AQ3043" s="1759">
        <f t="shared" si="106"/>
        <v>3040</v>
      </c>
      <c r="AR3043" s="1756" t="e">
        <f>0.5*(S18+2*AQ3043)*LN(1+2*AQ3043/S18)</f>
        <v>#VALUE!</v>
      </c>
    </row>
    <row r="3044" spans="42:44">
      <c r="AP3044" s="1756" t="e">
        <f>IF(OR(AR3044=S13,AR3044&gt;S13),AR3044,"")</f>
        <v>#VALUE!</v>
      </c>
      <c r="AQ3044" s="1759">
        <f t="shared" si="106"/>
        <v>3041</v>
      </c>
      <c r="AR3044" s="1756" t="e">
        <f>0.5*(S18+2*AQ3044)*LN(1+2*AQ3044/S18)</f>
        <v>#VALUE!</v>
      </c>
    </row>
    <row r="3045" spans="42:44">
      <c r="AP3045" s="1756" t="e">
        <f>IF(OR(AR3045=S13,AR3045&gt;S13),AR3045,"")</f>
        <v>#VALUE!</v>
      </c>
      <c r="AQ3045" s="1759">
        <f t="shared" si="106"/>
        <v>3042</v>
      </c>
      <c r="AR3045" s="1756" t="e">
        <f>0.5*(S18+2*AQ3045)*LN(1+2*AQ3045/S18)</f>
        <v>#VALUE!</v>
      </c>
    </row>
    <row r="3046" spans="42:44">
      <c r="AP3046" s="1756" t="e">
        <f>IF(OR(AR3046=S13,AR3046&gt;S13),AR3046,"")</f>
        <v>#VALUE!</v>
      </c>
      <c r="AQ3046" s="1759">
        <f t="shared" si="106"/>
        <v>3043</v>
      </c>
      <c r="AR3046" s="1756" t="e">
        <f>0.5*(S18+2*AQ3046)*LN(1+2*AQ3046/S18)</f>
        <v>#VALUE!</v>
      </c>
    </row>
    <row r="3047" spans="42:44">
      <c r="AP3047" s="1756" t="e">
        <f>IF(OR(AR3047=S13,AR3047&gt;S13),AR3047,"")</f>
        <v>#VALUE!</v>
      </c>
      <c r="AQ3047" s="1759">
        <f t="shared" si="106"/>
        <v>3044</v>
      </c>
      <c r="AR3047" s="1756" t="e">
        <f>0.5*(S18+2*AQ3047)*LN(1+2*AQ3047/S18)</f>
        <v>#VALUE!</v>
      </c>
    </row>
    <row r="3048" spans="42:44">
      <c r="AP3048" s="1756" t="e">
        <f>IF(OR(AR3048=S13,AR3048&gt;S13),AR3048,"")</f>
        <v>#VALUE!</v>
      </c>
      <c r="AQ3048" s="1759">
        <f t="shared" si="106"/>
        <v>3045</v>
      </c>
      <c r="AR3048" s="1756" t="e">
        <f>0.5*(S18+2*AQ3048)*LN(1+2*AQ3048/S18)</f>
        <v>#VALUE!</v>
      </c>
    </row>
    <row r="3049" spans="42:44">
      <c r="AP3049" s="1756" t="e">
        <f>IF(OR(AR3049=S13,AR3049&gt;S13),AR3049,"")</f>
        <v>#VALUE!</v>
      </c>
      <c r="AQ3049" s="1759">
        <f t="shared" si="106"/>
        <v>3046</v>
      </c>
      <c r="AR3049" s="1756" t="e">
        <f>0.5*(S18+2*AQ3049)*LN(1+2*AQ3049/S18)</f>
        <v>#VALUE!</v>
      </c>
    </row>
    <row r="3050" spans="42:44">
      <c r="AP3050" s="1756" t="e">
        <f>IF(OR(AR3050=S13,AR3050&gt;S13),AR3050,"")</f>
        <v>#VALUE!</v>
      </c>
      <c r="AQ3050" s="1759">
        <f t="shared" si="106"/>
        <v>3047</v>
      </c>
      <c r="AR3050" s="1756" t="e">
        <f>0.5*(S18+2*AQ3050)*LN(1+2*AQ3050/S18)</f>
        <v>#VALUE!</v>
      </c>
    </row>
    <row r="3051" spans="42:44">
      <c r="AP3051" s="1756" t="e">
        <f>IF(OR(AR3051=S13,AR3051&gt;S13),AR3051,"")</f>
        <v>#VALUE!</v>
      </c>
      <c r="AQ3051" s="1759">
        <f t="shared" si="106"/>
        <v>3048</v>
      </c>
      <c r="AR3051" s="1756" t="e">
        <f>0.5*(S18+2*AQ3051)*LN(1+2*AQ3051/S18)</f>
        <v>#VALUE!</v>
      </c>
    </row>
    <row r="3052" spans="42:44">
      <c r="AP3052" s="1756" t="e">
        <f>IF(OR(AR3052=S13,AR3052&gt;S13),AR3052,"")</f>
        <v>#VALUE!</v>
      </c>
      <c r="AQ3052" s="1759">
        <f t="shared" si="106"/>
        <v>3049</v>
      </c>
      <c r="AR3052" s="1756" t="e">
        <f>0.5*(S18+2*AQ3052)*LN(1+2*AQ3052/S18)</f>
        <v>#VALUE!</v>
      </c>
    </row>
    <row r="3053" spans="42:44">
      <c r="AP3053" s="1756" t="e">
        <f>IF(OR(AR3053=S13,AR3053&gt;S13),AR3053,"")</f>
        <v>#VALUE!</v>
      </c>
      <c r="AQ3053" s="1759">
        <f t="shared" si="106"/>
        <v>3050</v>
      </c>
      <c r="AR3053" s="1756" t="e">
        <f>0.5*(S18+2*AQ3053)*LN(1+2*AQ3053/S18)</f>
        <v>#VALUE!</v>
      </c>
    </row>
    <row r="3054" spans="42:44">
      <c r="AP3054" s="1756" t="e">
        <f>IF(OR(AR3054=S13,AR3054&gt;S13),AR3054,"")</f>
        <v>#VALUE!</v>
      </c>
      <c r="AQ3054" s="1759">
        <f t="shared" si="106"/>
        <v>3051</v>
      </c>
      <c r="AR3054" s="1756" t="e">
        <f>0.5*(S18+2*AQ3054)*LN(1+2*AQ3054/S18)</f>
        <v>#VALUE!</v>
      </c>
    </row>
    <row r="3055" spans="42:44">
      <c r="AP3055" s="1756" t="e">
        <f>IF(OR(AR3055=S13,AR3055&gt;S13),AR3055,"")</f>
        <v>#VALUE!</v>
      </c>
      <c r="AQ3055" s="1759">
        <f t="shared" si="106"/>
        <v>3052</v>
      </c>
      <c r="AR3055" s="1756" t="e">
        <f>0.5*(S18+2*AQ3055)*LN(1+2*AQ3055/S18)</f>
        <v>#VALUE!</v>
      </c>
    </row>
    <row r="3056" spans="42:44">
      <c r="AP3056" s="1756" t="e">
        <f>IF(OR(AR3056=S13,AR3056&gt;S13),AR3056,"")</f>
        <v>#VALUE!</v>
      </c>
      <c r="AQ3056" s="1759">
        <f t="shared" si="106"/>
        <v>3053</v>
      </c>
      <c r="AR3056" s="1756" t="e">
        <f>0.5*(S18+2*AQ3056)*LN(1+2*AQ3056/S18)</f>
        <v>#VALUE!</v>
      </c>
    </row>
    <row r="3057" spans="42:44">
      <c r="AP3057" s="1756" t="e">
        <f>IF(OR(AR3057=S13,AR3057&gt;S13),AR3057,"")</f>
        <v>#VALUE!</v>
      </c>
      <c r="AQ3057" s="1759">
        <f t="shared" si="106"/>
        <v>3054</v>
      </c>
      <c r="AR3057" s="1756" t="e">
        <f>0.5*(S18+2*AQ3057)*LN(1+2*AQ3057/S18)</f>
        <v>#VALUE!</v>
      </c>
    </row>
    <row r="3058" spans="42:44">
      <c r="AP3058" s="1756" t="e">
        <f>IF(OR(AR3058=S13,AR3058&gt;S13),AR3058,"")</f>
        <v>#VALUE!</v>
      </c>
      <c r="AQ3058" s="1759">
        <f t="shared" si="106"/>
        <v>3055</v>
      </c>
      <c r="AR3058" s="1756" t="e">
        <f>0.5*(S18+2*AQ3058)*LN(1+2*AQ3058/S18)</f>
        <v>#VALUE!</v>
      </c>
    </row>
    <row r="3059" spans="42:44">
      <c r="AP3059" s="1756" t="e">
        <f>IF(OR(AR3059=S13,AR3059&gt;S13),AR3059,"")</f>
        <v>#VALUE!</v>
      </c>
      <c r="AQ3059" s="1759">
        <f t="shared" si="106"/>
        <v>3056</v>
      </c>
      <c r="AR3059" s="1756" t="e">
        <f>0.5*(S18+2*AQ3059)*LN(1+2*AQ3059/S18)</f>
        <v>#VALUE!</v>
      </c>
    </row>
    <row r="3060" spans="42:44">
      <c r="AP3060" s="1756" t="e">
        <f>IF(OR(AR3060=S13,AR3060&gt;S13),AR3060,"")</f>
        <v>#VALUE!</v>
      </c>
      <c r="AQ3060" s="1759">
        <f t="shared" si="106"/>
        <v>3057</v>
      </c>
      <c r="AR3060" s="1756" t="e">
        <f>0.5*(S18+2*AQ3060)*LN(1+2*AQ3060/S18)</f>
        <v>#VALUE!</v>
      </c>
    </row>
    <row r="3061" spans="42:44">
      <c r="AP3061" s="1756" t="e">
        <f>IF(OR(AR3061=S13,AR3061&gt;S13),AR3061,"")</f>
        <v>#VALUE!</v>
      </c>
      <c r="AQ3061" s="1759">
        <f t="shared" si="106"/>
        <v>3058</v>
      </c>
      <c r="AR3061" s="1756" t="e">
        <f>0.5*(S18+2*AQ3061)*LN(1+2*AQ3061/S18)</f>
        <v>#VALUE!</v>
      </c>
    </row>
    <row r="3062" spans="42:44">
      <c r="AP3062" s="1756" t="e">
        <f>IF(OR(AR3062=S13,AR3062&gt;S13),AR3062,"")</f>
        <v>#VALUE!</v>
      </c>
      <c r="AQ3062" s="1759">
        <f t="shared" si="106"/>
        <v>3059</v>
      </c>
      <c r="AR3062" s="1756" t="e">
        <f>0.5*(S18+2*AQ3062)*LN(1+2*AQ3062/S18)</f>
        <v>#VALUE!</v>
      </c>
    </row>
    <row r="3063" spans="42:44">
      <c r="AP3063" s="1756" t="e">
        <f>IF(OR(AR3063=S13,AR3063&gt;S13),AR3063,"")</f>
        <v>#VALUE!</v>
      </c>
      <c r="AQ3063" s="1759">
        <f t="shared" si="106"/>
        <v>3060</v>
      </c>
      <c r="AR3063" s="1756" t="e">
        <f>0.5*(S18+2*AQ3063)*LN(1+2*AQ3063/S18)</f>
        <v>#VALUE!</v>
      </c>
    </row>
    <row r="3064" spans="42:44">
      <c r="AP3064" s="1756" t="e">
        <f>IF(OR(AR3064=S13,AR3064&gt;S13),AR3064,"")</f>
        <v>#VALUE!</v>
      </c>
      <c r="AQ3064" s="1759">
        <f t="shared" si="106"/>
        <v>3061</v>
      </c>
      <c r="AR3064" s="1756" t="e">
        <f>0.5*(S18+2*AQ3064)*LN(1+2*AQ3064/S18)</f>
        <v>#VALUE!</v>
      </c>
    </row>
    <row r="3065" spans="42:44">
      <c r="AP3065" s="1756" t="e">
        <f>IF(OR(AR3065=S13,AR3065&gt;S13),AR3065,"")</f>
        <v>#VALUE!</v>
      </c>
      <c r="AQ3065" s="1759">
        <f t="shared" si="106"/>
        <v>3062</v>
      </c>
      <c r="AR3065" s="1756" t="e">
        <f>0.5*(S18+2*AQ3065)*LN(1+2*AQ3065/S18)</f>
        <v>#VALUE!</v>
      </c>
    </row>
    <row r="3066" spans="42:44">
      <c r="AP3066" s="1756" t="e">
        <f>IF(OR(AR3066=S13,AR3066&gt;S13),AR3066,"")</f>
        <v>#VALUE!</v>
      </c>
      <c r="AQ3066" s="1759">
        <f t="shared" si="106"/>
        <v>3063</v>
      </c>
      <c r="AR3066" s="1756" t="e">
        <f>0.5*(S18+2*AQ3066)*LN(1+2*AQ3066/S18)</f>
        <v>#VALUE!</v>
      </c>
    </row>
    <row r="3067" spans="42:44">
      <c r="AP3067" s="1756" t="e">
        <f>IF(OR(AR3067=S13,AR3067&gt;S13),AR3067,"")</f>
        <v>#VALUE!</v>
      </c>
      <c r="AQ3067" s="1759">
        <f t="shared" si="106"/>
        <v>3064</v>
      </c>
      <c r="AR3067" s="1756" t="e">
        <f>0.5*(S18+2*AQ3067)*LN(1+2*AQ3067/S18)</f>
        <v>#VALUE!</v>
      </c>
    </row>
    <row r="3068" spans="42:44">
      <c r="AP3068" s="1756" t="e">
        <f>IF(OR(AR3068=S13,AR3068&gt;S13),AR3068,"")</f>
        <v>#VALUE!</v>
      </c>
      <c r="AQ3068" s="1759">
        <f t="shared" si="106"/>
        <v>3065</v>
      </c>
      <c r="AR3068" s="1756" t="e">
        <f>0.5*(S18+2*AQ3068)*LN(1+2*AQ3068/S18)</f>
        <v>#VALUE!</v>
      </c>
    </row>
    <row r="3069" spans="42:44">
      <c r="AP3069" s="1756" t="e">
        <f>IF(OR(AR3069=S13,AR3069&gt;S13),AR3069,"")</f>
        <v>#VALUE!</v>
      </c>
      <c r="AQ3069" s="1759">
        <f t="shared" si="106"/>
        <v>3066</v>
      </c>
      <c r="AR3069" s="1756" t="e">
        <f>0.5*(S18+2*AQ3069)*LN(1+2*AQ3069/S18)</f>
        <v>#VALUE!</v>
      </c>
    </row>
    <row r="3070" spans="42:44">
      <c r="AP3070" s="1756" t="e">
        <f>IF(OR(AR3070=S13,AR3070&gt;S13),AR3070,"")</f>
        <v>#VALUE!</v>
      </c>
      <c r="AQ3070" s="1759">
        <f t="shared" si="106"/>
        <v>3067</v>
      </c>
      <c r="AR3070" s="1756" t="e">
        <f>0.5*(S18+2*AQ3070)*LN(1+2*AQ3070/S18)</f>
        <v>#VALUE!</v>
      </c>
    </row>
    <row r="3071" spans="42:44">
      <c r="AP3071" s="1756" t="e">
        <f>IF(OR(AR3071=S13,AR3071&gt;S13),AR3071,"")</f>
        <v>#VALUE!</v>
      </c>
      <c r="AQ3071" s="1759">
        <f t="shared" si="106"/>
        <v>3068</v>
      </c>
      <c r="AR3071" s="1756" t="e">
        <f>0.5*(S18+2*AQ3071)*LN(1+2*AQ3071/S18)</f>
        <v>#VALUE!</v>
      </c>
    </row>
    <row r="3072" spans="42:44">
      <c r="AP3072" s="1756" t="e">
        <f>IF(OR(AR3072=S13,AR3072&gt;S13),AR3072,"")</f>
        <v>#VALUE!</v>
      </c>
      <c r="AQ3072" s="1759">
        <f t="shared" si="106"/>
        <v>3069</v>
      </c>
      <c r="AR3072" s="1756" t="e">
        <f>0.5*(S18+2*AQ3072)*LN(1+2*AQ3072/S18)</f>
        <v>#VALUE!</v>
      </c>
    </row>
    <row r="3073" spans="42:44">
      <c r="AP3073" s="1756" t="e">
        <f>IF(OR(AR3073=S13,AR3073&gt;S13),AR3073,"")</f>
        <v>#VALUE!</v>
      </c>
      <c r="AQ3073" s="1759">
        <f t="shared" si="106"/>
        <v>3070</v>
      </c>
      <c r="AR3073" s="1756" t="e">
        <f>0.5*(S18+2*AQ3073)*LN(1+2*AQ3073/S18)</f>
        <v>#VALUE!</v>
      </c>
    </row>
    <row r="3074" spans="42:44">
      <c r="AP3074" s="1756" t="e">
        <f>IF(OR(AR3074=S13,AR3074&gt;S13),AR3074,"")</f>
        <v>#VALUE!</v>
      </c>
      <c r="AQ3074" s="1759">
        <f t="shared" si="106"/>
        <v>3071</v>
      </c>
      <c r="AR3074" s="1756" t="e">
        <f>0.5*(S18+2*AQ3074)*LN(1+2*AQ3074/S18)</f>
        <v>#VALUE!</v>
      </c>
    </row>
    <row r="3075" spans="42:44">
      <c r="AP3075" s="1756" t="e">
        <f>IF(OR(AR3075=S13,AR3075&gt;S13),AR3075,"")</f>
        <v>#VALUE!</v>
      </c>
      <c r="AQ3075" s="1759">
        <f t="shared" si="106"/>
        <v>3072</v>
      </c>
      <c r="AR3075" s="1756" t="e">
        <f>0.5*(S18+2*AQ3075)*LN(1+2*AQ3075/S18)</f>
        <v>#VALUE!</v>
      </c>
    </row>
    <row r="3076" spans="42:44">
      <c r="AP3076" s="1756" t="e">
        <f>IF(OR(AR3076=S13,AR3076&gt;S13),AR3076,"")</f>
        <v>#VALUE!</v>
      </c>
      <c r="AQ3076" s="1759">
        <f t="shared" si="106"/>
        <v>3073</v>
      </c>
      <c r="AR3076" s="1756" t="e">
        <f>0.5*(S18+2*AQ3076)*LN(1+2*AQ3076/S18)</f>
        <v>#VALUE!</v>
      </c>
    </row>
    <row r="3077" spans="42:44">
      <c r="AP3077" s="1756" t="e">
        <f>IF(OR(AR3077=S13,AR3077&gt;S13),AR3077,"")</f>
        <v>#VALUE!</v>
      </c>
      <c r="AQ3077" s="1759">
        <f t="shared" si="106"/>
        <v>3074</v>
      </c>
      <c r="AR3077" s="1756" t="e">
        <f>0.5*(S18+2*AQ3077)*LN(1+2*AQ3077/S18)</f>
        <v>#VALUE!</v>
      </c>
    </row>
    <row r="3078" spans="42:44">
      <c r="AP3078" s="1756" t="e">
        <f>IF(OR(AR3078=S13,AR3078&gt;S13),AR3078,"")</f>
        <v>#VALUE!</v>
      </c>
      <c r="AQ3078" s="1759">
        <f t="shared" ref="AQ3078:AQ3141" si="107">AQ3077+1</f>
        <v>3075</v>
      </c>
      <c r="AR3078" s="1756" t="e">
        <f>0.5*(S18+2*AQ3078)*LN(1+2*AQ3078/S18)</f>
        <v>#VALUE!</v>
      </c>
    </row>
    <row r="3079" spans="42:44">
      <c r="AP3079" s="1756" t="e">
        <f>IF(OR(AR3079=S13,AR3079&gt;S13),AR3079,"")</f>
        <v>#VALUE!</v>
      </c>
      <c r="AQ3079" s="1759">
        <f t="shared" si="107"/>
        <v>3076</v>
      </c>
      <c r="AR3079" s="1756" t="e">
        <f>0.5*(S18+2*AQ3079)*LN(1+2*AQ3079/S18)</f>
        <v>#VALUE!</v>
      </c>
    </row>
    <row r="3080" spans="42:44">
      <c r="AP3080" s="1756" t="e">
        <f>IF(OR(AR3080=S13,AR3080&gt;S13),AR3080,"")</f>
        <v>#VALUE!</v>
      </c>
      <c r="AQ3080" s="1759">
        <f t="shared" si="107"/>
        <v>3077</v>
      </c>
      <c r="AR3080" s="1756" t="e">
        <f>0.5*(S18+2*AQ3080)*LN(1+2*AQ3080/S18)</f>
        <v>#VALUE!</v>
      </c>
    </row>
    <row r="3081" spans="42:44">
      <c r="AP3081" s="1756" t="e">
        <f>IF(OR(AR3081=S13,AR3081&gt;S13),AR3081,"")</f>
        <v>#VALUE!</v>
      </c>
      <c r="AQ3081" s="1759">
        <f t="shared" si="107"/>
        <v>3078</v>
      </c>
      <c r="AR3081" s="1756" t="e">
        <f>0.5*(S18+2*AQ3081)*LN(1+2*AQ3081/S18)</f>
        <v>#VALUE!</v>
      </c>
    </row>
    <row r="3082" spans="42:44">
      <c r="AP3082" s="1756" t="e">
        <f>IF(OR(AR3082=S13,AR3082&gt;S13),AR3082,"")</f>
        <v>#VALUE!</v>
      </c>
      <c r="AQ3082" s="1759">
        <f t="shared" si="107"/>
        <v>3079</v>
      </c>
      <c r="AR3082" s="1756" t="e">
        <f>0.5*(S18+2*AQ3082)*LN(1+2*AQ3082/S18)</f>
        <v>#VALUE!</v>
      </c>
    </row>
    <row r="3083" spans="42:44">
      <c r="AP3083" s="1756" t="e">
        <f>IF(OR(AR3083=S13,AR3083&gt;S13),AR3083,"")</f>
        <v>#VALUE!</v>
      </c>
      <c r="AQ3083" s="1759">
        <f t="shared" si="107"/>
        <v>3080</v>
      </c>
      <c r="AR3083" s="1756" t="e">
        <f>0.5*(S18+2*AQ3083)*LN(1+2*AQ3083/S18)</f>
        <v>#VALUE!</v>
      </c>
    </row>
    <row r="3084" spans="42:44">
      <c r="AP3084" s="1756" t="e">
        <f>IF(OR(AR3084=S13,AR3084&gt;S13),AR3084,"")</f>
        <v>#VALUE!</v>
      </c>
      <c r="AQ3084" s="1759">
        <f t="shared" si="107"/>
        <v>3081</v>
      </c>
      <c r="AR3084" s="1756" t="e">
        <f>0.5*(S18+2*AQ3084)*LN(1+2*AQ3084/S18)</f>
        <v>#VALUE!</v>
      </c>
    </row>
    <row r="3085" spans="42:44">
      <c r="AP3085" s="1756" t="e">
        <f>IF(OR(AR3085=S13,AR3085&gt;S13),AR3085,"")</f>
        <v>#VALUE!</v>
      </c>
      <c r="AQ3085" s="1759">
        <f t="shared" si="107"/>
        <v>3082</v>
      </c>
      <c r="AR3085" s="1756" t="e">
        <f>0.5*(S18+2*AQ3085)*LN(1+2*AQ3085/S18)</f>
        <v>#VALUE!</v>
      </c>
    </row>
    <row r="3086" spans="42:44">
      <c r="AP3086" s="1756" t="e">
        <f>IF(OR(AR3086=S13,AR3086&gt;S13),AR3086,"")</f>
        <v>#VALUE!</v>
      </c>
      <c r="AQ3086" s="1759">
        <f t="shared" si="107"/>
        <v>3083</v>
      </c>
      <c r="AR3086" s="1756" t="e">
        <f>0.5*(S18+2*AQ3086)*LN(1+2*AQ3086/S18)</f>
        <v>#VALUE!</v>
      </c>
    </row>
    <row r="3087" spans="42:44">
      <c r="AP3087" s="1756" t="e">
        <f>IF(OR(AR3087=S13,AR3087&gt;S13),AR3087,"")</f>
        <v>#VALUE!</v>
      </c>
      <c r="AQ3087" s="1759">
        <f t="shared" si="107"/>
        <v>3084</v>
      </c>
      <c r="AR3087" s="1756" t="e">
        <f>0.5*(S18+2*AQ3087)*LN(1+2*AQ3087/S18)</f>
        <v>#VALUE!</v>
      </c>
    </row>
    <row r="3088" spans="42:44">
      <c r="AP3088" s="1756" t="e">
        <f>IF(OR(AR3088=S13,AR3088&gt;S13),AR3088,"")</f>
        <v>#VALUE!</v>
      </c>
      <c r="AQ3088" s="1759">
        <f t="shared" si="107"/>
        <v>3085</v>
      </c>
      <c r="AR3088" s="1756" t="e">
        <f>0.5*(S18+2*AQ3088)*LN(1+2*AQ3088/S18)</f>
        <v>#VALUE!</v>
      </c>
    </row>
    <row r="3089" spans="42:44">
      <c r="AP3089" s="1756" t="e">
        <f>IF(OR(AR3089=S13,AR3089&gt;S13),AR3089,"")</f>
        <v>#VALUE!</v>
      </c>
      <c r="AQ3089" s="1759">
        <f t="shared" si="107"/>
        <v>3086</v>
      </c>
      <c r="AR3089" s="1756" t="e">
        <f>0.5*(S18+2*AQ3089)*LN(1+2*AQ3089/S18)</f>
        <v>#VALUE!</v>
      </c>
    </row>
    <row r="3090" spans="42:44">
      <c r="AP3090" s="1756" t="e">
        <f>IF(OR(AR3090=S13,AR3090&gt;S13),AR3090,"")</f>
        <v>#VALUE!</v>
      </c>
      <c r="AQ3090" s="1759">
        <f t="shared" si="107"/>
        <v>3087</v>
      </c>
      <c r="AR3090" s="1756" t="e">
        <f>0.5*(S18+2*AQ3090)*LN(1+2*AQ3090/S18)</f>
        <v>#VALUE!</v>
      </c>
    </row>
    <row r="3091" spans="42:44">
      <c r="AP3091" s="1756" t="e">
        <f>IF(OR(AR3091=S13,AR3091&gt;S13),AR3091,"")</f>
        <v>#VALUE!</v>
      </c>
      <c r="AQ3091" s="1759">
        <f t="shared" si="107"/>
        <v>3088</v>
      </c>
      <c r="AR3091" s="1756" t="e">
        <f>0.5*(S18+2*AQ3091)*LN(1+2*AQ3091/S18)</f>
        <v>#VALUE!</v>
      </c>
    </row>
    <row r="3092" spans="42:44">
      <c r="AP3092" s="1756" t="e">
        <f>IF(OR(AR3092=S13,AR3092&gt;S13),AR3092,"")</f>
        <v>#VALUE!</v>
      </c>
      <c r="AQ3092" s="1759">
        <f t="shared" si="107"/>
        <v>3089</v>
      </c>
      <c r="AR3092" s="1756" t="e">
        <f>0.5*(S18+2*AQ3092)*LN(1+2*AQ3092/S18)</f>
        <v>#VALUE!</v>
      </c>
    </row>
    <row r="3093" spans="42:44">
      <c r="AP3093" s="1756" t="e">
        <f>IF(OR(AR3093=S13,AR3093&gt;S13),AR3093,"")</f>
        <v>#VALUE!</v>
      </c>
      <c r="AQ3093" s="1759">
        <f t="shared" si="107"/>
        <v>3090</v>
      </c>
      <c r="AR3093" s="1756" t="e">
        <f>0.5*(S18+2*AQ3093)*LN(1+2*AQ3093/S18)</f>
        <v>#VALUE!</v>
      </c>
    </row>
    <row r="3094" spans="42:44">
      <c r="AP3094" s="1756" t="e">
        <f>IF(OR(AR3094=S13,AR3094&gt;S13),AR3094,"")</f>
        <v>#VALUE!</v>
      </c>
      <c r="AQ3094" s="1759">
        <f t="shared" si="107"/>
        <v>3091</v>
      </c>
      <c r="AR3094" s="1756" t="e">
        <f>0.5*(S18+2*AQ3094)*LN(1+2*AQ3094/S18)</f>
        <v>#VALUE!</v>
      </c>
    </row>
    <row r="3095" spans="42:44">
      <c r="AP3095" s="1756" t="e">
        <f>IF(OR(AR3095=S13,AR3095&gt;S13),AR3095,"")</f>
        <v>#VALUE!</v>
      </c>
      <c r="AQ3095" s="1759">
        <f t="shared" si="107"/>
        <v>3092</v>
      </c>
      <c r="AR3095" s="1756" t="e">
        <f>0.5*(S18+2*AQ3095)*LN(1+2*AQ3095/S18)</f>
        <v>#VALUE!</v>
      </c>
    </row>
    <row r="3096" spans="42:44">
      <c r="AP3096" s="1756" t="e">
        <f>IF(OR(AR3096=S13,AR3096&gt;S13),AR3096,"")</f>
        <v>#VALUE!</v>
      </c>
      <c r="AQ3096" s="1759">
        <f t="shared" si="107"/>
        <v>3093</v>
      </c>
      <c r="AR3096" s="1756" t="e">
        <f>0.5*(S18+2*AQ3096)*LN(1+2*AQ3096/S18)</f>
        <v>#VALUE!</v>
      </c>
    </row>
    <row r="3097" spans="42:44">
      <c r="AP3097" s="1756" t="e">
        <f>IF(OR(AR3097=S13,AR3097&gt;S13),AR3097,"")</f>
        <v>#VALUE!</v>
      </c>
      <c r="AQ3097" s="1759">
        <f t="shared" si="107"/>
        <v>3094</v>
      </c>
      <c r="AR3097" s="1756" t="e">
        <f>0.5*(S18+2*AQ3097)*LN(1+2*AQ3097/S18)</f>
        <v>#VALUE!</v>
      </c>
    </row>
    <row r="3098" spans="42:44">
      <c r="AP3098" s="1756" t="e">
        <f>IF(OR(AR3098=S13,AR3098&gt;S13),AR3098,"")</f>
        <v>#VALUE!</v>
      </c>
      <c r="AQ3098" s="1759">
        <f t="shared" si="107"/>
        <v>3095</v>
      </c>
      <c r="AR3098" s="1756" t="e">
        <f>0.5*(S18+2*AQ3098)*LN(1+2*AQ3098/S18)</f>
        <v>#VALUE!</v>
      </c>
    </row>
    <row r="3099" spans="42:44">
      <c r="AP3099" s="1756" t="e">
        <f>IF(OR(AR3099=S13,AR3099&gt;S13),AR3099,"")</f>
        <v>#VALUE!</v>
      </c>
      <c r="AQ3099" s="1759">
        <f t="shared" si="107"/>
        <v>3096</v>
      </c>
      <c r="AR3099" s="1756" t="e">
        <f>0.5*(S18+2*AQ3099)*LN(1+2*AQ3099/S18)</f>
        <v>#VALUE!</v>
      </c>
    </row>
    <row r="3100" spans="42:44">
      <c r="AP3100" s="1756" t="e">
        <f>IF(OR(AR3100=S13,AR3100&gt;S13),AR3100,"")</f>
        <v>#VALUE!</v>
      </c>
      <c r="AQ3100" s="1759">
        <f t="shared" si="107"/>
        <v>3097</v>
      </c>
      <c r="AR3100" s="1756" t="e">
        <f>0.5*(S18+2*AQ3100)*LN(1+2*AQ3100/S18)</f>
        <v>#VALUE!</v>
      </c>
    </row>
    <row r="3101" spans="42:44">
      <c r="AP3101" s="1756" t="e">
        <f>IF(OR(AR3101=S13,AR3101&gt;S13),AR3101,"")</f>
        <v>#VALUE!</v>
      </c>
      <c r="AQ3101" s="1759">
        <f t="shared" si="107"/>
        <v>3098</v>
      </c>
      <c r="AR3101" s="1756" t="e">
        <f>0.5*(S18+2*AQ3101)*LN(1+2*AQ3101/S18)</f>
        <v>#VALUE!</v>
      </c>
    </row>
    <row r="3102" spans="42:44">
      <c r="AP3102" s="1756" t="e">
        <f>IF(OR(AR3102=S13,AR3102&gt;S13),AR3102,"")</f>
        <v>#VALUE!</v>
      </c>
      <c r="AQ3102" s="1759">
        <f t="shared" si="107"/>
        <v>3099</v>
      </c>
      <c r="AR3102" s="1756" t="e">
        <f>0.5*(S18+2*AQ3102)*LN(1+2*AQ3102/S18)</f>
        <v>#VALUE!</v>
      </c>
    </row>
    <row r="3103" spans="42:44">
      <c r="AP3103" s="1756" t="e">
        <f>IF(OR(AR3103=S13,AR3103&gt;S13),AR3103,"")</f>
        <v>#VALUE!</v>
      </c>
      <c r="AQ3103" s="1759">
        <f t="shared" si="107"/>
        <v>3100</v>
      </c>
      <c r="AR3103" s="1756" t="e">
        <f>0.5*(S18+2*AQ3103)*LN(1+2*AQ3103/S18)</f>
        <v>#VALUE!</v>
      </c>
    </row>
    <row r="3104" spans="42:44">
      <c r="AP3104" s="1756" t="e">
        <f>IF(OR(AR3104=S13,AR3104&gt;S13),AR3104,"")</f>
        <v>#VALUE!</v>
      </c>
      <c r="AQ3104" s="1759">
        <f t="shared" si="107"/>
        <v>3101</v>
      </c>
      <c r="AR3104" s="1756" t="e">
        <f>0.5*(S18+2*AQ3104)*LN(1+2*AQ3104/S18)</f>
        <v>#VALUE!</v>
      </c>
    </row>
    <row r="3105" spans="42:44">
      <c r="AP3105" s="1756" t="e">
        <f>IF(OR(AR3105=S13,AR3105&gt;S13),AR3105,"")</f>
        <v>#VALUE!</v>
      </c>
      <c r="AQ3105" s="1759">
        <f t="shared" si="107"/>
        <v>3102</v>
      </c>
      <c r="AR3105" s="1756" t="e">
        <f>0.5*(S18+2*AQ3105)*LN(1+2*AQ3105/S18)</f>
        <v>#VALUE!</v>
      </c>
    </row>
    <row r="3106" spans="42:44">
      <c r="AP3106" s="1756" t="e">
        <f>IF(OR(AR3106=S13,AR3106&gt;S13),AR3106,"")</f>
        <v>#VALUE!</v>
      </c>
      <c r="AQ3106" s="1759">
        <f t="shared" si="107"/>
        <v>3103</v>
      </c>
      <c r="AR3106" s="1756" t="e">
        <f>0.5*(S18+2*AQ3106)*LN(1+2*AQ3106/S18)</f>
        <v>#VALUE!</v>
      </c>
    </row>
    <row r="3107" spans="42:44">
      <c r="AP3107" s="1756" t="e">
        <f>IF(OR(AR3107=S13,AR3107&gt;S13),AR3107,"")</f>
        <v>#VALUE!</v>
      </c>
      <c r="AQ3107" s="1759">
        <f t="shared" si="107"/>
        <v>3104</v>
      </c>
      <c r="AR3107" s="1756" t="e">
        <f>0.5*(S18+2*AQ3107)*LN(1+2*AQ3107/S18)</f>
        <v>#VALUE!</v>
      </c>
    </row>
    <row r="3108" spans="42:44">
      <c r="AP3108" s="1756" t="e">
        <f>IF(OR(AR3108=S13,AR3108&gt;S13),AR3108,"")</f>
        <v>#VALUE!</v>
      </c>
      <c r="AQ3108" s="1759">
        <f t="shared" si="107"/>
        <v>3105</v>
      </c>
      <c r="AR3108" s="1756" t="e">
        <f>0.5*(S18+2*AQ3108)*LN(1+2*AQ3108/S18)</f>
        <v>#VALUE!</v>
      </c>
    </row>
    <row r="3109" spans="42:44">
      <c r="AP3109" s="1756" t="e">
        <f>IF(OR(AR3109=S13,AR3109&gt;S13),AR3109,"")</f>
        <v>#VALUE!</v>
      </c>
      <c r="AQ3109" s="1759">
        <f t="shared" si="107"/>
        <v>3106</v>
      </c>
      <c r="AR3109" s="1756" t="e">
        <f>0.5*(S18+2*AQ3109)*LN(1+2*AQ3109/S18)</f>
        <v>#VALUE!</v>
      </c>
    </row>
    <row r="3110" spans="42:44">
      <c r="AP3110" s="1756" t="e">
        <f>IF(OR(AR3110=S13,AR3110&gt;S13),AR3110,"")</f>
        <v>#VALUE!</v>
      </c>
      <c r="AQ3110" s="1759">
        <f t="shared" si="107"/>
        <v>3107</v>
      </c>
      <c r="AR3110" s="1756" t="e">
        <f>0.5*(S18+2*AQ3110)*LN(1+2*AQ3110/S18)</f>
        <v>#VALUE!</v>
      </c>
    </row>
    <row r="3111" spans="42:44">
      <c r="AP3111" s="1756" t="e">
        <f>IF(OR(AR3111=S13,AR3111&gt;S13),AR3111,"")</f>
        <v>#VALUE!</v>
      </c>
      <c r="AQ3111" s="1759">
        <f t="shared" si="107"/>
        <v>3108</v>
      </c>
      <c r="AR3111" s="1756" t="e">
        <f>0.5*(S18+2*AQ3111)*LN(1+2*AQ3111/S18)</f>
        <v>#VALUE!</v>
      </c>
    </row>
    <row r="3112" spans="42:44">
      <c r="AP3112" s="1756" t="e">
        <f>IF(OR(AR3112=S13,AR3112&gt;S13),AR3112,"")</f>
        <v>#VALUE!</v>
      </c>
      <c r="AQ3112" s="1759">
        <f t="shared" si="107"/>
        <v>3109</v>
      </c>
      <c r="AR3112" s="1756" t="e">
        <f>0.5*(S18+2*AQ3112)*LN(1+2*AQ3112/S18)</f>
        <v>#VALUE!</v>
      </c>
    </row>
    <row r="3113" spans="42:44">
      <c r="AP3113" s="1756" t="e">
        <f>IF(OR(AR3113=S13,AR3113&gt;S13),AR3113,"")</f>
        <v>#VALUE!</v>
      </c>
      <c r="AQ3113" s="1759">
        <f t="shared" si="107"/>
        <v>3110</v>
      </c>
      <c r="AR3113" s="1756" t="e">
        <f>0.5*(S18+2*AQ3113)*LN(1+2*AQ3113/S18)</f>
        <v>#VALUE!</v>
      </c>
    </row>
    <row r="3114" spans="42:44">
      <c r="AP3114" s="1756" t="e">
        <f>IF(OR(AR3114=S13,AR3114&gt;S13),AR3114,"")</f>
        <v>#VALUE!</v>
      </c>
      <c r="AQ3114" s="1759">
        <f t="shared" si="107"/>
        <v>3111</v>
      </c>
      <c r="AR3114" s="1756" t="e">
        <f>0.5*(S18+2*AQ3114)*LN(1+2*AQ3114/S18)</f>
        <v>#VALUE!</v>
      </c>
    </row>
    <row r="3115" spans="42:44">
      <c r="AP3115" s="1756" t="e">
        <f>IF(OR(AR3115=S13,AR3115&gt;S13),AR3115,"")</f>
        <v>#VALUE!</v>
      </c>
      <c r="AQ3115" s="1759">
        <f t="shared" si="107"/>
        <v>3112</v>
      </c>
      <c r="AR3115" s="1756" t="e">
        <f>0.5*(S18+2*AQ3115)*LN(1+2*AQ3115/S18)</f>
        <v>#VALUE!</v>
      </c>
    </row>
    <row r="3116" spans="42:44">
      <c r="AP3116" s="1756" t="e">
        <f>IF(OR(AR3116=S13,AR3116&gt;S13),AR3116,"")</f>
        <v>#VALUE!</v>
      </c>
      <c r="AQ3116" s="1759">
        <f t="shared" si="107"/>
        <v>3113</v>
      </c>
      <c r="AR3116" s="1756" t="e">
        <f>0.5*(S18+2*AQ3116)*LN(1+2*AQ3116/S18)</f>
        <v>#VALUE!</v>
      </c>
    </row>
    <row r="3117" spans="42:44">
      <c r="AP3117" s="1756" t="e">
        <f>IF(OR(AR3117=S13,AR3117&gt;S13),AR3117,"")</f>
        <v>#VALUE!</v>
      </c>
      <c r="AQ3117" s="1759">
        <f t="shared" si="107"/>
        <v>3114</v>
      </c>
      <c r="AR3117" s="1756" t="e">
        <f>0.5*(S18+2*AQ3117)*LN(1+2*AQ3117/S18)</f>
        <v>#VALUE!</v>
      </c>
    </row>
    <row r="3118" spans="42:44">
      <c r="AP3118" s="1756" t="e">
        <f>IF(OR(AR3118=S13,AR3118&gt;S13),AR3118,"")</f>
        <v>#VALUE!</v>
      </c>
      <c r="AQ3118" s="1759">
        <f t="shared" si="107"/>
        <v>3115</v>
      </c>
      <c r="AR3118" s="1756" t="e">
        <f>0.5*(S18+2*AQ3118)*LN(1+2*AQ3118/S18)</f>
        <v>#VALUE!</v>
      </c>
    </row>
    <row r="3119" spans="42:44">
      <c r="AP3119" s="1756" t="e">
        <f>IF(OR(AR3119=S13,AR3119&gt;S13),AR3119,"")</f>
        <v>#VALUE!</v>
      </c>
      <c r="AQ3119" s="1759">
        <f t="shared" si="107"/>
        <v>3116</v>
      </c>
      <c r="AR3119" s="1756" t="e">
        <f>0.5*(S18+2*AQ3119)*LN(1+2*AQ3119/S18)</f>
        <v>#VALUE!</v>
      </c>
    </row>
    <row r="3120" spans="42:44">
      <c r="AP3120" s="1756" t="e">
        <f>IF(OR(AR3120=S13,AR3120&gt;S13),AR3120,"")</f>
        <v>#VALUE!</v>
      </c>
      <c r="AQ3120" s="1759">
        <f t="shared" si="107"/>
        <v>3117</v>
      </c>
      <c r="AR3120" s="1756" t="e">
        <f>0.5*(S18+2*AQ3120)*LN(1+2*AQ3120/S18)</f>
        <v>#VALUE!</v>
      </c>
    </row>
    <row r="3121" spans="42:44">
      <c r="AP3121" s="1756" t="e">
        <f>IF(OR(AR3121=S13,AR3121&gt;S13),AR3121,"")</f>
        <v>#VALUE!</v>
      </c>
      <c r="AQ3121" s="1759">
        <f t="shared" si="107"/>
        <v>3118</v>
      </c>
      <c r="AR3121" s="1756" t="e">
        <f>0.5*(S18+2*AQ3121)*LN(1+2*AQ3121/S18)</f>
        <v>#VALUE!</v>
      </c>
    </row>
    <row r="3122" spans="42:44">
      <c r="AP3122" s="1756" t="e">
        <f>IF(OR(AR3122=S13,AR3122&gt;S13),AR3122,"")</f>
        <v>#VALUE!</v>
      </c>
      <c r="AQ3122" s="1759">
        <f t="shared" si="107"/>
        <v>3119</v>
      </c>
      <c r="AR3122" s="1756" t="e">
        <f>0.5*(S18+2*AQ3122)*LN(1+2*AQ3122/S18)</f>
        <v>#VALUE!</v>
      </c>
    </row>
    <row r="3123" spans="42:44">
      <c r="AP3123" s="1756" t="e">
        <f>IF(OR(AR3123=S13,AR3123&gt;S13),AR3123,"")</f>
        <v>#VALUE!</v>
      </c>
      <c r="AQ3123" s="1759">
        <f t="shared" si="107"/>
        <v>3120</v>
      </c>
      <c r="AR3123" s="1756" t="e">
        <f>0.5*(S18+2*AQ3123)*LN(1+2*AQ3123/S18)</f>
        <v>#VALUE!</v>
      </c>
    </row>
    <row r="3124" spans="42:44">
      <c r="AP3124" s="1756" t="e">
        <f>IF(OR(AR3124=S13,AR3124&gt;S13),AR3124,"")</f>
        <v>#VALUE!</v>
      </c>
      <c r="AQ3124" s="1759">
        <f t="shared" si="107"/>
        <v>3121</v>
      </c>
      <c r="AR3124" s="1756" t="e">
        <f>0.5*(S18+2*AQ3124)*LN(1+2*AQ3124/S18)</f>
        <v>#VALUE!</v>
      </c>
    </row>
    <row r="3125" spans="42:44">
      <c r="AP3125" s="1756" t="e">
        <f>IF(OR(AR3125=S13,AR3125&gt;S13),AR3125,"")</f>
        <v>#VALUE!</v>
      </c>
      <c r="AQ3125" s="1759">
        <f t="shared" si="107"/>
        <v>3122</v>
      </c>
      <c r="AR3125" s="1756" t="e">
        <f>0.5*(S18+2*AQ3125)*LN(1+2*AQ3125/S18)</f>
        <v>#VALUE!</v>
      </c>
    </row>
    <row r="3126" spans="42:44">
      <c r="AP3126" s="1756" t="e">
        <f>IF(OR(AR3126=S13,AR3126&gt;S13),AR3126,"")</f>
        <v>#VALUE!</v>
      </c>
      <c r="AQ3126" s="1759">
        <f t="shared" si="107"/>
        <v>3123</v>
      </c>
      <c r="AR3126" s="1756" t="e">
        <f>0.5*(S18+2*AQ3126)*LN(1+2*AQ3126/S18)</f>
        <v>#VALUE!</v>
      </c>
    </row>
    <row r="3127" spans="42:44">
      <c r="AP3127" s="1756" t="e">
        <f>IF(OR(AR3127=S13,AR3127&gt;S13),AR3127,"")</f>
        <v>#VALUE!</v>
      </c>
      <c r="AQ3127" s="1759">
        <f t="shared" si="107"/>
        <v>3124</v>
      </c>
      <c r="AR3127" s="1756" t="e">
        <f>0.5*(S18+2*AQ3127)*LN(1+2*AQ3127/S18)</f>
        <v>#VALUE!</v>
      </c>
    </row>
    <row r="3128" spans="42:44">
      <c r="AP3128" s="1756" t="e">
        <f>IF(OR(AR3128=S13,AR3128&gt;S13),AR3128,"")</f>
        <v>#VALUE!</v>
      </c>
      <c r="AQ3128" s="1759">
        <f t="shared" si="107"/>
        <v>3125</v>
      </c>
      <c r="AR3128" s="1756" t="e">
        <f>0.5*(S18+2*AQ3128)*LN(1+2*AQ3128/S18)</f>
        <v>#VALUE!</v>
      </c>
    </row>
    <row r="3129" spans="42:44">
      <c r="AP3129" s="1756" t="e">
        <f>IF(OR(AR3129=S13,AR3129&gt;S13),AR3129,"")</f>
        <v>#VALUE!</v>
      </c>
      <c r="AQ3129" s="1759">
        <f t="shared" si="107"/>
        <v>3126</v>
      </c>
      <c r="AR3129" s="1756" t="e">
        <f>0.5*(S18+2*AQ3129)*LN(1+2*AQ3129/S18)</f>
        <v>#VALUE!</v>
      </c>
    </row>
    <row r="3130" spans="42:44">
      <c r="AP3130" s="1756" t="e">
        <f>IF(OR(AR3130=S13,AR3130&gt;S13),AR3130,"")</f>
        <v>#VALUE!</v>
      </c>
      <c r="AQ3130" s="1759">
        <f t="shared" si="107"/>
        <v>3127</v>
      </c>
      <c r="AR3130" s="1756" t="e">
        <f>0.5*(S18+2*AQ3130)*LN(1+2*AQ3130/S18)</f>
        <v>#VALUE!</v>
      </c>
    </row>
    <row r="3131" spans="42:44">
      <c r="AP3131" s="1756" t="e">
        <f>IF(OR(AR3131=S13,AR3131&gt;S13),AR3131,"")</f>
        <v>#VALUE!</v>
      </c>
      <c r="AQ3131" s="1759">
        <f t="shared" si="107"/>
        <v>3128</v>
      </c>
      <c r="AR3131" s="1756" t="e">
        <f>0.5*(S18+2*AQ3131)*LN(1+2*AQ3131/S18)</f>
        <v>#VALUE!</v>
      </c>
    </row>
    <row r="3132" spans="42:44">
      <c r="AP3132" s="1756" t="e">
        <f>IF(OR(AR3132=S13,AR3132&gt;S13),AR3132,"")</f>
        <v>#VALUE!</v>
      </c>
      <c r="AQ3132" s="1759">
        <f t="shared" si="107"/>
        <v>3129</v>
      </c>
      <c r="AR3132" s="1756" t="e">
        <f>0.5*(S18+2*AQ3132)*LN(1+2*AQ3132/S18)</f>
        <v>#VALUE!</v>
      </c>
    </row>
    <row r="3133" spans="42:44">
      <c r="AP3133" s="1756" t="e">
        <f>IF(OR(AR3133=S13,AR3133&gt;S13),AR3133,"")</f>
        <v>#VALUE!</v>
      </c>
      <c r="AQ3133" s="1759">
        <f t="shared" si="107"/>
        <v>3130</v>
      </c>
      <c r="AR3133" s="1756" t="e">
        <f>0.5*(S18+2*AQ3133)*LN(1+2*AQ3133/S18)</f>
        <v>#VALUE!</v>
      </c>
    </row>
    <row r="3134" spans="42:44">
      <c r="AP3134" s="1756" t="e">
        <f>IF(OR(AR3134=S13,AR3134&gt;S13),AR3134,"")</f>
        <v>#VALUE!</v>
      </c>
      <c r="AQ3134" s="1759">
        <f t="shared" si="107"/>
        <v>3131</v>
      </c>
      <c r="AR3134" s="1756" t="e">
        <f>0.5*(S18+2*AQ3134)*LN(1+2*AQ3134/S18)</f>
        <v>#VALUE!</v>
      </c>
    </row>
    <row r="3135" spans="42:44">
      <c r="AP3135" s="1756" t="e">
        <f>IF(OR(AR3135=S13,AR3135&gt;S13),AR3135,"")</f>
        <v>#VALUE!</v>
      </c>
      <c r="AQ3135" s="1759">
        <f t="shared" si="107"/>
        <v>3132</v>
      </c>
      <c r="AR3135" s="1756" t="e">
        <f>0.5*(S18+2*AQ3135)*LN(1+2*AQ3135/S18)</f>
        <v>#VALUE!</v>
      </c>
    </row>
    <row r="3136" spans="42:44">
      <c r="AP3136" s="1756" t="e">
        <f>IF(OR(AR3136=S13,AR3136&gt;S13),AR3136,"")</f>
        <v>#VALUE!</v>
      </c>
      <c r="AQ3136" s="1759">
        <f t="shared" si="107"/>
        <v>3133</v>
      </c>
      <c r="AR3136" s="1756" t="e">
        <f>0.5*(S18+2*AQ3136)*LN(1+2*AQ3136/S18)</f>
        <v>#VALUE!</v>
      </c>
    </row>
    <row r="3137" spans="42:44">
      <c r="AP3137" s="1756" t="e">
        <f>IF(OR(AR3137=S13,AR3137&gt;S13),AR3137,"")</f>
        <v>#VALUE!</v>
      </c>
      <c r="AQ3137" s="1759">
        <f t="shared" si="107"/>
        <v>3134</v>
      </c>
      <c r="AR3137" s="1756" t="e">
        <f>0.5*(S18+2*AQ3137)*LN(1+2*AQ3137/S18)</f>
        <v>#VALUE!</v>
      </c>
    </row>
    <row r="3138" spans="42:44">
      <c r="AP3138" s="1756" t="e">
        <f>IF(OR(AR3138=S13,AR3138&gt;S13),AR3138,"")</f>
        <v>#VALUE!</v>
      </c>
      <c r="AQ3138" s="1759">
        <f t="shared" si="107"/>
        <v>3135</v>
      </c>
      <c r="AR3138" s="1756" t="e">
        <f>0.5*(S18+2*AQ3138)*LN(1+2*AQ3138/S18)</f>
        <v>#VALUE!</v>
      </c>
    </row>
    <row r="3139" spans="42:44">
      <c r="AP3139" s="1756" t="e">
        <f>IF(OR(AR3139=S13,AR3139&gt;S13),AR3139,"")</f>
        <v>#VALUE!</v>
      </c>
      <c r="AQ3139" s="1759">
        <f t="shared" si="107"/>
        <v>3136</v>
      </c>
      <c r="AR3139" s="1756" t="e">
        <f>0.5*(S18+2*AQ3139)*LN(1+2*AQ3139/S18)</f>
        <v>#VALUE!</v>
      </c>
    </row>
    <row r="3140" spans="42:44">
      <c r="AP3140" s="1756" t="e">
        <f>IF(OR(AR3140=S13,AR3140&gt;S13),AR3140,"")</f>
        <v>#VALUE!</v>
      </c>
      <c r="AQ3140" s="1759">
        <f t="shared" si="107"/>
        <v>3137</v>
      </c>
      <c r="AR3140" s="1756" t="e">
        <f>0.5*(S18+2*AQ3140)*LN(1+2*AQ3140/S18)</f>
        <v>#VALUE!</v>
      </c>
    </row>
    <row r="3141" spans="42:44">
      <c r="AP3141" s="1756" t="e">
        <f>IF(OR(AR3141=S13,AR3141&gt;S13),AR3141,"")</f>
        <v>#VALUE!</v>
      </c>
      <c r="AQ3141" s="1759">
        <f t="shared" si="107"/>
        <v>3138</v>
      </c>
      <c r="AR3141" s="1756" t="e">
        <f>0.5*(S18+2*AQ3141)*LN(1+2*AQ3141/S18)</f>
        <v>#VALUE!</v>
      </c>
    </row>
    <row r="3142" spans="42:44">
      <c r="AP3142" s="1756" t="e">
        <f>IF(OR(AR3142=S13,AR3142&gt;S13),AR3142,"")</f>
        <v>#VALUE!</v>
      </c>
      <c r="AQ3142" s="1759">
        <f t="shared" ref="AQ3142:AQ3205" si="108">AQ3141+1</f>
        <v>3139</v>
      </c>
      <c r="AR3142" s="1756" t="e">
        <f>0.5*(S18+2*AQ3142)*LN(1+2*AQ3142/S18)</f>
        <v>#VALUE!</v>
      </c>
    </row>
    <row r="3143" spans="42:44">
      <c r="AP3143" s="1756" t="e">
        <f>IF(OR(AR3143=S13,AR3143&gt;S13),AR3143,"")</f>
        <v>#VALUE!</v>
      </c>
      <c r="AQ3143" s="1759">
        <f t="shared" si="108"/>
        <v>3140</v>
      </c>
      <c r="AR3143" s="1756" t="e">
        <f>0.5*(S18+2*AQ3143)*LN(1+2*AQ3143/S18)</f>
        <v>#VALUE!</v>
      </c>
    </row>
    <row r="3144" spans="42:44">
      <c r="AP3144" s="1756" t="e">
        <f>IF(OR(AR3144=S13,AR3144&gt;S13),AR3144,"")</f>
        <v>#VALUE!</v>
      </c>
      <c r="AQ3144" s="1759">
        <f t="shared" si="108"/>
        <v>3141</v>
      </c>
      <c r="AR3144" s="1756" t="e">
        <f>0.5*(S18+2*AQ3144)*LN(1+2*AQ3144/S18)</f>
        <v>#VALUE!</v>
      </c>
    </row>
    <row r="3145" spans="42:44">
      <c r="AP3145" s="1756" t="e">
        <f>IF(OR(AR3145=S13,AR3145&gt;S13),AR3145,"")</f>
        <v>#VALUE!</v>
      </c>
      <c r="AQ3145" s="1759">
        <f t="shared" si="108"/>
        <v>3142</v>
      </c>
      <c r="AR3145" s="1756" t="e">
        <f>0.5*(S18+2*AQ3145)*LN(1+2*AQ3145/S18)</f>
        <v>#VALUE!</v>
      </c>
    </row>
    <row r="3146" spans="42:44">
      <c r="AP3146" s="1756" t="e">
        <f>IF(OR(AR3146=S13,AR3146&gt;S13),AR3146,"")</f>
        <v>#VALUE!</v>
      </c>
      <c r="AQ3146" s="1759">
        <f t="shared" si="108"/>
        <v>3143</v>
      </c>
      <c r="AR3146" s="1756" t="e">
        <f>0.5*(S18+2*AQ3146)*LN(1+2*AQ3146/S18)</f>
        <v>#VALUE!</v>
      </c>
    </row>
    <row r="3147" spans="42:44">
      <c r="AP3147" s="1756" t="e">
        <f>IF(OR(AR3147=S13,AR3147&gt;S13),AR3147,"")</f>
        <v>#VALUE!</v>
      </c>
      <c r="AQ3147" s="1759">
        <f t="shared" si="108"/>
        <v>3144</v>
      </c>
      <c r="AR3147" s="1756" t="e">
        <f>0.5*(S18+2*AQ3147)*LN(1+2*AQ3147/S18)</f>
        <v>#VALUE!</v>
      </c>
    </row>
    <row r="3148" spans="42:44">
      <c r="AP3148" s="1756" t="e">
        <f>IF(OR(AR3148=S13,AR3148&gt;S13),AR3148,"")</f>
        <v>#VALUE!</v>
      </c>
      <c r="AQ3148" s="1759">
        <f t="shared" si="108"/>
        <v>3145</v>
      </c>
      <c r="AR3148" s="1756" t="e">
        <f>0.5*(S18+2*AQ3148)*LN(1+2*AQ3148/S18)</f>
        <v>#VALUE!</v>
      </c>
    </row>
    <row r="3149" spans="42:44">
      <c r="AP3149" s="1756" t="e">
        <f>IF(OR(AR3149=S13,AR3149&gt;S13),AR3149,"")</f>
        <v>#VALUE!</v>
      </c>
      <c r="AQ3149" s="1759">
        <f t="shared" si="108"/>
        <v>3146</v>
      </c>
      <c r="AR3149" s="1756" t="e">
        <f>0.5*(S18+2*AQ3149)*LN(1+2*AQ3149/S18)</f>
        <v>#VALUE!</v>
      </c>
    </row>
    <row r="3150" spans="42:44">
      <c r="AP3150" s="1756" t="e">
        <f>IF(OR(AR3150=S13,AR3150&gt;S13),AR3150,"")</f>
        <v>#VALUE!</v>
      </c>
      <c r="AQ3150" s="1759">
        <f t="shared" si="108"/>
        <v>3147</v>
      </c>
      <c r="AR3150" s="1756" t="e">
        <f>0.5*(S18+2*AQ3150)*LN(1+2*AQ3150/S18)</f>
        <v>#VALUE!</v>
      </c>
    </row>
    <row r="3151" spans="42:44">
      <c r="AP3151" s="1756" t="e">
        <f>IF(OR(AR3151=S13,AR3151&gt;S13),AR3151,"")</f>
        <v>#VALUE!</v>
      </c>
      <c r="AQ3151" s="1759">
        <f t="shared" si="108"/>
        <v>3148</v>
      </c>
      <c r="AR3151" s="1756" t="e">
        <f>0.5*(S18+2*AQ3151)*LN(1+2*AQ3151/S18)</f>
        <v>#VALUE!</v>
      </c>
    </row>
    <row r="3152" spans="42:44">
      <c r="AP3152" s="1756" t="e">
        <f>IF(OR(AR3152=S13,AR3152&gt;S13),AR3152,"")</f>
        <v>#VALUE!</v>
      </c>
      <c r="AQ3152" s="1759">
        <f t="shared" si="108"/>
        <v>3149</v>
      </c>
      <c r="AR3152" s="1756" t="e">
        <f>0.5*(S18+2*AQ3152)*LN(1+2*AQ3152/S18)</f>
        <v>#VALUE!</v>
      </c>
    </row>
    <row r="3153" spans="42:44">
      <c r="AP3153" s="1756" t="e">
        <f>IF(OR(AR3153=S13,AR3153&gt;S13),AR3153,"")</f>
        <v>#VALUE!</v>
      </c>
      <c r="AQ3153" s="1759">
        <f t="shared" si="108"/>
        <v>3150</v>
      </c>
      <c r="AR3153" s="1756" t="e">
        <f>0.5*(S18+2*AQ3153)*LN(1+2*AQ3153/S18)</f>
        <v>#VALUE!</v>
      </c>
    </row>
    <row r="3154" spans="42:44">
      <c r="AP3154" s="1756" t="e">
        <f>IF(OR(AR3154=S13,AR3154&gt;S13),AR3154,"")</f>
        <v>#VALUE!</v>
      </c>
      <c r="AQ3154" s="1759">
        <f t="shared" si="108"/>
        <v>3151</v>
      </c>
      <c r="AR3154" s="1756" t="e">
        <f>0.5*(S18+2*AQ3154)*LN(1+2*AQ3154/S18)</f>
        <v>#VALUE!</v>
      </c>
    </row>
    <row r="3155" spans="42:44">
      <c r="AP3155" s="1756" t="e">
        <f>IF(OR(AR3155=S13,AR3155&gt;S13),AR3155,"")</f>
        <v>#VALUE!</v>
      </c>
      <c r="AQ3155" s="1759">
        <f t="shared" si="108"/>
        <v>3152</v>
      </c>
      <c r="AR3155" s="1756" t="e">
        <f>0.5*(S18+2*AQ3155)*LN(1+2*AQ3155/S18)</f>
        <v>#VALUE!</v>
      </c>
    </row>
    <row r="3156" spans="42:44">
      <c r="AP3156" s="1756" t="e">
        <f>IF(OR(AR3156=S13,AR3156&gt;S13),AR3156,"")</f>
        <v>#VALUE!</v>
      </c>
      <c r="AQ3156" s="1759">
        <f t="shared" si="108"/>
        <v>3153</v>
      </c>
      <c r="AR3156" s="1756" t="e">
        <f>0.5*(S18+2*AQ3156)*LN(1+2*AQ3156/S18)</f>
        <v>#VALUE!</v>
      </c>
    </row>
    <row r="3157" spans="42:44">
      <c r="AP3157" s="1756" t="e">
        <f>IF(OR(AR3157=S13,AR3157&gt;S13),AR3157,"")</f>
        <v>#VALUE!</v>
      </c>
      <c r="AQ3157" s="1759">
        <f t="shared" si="108"/>
        <v>3154</v>
      </c>
      <c r="AR3157" s="1756" t="e">
        <f>0.5*(S18+2*AQ3157)*LN(1+2*AQ3157/S18)</f>
        <v>#VALUE!</v>
      </c>
    </row>
    <row r="3158" spans="42:44">
      <c r="AP3158" s="1756" t="e">
        <f>IF(OR(AR3158=S13,AR3158&gt;S13),AR3158,"")</f>
        <v>#VALUE!</v>
      </c>
      <c r="AQ3158" s="1759">
        <f t="shared" si="108"/>
        <v>3155</v>
      </c>
      <c r="AR3158" s="1756" t="e">
        <f>0.5*(S18+2*AQ3158)*LN(1+2*AQ3158/S18)</f>
        <v>#VALUE!</v>
      </c>
    </row>
    <row r="3159" spans="42:44">
      <c r="AP3159" s="1756" t="e">
        <f>IF(OR(AR3159=S13,AR3159&gt;S13),AR3159,"")</f>
        <v>#VALUE!</v>
      </c>
      <c r="AQ3159" s="1759">
        <f t="shared" si="108"/>
        <v>3156</v>
      </c>
      <c r="AR3159" s="1756" t="e">
        <f>0.5*(S18+2*AQ3159)*LN(1+2*AQ3159/S18)</f>
        <v>#VALUE!</v>
      </c>
    </row>
    <row r="3160" spans="42:44">
      <c r="AP3160" s="1756" t="e">
        <f>IF(OR(AR3160=S13,AR3160&gt;S13),AR3160,"")</f>
        <v>#VALUE!</v>
      </c>
      <c r="AQ3160" s="1759">
        <f t="shared" si="108"/>
        <v>3157</v>
      </c>
      <c r="AR3160" s="1756" t="e">
        <f>0.5*(S18+2*AQ3160)*LN(1+2*AQ3160/S18)</f>
        <v>#VALUE!</v>
      </c>
    </row>
    <row r="3161" spans="42:44">
      <c r="AP3161" s="1756" t="e">
        <f>IF(OR(AR3161=S13,AR3161&gt;S13),AR3161,"")</f>
        <v>#VALUE!</v>
      </c>
      <c r="AQ3161" s="1759">
        <f t="shared" si="108"/>
        <v>3158</v>
      </c>
      <c r="AR3161" s="1756" t="e">
        <f>0.5*(S18+2*AQ3161)*LN(1+2*AQ3161/S18)</f>
        <v>#VALUE!</v>
      </c>
    </row>
    <row r="3162" spans="42:44">
      <c r="AP3162" s="1756" t="e">
        <f>IF(OR(AR3162=S13,AR3162&gt;S13),AR3162,"")</f>
        <v>#VALUE!</v>
      </c>
      <c r="AQ3162" s="1759">
        <f t="shared" si="108"/>
        <v>3159</v>
      </c>
      <c r="AR3162" s="1756" t="e">
        <f>0.5*(S18+2*AQ3162)*LN(1+2*AQ3162/S18)</f>
        <v>#VALUE!</v>
      </c>
    </row>
    <row r="3163" spans="42:44">
      <c r="AP3163" s="1756" t="e">
        <f>IF(OR(AR3163=S13,AR3163&gt;S13),AR3163,"")</f>
        <v>#VALUE!</v>
      </c>
      <c r="AQ3163" s="1759">
        <f t="shared" si="108"/>
        <v>3160</v>
      </c>
      <c r="AR3163" s="1756" t="e">
        <f>0.5*(S18+2*AQ3163)*LN(1+2*AQ3163/S18)</f>
        <v>#VALUE!</v>
      </c>
    </row>
    <row r="3164" spans="42:44">
      <c r="AP3164" s="1756" t="e">
        <f>IF(OR(AR3164=S13,AR3164&gt;S13),AR3164,"")</f>
        <v>#VALUE!</v>
      </c>
      <c r="AQ3164" s="1759">
        <f t="shared" si="108"/>
        <v>3161</v>
      </c>
      <c r="AR3164" s="1756" t="e">
        <f>0.5*(S18+2*AQ3164)*LN(1+2*AQ3164/S18)</f>
        <v>#VALUE!</v>
      </c>
    </row>
    <row r="3165" spans="42:44">
      <c r="AP3165" s="1756" t="e">
        <f>IF(OR(AR3165=S13,AR3165&gt;S13),AR3165,"")</f>
        <v>#VALUE!</v>
      </c>
      <c r="AQ3165" s="1759">
        <f t="shared" si="108"/>
        <v>3162</v>
      </c>
      <c r="AR3165" s="1756" t="e">
        <f>0.5*(S18+2*AQ3165)*LN(1+2*AQ3165/S18)</f>
        <v>#VALUE!</v>
      </c>
    </row>
    <row r="3166" spans="42:44">
      <c r="AP3166" s="1756" t="e">
        <f>IF(OR(AR3166=S13,AR3166&gt;S13),AR3166,"")</f>
        <v>#VALUE!</v>
      </c>
      <c r="AQ3166" s="1759">
        <f t="shared" si="108"/>
        <v>3163</v>
      </c>
      <c r="AR3166" s="1756" t="e">
        <f>0.5*(S18+2*AQ3166)*LN(1+2*AQ3166/S18)</f>
        <v>#VALUE!</v>
      </c>
    </row>
    <row r="3167" spans="42:44">
      <c r="AP3167" s="1756" t="e">
        <f>IF(OR(AR3167=S13,AR3167&gt;S13),AR3167,"")</f>
        <v>#VALUE!</v>
      </c>
      <c r="AQ3167" s="1759">
        <f t="shared" si="108"/>
        <v>3164</v>
      </c>
      <c r="AR3167" s="1756" t="e">
        <f>0.5*(S18+2*AQ3167)*LN(1+2*AQ3167/S18)</f>
        <v>#VALUE!</v>
      </c>
    </row>
    <row r="3168" spans="42:44">
      <c r="AP3168" s="1756" t="e">
        <f>IF(OR(AR3168=S13,AR3168&gt;S13),AR3168,"")</f>
        <v>#VALUE!</v>
      </c>
      <c r="AQ3168" s="1759">
        <f t="shared" si="108"/>
        <v>3165</v>
      </c>
      <c r="AR3168" s="1756" t="e">
        <f>0.5*(S18+2*AQ3168)*LN(1+2*AQ3168/S18)</f>
        <v>#VALUE!</v>
      </c>
    </row>
    <row r="3169" spans="42:44">
      <c r="AP3169" s="1756" t="e">
        <f>IF(OR(AR3169=S13,AR3169&gt;S13),AR3169,"")</f>
        <v>#VALUE!</v>
      </c>
      <c r="AQ3169" s="1759">
        <f t="shared" si="108"/>
        <v>3166</v>
      </c>
      <c r="AR3169" s="1756" t="e">
        <f>0.5*(S18+2*AQ3169)*LN(1+2*AQ3169/S18)</f>
        <v>#VALUE!</v>
      </c>
    </row>
    <row r="3170" spans="42:44">
      <c r="AP3170" s="1756" t="e">
        <f>IF(OR(AR3170=S13,AR3170&gt;S13),AR3170,"")</f>
        <v>#VALUE!</v>
      </c>
      <c r="AQ3170" s="1759">
        <f t="shared" si="108"/>
        <v>3167</v>
      </c>
      <c r="AR3170" s="1756" t="e">
        <f>0.5*(S18+2*AQ3170)*LN(1+2*AQ3170/S18)</f>
        <v>#VALUE!</v>
      </c>
    </row>
    <row r="3171" spans="42:44">
      <c r="AP3171" s="1756" t="e">
        <f>IF(OR(AR3171=S13,AR3171&gt;S13),AR3171,"")</f>
        <v>#VALUE!</v>
      </c>
      <c r="AQ3171" s="1759">
        <f t="shared" si="108"/>
        <v>3168</v>
      </c>
      <c r="AR3171" s="1756" t="e">
        <f>0.5*(S18+2*AQ3171)*LN(1+2*AQ3171/S18)</f>
        <v>#VALUE!</v>
      </c>
    </row>
    <row r="3172" spans="42:44">
      <c r="AP3172" s="1756" t="e">
        <f>IF(OR(AR3172=S13,AR3172&gt;S13),AR3172,"")</f>
        <v>#VALUE!</v>
      </c>
      <c r="AQ3172" s="1759">
        <f t="shared" si="108"/>
        <v>3169</v>
      </c>
      <c r="AR3172" s="1756" t="e">
        <f>0.5*(S18+2*AQ3172)*LN(1+2*AQ3172/S18)</f>
        <v>#VALUE!</v>
      </c>
    </row>
    <row r="3173" spans="42:44">
      <c r="AP3173" s="1756" t="e">
        <f>IF(OR(AR3173=S13,AR3173&gt;S13),AR3173,"")</f>
        <v>#VALUE!</v>
      </c>
      <c r="AQ3173" s="1759">
        <f t="shared" si="108"/>
        <v>3170</v>
      </c>
      <c r="AR3173" s="1756" t="e">
        <f>0.5*(S18+2*AQ3173)*LN(1+2*AQ3173/S18)</f>
        <v>#VALUE!</v>
      </c>
    </row>
    <row r="3174" spans="42:44">
      <c r="AP3174" s="1756" t="e">
        <f>IF(OR(AR3174=S13,AR3174&gt;S13),AR3174,"")</f>
        <v>#VALUE!</v>
      </c>
      <c r="AQ3174" s="1759">
        <f t="shared" si="108"/>
        <v>3171</v>
      </c>
      <c r="AR3174" s="1756" t="e">
        <f>0.5*(S18+2*AQ3174)*LN(1+2*AQ3174/S18)</f>
        <v>#VALUE!</v>
      </c>
    </row>
    <row r="3175" spans="42:44">
      <c r="AP3175" s="1756" t="e">
        <f>IF(OR(AR3175=S13,AR3175&gt;S13),AR3175,"")</f>
        <v>#VALUE!</v>
      </c>
      <c r="AQ3175" s="1759">
        <f t="shared" si="108"/>
        <v>3172</v>
      </c>
      <c r="AR3175" s="1756" t="e">
        <f>0.5*(S18+2*AQ3175)*LN(1+2*AQ3175/S18)</f>
        <v>#VALUE!</v>
      </c>
    </row>
    <row r="3176" spans="42:44">
      <c r="AP3176" s="1756" t="e">
        <f>IF(OR(AR3176=S13,AR3176&gt;S13),AR3176,"")</f>
        <v>#VALUE!</v>
      </c>
      <c r="AQ3176" s="1759">
        <f t="shared" si="108"/>
        <v>3173</v>
      </c>
      <c r="AR3176" s="1756" t="e">
        <f>0.5*(S18+2*AQ3176)*LN(1+2*AQ3176/S18)</f>
        <v>#VALUE!</v>
      </c>
    </row>
    <row r="3177" spans="42:44">
      <c r="AP3177" s="1756" t="e">
        <f>IF(OR(AR3177=S13,AR3177&gt;S13),AR3177,"")</f>
        <v>#VALUE!</v>
      </c>
      <c r="AQ3177" s="1759">
        <f t="shared" si="108"/>
        <v>3174</v>
      </c>
      <c r="AR3177" s="1756" t="e">
        <f>0.5*(S18+2*AQ3177)*LN(1+2*AQ3177/S18)</f>
        <v>#VALUE!</v>
      </c>
    </row>
    <row r="3178" spans="42:44">
      <c r="AP3178" s="1756" t="e">
        <f>IF(OR(AR3178=S13,AR3178&gt;S13),AR3178,"")</f>
        <v>#VALUE!</v>
      </c>
      <c r="AQ3178" s="1759">
        <f t="shared" si="108"/>
        <v>3175</v>
      </c>
      <c r="AR3178" s="1756" t="e">
        <f>0.5*(S18+2*AQ3178)*LN(1+2*AQ3178/S18)</f>
        <v>#VALUE!</v>
      </c>
    </row>
    <row r="3179" spans="42:44">
      <c r="AP3179" s="1756" t="e">
        <f>IF(OR(AR3179=S13,AR3179&gt;S13),AR3179,"")</f>
        <v>#VALUE!</v>
      </c>
      <c r="AQ3179" s="1759">
        <f t="shared" si="108"/>
        <v>3176</v>
      </c>
      <c r="AR3179" s="1756" t="e">
        <f>0.5*(S18+2*AQ3179)*LN(1+2*AQ3179/S18)</f>
        <v>#VALUE!</v>
      </c>
    </row>
    <row r="3180" spans="42:44">
      <c r="AP3180" s="1756" t="e">
        <f>IF(OR(AR3180=S13,AR3180&gt;S13),AR3180,"")</f>
        <v>#VALUE!</v>
      </c>
      <c r="AQ3180" s="1759">
        <f t="shared" si="108"/>
        <v>3177</v>
      </c>
      <c r="AR3180" s="1756" t="e">
        <f>0.5*(S18+2*AQ3180)*LN(1+2*AQ3180/S18)</f>
        <v>#VALUE!</v>
      </c>
    </row>
    <row r="3181" spans="42:44">
      <c r="AP3181" s="1756" t="e">
        <f>IF(OR(AR3181=S13,AR3181&gt;S13),AR3181,"")</f>
        <v>#VALUE!</v>
      </c>
      <c r="AQ3181" s="1759">
        <f t="shared" si="108"/>
        <v>3178</v>
      </c>
      <c r="AR3181" s="1756" t="e">
        <f>0.5*(S18+2*AQ3181)*LN(1+2*AQ3181/S18)</f>
        <v>#VALUE!</v>
      </c>
    </row>
    <row r="3182" spans="42:44">
      <c r="AP3182" s="1756" t="e">
        <f>IF(OR(AR3182=S13,AR3182&gt;S13),AR3182,"")</f>
        <v>#VALUE!</v>
      </c>
      <c r="AQ3182" s="1759">
        <f t="shared" si="108"/>
        <v>3179</v>
      </c>
      <c r="AR3182" s="1756" t="e">
        <f>0.5*(S18+2*AQ3182)*LN(1+2*AQ3182/S18)</f>
        <v>#VALUE!</v>
      </c>
    </row>
    <row r="3183" spans="42:44">
      <c r="AP3183" s="1756" t="e">
        <f>IF(OR(AR3183=S13,AR3183&gt;S13),AR3183,"")</f>
        <v>#VALUE!</v>
      </c>
      <c r="AQ3183" s="1759">
        <f t="shared" si="108"/>
        <v>3180</v>
      </c>
      <c r="AR3183" s="1756" t="e">
        <f>0.5*(S18+2*AQ3183)*LN(1+2*AQ3183/S18)</f>
        <v>#VALUE!</v>
      </c>
    </row>
    <row r="3184" spans="42:44">
      <c r="AP3184" s="1756" t="e">
        <f>IF(OR(AR3184=S13,AR3184&gt;S13),AR3184,"")</f>
        <v>#VALUE!</v>
      </c>
      <c r="AQ3184" s="1759">
        <f t="shared" si="108"/>
        <v>3181</v>
      </c>
      <c r="AR3184" s="1756" t="e">
        <f>0.5*(S18+2*AQ3184)*LN(1+2*AQ3184/S18)</f>
        <v>#VALUE!</v>
      </c>
    </row>
    <row r="3185" spans="42:44">
      <c r="AP3185" s="1756" t="e">
        <f>IF(OR(AR3185=S13,AR3185&gt;S13),AR3185,"")</f>
        <v>#VALUE!</v>
      </c>
      <c r="AQ3185" s="1759">
        <f t="shared" si="108"/>
        <v>3182</v>
      </c>
      <c r="AR3185" s="1756" t="e">
        <f>0.5*(S18+2*AQ3185)*LN(1+2*AQ3185/S18)</f>
        <v>#VALUE!</v>
      </c>
    </row>
    <row r="3186" spans="42:44">
      <c r="AP3186" s="1756" t="e">
        <f>IF(OR(AR3186=S13,AR3186&gt;S13),AR3186,"")</f>
        <v>#VALUE!</v>
      </c>
      <c r="AQ3186" s="1759">
        <f t="shared" si="108"/>
        <v>3183</v>
      </c>
      <c r="AR3186" s="1756" t="e">
        <f>0.5*(S18+2*AQ3186)*LN(1+2*AQ3186/S18)</f>
        <v>#VALUE!</v>
      </c>
    </row>
    <row r="3187" spans="42:44">
      <c r="AP3187" s="1756" t="e">
        <f>IF(OR(AR3187=S13,AR3187&gt;S13),AR3187,"")</f>
        <v>#VALUE!</v>
      </c>
      <c r="AQ3187" s="1759">
        <f t="shared" si="108"/>
        <v>3184</v>
      </c>
      <c r="AR3187" s="1756" t="e">
        <f>0.5*(S18+2*AQ3187)*LN(1+2*AQ3187/S18)</f>
        <v>#VALUE!</v>
      </c>
    </row>
    <row r="3188" spans="42:44">
      <c r="AP3188" s="1756" t="e">
        <f>IF(OR(AR3188=S13,AR3188&gt;S13),AR3188,"")</f>
        <v>#VALUE!</v>
      </c>
      <c r="AQ3188" s="1759">
        <f t="shared" si="108"/>
        <v>3185</v>
      </c>
      <c r="AR3188" s="1756" t="e">
        <f>0.5*(S18+2*AQ3188)*LN(1+2*AQ3188/S18)</f>
        <v>#VALUE!</v>
      </c>
    </row>
    <row r="3189" spans="42:44">
      <c r="AP3189" s="1756" t="e">
        <f>IF(OR(AR3189=S13,AR3189&gt;S13),AR3189,"")</f>
        <v>#VALUE!</v>
      </c>
      <c r="AQ3189" s="1759">
        <f t="shared" si="108"/>
        <v>3186</v>
      </c>
      <c r="AR3189" s="1756" t="e">
        <f>0.5*(S18+2*AQ3189)*LN(1+2*AQ3189/S18)</f>
        <v>#VALUE!</v>
      </c>
    </row>
    <row r="3190" spans="42:44">
      <c r="AP3190" s="1756" t="e">
        <f>IF(OR(AR3190=S13,AR3190&gt;S13),AR3190,"")</f>
        <v>#VALUE!</v>
      </c>
      <c r="AQ3190" s="1759">
        <f t="shared" si="108"/>
        <v>3187</v>
      </c>
      <c r="AR3190" s="1756" t="e">
        <f>0.5*(S18+2*AQ3190)*LN(1+2*AQ3190/S18)</f>
        <v>#VALUE!</v>
      </c>
    </row>
    <row r="3191" spans="42:44">
      <c r="AP3191" s="1756" t="e">
        <f>IF(OR(AR3191=S13,AR3191&gt;S13),AR3191,"")</f>
        <v>#VALUE!</v>
      </c>
      <c r="AQ3191" s="1759">
        <f t="shared" si="108"/>
        <v>3188</v>
      </c>
      <c r="AR3191" s="1756" t="e">
        <f>0.5*(S18+2*AQ3191)*LN(1+2*AQ3191/S18)</f>
        <v>#VALUE!</v>
      </c>
    </row>
    <row r="3192" spans="42:44">
      <c r="AP3192" s="1756" t="e">
        <f>IF(OR(AR3192=S13,AR3192&gt;S13),AR3192,"")</f>
        <v>#VALUE!</v>
      </c>
      <c r="AQ3192" s="1759">
        <f t="shared" si="108"/>
        <v>3189</v>
      </c>
      <c r="AR3192" s="1756" t="e">
        <f>0.5*(S18+2*AQ3192)*LN(1+2*AQ3192/S18)</f>
        <v>#VALUE!</v>
      </c>
    </row>
    <row r="3193" spans="42:44">
      <c r="AP3193" s="1756" t="e">
        <f>IF(OR(AR3193=S13,AR3193&gt;S13),AR3193,"")</f>
        <v>#VALUE!</v>
      </c>
      <c r="AQ3193" s="1759">
        <f t="shared" si="108"/>
        <v>3190</v>
      </c>
      <c r="AR3193" s="1756" t="e">
        <f>0.5*(S18+2*AQ3193)*LN(1+2*AQ3193/S18)</f>
        <v>#VALUE!</v>
      </c>
    </row>
    <row r="3194" spans="42:44">
      <c r="AP3194" s="1756" t="e">
        <f>IF(OR(AR3194=S13,AR3194&gt;S13),AR3194,"")</f>
        <v>#VALUE!</v>
      </c>
      <c r="AQ3194" s="1759">
        <f t="shared" si="108"/>
        <v>3191</v>
      </c>
      <c r="AR3194" s="1756" t="e">
        <f>0.5*(S18+2*AQ3194)*LN(1+2*AQ3194/S18)</f>
        <v>#VALUE!</v>
      </c>
    </row>
    <row r="3195" spans="42:44">
      <c r="AP3195" s="1756" t="e">
        <f>IF(OR(AR3195=S13,AR3195&gt;S13),AR3195,"")</f>
        <v>#VALUE!</v>
      </c>
      <c r="AQ3195" s="1759">
        <f t="shared" si="108"/>
        <v>3192</v>
      </c>
      <c r="AR3195" s="1756" t="e">
        <f>0.5*(S18+2*AQ3195)*LN(1+2*AQ3195/S18)</f>
        <v>#VALUE!</v>
      </c>
    </row>
    <row r="3196" spans="42:44">
      <c r="AP3196" s="1756" t="e">
        <f>IF(OR(AR3196=S13,AR3196&gt;S13),AR3196,"")</f>
        <v>#VALUE!</v>
      </c>
      <c r="AQ3196" s="1759">
        <f t="shared" si="108"/>
        <v>3193</v>
      </c>
      <c r="AR3196" s="1756" t="e">
        <f>0.5*(S18+2*AQ3196)*LN(1+2*AQ3196/S18)</f>
        <v>#VALUE!</v>
      </c>
    </row>
    <row r="3197" spans="42:44">
      <c r="AP3197" s="1756" t="e">
        <f>IF(OR(AR3197=S13,AR3197&gt;S13),AR3197,"")</f>
        <v>#VALUE!</v>
      </c>
      <c r="AQ3197" s="1759">
        <f t="shared" si="108"/>
        <v>3194</v>
      </c>
      <c r="AR3197" s="1756" t="e">
        <f>0.5*(S18+2*AQ3197)*LN(1+2*AQ3197/S18)</f>
        <v>#VALUE!</v>
      </c>
    </row>
    <row r="3198" spans="42:44">
      <c r="AP3198" s="1756" t="e">
        <f>IF(OR(AR3198=S13,AR3198&gt;S13),AR3198,"")</f>
        <v>#VALUE!</v>
      </c>
      <c r="AQ3198" s="1759">
        <f t="shared" si="108"/>
        <v>3195</v>
      </c>
      <c r="AR3198" s="1756" t="e">
        <f>0.5*(S18+2*AQ3198)*LN(1+2*AQ3198/S18)</f>
        <v>#VALUE!</v>
      </c>
    </row>
    <row r="3199" spans="42:44">
      <c r="AP3199" s="1756" t="e">
        <f>IF(OR(AR3199=S13,AR3199&gt;S13),AR3199,"")</f>
        <v>#VALUE!</v>
      </c>
      <c r="AQ3199" s="1759">
        <f t="shared" si="108"/>
        <v>3196</v>
      </c>
      <c r="AR3199" s="1756" t="e">
        <f>0.5*(S18+2*AQ3199)*LN(1+2*AQ3199/S18)</f>
        <v>#VALUE!</v>
      </c>
    </row>
    <row r="3200" spans="42:44">
      <c r="AP3200" s="1756" t="e">
        <f>IF(OR(AR3200=S13,AR3200&gt;S13),AR3200,"")</f>
        <v>#VALUE!</v>
      </c>
      <c r="AQ3200" s="1759">
        <f t="shared" si="108"/>
        <v>3197</v>
      </c>
      <c r="AR3200" s="1756" t="e">
        <f>0.5*(S18+2*AQ3200)*LN(1+2*AQ3200/S18)</f>
        <v>#VALUE!</v>
      </c>
    </row>
    <row r="3201" spans="42:44">
      <c r="AP3201" s="1756" t="e">
        <f>IF(OR(AR3201=S13,AR3201&gt;S13),AR3201,"")</f>
        <v>#VALUE!</v>
      </c>
      <c r="AQ3201" s="1759">
        <f t="shared" si="108"/>
        <v>3198</v>
      </c>
      <c r="AR3201" s="1756" t="e">
        <f>0.5*(S18+2*AQ3201)*LN(1+2*AQ3201/S18)</f>
        <v>#VALUE!</v>
      </c>
    </row>
    <row r="3202" spans="42:44">
      <c r="AP3202" s="1756" t="e">
        <f>IF(OR(AR3202=S13,AR3202&gt;S13),AR3202,"")</f>
        <v>#VALUE!</v>
      </c>
      <c r="AQ3202" s="1759">
        <f t="shared" si="108"/>
        <v>3199</v>
      </c>
      <c r="AR3202" s="1756" t="e">
        <f>0.5*(S18+2*AQ3202)*LN(1+2*AQ3202/S18)</f>
        <v>#VALUE!</v>
      </c>
    </row>
    <row r="3203" spans="42:44">
      <c r="AP3203" s="1756" t="e">
        <f>IF(OR(AR3203=S13,AR3203&gt;S13),AR3203,"")</f>
        <v>#VALUE!</v>
      </c>
      <c r="AQ3203" s="1759">
        <f t="shared" si="108"/>
        <v>3200</v>
      </c>
      <c r="AR3203" s="1756" t="e">
        <f>0.5*(S18+2*AQ3203)*LN(1+2*AQ3203/S18)</f>
        <v>#VALUE!</v>
      </c>
    </row>
    <row r="3204" spans="42:44">
      <c r="AP3204" s="1756" t="e">
        <f>IF(OR(AR3204=S13,AR3204&gt;S13),AR3204,"")</f>
        <v>#VALUE!</v>
      </c>
      <c r="AQ3204" s="1759">
        <f t="shared" si="108"/>
        <v>3201</v>
      </c>
      <c r="AR3204" s="1756" t="e">
        <f>0.5*(S18+2*AQ3204)*LN(1+2*AQ3204/S18)</f>
        <v>#VALUE!</v>
      </c>
    </row>
    <row r="3205" spans="42:44">
      <c r="AP3205" s="1756" t="e">
        <f>IF(OR(AR3205=S13,AR3205&gt;S13),AR3205,"")</f>
        <v>#VALUE!</v>
      </c>
      <c r="AQ3205" s="1759">
        <f t="shared" si="108"/>
        <v>3202</v>
      </c>
      <c r="AR3205" s="1756" t="e">
        <f>0.5*(S18+2*AQ3205)*LN(1+2*AQ3205/S18)</f>
        <v>#VALUE!</v>
      </c>
    </row>
    <row r="3206" spans="42:44">
      <c r="AP3206" s="1756" t="e">
        <f>IF(OR(AR3206=S13,AR3206&gt;S13),AR3206,"")</f>
        <v>#VALUE!</v>
      </c>
      <c r="AQ3206" s="1759">
        <f t="shared" ref="AQ3206:AQ3269" si="109">AQ3205+1</f>
        <v>3203</v>
      </c>
      <c r="AR3206" s="1756" t="e">
        <f>0.5*(S18+2*AQ3206)*LN(1+2*AQ3206/S18)</f>
        <v>#VALUE!</v>
      </c>
    </row>
    <row r="3207" spans="42:44">
      <c r="AP3207" s="1756" t="e">
        <f>IF(OR(AR3207=S13,AR3207&gt;S13),AR3207,"")</f>
        <v>#VALUE!</v>
      </c>
      <c r="AQ3207" s="1759">
        <f t="shared" si="109"/>
        <v>3204</v>
      </c>
      <c r="AR3207" s="1756" t="e">
        <f>0.5*(S18+2*AQ3207)*LN(1+2*AQ3207/S18)</f>
        <v>#VALUE!</v>
      </c>
    </row>
    <row r="3208" spans="42:44">
      <c r="AP3208" s="1756" t="e">
        <f>IF(OR(AR3208=S13,AR3208&gt;S13),AR3208,"")</f>
        <v>#VALUE!</v>
      </c>
      <c r="AQ3208" s="1759">
        <f t="shared" si="109"/>
        <v>3205</v>
      </c>
      <c r="AR3208" s="1756" t="e">
        <f>0.5*(S18+2*AQ3208)*LN(1+2*AQ3208/S18)</f>
        <v>#VALUE!</v>
      </c>
    </row>
    <row r="3209" spans="42:44">
      <c r="AP3209" s="1756" t="e">
        <f>IF(OR(AR3209=S13,AR3209&gt;S13),AR3209,"")</f>
        <v>#VALUE!</v>
      </c>
      <c r="AQ3209" s="1759">
        <f t="shared" si="109"/>
        <v>3206</v>
      </c>
      <c r="AR3209" s="1756" t="e">
        <f>0.5*(S18+2*AQ3209)*LN(1+2*AQ3209/S18)</f>
        <v>#VALUE!</v>
      </c>
    </row>
    <row r="3210" spans="42:44">
      <c r="AP3210" s="1756" t="e">
        <f>IF(OR(AR3210=S13,AR3210&gt;S13),AR3210,"")</f>
        <v>#VALUE!</v>
      </c>
      <c r="AQ3210" s="1759">
        <f t="shared" si="109"/>
        <v>3207</v>
      </c>
      <c r="AR3210" s="1756" t="e">
        <f>0.5*(S18+2*AQ3210)*LN(1+2*AQ3210/S18)</f>
        <v>#VALUE!</v>
      </c>
    </row>
    <row r="3211" spans="42:44">
      <c r="AP3211" s="1756" t="e">
        <f>IF(OR(AR3211=S13,AR3211&gt;S13),AR3211,"")</f>
        <v>#VALUE!</v>
      </c>
      <c r="AQ3211" s="1759">
        <f t="shared" si="109"/>
        <v>3208</v>
      </c>
      <c r="AR3211" s="1756" t="e">
        <f>0.5*(S18+2*AQ3211)*LN(1+2*AQ3211/S18)</f>
        <v>#VALUE!</v>
      </c>
    </row>
    <row r="3212" spans="42:44">
      <c r="AP3212" s="1756" t="e">
        <f>IF(OR(AR3212=S13,AR3212&gt;S13),AR3212,"")</f>
        <v>#VALUE!</v>
      </c>
      <c r="AQ3212" s="1759">
        <f t="shared" si="109"/>
        <v>3209</v>
      </c>
      <c r="AR3212" s="1756" t="e">
        <f>0.5*(S18+2*AQ3212)*LN(1+2*AQ3212/S18)</f>
        <v>#VALUE!</v>
      </c>
    </row>
    <row r="3213" spans="42:44">
      <c r="AP3213" s="1756" t="e">
        <f>IF(OR(AR3213=S13,AR3213&gt;S13),AR3213,"")</f>
        <v>#VALUE!</v>
      </c>
      <c r="AQ3213" s="1759">
        <f t="shared" si="109"/>
        <v>3210</v>
      </c>
      <c r="AR3213" s="1756" t="e">
        <f>0.5*(S18+2*AQ3213)*LN(1+2*AQ3213/S18)</f>
        <v>#VALUE!</v>
      </c>
    </row>
    <row r="3214" spans="42:44">
      <c r="AP3214" s="1756" t="e">
        <f>IF(OR(AR3214=S13,AR3214&gt;S13),AR3214,"")</f>
        <v>#VALUE!</v>
      </c>
      <c r="AQ3214" s="1759">
        <f t="shared" si="109"/>
        <v>3211</v>
      </c>
      <c r="AR3214" s="1756" t="e">
        <f>0.5*(S18+2*AQ3214)*LN(1+2*AQ3214/S18)</f>
        <v>#VALUE!</v>
      </c>
    </row>
    <row r="3215" spans="42:44">
      <c r="AP3215" s="1756" t="e">
        <f>IF(OR(AR3215=S13,AR3215&gt;S13),AR3215,"")</f>
        <v>#VALUE!</v>
      </c>
      <c r="AQ3215" s="1759">
        <f t="shared" si="109"/>
        <v>3212</v>
      </c>
      <c r="AR3215" s="1756" t="e">
        <f>0.5*(S18+2*AQ3215)*LN(1+2*AQ3215/S18)</f>
        <v>#VALUE!</v>
      </c>
    </row>
    <row r="3216" spans="42:44">
      <c r="AP3216" s="1756" t="e">
        <f>IF(OR(AR3216=S13,AR3216&gt;S13),AR3216,"")</f>
        <v>#VALUE!</v>
      </c>
      <c r="AQ3216" s="1759">
        <f t="shared" si="109"/>
        <v>3213</v>
      </c>
      <c r="AR3216" s="1756" t="e">
        <f>0.5*(S18+2*AQ3216)*LN(1+2*AQ3216/S18)</f>
        <v>#VALUE!</v>
      </c>
    </row>
    <row r="3217" spans="42:44">
      <c r="AP3217" s="1756" t="e">
        <f>IF(OR(AR3217=S13,AR3217&gt;S13),AR3217,"")</f>
        <v>#VALUE!</v>
      </c>
      <c r="AQ3217" s="1759">
        <f t="shared" si="109"/>
        <v>3214</v>
      </c>
      <c r="AR3217" s="1756" t="e">
        <f>0.5*(S18+2*AQ3217)*LN(1+2*AQ3217/S18)</f>
        <v>#VALUE!</v>
      </c>
    </row>
    <row r="3218" spans="42:44">
      <c r="AP3218" s="1756" t="e">
        <f>IF(OR(AR3218=S13,AR3218&gt;S13),AR3218,"")</f>
        <v>#VALUE!</v>
      </c>
      <c r="AQ3218" s="1759">
        <f t="shared" si="109"/>
        <v>3215</v>
      </c>
      <c r="AR3218" s="1756" t="e">
        <f>0.5*(S18+2*AQ3218)*LN(1+2*AQ3218/S18)</f>
        <v>#VALUE!</v>
      </c>
    </row>
    <row r="3219" spans="42:44">
      <c r="AP3219" s="1756" t="e">
        <f>IF(OR(AR3219=S13,AR3219&gt;S13),AR3219,"")</f>
        <v>#VALUE!</v>
      </c>
      <c r="AQ3219" s="1759">
        <f t="shared" si="109"/>
        <v>3216</v>
      </c>
      <c r="AR3219" s="1756" t="e">
        <f>0.5*(S18+2*AQ3219)*LN(1+2*AQ3219/S18)</f>
        <v>#VALUE!</v>
      </c>
    </row>
    <row r="3220" spans="42:44">
      <c r="AP3220" s="1756" t="e">
        <f>IF(OR(AR3220=S13,AR3220&gt;S13),AR3220,"")</f>
        <v>#VALUE!</v>
      </c>
      <c r="AQ3220" s="1759">
        <f t="shared" si="109"/>
        <v>3217</v>
      </c>
      <c r="AR3220" s="1756" t="e">
        <f>0.5*(S18+2*AQ3220)*LN(1+2*AQ3220/S18)</f>
        <v>#VALUE!</v>
      </c>
    </row>
    <row r="3221" spans="42:44">
      <c r="AP3221" s="1756" t="e">
        <f>IF(OR(AR3221=S13,AR3221&gt;S13),AR3221,"")</f>
        <v>#VALUE!</v>
      </c>
      <c r="AQ3221" s="1759">
        <f t="shared" si="109"/>
        <v>3218</v>
      </c>
      <c r="AR3221" s="1756" t="e">
        <f>0.5*(S18+2*AQ3221)*LN(1+2*AQ3221/S18)</f>
        <v>#VALUE!</v>
      </c>
    </row>
    <row r="3222" spans="42:44">
      <c r="AP3222" s="1756" t="e">
        <f>IF(OR(AR3222=S13,AR3222&gt;S13),AR3222,"")</f>
        <v>#VALUE!</v>
      </c>
      <c r="AQ3222" s="1759">
        <f t="shared" si="109"/>
        <v>3219</v>
      </c>
      <c r="AR3222" s="1756" t="e">
        <f>0.5*(S18+2*AQ3222)*LN(1+2*AQ3222/S18)</f>
        <v>#VALUE!</v>
      </c>
    </row>
    <row r="3223" spans="42:44">
      <c r="AP3223" s="1756" t="e">
        <f>IF(OR(AR3223=S13,AR3223&gt;S13),AR3223,"")</f>
        <v>#VALUE!</v>
      </c>
      <c r="AQ3223" s="1759">
        <f t="shared" si="109"/>
        <v>3220</v>
      </c>
      <c r="AR3223" s="1756" t="e">
        <f>0.5*(S18+2*AQ3223)*LN(1+2*AQ3223/S18)</f>
        <v>#VALUE!</v>
      </c>
    </row>
    <row r="3224" spans="42:44">
      <c r="AP3224" s="1756" t="e">
        <f>IF(OR(AR3224=S13,AR3224&gt;S13),AR3224,"")</f>
        <v>#VALUE!</v>
      </c>
      <c r="AQ3224" s="1759">
        <f t="shared" si="109"/>
        <v>3221</v>
      </c>
      <c r="AR3224" s="1756" t="e">
        <f>0.5*(S18+2*AQ3224)*LN(1+2*AQ3224/S18)</f>
        <v>#VALUE!</v>
      </c>
    </row>
    <row r="3225" spans="42:44">
      <c r="AP3225" s="1756" t="e">
        <f>IF(OR(AR3225=S13,AR3225&gt;S13),AR3225,"")</f>
        <v>#VALUE!</v>
      </c>
      <c r="AQ3225" s="1759">
        <f t="shared" si="109"/>
        <v>3222</v>
      </c>
      <c r="AR3225" s="1756" t="e">
        <f>0.5*(S18+2*AQ3225)*LN(1+2*AQ3225/S18)</f>
        <v>#VALUE!</v>
      </c>
    </row>
    <row r="3226" spans="42:44">
      <c r="AP3226" s="1756" t="e">
        <f>IF(OR(AR3226=S13,AR3226&gt;S13),AR3226,"")</f>
        <v>#VALUE!</v>
      </c>
      <c r="AQ3226" s="1759">
        <f t="shared" si="109"/>
        <v>3223</v>
      </c>
      <c r="AR3226" s="1756" t="e">
        <f>0.5*(S18+2*AQ3226)*LN(1+2*AQ3226/S18)</f>
        <v>#VALUE!</v>
      </c>
    </row>
    <row r="3227" spans="42:44">
      <c r="AP3227" s="1756" t="e">
        <f>IF(OR(AR3227=S13,AR3227&gt;S13),AR3227,"")</f>
        <v>#VALUE!</v>
      </c>
      <c r="AQ3227" s="1759">
        <f t="shared" si="109"/>
        <v>3224</v>
      </c>
      <c r="AR3227" s="1756" t="e">
        <f>0.5*(S18+2*AQ3227)*LN(1+2*AQ3227/S18)</f>
        <v>#VALUE!</v>
      </c>
    </row>
    <row r="3228" spans="42:44">
      <c r="AP3228" s="1756" t="e">
        <f>IF(OR(AR3228=S13,AR3228&gt;S13),AR3228,"")</f>
        <v>#VALUE!</v>
      </c>
      <c r="AQ3228" s="1759">
        <f t="shared" si="109"/>
        <v>3225</v>
      </c>
      <c r="AR3228" s="1756" t="e">
        <f>0.5*(S18+2*AQ3228)*LN(1+2*AQ3228/S18)</f>
        <v>#VALUE!</v>
      </c>
    </row>
    <row r="3229" spans="42:44">
      <c r="AP3229" s="1756" t="e">
        <f>IF(OR(AR3229=S13,AR3229&gt;S13),AR3229,"")</f>
        <v>#VALUE!</v>
      </c>
      <c r="AQ3229" s="1759">
        <f t="shared" si="109"/>
        <v>3226</v>
      </c>
      <c r="AR3229" s="1756" t="e">
        <f>0.5*(S18+2*AQ3229)*LN(1+2*AQ3229/S18)</f>
        <v>#VALUE!</v>
      </c>
    </row>
    <row r="3230" spans="42:44">
      <c r="AP3230" s="1756" t="e">
        <f>IF(OR(AR3230=S13,AR3230&gt;S13),AR3230,"")</f>
        <v>#VALUE!</v>
      </c>
      <c r="AQ3230" s="1759">
        <f t="shared" si="109"/>
        <v>3227</v>
      </c>
      <c r="AR3230" s="1756" t="e">
        <f>0.5*(S18+2*AQ3230)*LN(1+2*AQ3230/S18)</f>
        <v>#VALUE!</v>
      </c>
    </row>
    <row r="3231" spans="42:44">
      <c r="AP3231" s="1756" t="e">
        <f>IF(OR(AR3231=S13,AR3231&gt;S13),AR3231,"")</f>
        <v>#VALUE!</v>
      </c>
      <c r="AQ3231" s="1759">
        <f t="shared" si="109"/>
        <v>3228</v>
      </c>
      <c r="AR3231" s="1756" t="e">
        <f>0.5*(S18+2*AQ3231)*LN(1+2*AQ3231/S18)</f>
        <v>#VALUE!</v>
      </c>
    </row>
    <row r="3232" spans="42:44">
      <c r="AP3232" s="1756" t="e">
        <f>IF(OR(AR3232=S13,AR3232&gt;S13),AR3232,"")</f>
        <v>#VALUE!</v>
      </c>
      <c r="AQ3232" s="1759">
        <f t="shared" si="109"/>
        <v>3229</v>
      </c>
      <c r="AR3232" s="1756" t="e">
        <f>0.5*(S18+2*AQ3232)*LN(1+2*AQ3232/S18)</f>
        <v>#VALUE!</v>
      </c>
    </row>
    <row r="3233" spans="42:44">
      <c r="AP3233" s="1756" t="e">
        <f>IF(OR(AR3233=S13,AR3233&gt;S13),AR3233,"")</f>
        <v>#VALUE!</v>
      </c>
      <c r="AQ3233" s="1759">
        <f t="shared" si="109"/>
        <v>3230</v>
      </c>
      <c r="AR3233" s="1756" t="e">
        <f>0.5*(S18+2*AQ3233)*LN(1+2*AQ3233/S18)</f>
        <v>#VALUE!</v>
      </c>
    </row>
    <row r="3234" spans="42:44">
      <c r="AP3234" s="1756" t="e">
        <f>IF(OR(AR3234=S13,AR3234&gt;S13),AR3234,"")</f>
        <v>#VALUE!</v>
      </c>
      <c r="AQ3234" s="1759">
        <f t="shared" si="109"/>
        <v>3231</v>
      </c>
      <c r="AR3234" s="1756" t="e">
        <f>0.5*(S18+2*AQ3234)*LN(1+2*AQ3234/S18)</f>
        <v>#VALUE!</v>
      </c>
    </row>
    <row r="3235" spans="42:44">
      <c r="AP3235" s="1756" t="e">
        <f>IF(OR(AR3235=S13,AR3235&gt;S13),AR3235,"")</f>
        <v>#VALUE!</v>
      </c>
      <c r="AQ3235" s="1759">
        <f t="shared" si="109"/>
        <v>3232</v>
      </c>
      <c r="AR3235" s="1756" t="e">
        <f>0.5*(S18+2*AQ3235)*LN(1+2*AQ3235/S18)</f>
        <v>#VALUE!</v>
      </c>
    </row>
    <row r="3236" spans="42:44">
      <c r="AP3236" s="1756" t="e">
        <f>IF(OR(AR3236=S13,AR3236&gt;S13),AR3236,"")</f>
        <v>#VALUE!</v>
      </c>
      <c r="AQ3236" s="1759">
        <f t="shared" si="109"/>
        <v>3233</v>
      </c>
      <c r="AR3236" s="1756" t="e">
        <f>0.5*(S18+2*AQ3236)*LN(1+2*AQ3236/S18)</f>
        <v>#VALUE!</v>
      </c>
    </row>
    <row r="3237" spans="42:44">
      <c r="AP3237" s="1756" t="e">
        <f>IF(OR(AR3237=S13,AR3237&gt;S13),AR3237,"")</f>
        <v>#VALUE!</v>
      </c>
      <c r="AQ3237" s="1759">
        <f t="shared" si="109"/>
        <v>3234</v>
      </c>
      <c r="AR3237" s="1756" t="e">
        <f>0.5*(S18+2*AQ3237)*LN(1+2*AQ3237/S18)</f>
        <v>#VALUE!</v>
      </c>
    </row>
    <row r="3238" spans="42:44">
      <c r="AP3238" s="1756" t="e">
        <f>IF(OR(AR3238=S13,AR3238&gt;S13),AR3238,"")</f>
        <v>#VALUE!</v>
      </c>
      <c r="AQ3238" s="1759">
        <f t="shared" si="109"/>
        <v>3235</v>
      </c>
      <c r="AR3238" s="1756" t="e">
        <f>0.5*(S18+2*AQ3238)*LN(1+2*AQ3238/S18)</f>
        <v>#VALUE!</v>
      </c>
    </row>
    <row r="3239" spans="42:44">
      <c r="AP3239" s="1756" t="e">
        <f>IF(OR(AR3239=S13,AR3239&gt;S13),AR3239,"")</f>
        <v>#VALUE!</v>
      </c>
      <c r="AQ3239" s="1759">
        <f t="shared" si="109"/>
        <v>3236</v>
      </c>
      <c r="AR3239" s="1756" t="e">
        <f>0.5*(S18+2*AQ3239)*LN(1+2*AQ3239/S18)</f>
        <v>#VALUE!</v>
      </c>
    </row>
    <row r="3240" spans="42:44">
      <c r="AP3240" s="1756" t="e">
        <f>IF(OR(AR3240=S13,AR3240&gt;S13),AR3240,"")</f>
        <v>#VALUE!</v>
      </c>
      <c r="AQ3240" s="1759">
        <f t="shared" si="109"/>
        <v>3237</v>
      </c>
      <c r="AR3240" s="1756" t="e">
        <f>0.5*(S18+2*AQ3240)*LN(1+2*AQ3240/S18)</f>
        <v>#VALUE!</v>
      </c>
    </row>
    <row r="3241" spans="42:44">
      <c r="AP3241" s="1756" t="e">
        <f>IF(OR(AR3241=S13,AR3241&gt;S13),AR3241,"")</f>
        <v>#VALUE!</v>
      </c>
      <c r="AQ3241" s="1759">
        <f t="shared" si="109"/>
        <v>3238</v>
      </c>
      <c r="AR3241" s="1756" t="e">
        <f>0.5*(S18+2*AQ3241)*LN(1+2*AQ3241/S18)</f>
        <v>#VALUE!</v>
      </c>
    </row>
    <row r="3242" spans="42:44">
      <c r="AP3242" s="1756" t="e">
        <f>IF(OR(AR3242=S13,AR3242&gt;S13),AR3242,"")</f>
        <v>#VALUE!</v>
      </c>
      <c r="AQ3242" s="1759">
        <f t="shared" si="109"/>
        <v>3239</v>
      </c>
      <c r="AR3242" s="1756" t="e">
        <f>0.5*(S18+2*AQ3242)*LN(1+2*AQ3242/S18)</f>
        <v>#VALUE!</v>
      </c>
    </row>
    <row r="3243" spans="42:44">
      <c r="AP3243" s="1756" t="e">
        <f>IF(OR(AR3243=S13,AR3243&gt;S13),AR3243,"")</f>
        <v>#VALUE!</v>
      </c>
      <c r="AQ3243" s="1759">
        <f t="shared" si="109"/>
        <v>3240</v>
      </c>
      <c r="AR3243" s="1756" t="e">
        <f>0.5*(S18+2*AQ3243)*LN(1+2*AQ3243/S18)</f>
        <v>#VALUE!</v>
      </c>
    </row>
    <row r="3244" spans="42:44">
      <c r="AP3244" s="1756" t="e">
        <f>IF(OR(AR3244=S13,AR3244&gt;S13),AR3244,"")</f>
        <v>#VALUE!</v>
      </c>
      <c r="AQ3244" s="1759">
        <f t="shared" si="109"/>
        <v>3241</v>
      </c>
      <c r="AR3244" s="1756" t="e">
        <f>0.5*(S18+2*AQ3244)*LN(1+2*AQ3244/S18)</f>
        <v>#VALUE!</v>
      </c>
    </row>
    <row r="3245" spans="42:44">
      <c r="AP3245" s="1756" t="e">
        <f>IF(OR(AR3245=S13,AR3245&gt;S13),AR3245,"")</f>
        <v>#VALUE!</v>
      </c>
      <c r="AQ3245" s="1759">
        <f t="shared" si="109"/>
        <v>3242</v>
      </c>
      <c r="AR3245" s="1756" t="e">
        <f>0.5*(S18+2*AQ3245)*LN(1+2*AQ3245/S18)</f>
        <v>#VALUE!</v>
      </c>
    </row>
    <row r="3246" spans="42:44">
      <c r="AP3246" s="1756" t="e">
        <f>IF(OR(AR3246=S13,AR3246&gt;S13),AR3246,"")</f>
        <v>#VALUE!</v>
      </c>
      <c r="AQ3246" s="1759">
        <f t="shared" si="109"/>
        <v>3243</v>
      </c>
      <c r="AR3246" s="1756" t="e">
        <f>0.5*(S18+2*AQ3246)*LN(1+2*AQ3246/S18)</f>
        <v>#VALUE!</v>
      </c>
    </row>
    <row r="3247" spans="42:44">
      <c r="AP3247" s="1756" t="e">
        <f>IF(OR(AR3247=S13,AR3247&gt;S13),AR3247,"")</f>
        <v>#VALUE!</v>
      </c>
      <c r="AQ3247" s="1759">
        <f t="shared" si="109"/>
        <v>3244</v>
      </c>
      <c r="AR3247" s="1756" t="e">
        <f>0.5*(S18+2*AQ3247)*LN(1+2*AQ3247/S18)</f>
        <v>#VALUE!</v>
      </c>
    </row>
    <row r="3248" spans="42:44">
      <c r="AP3248" s="1756" t="e">
        <f>IF(OR(AR3248=S13,AR3248&gt;S13),AR3248,"")</f>
        <v>#VALUE!</v>
      </c>
      <c r="AQ3248" s="1759">
        <f t="shared" si="109"/>
        <v>3245</v>
      </c>
      <c r="AR3248" s="1756" t="e">
        <f>0.5*(S18+2*AQ3248)*LN(1+2*AQ3248/S18)</f>
        <v>#VALUE!</v>
      </c>
    </row>
    <row r="3249" spans="42:44">
      <c r="AP3249" s="1756" t="e">
        <f>IF(OR(AR3249=S13,AR3249&gt;S13),AR3249,"")</f>
        <v>#VALUE!</v>
      </c>
      <c r="AQ3249" s="1759">
        <f t="shared" si="109"/>
        <v>3246</v>
      </c>
      <c r="AR3249" s="1756" t="e">
        <f>0.5*(S18+2*AQ3249)*LN(1+2*AQ3249/S18)</f>
        <v>#VALUE!</v>
      </c>
    </row>
    <row r="3250" spans="42:44">
      <c r="AP3250" s="1756" t="e">
        <f>IF(OR(AR3250=S13,AR3250&gt;S13),AR3250,"")</f>
        <v>#VALUE!</v>
      </c>
      <c r="AQ3250" s="1759">
        <f t="shared" si="109"/>
        <v>3247</v>
      </c>
      <c r="AR3250" s="1756" t="e">
        <f>0.5*(S18+2*AQ3250)*LN(1+2*AQ3250/S18)</f>
        <v>#VALUE!</v>
      </c>
    </row>
    <row r="3251" spans="42:44">
      <c r="AP3251" s="1756" t="e">
        <f>IF(OR(AR3251=S13,AR3251&gt;S13),AR3251,"")</f>
        <v>#VALUE!</v>
      </c>
      <c r="AQ3251" s="1759">
        <f t="shared" si="109"/>
        <v>3248</v>
      </c>
      <c r="AR3251" s="1756" t="e">
        <f>0.5*(S18+2*AQ3251)*LN(1+2*AQ3251/S18)</f>
        <v>#VALUE!</v>
      </c>
    </row>
    <row r="3252" spans="42:44">
      <c r="AP3252" s="1756" t="e">
        <f>IF(OR(AR3252=S13,AR3252&gt;S13),AR3252,"")</f>
        <v>#VALUE!</v>
      </c>
      <c r="AQ3252" s="1759">
        <f t="shared" si="109"/>
        <v>3249</v>
      </c>
      <c r="AR3252" s="1756" t="e">
        <f>0.5*(S18+2*AQ3252)*LN(1+2*AQ3252/S18)</f>
        <v>#VALUE!</v>
      </c>
    </row>
    <row r="3253" spans="42:44">
      <c r="AP3253" s="1756" t="e">
        <f>IF(OR(AR3253=S13,AR3253&gt;S13),AR3253,"")</f>
        <v>#VALUE!</v>
      </c>
      <c r="AQ3253" s="1759">
        <f t="shared" si="109"/>
        <v>3250</v>
      </c>
      <c r="AR3253" s="1756" t="e">
        <f>0.5*(S18+2*AQ3253)*LN(1+2*AQ3253/S18)</f>
        <v>#VALUE!</v>
      </c>
    </row>
    <row r="3254" spans="42:44">
      <c r="AP3254" s="1756" t="e">
        <f>IF(OR(AR3254=S13,AR3254&gt;S13),AR3254,"")</f>
        <v>#VALUE!</v>
      </c>
      <c r="AQ3254" s="1759">
        <f t="shared" si="109"/>
        <v>3251</v>
      </c>
      <c r="AR3254" s="1756" t="e">
        <f>0.5*(S18+2*AQ3254)*LN(1+2*AQ3254/S18)</f>
        <v>#VALUE!</v>
      </c>
    </row>
    <row r="3255" spans="42:44">
      <c r="AP3255" s="1756" t="e">
        <f>IF(OR(AR3255=S13,AR3255&gt;S13),AR3255,"")</f>
        <v>#VALUE!</v>
      </c>
      <c r="AQ3255" s="1759">
        <f t="shared" si="109"/>
        <v>3252</v>
      </c>
      <c r="AR3255" s="1756" t="e">
        <f>0.5*(S18+2*AQ3255)*LN(1+2*AQ3255/S18)</f>
        <v>#VALUE!</v>
      </c>
    </row>
    <row r="3256" spans="42:44">
      <c r="AP3256" s="1756" t="e">
        <f>IF(OR(AR3256=S13,AR3256&gt;S13),AR3256,"")</f>
        <v>#VALUE!</v>
      </c>
      <c r="AQ3256" s="1759">
        <f t="shared" si="109"/>
        <v>3253</v>
      </c>
      <c r="AR3256" s="1756" t="e">
        <f>0.5*(S18+2*AQ3256)*LN(1+2*AQ3256/S18)</f>
        <v>#VALUE!</v>
      </c>
    </row>
    <row r="3257" spans="42:44">
      <c r="AP3257" s="1756" t="e">
        <f>IF(OR(AR3257=S13,AR3257&gt;S13),AR3257,"")</f>
        <v>#VALUE!</v>
      </c>
      <c r="AQ3257" s="1759">
        <f t="shared" si="109"/>
        <v>3254</v>
      </c>
      <c r="AR3257" s="1756" t="e">
        <f>0.5*(S18+2*AQ3257)*LN(1+2*AQ3257/S18)</f>
        <v>#VALUE!</v>
      </c>
    </row>
    <row r="3258" spans="42:44">
      <c r="AP3258" s="1756" t="e">
        <f>IF(OR(AR3258=S13,AR3258&gt;S13),AR3258,"")</f>
        <v>#VALUE!</v>
      </c>
      <c r="AQ3258" s="1759">
        <f t="shared" si="109"/>
        <v>3255</v>
      </c>
      <c r="AR3258" s="1756" t="e">
        <f>0.5*(S18+2*AQ3258)*LN(1+2*AQ3258/S18)</f>
        <v>#VALUE!</v>
      </c>
    </row>
    <row r="3259" spans="42:44">
      <c r="AP3259" s="1756" t="e">
        <f>IF(OR(AR3259=S13,AR3259&gt;S13),AR3259,"")</f>
        <v>#VALUE!</v>
      </c>
      <c r="AQ3259" s="1759">
        <f t="shared" si="109"/>
        <v>3256</v>
      </c>
      <c r="AR3259" s="1756" t="e">
        <f>0.5*(S18+2*AQ3259)*LN(1+2*AQ3259/S18)</f>
        <v>#VALUE!</v>
      </c>
    </row>
    <row r="3260" spans="42:44">
      <c r="AP3260" s="1756" t="e">
        <f>IF(OR(AR3260=S13,AR3260&gt;S13),AR3260,"")</f>
        <v>#VALUE!</v>
      </c>
      <c r="AQ3260" s="1759">
        <f t="shared" si="109"/>
        <v>3257</v>
      </c>
      <c r="AR3260" s="1756" t="e">
        <f>0.5*(S18+2*AQ3260)*LN(1+2*AQ3260/S18)</f>
        <v>#VALUE!</v>
      </c>
    </row>
    <row r="3261" spans="42:44">
      <c r="AP3261" s="1756" t="e">
        <f>IF(OR(AR3261=S13,AR3261&gt;S13),AR3261,"")</f>
        <v>#VALUE!</v>
      </c>
      <c r="AQ3261" s="1759">
        <f t="shared" si="109"/>
        <v>3258</v>
      </c>
      <c r="AR3261" s="1756" t="e">
        <f>0.5*(S18+2*AQ3261)*LN(1+2*AQ3261/S18)</f>
        <v>#VALUE!</v>
      </c>
    </row>
    <row r="3262" spans="42:44">
      <c r="AP3262" s="1756" t="e">
        <f>IF(OR(AR3262=S13,AR3262&gt;S13),AR3262,"")</f>
        <v>#VALUE!</v>
      </c>
      <c r="AQ3262" s="1759">
        <f t="shared" si="109"/>
        <v>3259</v>
      </c>
      <c r="AR3262" s="1756" t="e">
        <f>0.5*(S18+2*AQ3262)*LN(1+2*AQ3262/S18)</f>
        <v>#VALUE!</v>
      </c>
    </row>
    <row r="3263" spans="42:44">
      <c r="AP3263" s="1756" t="e">
        <f>IF(OR(AR3263=S13,AR3263&gt;S13),AR3263,"")</f>
        <v>#VALUE!</v>
      </c>
      <c r="AQ3263" s="1759">
        <f t="shared" si="109"/>
        <v>3260</v>
      </c>
      <c r="AR3263" s="1756" t="e">
        <f>0.5*(S18+2*AQ3263)*LN(1+2*AQ3263/S18)</f>
        <v>#VALUE!</v>
      </c>
    </row>
    <row r="3264" spans="42:44">
      <c r="AP3264" s="1756" t="e">
        <f>IF(OR(AR3264=S13,AR3264&gt;S13),AR3264,"")</f>
        <v>#VALUE!</v>
      </c>
      <c r="AQ3264" s="1759">
        <f t="shared" si="109"/>
        <v>3261</v>
      </c>
      <c r="AR3264" s="1756" t="e">
        <f>0.5*(S18+2*AQ3264)*LN(1+2*AQ3264/S18)</f>
        <v>#VALUE!</v>
      </c>
    </row>
    <row r="3265" spans="42:44">
      <c r="AP3265" s="1756" t="e">
        <f>IF(OR(AR3265=S13,AR3265&gt;S13),AR3265,"")</f>
        <v>#VALUE!</v>
      </c>
      <c r="AQ3265" s="1759">
        <f t="shared" si="109"/>
        <v>3262</v>
      </c>
      <c r="AR3265" s="1756" t="e">
        <f>0.5*(S18+2*AQ3265)*LN(1+2*AQ3265/S18)</f>
        <v>#VALUE!</v>
      </c>
    </row>
    <row r="3266" spans="42:44">
      <c r="AP3266" s="1756" t="e">
        <f>IF(OR(AR3266=S13,AR3266&gt;S13),AR3266,"")</f>
        <v>#VALUE!</v>
      </c>
      <c r="AQ3266" s="1759">
        <f t="shared" si="109"/>
        <v>3263</v>
      </c>
      <c r="AR3266" s="1756" t="e">
        <f>0.5*(S18+2*AQ3266)*LN(1+2*AQ3266/S18)</f>
        <v>#VALUE!</v>
      </c>
    </row>
    <row r="3267" spans="42:44">
      <c r="AP3267" s="1756" t="e">
        <f>IF(OR(AR3267=S13,AR3267&gt;S13),AR3267,"")</f>
        <v>#VALUE!</v>
      </c>
      <c r="AQ3267" s="1759">
        <f t="shared" si="109"/>
        <v>3264</v>
      </c>
      <c r="AR3267" s="1756" t="e">
        <f>0.5*(S18+2*AQ3267)*LN(1+2*AQ3267/S18)</f>
        <v>#VALUE!</v>
      </c>
    </row>
    <row r="3268" spans="42:44">
      <c r="AP3268" s="1756" t="e">
        <f>IF(OR(AR3268=S13,AR3268&gt;S13),AR3268,"")</f>
        <v>#VALUE!</v>
      </c>
      <c r="AQ3268" s="1759">
        <f t="shared" si="109"/>
        <v>3265</v>
      </c>
      <c r="AR3268" s="1756" t="e">
        <f>0.5*(S18+2*AQ3268)*LN(1+2*AQ3268/S18)</f>
        <v>#VALUE!</v>
      </c>
    </row>
    <row r="3269" spans="42:44">
      <c r="AP3269" s="1756" t="e">
        <f>IF(OR(AR3269=S13,AR3269&gt;S13),AR3269,"")</f>
        <v>#VALUE!</v>
      </c>
      <c r="AQ3269" s="1759">
        <f t="shared" si="109"/>
        <v>3266</v>
      </c>
      <c r="AR3269" s="1756" t="e">
        <f>0.5*(S18+2*AQ3269)*LN(1+2*AQ3269/S18)</f>
        <v>#VALUE!</v>
      </c>
    </row>
    <row r="3270" spans="42:44">
      <c r="AP3270" s="1756" t="e">
        <f>IF(OR(AR3270=S13,AR3270&gt;S13),AR3270,"")</f>
        <v>#VALUE!</v>
      </c>
      <c r="AQ3270" s="1759">
        <f t="shared" ref="AQ3270:AQ3333" si="110">AQ3269+1</f>
        <v>3267</v>
      </c>
      <c r="AR3270" s="1756" t="e">
        <f>0.5*(S18+2*AQ3270)*LN(1+2*AQ3270/S18)</f>
        <v>#VALUE!</v>
      </c>
    </row>
    <row r="3271" spans="42:44">
      <c r="AP3271" s="1756" t="e">
        <f>IF(OR(AR3271=S13,AR3271&gt;S13),AR3271,"")</f>
        <v>#VALUE!</v>
      </c>
      <c r="AQ3271" s="1759">
        <f t="shared" si="110"/>
        <v>3268</v>
      </c>
      <c r="AR3271" s="1756" t="e">
        <f>0.5*(S18+2*AQ3271)*LN(1+2*AQ3271/S18)</f>
        <v>#VALUE!</v>
      </c>
    </row>
    <row r="3272" spans="42:44">
      <c r="AP3272" s="1756" t="e">
        <f>IF(OR(AR3272=S13,AR3272&gt;S13),AR3272,"")</f>
        <v>#VALUE!</v>
      </c>
      <c r="AQ3272" s="1759">
        <f t="shared" si="110"/>
        <v>3269</v>
      </c>
      <c r="AR3272" s="1756" t="e">
        <f>0.5*(S18+2*AQ3272)*LN(1+2*AQ3272/S18)</f>
        <v>#VALUE!</v>
      </c>
    </row>
    <row r="3273" spans="42:44">
      <c r="AP3273" s="1756" t="e">
        <f>IF(OR(AR3273=S13,AR3273&gt;S13),AR3273,"")</f>
        <v>#VALUE!</v>
      </c>
      <c r="AQ3273" s="1759">
        <f t="shared" si="110"/>
        <v>3270</v>
      </c>
      <c r="AR3273" s="1756" t="e">
        <f>0.5*(S18+2*AQ3273)*LN(1+2*AQ3273/S18)</f>
        <v>#VALUE!</v>
      </c>
    </row>
    <row r="3274" spans="42:44">
      <c r="AP3274" s="1756" t="e">
        <f>IF(OR(AR3274=S13,AR3274&gt;S13),AR3274,"")</f>
        <v>#VALUE!</v>
      </c>
      <c r="AQ3274" s="1759">
        <f t="shared" si="110"/>
        <v>3271</v>
      </c>
      <c r="AR3274" s="1756" t="e">
        <f>0.5*(S18+2*AQ3274)*LN(1+2*AQ3274/S18)</f>
        <v>#VALUE!</v>
      </c>
    </row>
    <row r="3275" spans="42:44">
      <c r="AP3275" s="1756" t="e">
        <f>IF(OR(AR3275=S13,AR3275&gt;S13),AR3275,"")</f>
        <v>#VALUE!</v>
      </c>
      <c r="AQ3275" s="1759">
        <f t="shared" si="110"/>
        <v>3272</v>
      </c>
      <c r="AR3275" s="1756" t="e">
        <f>0.5*(S18+2*AQ3275)*LN(1+2*AQ3275/S18)</f>
        <v>#VALUE!</v>
      </c>
    </row>
    <row r="3276" spans="42:44">
      <c r="AP3276" s="1756" t="e">
        <f>IF(OR(AR3276=S13,AR3276&gt;S13),AR3276,"")</f>
        <v>#VALUE!</v>
      </c>
      <c r="AQ3276" s="1759">
        <f t="shared" si="110"/>
        <v>3273</v>
      </c>
      <c r="AR3276" s="1756" t="e">
        <f>0.5*(S18+2*AQ3276)*LN(1+2*AQ3276/S18)</f>
        <v>#VALUE!</v>
      </c>
    </row>
    <row r="3277" spans="42:44">
      <c r="AP3277" s="1756" t="e">
        <f>IF(OR(AR3277=S13,AR3277&gt;S13),AR3277,"")</f>
        <v>#VALUE!</v>
      </c>
      <c r="AQ3277" s="1759">
        <f t="shared" si="110"/>
        <v>3274</v>
      </c>
      <c r="AR3277" s="1756" t="e">
        <f>0.5*(S18+2*AQ3277)*LN(1+2*AQ3277/S18)</f>
        <v>#VALUE!</v>
      </c>
    </row>
    <row r="3278" spans="42:44">
      <c r="AP3278" s="1756" t="e">
        <f>IF(OR(AR3278=S13,AR3278&gt;S13),AR3278,"")</f>
        <v>#VALUE!</v>
      </c>
      <c r="AQ3278" s="1759">
        <f t="shared" si="110"/>
        <v>3275</v>
      </c>
      <c r="AR3278" s="1756" t="e">
        <f>0.5*(S18+2*AQ3278)*LN(1+2*AQ3278/S18)</f>
        <v>#VALUE!</v>
      </c>
    </row>
    <row r="3279" spans="42:44">
      <c r="AP3279" s="1756" t="e">
        <f>IF(OR(AR3279=S13,AR3279&gt;S13),AR3279,"")</f>
        <v>#VALUE!</v>
      </c>
      <c r="AQ3279" s="1759">
        <f t="shared" si="110"/>
        <v>3276</v>
      </c>
      <c r="AR3279" s="1756" t="e">
        <f>0.5*(S18+2*AQ3279)*LN(1+2*AQ3279/S18)</f>
        <v>#VALUE!</v>
      </c>
    </row>
    <row r="3280" spans="42:44">
      <c r="AP3280" s="1756" t="e">
        <f>IF(OR(AR3280=S13,AR3280&gt;S13),AR3280,"")</f>
        <v>#VALUE!</v>
      </c>
      <c r="AQ3280" s="1759">
        <f t="shared" si="110"/>
        <v>3277</v>
      </c>
      <c r="AR3280" s="1756" t="e">
        <f>0.5*(S18+2*AQ3280)*LN(1+2*AQ3280/S18)</f>
        <v>#VALUE!</v>
      </c>
    </row>
    <row r="3281" spans="42:44">
      <c r="AP3281" s="1756" t="e">
        <f>IF(OR(AR3281=S13,AR3281&gt;S13),AR3281,"")</f>
        <v>#VALUE!</v>
      </c>
      <c r="AQ3281" s="1759">
        <f t="shared" si="110"/>
        <v>3278</v>
      </c>
      <c r="AR3281" s="1756" t="e">
        <f>0.5*(S18+2*AQ3281)*LN(1+2*AQ3281/S18)</f>
        <v>#VALUE!</v>
      </c>
    </row>
    <row r="3282" spans="42:44">
      <c r="AP3282" s="1756" t="e">
        <f>IF(OR(AR3282=S13,AR3282&gt;S13),AR3282,"")</f>
        <v>#VALUE!</v>
      </c>
      <c r="AQ3282" s="1759">
        <f t="shared" si="110"/>
        <v>3279</v>
      </c>
      <c r="AR3282" s="1756" t="e">
        <f>0.5*(S18+2*AQ3282)*LN(1+2*AQ3282/S18)</f>
        <v>#VALUE!</v>
      </c>
    </row>
    <row r="3283" spans="42:44">
      <c r="AP3283" s="1756" t="e">
        <f>IF(OR(AR3283=S13,AR3283&gt;S13),AR3283,"")</f>
        <v>#VALUE!</v>
      </c>
      <c r="AQ3283" s="1759">
        <f t="shared" si="110"/>
        <v>3280</v>
      </c>
      <c r="AR3283" s="1756" t="e">
        <f>0.5*(S18+2*AQ3283)*LN(1+2*AQ3283/S18)</f>
        <v>#VALUE!</v>
      </c>
    </row>
    <row r="3284" spans="42:44">
      <c r="AP3284" s="1756" t="e">
        <f>IF(OR(AR3284=S13,AR3284&gt;S13),AR3284,"")</f>
        <v>#VALUE!</v>
      </c>
      <c r="AQ3284" s="1759">
        <f t="shared" si="110"/>
        <v>3281</v>
      </c>
      <c r="AR3284" s="1756" t="e">
        <f>0.5*(S18+2*AQ3284)*LN(1+2*AQ3284/S18)</f>
        <v>#VALUE!</v>
      </c>
    </row>
    <row r="3285" spans="42:44">
      <c r="AP3285" s="1756" t="e">
        <f>IF(OR(AR3285=S13,AR3285&gt;S13),AR3285,"")</f>
        <v>#VALUE!</v>
      </c>
      <c r="AQ3285" s="1759">
        <f t="shared" si="110"/>
        <v>3282</v>
      </c>
      <c r="AR3285" s="1756" t="e">
        <f>0.5*(S18+2*AQ3285)*LN(1+2*AQ3285/S18)</f>
        <v>#VALUE!</v>
      </c>
    </row>
    <row r="3286" spans="42:44">
      <c r="AP3286" s="1756" t="e">
        <f>IF(OR(AR3286=S13,AR3286&gt;S13),AR3286,"")</f>
        <v>#VALUE!</v>
      </c>
      <c r="AQ3286" s="1759">
        <f t="shared" si="110"/>
        <v>3283</v>
      </c>
      <c r="AR3286" s="1756" t="e">
        <f>0.5*(S18+2*AQ3286)*LN(1+2*AQ3286/S18)</f>
        <v>#VALUE!</v>
      </c>
    </row>
    <row r="3287" spans="42:44">
      <c r="AP3287" s="1756" t="e">
        <f>IF(OR(AR3287=S13,AR3287&gt;S13),AR3287,"")</f>
        <v>#VALUE!</v>
      </c>
      <c r="AQ3287" s="1759">
        <f t="shared" si="110"/>
        <v>3284</v>
      </c>
      <c r="AR3287" s="1756" t="e">
        <f>0.5*(S18+2*AQ3287)*LN(1+2*AQ3287/S18)</f>
        <v>#VALUE!</v>
      </c>
    </row>
    <row r="3288" spans="42:44">
      <c r="AP3288" s="1756" t="e">
        <f>IF(OR(AR3288=S13,AR3288&gt;S13),AR3288,"")</f>
        <v>#VALUE!</v>
      </c>
      <c r="AQ3288" s="1759">
        <f t="shared" si="110"/>
        <v>3285</v>
      </c>
      <c r="AR3288" s="1756" t="e">
        <f>0.5*(S18+2*AQ3288)*LN(1+2*AQ3288/S18)</f>
        <v>#VALUE!</v>
      </c>
    </row>
    <row r="3289" spans="42:44">
      <c r="AP3289" s="1756" t="e">
        <f>IF(OR(AR3289=S13,AR3289&gt;S13),AR3289,"")</f>
        <v>#VALUE!</v>
      </c>
      <c r="AQ3289" s="1759">
        <f t="shared" si="110"/>
        <v>3286</v>
      </c>
      <c r="AR3289" s="1756" t="e">
        <f>0.5*(S18+2*AQ3289)*LN(1+2*AQ3289/S18)</f>
        <v>#VALUE!</v>
      </c>
    </row>
    <row r="3290" spans="42:44">
      <c r="AP3290" s="1756" t="e">
        <f>IF(OR(AR3290=S13,AR3290&gt;S13),AR3290,"")</f>
        <v>#VALUE!</v>
      </c>
      <c r="AQ3290" s="1759">
        <f t="shared" si="110"/>
        <v>3287</v>
      </c>
      <c r="AR3290" s="1756" t="e">
        <f>0.5*(S18+2*AQ3290)*LN(1+2*AQ3290/S18)</f>
        <v>#VALUE!</v>
      </c>
    </row>
    <row r="3291" spans="42:44">
      <c r="AP3291" s="1756" t="e">
        <f>IF(OR(AR3291=S13,AR3291&gt;S13),AR3291,"")</f>
        <v>#VALUE!</v>
      </c>
      <c r="AQ3291" s="1759">
        <f t="shared" si="110"/>
        <v>3288</v>
      </c>
      <c r="AR3291" s="1756" t="e">
        <f>0.5*(S18+2*AQ3291)*LN(1+2*AQ3291/S18)</f>
        <v>#VALUE!</v>
      </c>
    </row>
    <row r="3292" spans="42:44">
      <c r="AP3292" s="1756" t="e">
        <f>IF(OR(AR3292=S13,AR3292&gt;S13),AR3292,"")</f>
        <v>#VALUE!</v>
      </c>
      <c r="AQ3292" s="1759">
        <f t="shared" si="110"/>
        <v>3289</v>
      </c>
      <c r="AR3292" s="1756" t="e">
        <f>0.5*(S18+2*AQ3292)*LN(1+2*AQ3292/S18)</f>
        <v>#VALUE!</v>
      </c>
    </row>
    <row r="3293" spans="42:44">
      <c r="AP3293" s="1756" t="e">
        <f>IF(OR(AR3293=S13,AR3293&gt;S13),AR3293,"")</f>
        <v>#VALUE!</v>
      </c>
      <c r="AQ3293" s="1759">
        <f t="shared" si="110"/>
        <v>3290</v>
      </c>
      <c r="AR3293" s="1756" t="e">
        <f>0.5*(S18+2*AQ3293)*LN(1+2*AQ3293/S18)</f>
        <v>#VALUE!</v>
      </c>
    </row>
    <row r="3294" spans="42:44">
      <c r="AP3294" s="1756" t="e">
        <f>IF(OR(AR3294=S13,AR3294&gt;S13),AR3294,"")</f>
        <v>#VALUE!</v>
      </c>
      <c r="AQ3294" s="1759">
        <f t="shared" si="110"/>
        <v>3291</v>
      </c>
      <c r="AR3294" s="1756" t="e">
        <f>0.5*(S18+2*AQ3294)*LN(1+2*AQ3294/S18)</f>
        <v>#VALUE!</v>
      </c>
    </row>
    <row r="3295" spans="42:44">
      <c r="AP3295" s="1756" t="e">
        <f>IF(OR(AR3295=S13,AR3295&gt;S13),AR3295,"")</f>
        <v>#VALUE!</v>
      </c>
      <c r="AQ3295" s="1759">
        <f t="shared" si="110"/>
        <v>3292</v>
      </c>
      <c r="AR3295" s="1756" t="e">
        <f>0.5*(S18+2*AQ3295)*LN(1+2*AQ3295/S18)</f>
        <v>#VALUE!</v>
      </c>
    </row>
    <row r="3296" spans="42:44">
      <c r="AP3296" s="1756" t="e">
        <f>IF(OR(AR3296=S13,AR3296&gt;S13),AR3296,"")</f>
        <v>#VALUE!</v>
      </c>
      <c r="AQ3296" s="1759">
        <f t="shared" si="110"/>
        <v>3293</v>
      </c>
      <c r="AR3296" s="1756" t="e">
        <f>0.5*(S18+2*AQ3296)*LN(1+2*AQ3296/S18)</f>
        <v>#VALUE!</v>
      </c>
    </row>
    <row r="3297" spans="42:44">
      <c r="AP3297" s="1756" t="e">
        <f>IF(OR(AR3297=S13,AR3297&gt;S13),AR3297,"")</f>
        <v>#VALUE!</v>
      </c>
      <c r="AQ3297" s="1759">
        <f t="shared" si="110"/>
        <v>3294</v>
      </c>
      <c r="AR3297" s="1756" t="e">
        <f>0.5*(S18+2*AQ3297)*LN(1+2*AQ3297/S18)</f>
        <v>#VALUE!</v>
      </c>
    </row>
    <row r="3298" spans="42:44">
      <c r="AP3298" s="1756" t="e">
        <f>IF(OR(AR3298=S13,AR3298&gt;S13),AR3298,"")</f>
        <v>#VALUE!</v>
      </c>
      <c r="AQ3298" s="1759">
        <f t="shared" si="110"/>
        <v>3295</v>
      </c>
      <c r="AR3298" s="1756" t="e">
        <f>0.5*(S18+2*AQ3298)*LN(1+2*AQ3298/S18)</f>
        <v>#VALUE!</v>
      </c>
    </row>
    <row r="3299" spans="42:44">
      <c r="AP3299" s="1756" t="e">
        <f>IF(OR(AR3299=S13,AR3299&gt;S13),AR3299,"")</f>
        <v>#VALUE!</v>
      </c>
      <c r="AQ3299" s="1759">
        <f t="shared" si="110"/>
        <v>3296</v>
      </c>
      <c r="AR3299" s="1756" t="e">
        <f>0.5*(S18+2*AQ3299)*LN(1+2*AQ3299/S18)</f>
        <v>#VALUE!</v>
      </c>
    </row>
    <row r="3300" spans="42:44">
      <c r="AP3300" s="1756" t="e">
        <f>IF(OR(AR3300=S13,AR3300&gt;S13),AR3300,"")</f>
        <v>#VALUE!</v>
      </c>
      <c r="AQ3300" s="1759">
        <f t="shared" si="110"/>
        <v>3297</v>
      </c>
      <c r="AR3300" s="1756" t="e">
        <f>0.5*(S18+2*AQ3300)*LN(1+2*AQ3300/S18)</f>
        <v>#VALUE!</v>
      </c>
    </row>
    <row r="3301" spans="42:44">
      <c r="AP3301" s="1756" t="e">
        <f>IF(OR(AR3301=S13,AR3301&gt;S13),AR3301,"")</f>
        <v>#VALUE!</v>
      </c>
      <c r="AQ3301" s="1759">
        <f t="shared" si="110"/>
        <v>3298</v>
      </c>
      <c r="AR3301" s="1756" t="e">
        <f>0.5*(S18+2*AQ3301)*LN(1+2*AQ3301/S18)</f>
        <v>#VALUE!</v>
      </c>
    </row>
    <row r="3302" spans="42:44">
      <c r="AP3302" s="1756" t="e">
        <f>IF(OR(AR3302=S13,AR3302&gt;S13),AR3302,"")</f>
        <v>#VALUE!</v>
      </c>
      <c r="AQ3302" s="1759">
        <f t="shared" si="110"/>
        <v>3299</v>
      </c>
      <c r="AR3302" s="1756" t="e">
        <f>0.5*(S18+2*AQ3302)*LN(1+2*AQ3302/S18)</f>
        <v>#VALUE!</v>
      </c>
    </row>
    <row r="3303" spans="42:44">
      <c r="AP3303" s="1756" t="e">
        <f>IF(OR(AR3303=S13,AR3303&gt;S13),AR3303,"")</f>
        <v>#VALUE!</v>
      </c>
      <c r="AQ3303" s="1759">
        <f t="shared" si="110"/>
        <v>3300</v>
      </c>
      <c r="AR3303" s="1756" t="e">
        <f>0.5*(S18+2*AQ3303)*LN(1+2*AQ3303/S18)</f>
        <v>#VALUE!</v>
      </c>
    </row>
    <row r="3304" spans="42:44">
      <c r="AP3304" s="1756" t="e">
        <f>IF(OR(AR3304=S13,AR3304&gt;S13),AR3304,"")</f>
        <v>#VALUE!</v>
      </c>
      <c r="AQ3304" s="1759">
        <f t="shared" si="110"/>
        <v>3301</v>
      </c>
      <c r="AR3304" s="1756" t="e">
        <f>0.5*(S18+2*AQ3304)*LN(1+2*AQ3304/S18)</f>
        <v>#VALUE!</v>
      </c>
    </row>
    <row r="3305" spans="42:44">
      <c r="AP3305" s="1756" t="e">
        <f>IF(OR(AR3305=S13,AR3305&gt;S13),AR3305,"")</f>
        <v>#VALUE!</v>
      </c>
      <c r="AQ3305" s="1759">
        <f t="shared" si="110"/>
        <v>3302</v>
      </c>
      <c r="AR3305" s="1756" t="e">
        <f>0.5*(S18+2*AQ3305)*LN(1+2*AQ3305/S18)</f>
        <v>#VALUE!</v>
      </c>
    </row>
    <row r="3306" spans="42:44">
      <c r="AP3306" s="1756" t="e">
        <f>IF(OR(AR3306=S13,AR3306&gt;S13),AR3306,"")</f>
        <v>#VALUE!</v>
      </c>
      <c r="AQ3306" s="1759">
        <f t="shared" si="110"/>
        <v>3303</v>
      </c>
      <c r="AR3306" s="1756" t="e">
        <f>0.5*(S18+2*AQ3306)*LN(1+2*AQ3306/S18)</f>
        <v>#VALUE!</v>
      </c>
    </row>
    <row r="3307" spans="42:44">
      <c r="AP3307" s="1756" t="e">
        <f>IF(OR(AR3307=S13,AR3307&gt;S13),AR3307,"")</f>
        <v>#VALUE!</v>
      </c>
      <c r="AQ3307" s="1759">
        <f t="shared" si="110"/>
        <v>3304</v>
      </c>
      <c r="AR3307" s="1756" t="e">
        <f>0.5*(S18+2*AQ3307)*LN(1+2*AQ3307/S18)</f>
        <v>#VALUE!</v>
      </c>
    </row>
    <row r="3308" spans="42:44">
      <c r="AP3308" s="1756" t="e">
        <f>IF(OR(AR3308=S13,AR3308&gt;S13),AR3308,"")</f>
        <v>#VALUE!</v>
      </c>
      <c r="AQ3308" s="1759">
        <f t="shared" si="110"/>
        <v>3305</v>
      </c>
      <c r="AR3308" s="1756" t="e">
        <f>0.5*(S18+2*AQ3308)*LN(1+2*AQ3308/S18)</f>
        <v>#VALUE!</v>
      </c>
    </row>
    <row r="3309" spans="42:44">
      <c r="AP3309" s="1756" t="e">
        <f>IF(OR(AR3309=S13,AR3309&gt;S13),AR3309,"")</f>
        <v>#VALUE!</v>
      </c>
      <c r="AQ3309" s="1759">
        <f t="shared" si="110"/>
        <v>3306</v>
      </c>
      <c r="AR3309" s="1756" t="e">
        <f>0.5*(S18+2*AQ3309)*LN(1+2*AQ3309/S18)</f>
        <v>#VALUE!</v>
      </c>
    </row>
    <row r="3310" spans="42:44">
      <c r="AP3310" s="1756" t="e">
        <f>IF(OR(AR3310=S13,AR3310&gt;S13),AR3310,"")</f>
        <v>#VALUE!</v>
      </c>
      <c r="AQ3310" s="1759">
        <f t="shared" si="110"/>
        <v>3307</v>
      </c>
      <c r="AR3310" s="1756" t="e">
        <f>0.5*(S18+2*AQ3310)*LN(1+2*AQ3310/S18)</f>
        <v>#VALUE!</v>
      </c>
    </row>
    <row r="3311" spans="42:44">
      <c r="AP3311" s="1756" t="e">
        <f>IF(OR(AR3311=S13,AR3311&gt;S13),AR3311,"")</f>
        <v>#VALUE!</v>
      </c>
      <c r="AQ3311" s="1759">
        <f t="shared" si="110"/>
        <v>3308</v>
      </c>
      <c r="AR3311" s="1756" t="e">
        <f>0.5*(S18+2*AQ3311)*LN(1+2*AQ3311/S18)</f>
        <v>#VALUE!</v>
      </c>
    </row>
    <row r="3312" spans="42:44">
      <c r="AP3312" s="1756" t="e">
        <f>IF(OR(AR3312=S13,AR3312&gt;S13),AR3312,"")</f>
        <v>#VALUE!</v>
      </c>
      <c r="AQ3312" s="1759">
        <f t="shared" si="110"/>
        <v>3309</v>
      </c>
      <c r="AR3312" s="1756" t="e">
        <f>0.5*(S18+2*AQ3312)*LN(1+2*AQ3312/S18)</f>
        <v>#VALUE!</v>
      </c>
    </row>
    <row r="3313" spans="42:44">
      <c r="AP3313" s="1756" t="e">
        <f>IF(OR(AR3313=S13,AR3313&gt;S13),AR3313,"")</f>
        <v>#VALUE!</v>
      </c>
      <c r="AQ3313" s="1759">
        <f t="shared" si="110"/>
        <v>3310</v>
      </c>
      <c r="AR3313" s="1756" t="e">
        <f>0.5*(S18+2*AQ3313)*LN(1+2*AQ3313/S18)</f>
        <v>#VALUE!</v>
      </c>
    </row>
    <row r="3314" spans="42:44">
      <c r="AP3314" s="1756" t="e">
        <f>IF(OR(AR3314=S13,AR3314&gt;S13),AR3314,"")</f>
        <v>#VALUE!</v>
      </c>
      <c r="AQ3314" s="1759">
        <f t="shared" si="110"/>
        <v>3311</v>
      </c>
      <c r="AR3314" s="1756" t="e">
        <f>0.5*(S18+2*AQ3314)*LN(1+2*AQ3314/S18)</f>
        <v>#VALUE!</v>
      </c>
    </row>
    <row r="3315" spans="42:44">
      <c r="AP3315" s="1756" t="e">
        <f>IF(OR(AR3315=S13,AR3315&gt;S13),AR3315,"")</f>
        <v>#VALUE!</v>
      </c>
      <c r="AQ3315" s="1759">
        <f t="shared" si="110"/>
        <v>3312</v>
      </c>
      <c r="AR3315" s="1756" t="e">
        <f>0.5*(S18+2*AQ3315)*LN(1+2*AQ3315/S18)</f>
        <v>#VALUE!</v>
      </c>
    </row>
    <row r="3316" spans="42:44">
      <c r="AP3316" s="1756" t="e">
        <f>IF(OR(AR3316=S13,AR3316&gt;S13),AR3316,"")</f>
        <v>#VALUE!</v>
      </c>
      <c r="AQ3316" s="1759">
        <f t="shared" si="110"/>
        <v>3313</v>
      </c>
      <c r="AR3316" s="1756" t="e">
        <f>0.5*(S18+2*AQ3316)*LN(1+2*AQ3316/S18)</f>
        <v>#VALUE!</v>
      </c>
    </row>
    <row r="3317" spans="42:44">
      <c r="AP3317" s="1756" t="e">
        <f>IF(OR(AR3317=S13,AR3317&gt;S13),AR3317,"")</f>
        <v>#VALUE!</v>
      </c>
      <c r="AQ3317" s="1759">
        <f t="shared" si="110"/>
        <v>3314</v>
      </c>
      <c r="AR3317" s="1756" t="e">
        <f>0.5*(S18+2*AQ3317)*LN(1+2*AQ3317/S18)</f>
        <v>#VALUE!</v>
      </c>
    </row>
    <row r="3318" spans="42:44">
      <c r="AP3318" s="1756" t="e">
        <f>IF(OR(AR3318=S13,AR3318&gt;S13),AR3318,"")</f>
        <v>#VALUE!</v>
      </c>
      <c r="AQ3318" s="1759">
        <f t="shared" si="110"/>
        <v>3315</v>
      </c>
      <c r="AR3318" s="1756" t="e">
        <f>0.5*(S18+2*AQ3318)*LN(1+2*AQ3318/S18)</f>
        <v>#VALUE!</v>
      </c>
    </row>
    <row r="3319" spans="42:44">
      <c r="AP3319" s="1756" t="e">
        <f>IF(OR(AR3319=S13,AR3319&gt;S13),AR3319,"")</f>
        <v>#VALUE!</v>
      </c>
      <c r="AQ3319" s="1759">
        <f t="shared" si="110"/>
        <v>3316</v>
      </c>
      <c r="AR3319" s="1756" t="e">
        <f>0.5*(S18+2*AQ3319)*LN(1+2*AQ3319/S18)</f>
        <v>#VALUE!</v>
      </c>
    </row>
    <row r="3320" spans="42:44">
      <c r="AP3320" s="1756" t="e">
        <f>IF(OR(AR3320=S13,AR3320&gt;S13),AR3320,"")</f>
        <v>#VALUE!</v>
      </c>
      <c r="AQ3320" s="1759">
        <f t="shared" si="110"/>
        <v>3317</v>
      </c>
      <c r="AR3320" s="1756" t="e">
        <f>0.5*(S18+2*AQ3320)*LN(1+2*AQ3320/S18)</f>
        <v>#VALUE!</v>
      </c>
    </row>
    <row r="3321" spans="42:44">
      <c r="AP3321" s="1756" t="e">
        <f>IF(OR(AR3321=S13,AR3321&gt;S13),AR3321,"")</f>
        <v>#VALUE!</v>
      </c>
      <c r="AQ3321" s="1759">
        <f t="shared" si="110"/>
        <v>3318</v>
      </c>
      <c r="AR3321" s="1756" t="e">
        <f>0.5*(S18+2*AQ3321)*LN(1+2*AQ3321/S18)</f>
        <v>#VALUE!</v>
      </c>
    </row>
    <row r="3322" spans="42:44">
      <c r="AP3322" s="1756" t="e">
        <f>IF(OR(AR3322=S13,AR3322&gt;S13),AR3322,"")</f>
        <v>#VALUE!</v>
      </c>
      <c r="AQ3322" s="1759">
        <f t="shared" si="110"/>
        <v>3319</v>
      </c>
      <c r="AR3322" s="1756" t="e">
        <f>0.5*(S18+2*AQ3322)*LN(1+2*AQ3322/S18)</f>
        <v>#VALUE!</v>
      </c>
    </row>
    <row r="3323" spans="42:44">
      <c r="AP3323" s="1756" t="e">
        <f>IF(OR(AR3323=S13,AR3323&gt;S13),AR3323,"")</f>
        <v>#VALUE!</v>
      </c>
      <c r="AQ3323" s="1759">
        <f t="shared" si="110"/>
        <v>3320</v>
      </c>
      <c r="AR3323" s="1756" t="e">
        <f>0.5*(S18+2*AQ3323)*LN(1+2*AQ3323/S18)</f>
        <v>#VALUE!</v>
      </c>
    </row>
    <row r="3324" spans="42:44">
      <c r="AP3324" s="1756" t="e">
        <f>IF(OR(AR3324=S13,AR3324&gt;S13),AR3324,"")</f>
        <v>#VALUE!</v>
      </c>
      <c r="AQ3324" s="1759">
        <f t="shared" si="110"/>
        <v>3321</v>
      </c>
      <c r="AR3324" s="1756" t="e">
        <f>0.5*(S18+2*AQ3324)*LN(1+2*AQ3324/S18)</f>
        <v>#VALUE!</v>
      </c>
    </row>
    <row r="3325" spans="42:44">
      <c r="AP3325" s="1756" t="e">
        <f>IF(OR(AR3325=S13,AR3325&gt;S13),AR3325,"")</f>
        <v>#VALUE!</v>
      </c>
      <c r="AQ3325" s="1759">
        <f t="shared" si="110"/>
        <v>3322</v>
      </c>
      <c r="AR3325" s="1756" t="e">
        <f>0.5*(S18+2*AQ3325)*LN(1+2*AQ3325/S18)</f>
        <v>#VALUE!</v>
      </c>
    </row>
    <row r="3326" spans="42:44">
      <c r="AP3326" s="1756" t="e">
        <f>IF(OR(AR3326=S13,AR3326&gt;S13),AR3326,"")</f>
        <v>#VALUE!</v>
      </c>
      <c r="AQ3326" s="1759">
        <f t="shared" si="110"/>
        <v>3323</v>
      </c>
      <c r="AR3326" s="1756" t="e">
        <f>0.5*(S18+2*AQ3326)*LN(1+2*AQ3326/S18)</f>
        <v>#VALUE!</v>
      </c>
    </row>
    <row r="3327" spans="42:44">
      <c r="AP3327" s="1756" t="e">
        <f>IF(OR(AR3327=S13,AR3327&gt;S13),AR3327,"")</f>
        <v>#VALUE!</v>
      </c>
      <c r="AQ3327" s="1759">
        <f t="shared" si="110"/>
        <v>3324</v>
      </c>
      <c r="AR3327" s="1756" t="e">
        <f>0.5*(S18+2*AQ3327)*LN(1+2*AQ3327/S18)</f>
        <v>#VALUE!</v>
      </c>
    </row>
    <row r="3328" spans="42:44">
      <c r="AP3328" s="1756" t="e">
        <f>IF(OR(AR3328=S13,AR3328&gt;S13),AR3328,"")</f>
        <v>#VALUE!</v>
      </c>
      <c r="AQ3328" s="1759">
        <f t="shared" si="110"/>
        <v>3325</v>
      </c>
      <c r="AR3328" s="1756" t="e">
        <f>0.5*(S18+2*AQ3328)*LN(1+2*AQ3328/S18)</f>
        <v>#VALUE!</v>
      </c>
    </row>
    <row r="3329" spans="42:44">
      <c r="AP3329" s="1756" t="e">
        <f>IF(OR(AR3329=S13,AR3329&gt;S13),AR3329,"")</f>
        <v>#VALUE!</v>
      </c>
      <c r="AQ3329" s="1759">
        <f t="shared" si="110"/>
        <v>3326</v>
      </c>
      <c r="AR3329" s="1756" t="e">
        <f>0.5*(S18+2*AQ3329)*LN(1+2*AQ3329/S18)</f>
        <v>#VALUE!</v>
      </c>
    </row>
    <row r="3330" spans="42:44">
      <c r="AP3330" s="1756" t="e">
        <f>IF(OR(AR3330=S13,AR3330&gt;S13),AR3330,"")</f>
        <v>#VALUE!</v>
      </c>
      <c r="AQ3330" s="1759">
        <f t="shared" si="110"/>
        <v>3327</v>
      </c>
      <c r="AR3330" s="1756" t="e">
        <f>0.5*(S18+2*AQ3330)*LN(1+2*AQ3330/S18)</f>
        <v>#VALUE!</v>
      </c>
    </row>
    <row r="3331" spans="42:44">
      <c r="AP3331" s="1756" t="e">
        <f>IF(OR(AR3331=S13,AR3331&gt;S13),AR3331,"")</f>
        <v>#VALUE!</v>
      </c>
      <c r="AQ3331" s="1759">
        <f t="shared" si="110"/>
        <v>3328</v>
      </c>
      <c r="AR3331" s="1756" t="e">
        <f>0.5*(S18+2*AQ3331)*LN(1+2*AQ3331/S18)</f>
        <v>#VALUE!</v>
      </c>
    </row>
    <row r="3332" spans="42:44">
      <c r="AP3332" s="1756" t="e">
        <f>IF(OR(AR3332=S13,AR3332&gt;S13),AR3332,"")</f>
        <v>#VALUE!</v>
      </c>
      <c r="AQ3332" s="1759">
        <f t="shared" si="110"/>
        <v>3329</v>
      </c>
      <c r="AR3332" s="1756" t="e">
        <f>0.5*(S18+2*AQ3332)*LN(1+2*AQ3332/S18)</f>
        <v>#VALUE!</v>
      </c>
    </row>
    <row r="3333" spans="42:44">
      <c r="AP3333" s="1756" t="e">
        <f>IF(OR(AR3333=S13,AR3333&gt;S13),AR3333,"")</f>
        <v>#VALUE!</v>
      </c>
      <c r="AQ3333" s="1759">
        <f t="shared" si="110"/>
        <v>3330</v>
      </c>
      <c r="AR3333" s="1756" t="e">
        <f>0.5*(S18+2*AQ3333)*LN(1+2*AQ3333/S18)</f>
        <v>#VALUE!</v>
      </c>
    </row>
    <row r="3334" spans="42:44">
      <c r="AP3334" s="1756" t="e">
        <f>IF(OR(AR3334=S13,AR3334&gt;S13),AR3334,"")</f>
        <v>#VALUE!</v>
      </c>
      <c r="AQ3334" s="1759">
        <f t="shared" ref="AQ3334:AQ3397" si="111">AQ3333+1</f>
        <v>3331</v>
      </c>
      <c r="AR3334" s="1756" t="e">
        <f>0.5*(S18+2*AQ3334)*LN(1+2*AQ3334/S18)</f>
        <v>#VALUE!</v>
      </c>
    </row>
    <row r="3335" spans="42:44">
      <c r="AP3335" s="1756" t="e">
        <f>IF(OR(AR3335=S13,AR3335&gt;S13),AR3335,"")</f>
        <v>#VALUE!</v>
      </c>
      <c r="AQ3335" s="1759">
        <f t="shared" si="111"/>
        <v>3332</v>
      </c>
      <c r="AR3335" s="1756" t="e">
        <f>0.5*(S18+2*AQ3335)*LN(1+2*AQ3335/S18)</f>
        <v>#VALUE!</v>
      </c>
    </row>
    <row r="3336" spans="42:44">
      <c r="AP3336" s="1756" t="e">
        <f>IF(OR(AR3336=S13,AR3336&gt;S13),AR3336,"")</f>
        <v>#VALUE!</v>
      </c>
      <c r="AQ3336" s="1759">
        <f t="shared" si="111"/>
        <v>3333</v>
      </c>
      <c r="AR3336" s="1756" t="e">
        <f>0.5*(S18+2*AQ3336)*LN(1+2*AQ3336/S18)</f>
        <v>#VALUE!</v>
      </c>
    </row>
    <row r="3337" spans="42:44">
      <c r="AP3337" s="1756" t="e">
        <f>IF(OR(AR3337=S13,AR3337&gt;S13),AR3337,"")</f>
        <v>#VALUE!</v>
      </c>
      <c r="AQ3337" s="1759">
        <f t="shared" si="111"/>
        <v>3334</v>
      </c>
      <c r="AR3337" s="1756" t="e">
        <f>0.5*(S18+2*AQ3337)*LN(1+2*AQ3337/S18)</f>
        <v>#VALUE!</v>
      </c>
    </row>
    <row r="3338" spans="42:44">
      <c r="AP3338" s="1756" t="e">
        <f>IF(OR(AR3338=S13,AR3338&gt;S13),AR3338,"")</f>
        <v>#VALUE!</v>
      </c>
      <c r="AQ3338" s="1759">
        <f t="shared" si="111"/>
        <v>3335</v>
      </c>
      <c r="AR3338" s="1756" t="e">
        <f>0.5*(S18+2*AQ3338)*LN(1+2*AQ3338/S18)</f>
        <v>#VALUE!</v>
      </c>
    </row>
    <row r="3339" spans="42:44">
      <c r="AP3339" s="1756" t="e">
        <f>IF(OR(AR3339=S13,AR3339&gt;S13),AR3339,"")</f>
        <v>#VALUE!</v>
      </c>
      <c r="AQ3339" s="1759">
        <f t="shared" si="111"/>
        <v>3336</v>
      </c>
      <c r="AR3339" s="1756" t="e">
        <f>0.5*(S18+2*AQ3339)*LN(1+2*AQ3339/S18)</f>
        <v>#VALUE!</v>
      </c>
    </row>
    <row r="3340" spans="42:44">
      <c r="AP3340" s="1756" t="e">
        <f>IF(OR(AR3340=S13,AR3340&gt;S13),AR3340,"")</f>
        <v>#VALUE!</v>
      </c>
      <c r="AQ3340" s="1759">
        <f t="shared" si="111"/>
        <v>3337</v>
      </c>
      <c r="AR3340" s="1756" t="e">
        <f>0.5*(S18+2*AQ3340)*LN(1+2*AQ3340/S18)</f>
        <v>#VALUE!</v>
      </c>
    </row>
    <row r="3341" spans="42:44">
      <c r="AP3341" s="1756" t="e">
        <f>IF(OR(AR3341=S13,AR3341&gt;S13),AR3341,"")</f>
        <v>#VALUE!</v>
      </c>
      <c r="AQ3341" s="1759">
        <f t="shared" si="111"/>
        <v>3338</v>
      </c>
      <c r="AR3341" s="1756" t="e">
        <f>0.5*(S18+2*AQ3341)*LN(1+2*AQ3341/S18)</f>
        <v>#VALUE!</v>
      </c>
    </row>
    <row r="3342" spans="42:44">
      <c r="AP3342" s="1756" t="e">
        <f>IF(OR(AR3342=S13,AR3342&gt;S13),AR3342,"")</f>
        <v>#VALUE!</v>
      </c>
      <c r="AQ3342" s="1759">
        <f t="shared" si="111"/>
        <v>3339</v>
      </c>
      <c r="AR3342" s="1756" t="e">
        <f>0.5*(S18+2*AQ3342)*LN(1+2*AQ3342/S18)</f>
        <v>#VALUE!</v>
      </c>
    </row>
    <row r="3343" spans="42:44">
      <c r="AP3343" s="1756" t="e">
        <f>IF(OR(AR3343=S13,AR3343&gt;S13),AR3343,"")</f>
        <v>#VALUE!</v>
      </c>
      <c r="AQ3343" s="1759">
        <f t="shared" si="111"/>
        <v>3340</v>
      </c>
      <c r="AR3343" s="1756" t="e">
        <f>0.5*(S18+2*AQ3343)*LN(1+2*AQ3343/S18)</f>
        <v>#VALUE!</v>
      </c>
    </row>
    <row r="3344" spans="42:44">
      <c r="AP3344" s="1756" t="e">
        <f>IF(OR(AR3344=S13,AR3344&gt;S13),AR3344,"")</f>
        <v>#VALUE!</v>
      </c>
      <c r="AQ3344" s="1759">
        <f t="shared" si="111"/>
        <v>3341</v>
      </c>
      <c r="AR3344" s="1756" t="e">
        <f>0.5*(S18+2*AQ3344)*LN(1+2*AQ3344/S18)</f>
        <v>#VALUE!</v>
      </c>
    </row>
    <row r="3345" spans="42:44">
      <c r="AP3345" s="1756" t="e">
        <f>IF(OR(AR3345=S13,AR3345&gt;S13),AR3345,"")</f>
        <v>#VALUE!</v>
      </c>
      <c r="AQ3345" s="1759">
        <f t="shared" si="111"/>
        <v>3342</v>
      </c>
      <c r="AR3345" s="1756" t="e">
        <f>0.5*(S18+2*AQ3345)*LN(1+2*AQ3345/S18)</f>
        <v>#VALUE!</v>
      </c>
    </row>
    <row r="3346" spans="42:44">
      <c r="AP3346" s="1756" t="e">
        <f>IF(OR(AR3346=S13,AR3346&gt;S13),AR3346,"")</f>
        <v>#VALUE!</v>
      </c>
      <c r="AQ3346" s="1759">
        <f t="shared" si="111"/>
        <v>3343</v>
      </c>
      <c r="AR3346" s="1756" t="e">
        <f>0.5*(S18+2*AQ3346)*LN(1+2*AQ3346/S18)</f>
        <v>#VALUE!</v>
      </c>
    </row>
    <row r="3347" spans="42:44">
      <c r="AP3347" s="1756" t="e">
        <f>IF(OR(AR3347=S13,AR3347&gt;S13),AR3347,"")</f>
        <v>#VALUE!</v>
      </c>
      <c r="AQ3347" s="1759">
        <f t="shared" si="111"/>
        <v>3344</v>
      </c>
      <c r="AR3347" s="1756" t="e">
        <f>0.5*(S18+2*AQ3347)*LN(1+2*AQ3347/S18)</f>
        <v>#VALUE!</v>
      </c>
    </row>
    <row r="3348" spans="42:44">
      <c r="AP3348" s="1756" t="e">
        <f>IF(OR(AR3348=S13,AR3348&gt;S13),AR3348,"")</f>
        <v>#VALUE!</v>
      </c>
      <c r="AQ3348" s="1759">
        <f t="shared" si="111"/>
        <v>3345</v>
      </c>
      <c r="AR3348" s="1756" t="e">
        <f>0.5*(S18+2*AQ3348)*LN(1+2*AQ3348/S18)</f>
        <v>#VALUE!</v>
      </c>
    </row>
    <row r="3349" spans="42:44">
      <c r="AP3349" s="1756" t="e">
        <f>IF(OR(AR3349=S13,AR3349&gt;S13),AR3349,"")</f>
        <v>#VALUE!</v>
      </c>
      <c r="AQ3349" s="1759">
        <f t="shared" si="111"/>
        <v>3346</v>
      </c>
      <c r="AR3349" s="1756" t="e">
        <f>0.5*(S18+2*AQ3349)*LN(1+2*AQ3349/S18)</f>
        <v>#VALUE!</v>
      </c>
    </row>
    <row r="3350" spans="42:44">
      <c r="AP3350" s="1756" t="e">
        <f>IF(OR(AR3350=S13,AR3350&gt;S13),AR3350,"")</f>
        <v>#VALUE!</v>
      </c>
      <c r="AQ3350" s="1759">
        <f t="shared" si="111"/>
        <v>3347</v>
      </c>
      <c r="AR3350" s="1756" t="e">
        <f>0.5*(S18+2*AQ3350)*LN(1+2*AQ3350/S18)</f>
        <v>#VALUE!</v>
      </c>
    </row>
    <row r="3351" spans="42:44">
      <c r="AP3351" s="1756" t="e">
        <f>IF(OR(AR3351=S13,AR3351&gt;S13),AR3351,"")</f>
        <v>#VALUE!</v>
      </c>
      <c r="AQ3351" s="1759">
        <f t="shared" si="111"/>
        <v>3348</v>
      </c>
      <c r="AR3351" s="1756" t="e">
        <f>0.5*(S18+2*AQ3351)*LN(1+2*AQ3351/S18)</f>
        <v>#VALUE!</v>
      </c>
    </row>
    <row r="3352" spans="42:44">
      <c r="AP3352" s="1756" t="e">
        <f>IF(OR(AR3352=S13,AR3352&gt;S13),AR3352,"")</f>
        <v>#VALUE!</v>
      </c>
      <c r="AQ3352" s="1759">
        <f t="shared" si="111"/>
        <v>3349</v>
      </c>
      <c r="AR3352" s="1756" t="e">
        <f>0.5*(S18+2*AQ3352)*LN(1+2*AQ3352/S18)</f>
        <v>#VALUE!</v>
      </c>
    </row>
    <row r="3353" spans="42:44">
      <c r="AP3353" s="1756" t="e">
        <f>IF(OR(AR3353=S13,AR3353&gt;S13),AR3353,"")</f>
        <v>#VALUE!</v>
      </c>
      <c r="AQ3353" s="1759">
        <f t="shared" si="111"/>
        <v>3350</v>
      </c>
      <c r="AR3353" s="1756" t="e">
        <f>0.5*(S18+2*AQ3353)*LN(1+2*AQ3353/S18)</f>
        <v>#VALUE!</v>
      </c>
    </row>
    <row r="3354" spans="42:44">
      <c r="AP3354" s="1756" t="e">
        <f>IF(OR(AR3354=S13,AR3354&gt;S13),AR3354,"")</f>
        <v>#VALUE!</v>
      </c>
      <c r="AQ3354" s="1759">
        <f t="shared" si="111"/>
        <v>3351</v>
      </c>
      <c r="AR3354" s="1756" t="e">
        <f>0.5*(S18+2*AQ3354)*LN(1+2*AQ3354/S18)</f>
        <v>#VALUE!</v>
      </c>
    </row>
    <row r="3355" spans="42:44">
      <c r="AP3355" s="1756" t="e">
        <f>IF(OR(AR3355=S13,AR3355&gt;S13),AR3355,"")</f>
        <v>#VALUE!</v>
      </c>
      <c r="AQ3355" s="1759">
        <f t="shared" si="111"/>
        <v>3352</v>
      </c>
      <c r="AR3355" s="1756" t="e">
        <f>0.5*(S18+2*AQ3355)*LN(1+2*AQ3355/S18)</f>
        <v>#VALUE!</v>
      </c>
    </row>
    <row r="3356" spans="42:44">
      <c r="AP3356" s="1756" t="e">
        <f>IF(OR(AR3356=S13,AR3356&gt;S13),AR3356,"")</f>
        <v>#VALUE!</v>
      </c>
      <c r="AQ3356" s="1759">
        <f t="shared" si="111"/>
        <v>3353</v>
      </c>
      <c r="AR3356" s="1756" t="e">
        <f>0.5*(S18+2*AQ3356)*LN(1+2*AQ3356/S18)</f>
        <v>#VALUE!</v>
      </c>
    </row>
    <row r="3357" spans="42:44">
      <c r="AP3357" s="1756" t="e">
        <f>IF(OR(AR3357=S13,AR3357&gt;S13),AR3357,"")</f>
        <v>#VALUE!</v>
      </c>
      <c r="AQ3357" s="1759">
        <f t="shared" si="111"/>
        <v>3354</v>
      </c>
      <c r="AR3357" s="1756" t="e">
        <f>0.5*(S18+2*AQ3357)*LN(1+2*AQ3357/S18)</f>
        <v>#VALUE!</v>
      </c>
    </row>
    <row r="3358" spans="42:44">
      <c r="AP3358" s="1756" t="e">
        <f>IF(OR(AR3358=S13,AR3358&gt;S13),AR3358,"")</f>
        <v>#VALUE!</v>
      </c>
      <c r="AQ3358" s="1759">
        <f t="shared" si="111"/>
        <v>3355</v>
      </c>
      <c r="AR3358" s="1756" t="e">
        <f>0.5*(S18+2*AQ3358)*LN(1+2*AQ3358/S18)</f>
        <v>#VALUE!</v>
      </c>
    </row>
    <row r="3359" spans="42:44">
      <c r="AP3359" s="1756" t="e">
        <f>IF(OR(AR3359=S13,AR3359&gt;S13),AR3359,"")</f>
        <v>#VALUE!</v>
      </c>
      <c r="AQ3359" s="1759">
        <f t="shared" si="111"/>
        <v>3356</v>
      </c>
      <c r="AR3359" s="1756" t="e">
        <f>0.5*(S18+2*AQ3359)*LN(1+2*AQ3359/S18)</f>
        <v>#VALUE!</v>
      </c>
    </row>
    <row r="3360" spans="42:44">
      <c r="AP3360" s="1756" t="e">
        <f>IF(OR(AR3360=S13,AR3360&gt;S13),AR3360,"")</f>
        <v>#VALUE!</v>
      </c>
      <c r="AQ3360" s="1759">
        <f t="shared" si="111"/>
        <v>3357</v>
      </c>
      <c r="AR3360" s="1756" t="e">
        <f>0.5*(S18+2*AQ3360)*LN(1+2*AQ3360/S18)</f>
        <v>#VALUE!</v>
      </c>
    </row>
    <row r="3361" spans="42:44">
      <c r="AP3361" s="1756" t="e">
        <f>IF(OR(AR3361=S13,AR3361&gt;S13),AR3361,"")</f>
        <v>#VALUE!</v>
      </c>
      <c r="AQ3361" s="1759">
        <f t="shared" si="111"/>
        <v>3358</v>
      </c>
      <c r="AR3361" s="1756" t="e">
        <f>0.5*(S18+2*AQ3361)*LN(1+2*AQ3361/S18)</f>
        <v>#VALUE!</v>
      </c>
    </row>
    <row r="3362" spans="42:44">
      <c r="AP3362" s="1756" t="e">
        <f>IF(OR(AR3362=S13,AR3362&gt;S13),AR3362,"")</f>
        <v>#VALUE!</v>
      </c>
      <c r="AQ3362" s="1759">
        <f t="shared" si="111"/>
        <v>3359</v>
      </c>
      <c r="AR3362" s="1756" t="e">
        <f>0.5*(S18+2*AQ3362)*LN(1+2*AQ3362/S18)</f>
        <v>#VALUE!</v>
      </c>
    </row>
    <row r="3363" spans="42:44">
      <c r="AP3363" s="1756" t="e">
        <f>IF(OR(AR3363=S13,AR3363&gt;S13),AR3363,"")</f>
        <v>#VALUE!</v>
      </c>
      <c r="AQ3363" s="1759">
        <f t="shared" si="111"/>
        <v>3360</v>
      </c>
      <c r="AR3363" s="1756" t="e">
        <f>0.5*(S18+2*AQ3363)*LN(1+2*AQ3363/S18)</f>
        <v>#VALUE!</v>
      </c>
    </row>
    <row r="3364" spans="42:44">
      <c r="AP3364" s="1756" t="e">
        <f>IF(OR(AR3364=S13,AR3364&gt;S13),AR3364,"")</f>
        <v>#VALUE!</v>
      </c>
      <c r="AQ3364" s="1759">
        <f t="shared" si="111"/>
        <v>3361</v>
      </c>
      <c r="AR3364" s="1756" t="e">
        <f>0.5*(S18+2*AQ3364)*LN(1+2*AQ3364/S18)</f>
        <v>#VALUE!</v>
      </c>
    </row>
    <row r="3365" spans="42:44">
      <c r="AP3365" s="1756" t="e">
        <f>IF(OR(AR3365=S13,AR3365&gt;S13),AR3365,"")</f>
        <v>#VALUE!</v>
      </c>
      <c r="AQ3365" s="1759">
        <f t="shared" si="111"/>
        <v>3362</v>
      </c>
      <c r="AR3365" s="1756" t="e">
        <f>0.5*(S18+2*AQ3365)*LN(1+2*AQ3365/S18)</f>
        <v>#VALUE!</v>
      </c>
    </row>
    <row r="3366" spans="42:44">
      <c r="AP3366" s="1756" t="e">
        <f>IF(OR(AR3366=S13,AR3366&gt;S13),AR3366,"")</f>
        <v>#VALUE!</v>
      </c>
      <c r="AQ3366" s="1759">
        <f t="shared" si="111"/>
        <v>3363</v>
      </c>
      <c r="AR3366" s="1756" t="e">
        <f>0.5*(S18+2*AQ3366)*LN(1+2*AQ3366/S18)</f>
        <v>#VALUE!</v>
      </c>
    </row>
    <row r="3367" spans="42:44">
      <c r="AP3367" s="1756" t="e">
        <f>IF(OR(AR3367=S13,AR3367&gt;S13),AR3367,"")</f>
        <v>#VALUE!</v>
      </c>
      <c r="AQ3367" s="1759">
        <f t="shared" si="111"/>
        <v>3364</v>
      </c>
      <c r="AR3367" s="1756" t="e">
        <f>0.5*(S18+2*AQ3367)*LN(1+2*AQ3367/S18)</f>
        <v>#VALUE!</v>
      </c>
    </row>
    <row r="3368" spans="42:44">
      <c r="AP3368" s="1756" t="e">
        <f>IF(OR(AR3368=S13,AR3368&gt;S13),AR3368,"")</f>
        <v>#VALUE!</v>
      </c>
      <c r="AQ3368" s="1759">
        <f t="shared" si="111"/>
        <v>3365</v>
      </c>
      <c r="AR3368" s="1756" t="e">
        <f>0.5*(S18+2*AQ3368)*LN(1+2*AQ3368/S18)</f>
        <v>#VALUE!</v>
      </c>
    </row>
    <row r="3369" spans="42:44">
      <c r="AP3369" s="1756" t="e">
        <f>IF(OR(AR3369=S13,AR3369&gt;S13),AR3369,"")</f>
        <v>#VALUE!</v>
      </c>
      <c r="AQ3369" s="1759">
        <f t="shared" si="111"/>
        <v>3366</v>
      </c>
      <c r="AR3369" s="1756" t="e">
        <f>0.5*(S18+2*AQ3369)*LN(1+2*AQ3369/S18)</f>
        <v>#VALUE!</v>
      </c>
    </row>
    <row r="3370" spans="42:44">
      <c r="AP3370" s="1756" t="e">
        <f>IF(OR(AR3370=S13,AR3370&gt;S13),AR3370,"")</f>
        <v>#VALUE!</v>
      </c>
      <c r="AQ3370" s="1759">
        <f t="shared" si="111"/>
        <v>3367</v>
      </c>
      <c r="AR3370" s="1756" t="e">
        <f>0.5*(S18+2*AQ3370)*LN(1+2*AQ3370/S18)</f>
        <v>#VALUE!</v>
      </c>
    </row>
    <row r="3371" spans="42:44">
      <c r="AP3371" s="1756" t="e">
        <f>IF(OR(AR3371=S13,AR3371&gt;S13),AR3371,"")</f>
        <v>#VALUE!</v>
      </c>
      <c r="AQ3371" s="1759">
        <f t="shared" si="111"/>
        <v>3368</v>
      </c>
      <c r="AR3371" s="1756" t="e">
        <f>0.5*(S18+2*AQ3371)*LN(1+2*AQ3371/S18)</f>
        <v>#VALUE!</v>
      </c>
    </row>
    <row r="3372" spans="42:44">
      <c r="AP3372" s="1756" t="e">
        <f>IF(OR(AR3372=S13,AR3372&gt;S13),AR3372,"")</f>
        <v>#VALUE!</v>
      </c>
      <c r="AQ3372" s="1759">
        <f t="shared" si="111"/>
        <v>3369</v>
      </c>
      <c r="AR3372" s="1756" t="e">
        <f>0.5*(S18+2*AQ3372)*LN(1+2*AQ3372/S18)</f>
        <v>#VALUE!</v>
      </c>
    </row>
    <row r="3373" spans="42:44">
      <c r="AP3373" s="1756" t="e">
        <f>IF(OR(AR3373=S13,AR3373&gt;S13),AR3373,"")</f>
        <v>#VALUE!</v>
      </c>
      <c r="AQ3373" s="1759">
        <f t="shared" si="111"/>
        <v>3370</v>
      </c>
      <c r="AR3373" s="1756" t="e">
        <f>0.5*(S18+2*AQ3373)*LN(1+2*AQ3373/S18)</f>
        <v>#VALUE!</v>
      </c>
    </row>
    <row r="3374" spans="42:44">
      <c r="AP3374" s="1756" t="e">
        <f>IF(OR(AR3374=S13,AR3374&gt;S13),AR3374,"")</f>
        <v>#VALUE!</v>
      </c>
      <c r="AQ3374" s="1759">
        <f t="shared" si="111"/>
        <v>3371</v>
      </c>
      <c r="AR3374" s="1756" t="e">
        <f>0.5*(S18+2*AQ3374)*LN(1+2*AQ3374/S18)</f>
        <v>#VALUE!</v>
      </c>
    </row>
    <row r="3375" spans="42:44">
      <c r="AP3375" s="1756" t="e">
        <f>IF(OR(AR3375=S13,AR3375&gt;S13),AR3375,"")</f>
        <v>#VALUE!</v>
      </c>
      <c r="AQ3375" s="1759">
        <f t="shared" si="111"/>
        <v>3372</v>
      </c>
      <c r="AR3375" s="1756" t="e">
        <f>0.5*(S18+2*AQ3375)*LN(1+2*AQ3375/S18)</f>
        <v>#VALUE!</v>
      </c>
    </row>
    <row r="3376" spans="42:44">
      <c r="AP3376" s="1756" t="e">
        <f>IF(OR(AR3376=S13,AR3376&gt;S13),AR3376,"")</f>
        <v>#VALUE!</v>
      </c>
      <c r="AQ3376" s="1759">
        <f t="shared" si="111"/>
        <v>3373</v>
      </c>
      <c r="AR3376" s="1756" t="e">
        <f>0.5*(S18+2*AQ3376)*LN(1+2*AQ3376/S18)</f>
        <v>#VALUE!</v>
      </c>
    </row>
    <row r="3377" spans="42:44">
      <c r="AP3377" s="1756" t="e">
        <f>IF(OR(AR3377=S13,AR3377&gt;S13),AR3377,"")</f>
        <v>#VALUE!</v>
      </c>
      <c r="AQ3377" s="1759">
        <f t="shared" si="111"/>
        <v>3374</v>
      </c>
      <c r="AR3377" s="1756" t="e">
        <f>0.5*(S18+2*AQ3377)*LN(1+2*AQ3377/S18)</f>
        <v>#VALUE!</v>
      </c>
    </row>
    <row r="3378" spans="42:44">
      <c r="AP3378" s="1756" t="e">
        <f>IF(OR(AR3378=S13,AR3378&gt;S13),AR3378,"")</f>
        <v>#VALUE!</v>
      </c>
      <c r="AQ3378" s="1759">
        <f t="shared" si="111"/>
        <v>3375</v>
      </c>
      <c r="AR3378" s="1756" t="e">
        <f>0.5*(S18+2*AQ3378)*LN(1+2*AQ3378/S18)</f>
        <v>#VALUE!</v>
      </c>
    </row>
    <row r="3379" spans="42:44">
      <c r="AP3379" s="1756" t="e">
        <f>IF(OR(AR3379=S13,AR3379&gt;S13),AR3379,"")</f>
        <v>#VALUE!</v>
      </c>
      <c r="AQ3379" s="1759">
        <f t="shared" si="111"/>
        <v>3376</v>
      </c>
      <c r="AR3379" s="1756" t="e">
        <f>0.5*(S18+2*AQ3379)*LN(1+2*AQ3379/S18)</f>
        <v>#VALUE!</v>
      </c>
    </row>
    <row r="3380" spans="42:44">
      <c r="AP3380" s="1756" t="e">
        <f>IF(OR(AR3380=S13,AR3380&gt;S13),AR3380,"")</f>
        <v>#VALUE!</v>
      </c>
      <c r="AQ3380" s="1759">
        <f t="shared" si="111"/>
        <v>3377</v>
      </c>
      <c r="AR3380" s="1756" t="e">
        <f>0.5*(S18+2*AQ3380)*LN(1+2*AQ3380/S18)</f>
        <v>#VALUE!</v>
      </c>
    </row>
    <row r="3381" spans="42:44">
      <c r="AP3381" s="1756" t="e">
        <f>IF(OR(AR3381=S13,AR3381&gt;S13),AR3381,"")</f>
        <v>#VALUE!</v>
      </c>
      <c r="AQ3381" s="1759">
        <f t="shared" si="111"/>
        <v>3378</v>
      </c>
      <c r="AR3381" s="1756" t="e">
        <f>0.5*(S18+2*AQ3381)*LN(1+2*AQ3381/S18)</f>
        <v>#VALUE!</v>
      </c>
    </row>
    <row r="3382" spans="42:44">
      <c r="AP3382" s="1756" t="e">
        <f>IF(OR(AR3382=S13,AR3382&gt;S13),AR3382,"")</f>
        <v>#VALUE!</v>
      </c>
      <c r="AQ3382" s="1759">
        <f t="shared" si="111"/>
        <v>3379</v>
      </c>
      <c r="AR3382" s="1756" t="e">
        <f>0.5*(S18+2*AQ3382)*LN(1+2*AQ3382/S18)</f>
        <v>#VALUE!</v>
      </c>
    </row>
    <row r="3383" spans="42:44">
      <c r="AP3383" s="1756" t="e">
        <f>IF(OR(AR3383=S13,AR3383&gt;S13),AR3383,"")</f>
        <v>#VALUE!</v>
      </c>
      <c r="AQ3383" s="1759">
        <f t="shared" si="111"/>
        <v>3380</v>
      </c>
      <c r="AR3383" s="1756" t="e">
        <f>0.5*(S18+2*AQ3383)*LN(1+2*AQ3383/S18)</f>
        <v>#VALUE!</v>
      </c>
    </row>
    <row r="3384" spans="42:44">
      <c r="AP3384" s="1756" t="e">
        <f>IF(OR(AR3384=S13,AR3384&gt;S13),AR3384,"")</f>
        <v>#VALUE!</v>
      </c>
      <c r="AQ3384" s="1759">
        <f t="shared" si="111"/>
        <v>3381</v>
      </c>
      <c r="AR3384" s="1756" t="e">
        <f>0.5*(S18+2*AQ3384)*LN(1+2*AQ3384/S18)</f>
        <v>#VALUE!</v>
      </c>
    </row>
    <row r="3385" spans="42:44">
      <c r="AP3385" s="1756" t="e">
        <f>IF(OR(AR3385=S13,AR3385&gt;S13),AR3385,"")</f>
        <v>#VALUE!</v>
      </c>
      <c r="AQ3385" s="1759">
        <f t="shared" si="111"/>
        <v>3382</v>
      </c>
      <c r="AR3385" s="1756" t="e">
        <f>0.5*(S18+2*AQ3385)*LN(1+2*AQ3385/S18)</f>
        <v>#VALUE!</v>
      </c>
    </row>
    <row r="3386" spans="42:44">
      <c r="AP3386" s="1756" t="e">
        <f>IF(OR(AR3386=S13,AR3386&gt;S13),AR3386,"")</f>
        <v>#VALUE!</v>
      </c>
      <c r="AQ3386" s="1759">
        <f t="shared" si="111"/>
        <v>3383</v>
      </c>
      <c r="AR3386" s="1756" t="e">
        <f>0.5*(S18+2*AQ3386)*LN(1+2*AQ3386/S18)</f>
        <v>#VALUE!</v>
      </c>
    </row>
    <row r="3387" spans="42:44">
      <c r="AP3387" s="1756" t="e">
        <f>IF(OR(AR3387=S13,AR3387&gt;S13),AR3387,"")</f>
        <v>#VALUE!</v>
      </c>
      <c r="AQ3387" s="1759">
        <f t="shared" si="111"/>
        <v>3384</v>
      </c>
      <c r="AR3387" s="1756" t="e">
        <f>0.5*(S18+2*AQ3387)*LN(1+2*AQ3387/S18)</f>
        <v>#VALUE!</v>
      </c>
    </row>
    <row r="3388" spans="42:44">
      <c r="AP3388" s="1756" t="e">
        <f>IF(OR(AR3388=S13,AR3388&gt;S13),AR3388,"")</f>
        <v>#VALUE!</v>
      </c>
      <c r="AQ3388" s="1759">
        <f t="shared" si="111"/>
        <v>3385</v>
      </c>
      <c r="AR3388" s="1756" t="e">
        <f>0.5*(S18+2*AQ3388)*LN(1+2*AQ3388/S18)</f>
        <v>#VALUE!</v>
      </c>
    </row>
    <row r="3389" spans="42:44">
      <c r="AP3389" s="1756" t="e">
        <f>IF(OR(AR3389=S13,AR3389&gt;S13),AR3389,"")</f>
        <v>#VALUE!</v>
      </c>
      <c r="AQ3389" s="1759">
        <f t="shared" si="111"/>
        <v>3386</v>
      </c>
      <c r="AR3389" s="1756" t="e">
        <f>0.5*(S18+2*AQ3389)*LN(1+2*AQ3389/S18)</f>
        <v>#VALUE!</v>
      </c>
    </row>
    <row r="3390" spans="42:44">
      <c r="AP3390" s="1756" t="e">
        <f>IF(OR(AR3390=S13,AR3390&gt;S13),AR3390,"")</f>
        <v>#VALUE!</v>
      </c>
      <c r="AQ3390" s="1759">
        <f t="shared" si="111"/>
        <v>3387</v>
      </c>
      <c r="AR3390" s="1756" t="e">
        <f>0.5*(S18+2*AQ3390)*LN(1+2*AQ3390/S18)</f>
        <v>#VALUE!</v>
      </c>
    </row>
    <row r="3391" spans="42:44">
      <c r="AP3391" s="1756" t="e">
        <f>IF(OR(AR3391=S13,AR3391&gt;S13),AR3391,"")</f>
        <v>#VALUE!</v>
      </c>
      <c r="AQ3391" s="1759">
        <f t="shared" si="111"/>
        <v>3388</v>
      </c>
      <c r="AR3391" s="1756" t="e">
        <f>0.5*(S18+2*AQ3391)*LN(1+2*AQ3391/S18)</f>
        <v>#VALUE!</v>
      </c>
    </row>
    <row r="3392" spans="42:44">
      <c r="AP3392" s="1756" t="e">
        <f>IF(OR(AR3392=S13,AR3392&gt;S13),AR3392,"")</f>
        <v>#VALUE!</v>
      </c>
      <c r="AQ3392" s="1759">
        <f t="shared" si="111"/>
        <v>3389</v>
      </c>
      <c r="AR3392" s="1756" t="e">
        <f>0.5*(S18+2*AQ3392)*LN(1+2*AQ3392/S18)</f>
        <v>#VALUE!</v>
      </c>
    </row>
    <row r="3393" spans="42:44">
      <c r="AP3393" s="1756" t="e">
        <f>IF(OR(AR3393=S13,AR3393&gt;S13),AR3393,"")</f>
        <v>#VALUE!</v>
      </c>
      <c r="AQ3393" s="1759">
        <f t="shared" si="111"/>
        <v>3390</v>
      </c>
      <c r="AR3393" s="1756" t="e">
        <f>0.5*(S18+2*AQ3393)*LN(1+2*AQ3393/S18)</f>
        <v>#VALUE!</v>
      </c>
    </row>
    <row r="3394" spans="42:44">
      <c r="AP3394" s="1756" t="e">
        <f>IF(OR(AR3394=S13,AR3394&gt;S13),AR3394,"")</f>
        <v>#VALUE!</v>
      </c>
      <c r="AQ3394" s="1759">
        <f t="shared" si="111"/>
        <v>3391</v>
      </c>
      <c r="AR3394" s="1756" t="e">
        <f>0.5*(S18+2*AQ3394)*LN(1+2*AQ3394/S18)</f>
        <v>#VALUE!</v>
      </c>
    </row>
    <row r="3395" spans="42:44">
      <c r="AP3395" s="1756" t="e">
        <f>IF(OR(AR3395=S13,AR3395&gt;S13),AR3395,"")</f>
        <v>#VALUE!</v>
      </c>
      <c r="AQ3395" s="1759">
        <f t="shared" si="111"/>
        <v>3392</v>
      </c>
      <c r="AR3395" s="1756" t="e">
        <f>0.5*(S18+2*AQ3395)*LN(1+2*AQ3395/S18)</f>
        <v>#VALUE!</v>
      </c>
    </row>
    <row r="3396" spans="42:44">
      <c r="AP3396" s="1756" t="e">
        <f>IF(OR(AR3396=S13,AR3396&gt;S13),AR3396,"")</f>
        <v>#VALUE!</v>
      </c>
      <c r="AQ3396" s="1759">
        <f t="shared" si="111"/>
        <v>3393</v>
      </c>
      <c r="AR3396" s="1756" t="e">
        <f>0.5*(S18+2*AQ3396)*LN(1+2*AQ3396/S18)</f>
        <v>#VALUE!</v>
      </c>
    </row>
    <row r="3397" spans="42:44">
      <c r="AP3397" s="1756" t="e">
        <f>IF(OR(AR3397=S13,AR3397&gt;S13),AR3397,"")</f>
        <v>#VALUE!</v>
      </c>
      <c r="AQ3397" s="1759">
        <f t="shared" si="111"/>
        <v>3394</v>
      </c>
      <c r="AR3397" s="1756" t="e">
        <f>0.5*(S18+2*AQ3397)*LN(1+2*AQ3397/S18)</f>
        <v>#VALUE!</v>
      </c>
    </row>
    <row r="3398" spans="42:44">
      <c r="AP3398" s="1756" t="e">
        <f>IF(OR(AR3398=S13,AR3398&gt;S13),AR3398,"")</f>
        <v>#VALUE!</v>
      </c>
      <c r="AQ3398" s="1759">
        <f t="shared" ref="AQ3398:AQ3461" si="112">AQ3397+1</f>
        <v>3395</v>
      </c>
      <c r="AR3398" s="1756" t="e">
        <f>0.5*(S18+2*AQ3398)*LN(1+2*AQ3398/S18)</f>
        <v>#VALUE!</v>
      </c>
    </row>
    <row r="3399" spans="42:44">
      <c r="AP3399" s="1756" t="e">
        <f>IF(OR(AR3399=S13,AR3399&gt;S13),AR3399,"")</f>
        <v>#VALUE!</v>
      </c>
      <c r="AQ3399" s="1759">
        <f t="shared" si="112"/>
        <v>3396</v>
      </c>
      <c r="AR3399" s="1756" t="e">
        <f>0.5*(S18+2*AQ3399)*LN(1+2*AQ3399/S18)</f>
        <v>#VALUE!</v>
      </c>
    </row>
    <row r="3400" spans="42:44">
      <c r="AP3400" s="1756" t="e">
        <f>IF(OR(AR3400=S13,AR3400&gt;S13),AR3400,"")</f>
        <v>#VALUE!</v>
      </c>
      <c r="AQ3400" s="1759">
        <f t="shared" si="112"/>
        <v>3397</v>
      </c>
      <c r="AR3400" s="1756" t="e">
        <f>0.5*(S18+2*AQ3400)*LN(1+2*AQ3400/S18)</f>
        <v>#VALUE!</v>
      </c>
    </row>
    <row r="3401" spans="42:44">
      <c r="AP3401" s="1756" t="e">
        <f>IF(OR(AR3401=S13,AR3401&gt;S13),AR3401,"")</f>
        <v>#VALUE!</v>
      </c>
      <c r="AQ3401" s="1759">
        <f t="shared" si="112"/>
        <v>3398</v>
      </c>
      <c r="AR3401" s="1756" t="e">
        <f>0.5*(S18+2*AQ3401)*LN(1+2*AQ3401/S18)</f>
        <v>#VALUE!</v>
      </c>
    </row>
    <row r="3402" spans="42:44">
      <c r="AP3402" s="1756" t="e">
        <f>IF(OR(AR3402=S13,AR3402&gt;S13),AR3402,"")</f>
        <v>#VALUE!</v>
      </c>
      <c r="AQ3402" s="1759">
        <f t="shared" si="112"/>
        <v>3399</v>
      </c>
      <c r="AR3402" s="1756" t="e">
        <f>0.5*(S18+2*AQ3402)*LN(1+2*AQ3402/S18)</f>
        <v>#VALUE!</v>
      </c>
    </row>
    <row r="3403" spans="42:44">
      <c r="AP3403" s="1756" t="e">
        <f>IF(OR(AR3403=S13,AR3403&gt;S13),AR3403,"")</f>
        <v>#VALUE!</v>
      </c>
      <c r="AQ3403" s="1759">
        <f t="shared" si="112"/>
        <v>3400</v>
      </c>
      <c r="AR3403" s="1756" t="e">
        <f>0.5*(S18+2*AQ3403)*LN(1+2*AQ3403/S18)</f>
        <v>#VALUE!</v>
      </c>
    </row>
    <row r="3404" spans="42:44">
      <c r="AP3404" s="1756" t="e">
        <f>IF(OR(AR3404=S13,AR3404&gt;S13),AR3404,"")</f>
        <v>#VALUE!</v>
      </c>
      <c r="AQ3404" s="1759">
        <f t="shared" si="112"/>
        <v>3401</v>
      </c>
      <c r="AR3404" s="1756" t="e">
        <f>0.5*(S18+2*AQ3404)*LN(1+2*AQ3404/S18)</f>
        <v>#VALUE!</v>
      </c>
    </row>
    <row r="3405" spans="42:44">
      <c r="AP3405" s="1756" t="e">
        <f>IF(OR(AR3405=S13,AR3405&gt;S13),AR3405,"")</f>
        <v>#VALUE!</v>
      </c>
      <c r="AQ3405" s="1759">
        <f t="shared" si="112"/>
        <v>3402</v>
      </c>
      <c r="AR3405" s="1756" t="e">
        <f>0.5*(S18+2*AQ3405)*LN(1+2*AQ3405/S18)</f>
        <v>#VALUE!</v>
      </c>
    </row>
    <row r="3406" spans="42:44">
      <c r="AP3406" s="1756" t="e">
        <f>IF(OR(AR3406=S13,AR3406&gt;S13),AR3406,"")</f>
        <v>#VALUE!</v>
      </c>
      <c r="AQ3406" s="1759">
        <f t="shared" si="112"/>
        <v>3403</v>
      </c>
      <c r="AR3406" s="1756" t="e">
        <f>0.5*(S18+2*AQ3406)*LN(1+2*AQ3406/S18)</f>
        <v>#VALUE!</v>
      </c>
    </row>
    <row r="3407" spans="42:44">
      <c r="AP3407" s="1756" t="e">
        <f>IF(OR(AR3407=S13,AR3407&gt;S13),AR3407,"")</f>
        <v>#VALUE!</v>
      </c>
      <c r="AQ3407" s="1759">
        <f t="shared" si="112"/>
        <v>3404</v>
      </c>
      <c r="AR3407" s="1756" t="e">
        <f>0.5*(S18+2*AQ3407)*LN(1+2*AQ3407/S18)</f>
        <v>#VALUE!</v>
      </c>
    </row>
    <row r="3408" spans="42:44">
      <c r="AP3408" s="1756" t="e">
        <f>IF(OR(AR3408=S13,AR3408&gt;S13),AR3408,"")</f>
        <v>#VALUE!</v>
      </c>
      <c r="AQ3408" s="1759">
        <f t="shared" si="112"/>
        <v>3405</v>
      </c>
      <c r="AR3408" s="1756" t="e">
        <f>0.5*(S18+2*AQ3408)*LN(1+2*AQ3408/S18)</f>
        <v>#VALUE!</v>
      </c>
    </row>
    <row r="3409" spans="42:44">
      <c r="AP3409" s="1756" t="e">
        <f>IF(OR(AR3409=S13,AR3409&gt;S13),AR3409,"")</f>
        <v>#VALUE!</v>
      </c>
      <c r="AQ3409" s="1759">
        <f t="shared" si="112"/>
        <v>3406</v>
      </c>
      <c r="AR3409" s="1756" t="e">
        <f>0.5*(S18+2*AQ3409)*LN(1+2*AQ3409/S18)</f>
        <v>#VALUE!</v>
      </c>
    </row>
    <row r="3410" spans="42:44">
      <c r="AP3410" s="1756" t="e">
        <f>IF(OR(AR3410=S13,AR3410&gt;S13),AR3410,"")</f>
        <v>#VALUE!</v>
      </c>
      <c r="AQ3410" s="1759">
        <f t="shared" si="112"/>
        <v>3407</v>
      </c>
      <c r="AR3410" s="1756" t="e">
        <f>0.5*(S18+2*AQ3410)*LN(1+2*AQ3410/S18)</f>
        <v>#VALUE!</v>
      </c>
    </row>
    <row r="3411" spans="42:44">
      <c r="AP3411" s="1756" t="e">
        <f>IF(OR(AR3411=S13,AR3411&gt;S13),AR3411,"")</f>
        <v>#VALUE!</v>
      </c>
      <c r="AQ3411" s="1759">
        <f t="shared" si="112"/>
        <v>3408</v>
      </c>
      <c r="AR3411" s="1756" t="e">
        <f>0.5*(S18+2*AQ3411)*LN(1+2*AQ3411/S18)</f>
        <v>#VALUE!</v>
      </c>
    </row>
    <row r="3412" spans="42:44">
      <c r="AP3412" s="1756" t="e">
        <f>IF(OR(AR3412=S13,AR3412&gt;S13),AR3412,"")</f>
        <v>#VALUE!</v>
      </c>
      <c r="AQ3412" s="1759">
        <f t="shared" si="112"/>
        <v>3409</v>
      </c>
      <c r="AR3412" s="1756" t="e">
        <f>0.5*(S18+2*AQ3412)*LN(1+2*AQ3412/S18)</f>
        <v>#VALUE!</v>
      </c>
    </row>
    <row r="3413" spans="42:44">
      <c r="AP3413" s="1756" t="e">
        <f>IF(OR(AR3413=S13,AR3413&gt;S13),AR3413,"")</f>
        <v>#VALUE!</v>
      </c>
      <c r="AQ3413" s="1759">
        <f t="shared" si="112"/>
        <v>3410</v>
      </c>
      <c r="AR3413" s="1756" t="e">
        <f>0.5*(S18+2*AQ3413)*LN(1+2*AQ3413/S18)</f>
        <v>#VALUE!</v>
      </c>
    </row>
    <row r="3414" spans="42:44">
      <c r="AP3414" s="1756" t="e">
        <f>IF(OR(AR3414=S13,AR3414&gt;S13),AR3414,"")</f>
        <v>#VALUE!</v>
      </c>
      <c r="AQ3414" s="1759">
        <f t="shared" si="112"/>
        <v>3411</v>
      </c>
      <c r="AR3414" s="1756" t="e">
        <f>0.5*(S18+2*AQ3414)*LN(1+2*AQ3414/S18)</f>
        <v>#VALUE!</v>
      </c>
    </row>
    <row r="3415" spans="42:44">
      <c r="AP3415" s="1756" t="e">
        <f>IF(OR(AR3415=S13,AR3415&gt;S13),AR3415,"")</f>
        <v>#VALUE!</v>
      </c>
      <c r="AQ3415" s="1759">
        <f t="shared" si="112"/>
        <v>3412</v>
      </c>
      <c r="AR3415" s="1756" t="e">
        <f>0.5*(S18+2*AQ3415)*LN(1+2*AQ3415/S18)</f>
        <v>#VALUE!</v>
      </c>
    </row>
    <row r="3416" spans="42:44">
      <c r="AP3416" s="1756" t="e">
        <f>IF(OR(AR3416=S13,AR3416&gt;S13),AR3416,"")</f>
        <v>#VALUE!</v>
      </c>
      <c r="AQ3416" s="1759">
        <f t="shared" si="112"/>
        <v>3413</v>
      </c>
      <c r="AR3416" s="1756" t="e">
        <f>0.5*(S18+2*AQ3416)*LN(1+2*AQ3416/S18)</f>
        <v>#VALUE!</v>
      </c>
    </row>
    <row r="3417" spans="42:44">
      <c r="AP3417" s="1756" t="e">
        <f>IF(OR(AR3417=S13,AR3417&gt;S13),AR3417,"")</f>
        <v>#VALUE!</v>
      </c>
      <c r="AQ3417" s="1759">
        <f t="shared" si="112"/>
        <v>3414</v>
      </c>
      <c r="AR3417" s="1756" t="e">
        <f>0.5*(S18+2*AQ3417)*LN(1+2*AQ3417/S18)</f>
        <v>#VALUE!</v>
      </c>
    </row>
    <row r="3418" spans="42:44">
      <c r="AP3418" s="1756" t="e">
        <f>IF(OR(AR3418=S13,AR3418&gt;S13),AR3418,"")</f>
        <v>#VALUE!</v>
      </c>
      <c r="AQ3418" s="1759">
        <f t="shared" si="112"/>
        <v>3415</v>
      </c>
      <c r="AR3418" s="1756" t="e">
        <f>0.5*(S18+2*AQ3418)*LN(1+2*AQ3418/S18)</f>
        <v>#VALUE!</v>
      </c>
    </row>
    <row r="3419" spans="42:44">
      <c r="AP3419" s="1756" t="e">
        <f>IF(OR(AR3419=S13,AR3419&gt;S13),AR3419,"")</f>
        <v>#VALUE!</v>
      </c>
      <c r="AQ3419" s="1759">
        <f t="shared" si="112"/>
        <v>3416</v>
      </c>
      <c r="AR3419" s="1756" t="e">
        <f>0.5*(S18+2*AQ3419)*LN(1+2*AQ3419/S18)</f>
        <v>#VALUE!</v>
      </c>
    </row>
    <row r="3420" spans="42:44">
      <c r="AP3420" s="1756" t="e">
        <f>IF(OR(AR3420=S13,AR3420&gt;S13),AR3420,"")</f>
        <v>#VALUE!</v>
      </c>
      <c r="AQ3420" s="1759">
        <f t="shared" si="112"/>
        <v>3417</v>
      </c>
      <c r="AR3420" s="1756" t="e">
        <f>0.5*(S18+2*AQ3420)*LN(1+2*AQ3420/S18)</f>
        <v>#VALUE!</v>
      </c>
    </row>
    <row r="3421" spans="42:44">
      <c r="AP3421" s="1756" t="e">
        <f>IF(OR(AR3421=S13,AR3421&gt;S13),AR3421,"")</f>
        <v>#VALUE!</v>
      </c>
      <c r="AQ3421" s="1759">
        <f t="shared" si="112"/>
        <v>3418</v>
      </c>
      <c r="AR3421" s="1756" t="e">
        <f>0.5*(S18+2*AQ3421)*LN(1+2*AQ3421/S18)</f>
        <v>#VALUE!</v>
      </c>
    </row>
    <row r="3422" spans="42:44">
      <c r="AP3422" s="1756" t="e">
        <f>IF(OR(AR3422=S13,AR3422&gt;S13),AR3422,"")</f>
        <v>#VALUE!</v>
      </c>
      <c r="AQ3422" s="1759">
        <f t="shared" si="112"/>
        <v>3419</v>
      </c>
      <c r="AR3422" s="1756" t="e">
        <f>0.5*(S18+2*AQ3422)*LN(1+2*AQ3422/S18)</f>
        <v>#VALUE!</v>
      </c>
    </row>
    <row r="3423" spans="42:44">
      <c r="AP3423" s="1756" t="e">
        <f>IF(OR(AR3423=S13,AR3423&gt;S13),AR3423,"")</f>
        <v>#VALUE!</v>
      </c>
      <c r="AQ3423" s="1759">
        <f t="shared" si="112"/>
        <v>3420</v>
      </c>
      <c r="AR3423" s="1756" t="e">
        <f>0.5*(S18+2*AQ3423)*LN(1+2*AQ3423/S18)</f>
        <v>#VALUE!</v>
      </c>
    </row>
    <row r="3424" spans="42:44">
      <c r="AP3424" s="1756" t="e">
        <f>IF(OR(AR3424=S13,AR3424&gt;S13),AR3424,"")</f>
        <v>#VALUE!</v>
      </c>
      <c r="AQ3424" s="1759">
        <f t="shared" si="112"/>
        <v>3421</v>
      </c>
      <c r="AR3424" s="1756" t="e">
        <f>0.5*(S18+2*AQ3424)*LN(1+2*AQ3424/S18)</f>
        <v>#VALUE!</v>
      </c>
    </row>
    <row r="3425" spans="42:44">
      <c r="AP3425" s="1756" t="e">
        <f>IF(OR(AR3425=S13,AR3425&gt;S13),AR3425,"")</f>
        <v>#VALUE!</v>
      </c>
      <c r="AQ3425" s="1759">
        <f t="shared" si="112"/>
        <v>3422</v>
      </c>
      <c r="AR3425" s="1756" t="e">
        <f>0.5*(S18+2*AQ3425)*LN(1+2*AQ3425/S18)</f>
        <v>#VALUE!</v>
      </c>
    </row>
    <row r="3426" spans="42:44">
      <c r="AP3426" s="1756" t="e">
        <f>IF(OR(AR3426=S13,AR3426&gt;S13),AR3426,"")</f>
        <v>#VALUE!</v>
      </c>
      <c r="AQ3426" s="1759">
        <f t="shared" si="112"/>
        <v>3423</v>
      </c>
      <c r="AR3426" s="1756" t="e">
        <f>0.5*(S18+2*AQ3426)*LN(1+2*AQ3426/S18)</f>
        <v>#VALUE!</v>
      </c>
    </row>
    <row r="3427" spans="42:44">
      <c r="AP3427" s="1756" t="e">
        <f>IF(OR(AR3427=S13,AR3427&gt;S13),AR3427,"")</f>
        <v>#VALUE!</v>
      </c>
      <c r="AQ3427" s="1759">
        <f t="shared" si="112"/>
        <v>3424</v>
      </c>
      <c r="AR3427" s="1756" t="e">
        <f>0.5*(S18+2*AQ3427)*LN(1+2*AQ3427/S18)</f>
        <v>#VALUE!</v>
      </c>
    </row>
    <row r="3428" spans="42:44">
      <c r="AP3428" s="1756" t="e">
        <f>IF(OR(AR3428=S13,AR3428&gt;S13),AR3428,"")</f>
        <v>#VALUE!</v>
      </c>
      <c r="AQ3428" s="1759">
        <f t="shared" si="112"/>
        <v>3425</v>
      </c>
      <c r="AR3428" s="1756" t="e">
        <f>0.5*(S18+2*AQ3428)*LN(1+2*AQ3428/S18)</f>
        <v>#VALUE!</v>
      </c>
    </row>
    <row r="3429" spans="42:44">
      <c r="AP3429" s="1756" t="e">
        <f>IF(OR(AR3429=S13,AR3429&gt;S13),AR3429,"")</f>
        <v>#VALUE!</v>
      </c>
      <c r="AQ3429" s="1759">
        <f t="shared" si="112"/>
        <v>3426</v>
      </c>
      <c r="AR3429" s="1756" t="e">
        <f>0.5*(S18+2*AQ3429)*LN(1+2*AQ3429/S18)</f>
        <v>#VALUE!</v>
      </c>
    </row>
    <row r="3430" spans="42:44">
      <c r="AP3430" s="1756" t="e">
        <f>IF(OR(AR3430=S13,AR3430&gt;S13),AR3430,"")</f>
        <v>#VALUE!</v>
      </c>
      <c r="AQ3430" s="1759">
        <f t="shared" si="112"/>
        <v>3427</v>
      </c>
      <c r="AR3430" s="1756" t="e">
        <f>0.5*(S18+2*AQ3430)*LN(1+2*AQ3430/S18)</f>
        <v>#VALUE!</v>
      </c>
    </row>
    <row r="3431" spans="42:44">
      <c r="AP3431" s="1756" t="e">
        <f>IF(OR(AR3431=S13,AR3431&gt;S13),AR3431,"")</f>
        <v>#VALUE!</v>
      </c>
      <c r="AQ3431" s="1759">
        <f t="shared" si="112"/>
        <v>3428</v>
      </c>
      <c r="AR3431" s="1756" t="e">
        <f>0.5*(S18+2*AQ3431)*LN(1+2*AQ3431/S18)</f>
        <v>#VALUE!</v>
      </c>
    </row>
    <row r="3432" spans="42:44">
      <c r="AP3432" s="1756" t="e">
        <f>IF(OR(AR3432=S13,AR3432&gt;S13),AR3432,"")</f>
        <v>#VALUE!</v>
      </c>
      <c r="AQ3432" s="1759">
        <f t="shared" si="112"/>
        <v>3429</v>
      </c>
      <c r="AR3432" s="1756" t="e">
        <f>0.5*(S18+2*AQ3432)*LN(1+2*AQ3432/S18)</f>
        <v>#VALUE!</v>
      </c>
    </row>
    <row r="3433" spans="42:44">
      <c r="AP3433" s="1756" t="e">
        <f>IF(OR(AR3433=S13,AR3433&gt;S13),AR3433,"")</f>
        <v>#VALUE!</v>
      </c>
      <c r="AQ3433" s="1759">
        <f t="shared" si="112"/>
        <v>3430</v>
      </c>
      <c r="AR3433" s="1756" t="e">
        <f>0.5*(S18+2*AQ3433)*LN(1+2*AQ3433/S18)</f>
        <v>#VALUE!</v>
      </c>
    </row>
    <row r="3434" spans="42:44">
      <c r="AP3434" s="1756" t="e">
        <f>IF(OR(AR3434=S13,AR3434&gt;S13),AR3434,"")</f>
        <v>#VALUE!</v>
      </c>
      <c r="AQ3434" s="1759">
        <f t="shared" si="112"/>
        <v>3431</v>
      </c>
      <c r="AR3434" s="1756" t="e">
        <f>0.5*(S18+2*AQ3434)*LN(1+2*AQ3434/S18)</f>
        <v>#VALUE!</v>
      </c>
    </row>
    <row r="3435" spans="42:44">
      <c r="AP3435" s="1756" t="e">
        <f>IF(OR(AR3435=S13,AR3435&gt;S13),AR3435,"")</f>
        <v>#VALUE!</v>
      </c>
      <c r="AQ3435" s="1759">
        <f t="shared" si="112"/>
        <v>3432</v>
      </c>
      <c r="AR3435" s="1756" t="e">
        <f>0.5*(S18+2*AQ3435)*LN(1+2*AQ3435/S18)</f>
        <v>#VALUE!</v>
      </c>
    </row>
    <row r="3436" spans="42:44">
      <c r="AP3436" s="1756" t="e">
        <f>IF(OR(AR3436=S13,AR3436&gt;S13),AR3436,"")</f>
        <v>#VALUE!</v>
      </c>
      <c r="AQ3436" s="1759">
        <f t="shared" si="112"/>
        <v>3433</v>
      </c>
      <c r="AR3436" s="1756" t="e">
        <f>0.5*(S18+2*AQ3436)*LN(1+2*AQ3436/S18)</f>
        <v>#VALUE!</v>
      </c>
    </row>
    <row r="3437" spans="42:44">
      <c r="AP3437" s="1756" t="e">
        <f>IF(OR(AR3437=S13,AR3437&gt;S13),AR3437,"")</f>
        <v>#VALUE!</v>
      </c>
      <c r="AQ3437" s="1759">
        <f t="shared" si="112"/>
        <v>3434</v>
      </c>
      <c r="AR3437" s="1756" t="e">
        <f>0.5*(S18+2*AQ3437)*LN(1+2*AQ3437/S18)</f>
        <v>#VALUE!</v>
      </c>
    </row>
    <row r="3438" spans="42:44">
      <c r="AP3438" s="1756" t="e">
        <f>IF(OR(AR3438=S13,AR3438&gt;S13),AR3438,"")</f>
        <v>#VALUE!</v>
      </c>
      <c r="AQ3438" s="1759">
        <f t="shared" si="112"/>
        <v>3435</v>
      </c>
      <c r="AR3438" s="1756" t="e">
        <f>0.5*(S18+2*AQ3438)*LN(1+2*AQ3438/S18)</f>
        <v>#VALUE!</v>
      </c>
    </row>
    <row r="3439" spans="42:44">
      <c r="AP3439" s="1756" t="e">
        <f>IF(OR(AR3439=S13,AR3439&gt;S13),AR3439,"")</f>
        <v>#VALUE!</v>
      </c>
      <c r="AQ3439" s="1759">
        <f t="shared" si="112"/>
        <v>3436</v>
      </c>
      <c r="AR3439" s="1756" t="e">
        <f>0.5*(S18+2*AQ3439)*LN(1+2*AQ3439/S18)</f>
        <v>#VALUE!</v>
      </c>
    </row>
    <row r="3440" spans="42:44">
      <c r="AP3440" s="1756" t="e">
        <f>IF(OR(AR3440=S13,AR3440&gt;S13),AR3440,"")</f>
        <v>#VALUE!</v>
      </c>
      <c r="AQ3440" s="1759">
        <f t="shared" si="112"/>
        <v>3437</v>
      </c>
      <c r="AR3440" s="1756" t="e">
        <f>0.5*(S18+2*AQ3440)*LN(1+2*AQ3440/S18)</f>
        <v>#VALUE!</v>
      </c>
    </row>
    <row r="3441" spans="42:44">
      <c r="AP3441" s="1756" t="e">
        <f>IF(OR(AR3441=S13,AR3441&gt;S13),AR3441,"")</f>
        <v>#VALUE!</v>
      </c>
      <c r="AQ3441" s="1759">
        <f t="shared" si="112"/>
        <v>3438</v>
      </c>
      <c r="AR3441" s="1756" t="e">
        <f>0.5*(S18+2*AQ3441)*LN(1+2*AQ3441/S18)</f>
        <v>#VALUE!</v>
      </c>
    </row>
    <row r="3442" spans="42:44">
      <c r="AP3442" s="1756" t="e">
        <f>IF(OR(AR3442=S13,AR3442&gt;S13),AR3442,"")</f>
        <v>#VALUE!</v>
      </c>
      <c r="AQ3442" s="1759">
        <f t="shared" si="112"/>
        <v>3439</v>
      </c>
      <c r="AR3442" s="1756" t="e">
        <f>0.5*(S18+2*AQ3442)*LN(1+2*AQ3442/S18)</f>
        <v>#VALUE!</v>
      </c>
    </row>
    <row r="3443" spans="42:44">
      <c r="AP3443" s="1756" t="e">
        <f>IF(OR(AR3443=S13,AR3443&gt;S13),AR3443,"")</f>
        <v>#VALUE!</v>
      </c>
      <c r="AQ3443" s="1759">
        <f t="shared" si="112"/>
        <v>3440</v>
      </c>
      <c r="AR3443" s="1756" t="e">
        <f>0.5*(S18+2*AQ3443)*LN(1+2*AQ3443/S18)</f>
        <v>#VALUE!</v>
      </c>
    </row>
    <row r="3444" spans="42:44">
      <c r="AP3444" s="1756" t="e">
        <f>IF(OR(AR3444=S13,AR3444&gt;S13),AR3444,"")</f>
        <v>#VALUE!</v>
      </c>
      <c r="AQ3444" s="1759">
        <f t="shared" si="112"/>
        <v>3441</v>
      </c>
      <c r="AR3444" s="1756" t="e">
        <f>0.5*(S18+2*AQ3444)*LN(1+2*AQ3444/S18)</f>
        <v>#VALUE!</v>
      </c>
    </row>
    <row r="3445" spans="42:44">
      <c r="AP3445" s="1756" t="e">
        <f>IF(OR(AR3445=S13,AR3445&gt;S13),AR3445,"")</f>
        <v>#VALUE!</v>
      </c>
      <c r="AQ3445" s="1759">
        <f t="shared" si="112"/>
        <v>3442</v>
      </c>
      <c r="AR3445" s="1756" t="e">
        <f>0.5*(S18+2*AQ3445)*LN(1+2*AQ3445/S18)</f>
        <v>#VALUE!</v>
      </c>
    </row>
    <row r="3446" spans="42:44">
      <c r="AP3446" s="1756" t="e">
        <f>IF(OR(AR3446=S13,AR3446&gt;S13),AR3446,"")</f>
        <v>#VALUE!</v>
      </c>
      <c r="AQ3446" s="1759">
        <f t="shared" si="112"/>
        <v>3443</v>
      </c>
      <c r="AR3446" s="1756" t="e">
        <f>0.5*(S18+2*AQ3446)*LN(1+2*AQ3446/S18)</f>
        <v>#VALUE!</v>
      </c>
    </row>
    <row r="3447" spans="42:44">
      <c r="AP3447" s="1756" t="e">
        <f>IF(OR(AR3447=S13,AR3447&gt;S13),AR3447,"")</f>
        <v>#VALUE!</v>
      </c>
      <c r="AQ3447" s="1759">
        <f t="shared" si="112"/>
        <v>3444</v>
      </c>
      <c r="AR3447" s="1756" t="e">
        <f>0.5*(S18+2*AQ3447)*LN(1+2*AQ3447/S18)</f>
        <v>#VALUE!</v>
      </c>
    </row>
    <row r="3448" spans="42:44">
      <c r="AP3448" s="1756" t="e">
        <f>IF(OR(AR3448=S13,AR3448&gt;S13),AR3448,"")</f>
        <v>#VALUE!</v>
      </c>
      <c r="AQ3448" s="1759">
        <f t="shared" si="112"/>
        <v>3445</v>
      </c>
      <c r="AR3448" s="1756" t="e">
        <f>0.5*(S18+2*AQ3448)*LN(1+2*AQ3448/S18)</f>
        <v>#VALUE!</v>
      </c>
    </row>
    <row r="3449" spans="42:44">
      <c r="AP3449" s="1756" t="e">
        <f>IF(OR(AR3449=S13,AR3449&gt;S13),AR3449,"")</f>
        <v>#VALUE!</v>
      </c>
      <c r="AQ3449" s="1759">
        <f t="shared" si="112"/>
        <v>3446</v>
      </c>
      <c r="AR3449" s="1756" t="e">
        <f>0.5*(S18+2*AQ3449)*LN(1+2*AQ3449/S18)</f>
        <v>#VALUE!</v>
      </c>
    </row>
    <row r="3450" spans="42:44">
      <c r="AP3450" s="1756" t="e">
        <f>IF(OR(AR3450=S13,AR3450&gt;S13),AR3450,"")</f>
        <v>#VALUE!</v>
      </c>
      <c r="AQ3450" s="1759">
        <f t="shared" si="112"/>
        <v>3447</v>
      </c>
      <c r="AR3450" s="1756" t="e">
        <f>0.5*(S18+2*AQ3450)*LN(1+2*AQ3450/S18)</f>
        <v>#VALUE!</v>
      </c>
    </row>
    <row r="3451" spans="42:44">
      <c r="AP3451" s="1756" t="e">
        <f>IF(OR(AR3451=S13,AR3451&gt;S13),AR3451,"")</f>
        <v>#VALUE!</v>
      </c>
      <c r="AQ3451" s="1759">
        <f t="shared" si="112"/>
        <v>3448</v>
      </c>
      <c r="AR3451" s="1756" t="e">
        <f>0.5*(S18+2*AQ3451)*LN(1+2*AQ3451/S18)</f>
        <v>#VALUE!</v>
      </c>
    </row>
    <row r="3452" spans="42:44">
      <c r="AP3452" s="1756" t="e">
        <f>IF(OR(AR3452=S13,AR3452&gt;S13),AR3452,"")</f>
        <v>#VALUE!</v>
      </c>
      <c r="AQ3452" s="1759">
        <f t="shared" si="112"/>
        <v>3449</v>
      </c>
      <c r="AR3452" s="1756" t="e">
        <f>0.5*(S18+2*AQ3452)*LN(1+2*AQ3452/S18)</f>
        <v>#VALUE!</v>
      </c>
    </row>
    <row r="3453" spans="42:44">
      <c r="AP3453" s="1756" t="e">
        <f>IF(OR(AR3453=S13,AR3453&gt;S13),AR3453,"")</f>
        <v>#VALUE!</v>
      </c>
      <c r="AQ3453" s="1759">
        <f t="shared" si="112"/>
        <v>3450</v>
      </c>
      <c r="AR3453" s="1756" t="e">
        <f>0.5*(S18+2*AQ3453)*LN(1+2*AQ3453/S18)</f>
        <v>#VALUE!</v>
      </c>
    </row>
    <row r="3454" spans="42:44">
      <c r="AP3454" s="1756" t="e">
        <f>IF(OR(AR3454=S13,AR3454&gt;S13),AR3454,"")</f>
        <v>#VALUE!</v>
      </c>
      <c r="AQ3454" s="1759">
        <f t="shared" si="112"/>
        <v>3451</v>
      </c>
      <c r="AR3454" s="1756" t="e">
        <f>0.5*(S18+2*AQ3454)*LN(1+2*AQ3454/S18)</f>
        <v>#VALUE!</v>
      </c>
    </row>
    <row r="3455" spans="42:44">
      <c r="AP3455" s="1756" t="e">
        <f>IF(OR(AR3455=S13,AR3455&gt;S13),AR3455,"")</f>
        <v>#VALUE!</v>
      </c>
      <c r="AQ3455" s="1759">
        <f t="shared" si="112"/>
        <v>3452</v>
      </c>
      <c r="AR3455" s="1756" t="e">
        <f>0.5*(S18+2*AQ3455)*LN(1+2*AQ3455/S18)</f>
        <v>#VALUE!</v>
      </c>
    </row>
    <row r="3456" spans="42:44">
      <c r="AP3456" s="1756" t="e">
        <f>IF(OR(AR3456=S13,AR3456&gt;S13),AR3456,"")</f>
        <v>#VALUE!</v>
      </c>
      <c r="AQ3456" s="1759">
        <f t="shared" si="112"/>
        <v>3453</v>
      </c>
      <c r="AR3456" s="1756" t="e">
        <f>0.5*(S18+2*AQ3456)*LN(1+2*AQ3456/S18)</f>
        <v>#VALUE!</v>
      </c>
    </row>
    <row r="3457" spans="42:44">
      <c r="AP3457" s="1756" t="e">
        <f>IF(OR(AR3457=S13,AR3457&gt;S13),AR3457,"")</f>
        <v>#VALUE!</v>
      </c>
      <c r="AQ3457" s="1759">
        <f t="shared" si="112"/>
        <v>3454</v>
      </c>
      <c r="AR3457" s="1756" t="e">
        <f>0.5*(S18+2*AQ3457)*LN(1+2*AQ3457/S18)</f>
        <v>#VALUE!</v>
      </c>
    </row>
    <row r="3458" spans="42:44">
      <c r="AP3458" s="1756" t="e">
        <f>IF(OR(AR3458=S13,AR3458&gt;S13),AR3458,"")</f>
        <v>#VALUE!</v>
      </c>
      <c r="AQ3458" s="1759">
        <f t="shared" si="112"/>
        <v>3455</v>
      </c>
      <c r="AR3458" s="1756" t="e">
        <f>0.5*(S18+2*AQ3458)*LN(1+2*AQ3458/S18)</f>
        <v>#VALUE!</v>
      </c>
    </row>
    <row r="3459" spans="42:44">
      <c r="AP3459" s="1756" t="e">
        <f>IF(OR(AR3459=S13,AR3459&gt;S13),AR3459,"")</f>
        <v>#VALUE!</v>
      </c>
      <c r="AQ3459" s="1759">
        <f t="shared" si="112"/>
        <v>3456</v>
      </c>
      <c r="AR3459" s="1756" t="e">
        <f>0.5*(S18+2*AQ3459)*LN(1+2*AQ3459/S18)</f>
        <v>#VALUE!</v>
      </c>
    </row>
    <row r="3460" spans="42:44">
      <c r="AP3460" s="1756" t="e">
        <f>IF(OR(AR3460=S13,AR3460&gt;S13),AR3460,"")</f>
        <v>#VALUE!</v>
      </c>
      <c r="AQ3460" s="1759">
        <f t="shared" si="112"/>
        <v>3457</v>
      </c>
      <c r="AR3460" s="1756" t="e">
        <f>0.5*(S18+2*AQ3460)*LN(1+2*AQ3460/S18)</f>
        <v>#VALUE!</v>
      </c>
    </row>
    <row r="3461" spans="42:44">
      <c r="AP3461" s="1756" t="e">
        <f>IF(OR(AR3461=S13,AR3461&gt;S13),AR3461,"")</f>
        <v>#VALUE!</v>
      </c>
      <c r="AQ3461" s="1759">
        <f t="shared" si="112"/>
        <v>3458</v>
      </c>
      <c r="AR3461" s="1756" t="e">
        <f>0.5*(S18+2*AQ3461)*LN(1+2*AQ3461/S18)</f>
        <v>#VALUE!</v>
      </c>
    </row>
    <row r="3462" spans="42:44">
      <c r="AP3462" s="1756" t="e">
        <f>IF(OR(AR3462=S13,AR3462&gt;S13),AR3462,"")</f>
        <v>#VALUE!</v>
      </c>
      <c r="AQ3462" s="1759">
        <f t="shared" ref="AQ3462:AQ3525" si="113">AQ3461+1</f>
        <v>3459</v>
      </c>
      <c r="AR3462" s="1756" t="e">
        <f>0.5*(S18+2*AQ3462)*LN(1+2*AQ3462/S18)</f>
        <v>#VALUE!</v>
      </c>
    </row>
    <row r="3463" spans="42:44">
      <c r="AP3463" s="1756" t="e">
        <f>IF(OR(AR3463=S13,AR3463&gt;S13),AR3463,"")</f>
        <v>#VALUE!</v>
      </c>
      <c r="AQ3463" s="1759">
        <f t="shared" si="113"/>
        <v>3460</v>
      </c>
      <c r="AR3463" s="1756" t="e">
        <f>0.5*(S18+2*AQ3463)*LN(1+2*AQ3463/S18)</f>
        <v>#VALUE!</v>
      </c>
    </row>
    <row r="3464" spans="42:44">
      <c r="AP3464" s="1756" t="e">
        <f>IF(OR(AR3464=S13,AR3464&gt;S13),AR3464,"")</f>
        <v>#VALUE!</v>
      </c>
      <c r="AQ3464" s="1759">
        <f t="shared" si="113"/>
        <v>3461</v>
      </c>
      <c r="AR3464" s="1756" t="e">
        <f>0.5*(S18+2*AQ3464)*LN(1+2*AQ3464/S18)</f>
        <v>#VALUE!</v>
      </c>
    </row>
    <row r="3465" spans="42:44">
      <c r="AP3465" s="1756" t="e">
        <f>IF(OR(AR3465=S13,AR3465&gt;S13),AR3465,"")</f>
        <v>#VALUE!</v>
      </c>
      <c r="AQ3465" s="1759">
        <f t="shared" si="113"/>
        <v>3462</v>
      </c>
      <c r="AR3465" s="1756" t="e">
        <f>0.5*(S18+2*AQ3465)*LN(1+2*AQ3465/S18)</f>
        <v>#VALUE!</v>
      </c>
    </row>
    <row r="3466" spans="42:44">
      <c r="AP3466" s="1756" t="e">
        <f>IF(OR(AR3466=S13,AR3466&gt;S13),AR3466,"")</f>
        <v>#VALUE!</v>
      </c>
      <c r="AQ3466" s="1759">
        <f t="shared" si="113"/>
        <v>3463</v>
      </c>
      <c r="AR3466" s="1756" t="e">
        <f>0.5*(S18+2*AQ3466)*LN(1+2*AQ3466/S18)</f>
        <v>#VALUE!</v>
      </c>
    </row>
    <row r="3467" spans="42:44">
      <c r="AP3467" s="1756" t="e">
        <f>IF(OR(AR3467=S13,AR3467&gt;S13),AR3467,"")</f>
        <v>#VALUE!</v>
      </c>
      <c r="AQ3467" s="1759">
        <f t="shared" si="113"/>
        <v>3464</v>
      </c>
      <c r="AR3467" s="1756" t="e">
        <f>0.5*(S18+2*AQ3467)*LN(1+2*AQ3467/S18)</f>
        <v>#VALUE!</v>
      </c>
    </row>
    <row r="3468" spans="42:44">
      <c r="AP3468" s="1756" t="e">
        <f>IF(OR(AR3468=S13,AR3468&gt;S13),AR3468,"")</f>
        <v>#VALUE!</v>
      </c>
      <c r="AQ3468" s="1759">
        <f t="shared" si="113"/>
        <v>3465</v>
      </c>
      <c r="AR3468" s="1756" t="e">
        <f>0.5*(S18+2*AQ3468)*LN(1+2*AQ3468/S18)</f>
        <v>#VALUE!</v>
      </c>
    </row>
    <row r="3469" spans="42:44">
      <c r="AP3469" s="1756" t="e">
        <f>IF(OR(AR3469=S13,AR3469&gt;S13),AR3469,"")</f>
        <v>#VALUE!</v>
      </c>
      <c r="AQ3469" s="1759">
        <f t="shared" si="113"/>
        <v>3466</v>
      </c>
      <c r="AR3469" s="1756" t="e">
        <f>0.5*(S18+2*AQ3469)*LN(1+2*AQ3469/S18)</f>
        <v>#VALUE!</v>
      </c>
    </row>
    <row r="3470" spans="42:44">
      <c r="AP3470" s="1756" t="e">
        <f>IF(OR(AR3470=S13,AR3470&gt;S13),AR3470,"")</f>
        <v>#VALUE!</v>
      </c>
      <c r="AQ3470" s="1759">
        <f t="shared" si="113"/>
        <v>3467</v>
      </c>
      <c r="AR3470" s="1756" t="e">
        <f>0.5*(S18+2*AQ3470)*LN(1+2*AQ3470/S18)</f>
        <v>#VALUE!</v>
      </c>
    </row>
    <row r="3471" spans="42:44">
      <c r="AP3471" s="1756" t="e">
        <f>IF(OR(AR3471=S13,AR3471&gt;S13),AR3471,"")</f>
        <v>#VALUE!</v>
      </c>
      <c r="AQ3471" s="1759">
        <f t="shared" si="113"/>
        <v>3468</v>
      </c>
      <c r="AR3471" s="1756" t="e">
        <f>0.5*(S18+2*AQ3471)*LN(1+2*AQ3471/S18)</f>
        <v>#VALUE!</v>
      </c>
    </row>
    <row r="3472" spans="42:44">
      <c r="AP3472" s="1756" t="e">
        <f>IF(OR(AR3472=S13,AR3472&gt;S13),AR3472,"")</f>
        <v>#VALUE!</v>
      </c>
      <c r="AQ3472" s="1759">
        <f t="shared" si="113"/>
        <v>3469</v>
      </c>
      <c r="AR3472" s="1756" t="e">
        <f>0.5*(S18+2*AQ3472)*LN(1+2*AQ3472/S18)</f>
        <v>#VALUE!</v>
      </c>
    </row>
    <row r="3473" spans="42:44">
      <c r="AP3473" s="1756" t="e">
        <f>IF(OR(AR3473=S13,AR3473&gt;S13),AR3473,"")</f>
        <v>#VALUE!</v>
      </c>
      <c r="AQ3473" s="1759">
        <f t="shared" si="113"/>
        <v>3470</v>
      </c>
      <c r="AR3473" s="1756" t="e">
        <f>0.5*(S18+2*AQ3473)*LN(1+2*AQ3473/S18)</f>
        <v>#VALUE!</v>
      </c>
    </row>
    <row r="3474" spans="42:44">
      <c r="AP3474" s="1756" t="e">
        <f>IF(OR(AR3474=S13,AR3474&gt;S13),AR3474,"")</f>
        <v>#VALUE!</v>
      </c>
      <c r="AQ3474" s="1759">
        <f t="shared" si="113"/>
        <v>3471</v>
      </c>
      <c r="AR3474" s="1756" t="e">
        <f>0.5*(S18+2*AQ3474)*LN(1+2*AQ3474/S18)</f>
        <v>#VALUE!</v>
      </c>
    </row>
    <row r="3475" spans="42:44">
      <c r="AP3475" s="1756" t="e">
        <f>IF(OR(AR3475=S13,AR3475&gt;S13),AR3475,"")</f>
        <v>#VALUE!</v>
      </c>
      <c r="AQ3475" s="1759">
        <f t="shared" si="113"/>
        <v>3472</v>
      </c>
      <c r="AR3475" s="1756" t="e">
        <f>0.5*(S18+2*AQ3475)*LN(1+2*AQ3475/S18)</f>
        <v>#VALUE!</v>
      </c>
    </row>
    <row r="3476" spans="42:44">
      <c r="AP3476" s="1756" t="e">
        <f>IF(OR(AR3476=S13,AR3476&gt;S13),AR3476,"")</f>
        <v>#VALUE!</v>
      </c>
      <c r="AQ3476" s="1759">
        <f t="shared" si="113"/>
        <v>3473</v>
      </c>
      <c r="AR3476" s="1756" t="e">
        <f>0.5*(S18+2*AQ3476)*LN(1+2*AQ3476/S18)</f>
        <v>#VALUE!</v>
      </c>
    </row>
    <row r="3477" spans="42:44">
      <c r="AP3477" s="1756" t="e">
        <f>IF(OR(AR3477=S13,AR3477&gt;S13),AR3477,"")</f>
        <v>#VALUE!</v>
      </c>
      <c r="AQ3477" s="1759">
        <f t="shared" si="113"/>
        <v>3474</v>
      </c>
      <c r="AR3477" s="1756" t="e">
        <f>0.5*(S18+2*AQ3477)*LN(1+2*AQ3477/S18)</f>
        <v>#VALUE!</v>
      </c>
    </row>
    <row r="3478" spans="42:44">
      <c r="AP3478" s="1756" t="e">
        <f>IF(OR(AR3478=S13,AR3478&gt;S13),AR3478,"")</f>
        <v>#VALUE!</v>
      </c>
      <c r="AQ3478" s="1759">
        <f t="shared" si="113"/>
        <v>3475</v>
      </c>
      <c r="AR3478" s="1756" t="e">
        <f>0.5*(S18+2*AQ3478)*LN(1+2*AQ3478/S18)</f>
        <v>#VALUE!</v>
      </c>
    </row>
    <row r="3479" spans="42:44">
      <c r="AP3479" s="1756" t="e">
        <f>IF(OR(AR3479=S13,AR3479&gt;S13),AR3479,"")</f>
        <v>#VALUE!</v>
      </c>
      <c r="AQ3479" s="1759">
        <f t="shared" si="113"/>
        <v>3476</v>
      </c>
      <c r="AR3479" s="1756" t="e">
        <f>0.5*(S18+2*AQ3479)*LN(1+2*AQ3479/S18)</f>
        <v>#VALUE!</v>
      </c>
    </row>
    <row r="3480" spans="42:44">
      <c r="AP3480" s="1756" t="e">
        <f>IF(OR(AR3480=S13,AR3480&gt;S13),AR3480,"")</f>
        <v>#VALUE!</v>
      </c>
      <c r="AQ3480" s="1759">
        <f t="shared" si="113"/>
        <v>3477</v>
      </c>
      <c r="AR3480" s="1756" t="e">
        <f>0.5*(S18+2*AQ3480)*LN(1+2*AQ3480/S18)</f>
        <v>#VALUE!</v>
      </c>
    </row>
    <row r="3481" spans="42:44">
      <c r="AP3481" s="1756" t="e">
        <f>IF(OR(AR3481=S13,AR3481&gt;S13),AR3481,"")</f>
        <v>#VALUE!</v>
      </c>
      <c r="AQ3481" s="1759">
        <f t="shared" si="113"/>
        <v>3478</v>
      </c>
      <c r="AR3481" s="1756" t="e">
        <f>0.5*(S18+2*AQ3481)*LN(1+2*AQ3481/S18)</f>
        <v>#VALUE!</v>
      </c>
    </row>
    <row r="3482" spans="42:44">
      <c r="AP3482" s="1756" t="e">
        <f>IF(OR(AR3482=S13,AR3482&gt;S13),AR3482,"")</f>
        <v>#VALUE!</v>
      </c>
      <c r="AQ3482" s="1759">
        <f t="shared" si="113"/>
        <v>3479</v>
      </c>
      <c r="AR3482" s="1756" t="e">
        <f>0.5*(S18+2*AQ3482)*LN(1+2*AQ3482/S18)</f>
        <v>#VALUE!</v>
      </c>
    </row>
    <row r="3483" spans="42:44">
      <c r="AP3483" s="1756" t="e">
        <f>IF(OR(AR3483=S13,AR3483&gt;S13),AR3483,"")</f>
        <v>#VALUE!</v>
      </c>
      <c r="AQ3483" s="1759">
        <f t="shared" si="113"/>
        <v>3480</v>
      </c>
      <c r="AR3483" s="1756" t="e">
        <f>0.5*(S18+2*AQ3483)*LN(1+2*AQ3483/S18)</f>
        <v>#VALUE!</v>
      </c>
    </row>
    <row r="3484" spans="42:44">
      <c r="AP3484" s="1756" t="e">
        <f>IF(OR(AR3484=S13,AR3484&gt;S13),AR3484,"")</f>
        <v>#VALUE!</v>
      </c>
      <c r="AQ3484" s="1759">
        <f t="shared" si="113"/>
        <v>3481</v>
      </c>
      <c r="AR3484" s="1756" t="e">
        <f>0.5*(S18+2*AQ3484)*LN(1+2*AQ3484/S18)</f>
        <v>#VALUE!</v>
      </c>
    </row>
    <row r="3485" spans="42:44">
      <c r="AP3485" s="1756" t="e">
        <f>IF(OR(AR3485=S13,AR3485&gt;S13),AR3485,"")</f>
        <v>#VALUE!</v>
      </c>
      <c r="AQ3485" s="1759">
        <f t="shared" si="113"/>
        <v>3482</v>
      </c>
      <c r="AR3485" s="1756" t="e">
        <f>0.5*(S18+2*AQ3485)*LN(1+2*AQ3485/S18)</f>
        <v>#VALUE!</v>
      </c>
    </row>
    <row r="3486" spans="42:44">
      <c r="AP3486" s="1756" t="e">
        <f>IF(OR(AR3486=S13,AR3486&gt;S13),AR3486,"")</f>
        <v>#VALUE!</v>
      </c>
      <c r="AQ3486" s="1759">
        <f t="shared" si="113"/>
        <v>3483</v>
      </c>
      <c r="AR3486" s="1756" t="e">
        <f>0.5*(S18+2*AQ3486)*LN(1+2*AQ3486/S18)</f>
        <v>#VALUE!</v>
      </c>
    </row>
    <row r="3487" spans="42:44">
      <c r="AP3487" s="1756" t="e">
        <f>IF(OR(AR3487=S13,AR3487&gt;S13),AR3487,"")</f>
        <v>#VALUE!</v>
      </c>
      <c r="AQ3487" s="1759">
        <f t="shared" si="113"/>
        <v>3484</v>
      </c>
      <c r="AR3487" s="1756" t="e">
        <f>0.5*(S18+2*AQ3487)*LN(1+2*AQ3487/S18)</f>
        <v>#VALUE!</v>
      </c>
    </row>
    <row r="3488" spans="42:44">
      <c r="AP3488" s="1756" t="e">
        <f>IF(OR(AR3488=S13,AR3488&gt;S13),AR3488,"")</f>
        <v>#VALUE!</v>
      </c>
      <c r="AQ3488" s="1759">
        <f t="shared" si="113"/>
        <v>3485</v>
      </c>
      <c r="AR3488" s="1756" t="e">
        <f>0.5*(S18+2*AQ3488)*LN(1+2*AQ3488/S18)</f>
        <v>#VALUE!</v>
      </c>
    </row>
    <row r="3489" spans="42:44">
      <c r="AP3489" s="1756" t="e">
        <f>IF(OR(AR3489=S13,AR3489&gt;S13),AR3489,"")</f>
        <v>#VALUE!</v>
      </c>
      <c r="AQ3489" s="1759">
        <f t="shared" si="113"/>
        <v>3486</v>
      </c>
      <c r="AR3489" s="1756" t="e">
        <f>0.5*(S18+2*AQ3489)*LN(1+2*AQ3489/S18)</f>
        <v>#VALUE!</v>
      </c>
    </row>
    <row r="3490" spans="42:44">
      <c r="AP3490" s="1756" t="e">
        <f>IF(OR(AR3490=S13,AR3490&gt;S13),AR3490,"")</f>
        <v>#VALUE!</v>
      </c>
      <c r="AQ3490" s="1759">
        <f t="shared" si="113"/>
        <v>3487</v>
      </c>
      <c r="AR3490" s="1756" t="e">
        <f>0.5*(S18+2*AQ3490)*LN(1+2*AQ3490/S18)</f>
        <v>#VALUE!</v>
      </c>
    </row>
    <row r="3491" spans="42:44">
      <c r="AP3491" s="1756" t="e">
        <f>IF(OR(AR3491=S13,AR3491&gt;S13),AR3491,"")</f>
        <v>#VALUE!</v>
      </c>
      <c r="AQ3491" s="1759">
        <f t="shared" si="113"/>
        <v>3488</v>
      </c>
      <c r="AR3491" s="1756" t="e">
        <f>0.5*(S18+2*AQ3491)*LN(1+2*AQ3491/S18)</f>
        <v>#VALUE!</v>
      </c>
    </row>
    <row r="3492" spans="42:44">
      <c r="AP3492" s="1756" t="e">
        <f>IF(OR(AR3492=S13,AR3492&gt;S13),AR3492,"")</f>
        <v>#VALUE!</v>
      </c>
      <c r="AQ3492" s="1759">
        <f t="shared" si="113"/>
        <v>3489</v>
      </c>
      <c r="AR3492" s="1756" t="e">
        <f>0.5*(S18+2*AQ3492)*LN(1+2*AQ3492/S18)</f>
        <v>#VALUE!</v>
      </c>
    </row>
    <row r="3493" spans="42:44">
      <c r="AP3493" s="1756" t="e">
        <f>IF(OR(AR3493=S13,AR3493&gt;S13),AR3493,"")</f>
        <v>#VALUE!</v>
      </c>
      <c r="AQ3493" s="1759">
        <f t="shared" si="113"/>
        <v>3490</v>
      </c>
      <c r="AR3493" s="1756" t="e">
        <f>0.5*(S18+2*AQ3493)*LN(1+2*AQ3493/S18)</f>
        <v>#VALUE!</v>
      </c>
    </row>
    <row r="3494" spans="42:44">
      <c r="AP3494" s="1756" t="e">
        <f>IF(OR(AR3494=S13,AR3494&gt;S13),AR3494,"")</f>
        <v>#VALUE!</v>
      </c>
      <c r="AQ3494" s="1759">
        <f t="shared" si="113"/>
        <v>3491</v>
      </c>
      <c r="AR3494" s="1756" t="e">
        <f>0.5*(S18+2*AQ3494)*LN(1+2*AQ3494/S18)</f>
        <v>#VALUE!</v>
      </c>
    </row>
    <row r="3495" spans="42:44">
      <c r="AP3495" s="1756" t="e">
        <f>IF(OR(AR3495=S13,AR3495&gt;S13),AR3495,"")</f>
        <v>#VALUE!</v>
      </c>
      <c r="AQ3495" s="1759">
        <f t="shared" si="113"/>
        <v>3492</v>
      </c>
      <c r="AR3495" s="1756" t="e">
        <f>0.5*(S18+2*AQ3495)*LN(1+2*AQ3495/S18)</f>
        <v>#VALUE!</v>
      </c>
    </row>
    <row r="3496" spans="42:44">
      <c r="AP3496" s="1756" t="e">
        <f>IF(OR(AR3496=S13,AR3496&gt;S13),AR3496,"")</f>
        <v>#VALUE!</v>
      </c>
      <c r="AQ3496" s="1759">
        <f t="shared" si="113"/>
        <v>3493</v>
      </c>
      <c r="AR3496" s="1756" t="e">
        <f>0.5*(S18+2*AQ3496)*LN(1+2*AQ3496/S18)</f>
        <v>#VALUE!</v>
      </c>
    </row>
    <row r="3497" spans="42:44">
      <c r="AP3497" s="1756" t="e">
        <f>IF(OR(AR3497=S13,AR3497&gt;S13),AR3497,"")</f>
        <v>#VALUE!</v>
      </c>
      <c r="AQ3497" s="1759">
        <f t="shared" si="113"/>
        <v>3494</v>
      </c>
      <c r="AR3497" s="1756" t="e">
        <f>0.5*(S18+2*AQ3497)*LN(1+2*AQ3497/S18)</f>
        <v>#VALUE!</v>
      </c>
    </row>
    <row r="3498" spans="42:44">
      <c r="AP3498" s="1756" t="e">
        <f>IF(OR(AR3498=S13,AR3498&gt;S13),AR3498,"")</f>
        <v>#VALUE!</v>
      </c>
      <c r="AQ3498" s="1759">
        <f t="shared" si="113"/>
        <v>3495</v>
      </c>
      <c r="AR3498" s="1756" t="e">
        <f>0.5*(S18+2*AQ3498)*LN(1+2*AQ3498/S18)</f>
        <v>#VALUE!</v>
      </c>
    </row>
    <row r="3499" spans="42:44">
      <c r="AP3499" s="1756" t="e">
        <f>IF(OR(AR3499=S13,AR3499&gt;S13),AR3499,"")</f>
        <v>#VALUE!</v>
      </c>
      <c r="AQ3499" s="1759">
        <f t="shared" si="113"/>
        <v>3496</v>
      </c>
      <c r="AR3499" s="1756" t="e">
        <f>0.5*(S18+2*AQ3499)*LN(1+2*AQ3499/S18)</f>
        <v>#VALUE!</v>
      </c>
    </row>
    <row r="3500" spans="42:44">
      <c r="AP3500" s="1756" t="e">
        <f>IF(OR(AR3500=S13,AR3500&gt;S13),AR3500,"")</f>
        <v>#VALUE!</v>
      </c>
      <c r="AQ3500" s="1759">
        <f t="shared" si="113"/>
        <v>3497</v>
      </c>
      <c r="AR3500" s="1756" t="e">
        <f>0.5*(S18+2*AQ3500)*LN(1+2*AQ3500/S18)</f>
        <v>#VALUE!</v>
      </c>
    </row>
    <row r="3501" spans="42:44">
      <c r="AP3501" s="1756" t="e">
        <f>IF(OR(AR3501=S13,AR3501&gt;S13),AR3501,"")</f>
        <v>#VALUE!</v>
      </c>
      <c r="AQ3501" s="1759">
        <f t="shared" si="113"/>
        <v>3498</v>
      </c>
      <c r="AR3501" s="1756" t="e">
        <f>0.5*(S18+2*AQ3501)*LN(1+2*AQ3501/S18)</f>
        <v>#VALUE!</v>
      </c>
    </row>
    <row r="3502" spans="42:44">
      <c r="AP3502" s="1756" t="e">
        <f>IF(OR(AR3502=S13,AR3502&gt;S13),AR3502,"")</f>
        <v>#VALUE!</v>
      </c>
      <c r="AQ3502" s="1759">
        <f t="shared" si="113"/>
        <v>3499</v>
      </c>
      <c r="AR3502" s="1756" t="e">
        <f>0.5*(S18+2*AQ3502)*LN(1+2*AQ3502/S18)</f>
        <v>#VALUE!</v>
      </c>
    </row>
    <row r="3503" spans="42:44">
      <c r="AP3503" s="1756" t="e">
        <f>IF(OR(AR3503=S13,AR3503&gt;S13),AR3503,"")</f>
        <v>#VALUE!</v>
      </c>
      <c r="AQ3503" s="1759">
        <f t="shared" si="113"/>
        <v>3500</v>
      </c>
      <c r="AR3503" s="1756" t="e">
        <f>0.5*(S18+2*AQ3503)*LN(1+2*AQ3503/S18)</f>
        <v>#VALUE!</v>
      </c>
    </row>
    <row r="3504" spans="42:44">
      <c r="AP3504" s="1756" t="e">
        <f>IF(OR(AR3504=S13,AR3504&gt;S13),AR3504,"")</f>
        <v>#VALUE!</v>
      </c>
      <c r="AQ3504" s="1759">
        <f t="shared" si="113"/>
        <v>3501</v>
      </c>
      <c r="AR3504" s="1756" t="e">
        <f>0.5*(S18+2*AQ3504)*LN(1+2*AQ3504/S18)</f>
        <v>#VALUE!</v>
      </c>
    </row>
    <row r="3505" spans="42:44">
      <c r="AP3505" s="1756" t="e">
        <f>IF(OR(AR3505=S13,AR3505&gt;S13),AR3505,"")</f>
        <v>#VALUE!</v>
      </c>
      <c r="AQ3505" s="1759">
        <f t="shared" si="113"/>
        <v>3502</v>
      </c>
      <c r="AR3505" s="1756" t="e">
        <f>0.5*(S18+2*AQ3505)*LN(1+2*AQ3505/S18)</f>
        <v>#VALUE!</v>
      </c>
    </row>
    <row r="3506" spans="42:44">
      <c r="AP3506" s="1756" t="e">
        <f>IF(OR(AR3506=S13,AR3506&gt;S13),AR3506,"")</f>
        <v>#VALUE!</v>
      </c>
      <c r="AQ3506" s="1759">
        <f t="shared" si="113"/>
        <v>3503</v>
      </c>
      <c r="AR3506" s="1756" t="e">
        <f>0.5*(S18+2*AQ3506)*LN(1+2*AQ3506/S18)</f>
        <v>#VALUE!</v>
      </c>
    </row>
    <row r="3507" spans="42:44">
      <c r="AP3507" s="1756" t="e">
        <f>IF(OR(AR3507=S13,AR3507&gt;S13),AR3507,"")</f>
        <v>#VALUE!</v>
      </c>
      <c r="AQ3507" s="1759">
        <f t="shared" si="113"/>
        <v>3504</v>
      </c>
      <c r="AR3507" s="1756" t="e">
        <f>0.5*(S18+2*AQ3507)*LN(1+2*AQ3507/S18)</f>
        <v>#VALUE!</v>
      </c>
    </row>
    <row r="3508" spans="42:44">
      <c r="AP3508" s="1756" t="e">
        <f>IF(OR(AR3508=S13,AR3508&gt;S13),AR3508,"")</f>
        <v>#VALUE!</v>
      </c>
      <c r="AQ3508" s="1759">
        <f t="shared" si="113"/>
        <v>3505</v>
      </c>
      <c r="AR3508" s="1756" t="e">
        <f>0.5*(S18+2*AQ3508)*LN(1+2*AQ3508/S18)</f>
        <v>#VALUE!</v>
      </c>
    </row>
    <row r="3509" spans="42:44">
      <c r="AP3509" s="1756" t="e">
        <f>IF(OR(AR3509=S13,AR3509&gt;S13),AR3509,"")</f>
        <v>#VALUE!</v>
      </c>
      <c r="AQ3509" s="1759">
        <f t="shared" si="113"/>
        <v>3506</v>
      </c>
      <c r="AR3509" s="1756" t="e">
        <f>0.5*(S18+2*AQ3509)*LN(1+2*AQ3509/S18)</f>
        <v>#VALUE!</v>
      </c>
    </row>
    <row r="3510" spans="42:44">
      <c r="AP3510" s="1756" t="e">
        <f>IF(OR(AR3510=S13,AR3510&gt;S13),AR3510,"")</f>
        <v>#VALUE!</v>
      </c>
      <c r="AQ3510" s="1759">
        <f t="shared" si="113"/>
        <v>3507</v>
      </c>
      <c r="AR3510" s="1756" t="e">
        <f>0.5*(S18+2*AQ3510)*LN(1+2*AQ3510/S18)</f>
        <v>#VALUE!</v>
      </c>
    </row>
    <row r="3511" spans="42:44">
      <c r="AP3511" s="1756" t="e">
        <f>IF(OR(AR3511=S13,AR3511&gt;S13),AR3511,"")</f>
        <v>#VALUE!</v>
      </c>
      <c r="AQ3511" s="1759">
        <f t="shared" si="113"/>
        <v>3508</v>
      </c>
      <c r="AR3511" s="1756" t="e">
        <f>0.5*(S18+2*AQ3511)*LN(1+2*AQ3511/S18)</f>
        <v>#VALUE!</v>
      </c>
    </row>
    <row r="3512" spans="42:44">
      <c r="AP3512" s="1756" t="e">
        <f>IF(OR(AR3512=S13,AR3512&gt;S13),AR3512,"")</f>
        <v>#VALUE!</v>
      </c>
      <c r="AQ3512" s="1759">
        <f t="shared" si="113"/>
        <v>3509</v>
      </c>
      <c r="AR3512" s="1756" t="e">
        <f>0.5*(S18+2*AQ3512)*LN(1+2*AQ3512/S18)</f>
        <v>#VALUE!</v>
      </c>
    </row>
    <row r="3513" spans="42:44">
      <c r="AP3513" s="1756" t="e">
        <f>IF(OR(AR3513=S13,AR3513&gt;S13),AR3513,"")</f>
        <v>#VALUE!</v>
      </c>
      <c r="AQ3513" s="1759">
        <f t="shared" si="113"/>
        <v>3510</v>
      </c>
      <c r="AR3513" s="1756" t="e">
        <f>0.5*(S18+2*AQ3513)*LN(1+2*AQ3513/S18)</f>
        <v>#VALUE!</v>
      </c>
    </row>
    <row r="3514" spans="42:44">
      <c r="AP3514" s="1756" t="e">
        <f>IF(OR(AR3514=S13,AR3514&gt;S13),AR3514,"")</f>
        <v>#VALUE!</v>
      </c>
      <c r="AQ3514" s="1759">
        <f t="shared" si="113"/>
        <v>3511</v>
      </c>
      <c r="AR3514" s="1756" t="e">
        <f>0.5*(S18+2*AQ3514)*LN(1+2*AQ3514/S18)</f>
        <v>#VALUE!</v>
      </c>
    </row>
    <row r="3515" spans="42:44">
      <c r="AP3515" s="1756" t="e">
        <f>IF(OR(AR3515=S13,AR3515&gt;S13),AR3515,"")</f>
        <v>#VALUE!</v>
      </c>
      <c r="AQ3515" s="1759">
        <f t="shared" si="113"/>
        <v>3512</v>
      </c>
      <c r="AR3515" s="1756" t="e">
        <f>0.5*(S18+2*AQ3515)*LN(1+2*AQ3515/S18)</f>
        <v>#VALUE!</v>
      </c>
    </row>
    <row r="3516" spans="42:44">
      <c r="AP3516" s="1756" t="e">
        <f>IF(OR(AR3516=S13,AR3516&gt;S13),AR3516,"")</f>
        <v>#VALUE!</v>
      </c>
      <c r="AQ3516" s="1759">
        <f t="shared" si="113"/>
        <v>3513</v>
      </c>
      <c r="AR3516" s="1756" t="e">
        <f>0.5*(S18+2*AQ3516)*LN(1+2*AQ3516/S18)</f>
        <v>#VALUE!</v>
      </c>
    </row>
    <row r="3517" spans="42:44">
      <c r="AP3517" s="1756" t="e">
        <f>IF(OR(AR3517=S13,AR3517&gt;S13),AR3517,"")</f>
        <v>#VALUE!</v>
      </c>
      <c r="AQ3517" s="1759">
        <f t="shared" si="113"/>
        <v>3514</v>
      </c>
      <c r="AR3517" s="1756" t="e">
        <f>0.5*(S18+2*AQ3517)*LN(1+2*AQ3517/S18)</f>
        <v>#VALUE!</v>
      </c>
    </row>
    <row r="3518" spans="42:44">
      <c r="AP3518" s="1756" t="e">
        <f>IF(OR(AR3518=S13,AR3518&gt;S13),AR3518,"")</f>
        <v>#VALUE!</v>
      </c>
      <c r="AQ3518" s="1759">
        <f t="shared" si="113"/>
        <v>3515</v>
      </c>
      <c r="AR3518" s="1756" t="e">
        <f>0.5*(S18+2*AQ3518)*LN(1+2*AQ3518/S18)</f>
        <v>#VALUE!</v>
      </c>
    </row>
    <row r="3519" spans="42:44">
      <c r="AP3519" s="1756" t="e">
        <f>IF(OR(AR3519=S13,AR3519&gt;S13),AR3519,"")</f>
        <v>#VALUE!</v>
      </c>
      <c r="AQ3519" s="1759">
        <f t="shared" si="113"/>
        <v>3516</v>
      </c>
      <c r="AR3519" s="1756" t="e">
        <f>0.5*(S18+2*AQ3519)*LN(1+2*AQ3519/S18)</f>
        <v>#VALUE!</v>
      </c>
    </row>
    <row r="3520" spans="42:44">
      <c r="AP3520" s="1756" t="e">
        <f>IF(OR(AR3520=S13,AR3520&gt;S13),AR3520,"")</f>
        <v>#VALUE!</v>
      </c>
      <c r="AQ3520" s="1759">
        <f t="shared" si="113"/>
        <v>3517</v>
      </c>
      <c r="AR3520" s="1756" t="e">
        <f>0.5*(S18+2*AQ3520)*LN(1+2*AQ3520/S18)</f>
        <v>#VALUE!</v>
      </c>
    </row>
    <row r="3521" spans="42:44">
      <c r="AP3521" s="1756" t="e">
        <f>IF(OR(AR3521=S13,AR3521&gt;S13),AR3521,"")</f>
        <v>#VALUE!</v>
      </c>
      <c r="AQ3521" s="1759">
        <f t="shared" si="113"/>
        <v>3518</v>
      </c>
      <c r="AR3521" s="1756" t="e">
        <f>0.5*(S18+2*AQ3521)*LN(1+2*AQ3521/S18)</f>
        <v>#VALUE!</v>
      </c>
    </row>
    <row r="3522" spans="42:44">
      <c r="AP3522" s="1756" t="e">
        <f>IF(OR(AR3522=S13,AR3522&gt;S13),AR3522,"")</f>
        <v>#VALUE!</v>
      </c>
      <c r="AQ3522" s="1759">
        <f t="shared" si="113"/>
        <v>3519</v>
      </c>
      <c r="AR3522" s="1756" t="e">
        <f>0.5*(S18+2*AQ3522)*LN(1+2*AQ3522/S18)</f>
        <v>#VALUE!</v>
      </c>
    </row>
    <row r="3523" spans="42:44">
      <c r="AP3523" s="1756" t="e">
        <f>IF(OR(AR3523=S13,AR3523&gt;S13),AR3523,"")</f>
        <v>#VALUE!</v>
      </c>
      <c r="AQ3523" s="1759">
        <f t="shared" si="113"/>
        <v>3520</v>
      </c>
      <c r="AR3523" s="1756" t="e">
        <f>0.5*(S18+2*AQ3523)*LN(1+2*AQ3523/S18)</f>
        <v>#VALUE!</v>
      </c>
    </row>
    <row r="3524" spans="42:44">
      <c r="AP3524" s="1756" t="e">
        <f>IF(OR(AR3524=S13,AR3524&gt;S13),AR3524,"")</f>
        <v>#VALUE!</v>
      </c>
      <c r="AQ3524" s="1759">
        <f t="shared" si="113"/>
        <v>3521</v>
      </c>
      <c r="AR3524" s="1756" t="e">
        <f>0.5*(S18+2*AQ3524)*LN(1+2*AQ3524/S18)</f>
        <v>#VALUE!</v>
      </c>
    </row>
    <row r="3525" spans="42:44">
      <c r="AP3525" s="1756" t="e">
        <f>IF(OR(AR3525=S13,AR3525&gt;S13),AR3525,"")</f>
        <v>#VALUE!</v>
      </c>
      <c r="AQ3525" s="1759">
        <f t="shared" si="113"/>
        <v>3522</v>
      </c>
      <c r="AR3525" s="1756" t="e">
        <f>0.5*(S18+2*AQ3525)*LN(1+2*AQ3525/S18)</f>
        <v>#VALUE!</v>
      </c>
    </row>
    <row r="3526" spans="42:44">
      <c r="AP3526" s="1756" t="e">
        <f>IF(OR(AR3526=S13,AR3526&gt;S13),AR3526,"")</f>
        <v>#VALUE!</v>
      </c>
      <c r="AQ3526" s="1759">
        <f t="shared" ref="AQ3526:AQ3589" si="114">AQ3525+1</f>
        <v>3523</v>
      </c>
      <c r="AR3526" s="1756" t="e">
        <f>0.5*(S18+2*AQ3526)*LN(1+2*AQ3526/S18)</f>
        <v>#VALUE!</v>
      </c>
    </row>
    <row r="3527" spans="42:44">
      <c r="AP3527" s="1756" t="e">
        <f>IF(OR(AR3527=S13,AR3527&gt;S13),AR3527,"")</f>
        <v>#VALUE!</v>
      </c>
      <c r="AQ3527" s="1759">
        <f t="shared" si="114"/>
        <v>3524</v>
      </c>
      <c r="AR3527" s="1756" t="e">
        <f>0.5*(S18+2*AQ3527)*LN(1+2*AQ3527/S18)</f>
        <v>#VALUE!</v>
      </c>
    </row>
    <row r="3528" spans="42:44">
      <c r="AP3528" s="1756" t="e">
        <f>IF(OR(AR3528=S13,AR3528&gt;S13),AR3528,"")</f>
        <v>#VALUE!</v>
      </c>
      <c r="AQ3528" s="1759">
        <f t="shared" si="114"/>
        <v>3525</v>
      </c>
      <c r="AR3528" s="1756" t="e">
        <f>0.5*(S18+2*AQ3528)*LN(1+2*AQ3528/S18)</f>
        <v>#VALUE!</v>
      </c>
    </row>
    <row r="3529" spans="42:44">
      <c r="AP3529" s="1756" t="e">
        <f>IF(OR(AR3529=S13,AR3529&gt;S13),AR3529,"")</f>
        <v>#VALUE!</v>
      </c>
      <c r="AQ3529" s="1759">
        <f t="shared" si="114"/>
        <v>3526</v>
      </c>
      <c r="AR3529" s="1756" t="e">
        <f>0.5*(S18+2*AQ3529)*LN(1+2*AQ3529/S18)</f>
        <v>#VALUE!</v>
      </c>
    </row>
    <row r="3530" spans="42:44">
      <c r="AP3530" s="1756" t="e">
        <f>IF(OR(AR3530=S13,AR3530&gt;S13),AR3530,"")</f>
        <v>#VALUE!</v>
      </c>
      <c r="AQ3530" s="1759">
        <f t="shared" si="114"/>
        <v>3527</v>
      </c>
      <c r="AR3530" s="1756" t="e">
        <f>0.5*(S18+2*AQ3530)*LN(1+2*AQ3530/S18)</f>
        <v>#VALUE!</v>
      </c>
    </row>
    <row r="3531" spans="42:44">
      <c r="AP3531" s="1756" t="e">
        <f>IF(OR(AR3531=S13,AR3531&gt;S13),AR3531,"")</f>
        <v>#VALUE!</v>
      </c>
      <c r="AQ3531" s="1759">
        <f t="shared" si="114"/>
        <v>3528</v>
      </c>
      <c r="AR3531" s="1756" t="e">
        <f>0.5*(S18+2*AQ3531)*LN(1+2*AQ3531/S18)</f>
        <v>#VALUE!</v>
      </c>
    </row>
    <row r="3532" spans="42:44">
      <c r="AP3532" s="1756" t="e">
        <f>IF(OR(AR3532=S13,AR3532&gt;S13),AR3532,"")</f>
        <v>#VALUE!</v>
      </c>
      <c r="AQ3532" s="1759">
        <f t="shared" si="114"/>
        <v>3529</v>
      </c>
      <c r="AR3532" s="1756" t="e">
        <f>0.5*(S18+2*AQ3532)*LN(1+2*AQ3532/S18)</f>
        <v>#VALUE!</v>
      </c>
    </row>
    <row r="3533" spans="42:44">
      <c r="AP3533" s="1756" t="e">
        <f>IF(OR(AR3533=S13,AR3533&gt;S13),AR3533,"")</f>
        <v>#VALUE!</v>
      </c>
      <c r="AQ3533" s="1759">
        <f t="shared" si="114"/>
        <v>3530</v>
      </c>
      <c r="AR3533" s="1756" t="e">
        <f>0.5*(S18+2*AQ3533)*LN(1+2*AQ3533/S18)</f>
        <v>#VALUE!</v>
      </c>
    </row>
    <row r="3534" spans="42:44">
      <c r="AP3534" s="1756" t="e">
        <f>IF(OR(AR3534=S13,AR3534&gt;S13),AR3534,"")</f>
        <v>#VALUE!</v>
      </c>
      <c r="AQ3534" s="1759">
        <f t="shared" si="114"/>
        <v>3531</v>
      </c>
      <c r="AR3534" s="1756" t="e">
        <f>0.5*(S18+2*AQ3534)*LN(1+2*AQ3534/S18)</f>
        <v>#VALUE!</v>
      </c>
    </row>
    <row r="3535" spans="42:44">
      <c r="AP3535" s="1756" t="e">
        <f>IF(OR(AR3535=S13,AR3535&gt;S13),AR3535,"")</f>
        <v>#VALUE!</v>
      </c>
      <c r="AQ3535" s="1759">
        <f t="shared" si="114"/>
        <v>3532</v>
      </c>
      <c r="AR3535" s="1756" t="e">
        <f>0.5*(S18+2*AQ3535)*LN(1+2*AQ3535/S18)</f>
        <v>#VALUE!</v>
      </c>
    </row>
    <row r="3536" spans="42:44">
      <c r="AP3536" s="1756" t="e">
        <f>IF(OR(AR3536=S13,AR3536&gt;S13),AR3536,"")</f>
        <v>#VALUE!</v>
      </c>
      <c r="AQ3536" s="1759">
        <f t="shared" si="114"/>
        <v>3533</v>
      </c>
      <c r="AR3536" s="1756" t="e">
        <f>0.5*(S18+2*AQ3536)*LN(1+2*AQ3536/S18)</f>
        <v>#VALUE!</v>
      </c>
    </row>
    <row r="3537" spans="42:44">
      <c r="AP3537" s="1756" t="e">
        <f>IF(OR(AR3537=S13,AR3537&gt;S13),AR3537,"")</f>
        <v>#VALUE!</v>
      </c>
      <c r="AQ3537" s="1759">
        <f t="shared" si="114"/>
        <v>3534</v>
      </c>
      <c r="AR3537" s="1756" t="e">
        <f>0.5*(S18+2*AQ3537)*LN(1+2*AQ3537/S18)</f>
        <v>#VALUE!</v>
      </c>
    </row>
    <row r="3538" spans="42:44">
      <c r="AP3538" s="1756" t="e">
        <f>IF(OR(AR3538=S13,AR3538&gt;S13),AR3538,"")</f>
        <v>#VALUE!</v>
      </c>
      <c r="AQ3538" s="1759">
        <f t="shared" si="114"/>
        <v>3535</v>
      </c>
      <c r="AR3538" s="1756" t="e">
        <f>0.5*(S18+2*AQ3538)*LN(1+2*AQ3538/S18)</f>
        <v>#VALUE!</v>
      </c>
    </row>
    <row r="3539" spans="42:44">
      <c r="AP3539" s="1756" t="e">
        <f>IF(OR(AR3539=S13,AR3539&gt;S13),AR3539,"")</f>
        <v>#VALUE!</v>
      </c>
      <c r="AQ3539" s="1759">
        <f t="shared" si="114"/>
        <v>3536</v>
      </c>
      <c r="AR3539" s="1756" t="e">
        <f>0.5*(S18+2*AQ3539)*LN(1+2*AQ3539/S18)</f>
        <v>#VALUE!</v>
      </c>
    </row>
    <row r="3540" spans="42:44">
      <c r="AP3540" s="1756" t="e">
        <f>IF(OR(AR3540=S13,AR3540&gt;S13),AR3540,"")</f>
        <v>#VALUE!</v>
      </c>
      <c r="AQ3540" s="1759">
        <f t="shared" si="114"/>
        <v>3537</v>
      </c>
      <c r="AR3540" s="1756" t="e">
        <f>0.5*(S18+2*AQ3540)*LN(1+2*AQ3540/S18)</f>
        <v>#VALUE!</v>
      </c>
    </row>
    <row r="3541" spans="42:44">
      <c r="AP3541" s="1756" t="e">
        <f>IF(OR(AR3541=S13,AR3541&gt;S13),AR3541,"")</f>
        <v>#VALUE!</v>
      </c>
      <c r="AQ3541" s="1759">
        <f t="shared" si="114"/>
        <v>3538</v>
      </c>
      <c r="AR3541" s="1756" t="e">
        <f>0.5*(S18+2*AQ3541)*LN(1+2*AQ3541/S18)</f>
        <v>#VALUE!</v>
      </c>
    </row>
    <row r="3542" spans="42:44">
      <c r="AP3542" s="1756" t="e">
        <f>IF(OR(AR3542=S13,AR3542&gt;S13),AR3542,"")</f>
        <v>#VALUE!</v>
      </c>
      <c r="AQ3542" s="1759">
        <f t="shared" si="114"/>
        <v>3539</v>
      </c>
      <c r="AR3542" s="1756" t="e">
        <f>0.5*(S18+2*AQ3542)*LN(1+2*AQ3542/S18)</f>
        <v>#VALUE!</v>
      </c>
    </row>
    <row r="3543" spans="42:44">
      <c r="AP3543" s="1756" t="e">
        <f>IF(OR(AR3543=S13,AR3543&gt;S13),AR3543,"")</f>
        <v>#VALUE!</v>
      </c>
      <c r="AQ3543" s="1759">
        <f t="shared" si="114"/>
        <v>3540</v>
      </c>
      <c r="AR3543" s="1756" t="e">
        <f>0.5*(S18+2*AQ3543)*LN(1+2*AQ3543/S18)</f>
        <v>#VALUE!</v>
      </c>
    </row>
    <row r="3544" spans="42:44">
      <c r="AP3544" s="1756" t="e">
        <f>IF(OR(AR3544=S13,AR3544&gt;S13),AR3544,"")</f>
        <v>#VALUE!</v>
      </c>
      <c r="AQ3544" s="1759">
        <f t="shared" si="114"/>
        <v>3541</v>
      </c>
      <c r="AR3544" s="1756" t="e">
        <f>0.5*(S18+2*AQ3544)*LN(1+2*AQ3544/S18)</f>
        <v>#VALUE!</v>
      </c>
    </row>
    <row r="3545" spans="42:44">
      <c r="AP3545" s="1756" t="e">
        <f>IF(OR(AR3545=S13,AR3545&gt;S13),AR3545,"")</f>
        <v>#VALUE!</v>
      </c>
      <c r="AQ3545" s="1759">
        <f t="shared" si="114"/>
        <v>3542</v>
      </c>
      <c r="AR3545" s="1756" t="e">
        <f>0.5*(S18+2*AQ3545)*LN(1+2*AQ3545/S18)</f>
        <v>#VALUE!</v>
      </c>
    </row>
    <row r="3546" spans="42:44">
      <c r="AP3546" s="1756" t="e">
        <f>IF(OR(AR3546=S13,AR3546&gt;S13),AR3546,"")</f>
        <v>#VALUE!</v>
      </c>
      <c r="AQ3546" s="1759">
        <f t="shared" si="114"/>
        <v>3543</v>
      </c>
      <c r="AR3546" s="1756" t="e">
        <f>0.5*(S18+2*AQ3546)*LN(1+2*AQ3546/S18)</f>
        <v>#VALUE!</v>
      </c>
    </row>
    <row r="3547" spans="42:44">
      <c r="AP3547" s="1756" t="e">
        <f>IF(OR(AR3547=S13,AR3547&gt;S13),AR3547,"")</f>
        <v>#VALUE!</v>
      </c>
      <c r="AQ3547" s="1759">
        <f t="shared" si="114"/>
        <v>3544</v>
      </c>
      <c r="AR3547" s="1756" t="e">
        <f>0.5*(S18+2*AQ3547)*LN(1+2*AQ3547/S18)</f>
        <v>#VALUE!</v>
      </c>
    </row>
    <row r="3548" spans="42:44">
      <c r="AP3548" s="1756" t="e">
        <f>IF(OR(AR3548=S13,AR3548&gt;S13),AR3548,"")</f>
        <v>#VALUE!</v>
      </c>
      <c r="AQ3548" s="1759">
        <f t="shared" si="114"/>
        <v>3545</v>
      </c>
      <c r="AR3548" s="1756" t="e">
        <f>0.5*(S18+2*AQ3548)*LN(1+2*AQ3548/S18)</f>
        <v>#VALUE!</v>
      </c>
    </row>
    <row r="3549" spans="42:44">
      <c r="AP3549" s="1756" t="e">
        <f>IF(OR(AR3549=S13,AR3549&gt;S13),AR3549,"")</f>
        <v>#VALUE!</v>
      </c>
      <c r="AQ3549" s="1759">
        <f t="shared" si="114"/>
        <v>3546</v>
      </c>
      <c r="AR3549" s="1756" t="e">
        <f>0.5*(S18+2*AQ3549)*LN(1+2*AQ3549/S18)</f>
        <v>#VALUE!</v>
      </c>
    </row>
    <row r="3550" spans="42:44">
      <c r="AP3550" s="1756" t="e">
        <f>IF(OR(AR3550=S13,AR3550&gt;S13),AR3550,"")</f>
        <v>#VALUE!</v>
      </c>
      <c r="AQ3550" s="1759">
        <f t="shared" si="114"/>
        <v>3547</v>
      </c>
      <c r="AR3550" s="1756" t="e">
        <f>0.5*(S18+2*AQ3550)*LN(1+2*AQ3550/S18)</f>
        <v>#VALUE!</v>
      </c>
    </row>
    <row r="3551" spans="42:44">
      <c r="AP3551" s="1756" t="e">
        <f>IF(OR(AR3551=S13,AR3551&gt;S13),AR3551,"")</f>
        <v>#VALUE!</v>
      </c>
      <c r="AQ3551" s="1759">
        <f t="shared" si="114"/>
        <v>3548</v>
      </c>
      <c r="AR3551" s="1756" t="e">
        <f>0.5*(S18+2*AQ3551)*LN(1+2*AQ3551/S18)</f>
        <v>#VALUE!</v>
      </c>
    </row>
    <row r="3552" spans="42:44">
      <c r="AP3552" s="1756" t="e">
        <f>IF(OR(AR3552=S13,AR3552&gt;S13),AR3552,"")</f>
        <v>#VALUE!</v>
      </c>
      <c r="AQ3552" s="1759">
        <f t="shared" si="114"/>
        <v>3549</v>
      </c>
      <c r="AR3552" s="1756" t="e">
        <f>0.5*(S18+2*AQ3552)*LN(1+2*AQ3552/S18)</f>
        <v>#VALUE!</v>
      </c>
    </row>
    <row r="3553" spans="42:44">
      <c r="AP3553" s="1756" t="e">
        <f>IF(OR(AR3553=S13,AR3553&gt;S13),AR3553,"")</f>
        <v>#VALUE!</v>
      </c>
      <c r="AQ3553" s="1759">
        <f t="shared" si="114"/>
        <v>3550</v>
      </c>
      <c r="AR3553" s="1756" t="e">
        <f>0.5*(S18+2*AQ3553)*LN(1+2*AQ3553/S18)</f>
        <v>#VALUE!</v>
      </c>
    </row>
    <row r="3554" spans="42:44">
      <c r="AP3554" s="1756" t="e">
        <f>IF(OR(AR3554=S13,AR3554&gt;S13),AR3554,"")</f>
        <v>#VALUE!</v>
      </c>
      <c r="AQ3554" s="1759">
        <f t="shared" si="114"/>
        <v>3551</v>
      </c>
      <c r="AR3554" s="1756" t="e">
        <f>0.5*(S18+2*AQ3554)*LN(1+2*AQ3554/S18)</f>
        <v>#VALUE!</v>
      </c>
    </row>
    <row r="3555" spans="42:44">
      <c r="AP3555" s="1756" t="e">
        <f>IF(OR(AR3555=S13,AR3555&gt;S13),AR3555,"")</f>
        <v>#VALUE!</v>
      </c>
      <c r="AQ3555" s="1759">
        <f t="shared" si="114"/>
        <v>3552</v>
      </c>
      <c r="AR3555" s="1756" t="e">
        <f>0.5*(S18+2*AQ3555)*LN(1+2*AQ3555/S18)</f>
        <v>#VALUE!</v>
      </c>
    </row>
    <row r="3556" spans="42:44">
      <c r="AP3556" s="1756" t="e">
        <f>IF(OR(AR3556=S13,AR3556&gt;S13),AR3556,"")</f>
        <v>#VALUE!</v>
      </c>
      <c r="AQ3556" s="1759">
        <f t="shared" si="114"/>
        <v>3553</v>
      </c>
      <c r="AR3556" s="1756" t="e">
        <f>0.5*(S18+2*AQ3556)*LN(1+2*AQ3556/S18)</f>
        <v>#VALUE!</v>
      </c>
    </row>
    <row r="3557" spans="42:44">
      <c r="AP3557" s="1756" t="e">
        <f>IF(OR(AR3557=S13,AR3557&gt;S13),AR3557,"")</f>
        <v>#VALUE!</v>
      </c>
      <c r="AQ3557" s="1759">
        <f t="shared" si="114"/>
        <v>3554</v>
      </c>
      <c r="AR3557" s="1756" t="e">
        <f>0.5*(S18+2*AQ3557)*LN(1+2*AQ3557/S18)</f>
        <v>#VALUE!</v>
      </c>
    </row>
    <row r="3558" spans="42:44">
      <c r="AP3558" s="1756" t="e">
        <f>IF(OR(AR3558=S13,AR3558&gt;S13),AR3558,"")</f>
        <v>#VALUE!</v>
      </c>
      <c r="AQ3558" s="1759">
        <f t="shared" si="114"/>
        <v>3555</v>
      </c>
      <c r="AR3558" s="1756" t="e">
        <f>0.5*(S18+2*AQ3558)*LN(1+2*AQ3558/S18)</f>
        <v>#VALUE!</v>
      </c>
    </row>
    <row r="3559" spans="42:44">
      <c r="AP3559" s="1756" t="e">
        <f>IF(OR(AR3559=S13,AR3559&gt;S13),AR3559,"")</f>
        <v>#VALUE!</v>
      </c>
      <c r="AQ3559" s="1759">
        <f t="shared" si="114"/>
        <v>3556</v>
      </c>
      <c r="AR3559" s="1756" t="e">
        <f>0.5*(S18+2*AQ3559)*LN(1+2*AQ3559/S18)</f>
        <v>#VALUE!</v>
      </c>
    </row>
    <row r="3560" spans="42:44">
      <c r="AP3560" s="1756" t="e">
        <f>IF(OR(AR3560=S13,AR3560&gt;S13),AR3560,"")</f>
        <v>#VALUE!</v>
      </c>
      <c r="AQ3560" s="1759">
        <f t="shared" si="114"/>
        <v>3557</v>
      </c>
      <c r="AR3560" s="1756" t="e">
        <f>0.5*(S18+2*AQ3560)*LN(1+2*AQ3560/S18)</f>
        <v>#VALUE!</v>
      </c>
    </row>
    <row r="3561" spans="42:44">
      <c r="AP3561" s="1756" t="e">
        <f>IF(OR(AR3561=S13,AR3561&gt;S13),AR3561,"")</f>
        <v>#VALUE!</v>
      </c>
      <c r="AQ3561" s="1759">
        <f t="shared" si="114"/>
        <v>3558</v>
      </c>
      <c r="AR3561" s="1756" t="e">
        <f>0.5*(S18+2*AQ3561)*LN(1+2*AQ3561/S18)</f>
        <v>#VALUE!</v>
      </c>
    </row>
    <row r="3562" spans="42:44">
      <c r="AP3562" s="1756" t="e">
        <f>IF(OR(AR3562=S13,AR3562&gt;S13),AR3562,"")</f>
        <v>#VALUE!</v>
      </c>
      <c r="AQ3562" s="1759">
        <f t="shared" si="114"/>
        <v>3559</v>
      </c>
      <c r="AR3562" s="1756" t="e">
        <f>0.5*(S18+2*AQ3562)*LN(1+2*AQ3562/S18)</f>
        <v>#VALUE!</v>
      </c>
    </row>
    <row r="3563" spans="42:44">
      <c r="AP3563" s="1756" t="e">
        <f>IF(OR(AR3563=S13,AR3563&gt;S13),AR3563,"")</f>
        <v>#VALUE!</v>
      </c>
      <c r="AQ3563" s="1759">
        <f t="shared" si="114"/>
        <v>3560</v>
      </c>
      <c r="AR3563" s="1756" t="e">
        <f>0.5*(S18+2*AQ3563)*LN(1+2*AQ3563/S18)</f>
        <v>#VALUE!</v>
      </c>
    </row>
    <row r="3564" spans="42:44">
      <c r="AP3564" s="1756" t="e">
        <f>IF(OR(AR3564=S13,AR3564&gt;S13),AR3564,"")</f>
        <v>#VALUE!</v>
      </c>
      <c r="AQ3564" s="1759">
        <f t="shared" si="114"/>
        <v>3561</v>
      </c>
      <c r="AR3564" s="1756" t="e">
        <f>0.5*(S18+2*AQ3564)*LN(1+2*AQ3564/S18)</f>
        <v>#VALUE!</v>
      </c>
    </row>
    <row r="3565" spans="42:44">
      <c r="AP3565" s="1756" t="e">
        <f>IF(OR(AR3565=S13,AR3565&gt;S13),AR3565,"")</f>
        <v>#VALUE!</v>
      </c>
      <c r="AQ3565" s="1759">
        <f t="shared" si="114"/>
        <v>3562</v>
      </c>
      <c r="AR3565" s="1756" t="e">
        <f>0.5*(S18+2*AQ3565)*LN(1+2*AQ3565/S18)</f>
        <v>#VALUE!</v>
      </c>
    </row>
    <row r="3566" spans="42:44">
      <c r="AP3566" s="1756" t="e">
        <f>IF(OR(AR3566=S13,AR3566&gt;S13),AR3566,"")</f>
        <v>#VALUE!</v>
      </c>
      <c r="AQ3566" s="1759">
        <f t="shared" si="114"/>
        <v>3563</v>
      </c>
      <c r="AR3566" s="1756" t="e">
        <f>0.5*(S18+2*AQ3566)*LN(1+2*AQ3566/S18)</f>
        <v>#VALUE!</v>
      </c>
    </row>
    <row r="3567" spans="42:44">
      <c r="AP3567" s="1756" t="e">
        <f>IF(OR(AR3567=S13,AR3567&gt;S13),AR3567,"")</f>
        <v>#VALUE!</v>
      </c>
      <c r="AQ3567" s="1759">
        <f t="shared" si="114"/>
        <v>3564</v>
      </c>
      <c r="AR3567" s="1756" t="e">
        <f>0.5*(S18+2*AQ3567)*LN(1+2*AQ3567/S18)</f>
        <v>#VALUE!</v>
      </c>
    </row>
    <row r="3568" spans="42:44">
      <c r="AP3568" s="1756" t="e">
        <f>IF(OR(AR3568=S13,AR3568&gt;S13),AR3568,"")</f>
        <v>#VALUE!</v>
      </c>
      <c r="AQ3568" s="1759">
        <f t="shared" si="114"/>
        <v>3565</v>
      </c>
      <c r="AR3568" s="1756" t="e">
        <f>0.5*(S18+2*AQ3568)*LN(1+2*AQ3568/S18)</f>
        <v>#VALUE!</v>
      </c>
    </row>
    <row r="3569" spans="42:44">
      <c r="AP3569" s="1756" t="e">
        <f>IF(OR(AR3569=S13,AR3569&gt;S13),AR3569,"")</f>
        <v>#VALUE!</v>
      </c>
      <c r="AQ3569" s="1759">
        <f t="shared" si="114"/>
        <v>3566</v>
      </c>
      <c r="AR3569" s="1756" t="e">
        <f>0.5*(S18+2*AQ3569)*LN(1+2*AQ3569/S18)</f>
        <v>#VALUE!</v>
      </c>
    </row>
    <row r="3570" spans="42:44">
      <c r="AP3570" s="1756" t="e">
        <f>IF(OR(AR3570=S13,AR3570&gt;S13),AR3570,"")</f>
        <v>#VALUE!</v>
      </c>
      <c r="AQ3570" s="1759">
        <f t="shared" si="114"/>
        <v>3567</v>
      </c>
      <c r="AR3570" s="1756" t="e">
        <f>0.5*(S18+2*AQ3570)*LN(1+2*AQ3570/S18)</f>
        <v>#VALUE!</v>
      </c>
    </row>
    <row r="3571" spans="42:44">
      <c r="AP3571" s="1756" t="e">
        <f>IF(OR(AR3571=S13,AR3571&gt;S13),AR3571,"")</f>
        <v>#VALUE!</v>
      </c>
      <c r="AQ3571" s="1759">
        <f t="shared" si="114"/>
        <v>3568</v>
      </c>
      <c r="AR3571" s="1756" t="e">
        <f>0.5*(S18+2*AQ3571)*LN(1+2*AQ3571/S18)</f>
        <v>#VALUE!</v>
      </c>
    </row>
    <row r="3572" spans="42:44">
      <c r="AP3572" s="1756" t="e">
        <f>IF(OR(AR3572=S13,AR3572&gt;S13),AR3572,"")</f>
        <v>#VALUE!</v>
      </c>
      <c r="AQ3572" s="1759">
        <f t="shared" si="114"/>
        <v>3569</v>
      </c>
      <c r="AR3572" s="1756" t="e">
        <f>0.5*(S18+2*AQ3572)*LN(1+2*AQ3572/S18)</f>
        <v>#VALUE!</v>
      </c>
    </row>
    <row r="3573" spans="42:44">
      <c r="AP3573" s="1756" t="e">
        <f>IF(OR(AR3573=S13,AR3573&gt;S13),AR3573,"")</f>
        <v>#VALUE!</v>
      </c>
      <c r="AQ3573" s="1759">
        <f t="shared" si="114"/>
        <v>3570</v>
      </c>
      <c r="AR3573" s="1756" t="e">
        <f>0.5*(S18+2*AQ3573)*LN(1+2*AQ3573/S18)</f>
        <v>#VALUE!</v>
      </c>
    </row>
    <row r="3574" spans="42:44">
      <c r="AP3574" s="1756" t="e">
        <f>IF(OR(AR3574=S13,AR3574&gt;S13),AR3574,"")</f>
        <v>#VALUE!</v>
      </c>
      <c r="AQ3574" s="1759">
        <f t="shared" si="114"/>
        <v>3571</v>
      </c>
      <c r="AR3574" s="1756" t="e">
        <f>0.5*(S18+2*AQ3574)*LN(1+2*AQ3574/S18)</f>
        <v>#VALUE!</v>
      </c>
    </row>
    <row r="3575" spans="42:44">
      <c r="AP3575" s="1756" t="e">
        <f>IF(OR(AR3575=S13,AR3575&gt;S13),AR3575,"")</f>
        <v>#VALUE!</v>
      </c>
      <c r="AQ3575" s="1759">
        <f t="shared" si="114"/>
        <v>3572</v>
      </c>
      <c r="AR3575" s="1756" t="e">
        <f>0.5*(S18+2*AQ3575)*LN(1+2*AQ3575/S18)</f>
        <v>#VALUE!</v>
      </c>
    </row>
    <row r="3576" spans="42:44">
      <c r="AP3576" s="1756" t="e">
        <f>IF(OR(AR3576=S13,AR3576&gt;S13),AR3576,"")</f>
        <v>#VALUE!</v>
      </c>
      <c r="AQ3576" s="1759">
        <f t="shared" si="114"/>
        <v>3573</v>
      </c>
      <c r="AR3576" s="1756" t="e">
        <f>0.5*(S18+2*AQ3576)*LN(1+2*AQ3576/S18)</f>
        <v>#VALUE!</v>
      </c>
    </row>
    <row r="3577" spans="42:44">
      <c r="AP3577" s="1756" t="e">
        <f>IF(OR(AR3577=S13,AR3577&gt;S13),AR3577,"")</f>
        <v>#VALUE!</v>
      </c>
      <c r="AQ3577" s="1759">
        <f t="shared" si="114"/>
        <v>3574</v>
      </c>
      <c r="AR3577" s="1756" t="e">
        <f>0.5*(S18+2*AQ3577)*LN(1+2*AQ3577/S18)</f>
        <v>#VALUE!</v>
      </c>
    </row>
    <row r="3578" spans="42:44">
      <c r="AP3578" s="1756" t="e">
        <f>IF(OR(AR3578=S13,AR3578&gt;S13),AR3578,"")</f>
        <v>#VALUE!</v>
      </c>
      <c r="AQ3578" s="1759">
        <f t="shared" si="114"/>
        <v>3575</v>
      </c>
      <c r="AR3578" s="1756" t="e">
        <f>0.5*(S18+2*AQ3578)*LN(1+2*AQ3578/S18)</f>
        <v>#VALUE!</v>
      </c>
    </row>
    <row r="3579" spans="42:44">
      <c r="AP3579" s="1756" t="e">
        <f>IF(OR(AR3579=S13,AR3579&gt;S13),AR3579,"")</f>
        <v>#VALUE!</v>
      </c>
      <c r="AQ3579" s="1759">
        <f t="shared" si="114"/>
        <v>3576</v>
      </c>
      <c r="AR3579" s="1756" t="e">
        <f>0.5*(S18+2*AQ3579)*LN(1+2*AQ3579/S18)</f>
        <v>#VALUE!</v>
      </c>
    </row>
    <row r="3580" spans="42:44">
      <c r="AP3580" s="1756" t="e">
        <f>IF(OR(AR3580=S13,AR3580&gt;S13),AR3580,"")</f>
        <v>#VALUE!</v>
      </c>
      <c r="AQ3580" s="1759">
        <f t="shared" si="114"/>
        <v>3577</v>
      </c>
      <c r="AR3580" s="1756" t="e">
        <f>0.5*(S18+2*AQ3580)*LN(1+2*AQ3580/S18)</f>
        <v>#VALUE!</v>
      </c>
    </row>
    <row r="3581" spans="42:44">
      <c r="AP3581" s="1756" t="e">
        <f>IF(OR(AR3581=S13,AR3581&gt;S13),AR3581,"")</f>
        <v>#VALUE!</v>
      </c>
      <c r="AQ3581" s="1759">
        <f t="shared" si="114"/>
        <v>3578</v>
      </c>
      <c r="AR3581" s="1756" t="e">
        <f>0.5*(S18+2*AQ3581)*LN(1+2*AQ3581/S18)</f>
        <v>#VALUE!</v>
      </c>
    </row>
    <row r="3582" spans="42:44">
      <c r="AP3582" s="1756" t="e">
        <f>IF(OR(AR3582=S13,AR3582&gt;S13),AR3582,"")</f>
        <v>#VALUE!</v>
      </c>
      <c r="AQ3582" s="1759">
        <f t="shared" si="114"/>
        <v>3579</v>
      </c>
      <c r="AR3582" s="1756" t="e">
        <f>0.5*(S18+2*AQ3582)*LN(1+2*AQ3582/S18)</f>
        <v>#VALUE!</v>
      </c>
    </row>
    <row r="3583" spans="42:44">
      <c r="AP3583" s="1756" t="e">
        <f>IF(OR(AR3583=S13,AR3583&gt;S13),AR3583,"")</f>
        <v>#VALUE!</v>
      </c>
      <c r="AQ3583" s="1759">
        <f t="shared" si="114"/>
        <v>3580</v>
      </c>
      <c r="AR3583" s="1756" t="e">
        <f>0.5*(S18+2*AQ3583)*LN(1+2*AQ3583/S18)</f>
        <v>#VALUE!</v>
      </c>
    </row>
    <row r="3584" spans="42:44">
      <c r="AP3584" s="1756" t="e">
        <f>IF(OR(AR3584=S13,AR3584&gt;S13),AR3584,"")</f>
        <v>#VALUE!</v>
      </c>
      <c r="AQ3584" s="1759">
        <f t="shared" si="114"/>
        <v>3581</v>
      </c>
      <c r="AR3584" s="1756" t="e">
        <f>0.5*(S18+2*AQ3584)*LN(1+2*AQ3584/S18)</f>
        <v>#VALUE!</v>
      </c>
    </row>
    <row r="3585" spans="42:44">
      <c r="AP3585" s="1756" t="e">
        <f>IF(OR(AR3585=S13,AR3585&gt;S13),AR3585,"")</f>
        <v>#VALUE!</v>
      </c>
      <c r="AQ3585" s="1759">
        <f t="shared" si="114"/>
        <v>3582</v>
      </c>
      <c r="AR3585" s="1756" t="e">
        <f>0.5*(S18+2*AQ3585)*LN(1+2*AQ3585/S18)</f>
        <v>#VALUE!</v>
      </c>
    </row>
    <row r="3586" spans="42:44">
      <c r="AP3586" s="1756" t="e">
        <f>IF(OR(AR3586=S13,AR3586&gt;S13),AR3586,"")</f>
        <v>#VALUE!</v>
      </c>
      <c r="AQ3586" s="1759">
        <f t="shared" si="114"/>
        <v>3583</v>
      </c>
      <c r="AR3586" s="1756" t="e">
        <f>0.5*(S18+2*AQ3586)*LN(1+2*AQ3586/S18)</f>
        <v>#VALUE!</v>
      </c>
    </row>
    <row r="3587" spans="42:44">
      <c r="AP3587" s="1756" t="e">
        <f>IF(OR(AR3587=S13,AR3587&gt;S13),AR3587,"")</f>
        <v>#VALUE!</v>
      </c>
      <c r="AQ3587" s="1759">
        <f t="shared" si="114"/>
        <v>3584</v>
      </c>
      <c r="AR3587" s="1756" t="e">
        <f>0.5*(S18+2*AQ3587)*LN(1+2*AQ3587/S18)</f>
        <v>#VALUE!</v>
      </c>
    </row>
    <row r="3588" spans="42:44">
      <c r="AP3588" s="1756" t="e">
        <f>IF(OR(AR3588=S13,AR3588&gt;S13),AR3588,"")</f>
        <v>#VALUE!</v>
      </c>
      <c r="AQ3588" s="1759">
        <f t="shared" si="114"/>
        <v>3585</v>
      </c>
      <c r="AR3588" s="1756" t="e">
        <f>0.5*(S18+2*AQ3588)*LN(1+2*AQ3588/S18)</f>
        <v>#VALUE!</v>
      </c>
    </row>
    <row r="3589" spans="42:44">
      <c r="AP3589" s="1756" t="e">
        <f>IF(OR(AR3589=S13,AR3589&gt;S13),AR3589,"")</f>
        <v>#VALUE!</v>
      </c>
      <c r="AQ3589" s="1759">
        <f t="shared" si="114"/>
        <v>3586</v>
      </c>
      <c r="AR3589" s="1756" t="e">
        <f>0.5*(S18+2*AQ3589)*LN(1+2*AQ3589/S18)</f>
        <v>#VALUE!</v>
      </c>
    </row>
    <row r="3590" spans="42:44">
      <c r="AP3590" s="1756" t="e">
        <f>IF(OR(AR3590=S13,AR3590&gt;S13),AR3590,"")</f>
        <v>#VALUE!</v>
      </c>
      <c r="AQ3590" s="1759">
        <f t="shared" ref="AQ3590:AQ3653" si="115">AQ3589+1</f>
        <v>3587</v>
      </c>
      <c r="AR3590" s="1756" t="e">
        <f>0.5*(S18+2*AQ3590)*LN(1+2*AQ3590/S18)</f>
        <v>#VALUE!</v>
      </c>
    </row>
    <row r="3591" spans="42:44">
      <c r="AP3591" s="1756" t="e">
        <f>IF(OR(AR3591=S13,AR3591&gt;S13),AR3591,"")</f>
        <v>#VALUE!</v>
      </c>
      <c r="AQ3591" s="1759">
        <f t="shared" si="115"/>
        <v>3588</v>
      </c>
      <c r="AR3591" s="1756" t="e">
        <f>0.5*(S18+2*AQ3591)*LN(1+2*AQ3591/S18)</f>
        <v>#VALUE!</v>
      </c>
    </row>
    <row r="3592" spans="42:44">
      <c r="AP3592" s="1756" t="e">
        <f>IF(OR(AR3592=S13,AR3592&gt;S13),AR3592,"")</f>
        <v>#VALUE!</v>
      </c>
      <c r="AQ3592" s="1759">
        <f t="shared" si="115"/>
        <v>3589</v>
      </c>
      <c r="AR3592" s="1756" t="e">
        <f>0.5*(S18+2*AQ3592)*LN(1+2*AQ3592/S18)</f>
        <v>#VALUE!</v>
      </c>
    </row>
    <row r="3593" spans="42:44">
      <c r="AP3593" s="1756" t="e">
        <f>IF(OR(AR3593=S13,AR3593&gt;S13),AR3593,"")</f>
        <v>#VALUE!</v>
      </c>
      <c r="AQ3593" s="1759">
        <f t="shared" si="115"/>
        <v>3590</v>
      </c>
      <c r="AR3593" s="1756" t="e">
        <f>0.5*(S18+2*AQ3593)*LN(1+2*AQ3593/S18)</f>
        <v>#VALUE!</v>
      </c>
    </row>
    <row r="3594" spans="42:44">
      <c r="AP3594" s="1756" t="e">
        <f>IF(OR(AR3594=S13,AR3594&gt;S13),AR3594,"")</f>
        <v>#VALUE!</v>
      </c>
      <c r="AQ3594" s="1759">
        <f t="shared" si="115"/>
        <v>3591</v>
      </c>
      <c r="AR3594" s="1756" t="e">
        <f>0.5*(S18+2*AQ3594)*LN(1+2*AQ3594/S18)</f>
        <v>#VALUE!</v>
      </c>
    </row>
    <row r="3595" spans="42:44">
      <c r="AP3595" s="1756" t="e">
        <f>IF(OR(AR3595=S13,AR3595&gt;S13),AR3595,"")</f>
        <v>#VALUE!</v>
      </c>
      <c r="AQ3595" s="1759">
        <f t="shared" si="115"/>
        <v>3592</v>
      </c>
      <c r="AR3595" s="1756" t="e">
        <f>0.5*(S18+2*AQ3595)*LN(1+2*AQ3595/S18)</f>
        <v>#VALUE!</v>
      </c>
    </row>
    <row r="3596" spans="42:44">
      <c r="AP3596" s="1756" t="e">
        <f>IF(OR(AR3596=S13,AR3596&gt;S13),AR3596,"")</f>
        <v>#VALUE!</v>
      </c>
      <c r="AQ3596" s="1759">
        <f t="shared" si="115"/>
        <v>3593</v>
      </c>
      <c r="AR3596" s="1756" t="e">
        <f>0.5*(S18+2*AQ3596)*LN(1+2*AQ3596/S18)</f>
        <v>#VALUE!</v>
      </c>
    </row>
    <row r="3597" spans="42:44">
      <c r="AP3597" s="1756" t="e">
        <f>IF(OR(AR3597=S13,AR3597&gt;S13),AR3597,"")</f>
        <v>#VALUE!</v>
      </c>
      <c r="AQ3597" s="1759">
        <f t="shared" si="115"/>
        <v>3594</v>
      </c>
      <c r="AR3597" s="1756" t="e">
        <f>0.5*(S18+2*AQ3597)*LN(1+2*AQ3597/S18)</f>
        <v>#VALUE!</v>
      </c>
    </row>
    <row r="3598" spans="42:44">
      <c r="AP3598" s="1756" t="e">
        <f>IF(OR(AR3598=S13,AR3598&gt;S13),AR3598,"")</f>
        <v>#VALUE!</v>
      </c>
      <c r="AQ3598" s="1759">
        <f t="shared" si="115"/>
        <v>3595</v>
      </c>
      <c r="AR3598" s="1756" t="e">
        <f>0.5*(S18+2*AQ3598)*LN(1+2*AQ3598/S18)</f>
        <v>#VALUE!</v>
      </c>
    </row>
    <row r="3599" spans="42:44">
      <c r="AP3599" s="1756" t="e">
        <f>IF(OR(AR3599=S13,AR3599&gt;S13),AR3599,"")</f>
        <v>#VALUE!</v>
      </c>
      <c r="AQ3599" s="1759">
        <f t="shared" si="115"/>
        <v>3596</v>
      </c>
      <c r="AR3599" s="1756" t="e">
        <f>0.5*(S18+2*AQ3599)*LN(1+2*AQ3599/S18)</f>
        <v>#VALUE!</v>
      </c>
    </row>
    <row r="3600" spans="42:44">
      <c r="AP3600" s="1756" t="e">
        <f>IF(OR(AR3600=S13,AR3600&gt;S13),AR3600,"")</f>
        <v>#VALUE!</v>
      </c>
      <c r="AQ3600" s="1759">
        <f t="shared" si="115"/>
        <v>3597</v>
      </c>
      <c r="AR3600" s="1756" t="e">
        <f>0.5*(S18+2*AQ3600)*LN(1+2*AQ3600/S18)</f>
        <v>#VALUE!</v>
      </c>
    </row>
    <row r="3601" spans="42:44">
      <c r="AP3601" s="1756" t="e">
        <f>IF(OR(AR3601=S13,AR3601&gt;S13),AR3601,"")</f>
        <v>#VALUE!</v>
      </c>
      <c r="AQ3601" s="1759">
        <f t="shared" si="115"/>
        <v>3598</v>
      </c>
      <c r="AR3601" s="1756" t="e">
        <f>0.5*(S18+2*AQ3601)*LN(1+2*AQ3601/S18)</f>
        <v>#VALUE!</v>
      </c>
    </row>
    <row r="3602" spans="42:44">
      <c r="AP3602" s="1756" t="e">
        <f>IF(OR(AR3602=S13,AR3602&gt;S13),AR3602,"")</f>
        <v>#VALUE!</v>
      </c>
      <c r="AQ3602" s="1759">
        <f t="shared" si="115"/>
        <v>3599</v>
      </c>
      <c r="AR3602" s="1756" t="e">
        <f>0.5*(S18+2*AQ3602)*LN(1+2*AQ3602/S18)</f>
        <v>#VALUE!</v>
      </c>
    </row>
    <row r="3603" spans="42:44">
      <c r="AP3603" s="1756" t="e">
        <f>IF(OR(AR3603=S13,AR3603&gt;S13),AR3603,"")</f>
        <v>#VALUE!</v>
      </c>
      <c r="AQ3603" s="1759">
        <f t="shared" si="115"/>
        <v>3600</v>
      </c>
      <c r="AR3603" s="1756" t="e">
        <f>0.5*(S18+2*AQ3603)*LN(1+2*AQ3603/S18)</f>
        <v>#VALUE!</v>
      </c>
    </row>
    <row r="3604" spans="42:44">
      <c r="AP3604" s="1756" t="e">
        <f>IF(OR(AR3604=S13,AR3604&gt;S13),AR3604,"")</f>
        <v>#VALUE!</v>
      </c>
      <c r="AQ3604" s="1759">
        <f t="shared" si="115"/>
        <v>3601</v>
      </c>
      <c r="AR3604" s="1756" t="e">
        <f>0.5*(S18+2*AQ3604)*LN(1+2*AQ3604/S18)</f>
        <v>#VALUE!</v>
      </c>
    </row>
    <row r="3605" spans="42:44">
      <c r="AP3605" s="1756" t="e">
        <f>IF(OR(AR3605=S13,AR3605&gt;S13),AR3605,"")</f>
        <v>#VALUE!</v>
      </c>
      <c r="AQ3605" s="1759">
        <f t="shared" si="115"/>
        <v>3602</v>
      </c>
      <c r="AR3605" s="1756" t="e">
        <f>0.5*(S18+2*AQ3605)*LN(1+2*AQ3605/S18)</f>
        <v>#VALUE!</v>
      </c>
    </row>
    <row r="3606" spans="42:44">
      <c r="AP3606" s="1756" t="e">
        <f>IF(OR(AR3606=S13,AR3606&gt;S13),AR3606,"")</f>
        <v>#VALUE!</v>
      </c>
      <c r="AQ3606" s="1759">
        <f t="shared" si="115"/>
        <v>3603</v>
      </c>
      <c r="AR3606" s="1756" t="e">
        <f>0.5*(S18+2*AQ3606)*LN(1+2*AQ3606/S18)</f>
        <v>#VALUE!</v>
      </c>
    </row>
    <row r="3607" spans="42:44">
      <c r="AP3607" s="1756" t="e">
        <f>IF(OR(AR3607=S13,AR3607&gt;S13),AR3607,"")</f>
        <v>#VALUE!</v>
      </c>
      <c r="AQ3607" s="1759">
        <f t="shared" si="115"/>
        <v>3604</v>
      </c>
      <c r="AR3607" s="1756" t="e">
        <f>0.5*(S18+2*AQ3607)*LN(1+2*AQ3607/S18)</f>
        <v>#VALUE!</v>
      </c>
    </row>
    <row r="3608" spans="42:44">
      <c r="AP3608" s="1756" t="e">
        <f>IF(OR(AR3608=S13,AR3608&gt;S13),AR3608,"")</f>
        <v>#VALUE!</v>
      </c>
      <c r="AQ3608" s="1759">
        <f t="shared" si="115"/>
        <v>3605</v>
      </c>
      <c r="AR3608" s="1756" t="e">
        <f>0.5*(S18+2*AQ3608)*LN(1+2*AQ3608/S18)</f>
        <v>#VALUE!</v>
      </c>
    </row>
    <row r="3609" spans="42:44">
      <c r="AP3609" s="1756" t="e">
        <f>IF(OR(AR3609=S13,AR3609&gt;S13),AR3609,"")</f>
        <v>#VALUE!</v>
      </c>
      <c r="AQ3609" s="1759">
        <f t="shared" si="115"/>
        <v>3606</v>
      </c>
      <c r="AR3609" s="1756" t="e">
        <f>0.5*(S18+2*AQ3609)*LN(1+2*AQ3609/S18)</f>
        <v>#VALUE!</v>
      </c>
    </row>
    <row r="3610" spans="42:44">
      <c r="AP3610" s="1756" t="e">
        <f>IF(OR(AR3610=S13,AR3610&gt;S13),AR3610,"")</f>
        <v>#VALUE!</v>
      </c>
      <c r="AQ3610" s="1759">
        <f t="shared" si="115"/>
        <v>3607</v>
      </c>
      <c r="AR3610" s="1756" t="e">
        <f>0.5*(S18+2*AQ3610)*LN(1+2*AQ3610/S18)</f>
        <v>#VALUE!</v>
      </c>
    </row>
    <row r="3611" spans="42:44">
      <c r="AP3611" s="1756" t="e">
        <f>IF(OR(AR3611=S13,AR3611&gt;S13),AR3611,"")</f>
        <v>#VALUE!</v>
      </c>
      <c r="AQ3611" s="1759">
        <f t="shared" si="115"/>
        <v>3608</v>
      </c>
      <c r="AR3611" s="1756" t="e">
        <f>0.5*(S18+2*AQ3611)*LN(1+2*AQ3611/S18)</f>
        <v>#VALUE!</v>
      </c>
    </row>
    <row r="3612" spans="42:44">
      <c r="AP3612" s="1756" t="e">
        <f>IF(OR(AR3612=S13,AR3612&gt;S13),AR3612,"")</f>
        <v>#VALUE!</v>
      </c>
      <c r="AQ3612" s="1759">
        <f t="shared" si="115"/>
        <v>3609</v>
      </c>
      <c r="AR3612" s="1756" t="e">
        <f>0.5*(S18+2*AQ3612)*LN(1+2*AQ3612/S18)</f>
        <v>#VALUE!</v>
      </c>
    </row>
    <row r="3613" spans="42:44">
      <c r="AP3613" s="1756" t="e">
        <f>IF(OR(AR3613=S13,AR3613&gt;S13),AR3613,"")</f>
        <v>#VALUE!</v>
      </c>
      <c r="AQ3613" s="1759">
        <f t="shared" si="115"/>
        <v>3610</v>
      </c>
      <c r="AR3613" s="1756" t="e">
        <f>0.5*(S18+2*AQ3613)*LN(1+2*AQ3613/S18)</f>
        <v>#VALUE!</v>
      </c>
    </row>
    <row r="3614" spans="42:44">
      <c r="AP3614" s="1756" t="e">
        <f>IF(OR(AR3614=S13,AR3614&gt;S13),AR3614,"")</f>
        <v>#VALUE!</v>
      </c>
      <c r="AQ3614" s="1759">
        <f t="shared" si="115"/>
        <v>3611</v>
      </c>
      <c r="AR3614" s="1756" t="e">
        <f>0.5*(S18+2*AQ3614)*LN(1+2*AQ3614/S18)</f>
        <v>#VALUE!</v>
      </c>
    </row>
    <row r="3615" spans="42:44">
      <c r="AP3615" s="1756" t="e">
        <f>IF(OR(AR3615=S13,AR3615&gt;S13),AR3615,"")</f>
        <v>#VALUE!</v>
      </c>
      <c r="AQ3615" s="1759">
        <f t="shared" si="115"/>
        <v>3612</v>
      </c>
      <c r="AR3615" s="1756" t="e">
        <f>0.5*(S18+2*AQ3615)*LN(1+2*AQ3615/S18)</f>
        <v>#VALUE!</v>
      </c>
    </row>
    <row r="3616" spans="42:44">
      <c r="AP3616" s="1756" t="e">
        <f>IF(OR(AR3616=S13,AR3616&gt;S13),AR3616,"")</f>
        <v>#VALUE!</v>
      </c>
      <c r="AQ3616" s="1759">
        <f t="shared" si="115"/>
        <v>3613</v>
      </c>
      <c r="AR3616" s="1756" t="e">
        <f>0.5*(S18+2*AQ3616)*LN(1+2*AQ3616/S18)</f>
        <v>#VALUE!</v>
      </c>
    </row>
    <row r="3617" spans="42:44">
      <c r="AP3617" s="1756" t="e">
        <f>IF(OR(AR3617=S13,AR3617&gt;S13),AR3617,"")</f>
        <v>#VALUE!</v>
      </c>
      <c r="AQ3617" s="1759">
        <f t="shared" si="115"/>
        <v>3614</v>
      </c>
      <c r="AR3617" s="1756" t="e">
        <f>0.5*(S18+2*AQ3617)*LN(1+2*AQ3617/S18)</f>
        <v>#VALUE!</v>
      </c>
    </row>
    <row r="3618" spans="42:44">
      <c r="AP3618" s="1756" t="e">
        <f>IF(OR(AR3618=S13,AR3618&gt;S13),AR3618,"")</f>
        <v>#VALUE!</v>
      </c>
      <c r="AQ3618" s="1759">
        <f t="shared" si="115"/>
        <v>3615</v>
      </c>
      <c r="AR3618" s="1756" t="e">
        <f>0.5*(S18+2*AQ3618)*LN(1+2*AQ3618/S18)</f>
        <v>#VALUE!</v>
      </c>
    </row>
    <row r="3619" spans="42:44">
      <c r="AP3619" s="1756" t="e">
        <f>IF(OR(AR3619=S13,AR3619&gt;S13),AR3619,"")</f>
        <v>#VALUE!</v>
      </c>
      <c r="AQ3619" s="1759">
        <f t="shared" si="115"/>
        <v>3616</v>
      </c>
      <c r="AR3619" s="1756" t="e">
        <f>0.5*(S18+2*AQ3619)*LN(1+2*AQ3619/S18)</f>
        <v>#VALUE!</v>
      </c>
    </row>
    <row r="3620" spans="42:44">
      <c r="AP3620" s="1756" t="e">
        <f>IF(OR(AR3620=S13,AR3620&gt;S13),AR3620,"")</f>
        <v>#VALUE!</v>
      </c>
      <c r="AQ3620" s="1759">
        <f t="shared" si="115"/>
        <v>3617</v>
      </c>
      <c r="AR3620" s="1756" t="e">
        <f>0.5*(S18+2*AQ3620)*LN(1+2*AQ3620/S18)</f>
        <v>#VALUE!</v>
      </c>
    </row>
    <row r="3621" spans="42:44">
      <c r="AP3621" s="1756" t="e">
        <f>IF(OR(AR3621=S13,AR3621&gt;S13),AR3621,"")</f>
        <v>#VALUE!</v>
      </c>
      <c r="AQ3621" s="1759">
        <f t="shared" si="115"/>
        <v>3618</v>
      </c>
      <c r="AR3621" s="1756" t="e">
        <f>0.5*(S18+2*AQ3621)*LN(1+2*AQ3621/S18)</f>
        <v>#VALUE!</v>
      </c>
    </row>
    <row r="3622" spans="42:44">
      <c r="AP3622" s="1756" t="e">
        <f>IF(OR(AR3622=S13,AR3622&gt;S13),AR3622,"")</f>
        <v>#VALUE!</v>
      </c>
      <c r="AQ3622" s="1759">
        <f t="shared" si="115"/>
        <v>3619</v>
      </c>
      <c r="AR3622" s="1756" t="e">
        <f>0.5*(S18+2*AQ3622)*LN(1+2*AQ3622/S18)</f>
        <v>#VALUE!</v>
      </c>
    </row>
    <row r="3623" spans="42:44">
      <c r="AP3623" s="1756" t="e">
        <f>IF(OR(AR3623=S13,AR3623&gt;S13),AR3623,"")</f>
        <v>#VALUE!</v>
      </c>
      <c r="AQ3623" s="1759">
        <f t="shared" si="115"/>
        <v>3620</v>
      </c>
      <c r="AR3623" s="1756" t="e">
        <f>0.5*(S18+2*AQ3623)*LN(1+2*AQ3623/S18)</f>
        <v>#VALUE!</v>
      </c>
    </row>
    <row r="3624" spans="42:44">
      <c r="AP3624" s="1756" t="e">
        <f>IF(OR(AR3624=S13,AR3624&gt;S13),AR3624,"")</f>
        <v>#VALUE!</v>
      </c>
      <c r="AQ3624" s="1759">
        <f t="shared" si="115"/>
        <v>3621</v>
      </c>
      <c r="AR3624" s="1756" t="e">
        <f>0.5*(S18+2*AQ3624)*LN(1+2*AQ3624/S18)</f>
        <v>#VALUE!</v>
      </c>
    </row>
    <row r="3625" spans="42:44">
      <c r="AP3625" s="1756" t="e">
        <f>IF(OR(AR3625=S13,AR3625&gt;S13),AR3625,"")</f>
        <v>#VALUE!</v>
      </c>
      <c r="AQ3625" s="1759">
        <f t="shared" si="115"/>
        <v>3622</v>
      </c>
      <c r="AR3625" s="1756" t="e">
        <f>0.5*(S18+2*AQ3625)*LN(1+2*AQ3625/S18)</f>
        <v>#VALUE!</v>
      </c>
    </row>
    <row r="3626" spans="42:44">
      <c r="AP3626" s="1756" t="e">
        <f>IF(OR(AR3626=S13,AR3626&gt;S13),AR3626,"")</f>
        <v>#VALUE!</v>
      </c>
      <c r="AQ3626" s="1759">
        <f t="shared" si="115"/>
        <v>3623</v>
      </c>
      <c r="AR3626" s="1756" t="e">
        <f>0.5*(S18+2*AQ3626)*LN(1+2*AQ3626/S18)</f>
        <v>#VALUE!</v>
      </c>
    </row>
    <row r="3627" spans="42:44">
      <c r="AP3627" s="1756" t="e">
        <f>IF(OR(AR3627=S13,AR3627&gt;S13),AR3627,"")</f>
        <v>#VALUE!</v>
      </c>
      <c r="AQ3627" s="1759">
        <f t="shared" si="115"/>
        <v>3624</v>
      </c>
      <c r="AR3627" s="1756" t="e">
        <f>0.5*(S18+2*AQ3627)*LN(1+2*AQ3627/S18)</f>
        <v>#VALUE!</v>
      </c>
    </row>
    <row r="3628" spans="42:44">
      <c r="AP3628" s="1756" t="e">
        <f>IF(OR(AR3628=S13,AR3628&gt;S13),AR3628,"")</f>
        <v>#VALUE!</v>
      </c>
      <c r="AQ3628" s="1759">
        <f t="shared" si="115"/>
        <v>3625</v>
      </c>
      <c r="AR3628" s="1756" t="e">
        <f>0.5*(S18+2*AQ3628)*LN(1+2*AQ3628/S18)</f>
        <v>#VALUE!</v>
      </c>
    </row>
    <row r="3629" spans="42:44">
      <c r="AP3629" s="1756" t="e">
        <f>IF(OR(AR3629=S13,AR3629&gt;S13),AR3629,"")</f>
        <v>#VALUE!</v>
      </c>
      <c r="AQ3629" s="1759">
        <f t="shared" si="115"/>
        <v>3626</v>
      </c>
      <c r="AR3629" s="1756" t="e">
        <f>0.5*(S18+2*AQ3629)*LN(1+2*AQ3629/S18)</f>
        <v>#VALUE!</v>
      </c>
    </row>
    <row r="3630" spans="42:44">
      <c r="AP3630" s="1756" t="e">
        <f>IF(OR(AR3630=S13,AR3630&gt;S13),AR3630,"")</f>
        <v>#VALUE!</v>
      </c>
      <c r="AQ3630" s="1759">
        <f t="shared" si="115"/>
        <v>3627</v>
      </c>
      <c r="AR3630" s="1756" t="e">
        <f>0.5*(S18+2*AQ3630)*LN(1+2*AQ3630/S18)</f>
        <v>#VALUE!</v>
      </c>
    </row>
    <row r="3631" spans="42:44">
      <c r="AP3631" s="1756" t="e">
        <f>IF(OR(AR3631=S13,AR3631&gt;S13),AR3631,"")</f>
        <v>#VALUE!</v>
      </c>
      <c r="AQ3631" s="1759">
        <f t="shared" si="115"/>
        <v>3628</v>
      </c>
      <c r="AR3631" s="1756" t="e">
        <f>0.5*(S18+2*AQ3631)*LN(1+2*AQ3631/S18)</f>
        <v>#VALUE!</v>
      </c>
    </row>
    <row r="3632" spans="42:44">
      <c r="AP3632" s="1756" t="e">
        <f>IF(OR(AR3632=S13,AR3632&gt;S13),AR3632,"")</f>
        <v>#VALUE!</v>
      </c>
      <c r="AQ3632" s="1759">
        <f t="shared" si="115"/>
        <v>3629</v>
      </c>
      <c r="AR3632" s="1756" t="e">
        <f>0.5*(S18+2*AQ3632)*LN(1+2*AQ3632/S18)</f>
        <v>#VALUE!</v>
      </c>
    </row>
    <row r="3633" spans="42:44">
      <c r="AP3633" s="1756" t="e">
        <f>IF(OR(AR3633=S13,AR3633&gt;S13),AR3633,"")</f>
        <v>#VALUE!</v>
      </c>
      <c r="AQ3633" s="1759">
        <f t="shared" si="115"/>
        <v>3630</v>
      </c>
      <c r="AR3633" s="1756" t="e">
        <f>0.5*(S18+2*AQ3633)*LN(1+2*AQ3633/S18)</f>
        <v>#VALUE!</v>
      </c>
    </row>
    <row r="3634" spans="42:44">
      <c r="AP3634" s="1756" t="e">
        <f>IF(OR(AR3634=S13,AR3634&gt;S13),AR3634,"")</f>
        <v>#VALUE!</v>
      </c>
      <c r="AQ3634" s="1759">
        <f t="shared" si="115"/>
        <v>3631</v>
      </c>
      <c r="AR3634" s="1756" t="e">
        <f>0.5*(S18+2*AQ3634)*LN(1+2*AQ3634/S18)</f>
        <v>#VALUE!</v>
      </c>
    </row>
    <row r="3635" spans="42:44">
      <c r="AP3635" s="1756" t="e">
        <f>IF(OR(AR3635=S13,AR3635&gt;S13),AR3635,"")</f>
        <v>#VALUE!</v>
      </c>
      <c r="AQ3635" s="1759">
        <f t="shared" si="115"/>
        <v>3632</v>
      </c>
      <c r="AR3635" s="1756" t="e">
        <f>0.5*(S18+2*AQ3635)*LN(1+2*AQ3635/S18)</f>
        <v>#VALUE!</v>
      </c>
    </row>
    <row r="3636" spans="42:44">
      <c r="AP3636" s="1756" t="e">
        <f>IF(OR(AR3636=S13,AR3636&gt;S13),AR3636,"")</f>
        <v>#VALUE!</v>
      </c>
      <c r="AQ3636" s="1759">
        <f t="shared" si="115"/>
        <v>3633</v>
      </c>
      <c r="AR3636" s="1756" t="e">
        <f>0.5*(S18+2*AQ3636)*LN(1+2*AQ3636/S18)</f>
        <v>#VALUE!</v>
      </c>
    </row>
    <row r="3637" spans="42:44">
      <c r="AP3637" s="1756" t="e">
        <f>IF(OR(AR3637=S13,AR3637&gt;S13),AR3637,"")</f>
        <v>#VALUE!</v>
      </c>
      <c r="AQ3637" s="1759">
        <f t="shared" si="115"/>
        <v>3634</v>
      </c>
      <c r="AR3637" s="1756" t="e">
        <f>0.5*(S18+2*AQ3637)*LN(1+2*AQ3637/S18)</f>
        <v>#VALUE!</v>
      </c>
    </row>
    <row r="3638" spans="42:44">
      <c r="AP3638" s="1756" t="e">
        <f>IF(OR(AR3638=S13,AR3638&gt;S13),AR3638,"")</f>
        <v>#VALUE!</v>
      </c>
      <c r="AQ3638" s="1759">
        <f t="shared" si="115"/>
        <v>3635</v>
      </c>
      <c r="AR3638" s="1756" t="e">
        <f>0.5*(S18+2*AQ3638)*LN(1+2*AQ3638/S18)</f>
        <v>#VALUE!</v>
      </c>
    </row>
    <row r="3639" spans="42:44">
      <c r="AP3639" s="1756" t="e">
        <f>IF(OR(AR3639=S13,AR3639&gt;S13),AR3639,"")</f>
        <v>#VALUE!</v>
      </c>
      <c r="AQ3639" s="1759">
        <f t="shared" si="115"/>
        <v>3636</v>
      </c>
      <c r="AR3639" s="1756" t="e">
        <f>0.5*(S18+2*AQ3639)*LN(1+2*AQ3639/S18)</f>
        <v>#VALUE!</v>
      </c>
    </row>
    <row r="3640" spans="42:44">
      <c r="AP3640" s="1756" t="e">
        <f>IF(OR(AR3640=S13,AR3640&gt;S13),AR3640,"")</f>
        <v>#VALUE!</v>
      </c>
      <c r="AQ3640" s="1759">
        <f t="shared" si="115"/>
        <v>3637</v>
      </c>
      <c r="AR3640" s="1756" t="e">
        <f>0.5*(S18+2*AQ3640)*LN(1+2*AQ3640/S18)</f>
        <v>#VALUE!</v>
      </c>
    </row>
    <row r="3641" spans="42:44">
      <c r="AP3641" s="1756" t="e">
        <f>IF(OR(AR3641=S13,AR3641&gt;S13),AR3641,"")</f>
        <v>#VALUE!</v>
      </c>
      <c r="AQ3641" s="1759">
        <f t="shared" si="115"/>
        <v>3638</v>
      </c>
      <c r="AR3641" s="1756" t="e">
        <f>0.5*(S18+2*AQ3641)*LN(1+2*AQ3641/S18)</f>
        <v>#VALUE!</v>
      </c>
    </row>
    <row r="3642" spans="42:44">
      <c r="AP3642" s="1756" t="e">
        <f>IF(OR(AR3642=S13,AR3642&gt;S13),AR3642,"")</f>
        <v>#VALUE!</v>
      </c>
      <c r="AQ3642" s="1759">
        <f t="shared" si="115"/>
        <v>3639</v>
      </c>
      <c r="AR3642" s="1756" t="e">
        <f>0.5*(S18+2*AQ3642)*LN(1+2*AQ3642/S18)</f>
        <v>#VALUE!</v>
      </c>
    </row>
    <row r="3643" spans="42:44">
      <c r="AP3643" s="1756" t="e">
        <f>IF(OR(AR3643=S13,AR3643&gt;S13),AR3643,"")</f>
        <v>#VALUE!</v>
      </c>
      <c r="AQ3643" s="1759">
        <f t="shared" si="115"/>
        <v>3640</v>
      </c>
      <c r="AR3643" s="1756" t="e">
        <f>0.5*(S18+2*AQ3643)*LN(1+2*AQ3643/S18)</f>
        <v>#VALUE!</v>
      </c>
    </row>
    <row r="3644" spans="42:44">
      <c r="AP3644" s="1756" t="e">
        <f>IF(OR(AR3644=S13,AR3644&gt;S13),AR3644,"")</f>
        <v>#VALUE!</v>
      </c>
      <c r="AQ3644" s="1759">
        <f t="shared" si="115"/>
        <v>3641</v>
      </c>
      <c r="AR3644" s="1756" t="e">
        <f>0.5*(S18+2*AQ3644)*LN(1+2*AQ3644/S18)</f>
        <v>#VALUE!</v>
      </c>
    </row>
    <row r="3645" spans="42:44">
      <c r="AP3645" s="1756" t="e">
        <f>IF(OR(AR3645=S13,AR3645&gt;S13),AR3645,"")</f>
        <v>#VALUE!</v>
      </c>
      <c r="AQ3645" s="1759">
        <f t="shared" si="115"/>
        <v>3642</v>
      </c>
      <c r="AR3645" s="1756" t="e">
        <f>0.5*(S18+2*AQ3645)*LN(1+2*AQ3645/S18)</f>
        <v>#VALUE!</v>
      </c>
    </row>
    <row r="3646" spans="42:44">
      <c r="AP3646" s="1756" t="e">
        <f>IF(OR(AR3646=S13,AR3646&gt;S13),AR3646,"")</f>
        <v>#VALUE!</v>
      </c>
      <c r="AQ3646" s="1759">
        <f t="shared" si="115"/>
        <v>3643</v>
      </c>
      <c r="AR3646" s="1756" t="e">
        <f>0.5*(S18+2*AQ3646)*LN(1+2*AQ3646/S18)</f>
        <v>#VALUE!</v>
      </c>
    </row>
    <row r="3647" spans="42:44">
      <c r="AP3647" s="1756" t="e">
        <f>IF(OR(AR3647=S13,AR3647&gt;S13),AR3647,"")</f>
        <v>#VALUE!</v>
      </c>
      <c r="AQ3647" s="1759">
        <f t="shared" si="115"/>
        <v>3644</v>
      </c>
      <c r="AR3647" s="1756" t="e">
        <f>0.5*(S18+2*AQ3647)*LN(1+2*AQ3647/S18)</f>
        <v>#VALUE!</v>
      </c>
    </row>
    <row r="3648" spans="42:44">
      <c r="AP3648" s="1756" t="e">
        <f>IF(OR(AR3648=S13,AR3648&gt;S13),AR3648,"")</f>
        <v>#VALUE!</v>
      </c>
      <c r="AQ3648" s="1759">
        <f t="shared" si="115"/>
        <v>3645</v>
      </c>
      <c r="AR3648" s="1756" t="e">
        <f>0.5*(S18+2*AQ3648)*LN(1+2*AQ3648/S18)</f>
        <v>#VALUE!</v>
      </c>
    </row>
    <row r="3649" spans="42:44">
      <c r="AP3649" s="1756" t="e">
        <f>IF(OR(AR3649=S13,AR3649&gt;S13),AR3649,"")</f>
        <v>#VALUE!</v>
      </c>
      <c r="AQ3649" s="1759">
        <f t="shared" si="115"/>
        <v>3646</v>
      </c>
      <c r="AR3649" s="1756" t="e">
        <f>0.5*(S18+2*AQ3649)*LN(1+2*AQ3649/S18)</f>
        <v>#VALUE!</v>
      </c>
    </row>
    <row r="3650" spans="42:44">
      <c r="AP3650" s="1756" t="e">
        <f>IF(OR(AR3650=S13,AR3650&gt;S13),AR3650,"")</f>
        <v>#VALUE!</v>
      </c>
      <c r="AQ3650" s="1759">
        <f t="shared" si="115"/>
        <v>3647</v>
      </c>
      <c r="AR3650" s="1756" t="e">
        <f>0.5*(S18+2*AQ3650)*LN(1+2*AQ3650/S18)</f>
        <v>#VALUE!</v>
      </c>
    </row>
    <row r="3651" spans="42:44">
      <c r="AP3651" s="1756" t="e">
        <f>IF(OR(AR3651=S13,AR3651&gt;S13),AR3651,"")</f>
        <v>#VALUE!</v>
      </c>
      <c r="AQ3651" s="1759">
        <f t="shared" si="115"/>
        <v>3648</v>
      </c>
      <c r="AR3651" s="1756" t="e">
        <f>0.5*(S18+2*AQ3651)*LN(1+2*AQ3651/S18)</f>
        <v>#VALUE!</v>
      </c>
    </row>
    <row r="3652" spans="42:44">
      <c r="AP3652" s="1756" t="e">
        <f>IF(OR(AR3652=S13,AR3652&gt;S13),AR3652,"")</f>
        <v>#VALUE!</v>
      </c>
      <c r="AQ3652" s="1759">
        <f t="shared" si="115"/>
        <v>3649</v>
      </c>
      <c r="AR3652" s="1756" t="e">
        <f>0.5*(S18+2*AQ3652)*LN(1+2*AQ3652/S18)</f>
        <v>#VALUE!</v>
      </c>
    </row>
    <row r="3653" spans="42:44">
      <c r="AP3653" s="1756" t="e">
        <f>IF(OR(AR3653=S13,AR3653&gt;S13),AR3653,"")</f>
        <v>#VALUE!</v>
      </c>
      <c r="AQ3653" s="1759">
        <f t="shared" si="115"/>
        <v>3650</v>
      </c>
      <c r="AR3653" s="1756" t="e">
        <f>0.5*(S18+2*AQ3653)*LN(1+2*AQ3653/S18)</f>
        <v>#VALUE!</v>
      </c>
    </row>
    <row r="3654" spans="42:44">
      <c r="AP3654" s="1756" t="e">
        <f>IF(OR(AR3654=S13,AR3654&gt;S13),AR3654,"")</f>
        <v>#VALUE!</v>
      </c>
      <c r="AQ3654" s="1759">
        <f t="shared" ref="AQ3654:AQ3717" si="116">AQ3653+1</f>
        <v>3651</v>
      </c>
      <c r="AR3654" s="1756" t="e">
        <f>0.5*(S18+2*AQ3654)*LN(1+2*AQ3654/S18)</f>
        <v>#VALUE!</v>
      </c>
    </row>
    <row r="3655" spans="42:44">
      <c r="AP3655" s="1756" t="e">
        <f>IF(OR(AR3655=S13,AR3655&gt;S13),AR3655,"")</f>
        <v>#VALUE!</v>
      </c>
      <c r="AQ3655" s="1759">
        <f t="shared" si="116"/>
        <v>3652</v>
      </c>
      <c r="AR3655" s="1756" t="e">
        <f>0.5*(S18+2*AQ3655)*LN(1+2*AQ3655/S18)</f>
        <v>#VALUE!</v>
      </c>
    </row>
    <row r="3656" spans="42:44">
      <c r="AP3656" s="1756" t="e">
        <f>IF(OR(AR3656=S13,AR3656&gt;S13),AR3656,"")</f>
        <v>#VALUE!</v>
      </c>
      <c r="AQ3656" s="1759">
        <f t="shared" si="116"/>
        <v>3653</v>
      </c>
      <c r="AR3656" s="1756" t="e">
        <f>0.5*(S18+2*AQ3656)*LN(1+2*AQ3656/S18)</f>
        <v>#VALUE!</v>
      </c>
    </row>
    <row r="3657" spans="42:44">
      <c r="AP3657" s="1756" t="e">
        <f>IF(OR(AR3657=S13,AR3657&gt;S13),AR3657,"")</f>
        <v>#VALUE!</v>
      </c>
      <c r="AQ3657" s="1759">
        <f t="shared" si="116"/>
        <v>3654</v>
      </c>
      <c r="AR3657" s="1756" t="e">
        <f>0.5*(S18+2*AQ3657)*LN(1+2*AQ3657/S18)</f>
        <v>#VALUE!</v>
      </c>
    </row>
    <row r="3658" spans="42:44">
      <c r="AP3658" s="1756" t="e">
        <f>IF(OR(AR3658=S13,AR3658&gt;S13),AR3658,"")</f>
        <v>#VALUE!</v>
      </c>
      <c r="AQ3658" s="1759">
        <f t="shared" si="116"/>
        <v>3655</v>
      </c>
      <c r="AR3658" s="1756" t="e">
        <f>0.5*(S18+2*AQ3658)*LN(1+2*AQ3658/S18)</f>
        <v>#VALUE!</v>
      </c>
    </row>
    <row r="3659" spans="42:44">
      <c r="AP3659" s="1756" t="e">
        <f>IF(OR(AR3659=S13,AR3659&gt;S13),AR3659,"")</f>
        <v>#VALUE!</v>
      </c>
      <c r="AQ3659" s="1759">
        <f t="shared" si="116"/>
        <v>3656</v>
      </c>
      <c r="AR3659" s="1756" t="e">
        <f>0.5*(S18+2*AQ3659)*LN(1+2*AQ3659/S18)</f>
        <v>#VALUE!</v>
      </c>
    </row>
    <row r="3660" spans="42:44">
      <c r="AP3660" s="1756" t="e">
        <f>IF(OR(AR3660=S13,AR3660&gt;S13),AR3660,"")</f>
        <v>#VALUE!</v>
      </c>
      <c r="AQ3660" s="1759">
        <f t="shared" si="116"/>
        <v>3657</v>
      </c>
      <c r="AR3660" s="1756" t="e">
        <f>0.5*(S18+2*AQ3660)*LN(1+2*AQ3660/S18)</f>
        <v>#VALUE!</v>
      </c>
    </row>
    <row r="3661" spans="42:44">
      <c r="AP3661" s="1756" t="e">
        <f>IF(OR(AR3661=S13,AR3661&gt;S13),AR3661,"")</f>
        <v>#VALUE!</v>
      </c>
      <c r="AQ3661" s="1759">
        <f t="shared" si="116"/>
        <v>3658</v>
      </c>
      <c r="AR3661" s="1756" t="e">
        <f>0.5*(S18+2*AQ3661)*LN(1+2*AQ3661/S18)</f>
        <v>#VALUE!</v>
      </c>
    </row>
    <row r="3662" spans="42:44">
      <c r="AP3662" s="1756" t="e">
        <f>IF(OR(AR3662=S13,AR3662&gt;S13),AR3662,"")</f>
        <v>#VALUE!</v>
      </c>
      <c r="AQ3662" s="1759">
        <f t="shared" si="116"/>
        <v>3659</v>
      </c>
      <c r="AR3662" s="1756" t="e">
        <f>0.5*(S18+2*AQ3662)*LN(1+2*AQ3662/S18)</f>
        <v>#VALUE!</v>
      </c>
    </row>
    <row r="3663" spans="42:44">
      <c r="AP3663" s="1756" t="e">
        <f>IF(OR(AR3663=S13,AR3663&gt;S13),AR3663,"")</f>
        <v>#VALUE!</v>
      </c>
      <c r="AQ3663" s="1759">
        <f t="shared" si="116"/>
        <v>3660</v>
      </c>
      <c r="AR3663" s="1756" t="e">
        <f>0.5*(S18+2*AQ3663)*LN(1+2*AQ3663/S18)</f>
        <v>#VALUE!</v>
      </c>
    </row>
    <row r="3664" spans="42:44">
      <c r="AP3664" s="1756" t="e">
        <f>IF(OR(AR3664=S13,AR3664&gt;S13),AR3664,"")</f>
        <v>#VALUE!</v>
      </c>
      <c r="AQ3664" s="1759">
        <f t="shared" si="116"/>
        <v>3661</v>
      </c>
      <c r="AR3664" s="1756" t="e">
        <f>0.5*(S18+2*AQ3664)*LN(1+2*AQ3664/S18)</f>
        <v>#VALUE!</v>
      </c>
    </row>
    <row r="3665" spans="42:44">
      <c r="AP3665" s="1756" t="e">
        <f>IF(OR(AR3665=S13,AR3665&gt;S13),AR3665,"")</f>
        <v>#VALUE!</v>
      </c>
      <c r="AQ3665" s="1759">
        <f t="shared" si="116"/>
        <v>3662</v>
      </c>
      <c r="AR3665" s="1756" t="e">
        <f>0.5*(S18+2*AQ3665)*LN(1+2*AQ3665/S18)</f>
        <v>#VALUE!</v>
      </c>
    </row>
    <row r="3666" spans="42:44">
      <c r="AP3666" s="1756" t="e">
        <f>IF(OR(AR3666=S13,AR3666&gt;S13),AR3666,"")</f>
        <v>#VALUE!</v>
      </c>
      <c r="AQ3666" s="1759">
        <f t="shared" si="116"/>
        <v>3663</v>
      </c>
      <c r="AR3666" s="1756" t="e">
        <f>0.5*(S18+2*AQ3666)*LN(1+2*AQ3666/S18)</f>
        <v>#VALUE!</v>
      </c>
    </row>
    <row r="3667" spans="42:44">
      <c r="AP3667" s="1756" t="e">
        <f>IF(OR(AR3667=S13,AR3667&gt;S13),AR3667,"")</f>
        <v>#VALUE!</v>
      </c>
      <c r="AQ3667" s="1759">
        <f t="shared" si="116"/>
        <v>3664</v>
      </c>
      <c r="AR3667" s="1756" t="e">
        <f>0.5*(S18+2*AQ3667)*LN(1+2*AQ3667/S18)</f>
        <v>#VALUE!</v>
      </c>
    </row>
    <row r="3668" spans="42:44">
      <c r="AP3668" s="1756" t="e">
        <f>IF(OR(AR3668=S13,AR3668&gt;S13),AR3668,"")</f>
        <v>#VALUE!</v>
      </c>
      <c r="AQ3668" s="1759">
        <f t="shared" si="116"/>
        <v>3665</v>
      </c>
      <c r="AR3668" s="1756" t="e">
        <f>0.5*(S18+2*AQ3668)*LN(1+2*AQ3668/S18)</f>
        <v>#VALUE!</v>
      </c>
    </row>
    <row r="3669" spans="42:44">
      <c r="AP3669" s="1756" t="e">
        <f>IF(OR(AR3669=S13,AR3669&gt;S13),AR3669,"")</f>
        <v>#VALUE!</v>
      </c>
      <c r="AQ3669" s="1759">
        <f t="shared" si="116"/>
        <v>3666</v>
      </c>
      <c r="AR3669" s="1756" t="e">
        <f>0.5*(S18+2*AQ3669)*LN(1+2*AQ3669/S18)</f>
        <v>#VALUE!</v>
      </c>
    </row>
    <row r="3670" spans="42:44">
      <c r="AP3670" s="1756" t="e">
        <f>IF(OR(AR3670=S13,AR3670&gt;S13),AR3670,"")</f>
        <v>#VALUE!</v>
      </c>
      <c r="AQ3670" s="1759">
        <f t="shared" si="116"/>
        <v>3667</v>
      </c>
      <c r="AR3670" s="1756" t="e">
        <f>0.5*(S18+2*AQ3670)*LN(1+2*AQ3670/S18)</f>
        <v>#VALUE!</v>
      </c>
    </row>
    <row r="3671" spans="42:44">
      <c r="AP3671" s="1756" t="e">
        <f>IF(OR(AR3671=S13,AR3671&gt;S13),AR3671,"")</f>
        <v>#VALUE!</v>
      </c>
      <c r="AQ3671" s="1759">
        <f t="shared" si="116"/>
        <v>3668</v>
      </c>
      <c r="AR3671" s="1756" t="e">
        <f>0.5*(S18+2*AQ3671)*LN(1+2*AQ3671/S18)</f>
        <v>#VALUE!</v>
      </c>
    </row>
    <row r="3672" spans="42:44">
      <c r="AP3672" s="1756" t="e">
        <f>IF(OR(AR3672=S13,AR3672&gt;S13),AR3672,"")</f>
        <v>#VALUE!</v>
      </c>
      <c r="AQ3672" s="1759">
        <f t="shared" si="116"/>
        <v>3669</v>
      </c>
      <c r="AR3672" s="1756" t="e">
        <f>0.5*(S18+2*AQ3672)*LN(1+2*AQ3672/S18)</f>
        <v>#VALUE!</v>
      </c>
    </row>
    <row r="3673" spans="42:44">
      <c r="AP3673" s="1756" t="e">
        <f>IF(OR(AR3673=S13,AR3673&gt;S13),AR3673,"")</f>
        <v>#VALUE!</v>
      </c>
      <c r="AQ3673" s="1759">
        <f t="shared" si="116"/>
        <v>3670</v>
      </c>
      <c r="AR3673" s="1756" t="e">
        <f>0.5*(S18+2*AQ3673)*LN(1+2*AQ3673/S18)</f>
        <v>#VALUE!</v>
      </c>
    </row>
    <row r="3674" spans="42:44">
      <c r="AP3674" s="1756" t="e">
        <f>IF(OR(AR3674=S13,AR3674&gt;S13),AR3674,"")</f>
        <v>#VALUE!</v>
      </c>
      <c r="AQ3674" s="1759">
        <f t="shared" si="116"/>
        <v>3671</v>
      </c>
      <c r="AR3674" s="1756" t="e">
        <f>0.5*(S18+2*AQ3674)*LN(1+2*AQ3674/S18)</f>
        <v>#VALUE!</v>
      </c>
    </row>
    <row r="3675" spans="42:44">
      <c r="AP3675" s="1756" t="e">
        <f>IF(OR(AR3675=S13,AR3675&gt;S13),AR3675,"")</f>
        <v>#VALUE!</v>
      </c>
      <c r="AQ3675" s="1759">
        <f t="shared" si="116"/>
        <v>3672</v>
      </c>
      <c r="AR3675" s="1756" t="e">
        <f>0.5*(S18+2*AQ3675)*LN(1+2*AQ3675/S18)</f>
        <v>#VALUE!</v>
      </c>
    </row>
    <row r="3676" spans="42:44">
      <c r="AP3676" s="1756" t="e">
        <f>IF(OR(AR3676=S13,AR3676&gt;S13),AR3676,"")</f>
        <v>#VALUE!</v>
      </c>
      <c r="AQ3676" s="1759">
        <f t="shared" si="116"/>
        <v>3673</v>
      </c>
      <c r="AR3676" s="1756" t="e">
        <f>0.5*(S18+2*AQ3676)*LN(1+2*AQ3676/S18)</f>
        <v>#VALUE!</v>
      </c>
    </row>
    <row r="3677" spans="42:44">
      <c r="AP3677" s="1756" t="e">
        <f>IF(OR(AR3677=S13,AR3677&gt;S13),AR3677,"")</f>
        <v>#VALUE!</v>
      </c>
      <c r="AQ3677" s="1759">
        <f t="shared" si="116"/>
        <v>3674</v>
      </c>
      <c r="AR3677" s="1756" t="e">
        <f>0.5*(S18+2*AQ3677)*LN(1+2*AQ3677/S18)</f>
        <v>#VALUE!</v>
      </c>
    </row>
    <row r="3678" spans="42:44">
      <c r="AP3678" s="1756" t="e">
        <f>IF(OR(AR3678=S13,AR3678&gt;S13),AR3678,"")</f>
        <v>#VALUE!</v>
      </c>
      <c r="AQ3678" s="1759">
        <f t="shared" si="116"/>
        <v>3675</v>
      </c>
      <c r="AR3678" s="1756" t="e">
        <f>0.5*(S18+2*AQ3678)*LN(1+2*AQ3678/S18)</f>
        <v>#VALUE!</v>
      </c>
    </row>
    <row r="3679" spans="42:44">
      <c r="AP3679" s="1756" t="e">
        <f>IF(OR(AR3679=S13,AR3679&gt;S13),AR3679,"")</f>
        <v>#VALUE!</v>
      </c>
      <c r="AQ3679" s="1759">
        <f t="shared" si="116"/>
        <v>3676</v>
      </c>
      <c r="AR3679" s="1756" t="e">
        <f>0.5*(S18+2*AQ3679)*LN(1+2*AQ3679/S18)</f>
        <v>#VALUE!</v>
      </c>
    </row>
    <row r="3680" spans="42:44">
      <c r="AP3680" s="1756" t="e">
        <f>IF(OR(AR3680=S13,AR3680&gt;S13),AR3680,"")</f>
        <v>#VALUE!</v>
      </c>
      <c r="AQ3680" s="1759">
        <f t="shared" si="116"/>
        <v>3677</v>
      </c>
      <c r="AR3680" s="1756" t="e">
        <f>0.5*(S18+2*AQ3680)*LN(1+2*AQ3680/S18)</f>
        <v>#VALUE!</v>
      </c>
    </row>
    <row r="3681" spans="42:44">
      <c r="AP3681" s="1756" t="e">
        <f>IF(OR(AR3681=S13,AR3681&gt;S13),AR3681,"")</f>
        <v>#VALUE!</v>
      </c>
      <c r="AQ3681" s="1759">
        <f t="shared" si="116"/>
        <v>3678</v>
      </c>
      <c r="AR3681" s="1756" t="e">
        <f>0.5*(S18+2*AQ3681)*LN(1+2*AQ3681/S18)</f>
        <v>#VALUE!</v>
      </c>
    </row>
    <row r="3682" spans="42:44">
      <c r="AP3682" s="1756" t="e">
        <f>IF(OR(AR3682=S13,AR3682&gt;S13),AR3682,"")</f>
        <v>#VALUE!</v>
      </c>
      <c r="AQ3682" s="1759">
        <f t="shared" si="116"/>
        <v>3679</v>
      </c>
      <c r="AR3682" s="1756" t="e">
        <f>0.5*(S18+2*AQ3682)*LN(1+2*AQ3682/S18)</f>
        <v>#VALUE!</v>
      </c>
    </row>
    <row r="3683" spans="42:44">
      <c r="AP3683" s="1756" t="e">
        <f>IF(OR(AR3683=S13,AR3683&gt;S13),AR3683,"")</f>
        <v>#VALUE!</v>
      </c>
      <c r="AQ3683" s="1759">
        <f t="shared" si="116"/>
        <v>3680</v>
      </c>
      <c r="AR3683" s="1756" t="e">
        <f>0.5*(S18+2*AQ3683)*LN(1+2*AQ3683/S18)</f>
        <v>#VALUE!</v>
      </c>
    </row>
    <row r="3684" spans="42:44">
      <c r="AP3684" s="1756" t="e">
        <f>IF(OR(AR3684=S13,AR3684&gt;S13),AR3684,"")</f>
        <v>#VALUE!</v>
      </c>
      <c r="AQ3684" s="1759">
        <f t="shared" si="116"/>
        <v>3681</v>
      </c>
      <c r="AR3684" s="1756" t="e">
        <f>0.5*(S18+2*AQ3684)*LN(1+2*AQ3684/S18)</f>
        <v>#VALUE!</v>
      </c>
    </row>
    <row r="3685" spans="42:44">
      <c r="AP3685" s="1756" t="e">
        <f>IF(OR(AR3685=S13,AR3685&gt;S13),AR3685,"")</f>
        <v>#VALUE!</v>
      </c>
      <c r="AQ3685" s="1759">
        <f t="shared" si="116"/>
        <v>3682</v>
      </c>
      <c r="AR3685" s="1756" t="e">
        <f>0.5*(S18+2*AQ3685)*LN(1+2*AQ3685/S18)</f>
        <v>#VALUE!</v>
      </c>
    </row>
    <row r="3686" spans="42:44">
      <c r="AP3686" s="1756" t="e">
        <f>IF(OR(AR3686=S13,AR3686&gt;S13),AR3686,"")</f>
        <v>#VALUE!</v>
      </c>
      <c r="AQ3686" s="1759">
        <f t="shared" si="116"/>
        <v>3683</v>
      </c>
      <c r="AR3686" s="1756" t="e">
        <f>0.5*(S18+2*AQ3686)*LN(1+2*AQ3686/S18)</f>
        <v>#VALUE!</v>
      </c>
    </row>
    <row r="3687" spans="42:44">
      <c r="AP3687" s="1756" t="e">
        <f>IF(OR(AR3687=S13,AR3687&gt;S13),AR3687,"")</f>
        <v>#VALUE!</v>
      </c>
      <c r="AQ3687" s="1759">
        <f t="shared" si="116"/>
        <v>3684</v>
      </c>
      <c r="AR3687" s="1756" t="e">
        <f>0.5*(S18+2*AQ3687)*LN(1+2*AQ3687/S18)</f>
        <v>#VALUE!</v>
      </c>
    </row>
    <row r="3688" spans="42:44">
      <c r="AP3688" s="1756" t="e">
        <f>IF(OR(AR3688=S13,AR3688&gt;S13),AR3688,"")</f>
        <v>#VALUE!</v>
      </c>
      <c r="AQ3688" s="1759">
        <f t="shared" si="116"/>
        <v>3685</v>
      </c>
      <c r="AR3688" s="1756" t="e">
        <f>0.5*(S18+2*AQ3688)*LN(1+2*AQ3688/S18)</f>
        <v>#VALUE!</v>
      </c>
    </row>
    <row r="3689" spans="42:44">
      <c r="AP3689" s="1756" t="e">
        <f>IF(OR(AR3689=S13,AR3689&gt;S13),AR3689,"")</f>
        <v>#VALUE!</v>
      </c>
      <c r="AQ3689" s="1759">
        <f t="shared" si="116"/>
        <v>3686</v>
      </c>
      <c r="AR3689" s="1756" t="e">
        <f>0.5*(S18+2*AQ3689)*LN(1+2*AQ3689/S18)</f>
        <v>#VALUE!</v>
      </c>
    </row>
    <row r="3690" spans="42:44">
      <c r="AP3690" s="1756" t="e">
        <f>IF(OR(AR3690=S13,AR3690&gt;S13),AR3690,"")</f>
        <v>#VALUE!</v>
      </c>
      <c r="AQ3690" s="1759">
        <f t="shared" si="116"/>
        <v>3687</v>
      </c>
      <c r="AR3690" s="1756" t="e">
        <f>0.5*(S18+2*AQ3690)*LN(1+2*AQ3690/S18)</f>
        <v>#VALUE!</v>
      </c>
    </row>
    <row r="3691" spans="42:44">
      <c r="AP3691" s="1756" t="e">
        <f>IF(OR(AR3691=S13,AR3691&gt;S13),AR3691,"")</f>
        <v>#VALUE!</v>
      </c>
      <c r="AQ3691" s="1759">
        <f t="shared" si="116"/>
        <v>3688</v>
      </c>
      <c r="AR3691" s="1756" t="e">
        <f>0.5*(S18+2*AQ3691)*LN(1+2*AQ3691/S18)</f>
        <v>#VALUE!</v>
      </c>
    </row>
    <row r="3692" spans="42:44">
      <c r="AP3692" s="1756" t="e">
        <f>IF(OR(AR3692=S13,AR3692&gt;S13),AR3692,"")</f>
        <v>#VALUE!</v>
      </c>
      <c r="AQ3692" s="1759">
        <f t="shared" si="116"/>
        <v>3689</v>
      </c>
      <c r="AR3692" s="1756" t="e">
        <f>0.5*(S18+2*AQ3692)*LN(1+2*AQ3692/S18)</f>
        <v>#VALUE!</v>
      </c>
    </row>
    <row r="3693" spans="42:44">
      <c r="AP3693" s="1756" t="e">
        <f>IF(OR(AR3693=S13,AR3693&gt;S13),AR3693,"")</f>
        <v>#VALUE!</v>
      </c>
      <c r="AQ3693" s="1759">
        <f t="shared" si="116"/>
        <v>3690</v>
      </c>
      <c r="AR3693" s="1756" t="e">
        <f>0.5*(S18+2*AQ3693)*LN(1+2*AQ3693/S18)</f>
        <v>#VALUE!</v>
      </c>
    </row>
    <row r="3694" spans="42:44">
      <c r="AP3694" s="1756" t="e">
        <f>IF(OR(AR3694=S13,AR3694&gt;S13),AR3694,"")</f>
        <v>#VALUE!</v>
      </c>
      <c r="AQ3694" s="1759">
        <f t="shared" si="116"/>
        <v>3691</v>
      </c>
      <c r="AR3694" s="1756" t="e">
        <f>0.5*(S18+2*AQ3694)*LN(1+2*AQ3694/S18)</f>
        <v>#VALUE!</v>
      </c>
    </row>
    <row r="3695" spans="42:44">
      <c r="AP3695" s="1756" t="e">
        <f>IF(OR(AR3695=S13,AR3695&gt;S13),AR3695,"")</f>
        <v>#VALUE!</v>
      </c>
      <c r="AQ3695" s="1759">
        <f t="shared" si="116"/>
        <v>3692</v>
      </c>
      <c r="AR3695" s="1756" t="e">
        <f>0.5*(S18+2*AQ3695)*LN(1+2*AQ3695/S18)</f>
        <v>#VALUE!</v>
      </c>
    </row>
    <row r="3696" spans="42:44">
      <c r="AP3696" s="1756" t="e">
        <f>IF(OR(AR3696=S13,AR3696&gt;S13),AR3696,"")</f>
        <v>#VALUE!</v>
      </c>
      <c r="AQ3696" s="1759">
        <f t="shared" si="116"/>
        <v>3693</v>
      </c>
      <c r="AR3696" s="1756" t="e">
        <f>0.5*(S18+2*AQ3696)*LN(1+2*AQ3696/S18)</f>
        <v>#VALUE!</v>
      </c>
    </row>
    <row r="3697" spans="42:44">
      <c r="AP3697" s="1756" t="e">
        <f>IF(OR(AR3697=S13,AR3697&gt;S13),AR3697,"")</f>
        <v>#VALUE!</v>
      </c>
      <c r="AQ3697" s="1759">
        <f t="shared" si="116"/>
        <v>3694</v>
      </c>
      <c r="AR3697" s="1756" t="e">
        <f>0.5*(S18+2*AQ3697)*LN(1+2*AQ3697/S18)</f>
        <v>#VALUE!</v>
      </c>
    </row>
    <row r="3698" spans="42:44">
      <c r="AP3698" s="1756" t="e">
        <f>IF(OR(AR3698=S13,AR3698&gt;S13),AR3698,"")</f>
        <v>#VALUE!</v>
      </c>
      <c r="AQ3698" s="1759">
        <f t="shared" si="116"/>
        <v>3695</v>
      </c>
      <c r="AR3698" s="1756" t="e">
        <f>0.5*(S18+2*AQ3698)*LN(1+2*AQ3698/S18)</f>
        <v>#VALUE!</v>
      </c>
    </row>
    <row r="3699" spans="42:44">
      <c r="AP3699" s="1756" t="e">
        <f>IF(OR(AR3699=S13,AR3699&gt;S13),AR3699,"")</f>
        <v>#VALUE!</v>
      </c>
      <c r="AQ3699" s="1759">
        <f t="shared" si="116"/>
        <v>3696</v>
      </c>
      <c r="AR3699" s="1756" t="e">
        <f>0.5*(S18+2*AQ3699)*LN(1+2*AQ3699/S18)</f>
        <v>#VALUE!</v>
      </c>
    </row>
    <row r="3700" spans="42:44">
      <c r="AP3700" s="1756" t="e">
        <f>IF(OR(AR3700=S13,AR3700&gt;S13),AR3700,"")</f>
        <v>#VALUE!</v>
      </c>
      <c r="AQ3700" s="1759">
        <f t="shared" si="116"/>
        <v>3697</v>
      </c>
      <c r="AR3700" s="1756" t="e">
        <f>0.5*(S18+2*AQ3700)*LN(1+2*AQ3700/S18)</f>
        <v>#VALUE!</v>
      </c>
    </row>
    <row r="3701" spans="42:44">
      <c r="AP3701" s="1756" t="e">
        <f>IF(OR(AR3701=S13,AR3701&gt;S13),AR3701,"")</f>
        <v>#VALUE!</v>
      </c>
      <c r="AQ3701" s="1759">
        <f t="shared" si="116"/>
        <v>3698</v>
      </c>
      <c r="AR3701" s="1756" t="e">
        <f>0.5*(S18+2*AQ3701)*LN(1+2*AQ3701/S18)</f>
        <v>#VALUE!</v>
      </c>
    </row>
    <row r="3702" spans="42:44">
      <c r="AP3702" s="1756" t="e">
        <f>IF(OR(AR3702=S13,AR3702&gt;S13),AR3702,"")</f>
        <v>#VALUE!</v>
      </c>
      <c r="AQ3702" s="1759">
        <f t="shared" si="116"/>
        <v>3699</v>
      </c>
      <c r="AR3702" s="1756" t="e">
        <f>0.5*(S18+2*AQ3702)*LN(1+2*AQ3702/S18)</f>
        <v>#VALUE!</v>
      </c>
    </row>
    <row r="3703" spans="42:44">
      <c r="AP3703" s="1756" t="e">
        <f>IF(OR(AR3703=S13,AR3703&gt;S13),AR3703,"")</f>
        <v>#VALUE!</v>
      </c>
      <c r="AQ3703" s="1759">
        <f t="shared" si="116"/>
        <v>3700</v>
      </c>
      <c r="AR3703" s="1756" t="e">
        <f>0.5*(S18+2*AQ3703)*LN(1+2*AQ3703/S18)</f>
        <v>#VALUE!</v>
      </c>
    </row>
    <row r="3704" spans="42:44">
      <c r="AP3704" s="1756" t="e">
        <f>IF(OR(AR3704=S13,AR3704&gt;S13),AR3704,"")</f>
        <v>#VALUE!</v>
      </c>
      <c r="AQ3704" s="1759">
        <f t="shared" si="116"/>
        <v>3701</v>
      </c>
      <c r="AR3704" s="1756" t="e">
        <f>0.5*(S18+2*AQ3704)*LN(1+2*AQ3704/S18)</f>
        <v>#VALUE!</v>
      </c>
    </row>
    <row r="3705" spans="42:44">
      <c r="AP3705" s="1756" t="e">
        <f>IF(OR(AR3705=S13,AR3705&gt;S13),AR3705,"")</f>
        <v>#VALUE!</v>
      </c>
      <c r="AQ3705" s="1759">
        <f t="shared" si="116"/>
        <v>3702</v>
      </c>
      <c r="AR3705" s="1756" t="e">
        <f>0.5*(S18+2*AQ3705)*LN(1+2*AQ3705/S18)</f>
        <v>#VALUE!</v>
      </c>
    </row>
    <row r="3706" spans="42:44">
      <c r="AP3706" s="1756" t="e">
        <f>IF(OR(AR3706=S13,AR3706&gt;S13),AR3706,"")</f>
        <v>#VALUE!</v>
      </c>
      <c r="AQ3706" s="1759">
        <f t="shared" si="116"/>
        <v>3703</v>
      </c>
      <c r="AR3706" s="1756" t="e">
        <f>0.5*(S18+2*AQ3706)*LN(1+2*AQ3706/S18)</f>
        <v>#VALUE!</v>
      </c>
    </row>
    <row r="3707" spans="42:44">
      <c r="AP3707" s="1756" t="e">
        <f>IF(OR(AR3707=S13,AR3707&gt;S13),AR3707,"")</f>
        <v>#VALUE!</v>
      </c>
      <c r="AQ3707" s="1759">
        <f t="shared" si="116"/>
        <v>3704</v>
      </c>
      <c r="AR3707" s="1756" t="e">
        <f>0.5*(S18+2*AQ3707)*LN(1+2*AQ3707/S18)</f>
        <v>#VALUE!</v>
      </c>
    </row>
    <row r="3708" spans="42:44">
      <c r="AP3708" s="1756" t="e">
        <f>IF(OR(AR3708=S13,AR3708&gt;S13),AR3708,"")</f>
        <v>#VALUE!</v>
      </c>
      <c r="AQ3708" s="1759">
        <f t="shared" si="116"/>
        <v>3705</v>
      </c>
      <c r="AR3708" s="1756" t="e">
        <f>0.5*(S18+2*AQ3708)*LN(1+2*AQ3708/S18)</f>
        <v>#VALUE!</v>
      </c>
    </row>
    <row r="3709" spans="42:44">
      <c r="AP3709" s="1756" t="e">
        <f>IF(OR(AR3709=S13,AR3709&gt;S13),AR3709,"")</f>
        <v>#VALUE!</v>
      </c>
      <c r="AQ3709" s="1759">
        <f t="shared" si="116"/>
        <v>3706</v>
      </c>
      <c r="AR3709" s="1756" t="e">
        <f>0.5*(S18+2*AQ3709)*LN(1+2*AQ3709/S18)</f>
        <v>#VALUE!</v>
      </c>
    </row>
    <row r="3710" spans="42:44">
      <c r="AP3710" s="1756" t="e">
        <f>IF(OR(AR3710=S13,AR3710&gt;S13),AR3710,"")</f>
        <v>#VALUE!</v>
      </c>
      <c r="AQ3710" s="1759">
        <f t="shared" si="116"/>
        <v>3707</v>
      </c>
      <c r="AR3710" s="1756" t="e">
        <f>0.5*(S18+2*AQ3710)*LN(1+2*AQ3710/S18)</f>
        <v>#VALUE!</v>
      </c>
    </row>
    <row r="3711" spans="42:44">
      <c r="AP3711" s="1756" t="e">
        <f>IF(OR(AR3711=S13,AR3711&gt;S13),AR3711,"")</f>
        <v>#VALUE!</v>
      </c>
      <c r="AQ3711" s="1759">
        <f t="shared" si="116"/>
        <v>3708</v>
      </c>
      <c r="AR3711" s="1756" t="e">
        <f>0.5*(S18+2*AQ3711)*LN(1+2*AQ3711/S18)</f>
        <v>#VALUE!</v>
      </c>
    </row>
    <row r="3712" spans="42:44">
      <c r="AP3712" s="1756" t="e">
        <f>IF(OR(AR3712=S13,AR3712&gt;S13),AR3712,"")</f>
        <v>#VALUE!</v>
      </c>
      <c r="AQ3712" s="1759">
        <f t="shared" si="116"/>
        <v>3709</v>
      </c>
      <c r="AR3712" s="1756" t="e">
        <f>0.5*(S18+2*AQ3712)*LN(1+2*AQ3712/S18)</f>
        <v>#VALUE!</v>
      </c>
    </row>
    <row r="3713" spans="42:44">
      <c r="AP3713" s="1756" t="e">
        <f>IF(OR(AR3713=S13,AR3713&gt;S13),AR3713,"")</f>
        <v>#VALUE!</v>
      </c>
      <c r="AQ3713" s="1759">
        <f t="shared" si="116"/>
        <v>3710</v>
      </c>
      <c r="AR3713" s="1756" t="e">
        <f>0.5*(S18+2*AQ3713)*LN(1+2*AQ3713/S18)</f>
        <v>#VALUE!</v>
      </c>
    </row>
    <row r="3714" spans="42:44">
      <c r="AP3714" s="1756" t="e">
        <f>IF(OR(AR3714=S13,AR3714&gt;S13),AR3714,"")</f>
        <v>#VALUE!</v>
      </c>
      <c r="AQ3714" s="1759">
        <f t="shared" si="116"/>
        <v>3711</v>
      </c>
      <c r="AR3714" s="1756" t="e">
        <f>0.5*(S18+2*AQ3714)*LN(1+2*AQ3714/S18)</f>
        <v>#VALUE!</v>
      </c>
    </row>
    <row r="3715" spans="42:44">
      <c r="AP3715" s="1756" t="e">
        <f>IF(OR(AR3715=S13,AR3715&gt;S13),AR3715,"")</f>
        <v>#VALUE!</v>
      </c>
      <c r="AQ3715" s="1759">
        <f t="shared" si="116"/>
        <v>3712</v>
      </c>
      <c r="AR3715" s="1756" t="e">
        <f>0.5*(S18+2*AQ3715)*LN(1+2*AQ3715/S18)</f>
        <v>#VALUE!</v>
      </c>
    </row>
    <row r="3716" spans="42:44">
      <c r="AP3716" s="1756" t="e">
        <f>IF(OR(AR3716=S13,AR3716&gt;S13),AR3716,"")</f>
        <v>#VALUE!</v>
      </c>
      <c r="AQ3716" s="1759">
        <f t="shared" si="116"/>
        <v>3713</v>
      </c>
      <c r="AR3716" s="1756" t="e">
        <f>0.5*(S18+2*AQ3716)*LN(1+2*AQ3716/S18)</f>
        <v>#VALUE!</v>
      </c>
    </row>
    <row r="3717" spans="42:44">
      <c r="AP3717" s="1756" t="e">
        <f>IF(OR(AR3717=S13,AR3717&gt;S13),AR3717,"")</f>
        <v>#VALUE!</v>
      </c>
      <c r="AQ3717" s="1759">
        <f t="shared" si="116"/>
        <v>3714</v>
      </c>
      <c r="AR3717" s="1756" t="e">
        <f>0.5*(S18+2*AQ3717)*LN(1+2*AQ3717/S18)</f>
        <v>#VALUE!</v>
      </c>
    </row>
    <row r="3718" spans="42:44">
      <c r="AP3718" s="1756" t="e">
        <f>IF(OR(AR3718=S13,AR3718&gt;S13),AR3718,"")</f>
        <v>#VALUE!</v>
      </c>
      <c r="AQ3718" s="1759">
        <f t="shared" ref="AQ3718:AQ3781" si="117">AQ3717+1</f>
        <v>3715</v>
      </c>
      <c r="AR3718" s="1756" t="e">
        <f>0.5*(S18+2*AQ3718)*LN(1+2*AQ3718/S18)</f>
        <v>#VALUE!</v>
      </c>
    </row>
    <row r="3719" spans="42:44">
      <c r="AP3719" s="1756" t="e">
        <f>IF(OR(AR3719=S13,AR3719&gt;S13),AR3719,"")</f>
        <v>#VALUE!</v>
      </c>
      <c r="AQ3719" s="1759">
        <f t="shared" si="117"/>
        <v>3716</v>
      </c>
      <c r="AR3719" s="1756" t="e">
        <f>0.5*(S18+2*AQ3719)*LN(1+2*AQ3719/S18)</f>
        <v>#VALUE!</v>
      </c>
    </row>
    <row r="3720" spans="42:44">
      <c r="AP3720" s="1756" t="e">
        <f>IF(OR(AR3720=S13,AR3720&gt;S13),AR3720,"")</f>
        <v>#VALUE!</v>
      </c>
      <c r="AQ3720" s="1759">
        <f t="shared" si="117"/>
        <v>3717</v>
      </c>
      <c r="AR3720" s="1756" t="e">
        <f>0.5*(S18+2*AQ3720)*LN(1+2*AQ3720/S18)</f>
        <v>#VALUE!</v>
      </c>
    </row>
    <row r="3721" spans="42:44">
      <c r="AP3721" s="1756" t="e">
        <f>IF(OR(AR3721=S13,AR3721&gt;S13),AR3721,"")</f>
        <v>#VALUE!</v>
      </c>
      <c r="AQ3721" s="1759">
        <f t="shared" si="117"/>
        <v>3718</v>
      </c>
      <c r="AR3721" s="1756" t="e">
        <f>0.5*(S18+2*AQ3721)*LN(1+2*AQ3721/S18)</f>
        <v>#VALUE!</v>
      </c>
    </row>
    <row r="3722" spans="42:44">
      <c r="AP3722" s="1756" t="e">
        <f>IF(OR(AR3722=S13,AR3722&gt;S13),AR3722,"")</f>
        <v>#VALUE!</v>
      </c>
      <c r="AQ3722" s="1759">
        <f t="shared" si="117"/>
        <v>3719</v>
      </c>
      <c r="AR3722" s="1756" t="e">
        <f>0.5*(S18+2*AQ3722)*LN(1+2*AQ3722/S18)</f>
        <v>#VALUE!</v>
      </c>
    </row>
    <row r="3723" spans="42:44">
      <c r="AP3723" s="1756" t="e">
        <f>IF(OR(AR3723=S13,AR3723&gt;S13),AR3723,"")</f>
        <v>#VALUE!</v>
      </c>
      <c r="AQ3723" s="1759">
        <f t="shared" si="117"/>
        <v>3720</v>
      </c>
      <c r="AR3723" s="1756" t="e">
        <f>0.5*(S18+2*AQ3723)*LN(1+2*AQ3723/S18)</f>
        <v>#VALUE!</v>
      </c>
    </row>
    <row r="3724" spans="42:44">
      <c r="AP3724" s="1756" t="e">
        <f>IF(OR(AR3724=S13,AR3724&gt;S13),AR3724,"")</f>
        <v>#VALUE!</v>
      </c>
      <c r="AQ3724" s="1759">
        <f t="shared" si="117"/>
        <v>3721</v>
      </c>
      <c r="AR3724" s="1756" t="e">
        <f>0.5*(S18+2*AQ3724)*LN(1+2*AQ3724/S18)</f>
        <v>#VALUE!</v>
      </c>
    </row>
    <row r="3725" spans="42:44">
      <c r="AP3725" s="1756" t="e">
        <f>IF(OR(AR3725=S13,AR3725&gt;S13),AR3725,"")</f>
        <v>#VALUE!</v>
      </c>
      <c r="AQ3725" s="1759">
        <f t="shared" si="117"/>
        <v>3722</v>
      </c>
      <c r="AR3725" s="1756" t="e">
        <f>0.5*(S18+2*AQ3725)*LN(1+2*AQ3725/S18)</f>
        <v>#VALUE!</v>
      </c>
    </row>
    <row r="3726" spans="42:44">
      <c r="AP3726" s="1756" t="e">
        <f>IF(OR(AR3726=S13,AR3726&gt;S13),AR3726,"")</f>
        <v>#VALUE!</v>
      </c>
      <c r="AQ3726" s="1759">
        <f t="shared" si="117"/>
        <v>3723</v>
      </c>
      <c r="AR3726" s="1756" t="e">
        <f>0.5*(S18+2*AQ3726)*LN(1+2*AQ3726/S18)</f>
        <v>#VALUE!</v>
      </c>
    </row>
    <row r="3727" spans="42:44">
      <c r="AP3727" s="1756" t="e">
        <f>IF(OR(AR3727=S13,AR3727&gt;S13),AR3727,"")</f>
        <v>#VALUE!</v>
      </c>
      <c r="AQ3727" s="1759">
        <f t="shared" si="117"/>
        <v>3724</v>
      </c>
      <c r="AR3727" s="1756" t="e">
        <f>0.5*(S18+2*AQ3727)*LN(1+2*AQ3727/S18)</f>
        <v>#VALUE!</v>
      </c>
    </row>
    <row r="3728" spans="42:44">
      <c r="AP3728" s="1756" t="e">
        <f>IF(OR(AR3728=S13,AR3728&gt;S13),AR3728,"")</f>
        <v>#VALUE!</v>
      </c>
      <c r="AQ3728" s="1759">
        <f t="shared" si="117"/>
        <v>3725</v>
      </c>
      <c r="AR3728" s="1756" t="e">
        <f>0.5*(S18+2*AQ3728)*LN(1+2*AQ3728/S18)</f>
        <v>#VALUE!</v>
      </c>
    </row>
    <row r="3729" spans="42:44">
      <c r="AP3729" s="1756" t="e">
        <f>IF(OR(AR3729=S13,AR3729&gt;S13),AR3729,"")</f>
        <v>#VALUE!</v>
      </c>
      <c r="AQ3729" s="1759">
        <f t="shared" si="117"/>
        <v>3726</v>
      </c>
      <c r="AR3729" s="1756" t="e">
        <f>0.5*(S18+2*AQ3729)*LN(1+2*AQ3729/S18)</f>
        <v>#VALUE!</v>
      </c>
    </row>
    <row r="3730" spans="42:44">
      <c r="AP3730" s="1756" t="e">
        <f>IF(OR(AR3730=S13,AR3730&gt;S13),AR3730,"")</f>
        <v>#VALUE!</v>
      </c>
      <c r="AQ3730" s="1759">
        <f t="shared" si="117"/>
        <v>3727</v>
      </c>
      <c r="AR3730" s="1756" t="e">
        <f>0.5*(S18+2*AQ3730)*LN(1+2*AQ3730/S18)</f>
        <v>#VALUE!</v>
      </c>
    </row>
    <row r="3731" spans="42:44">
      <c r="AP3731" s="1756" t="e">
        <f>IF(OR(AR3731=S13,AR3731&gt;S13),AR3731,"")</f>
        <v>#VALUE!</v>
      </c>
      <c r="AQ3731" s="1759">
        <f t="shared" si="117"/>
        <v>3728</v>
      </c>
      <c r="AR3731" s="1756" t="e">
        <f>0.5*(S18+2*AQ3731)*LN(1+2*AQ3731/S18)</f>
        <v>#VALUE!</v>
      </c>
    </row>
    <row r="3732" spans="42:44">
      <c r="AP3732" s="1756" t="e">
        <f>IF(OR(AR3732=S13,AR3732&gt;S13),AR3732,"")</f>
        <v>#VALUE!</v>
      </c>
      <c r="AQ3732" s="1759">
        <f t="shared" si="117"/>
        <v>3729</v>
      </c>
      <c r="AR3732" s="1756" t="e">
        <f>0.5*(S18+2*AQ3732)*LN(1+2*AQ3732/S18)</f>
        <v>#VALUE!</v>
      </c>
    </row>
    <row r="3733" spans="42:44">
      <c r="AP3733" s="1756" t="e">
        <f>IF(OR(AR3733=S13,AR3733&gt;S13),AR3733,"")</f>
        <v>#VALUE!</v>
      </c>
      <c r="AQ3733" s="1759">
        <f t="shared" si="117"/>
        <v>3730</v>
      </c>
      <c r="AR3733" s="1756" t="e">
        <f>0.5*(S18+2*AQ3733)*LN(1+2*AQ3733/S18)</f>
        <v>#VALUE!</v>
      </c>
    </row>
    <row r="3734" spans="42:44">
      <c r="AP3734" s="1756" t="e">
        <f>IF(OR(AR3734=S13,AR3734&gt;S13),AR3734,"")</f>
        <v>#VALUE!</v>
      </c>
      <c r="AQ3734" s="1759">
        <f t="shared" si="117"/>
        <v>3731</v>
      </c>
      <c r="AR3734" s="1756" t="e">
        <f>0.5*(S18+2*AQ3734)*LN(1+2*AQ3734/S18)</f>
        <v>#VALUE!</v>
      </c>
    </row>
    <row r="3735" spans="42:44">
      <c r="AP3735" s="1756" t="e">
        <f>IF(OR(AR3735=S13,AR3735&gt;S13),AR3735,"")</f>
        <v>#VALUE!</v>
      </c>
      <c r="AQ3735" s="1759">
        <f t="shared" si="117"/>
        <v>3732</v>
      </c>
      <c r="AR3735" s="1756" t="e">
        <f>0.5*(S18+2*AQ3735)*LN(1+2*AQ3735/S18)</f>
        <v>#VALUE!</v>
      </c>
    </row>
    <row r="3736" spans="42:44">
      <c r="AP3736" s="1756" t="e">
        <f>IF(OR(AR3736=S13,AR3736&gt;S13),AR3736,"")</f>
        <v>#VALUE!</v>
      </c>
      <c r="AQ3736" s="1759">
        <f t="shared" si="117"/>
        <v>3733</v>
      </c>
      <c r="AR3736" s="1756" t="e">
        <f>0.5*(S18+2*AQ3736)*LN(1+2*AQ3736/S18)</f>
        <v>#VALUE!</v>
      </c>
    </row>
    <row r="3737" spans="42:44">
      <c r="AP3737" s="1756" t="e">
        <f>IF(OR(AR3737=S13,AR3737&gt;S13),AR3737,"")</f>
        <v>#VALUE!</v>
      </c>
      <c r="AQ3737" s="1759">
        <f t="shared" si="117"/>
        <v>3734</v>
      </c>
      <c r="AR3737" s="1756" t="e">
        <f>0.5*(S18+2*AQ3737)*LN(1+2*AQ3737/S18)</f>
        <v>#VALUE!</v>
      </c>
    </row>
    <row r="3738" spans="42:44">
      <c r="AP3738" s="1756" t="e">
        <f>IF(OR(AR3738=S13,AR3738&gt;S13),AR3738,"")</f>
        <v>#VALUE!</v>
      </c>
      <c r="AQ3738" s="1759">
        <f t="shared" si="117"/>
        <v>3735</v>
      </c>
      <c r="AR3738" s="1756" t="e">
        <f>0.5*(S18+2*AQ3738)*LN(1+2*AQ3738/S18)</f>
        <v>#VALUE!</v>
      </c>
    </row>
    <row r="3739" spans="42:44">
      <c r="AP3739" s="1756" t="e">
        <f>IF(OR(AR3739=S13,AR3739&gt;S13),AR3739,"")</f>
        <v>#VALUE!</v>
      </c>
      <c r="AQ3739" s="1759">
        <f t="shared" si="117"/>
        <v>3736</v>
      </c>
      <c r="AR3739" s="1756" t="e">
        <f>0.5*(S18+2*AQ3739)*LN(1+2*AQ3739/S18)</f>
        <v>#VALUE!</v>
      </c>
    </row>
    <row r="3740" spans="42:44">
      <c r="AP3740" s="1756" t="e">
        <f>IF(OR(AR3740=S13,AR3740&gt;S13),AR3740,"")</f>
        <v>#VALUE!</v>
      </c>
      <c r="AQ3740" s="1759">
        <f t="shared" si="117"/>
        <v>3737</v>
      </c>
      <c r="AR3740" s="1756" t="e">
        <f>0.5*(S18+2*AQ3740)*LN(1+2*AQ3740/S18)</f>
        <v>#VALUE!</v>
      </c>
    </row>
    <row r="3741" spans="42:44">
      <c r="AP3741" s="1756" t="e">
        <f>IF(OR(AR3741=S13,AR3741&gt;S13),AR3741,"")</f>
        <v>#VALUE!</v>
      </c>
      <c r="AQ3741" s="1759">
        <f t="shared" si="117"/>
        <v>3738</v>
      </c>
      <c r="AR3741" s="1756" t="e">
        <f>0.5*(S18+2*AQ3741)*LN(1+2*AQ3741/S18)</f>
        <v>#VALUE!</v>
      </c>
    </row>
    <row r="3742" spans="42:44">
      <c r="AP3742" s="1756" t="e">
        <f>IF(OR(AR3742=S13,AR3742&gt;S13),AR3742,"")</f>
        <v>#VALUE!</v>
      </c>
      <c r="AQ3742" s="1759">
        <f t="shared" si="117"/>
        <v>3739</v>
      </c>
      <c r="AR3742" s="1756" t="e">
        <f>0.5*(S18+2*AQ3742)*LN(1+2*AQ3742/S18)</f>
        <v>#VALUE!</v>
      </c>
    </row>
    <row r="3743" spans="42:44">
      <c r="AP3743" s="1756" t="e">
        <f>IF(OR(AR3743=S13,AR3743&gt;S13),AR3743,"")</f>
        <v>#VALUE!</v>
      </c>
      <c r="AQ3743" s="1759">
        <f t="shared" si="117"/>
        <v>3740</v>
      </c>
      <c r="AR3743" s="1756" t="e">
        <f>0.5*(S18+2*AQ3743)*LN(1+2*AQ3743/S18)</f>
        <v>#VALUE!</v>
      </c>
    </row>
    <row r="3744" spans="42:44">
      <c r="AP3744" s="1756" t="e">
        <f>IF(OR(AR3744=S13,AR3744&gt;S13),AR3744,"")</f>
        <v>#VALUE!</v>
      </c>
      <c r="AQ3744" s="1759">
        <f t="shared" si="117"/>
        <v>3741</v>
      </c>
      <c r="AR3744" s="1756" t="e">
        <f>0.5*(S18+2*AQ3744)*LN(1+2*AQ3744/S18)</f>
        <v>#VALUE!</v>
      </c>
    </row>
    <row r="3745" spans="42:44">
      <c r="AP3745" s="1756" t="e">
        <f>IF(OR(AR3745=S13,AR3745&gt;S13),AR3745,"")</f>
        <v>#VALUE!</v>
      </c>
      <c r="AQ3745" s="1759">
        <f t="shared" si="117"/>
        <v>3742</v>
      </c>
      <c r="AR3745" s="1756" t="e">
        <f>0.5*(S18+2*AQ3745)*LN(1+2*AQ3745/S18)</f>
        <v>#VALUE!</v>
      </c>
    </row>
    <row r="3746" spans="42:44">
      <c r="AP3746" s="1756" t="e">
        <f>IF(OR(AR3746=S13,AR3746&gt;S13),AR3746,"")</f>
        <v>#VALUE!</v>
      </c>
      <c r="AQ3746" s="1759">
        <f t="shared" si="117"/>
        <v>3743</v>
      </c>
      <c r="AR3746" s="1756" t="e">
        <f>0.5*(S18+2*AQ3746)*LN(1+2*AQ3746/S18)</f>
        <v>#VALUE!</v>
      </c>
    </row>
    <row r="3747" spans="42:44">
      <c r="AP3747" s="1756" t="e">
        <f>IF(OR(AR3747=S13,AR3747&gt;S13),AR3747,"")</f>
        <v>#VALUE!</v>
      </c>
      <c r="AQ3747" s="1759">
        <f t="shared" si="117"/>
        <v>3744</v>
      </c>
      <c r="AR3747" s="1756" t="e">
        <f>0.5*(S18+2*AQ3747)*LN(1+2*AQ3747/S18)</f>
        <v>#VALUE!</v>
      </c>
    </row>
    <row r="3748" spans="42:44">
      <c r="AP3748" s="1756" t="e">
        <f>IF(OR(AR3748=S13,AR3748&gt;S13),AR3748,"")</f>
        <v>#VALUE!</v>
      </c>
      <c r="AQ3748" s="1759">
        <f t="shared" si="117"/>
        <v>3745</v>
      </c>
      <c r="AR3748" s="1756" t="e">
        <f>0.5*(S18+2*AQ3748)*LN(1+2*AQ3748/S18)</f>
        <v>#VALUE!</v>
      </c>
    </row>
    <row r="3749" spans="42:44">
      <c r="AP3749" s="1756" t="e">
        <f>IF(OR(AR3749=S13,AR3749&gt;S13),AR3749,"")</f>
        <v>#VALUE!</v>
      </c>
      <c r="AQ3749" s="1759">
        <f t="shared" si="117"/>
        <v>3746</v>
      </c>
      <c r="AR3749" s="1756" t="e">
        <f>0.5*(S18+2*AQ3749)*LN(1+2*AQ3749/S18)</f>
        <v>#VALUE!</v>
      </c>
    </row>
    <row r="3750" spans="42:44">
      <c r="AP3750" s="1756" t="e">
        <f>IF(OR(AR3750=S13,AR3750&gt;S13),AR3750,"")</f>
        <v>#VALUE!</v>
      </c>
      <c r="AQ3750" s="1759">
        <f t="shared" si="117"/>
        <v>3747</v>
      </c>
      <c r="AR3750" s="1756" t="e">
        <f>0.5*(S18+2*AQ3750)*LN(1+2*AQ3750/S18)</f>
        <v>#VALUE!</v>
      </c>
    </row>
    <row r="3751" spans="42:44">
      <c r="AP3751" s="1756" t="e">
        <f>IF(OR(AR3751=S13,AR3751&gt;S13),AR3751,"")</f>
        <v>#VALUE!</v>
      </c>
      <c r="AQ3751" s="1759">
        <f t="shared" si="117"/>
        <v>3748</v>
      </c>
      <c r="AR3751" s="1756" t="e">
        <f>0.5*(S18+2*AQ3751)*LN(1+2*AQ3751/S18)</f>
        <v>#VALUE!</v>
      </c>
    </row>
    <row r="3752" spans="42:44">
      <c r="AP3752" s="1756" t="e">
        <f>IF(OR(AR3752=S13,AR3752&gt;S13),AR3752,"")</f>
        <v>#VALUE!</v>
      </c>
      <c r="AQ3752" s="1759">
        <f t="shared" si="117"/>
        <v>3749</v>
      </c>
      <c r="AR3752" s="1756" t="e">
        <f>0.5*(S18+2*AQ3752)*LN(1+2*AQ3752/S18)</f>
        <v>#VALUE!</v>
      </c>
    </row>
    <row r="3753" spans="42:44">
      <c r="AP3753" s="1756" t="e">
        <f>IF(OR(AR3753=S13,AR3753&gt;S13),AR3753,"")</f>
        <v>#VALUE!</v>
      </c>
      <c r="AQ3753" s="1759">
        <f t="shared" si="117"/>
        <v>3750</v>
      </c>
      <c r="AR3753" s="1756" t="e">
        <f>0.5*(S18+2*AQ3753)*LN(1+2*AQ3753/S18)</f>
        <v>#VALUE!</v>
      </c>
    </row>
    <row r="3754" spans="42:44">
      <c r="AP3754" s="1756" t="e">
        <f>IF(OR(AR3754=S13,AR3754&gt;S13),AR3754,"")</f>
        <v>#VALUE!</v>
      </c>
      <c r="AQ3754" s="1759">
        <f t="shared" si="117"/>
        <v>3751</v>
      </c>
      <c r="AR3754" s="1756" t="e">
        <f>0.5*(S18+2*AQ3754)*LN(1+2*AQ3754/S18)</f>
        <v>#VALUE!</v>
      </c>
    </row>
    <row r="3755" spans="42:44">
      <c r="AP3755" s="1756" t="e">
        <f>IF(OR(AR3755=S13,AR3755&gt;S13),AR3755,"")</f>
        <v>#VALUE!</v>
      </c>
      <c r="AQ3755" s="1759">
        <f t="shared" si="117"/>
        <v>3752</v>
      </c>
      <c r="AR3755" s="1756" t="e">
        <f>0.5*(S18+2*AQ3755)*LN(1+2*AQ3755/S18)</f>
        <v>#VALUE!</v>
      </c>
    </row>
    <row r="3756" spans="42:44">
      <c r="AP3756" s="1756" t="e">
        <f>IF(OR(AR3756=S13,AR3756&gt;S13),AR3756,"")</f>
        <v>#VALUE!</v>
      </c>
      <c r="AQ3756" s="1759">
        <f t="shared" si="117"/>
        <v>3753</v>
      </c>
      <c r="AR3756" s="1756" t="e">
        <f>0.5*(S18+2*AQ3756)*LN(1+2*AQ3756/S18)</f>
        <v>#VALUE!</v>
      </c>
    </row>
    <row r="3757" spans="42:44">
      <c r="AP3757" s="1756" t="e">
        <f>IF(OR(AR3757=S13,AR3757&gt;S13),AR3757,"")</f>
        <v>#VALUE!</v>
      </c>
      <c r="AQ3757" s="1759">
        <f t="shared" si="117"/>
        <v>3754</v>
      </c>
      <c r="AR3757" s="1756" t="e">
        <f>0.5*(S18+2*AQ3757)*LN(1+2*AQ3757/S18)</f>
        <v>#VALUE!</v>
      </c>
    </row>
    <row r="3758" spans="42:44">
      <c r="AP3758" s="1756" t="e">
        <f>IF(OR(AR3758=S13,AR3758&gt;S13),AR3758,"")</f>
        <v>#VALUE!</v>
      </c>
      <c r="AQ3758" s="1759">
        <f t="shared" si="117"/>
        <v>3755</v>
      </c>
      <c r="AR3758" s="1756" t="e">
        <f>0.5*(S18+2*AQ3758)*LN(1+2*AQ3758/S18)</f>
        <v>#VALUE!</v>
      </c>
    </row>
    <row r="3759" spans="42:44">
      <c r="AP3759" s="1756" t="e">
        <f>IF(OR(AR3759=S13,AR3759&gt;S13),AR3759,"")</f>
        <v>#VALUE!</v>
      </c>
      <c r="AQ3759" s="1759">
        <f t="shared" si="117"/>
        <v>3756</v>
      </c>
      <c r="AR3759" s="1756" t="e">
        <f>0.5*(S18+2*AQ3759)*LN(1+2*AQ3759/S18)</f>
        <v>#VALUE!</v>
      </c>
    </row>
    <row r="3760" spans="42:44">
      <c r="AP3760" s="1756" t="e">
        <f>IF(OR(AR3760=S13,AR3760&gt;S13),AR3760,"")</f>
        <v>#VALUE!</v>
      </c>
      <c r="AQ3760" s="1759">
        <f t="shared" si="117"/>
        <v>3757</v>
      </c>
      <c r="AR3760" s="1756" t="e">
        <f>0.5*(S18+2*AQ3760)*LN(1+2*AQ3760/S18)</f>
        <v>#VALUE!</v>
      </c>
    </row>
    <row r="3761" spans="42:44">
      <c r="AP3761" s="1756" t="e">
        <f>IF(OR(AR3761=S13,AR3761&gt;S13),AR3761,"")</f>
        <v>#VALUE!</v>
      </c>
      <c r="AQ3761" s="1759">
        <f t="shared" si="117"/>
        <v>3758</v>
      </c>
      <c r="AR3761" s="1756" t="e">
        <f>0.5*(S18+2*AQ3761)*LN(1+2*AQ3761/S18)</f>
        <v>#VALUE!</v>
      </c>
    </row>
    <row r="3762" spans="42:44">
      <c r="AP3762" s="1756" t="e">
        <f>IF(OR(AR3762=S13,AR3762&gt;S13),AR3762,"")</f>
        <v>#VALUE!</v>
      </c>
      <c r="AQ3762" s="1759">
        <f t="shared" si="117"/>
        <v>3759</v>
      </c>
      <c r="AR3762" s="1756" t="e">
        <f>0.5*(S18+2*AQ3762)*LN(1+2*AQ3762/S18)</f>
        <v>#VALUE!</v>
      </c>
    </row>
    <row r="3763" spans="42:44">
      <c r="AP3763" s="1756" t="e">
        <f>IF(OR(AR3763=S13,AR3763&gt;S13),AR3763,"")</f>
        <v>#VALUE!</v>
      </c>
      <c r="AQ3763" s="1759">
        <f t="shared" si="117"/>
        <v>3760</v>
      </c>
      <c r="AR3763" s="1756" t="e">
        <f>0.5*(S18+2*AQ3763)*LN(1+2*AQ3763/S18)</f>
        <v>#VALUE!</v>
      </c>
    </row>
    <row r="3764" spans="42:44">
      <c r="AP3764" s="1756" t="e">
        <f>IF(OR(AR3764=S13,AR3764&gt;S13),AR3764,"")</f>
        <v>#VALUE!</v>
      </c>
      <c r="AQ3764" s="1759">
        <f t="shared" si="117"/>
        <v>3761</v>
      </c>
      <c r="AR3764" s="1756" t="e">
        <f>0.5*(S18+2*AQ3764)*LN(1+2*AQ3764/S18)</f>
        <v>#VALUE!</v>
      </c>
    </row>
    <row r="3765" spans="42:44">
      <c r="AP3765" s="1756" t="e">
        <f>IF(OR(AR3765=S13,AR3765&gt;S13),AR3765,"")</f>
        <v>#VALUE!</v>
      </c>
      <c r="AQ3765" s="1759">
        <f t="shared" si="117"/>
        <v>3762</v>
      </c>
      <c r="AR3765" s="1756" t="e">
        <f>0.5*(S18+2*AQ3765)*LN(1+2*AQ3765/S18)</f>
        <v>#VALUE!</v>
      </c>
    </row>
    <row r="3766" spans="42:44">
      <c r="AP3766" s="1756" t="e">
        <f>IF(OR(AR3766=S13,AR3766&gt;S13),AR3766,"")</f>
        <v>#VALUE!</v>
      </c>
      <c r="AQ3766" s="1759">
        <f t="shared" si="117"/>
        <v>3763</v>
      </c>
      <c r="AR3766" s="1756" t="e">
        <f>0.5*(S18+2*AQ3766)*LN(1+2*AQ3766/S18)</f>
        <v>#VALUE!</v>
      </c>
    </row>
    <row r="3767" spans="42:44">
      <c r="AP3767" s="1756" t="e">
        <f>IF(OR(AR3767=S13,AR3767&gt;S13),AR3767,"")</f>
        <v>#VALUE!</v>
      </c>
      <c r="AQ3767" s="1759">
        <f t="shared" si="117"/>
        <v>3764</v>
      </c>
      <c r="AR3767" s="1756" t="e">
        <f>0.5*(S18+2*AQ3767)*LN(1+2*AQ3767/S18)</f>
        <v>#VALUE!</v>
      </c>
    </row>
    <row r="3768" spans="42:44">
      <c r="AP3768" s="1756" t="e">
        <f>IF(OR(AR3768=S13,AR3768&gt;S13),AR3768,"")</f>
        <v>#VALUE!</v>
      </c>
      <c r="AQ3768" s="1759">
        <f t="shared" si="117"/>
        <v>3765</v>
      </c>
      <c r="AR3768" s="1756" t="e">
        <f>0.5*(S18+2*AQ3768)*LN(1+2*AQ3768/S18)</f>
        <v>#VALUE!</v>
      </c>
    </row>
    <row r="3769" spans="42:44">
      <c r="AP3769" s="1756" t="e">
        <f>IF(OR(AR3769=S13,AR3769&gt;S13),AR3769,"")</f>
        <v>#VALUE!</v>
      </c>
      <c r="AQ3769" s="1759">
        <f t="shared" si="117"/>
        <v>3766</v>
      </c>
      <c r="AR3769" s="1756" t="e">
        <f>0.5*(S18+2*AQ3769)*LN(1+2*AQ3769/S18)</f>
        <v>#VALUE!</v>
      </c>
    </row>
    <row r="3770" spans="42:44">
      <c r="AP3770" s="1756" t="e">
        <f>IF(OR(AR3770=S13,AR3770&gt;S13),AR3770,"")</f>
        <v>#VALUE!</v>
      </c>
      <c r="AQ3770" s="1759">
        <f t="shared" si="117"/>
        <v>3767</v>
      </c>
      <c r="AR3770" s="1756" t="e">
        <f>0.5*(S18+2*AQ3770)*LN(1+2*AQ3770/S18)</f>
        <v>#VALUE!</v>
      </c>
    </row>
    <row r="3771" spans="42:44">
      <c r="AP3771" s="1756" t="e">
        <f>IF(OR(AR3771=S13,AR3771&gt;S13),AR3771,"")</f>
        <v>#VALUE!</v>
      </c>
      <c r="AQ3771" s="1759">
        <f t="shared" si="117"/>
        <v>3768</v>
      </c>
      <c r="AR3771" s="1756" t="e">
        <f>0.5*(S18+2*AQ3771)*LN(1+2*AQ3771/S18)</f>
        <v>#VALUE!</v>
      </c>
    </row>
    <row r="3772" spans="42:44">
      <c r="AP3772" s="1756" t="e">
        <f>IF(OR(AR3772=S13,AR3772&gt;S13),AR3772,"")</f>
        <v>#VALUE!</v>
      </c>
      <c r="AQ3772" s="1759">
        <f t="shared" si="117"/>
        <v>3769</v>
      </c>
      <c r="AR3772" s="1756" t="e">
        <f>0.5*(S18+2*AQ3772)*LN(1+2*AQ3772/S18)</f>
        <v>#VALUE!</v>
      </c>
    </row>
    <row r="3773" spans="42:44">
      <c r="AP3773" s="1756" t="e">
        <f>IF(OR(AR3773=S13,AR3773&gt;S13),AR3773,"")</f>
        <v>#VALUE!</v>
      </c>
      <c r="AQ3773" s="1759">
        <f t="shared" si="117"/>
        <v>3770</v>
      </c>
      <c r="AR3773" s="1756" t="e">
        <f>0.5*(S18+2*AQ3773)*LN(1+2*AQ3773/S18)</f>
        <v>#VALUE!</v>
      </c>
    </row>
    <row r="3774" spans="42:44">
      <c r="AP3774" s="1756" t="e">
        <f>IF(OR(AR3774=S13,AR3774&gt;S13),AR3774,"")</f>
        <v>#VALUE!</v>
      </c>
      <c r="AQ3774" s="1759">
        <f t="shared" si="117"/>
        <v>3771</v>
      </c>
      <c r="AR3774" s="1756" t="e">
        <f>0.5*(S18+2*AQ3774)*LN(1+2*AQ3774/S18)</f>
        <v>#VALUE!</v>
      </c>
    </row>
    <row r="3775" spans="42:44">
      <c r="AP3775" s="1756" t="e">
        <f>IF(OR(AR3775=S13,AR3775&gt;S13),AR3775,"")</f>
        <v>#VALUE!</v>
      </c>
      <c r="AQ3775" s="1759">
        <f t="shared" si="117"/>
        <v>3772</v>
      </c>
      <c r="AR3775" s="1756" t="e">
        <f>0.5*(S18+2*AQ3775)*LN(1+2*AQ3775/S18)</f>
        <v>#VALUE!</v>
      </c>
    </row>
    <row r="3776" spans="42:44">
      <c r="AP3776" s="1756" t="e">
        <f>IF(OR(AR3776=S13,AR3776&gt;S13),AR3776,"")</f>
        <v>#VALUE!</v>
      </c>
      <c r="AQ3776" s="1759">
        <f t="shared" si="117"/>
        <v>3773</v>
      </c>
      <c r="AR3776" s="1756" t="e">
        <f>0.5*(S18+2*AQ3776)*LN(1+2*AQ3776/S18)</f>
        <v>#VALUE!</v>
      </c>
    </row>
    <row r="3777" spans="42:44">
      <c r="AP3777" s="1756" t="e">
        <f>IF(OR(AR3777=S13,AR3777&gt;S13),AR3777,"")</f>
        <v>#VALUE!</v>
      </c>
      <c r="AQ3777" s="1759">
        <f t="shared" si="117"/>
        <v>3774</v>
      </c>
      <c r="AR3777" s="1756" t="e">
        <f>0.5*(S18+2*AQ3777)*LN(1+2*AQ3777/S18)</f>
        <v>#VALUE!</v>
      </c>
    </row>
    <row r="3778" spans="42:44">
      <c r="AP3778" s="1756" t="e">
        <f>IF(OR(AR3778=S13,AR3778&gt;S13),AR3778,"")</f>
        <v>#VALUE!</v>
      </c>
      <c r="AQ3778" s="1759">
        <f t="shared" si="117"/>
        <v>3775</v>
      </c>
      <c r="AR3778" s="1756" t="e">
        <f>0.5*(S18+2*AQ3778)*LN(1+2*AQ3778/S18)</f>
        <v>#VALUE!</v>
      </c>
    </row>
    <row r="3779" spans="42:44">
      <c r="AP3779" s="1756" t="e">
        <f>IF(OR(AR3779=S13,AR3779&gt;S13),AR3779,"")</f>
        <v>#VALUE!</v>
      </c>
      <c r="AQ3779" s="1759">
        <f t="shared" si="117"/>
        <v>3776</v>
      </c>
      <c r="AR3779" s="1756" t="e">
        <f>0.5*(S18+2*AQ3779)*LN(1+2*AQ3779/S18)</f>
        <v>#VALUE!</v>
      </c>
    </row>
    <row r="3780" spans="42:44">
      <c r="AP3780" s="1756" t="e">
        <f>IF(OR(AR3780=S13,AR3780&gt;S13),AR3780,"")</f>
        <v>#VALUE!</v>
      </c>
      <c r="AQ3780" s="1759">
        <f t="shared" si="117"/>
        <v>3777</v>
      </c>
      <c r="AR3780" s="1756" t="e">
        <f>0.5*(S18+2*AQ3780)*LN(1+2*AQ3780/S18)</f>
        <v>#VALUE!</v>
      </c>
    </row>
    <row r="3781" spans="42:44">
      <c r="AP3781" s="1756" t="e">
        <f>IF(OR(AR3781=S13,AR3781&gt;S13),AR3781,"")</f>
        <v>#VALUE!</v>
      </c>
      <c r="AQ3781" s="1759">
        <f t="shared" si="117"/>
        <v>3778</v>
      </c>
      <c r="AR3781" s="1756" t="e">
        <f>0.5*(S18+2*AQ3781)*LN(1+2*AQ3781/S18)</f>
        <v>#VALUE!</v>
      </c>
    </row>
    <row r="3782" spans="42:44">
      <c r="AP3782" s="1756" t="e">
        <f>IF(OR(AR3782=S13,AR3782&gt;S13),AR3782,"")</f>
        <v>#VALUE!</v>
      </c>
      <c r="AQ3782" s="1759">
        <f t="shared" ref="AQ3782:AQ3845" si="118">AQ3781+1</f>
        <v>3779</v>
      </c>
      <c r="AR3782" s="1756" t="e">
        <f>0.5*(S18+2*AQ3782)*LN(1+2*AQ3782/S18)</f>
        <v>#VALUE!</v>
      </c>
    </row>
    <row r="3783" spans="42:44">
      <c r="AP3783" s="1756" t="e">
        <f>IF(OR(AR3783=S13,AR3783&gt;S13),AR3783,"")</f>
        <v>#VALUE!</v>
      </c>
      <c r="AQ3783" s="1759">
        <f t="shared" si="118"/>
        <v>3780</v>
      </c>
      <c r="AR3783" s="1756" t="e">
        <f>0.5*(S18+2*AQ3783)*LN(1+2*AQ3783/S18)</f>
        <v>#VALUE!</v>
      </c>
    </row>
    <row r="3784" spans="42:44">
      <c r="AP3784" s="1756" t="e">
        <f>IF(OR(AR3784=S13,AR3784&gt;S13),AR3784,"")</f>
        <v>#VALUE!</v>
      </c>
      <c r="AQ3784" s="1759">
        <f t="shared" si="118"/>
        <v>3781</v>
      </c>
      <c r="AR3784" s="1756" t="e">
        <f>0.5*(S18+2*AQ3784)*LN(1+2*AQ3784/S18)</f>
        <v>#VALUE!</v>
      </c>
    </row>
    <row r="3785" spans="42:44">
      <c r="AP3785" s="1756" t="e">
        <f>IF(OR(AR3785=S13,AR3785&gt;S13),AR3785,"")</f>
        <v>#VALUE!</v>
      </c>
      <c r="AQ3785" s="1759">
        <f t="shared" si="118"/>
        <v>3782</v>
      </c>
      <c r="AR3785" s="1756" t="e">
        <f>0.5*(S18+2*AQ3785)*LN(1+2*AQ3785/S18)</f>
        <v>#VALUE!</v>
      </c>
    </row>
    <row r="3786" spans="42:44">
      <c r="AP3786" s="1756" t="e">
        <f>IF(OR(AR3786=S13,AR3786&gt;S13),AR3786,"")</f>
        <v>#VALUE!</v>
      </c>
      <c r="AQ3786" s="1759">
        <f t="shared" si="118"/>
        <v>3783</v>
      </c>
      <c r="AR3786" s="1756" t="e">
        <f>0.5*(S18+2*AQ3786)*LN(1+2*AQ3786/S18)</f>
        <v>#VALUE!</v>
      </c>
    </row>
    <row r="3787" spans="42:44">
      <c r="AP3787" s="1756" t="e">
        <f>IF(OR(AR3787=S13,AR3787&gt;S13),AR3787,"")</f>
        <v>#VALUE!</v>
      </c>
      <c r="AQ3787" s="1759">
        <f t="shared" si="118"/>
        <v>3784</v>
      </c>
      <c r="AR3787" s="1756" t="e">
        <f>0.5*(S18+2*AQ3787)*LN(1+2*AQ3787/S18)</f>
        <v>#VALUE!</v>
      </c>
    </row>
    <row r="3788" spans="42:44">
      <c r="AP3788" s="1756" t="e">
        <f>IF(OR(AR3788=S13,AR3788&gt;S13),AR3788,"")</f>
        <v>#VALUE!</v>
      </c>
      <c r="AQ3788" s="1759">
        <f t="shared" si="118"/>
        <v>3785</v>
      </c>
      <c r="AR3788" s="1756" t="e">
        <f>0.5*(S18+2*AQ3788)*LN(1+2*AQ3788/S18)</f>
        <v>#VALUE!</v>
      </c>
    </row>
    <row r="3789" spans="42:44">
      <c r="AP3789" s="1756" t="e">
        <f>IF(OR(AR3789=S13,AR3789&gt;S13),AR3789,"")</f>
        <v>#VALUE!</v>
      </c>
      <c r="AQ3789" s="1759">
        <f t="shared" si="118"/>
        <v>3786</v>
      </c>
      <c r="AR3789" s="1756" t="e">
        <f>0.5*(S18+2*AQ3789)*LN(1+2*AQ3789/S18)</f>
        <v>#VALUE!</v>
      </c>
    </row>
    <row r="3790" spans="42:44">
      <c r="AP3790" s="1756" t="e">
        <f>IF(OR(AR3790=S13,AR3790&gt;S13),AR3790,"")</f>
        <v>#VALUE!</v>
      </c>
      <c r="AQ3790" s="1759">
        <f t="shared" si="118"/>
        <v>3787</v>
      </c>
      <c r="AR3790" s="1756" t="e">
        <f>0.5*(S18+2*AQ3790)*LN(1+2*AQ3790/S18)</f>
        <v>#VALUE!</v>
      </c>
    </row>
    <row r="3791" spans="42:44">
      <c r="AP3791" s="1756" t="e">
        <f>IF(OR(AR3791=S13,AR3791&gt;S13),AR3791,"")</f>
        <v>#VALUE!</v>
      </c>
      <c r="AQ3791" s="1759">
        <f t="shared" si="118"/>
        <v>3788</v>
      </c>
      <c r="AR3791" s="1756" t="e">
        <f>0.5*(S18+2*AQ3791)*LN(1+2*AQ3791/S18)</f>
        <v>#VALUE!</v>
      </c>
    </row>
    <row r="3792" spans="42:44">
      <c r="AP3792" s="1756" t="e">
        <f>IF(OR(AR3792=S13,AR3792&gt;S13),AR3792,"")</f>
        <v>#VALUE!</v>
      </c>
      <c r="AQ3792" s="1759">
        <f t="shared" si="118"/>
        <v>3789</v>
      </c>
      <c r="AR3792" s="1756" t="e">
        <f>0.5*(S18+2*AQ3792)*LN(1+2*AQ3792/S18)</f>
        <v>#VALUE!</v>
      </c>
    </row>
    <row r="3793" spans="42:44">
      <c r="AP3793" s="1756" t="e">
        <f>IF(OR(AR3793=S13,AR3793&gt;S13),AR3793,"")</f>
        <v>#VALUE!</v>
      </c>
      <c r="AQ3793" s="1759">
        <f t="shared" si="118"/>
        <v>3790</v>
      </c>
      <c r="AR3793" s="1756" t="e">
        <f>0.5*(S18+2*AQ3793)*LN(1+2*AQ3793/S18)</f>
        <v>#VALUE!</v>
      </c>
    </row>
    <row r="3794" spans="42:44">
      <c r="AP3794" s="1756" t="e">
        <f>IF(OR(AR3794=S13,AR3794&gt;S13),AR3794,"")</f>
        <v>#VALUE!</v>
      </c>
      <c r="AQ3794" s="1759">
        <f t="shared" si="118"/>
        <v>3791</v>
      </c>
      <c r="AR3794" s="1756" t="e">
        <f>0.5*(S18+2*AQ3794)*LN(1+2*AQ3794/S18)</f>
        <v>#VALUE!</v>
      </c>
    </row>
    <row r="3795" spans="42:44">
      <c r="AP3795" s="1756" t="e">
        <f>IF(OR(AR3795=S13,AR3795&gt;S13),AR3795,"")</f>
        <v>#VALUE!</v>
      </c>
      <c r="AQ3795" s="1759">
        <f t="shared" si="118"/>
        <v>3792</v>
      </c>
      <c r="AR3795" s="1756" t="e">
        <f>0.5*(S18+2*AQ3795)*LN(1+2*AQ3795/S18)</f>
        <v>#VALUE!</v>
      </c>
    </row>
    <row r="3796" spans="42:44">
      <c r="AP3796" s="1756" t="e">
        <f>IF(OR(AR3796=S13,AR3796&gt;S13),AR3796,"")</f>
        <v>#VALUE!</v>
      </c>
      <c r="AQ3796" s="1759">
        <f t="shared" si="118"/>
        <v>3793</v>
      </c>
      <c r="AR3796" s="1756" t="e">
        <f>0.5*(S18+2*AQ3796)*LN(1+2*AQ3796/S18)</f>
        <v>#VALUE!</v>
      </c>
    </row>
    <row r="3797" spans="42:44">
      <c r="AP3797" s="1756" t="e">
        <f>IF(OR(AR3797=S13,AR3797&gt;S13),AR3797,"")</f>
        <v>#VALUE!</v>
      </c>
      <c r="AQ3797" s="1759">
        <f t="shared" si="118"/>
        <v>3794</v>
      </c>
      <c r="AR3797" s="1756" t="e">
        <f>0.5*(S18+2*AQ3797)*LN(1+2*AQ3797/S18)</f>
        <v>#VALUE!</v>
      </c>
    </row>
    <row r="3798" spans="42:44">
      <c r="AP3798" s="1756" t="e">
        <f>IF(OR(AR3798=S13,AR3798&gt;S13),AR3798,"")</f>
        <v>#VALUE!</v>
      </c>
      <c r="AQ3798" s="1759">
        <f t="shared" si="118"/>
        <v>3795</v>
      </c>
      <c r="AR3798" s="1756" t="e">
        <f>0.5*(S18+2*AQ3798)*LN(1+2*AQ3798/S18)</f>
        <v>#VALUE!</v>
      </c>
    </row>
    <row r="3799" spans="42:44">
      <c r="AP3799" s="1756" t="e">
        <f>IF(OR(AR3799=S13,AR3799&gt;S13),AR3799,"")</f>
        <v>#VALUE!</v>
      </c>
      <c r="AQ3799" s="1759">
        <f t="shared" si="118"/>
        <v>3796</v>
      </c>
      <c r="AR3799" s="1756" t="e">
        <f>0.5*(S18+2*AQ3799)*LN(1+2*AQ3799/S18)</f>
        <v>#VALUE!</v>
      </c>
    </row>
    <row r="3800" spans="42:44">
      <c r="AP3800" s="1756" t="e">
        <f>IF(OR(AR3800=S13,AR3800&gt;S13),AR3800,"")</f>
        <v>#VALUE!</v>
      </c>
      <c r="AQ3800" s="1759">
        <f t="shared" si="118"/>
        <v>3797</v>
      </c>
      <c r="AR3800" s="1756" t="e">
        <f>0.5*(S18+2*AQ3800)*LN(1+2*AQ3800/S18)</f>
        <v>#VALUE!</v>
      </c>
    </row>
    <row r="3801" spans="42:44">
      <c r="AP3801" s="1756" t="e">
        <f>IF(OR(AR3801=S13,AR3801&gt;S13),AR3801,"")</f>
        <v>#VALUE!</v>
      </c>
      <c r="AQ3801" s="1759">
        <f t="shared" si="118"/>
        <v>3798</v>
      </c>
      <c r="AR3801" s="1756" t="e">
        <f>0.5*(S18+2*AQ3801)*LN(1+2*AQ3801/S18)</f>
        <v>#VALUE!</v>
      </c>
    </row>
    <row r="3802" spans="42:44">
      <c r="AP3802" s="1756" t="e">
        <f>IF(OR(AR3802=S13,AR3802&gt;S13),AR3802,"")</f>
        <v>#VALUE!</v>
      </c>
      <c r="AQ3802" s="1759">
        <f t="shared" si="118"/>
        <v>3799</v>
      </c>
      <c r="AR3802" s="1756" t="e">
        <f>0.5*(S18+2*AQ3802)*LN(1+2*AQ3802/S18)</f>
        <v>#VALUE!</v>
      </c>
    </row>
    <row r="3803" spans="42:44">
      <c r="AP3803" s="1756" t="e">
        <f>IF(OR(AR3803=S13,AR3803&gt;S13),AR3803,"")</f>
        <v>#VALUE!</v>
      </c>
      <c r="AQ3803" s="1759">
        <f t="shared" si="118"/>
        <v>3800</v>
      </c>
      <c r="AR3803" s="1756" t="e">
        <f>0.5*(S18+2*AQ3803)*LN(1+2*AQ3803/S18)</f>
        <v>#VALUE!</v>
      </c>
    </row>
    <row r="3804" spans="42:44">
      <c r="AP3804" s="1756" t="e">
        <f>IF(OR(AR3804=S13,AR3804&gt;S13),AR3804,"")</f>
        <v>#VALUE!</v>
      </c>
      <c r="AQ3804" s="1759">
        <f t="shared" si="118"/>
        <v>3801</v>
      </c>
      <c r="AR3804" s="1756" t="e">
        <f>0.5*(S18+2*AQ3804)*LN(1+2*AQ3804/S18)</f>
        <v>#VALUE!</v>
      </c>
    </row>
    <row r="3805" spans="42:44">
      <c r="AP3805" s="1756" t="e">
        <f>IF(OR(AR3805=S13,AR3805&gt;S13),AR3805,"")</f>
        <v>#VALUE!</v>
      </c>
      <c r="AQ3805" s="1759">
        <f t="shared" si="118"/>
        <v>3802</v>
      </c>
      <c r="AR3805" s="1756" t="e">
        <f>0.5*(S18+2*AQ3805)*LN(1+2*AQ3805/S18)</f>
        <v>#VALUE!</v>
      </c>
    </row>
    <row r="3806" spans="42:44">
      <c r="AP3806" s="1756" t="e">
        <f>IF(OR(AR3806=S13,AR3806&gt;S13),AR3806,"")</f>
        <v>#VALUE!</v>
      </c>
      <c r="AQ3806" s="1759">
        <f t="shared" si="118"/>
        <v>3803</v>
      </c>
      <c r="AR3806" s="1756" t="e">
        <f>0.5*(S18+2*AQ3806)*LN(1+2*AQ3806/S18)</f>
        <v>#VALUE!</v>
      </c>
    </row>
    <row r="3807" spans="42:44">
      <c r="AP3807" s="1756" t="e">
        <f>IF(OR(AR3807=S13,AR3807&gt;S13),AR3807,"")</f>
        <v>#VALUE!</v>
      </c>
      <c r="AQ3807" s="1759">
        <f t="shared" si="118"/>
        <v>3804</v>
      </c>
      <c r="AR3807" s="1756" t="e">
        <f>0.5*(S18+2*AQ3807)*LN(1+2*AQ3807/S18)</f>
        <v>#VALUE!</v>
      </c>
    </row>
    <row r="3808" spans="42:44">
      <c r="AP3808" s="1756" t="e">
        <f>IF(OR(AR3808=S13,AR3808&gt;S13),AR3808,"")</f>
        <v>#VALUE!</v>
      </c>
      <c r="AQ3808" s="1759">
        <f t="shared" si="118"/>
        <v>3805</v>
      </c>
      <c r="AR3808" s="1756" t="e">
        <f>0.5*(S18+2*AQ3808)*LN(1+2*AQ3808/S18)</f>
        <v>#VALUE!</v>
      </c>
    </row>
    <row r="3809" spans="42:44">
      <c r="AP3809" s="1756" t="e">
        <f>IF(OR(AR3809=S13,AR3809&gt;S13),AR3809,"")</f>
        <v>#VALUE!</v>
      </c>
      <c r="AQ3809" s="1759">
        <f t="shared" si="118"/>
        <v>3806</v>
      </c>
      <c r="AR3809" s="1756" t="e">
        <f>0.5*(S18+2*AQ3809)*LN(1+2*AQ3809/S18)</f>
        <v>#VALUE!</v>
      </c>
    </row>
    <row r="3810" spans="42:44">
      <c r="AP3810" s="1756" t="e">
        <f>IF(OR(AR3810=S13,AR3810&gt;S13),AR3810,"")</f>
        <v>#VALUE!</v>
      </c>
      <c r="AQ3810" s="1759">
        <f t="shared" si="118"/>
        <v>3807</v>
      </c>
      <c r="AR3810" s="1756" t="e">
        <f>0.5*(S18+2*AQ3810)*LN(1+2*AQ3810/S18)</f>
        <v>#VALUE!</v>
      </c>
    </row>
    <row r="3811" spans="42:44">
      <c r="AP3811" s="1756" t="e">
        <f>IF(OR(AR3811=S13,AR3811&gt;S13),AR3811,"")</f>
        <v>#VALUE!</v>
      </c>
      <c r="AQ3811" s="1759">
        <f t="shared" si="118"/>
        <v>3808</v>
      </c>
      <c r="AR3811" s="1756" t="e">
        <f>0.5*(S18+2*AQ3811)*LN(1+2*AQ3811/S18)</f>
        <v>#VALUE!</v>
      </c>
    </row>
    <row r="3812" spans="42:44">
      <c r="AP3812" s="1756" t="e">
        <f>IF(OR(AR3812=S13,AR3812&gt;S13),AR3812,"")</f>
        <v>#VALUE!</v>
      </c>
      <c r="AQ3812" s="1759">
        <f t="shared" si="118"/>
        <v>3809</v>
      </c>
      <c r="AR3812" s="1756" t="e">
        <f>0.5*(S18+2*AQ3812)*LN(1+2*AQ3812/S18)</f>
        <v>#VALUE!</v>
      </c>
    </row>
    <row r="3813" spans="42:44">
      <c r="AP3813" s="1756" t="e">
        <f>IF(OR(AR3813=S13,AR3813&gt;S13),AR3813,"")</f>
        <v>#VALUE!</v>
      </c>
      <c r="AQ3813" s="1759">
        <f t="shared" si="118"/>
        <v>3810</v>
      </c>
      <c r="AR3813" s="1756" t="e">
        <f>0.5*(S18+2*AQ3813)*LN(1+2*AQ3813/S18)</f>
        <v>#VALUE!</v>
      </c>
    </row>
    <row r="3814" spans="42:44">
      <c r="AP3814" s="1756" t="e">
        <f>IF(OR(AR3814=S13,AR3814&gt;S13),AR3814,"")</f>
        <v>#VALUE!</v>
      </c>
      <c r="AQ3814" s="1759">
        <f t="shared" si="118"/>
        <v>3811</v>
      </c>
      <c r="AR3814" s="1756" t="e">
        <f>0.5*(S18+2*AQ3814)*LN(1+2*AQ3814/S18)</f>
        <v>#VALUE!</v>
      </c>
    </row>
    <row r="3815" spans="42:44">
      <c r="AP3815" s="1756" t="e">
        <f>IF(OR(AR3815=S13,AR3815&gt;S13),AR3815,"")</f>
        <v>#VALUE!</v>
      </c>
      <c r="AQ3815" s="1759">
        <f t="shared" si="118"/>
        <v>3812</v>
      </c>
      <c r="AR3815" s="1756" t="e">
        <f>0.5*(S18+2*AQ3815)*LN(1+2*AQ3815/S18)</f>
        <v>#VALUE!</v>
      </c>
    </row>
    <row r="3816" spans="42:44">
      <c r="AP3816" s="1756" t="e">
        <f>IF(OR(AR3816=S13,AR3816&gt;S13),AR3816,"")</f>
        <v>#VALUE!</v>
      </c>
      <c r="AQ3816" s="1759">
        <f t="shared" si="118"/>
        <v>3813</v>
      </c>
      <c r="AR3816" s="1756" t="e">
        <f>0.5*(S18+2*AQ3816)*LN(1+2*AQ3816/S18)</f>
        <v>#VALUE!</v>
      </c>
    </row>
    <row r="3817" spans="42:44">
      <c r="AP3817" s="1756" t="e">
        <f>IF(OR(AR3817=S13,AR3817&gt;S13),AR3817,"")</f>
        <v>#VALUE!</v>
      </c>
      <c r="AQ3817" s="1759">
        <f t="shared" si="118"/>
        <v>3814</v>
      </c>
      <c r="AR3817" s="1756" t="e">
        <f>0.5*(S18+2*AQ3817)*LN(1+2*AQ3817/S18)</f>
        <v>#VALUE!</v>
      </c>
    </row>
    <row r="3818" spans="42:44">
      <c r="AP3818" s="1756" t="e">
        <f>IF(OR(AR3818=S13,AR3818&gt;S13),AR3818,"")</f>
        <v>#VALUE!</v>
      </c>
      <c r="AQ3818" s="1759">
        <f t="shared" si="118"/>
        <v>3815</v>
      </c>
      <c r="AR3818" s="1756" t="e">
        <f>0.5*(S18+2*AQ3818)*LN(1+2*AQ3818/S18)</f>
        <v>#VALUE!</v>
      </c>
    </row>
    <row r="3819" spans="42:44">
      <c r="AP3819" s="1756" t="e">
        <f>IF(OR(AR3819=S13,AR3819&gt;S13),AR3819,"")</f>
        <v>#VALUE!</v>
      </c>
      <c r="AQ3819" s="1759">
        <f t="shared" si="118"/>
        <v>3816</v>
      </c>
      <c r="AR3819" s="1756" t="e">
        <f>0.5*(S18+2*AQ3819)*LN(1+2*AQ3819/S18)</f>
        <v>#VALUE!</v>
      </c>
    </row>
    <row r="3820" spans="42:44">
      <c r="AP3820" s="1756" t="e">
        <f>IF(OR(AR3820=S13,AR3820&gt;S13),AR3820,"")</f>
        <v>#VALUE!</v>
      </c>
      <c r="AQ3820" s="1759">
        <f t="shared" si="118"/>
        <v>3817</v>
      </c>
      <c r="AR3820" s="1756" t="e">
        <f>0.5*(S18+2*AQ3820)*LN(1+2*AQ3820/S18)</f>
        <v>#VALUE!</v>
      </c>
    </row>
    <row r="3821" spans="42:44">
      <c r="AP3821" s="1756" t="e">
        <f>IF(OR(AR3821=S13,AR3821&gt;S13),AR3821,"")</f>
        <v>#VALUE!</v>
      </c>
      <c r="AQ3821" s="1759">
        <f t="shared" si="118"/>
        <v>3818</v>
      </c>
      <c r="AR3821" s="1756" t="e">
        <f>0.5*(S18+2*AQ3821)*LN(1+2*AQ3821/S18)</f>
        <v>#VALUE!</v>
      </c>
    </row>
    <row r="3822" spans="42:44">
      <c r="AP3822" s="1756" t="e">
        <f>IF(OR(AR3822=S13,AR3822&gt;S13),AR3822,"")</f>
        <v>#VALUE!</v>
      </c>
      <c r="AQ3822" s="1759">
        <f t="shared" si="118"/>
        <v>3819</v>
      </c>
      <c r="AR3822" s="1756" t="e">
        <f>0.5*(S18+2*AQ3822)*LN(1+2*AQ3822/S18)</f>
        <v>#VALUE!</v>
      </c>
    </row>
    <row r="3823" spans="42:44">
      <c r="AP3823" s="1756" t="e">
        <f>IF(OR(AR3823=S13,AR3823&gt;S13),AR3823,"")</f>
        <v>#VALUE!</v>
      </c>
      <c r="AQ3823" s="1759">
        <f t="shared" si="118"/>
        <v>3820</v>
      </c>
      <c r="AR3823" s="1756" t="e">
        <f>0.5*(S18+2*AQ3823)*LN(1+2*AQ3823/S18)</f>
        <v>#VALUE!</v>
      </c>
    </row>
    <row r="3824" spans="42:44">
      <c r="AP3824" s="1756" t="e">
        <f>IF(OR(AR3824=S13,AR3824&gt;S13),AR3824,"")</f>
        <v>#VALUE!</v>
      </c>
      <c r="AQ3824" s="1759">
        <f t="shared" si="118"/>
        <v>3821</v>
      </c>
      <c r="AR3824" s="1756" t="e">
        <f>0.5*(S18+2*AQ3824)*LN(1+2*AQ3824/S18)</f>
        <v>#VALUE!</v>
      </c>
    </row>
    <row r="3825" spans="42:44">
      <c r="AP3825" s="1756" t="e">
        <f>IF(OR(AR3825=S13,AR3825&gt;S13),AR3825,"")</f>
        <v>#VALUE!</v>
      </c>
      <c r="AQ3825" s="1759">
        <f t="shared" si="118"/>
        <v>3822</v>
      </c>
      <c r="AR3825" s="1756" t="e">
        <f>0.5*(S18+2*AQ3825)*LN(1+2*AQ3825/S18)</f>
        <v>#VALUE!</v>
      </c>
    </row>
    <row r="3826" spans="42:44">
      <c r="AP3826" s="1756" t="e">
        <f>IF(OR(AR3826=S13,AR3826&gt;S13),AR3826,"")</f>
        <v>#VALUE!</v>
      </c>
      <c r="AQ3826" s="1759">
        <f t="shared" si="118"/>
        <v>3823</v>
      </c>
      <c r="AR3826" s="1756" t="e">
        <f>0.5*(S18+2*AQ3826)*LN(1+2*AQ3826/S18)</f>
        <v>#VALUE!</v>
      </c>
    </row>
    <row r="3827" spans="42:44">
      <c r="AP3827" s="1756" t="e">
        <f>IF(OR(AR3827=S13,AR3827&gt;S13),AR3827,"")</f>
        <v>#VALUE!</v>
      </c>
      <c r="AQ3827" s="1759">
        <f t="shared" si="118"/>
        <v>3824</v>
      </c>
      <c r="AR3827" s="1756" t="e">
        <f>0.5*(S18+2*AQ3827)*LN(1+2*AQ3827/S18)</f>
        <v>#VALUE!</v>
      </c>
    </row>
    <row r="3828" spans="42:44">
      <c r="AP3828" s="1756" t="e">
        <f>IF(OR(AR3828=S13,AR3828&gt;S13),AR3828,"")</f>
        <v>#VALUE!</v>
      </c>
      <c r="AQ3828" s="1759">
        <f t="shared" si="118"/>
        <v>3825</v>
      </c>
      <c r="AR3828" s="1756" t="e">
        <f>0.5*(S18+2*AQ3828)*LN(1+2*AQ3828/S18)</f>
        <v>#VALUE!</v>
      </c>
    </row>
    <row r="3829" spans="42:44">
      <c r="AP3829" s="1756" t="e">
        <f>IF(OR(AR3829=S13,AR3829&gt;S13),AR3829,"")</f>
        <v>#VALUE!</v>
      </c>
      <c r="AQ3829" s="1759">
        <f t="shared" si="118"/>
        <v>3826</v>
      </c>
      <c r="AR3829" s="1756" t="e">
        <f>0.5*(S18+2*AQ3829)*LN(1+2*AQ3829/S18)</f>
        <v>#VALUE!</v>
      </c>
    </row>
    <row r="3830" spans="42:44">
      <c r="AP3830" s="1756" t="e">
        <f>IF(OR(AR3830=S13,AR3830&gt;S13),AR3830,"")</f>
        <v>#VALUE!</v>
      </c>
      <c r="AQ3830" s="1759">
        <f t="shared" si="118"/>
        <v>3827</v>
      </c>
      <c r="AR3830" s="1756" t="e">
        <f>0.5*(S18+2*AQ3830)*LN(1+2*AQ3830/S18)</f>
        <v>#VALUE!</v>
      </c>
    </row>
    <row r="3831" spans="42:44">
      <c r="AP3831" s="1756" t="e">
        <f>IF(OR(AR3831=S13,AR3831&gt;S13),AR3831,"")</f>
        <v>#VALUE!</v>
      </c>
      <c r="AQ3831" s="1759">
        <f t="shared" si="118"/>
        <v>3828</v>
      </c>
      <c r="AR3831" s="1756" t="e">
        <f>0.5*(S18+2*AQ3831)*LN(1+2*AQ3831/S18)</f>
        <v>#VALUE!</v>
      </c>
    </row>
    <row r="3832" spans="42:44">
      <c r="AP3832" s="1756" t="e">
        <f>IF(OR(AR3832=S13,AR3832&gt;S13),AR3832,"")</f>
        <v>#VALUE!</v>
      </c>
      <c r="AQ3832" s="1759">
        <f t="shared" si="118"/>
        <v>3829</v>
      </c>
      <c r="AR3832" s="1756" t="e">
        <f>0.5*(S18+2*AQ3832)*LN(1+2*AQ3832/S18)</f>
        <v>#VALUE!</v>
      </c>
    </row>
    <row r="3833" spans="42:44">
      <c r="AP3833" s="1756" t="e">
        <f>IF(OR(AR3833=S13,AR3833&gt;S13),AR3833,"")</f>
        <v>#VALUE!</v>
      </c>
      <c r="AQ3833" s="1759">
        <f t="shared" si="118"/>
        <v>3830</v>
      </c>
      <c r="AR3833" s="1756" t="e">
        <f>0.5*(S18+2*AQ3833)*LN(1+2*AQ3833/S18)</f>
        <v>#VALUE!</v>
      </c>
    </row>
    <row r="3834" spans="42:44">
      <c r="AP3834" s="1756" t="e">
        <f>IF(OR(AR3834=S13,AR3834&gt;S13),AR3834,"")</f>
        <v>#VALUE!</v>
      </c>
      <c r="AQ3834" s="1759">
        <f t="shared" si="118"/>
        <v>3831</v>
      </c>
      <c r="AR3834" s="1756" t="e">
        <f>0.5*(S18+2*AQ3834)*LN(1+2*AQ3834/S18)</f>
        <v>#VALUE!</v>
      </c>
    </row>
    <row r="3835" spans="42:44">
      <c r="AP3835" s="1756" t="e">
        <f>IF(OR(AR3835=S13,AR3835&gt;S13),AR3835,"")</f>
        <v>#VALUE!</v>
      </c>
      <c r="AQ3835" s="1759">
        <f t="shared" si="118"/>
        <v>3832</v>
      </c>
      <c r="AR3835" s="1756" t="e">
        <f>0.5*(S18+2*AQ3835)*LN(1+2*AQ3835/S18)</f>
        <v>#VALUE!</v>
      </c>
    </row>
    <row r="3836" spans="42:44">
      <c r="AP3836" s="1756" t="e">
        <f>IF(OR(AR3836=S13,AR3836&gt;S13),AR3836,"")</f>
        <v>#VALUE!</v>
      </c>
      <c r="AQ3836" s="1759">
        <f t="shared" si="118"/>
        <v>3833</v>
      </c>
      <c r="AR3836" s="1756" t="e">
        <f>0.5*(S18+2*AQ3836)*LN(1+2*AQ3836/S18)</f>
        <v>#VALUE!</v>
      </c>
    </row>
    <row r="3837" spans="42:44">
      <c r="AP3837" s="1756" t="e">
        <f>IF(OR(AR3837=S13,AR3837&gt;S13),AR3837,"")</f>
        <v>#VALUE!</v>
      </c>
      <c r="AQ3837" s="1759">
        <f t="shared" si="118"/>
        <v>3834</v>
      </c>
      <c r="AR3837" s="1756" t="e">
        <f>0.5*(S18+2*AQ3837)*LN(1+2*AQ3837/S18)</f>
        <v>#VALUE!</v>
      </c>
    </row>
    <row r="3838" spans="42:44">
      <c r="AP3838" s="1756" t="e">
        <f>IF(OR(AR3838=S13,AR3838&gt;S13),AR3838,"")</f>
        <v>#VALUE!</v>
      </c>
      <c r="AQ3838" s="1759">
        <f t="shared" si="118"/>
        <v>3835</v>
      </c>
      <c r="AR3838" s="1756" t="e">
        <f>0.5*(S18+2*AQ3838)*LN(1+2*AQ3838/S18)</f>
        <v>#VALUE!</v>
      </c>
    </row>
    <row r="3839" spans="42:44">
      <c r="AP3839" s="1756" t="e">
        <f>IF(OR(AR3839=S13,AR3839&gt;S13),AR3839,"")</f>
        <v>#VALUE!</v>
      </c>
      <c r="AQ3839" s="1759">
        <f t="shared" si="118"/>
        <v>3836</v>
      </c>
      <c r="AR3839" s="1756" t="e">
        <f>0.5*(S18+2*AQ3839)*LN(1+2*AQ3839/S18)</f>
        <v>#VALUE!</v>
      </c>
    </row>
    <row r="3840" spans="42:44">
      <c r="AP3840" s="1756" t="e">
        <f>IF(OR(AR3840=S13,AR3840&gt;S13),AR3840,"")</f>
        <v>#VALUE!</v>
      </c>
      <c r="AQ3840" s="1759">
        <f t="shared" si="118"/>
        <v>3837</v>
      </c>
      <c r="AR3840" s="1756" t="e">
        <f>0.5*(S18+2*AQ3840)*LN(1+2*AQ3840/S18)</f>
        <v>#VALUE!</v>
      </c>
    </row>
    <row r="3841" spans="42:44">
      <c r="AP3841" s="1756" t="e">
        <f>IF(OR(AR3841=S13,AR3841&gt;S13),AR3841,"")</f>
        <v>#VALUE!</v>
      </c>
      <c r="AQ3841" s="1759">
        <f t="shared" si="118"/>
        <v>3838</v>
      </c>
      <c r="AR3841" s="1756" t="e">
        <f>0.5*(S18+2*AQ3841)*LN(1+2*AQ3841/S18)</f>
        <v>#VALUE!</v>
      </c>
    </row>
    <row r="3842" spans="42:44">
      <c r="AP3842" s="1756" t="e">
        <f>IF(OR(AR3842=S13,AR3842&gt;S13),AR3842,"")</f>
        <v>#VALUE!</v>
      </c>
      <c r="AQ3842" s="1759">
        <f t="shared" si="118"/>
        <v>3839</v>
      </c>
      <c r="AR3842" s="1756" t="e">
        <f>0.5*(S18+2*AQ3842)*LN(1+2*AQ3842/S18)</f>
        <v>#VALUE!</v>
      </c>
    </row>
    <row r="3843" spans="42:44">
      <c r="AP3843" s="1756" t="e">
        <f>IF(OR(AR3843=S13,AR3843&gt;S13),AR3843,"")</f>
        <v>#VALUE!</v>
      </c>
      <c r="AQ3843" s="1759">
        <f t="shared" si="118"/>
        <v>3840</v>
      </c>
      <c r="AR3843" s="1756" t="e">
        <f>0.5*(S18+2*AQ3843)*LN(1+2*AQ3843/S18)</f>
        <v>#VALUE!</v>
      </c>
    </row>
    <row r="3844" spans="42:44">
      <c r="AP3844" s="1756" t="e">
        <f>IF(OR(AR3844=S13,AR3844&gt;S13),AR3844,"")</f>
        <v>#VALUE!</v>
      </c>
      <c r="AQ3844" s="1759">
        <f t="shared" si="118"/>
        <v>3841</v>
      </c>
      <c r="AR3844" s="1756" t="e">
        <f>0.5*(S18+2*AQ3844)*LN(1+2*AQ3844/S18)</f>
        <v>#VALUE!</v>
      </c>
    </row>
    <row r="3845" spans="42:44">
      <c r="AP3845" s="1756" t="e">
        <f>IF(OR(AR3845=S13,AR3845&gt;S13),AR3845,"")</f>
        <v>#VALUE!</v>
      </c>
      <c r="AQ3845" s="1759">
        <f t="shared" si="118"/>
        <v>3842</v>
      </c>
      <c r="AR3845" s="1756" t="e">
        <f>0.5*(S18+2*AQ3845)*LN(1+2*AQ3845/S18)</f>
        <v>#VALUE!</v>
      </c>
    </row>
    <row r="3846" spans="42:44">
      <c r="AP3846" s="1756" t="e">
        <f>IF(OR(AR3846=S13,AR3846&gt;S13),AR3846,"")</f>
        <v>#VALUE!</v>
      </c>
      <c r="AQ3846" s="1759">
        <f t="shared" ref="AQ3846:AQ3909" si="119">AQ3845+1</f>
        <v>3843</v>
      </c>
      <c r="AR3846" s="1756" t="e">
        <f>0.5*(S18+2*AQ3846)*LN(1+2*AQ3846/S18)</f>
        <v>#VALUE!</v>
      </c>
    </row>
    <row r="3847" spans="42:44">
      <c r="AP3847" s="1756" t="e">
        <f>IF(OR(AR3847=S13,AR3847&gt;S13),AR3847,"")</f>
        <v>#VALUE!</v>
      </c>
      <c r="AQ3847" s="1759">
        <f t="shared" si="119"/>
        <v>3844</v>
      </c>
      <c r="AR3847" s="1756" t="e">
        <f>0.5*(S18+2*AQ3847)*LN(1+2*AQ3847/S18)</f>
        <v>#VALUE!</v>
      </c>
    </row>
    <row r="3848" spans="42:44">
      <c r="AP3848" s="1756" t="e">
        <f>IF(OR(AR3848=S13,AR3848&gt;S13),AR3848,"")</f>
        <v>#VALUE!</v>
      </c>
      <c r="AQ3848" s="1759">
        <f t="shared" si="119"/>
        <v>3845</v>
      </c>
      <c r="AR3848" s="1756" t="e">
        <f>0.5*(S18+2*AQ3848)*LN(1+2*AQ3848/S18)</f>
        <v>#VALUE!</v>
      </c>
    </row>
    <row r="3849" spans="42:44">
      <c r="AP3849" s="1756" t="e">
        <f>IF(OR(AR3849=S13,AR3849&gt;S13),AR3849,"")</f>
        <v>#VALUE!</v>
      </c>
      <c r="AQ3849" s="1759">
        <f t="shared" si="119"/>
        <v>3846</v>
      </c>
      <c r="AR3849" s="1756" t="e">
        <f>0.5*(S18+2*AQ3849)*LN(1+2*AQ3849/S18)</f>
        <v>#VALUE!</v>
      </c>
    </row>
    <row r="3850" spans="42:44">
      <c r="AP3850" s="1756" t="e">
        <f>IF(OR(AR3850=S13,AR3850&gt;S13),AR3850,"")</f>
        <v>#VALUE!</v>
      </c>
      <c r="AQ3850" s="1759">
        <f t="shared" si="119"/>
        <v>3847</v>
      </c>
      <c r="AR3850" s="1756" t="e">
        <f>0.5*(S18+2*AQ3850)*LN(1+2*AQ3850/S18)</f>
        <v>#VALUE!</v>
      </c>
    </row>
    <row r="3851" spans="42:44">
      <c r="AP3851" s="1756" t="e">
        <f>IF(OR(AR3851=S13,AR3851&gt;S13),AR3851,"")</f>
        <v>#VALUE!</v>
      </c>
      <c r="AQ3851" s="1759">
        <f t="shared" si="119"/>
        <v>3848</v>
      </c>
      <c r="AR3851" s="1756" t="e">
        <f>0.5*(S18+2*AQ3851)*LN(1+2*AQ3851/S18)</f>
        <v>#VALUE!</v>
      </c>
    </row>
    <row r="3852" spans="42:44">
      <c r="AP3852" s="1756" t="e">
        <f>IF(OR(AR3852=S13,AR3852&gt;S13),AR3852,"")</f>
        <v>#VALUE!</v>
      </c>
      <c r="AQ3852" s="1759">
        <f t="shared" si="119"/>
        <v>3849</v>
      </c>
      <c r="AR3852" s="1756" t="e">
        <f>0.5*(S18+2*AQ3852)*LN(1+2*AQ3852/S18)</f>
        <v>#VALUE!</v>
      </c>
    </row>
    <row r="3853" spans="42:44">
      <c r="AP3853" s="1756" t="e">
        <f>IF(OR(AR3853=S13,AR3853&gt;S13),AR3853,"")</f>
        <v>#VALUE!</v>
      </c>
      <c r="AQ3853" s="1759">
        <f t="shared" si="119"/>
        <v>3850</v>
      </c>
      <c r="AR3853" s="1756" t="e">
        <f>0.5*(S18+2*AQ3853)*LN(1+2*AQ3853/S18)</f>
        <v>#VALUE!</v>
      </c>
    </row>
    <row r="3854" spans="42:44">
      <c r="AP3854" s="1756" t="e">
        <f>IF(OR(AR3854=S13,AR3854&gt;S13),AR3854,"")</f>
        <v>#VALUE!</v>
      </c>
      <c r="AQ3854" s="1759">
        <f t="shared" si="119"/>
        <v>3851</v>
      </c>
      <c r="AR3854" s="1756" t="e">
        <f>0.5*(S18+2*AQ3854)*LN(1+2*AQ3854/S18)</f>
        <v>#VALUE!</v>
      </c>
    </row>
    <row r="3855" spans="42:44">
      <c r="AP3855" s="1756" t="e">
        <f>IF(OR(AR3855=S13,AR3855&gt;S13),AR3855,"")</f>
        <v>#VALUE!</v>
      </c>
      <c r="AQ3855" s="1759">
        <f t="shared" si="119"/>
        <v>3852</v>
      </c>
      <c r="AR3855" s="1756" t="e">
        <f>0.5*(S18+2*AQ3855)*LN(1+2*AQ3855/S18)</f>
        <v>#VALUE!</v>
      </c>
    </row>
    <row r="3856" spans="42:44">
      <c r="AP3856" s="1756" t="e">
        <f>IF(OR(AR3856=S13,AR3856&gt;S13),AR3856,"")</f>
        <v>#VALUE!</v>
      </c>
      <c r="AQ3856" s="1759">
        <f t="shared" si="119"/>
        <v>3853</v>
      </c>
      <c r="AR3856" s="1756" t="e">
        <f>0.5*(S18+2*AQ3856)*LN(1+2*AQ3856/S18)</f>
        <v>#VALUE!</v>
      </c>
    </row>
    <row r="3857" spans="42:44">
      <c r="AP3857" s="1756" t="e">
        <f>IF(OR(AR3857=S13,AR3857&gt;S13),AR3857,"")</f>
        <v>#VALUE!</v>
      </c>
      <c r="AQ3857" s="1759">
        <f t="shared" si="119"/>
        <v>3854</v>
      </c>
      <c r="AR3857" s="1756" t="e">
        <f>0.5*(S18+2*AQ3857)*LN(1+2*AQ3857/S18)</f>
        <v>#VALUE!</v>
      </c>
    </row>
    <row r="3858" spans="42:44">
      <c r="AP3858" s="1756" t="e">
        <f>IF(OR(AR3858=S13,AR3858&gt;S13),AR3858,"")</f>
        <v>#VALUE!</v>
      </c>
      <c r="AQ3858" s="1759">
        <f t="shared" si="119"/>
        <v>3855</v>
      </c>
      <c r="AR3858" s="1756" t="e">
        <f>0.5*(S18+2*AQ3858)*LN(1+2*AQ3858/S18)</f>
        <v>#VALUE!</v>
      </c>
    </row>
    <row r="3859" spans="42:44">
      <c r="AP3859" s="1756" t="e">
        <f>IF(OR(AR3859=S13,AR3859&gt;S13),AR3859,"")</f>
        <v>#VALUE!</v>
      </c>
      <c r="AQ3859" s="1759">
        <f t="shared" si="119"/>
        <v>3856</v>
      </c>
      <c r="AR3859" s="1756" t="e">
        <f>0.5*(S18+2*AQ3859)*LN(1+2*AQ3859/S18)</f>
        <v>#VALUE!</v>
      </c>
    </row>
    <row r="3860" spans="42:44">
      <c r="AP3860" s="1756" t="e">
        <f>IF(OR(AR3860=S13,AR3860&gt;S13),AR3860,"")</f>
        <v>#VALUE!</v>
      </c>
      <c r="AQ3860" s="1759">
        <f t="shared" si="119"/>
        <v>3857</v>
      </c>
      <c r="AR3860" s="1756" t="e">
        <f>0.5*(S18+2*AQ3860)*LN(1+2*AQ3860/S18)</f>
        <v>#VALUE!</v>
      </c>
    </row>
    <row r="3861" spans="42:44">
      <c r="AP3861" s="1756" t="e">
        <f>IF(OR(AR3861=S13,AR3861&gt;S13),AR3861,"")</f>
        <v>#VALUE!</v>
      </c>
      <c r="AQ3861" s="1759">
        <f t="shared" si="119"/>
        <v>3858</v>
      </c>
      <c r="AR3861" s="1756" t="e">
        <f>0.5*(S18+2*AQ3861)*LN(1+2*AQ3861/S18)</f>
        <v>#VALUE!</v>
      </c>
    </row>
    <row r="3862" spans="42:44">
      <c r="AP3862" s="1756" t="e">
        <f>IF(OR(AR3862=S13,AR3862&gt;S13),AR3862,"")</f>
        <v>#VALUE!</v>
      </c>
      <c r="AQ3862" s="1759">
        <f t="shared" si="119"/>
        <v>3859</v>
      </c>
      <c r="AR3862" s="1756" t="e">
        <f>0.5*(S18+2*AQ3862)*LN(1+2*AQ3862/S18)</f>
        <v>#VALUE!</v>
      </c>
    </row>
    <row r="3863" spans="42:44">
      <c r="AP3863" s="1756" t="e">
        <f>IF(OR(AR3863=S13,AR3863&gt;S13),AR3863,"")</f>
        <v>#VALUE!</v>
      </c>
      <c r="AQ3863" s="1759">
        <f t="shared" si="119"/>
        <v>3860</v>
      </c>
      <c r="AR3863" s="1756" t="e">
        <f>0.5*(S18+2*AQ3863)*LN(1+2*AQ3863/S18)</f>
        <v>#VALUE!</v>
      </c>
    </row>
    <row r="3864" spans="42:44">
      <c r="AP3864" s="1756" t="e">
        <f>IF(OR(AR3864=S13,AR3864&gt;S13),AR3864,"")</f>
        <v>#VALUE!</v>
      </c>
      <c r="AQ3864" s="1759">
        <f t="shared" si="119"/>
        <v>3861</v>
      </c>
      <c r="AR3864" s="1756" t="e">
        <f>0.5*(S18+2*AQ3864)*LN(1+2*AQ3864/S18)</f>
        <v>#VALUE!</v>
      </c>
    </row>
    <row r="3865" spans="42:44">
      <c r="AP3865" s="1756" t="e">
        <f>IF(OR(AR3865=S13,AR3865&gt;S13),AR3865,"")</f>
        <v>#VALUE!</v>
      </c>
      <c r="AQ3865" s="1759">
        <f t="shared" si="119"/>
        <v>3862</v>
      </c>
      <c r="AR3865" s="1756" t="e">
        <f>0.5*(S18+2*AQ3865)*LN(1+2*AQ3865/S18)</f>
        <v>#VALUE!</v>
      </c>
    </row>
    <row r="3866" spans="42:44">
      <c r="AP3866" s="1756" t="e">
        <f>IF(OR(AR3866=S13,AR3866&gt;S13),AR3866,"")</f>
        <v>#VALUE!</v>
      </c>
      <c r="AQ3866" s="1759">
        <f t="shared" si="119"/>
        <v>3863</v>
      </c>
      <c r="AR3866" s="1756" t="e">
        <f>0.5*(S18+2*AQ3866)*LN(1+2*AQ3866/S18)</f>
        <v>#VALUE!</v>
      </c>
    </row>
    <row r="3867" spans="42:44">
      <c r="AP3867" s="1756" t="e">
        <f>IF(OR(AR3867=S13,AR3867&gt;S13),AR3867,"")</f>
        <v>#VALUE!</v>
      </c>
      <c r="AQ3867" s="1759">
        <f t="shared" si="119"/>
        <v>3864</v>
      </c>
      <c r="AR3867" s="1756" t="e">
        <f>0.5*(S18+2*AQ3867)*LN(1+2*AQ3867/S18)</f>
        <v>#VALUE!</v>
      </c>
    </row>
    <row r="3868" spans="42:44">
      <c r="AP3868" s="1756" t="e">
        <f>IF(OR(AR3868=S13,AR3868&gt;S13),AR3868,"")</f>
        <v>#VALUE!</v>
      </c>
      <c r="AQ3868" s="1759">
        <f t="shared" si="119"/>
        <v>3865</v>
      </c>
      <c r="AR3868" s="1756" t="e">
        <f>0.5*(S18+2*AQ3868)*LN(1+2*AQ3868/S18)</f>
        <v>#VALUE!</v>
      </c>
    </row>
    <row r="3869" spans="42:44">
      <c r="AP3869" s="1756" t="e">
        <f>IF(OR(AR3869=S13,AR3869&gt;S13),AR3869,"")</f>
        <v>#VALUE!</v>
      </c>
      <c r="AQ3869" s="1759">
        <f t="shared" si="119"/>
        <v>3866</v>
      </c>
      <c r="AR3869" s="1756" t="e">
        <f>0.5*(S18+2*AQ3869)*LN(1+2*AQ3869/S18)</f>
        <v>#VALUE!</v>
      </c>
    </row>
    <row r="3870" spans="42:44">
      <c r="AP3870" s="1756" t="e">
        <f>IF(OR(AR3870=S13,AR3870&gt;S13),AR3870,"")</f>
        <v>#VALUE!</v>
      </c>
      <c r="AQ3870" s="1759">
        <f t="shared" si="119"/>
        <v>3867</v>
      </c>
      <c r="AR3870" s="1756" t="e">
        <f>0.5*(S18+2*AQ3870)*LN(1+2*AQ3870/S18)</f>
        <v>#VALUE!</v>
      </c>
    </row>
    <row r="3871" spans="42:44">
      <c r="AP3871" s="1756" t="e">
        <f>IF(OR(AR3871=S13,AR3871&gt;S13),AR3871,"")</f>
        <v>#VALUE!</v>
      </c>
      <c r="AQ3871" s="1759">
        <f t="shared" si="119"/>
        <v>3868</v>
      </c>
      <c r="AR3871" s="1756" t="e">
        <f>0.5*(S18+2*AQ3871)*LN(1+2*AQ3871/S18)</f>
        <v>#VALUE!</v>
      </c>
    </row>
    <row r="3872" spans="42:44">
      <c r="AP3872" s="1756" t="e">
        <f>IF(OR(AR3872=S13,AR3872&gt;S13),AR3872,"")</f>
        <v>#VALUE!</v>
      </c>
      <c r="AQ3872" s="1759">
        <f t="shared" si="119"/>
        <v>3869</v>
      </c>
      <c r="AR3872" s="1756" t="e">
        <f>0.5*(S18+2*AQ3872)*LN(1+2*AQ3872/S18)</f>
        <v>#VALUE!</v>
      </c>
    </row>
    <row r="3873" spans="42:44">
      <c r="AP3873" s="1756" t="e">
        <f>IF(OR(AR3873=S13,AR3873&gt;S13),AR3873,"")</f>
        <v>#VALUE!</v>
      </c>
      <c r="AQ3873" s="1759">
        <f t="shared" si="119"/>
        <v>3870</v>
      </c>
      <c r="AR3873" s="1756" t="e">
        <f>0.5*(S18+2*AQ3873)*LN(1+2*AQ3873/S18)</f>
        <v>#VALUE!</v>
      </c>
    </row>
    <row r="3874" spans="42:44">
      <c r="AP3874" s="1756" t="e">
        <f>IF(OR(AR3874=S13,AR3874&gt;S13),AR3874,"")</f>
        <v>#VALUE!</v>
      </c>
      <c r="AQ3874" s="1759">
        <f t="shared" si="119"/>
        <v>3871</v>
      </c>
      <c r="AR3874" s="1756" t="e">
        <f>0.5*(S18+2*AQ3874)*LN(1+2*AQ3874/S18)</f>
        <v>#VALUE!</v>
      </c>
    </row>
    <row r="3875" spans="42:44">
      <c r="AP3875" s="1756" t="e">
        <f>IF(OR(AR3875=S13,AR3875&gt;S13),AR3875,"")</f>
        <v>#VALUE!</v>
      </c>
      <c r="AQ3875" s="1759">
        <f t="shared" si="119"/>
        <v>3872</v>
      </c>
      <c r="AR3875" s="1756" t="e">
        <f>0.5*(S18+2*AQ3875)*LN(1+2*AQ3875/S18)</f>
        <v>#VALUE!</v>
      </c>
    </row>
    <row r="3876" spans="42:44">
      <c r="AP3876" s="1756" t="e">
        <f>IF(OR(AR3876=S13,AR3876&gt;S13),AR3876,"")</f>
        <v>#VALUE!</v>
      </c>
      <c r="AQ3876" s="1759">
        <f t="shared" si="119"/>
        <v>3873</v>
      </c>
      <c r="AR3876" s="1756" t="e">
        <f>0.5*(S18+2*AQ3876)*LN(1+2*AQ3876/S18)</f>
        <v>#VALUE!</v>
      </c>
    </row>
    <row r="3877" spans="42:44">
      <c r="AP3877" s="1756" t="e">
        <f>IF(OR(AR3877=S13,AR3877&gt;S13),AR3877,"")</f>
        <v>#VALUE!</v>
      </c>
      <c r="AQ3877" s="1759">
        <f t="shared" si="119"/>
        <v>3874</v>
      </c>
      <c r="AR3877" s="1756" t="e">
        <f>0.5*(S18+2*AQ3877)*LN(1+2*AQ3877/S18)</f>
        <v>#VALUE!</v>
      </c>
    </row>
    <row r="3878" spans="42:44">
      <c r="AP3878" s="1756" t="e">
        <f>IF(OR(AR3878=S13,AR3878&gt;S13),AR3878,"")</f>
        <v>#VALUE!</v>
      </c>
      <c r="AQ3878" s="1759">
        <f t="shared" si="119"/>
        <v>3875</v>
      </c>
      <c r="AR3878" s="1756" t="e">
        <f>0.5*(S18+2*AQ3878)*LN(1+2*AQ3878/S18)</f>
        <v>#VALUE!</v>
      </c>
    </row>
    <row r="3879" spans="42:44">
      <c r="AP3879" s="1756" t="e">
        <f>IF(OR(AR3879=S13,AR3879&gt;S13),AR3879,"")</f>
        <v>#VALUE!</v>
      </c>
      <c r="AQ3879" s="1759">
        <f t="shared" si="119"/>
        <v>3876</v>
      </c>
      <c r="AR3879" s="1756" t="e">
        <f>0.5*(S18+2*AQ3879)*LN(1+2*AQ3879/S18)</f>
        <v>#VALUE!</v>
      </c>
    </row>
    <row r="3880" spans="42:44">
      <c r="AP3880" s="1756" t="e">
        <f>IF(OR(AR3880=S13,AR3880&gt;S13),AR3880,"")</f>
        <v>#VALUE!</v>
      </c>
      <c r="AQ3880" s="1759">
        <f t="shared" si="119"/>
        <v>3877</v>
      </c>
      <c r="AR3880" s="1756" t="e">
        <f>0.5*(S18+2*AQ3880)*LN(1+2*AQ3880/S18)</f>
        <v>#VALUE!</v>
      </c>
    </row>
    <row r="3881" spans="42:44">
      <c r="AP3881" s="1756" t="e">
        <f>IF(OR(AR3881=S13,AR3881&gt;S13),AR3881,"")</f>
        <v>#VALUE!</v>
      </c>
      <c r="AQ3881" s="1759">
        <f t="shared" si="119"/>
        <v>3878</v>
      </c>
      <c r="AR3881" s="1756" t="e">
        <f>0.5*(S18+2*AQ3881)*LN(1+2*AQ3881/S18)</f>
        <v>#VALUE!</v>
      </c>
    </row>
    <row r="3882" spans="42:44">
      <c r="AP3882" s="1756" t="e">
        <f>IF(OR(AR3882=S13,AR3882&gt;S13),AR3882,"")</f>
        <v>#VALUE!</v>
      </c>
      <c r="AQ3882" s="1759">
        <f t="shared" si="119"/>
        <v>3879</v>
      </c>
      <c r="AR3882" s="1756" t="e">
        <f>0.5*(S18+2*AQ3882)*LN(1+2*AQ3882/S18)</f>
        <v>#VALUE!</v>
      </c>
    </row>
    <row r="3883" spans="42:44">
      <c r="AP3883" s="1756" t="e">
        <f>IF(OR(AR3883=S13,AR3883&gt;S13),AR3883,"")</f>
        <v>#VALUE!</v>
      </c>
      <c r="AQ3883" s="1759">
        <f t="shared" si="119"/>
        <v>3880</v>
      </c>
      <c r="AR3883" s="1756" t="e">
        <f>0.5*(S18+2*AQ3883)*LN(1+2*AQ3883/S18)</f>
        <v>#VALUE!</v>
      </c>
    </row>
    <row r="3884" spans="42:44">
      <c r="AP3884" s="1756" t="e">
        <f>IF(OR(AR3884=S13,AR3884&gt;S13),AR3884,"")</f>
        <v>#VALUE!</v>
      </c>
      <c r="AQ3884" s="1759">
        <f t="shared" si="119"/>
        <v>3881</v>
      </c>
      <c r="AR3884" s="1756" t="e">
        <f>0.5*(S18+2*AQ3884)*LN(1+2*AQ3884/S18)</f>
        <v>#VALUE!</v>
      </c>
    </row>
    <row r="3885" spans="42:44">
      <c r="AP3885" s="1756" t="e">
        <f>IF(OR(AR3885=S13,AR3885&gt;S13),AR3885,"")</f>
        <v>#VALUE!</v>
      </c>
      <c r="AQ3885" s="1759">
        <f t="shared" si="119"/>
        <v>3882</v>
      </c>
      <c r="AR3885" s="1756" t="e">
        <f>0.5*(S18+2*AQ3885)*LN(1+2*AQ3885/S18)</f>
        <v>#VALUE!</v>
      </c>
    </row>
    <row r="3886" spans="42:44">
      <c r="AP3886" s="1756" t="e">
        <f>IF(OR(AR3886=S13,AR3886&gt;S13),AR3886,"")</f>
        <v>#VALUE!</v>
      </c>
      <c r="AQ3886" s="1759">
        <f t="shared" si="119"/>
        <v>3883</v>
      </c>
      <c r="AR3886" s="1756" t="e">
        <f>0.5*(S18+2*AQ3886)*LN(1+2*AQ3886/S18)</f>
        <v>#VALUE!</v>
      </c>
    </row>
    <row r="3887" spans="42:44">
      <c r="AP3887" s="1756" t="e">
        <f>IF(OR(AR3887=S13,AR3887&gt;S13),AR3887,"")</f>
        <v>#VALUE!</v>
      </c>
      <c r="AQ3887" s="1759">
        <f t="shared" si="119"/>
        <v>3884</v>
      </c>
      <c r="AR3887" s="1756" t="e">
        <f>0.5*(S18+2*AQ3887)*LN(1+2*AQ3887/S18)</f>
        <v>#VALUE!</v>
      </c>
    </row>
    <row r="3888" spans="42:44">
      <c r="AP3888" s="1756" t="e">
        <f>IF(OR(AR3888=S13,AR3888&gt;S13),AR3888,"")</f>
        <v>#VALUE!</v>
      </c>
      <c r="AQ3888" s="1759">
        <f t="shared" si="119"/>
        <v>3885</v>
      </c>
      <c r="AR3888" s="1756" t="e">
        <f>0.5*(S18+2*AQ3888)*LN(1+2*AQ3888/S18)</f>
        <v>#VALUE!</v>
      </c>
    </row>
    <row r="3889" spans="42:44">
      <c r="AP3889" s="1756" t="e">
        <f>IF(OR(AR3889=S13,AR3889&gt;S13),AR3889,"")</f>
        <v>#VALUE!</v>
      </c>
      <c r="AQ3889" s="1759">
        <f t="shared" si="119"/>
        <v>3886</v>
      </c>
      <c r="AR3889" s="1756" t="e">
        <f>0.5*(S18+2*AQ3889)*LN(1+2*AQ3889/S18)</f>
        <v>#VALUE!</v>
      </c>
    </row>
    <row r="3890" spans="42:44">
      <c r="AP3890" s="1756" t="e">
        <f>IF(OR(AR3890=S13,AR3890&gt;S13),AR3890,"")</f>
        <v>#VALUE!</v>
      </c>
      <c r="AQ3890" s="1759">
        <f t="shared" si="119"/>
        <v>3887</v>
      </c>
      <c r="AR3890" s="1756" t="e">
        <f>0.5*(S18+2*AQ3890)*LN(1+2*AQ3890/S18)</f>
        <v>#VALUE!</v>
      </c>
    </row>
    <row r="3891" spans="42:44">
      <c r="AP3891" s="1756" t="e">
        <f>IF(OR(AR3891=S13,AR3891&gt;S13),AR3891,"")</f>
        <v>#VALUE!</v>
      </c>
      <c r="AQ3891" s="1759">
        <f t="shared" si="119"/>
        <v>3888</v>
      </c>
      <c r="AR3891" s="1756" t="e">
        <f>0.5*(S18+2*AQ3891)*LN(1+2*AQ3891/S18)</f>
        <v>#VALUE!</v>
      </c>
    </row>
    <row r="3892" spans="42:44">
      <c r="AP3892" s="1756" t="e">
        <f>IF(OR(AR3892=S13,AR3892&gt;S13),AR3892,"")</f>
        <v>#VALUE!</v>
      </c>
      <c r="AQ3892" s="1759">
        <f t="shared" si="119"/>
        <v>3889</v>
      </c>
      <c r="AR3892" s="1756" t="e">
        <f>0.5*(S18+2*AQ3892)*LN(1+2*AQ3892/S18)</f>
        <v>#VALUE!</v>
      </c>
    </row>
    <row r="3893" spans="42:44">
      <c r="AP3893" s="1756" t="e">
        <f>IF(OR(AR3893=S13,AR3893&gt;S13),AR3893,"")</f>
        <v>#VALUE!</v>
      </c>
      <c r="AQ3893" s="1759">
        <f t="shared" si="119"/>
        <v>3890</v>
      </c>
      <c r="AR3893" s="1756" t="e">
        <f>0.5*(S18+2*AQ3893)*LN(1+2*AQ3893/S18)</f>
        <v>#VALUE!</v>
      </c>
    </row>
    <row r="3894" spans="42:44">
      <c r="AP3894" s="1756" t="e">
        <f>IF(OR(AR3894=S13,AR3894&gt;S13),AR3894,"")</f>
        <v>#VALUE!</v>
      </c>
      <c r="AQ3894" s="1759">
        <f t="shared" si="119"/>
        <v>3891</v>
      </c>
      <c r="AR3894" s="1756" t="e">
        <f>0.5*(S18+2*AQ3894)*LN(1+2*AQ3894/S18)</f>
        <v>#VALUE!</v>
      </c>
    </row>
    <row r="3895" spans="42:44">
      <c r="AP3895" s="1756" t="e">
        <f>IF(OR(AR3895=S13,AR3895&gt;S13),AR3895,"")</f>
        <v>#VALUE!</v>
      </c>
      <c r="AQ3895" s="1759">
        <f t="shared" si="119"/>
        <v>3892</v>
      </c>
      <c r="AR3895" s="1756" t="e">
        <f>0.5*(S18+2*AQ3895)*LN(1+2*AQ3895/S18)</f>
        <v>#VALUE!</v>
      </c>
    </row>
    <row r="3896" spans="42:44">
      <c r="AP3896" s="1756" t="e">
        <f>IF(OR(AR3896=S13,AR3896&gt;S13),AR3896,"")</f>
        <v>#VALUE!</v>
      </c>
      <c r="AQ3896" s="1759">
        <f t="shared" si="119"/>
        <v>3893</v>
      </c>
      <c r="AR3896" s="1756" t="e">
        <f>0.5*(S18+2*AQ3896)*LN(1+2*AQ3896/S18)</f>
        <v>#VALUE!</v>
      </c>
    </row>
    <row r="3897" spans="42:44">
      <c r="AP3897" s="1756" t="e">
        <f>IF(OR(AR3897=S13,AR3897&gt;S13),AR3897,"")</f>
        <v>#VALUE!</v>
      </c>
      <c r="AQ3897" s="1759">
        <f t="shared" si="119"/>
        <v>3894</v>
      </c>
      <c r="AR3897" s="1756" t="e">
        <f>0.5*(S18+2*AQ3897)*LN(1+2*AQ3897/S18)</f>
        <v>#VALUE!</v>
      </c>
    </row>
    <row r="3898" spans="42:44">
      <c r="AP3898" s="1756" t="e">
        <f>IF(OR(AR3898=S13,AR3898&gt;S13),AR3898,"")</f>
        <v>#VALUE!</v>
      </c>
      <c r="AQ3898" s="1759">
        <f t="shared" si="119"/>
        <v>3895</v>
      </c>
      <c r="AR3898" s="1756" t="e">
        <f>0.5*(S18+2*AQ3898)*LN(1+2*AQ3898/S18)</f>
        <v>#VALUE!</v>
      </c>
    </row>
    <row r="3899" spans="42:44">
      <c r="AP3899" s="1756" t="e">
        <f>IF(OR(AR3899=S13,AR3899&gt;S13),AR3899,"")</f>
        <v>#VALUE!</v>
      </c>
      <c r="AQ3899" s="1759">
        <f t="shared" si="119"/>
        <v>3896</v>
      </c>
      <c r="AR3899" s="1756" t="e">
        <f>0.5*(S18+2*AQ3899)*LN(1+2*AQ3899/S18)</f>
        <v>#VALUE!</v>
      </c>
    </row>
    <row r="3900" spans="42:44">
      <c r="AP3900" s="1756" t="e">
        <f>IF(OR(AR3900=S13,AR3900&gt;S13),AR3900,"")</f>
        <v>#VALUE!</v>
      </c>
      <c r="AQ3900" s="1759">
        <f t="shared" si="119"/>
        <v>3897</v>
      </c>
      <c r="AR3900" s="1756" t="e">
        <f>0.5*(S18+2*AQ3900)*LN(1+2*AQ3900/S18)</f>
        <v>#VALUE!</v>
      </c>
    </row>
    <row r="3901" spans="42:44">
      <c r="AP3901" s="1756" t="e">
        <f>IF(OR(AR3901=S13,AR3901&gt;S13),AR3901,"")</f>
        <v>#VALUE!</v>
      </c>
      <c r="AQ3901" s="1759">
        <f t="shared" si="119"/>
        <v>3898</v>
      </c>
      <c r="AR3901" s="1756" t="e">
        <f>0.5*(S18+2*AQ3901)*LN(1+2*AQ3901/S18)</f>
        <v>#VALUE!</v>
      </c>
    </row>
    <row r="3902" spans="42:44">
      <c r="AP3902" s="1756" t="e">
        <f>IF(OR(AR3902=S13,AR3902&gt;S13),AR3902,"")</f>
        <v>#VALUE!</v>
      </c>
      <c r="AQ3902" s="1759">
        <f t="shared" si="119"/>
        <v>3899</v>
      </c>
      <c r="AR3902" s="1756" t="e">
        <f>0.5*(S18+2*AQ3902)*LN(1+2*AQ3902/S18)</f>
        <v>#VALUE!</v>
      </c>
    </row>
    <row r="3903" spans="42:44">
      <c r="AP3903" s="1756" t="e">
        <f>IF(OR(AR3903=S13,AR3903&gt;S13),AR3903,"")</f>
        <v>#VALUE!</v>
      </c>
      <c r="AQ3903" s="1759">
        <f t="shared" si="119"/>
        <v>3900</v>
      </c>
      <c r="AR3903" s="1756" t="e">
        <f>0.5*(S18+2*AQ3903)*LN(1+2*AQ3903/S18)</f>
        <v>#VALUE!</v>
      </c>
    </row>
    <row r="3904" spans="42:44">
      <c r="AP3904" s="1756" t="e">
        <f>IF(OR(AR3904=S13,AR3904&gt;S13),AR3904,"")</f>
        <v>#VALUE!</v>
      </c>
      <c r="AQ3904" s="1759">
        <f t="shared" si="119"/>
        <v>3901</v>
      </c>
      <c r="AR3904" s="1756" t="e">
        <f>0.5*(S18+2*AQ3904)*LN(1+2*AQ3904/S18)</f>
        <v>#VALUE!</v>
      </c>
    </row>
    <row r="3905" spans="42:44">
      <c r="AP3905" s="1756" t="e">
        <f>IF(OR(AR3905=S13,AR3905&gt;S13),AR3905,"")</f>
        <v>#VALUE!</v>
      </c>
      <c r="AQ3905" s="1759">
        <f t="shared" si="119"/>
        <v>3902</v>
      </c>
      <c r="AR3905" s="1756" t="e">
        <f>0.5*(S18+2*AQ3905)*LN(1+2*AQ3905/S18)</f>
        <v>#VALUE!</v>
      </c>
    </row>
    <row r="3906" spans="42:44">
      <c r="AP3906" s="1756" t="e">
        <f>IF(OR(AR3906=S13,AR3906&gt;S13),AR3906,"")</f>
        <v>#VALUE!</v>
      </c>
      <c r="AQ3906" s="1759">
        <f t="shared" si="119"/>
        <v>3903</v>
      </c>
      <c r="AR3906" s="1756" t="e">
        <f>0.5*(S18+2*AQ3906)*LN(1+2*AQ3906/S18)</f>
        <v>#VALUE!</v>
      </c>
    </row>
    <row r="3907" spans="42:44">
      <c r="AP3907" s="1756" t="e">
        <f>IF(OR(AR3907=S13,AR3907&gt;S13),AR3907,"")</f>
        <v>#VALUE!</v>
      </c>
      <c r="AQ3907" s="1759">
        <f t="shared" si="119"/>
        <v>3904</v>
      </c>
      <c r="AR3907" s="1756" t="e">
        <f>0.5*(S18+2*AQ3907)*LN(1+2*AQ3907/S18)</f>
        <v>#VALUE!</v>
      </c>
    </row>
    <row r="3908" spans="42:44">
      <c r="AP3908" s="1756" t="e">
        <f>IF(OR(AR3908=S13,AR3908&gt;S13),AR3908,"")</f>
        <v>#VALUE!</v>
      </c>
      <c r="AQ3908" s="1759">
        <f t="shared" si="119"/>
        <v>3905</v>
      </c>
      <c r="AR3908" s="1756" t="e">
        <f>0.5*(S18+2*AQ3908)*LN(1+2*AQ3908/S18)</f>
        <v>#VALUE!</v>
      </c>
    </row>
    <row r="3909" spans="42:44">
      <c r="AP3909" s="1756" t="e">
        <f>IF(OR(AR3909=S13,AR3909&gt;S13),AR3909,"")</f>
        <v>#VALUE!</v>
      </c>
      <c r="AQ3909" s="1759">
        <f t="shared" si="119"/>
        <v>3906</v>
      </c>
      <c r="AR3909" s="1756" t="e">
        <f>0.5*(S18+2*AQ3909)*LN(1+2*AQ3909/S18)</f>
        <v>#VALUE!</v>
      </c>
    </row>
    <row r="3910" spans="42:44">
      <c r="AP3910" s="1756" t="e">
        <f>IF(OR(AR3910=S13,AR3910&gt;S13),AR3910,"")</f>
        <v>#VALUE!</v>
      </c>
      <c r="AQ3910" s="1759">
        <f t="shared" ref="AQ3910:AQ3973" si="120">AQ3909+1</f>
        <v>3907</v>
      </c>
      <c r="AR3910" s="1756" t="e">
        <f>0.5*(S18+2*AQ3910)*LN(1+2*AQ3910/S18)</f>
        <v>#VALUE!</v>
      </c>
    </row>
    <row r="3911" spans="42:44">
      <c r="AP3911" s="1756" t="e">
        <f>IF(OR(AR3911=S13,AR3911&gt;S13),AR3911,"")</f>
        <v>#VALUE!</v>
      </c>
      <c r="AQ3911" s="1759">
        <f t="shared" si="120"/>
        <v>3908</v>
      </c>
      <c r="AR3911" s="1756" t="e">
        <f>0.5*(S18+2*AQ3911)*LN(1+2*AQ3911/S18)</f>
        <v>#VALUE!</v>
      </c>
    </row>
    <row r="3912" spans="42:44">
      <c r="AP3912" s="1756" t="e">
        <f>IF(OR(AR3912=S13,AR3912&gt;S13),AR3912,"")</f>
        <v>#VALUE!</v>
      </c>
      <c r="AQ3912" s="1759">
        <f t="shared" si="120"/>
        <v>3909</v>
      </c>
      <c r="AR3912" s="1756" t="e">
        <f>0.5*(S18+2*AQ3912)*LN(1+2*AQ3912/S18)</f>
        <v>#VALUE!</v>
      </c>
    </row>
    <row r="3913" spans="42:44">
      <c r="AP3913" s="1756" t="e">
        <f>IF(OR(AR3913=S13,AR3913&gt;S13),AR3913,"")</f>
        <v>#VALUE!</v>
      </c>
      <c r="AQ3913" s="1759">
        <f t="shared" si="120"/>
        <v>3910</v>
      </c>
      <c r="AR3913" s="1756" t="e">
        <f>0.5*(S18+2*AQ3913)*LN(1+2*AQ3913/S18)</f>
        <v>#VALUE!</v>
      </c>
    </row>
    <row r="3914" spans="42:44">
      <c r="AP3914" s="1756" t="e">
        <f>IF(OR(AR3914=S13,AR3914&gt;S13),AR3914,"")</f>
        <v>#VALUE!</v>
      </c>
      <c r="AQ3914" s="1759">
        <f t="shared" si="120"/>
        <v>3911</v>
      </c>
      <c r="AR3914" s="1756" t="e">
        <f>0.5*(S18+2*AQ3914)*LN(1+2*AQ3914/S18)</f>
        <v>#VALUE!</v>
      </c>
    </row>
    <row r="3915" spans="42:44">
      <c r="AP3915" s="1756" t="e">
        <f>IF(OR(AR3915=S13,AR3915&gt;S13),AR3915,"")</f>
        <v>#VALUE!</v>
      </c>
      <c r="AQ3915" s="1759">
        <f t="shared" si="120"/>
        <v>3912</v>
      </c>
      <c r="AR3915" s="1756" t="e">
        <f>0.5*(S18+2*AQ3915)*LN(1+2*AQ3915/S18)</f>
        <v>#VALUE!</v>
      </c>
    </row>
    <row r="3916" spans="42:44">
      <c r="AP3916" s="1756" t="e">
        <f>IF(OR(AR3916=S13,AR3916&gt;S13),AR3916,"")</f>
        <v>#VALUE!</v>
      </c>
      <c r="AQ3916" s="1759">
        <f t="shared" si="120"/>
        <v>3913</v>
      </c>
      <c r="AR3916" s="1756" t="e">
        <f>0.5*(S18+2*AQ3916)*LN(1+2*AQ3916/S18)</f>
        <v>#VALUE!</v>
      </c>
    </row>
    <row r="3917" spans="42:44">
      <c r="AP3917" s="1756" t="e">
        <f>IF(OR(AR3917=S13,AR3917&gt;S13),AR3917,"")</f>
        <v>#VALUE!</v>
      </c>
      <c r="AQ3917" s="1759">
        <f t="shared" si="120"/>
        <v>3914</v>
      </c>
      <c r="AR3917" s="1756" t="e">
        <f>0.5*(S18+2*AQ3917)*LN(1+2*AQ3917/S18)</f>
        <v>#VALUE!</v>
      </c>
    </row>
    <row r="3918" spans="42:44">
      <c r="AP3918" s="1756" t="e">
        <f>IF(OR(AR3918=S13,AR3918&gt;S13),AR3918,"")</f>
        <v>#VALUE!</v>
      </c>
      <c r="AQ3918" s="1759">
        <f t="shared" si="120"/>
        <v>3915</v>
      </c>
      <c r="AR3918" s="1756" t="e">
        <f>0.5*(S18+2*AQ3918)*LN(1+2*AQ3918/S18)</f>
        <v>#VALUE!</v>
      </c>
    </row>
    <row r="3919" spans="42:44">
      <c r="AP3919" s="1756" t="e">
        <f>IF(OR(AR3919=S13,AR3919&gt;S13),AR3919,"")</f>
        <v>#VALUE!</v>
      </c>
      <c r="AQ3919" s="1759">
        <f t="shared" si="120"/>
        <v>3916</v>
      </c>
      <c r="AR3919" s="1756" t="e">
        <f>0.5*(S18+2*AQ3919)*LN(1+2*AQ3919/S18)</f>
        <v>#VALUE!</v>
      </c>
    </row>
    <row r="3920" spans="42:44">
      <c r="AP3920" s="1756" t="e">
        <f>IF(OR(AR3920=S13,AR3920&gt;S13),AR3920,"")</f>
        <v>#VALUE!</v>
      </c>
      <c r="AQ3920" s="1759">
        <f t="shared" si="120"/>
        <v>3917</v>
      </c>
      <c r="AR3920" s="1756" t="e">
        <f>0.5*(S18+2*AQ3920)*LN(1+2*AQ3920/S18)</f>
        <v>#VALUE!</v>
      </c>
    </row>
    <row r="3921" spans="42:44">
      <c r="AP3921" s="1756" t="e">
        <f>IF(OR(AR3921=S13,AR3921&gt;S13),AR3921,"")</f>
        <v>#VALUE!</v>
      </c>
      <c r="AQ3921" s="1759">
        <f t="shared" si="120"/>
        <v>3918</v>
      </c>
      <c r="AR3921" s="1756" t="e">
        <f>0.5*(S18+2*AQ3921)*LN(1+2*AQ3921/S18)</f>
        <v>#VALUE!</v>
      </c>
    </row>
    <row r="3922" spans="42:44">
      <c r="AP3922" s="1756" t="e">
        <f>IF(OR(AR3922=S13,AR3922&gt;S13),AR3922,"")</f>
        <v>#VALUE!</v>
      </c>
      <c r="AQ3922" s="1759">
        <f t="shared" si="120"/>
        <v>3919</v>
      </c>
      <c r="AR3922" s="1756" t="e">
        <f>0.5*(S18+2*AQ3922)*LN(1+2*AQ3922/S18)</f>
        <v>#VALUE!</v>
      </c>
    </row>
    <row r="3923" spans="42:44">
      <c r="AP3923" s="1756" t="e">
        <f>IF(OR(AR3923=S13,AR3923&gt;S13),AR3923,"")</f>
        <v>#VALUE!</v>
      </c>
      <c r="AQ3923" s="1759">
        <f t="shared" si="120"/>
        <v>3920</v>
      </c>
      <c r="AR3923" s="1756" t="e">
        <f>0.5*(S18+2*AQ3923)*LN(1+2*AQ3923/S18)</f>
        <v>#VALUE!</v>
      </c>
    </row>
    <row r="3924" spans="42:44">
      <c r="AP3924" s="1756" t="e">
        <f>IF(OR(AR3924=S13,AR3924&gt;S13),AR3924,"")</f>
        <v>#VALUE!</v>
      </c>
      <c r="AQ3924" s="1759">
        <f t="shared" si="120"/>
        <v>3921</v>
      </c>
      <c r="AR3924" s="1756" t="e">
        <f>0.5*(S18+2*AQ3924)*LN(1+2*AQ3924/S18)</f>
        <v>#VALUE!</v>
      </c>
    </row>
    <row r="3925" spans="42:44">
      <c r="AP3925" s="1756" t="e">
        <f>IF(OR(AR3925=S13,AR3925&gt;S13),AR3925,"")</f>
        <v>#VALUE!</v>
      </c>
      <c r="AQ3925" s="1759">
        <f t="shared" si="120"/>
        <v>3922</v>
      </c>
      <c r="AR3925" s="1756" t="e">
        <f>0.5*(S18+2*AQ3925)*LN(1+2*AQ3925/S18)</f>
        <v>#VALUE!</v>
      </c>
    </row>
    <row r="3926" spans="42:44">
      <c r="AP3926" s="1756" t="e">
        <f>IF(OR(AR3926=S13,AR3926&gt;S13),AR3926,"")</f>
        <v>#VALUE!</v>
      </c>
      <c r="AQ3926" s="1759">
        <f t="shared" si="120"/>
        <v>3923</v>
      </c>
      <c r="AR3926" s="1756" t="e">
        <f>0.5*(S18+2*AQ3926)*LN(1+2*AQ3926/S18)</f>
        <v>#VALUE!</v>
      </c>
    </row>
    <row r="3927" spans="42:44">
      <c r="AP3927" s="1756" t="e">
        <f>IF(OR(AR3927=S13,AR3927&gt;S13),AR3927,"")</f>
        <v>#VALUE!</v>
      </c>
      <c r="AQ3927" s="1759">
        <f t="shared" si="120"/>
        <v>3924</v>
      </c>
      <c r="AR3927" s="1756" t="e">
        <f>0.5*(S18+2*AQ3927)*LN(1+2*AQ3927/S18)</f>
        <v>#VALUE!</v>
      </c>
    </row>
    <row r="3928" spans="42:44">
      <c r="AP3928" s="1756" t="e">
        <f>IF(OR(AR3928=S13,AR3928&gt;S13),AR3928,"")</f>
        <v>#VALUE!</v>
      </c>
      <c r="AQ3928" s="1759">
        <f t="shared" si="120"/>
        <v>3925</v>
      </c>
      <c r="AR3928" s="1756" t="e">
        <f>0.5*(S18+2*AQ3928)*LN(1+2*AQ3928/S18)</f>
        <v>#VALUE!</v>
      </c>
    </row>
    <row r="3929" spans="42:44">
      <c r="AP3929" s="1756" t="e">
        <f>IF(OR(AR3929=S13,AR3929&gt;S13),AR3929,"")</f>
        <v>#VALUE!</v>
      </c>
      <c r="AQ3929" s="1759">
        <f t="shared" si="120"/>
        <v>3926</v>
      </c>
      <c r="AR3929" s="1756" t="e">
        <f>0.5*(S18+2*AQ3929)*LN(1+2*AQ3929/S18)</f>
        <v>#VALUE!</v>
      </c>
    </row>
    <row r="3930" spans="42:44">
      <c r="AP3930" s="1756" t="e">
        <f>IF(OR(AR3930=S13,AR3930&gt;S13),AR3930,"")</f>
        <v>#VALUE!</v>
      </c>
      <c r="AQ3930" s="1759">
        <f t="shared" si="120"/>
        <v>3927</v>
      </c>
      <c r="AR3930" s="1756" t="e">
        <f>0.5*(S18+2*AQ3930)*LN(1+2*AQ3930/S18)</f>
        <v>#VALUE!</v>
      </c>
    </row>
    <row r="3931" spans="42:44">
      <c r="AP3931" s="1756" t="e">
        <f>IF(OR(AR3931=S13,AR3931&gt;S13),AR3931,"")</f>
        <v>#VALUE!</v>
      </c>
      <c r="AQ3931" s="1759">
        <f t="shared" si="120"/>
        <v>3928</v>
      </c>
      <c r="AR3931" s="1756" t="e">
        <f>0.5*(S18+2*AQ3931)*LN(1+2*AQ3931/S18)</f>
        <v>#VALUE!</v>
      </c>
    </row>
    <row r="3932" spans="42:44">
      <c r="AP3932" s="1756" t="e">
        <f>IF(OR(AR3932=S13,AR3932&gt;S13),AR3932,"")</f>
        <v>#VALUE!</v>
      </c>
      <c r="AQ3932" s="1759">
        <f t="shared" si="120"/>
        <v>3929</v>
      </c>
      <c r="AR3932" s="1756" t="e">
        <f>0.5*(S18+2*AQ3932)*LN(1+2*AQ3932/S18)</f>
        <v>#VALUE!</v>
      </c>
    </row>
    <row r="3933" spans="42:44">
      <c r="AP3933" s="1756" t="e">
        <f>IF(OR(AR3933=S13,AR3933&gt;S13),AR3933,"")</f>
        <v>#VALUE!</v>
      </c>
      <c r="AQ3933" s="1759">
        <f t="shared" si="120"/>
        <v>3930</v>
      </c>
      <c r="AR3933" s="1756" t="e">
        <f>0.5*(S18+2*AQ3933)*LN(1+2*AQ3933/S18)</f>
        <v>#VALUE!</v>
      </c>
    </row>
    <row r="3934" spans="42:44">
      <c r="AP3934" s="1756" t="e">
        <f>IF(OR(AR3934=S13,AR3934&gt;S13),AR3934,"")</f>
        <v>#VALUE!</v>
      </c>
      <c r="AQ3934" s="1759">
        <f t="shared" si="120"/>
        <v>3931</v>
      </c>
      <c r="AR3934" s="1756" t="e">
        <f>0.5*(S18+2*AQ3934)*LN(1+2*AQ3934/S18)</f>
        <v>#VALUE!</v>
      </c>
    </row>
    <row r="3935" spans="42:44">
      <c r="AP3935" s="1756" t="e">
        <f>IF(OR(AR3935=S13,AR3935&gt;S13),AR3935,"")</f>
        <v>#VALUE!</v>
      </c>
      <c r="AQ3935" s="1759">
        <f t="shared" si="120"/>
        <v>3932</v>
      </c>
      <c r="AR3935" s="1756" t="e">
        <f>0.5*(S18+2*AQ3935)*LN(1+2*AQ3935/S18)</f>
        <v>#VALUE!</v>
      </c>
    </row>
    <row r="3936" spans="42:44">
      <c r="AP3936" s="1756" t="e">
        <f>IF(OR(AR3936=S13,AR3936&gt;S13),AR3936,"")</f>
        <v>#VALUE!</v>
      </c>
      <c r="AQ3936" s="1759">
        <f t="shared" si="120"/>
        <v>3933</v>
      </c>
      <c r="AR3936" s="1756" t="e">
        <f>0.5*(S18+2*AQ3936)*LN(1+2*AQ3936/S18)</f>
        <v>#VALUE!</v>
      </c>
    </row>
    <row r="3937" spans="42:44">
      <c r="AP3937" s="1756" t="e">
        <f>IF(OR(AR3937=S13,AR3937&gt;S13),AR3937,"")</f>
        <v>#VALUE!</v>
      </c>
      <c r="AQ3937" s="1759">
        <f t="shared" si="120"/>
        <v>3934</v>
      </c>
      <c r="AR3937" s="1756" t="e">
        <f>0.5*(S18+2*AQ3937)*LN(1+2*AQ3937/S18)</f>
        <v>#VALUE!</v>
      </c>
    </row>
    <row r="3938" spans="42:44">
      <c r="AP3938" s="1756" t="e">
        <f>IF(OR(AR3938=S13,AR3938&gt;S13),AR3938,"")</f>
        <v>#VALUE!</v>
      </c>
      <c r="AQ3938" s="1759">
        <f t="shared" si="120"/>
        <v>3935</v>
      </c>
      <c r="AR3938" s="1756" t="e">
        <f>0.5*(S18+2*AQ3938)*LN(1+2*AQ3938/S18)</f>
        <v>#VALUE!</v>
      </c>
    </row>
    <row r="3939" spans="42:44">
      <c r="AP3939" s="1756" t="e">
        <f>IF(OR(AR3939=S13,AR3939&gt;S13),AR3939,"")</f>
        <v>#VALUE!</v>
      </c>
      <c r="AQ3939" s="1759">
        <f t="shared" si="120"/>
        <v>3936</v>
      </c>
      <c r="AR3939" s="1756" t="e">
        <f>0.5*(S18+2*AQ3939)*LN(1+2*AQ3939/S18)</f>
        <v>#VALUE!</v>
      </c>
    </row>
    <row r="3940" spans="42:44">
      <c r="AP3940" s="1756" t="e">
        <f>IF(OR(AR3940=S13,AR3940&gt;S13),AR3940,"")</f>
        <v>#VALUE!</v>
      </c>
      <c r="AQ3940" s="1759">
        <f t="shared" si="120"/>
        <v>3937</v>
      </c>
      <c r="AR3940" s="1756" t="e">
        <f>0.5*(S18+2*AQ3940)*LN(1+2*AQ3940/S18)</f>
        <v>#VALUE!</v>
      </c>
    </row>
    <row r="3941" spans="42:44">
      <c r="AP3941" s="1756" t="e">
        <f>IF(OR(AR3941=S13,AR3941&gt;S13),AR3941,"")</f>
        <v>#VALUE!</v>
      </c>
      <c r="AQ3941" s="1759">
        <f t="shared" si="120"/>
        <v>3938</v>
      </c>
      <c r="AR3941" s="1756" t="e">
        <f>0.5*(S18+2*AQ3941)*LN(1+2*AQ3941/S18)</f>
        <v>#VALUE!</v>
      </c>
    </row>
    <row r="3942" spans="42:44">
      <c r="AP3942" s="1756" t="e">
        <f>IF(OR(AR3942=S13,AR3942&gt;S13),AR3942,"")</f>
        <v>#VALUE!</v>
      </c>
      <c r="AQ3942" s="1759">
        <f t="shared" si="120"/>
        <v>3939</v>
      </c>
      <c r="AR3942" s="1756" t="e">
        <f>0.5*(S18+2*AQ3942)*LN(1+2*AQ3942/S18)</f>
        <v>#VALUE!</v>
      </c>
    </row>
    <row r="3943" spans="42:44">
      <c r="AP3943" s="1756" t="e">
        <f>IF(OR(AR3943=S13,AR3943&gt;S13),AR3943,"")</f>
        <v>#VALUE!</v>
      </c>
      <c r="AQ3943" s="1759">
        <f t="shared" si="120"/>
        <v>3940</v>
      </c>
      <c r="AR3943" s="1756" t="e">
        <f>0.5*(S18+2*AQ3943)*LN(1+2*AQ3943/S18)</f>
        <v>#VALUE!</v>
      </c>
    </row>
    <row r="3944" spans="42:44">
      <c r="AP3944" s="1756" t="e">
        <f>IF(OR(AR3944=S13,AR3944&gt;S13),AR3944,"")</f>
        <v>#VALUE!</v>
      </c>
      <c r="AQ3944" s="1759">
        <f t="shared" si="120"/>
        <v>3941</v>
      </c>
      <c r="AR3944" s="1756" t="e">
        <f>0.5*(S18+2*AQ3944)*LN(1+2*AQ3944/S18)</f>
        <v>#VALUE!</v>
      </c>
    </row>
    <row r="3945" spans="42:44">
      <c r="AP3945" s="1756" t="e">
        <f>IF(OR(AR3945=S13,AR3945&gt;S13),AR3945,"")</f>
        <v>#VALUE!</v>
      </c>
      <c r="AQ3945" s="1759">
        <f t="shared" si="120"/>
        <v>3942</v>
      </c>
      <c r="AR3945" s="1756" t="e">
        <f>0.5*(S18+2*AQ3945)*LN(1+2*AQ3945/S18)</f>
        <v>#VALUE!</v>
      </c>
    </row>
    <row r="3946" spans="42:44">
      <c r="AP3946" s="1756" t="e">
        <f>IF(OR(AR3946=S13,AR3946&gt;S13),AR3946,"")</f>
        <v>#VALUE!</v>
      </c>
      <c r="AQ3946" s="1759">
        <f t="shared" si="120"/>
        <v>3943</v>
      </c>
      <c r="AR3946" s="1756" t="e">
        <f>0.5*(S18+2*AQ3946)*LN(1+2*AQ3946/S18)</f>
        <v>#VALUE!</v>
      </c>
    </row>
    <row r="3947" spans="42:44">
      <c r="AP3947" s="1756" t="e">
        <f>IF(OR(AR3947=S13,AR3947&gt;S13),AR3947,"")</f>
        <v>#VALUE!</v>
      </c>
      <c r="AQ3947" s="1759">
        <f t="shared" si="120"/>
        <v>3944</v>
      </c>
      <c r="AR3947" s="1756" t="e">
        <f>0.5*(S18+2*AQ3947)*LN(1+2*AQ3947/S18)</f>
        <v>#VALUE!</v>
      </c>
    </row>
    <row r="3948" spans="42:44">
      <c r="AP3948" s="1756" t="e">
        <f>IF(OR(AR3948=S13,AR3948&gt;S13),AR3948,"")</f>
        <v>#VALUE!</v>
      </c>
      <c r="AQ3948" s="1759">
        <f t="shared" si="120"/>
        <v>3945</v>
      </c>
      <c r="AR3948" s="1756" t="e">
        <f>0.5*(S18+2*AQ3948)*LN(1+2*AQ3948/S18)</f>
        <v>#VALUE!</v>
      </c>
    </row>
    <row r="3949" spans="42:44">
      <c r="AP3949" s="1756" t="e">
        <f>IF(OR(AR3949=S13,AR3949&gt;S13),AR3949,"")</f>
        <v>#VALUE!</v>
      </c>
      <c r="AQ3949" s="1759">
        <f t="shared" si="120"/>
        <v>3946</v>
      </c>
      <c r="AR3949" s="1756" t="e">
        <f>0.5*(S18+2*AQ3949)*LN(1+2*AQ3949/S18)</f>
        <v>#VALUE!</v>
      </c>
    </row>
    <row r="3950" spans="42:44">
      <c r="AP3950" s="1756" t="e">
        <f>IF(OR(AR3950=S13,AR3950&gt;S13),AR3950,"")</f>
        <v>#VALUE!</v>
      </c>
      <c r="AQ3950" s="1759">
        <f t="shared" si="120"/>
        <v>3947</v>
      </c>
      <c r="AR3950" s="1756" t="e">
        <f>0.5*(S18+2*AQ3950)*LN(1+2*AQ3950/S18)</f>
        <v>#VALUE!</v>
      </c>
    </row>
    <row r="3951" spans="42:44">
      <c r="AP3951" s="1756" t="e">
        <f>IF(OR(AR3951=S13,AR3951&gt;S13),AR3951,"")</f>
        <v>#VALUE!</v>
      </c>
      <c r="AQ3951" s="1759">
        <f t="shared" si="120"/>
        <v>3948</v>
      </c>
      <c r="AR3951" s="1756" t="e">
        <f>0.5*(S18+2*AQ3951)*LN(1+2*AQ3951/S18)</f>
        <v>#VALUE!</v>
      </c>
    </row>
    <row r="3952" spans="42:44">
      <c r="AP3952" s="1756" t="e">
        <f>IF(OR(AR3952=S13,AR3952&gt;S13),AR3952,"")</f>
        <v>#VALUE!</v>
      </c>
      <c r="AQ3952" s="1759">
        <f t="shared" si="120"/>
        <v>3949</v>
      </c>
      <c r="AR3952" s="1756" t="e">
        <f>0.5*(S18+2*AQ3952)*LN(1+2*AQ3952/S18)</f>
        <v>#VALUE!</v>
      </c>
    </row>
    <row r="3953" spans="42:44">
      <c r="AP3953" s="1756" t="e">
        <f>IF(OR(AR3953=S13,AR3953&gt;S13),AR3953,"")</f>
        <v>#VALUE!</v>
      </c>
      <c r="AQ3953" s="1759">
        <f t="shared" si="120"/>
        <v>3950</v>
      </c>
      <c r="AR3953" s="1756" t="e">
        <f>0.5*(S18+2*AQ3953)*LN(1+2*AQ3953/S18)</f>
        <v>#VALUE!</v>
      </c>
    </row>
    <row r="3954" spans="42:44">
      <c r="AP3954" s="1756" t="e">
        <f>IF(OR(AR3954=S13,AR3954&gt;S13),AR3954,"")</f>
        <v>#VALUE!</v>
      </c>
      <c r="AQ3954" s="1759">
        <f t="shared" si="120"/>
        <v>3951</v>
      </c>
      <c r="AR3954" s="1756" t="e">
        <f>0.5*(S18+2*AQ3954)*LN(1+2*AQ3954/S18)</f>
        <v>#VALUE!</v>
      </c>
    </row>
    <row r="3955" spans="42:44">
      <c r="AP3955" s="1756" t="e">
        <f>IF(OR(AR3955=S13,AR3955&gt;S13),AR3955,"")</f>
        <v>#VALUE!</v>
      </c>
      <c r="AQ3955" s="1759">
        <f t="shared" si="120"/>
        <v>3952</v>
      </c>
      <c r="AR3955" s="1756" t="e">
        <f>0.5*(S18+2*AQ3955)*LN(1+2*AQ3955/S18)</f>
        <v>#VALUE!</v>
      </c>
    </row>
    <row r="3956" spans="42:44">
      <c r="AP3956" s="1756" t="e">
        <f>IF(OR(AR3956=S13,AR3956&gt;S13),AR3956,"")</f>
        <v>#VALUE!</v>
      </c>
      <c r="AQ3956" s="1759">
        <f t="shared" si="120"/>
        <v>3953</v>
      </c>
      <c r="AR3956" s="1756" t="e">
        <f>0.5*(S18+2*AQ3956)*LN(1+2*AQ3956/S18)</f>
        <v>#VALUE!</v>
      </c>
    </row>
    <row r="3957" spans="42:44">
      <c r="AP3957" s="1756" t="e">
        <f>IF(OR(AR3957=S13,AR3957&gt;S13),AR3957,"")</f>
        <v>#VALUE!</v>
      </c>
      <c r="AQ3957" s="1759">
        <f t="shared" si="120"/>
        <v>3954</v>
      </c>
      <c r="AR3957" s="1756" t="e">
        <f>0.5*(S18+2*AQ3957)*LN(1+2*AQ3957/S18)</f>
        <v>#VALUE!</v>
      </c>
    </row>
    <row r="3958" spans="42:44">
      <c r="AP3958" s="1756" t="e">
        <f>IF(OR(AR3958=S13,AR3958&gt;S13),AR3958,"")</f>
        <v>#VALUE!</v>
      </c>
      <c r="AQ3958" s="1759">
        <f t="shared" si="120"/>
        <v>3955</v>
      </c>
      <c r="AR3958" s="1756" t="e">
        <f>0.5*(S18+2*AQ3958)*LN(1+2*AQ3958/S18)</f>
        <v>#VALUE!</v>
      </c>
    </row>
    <row r="3959" spans="42:44">
      <c r="AP3959" s="1756" t="e">
        <f>IF(OR(AR3959=S13,AR3959&gt;S13),AR3959,"")</f>
        <v>#VALUE!</v>
      </c>
      <c r="AQ3959" s="1759">
        <f t="shared" si="120"/>
        <v>3956</v>
      </c>
      <c r="AR3959" s="1756" t="e">
        <f>0.5*(S18+2*AQ3959)*LN(1+2*AQ3959/S18)</f>
        <v>#VALUE!</v>
      </c>
    </row>
    <row r="3960" spans="42:44">
      <c r="AP3960" s="1756" t="e">
        <f>IF(OR(AR3960=S13,AR3960&gt;S13),AR3960,"")</f>
        <v>#VALUE!</v>
      </c>
      <c r="AQ3960" s="1759">
        <f t="shared" si="120"/>
        <v>3957</v>
      </c>
      <c r="AR3960" s="1756" t="e">
        <f>0.5*(S18+2*AQ3960)*LN(1+2*AQ3960/S18)</f>
        <v>#VALUE!</v>
      </c>
    </row>
    <row r="3961" spans="42:44">
      <c r="AP3961" s="1756" t="e">
        <f>IF(OR(AR3961=S13,AR3961&gt;S13),AR3961,"")</f>
        <v>#VALUE!</v>
      </c>
      <c r="AQ3961" s="1759">
        <f t="shared" si="120"/>
        <v>3958</v>
      </c>
      <c r="AR3961" s="1756" t="e">
        <f>0.5*(S18+2*AQ3961)*LN(1+2*AQ3961/S18)</f>
        <v>#VALUE!</v>
      </c>
    </row>
    <row r="3962" spans="42:44">
      <c r="AP3962" s="1756" t="e">
        <f>IF(OR(AR3962=S13,AR3962&gt;S13),AR3962,"")</f>
        <v>#VALUE!</v>
      </c>
      <c r="AQ3962" s="1759">
        <f t="shared" si="120"/>
        <v>3959</v>
      </c>
      <c r="AR3962" s="1756" t="e">
        <f>0.5*(S18+2*AQ3962)*LN(1+2*AQ3962/S18)</f>
        <v>#VALUE!</v>
      </c>
    </row>
    <row r="3963" spans="42:44">
      <c r="AP3963" s="1756" t="e">
        <f>IF(OR(AR3963=S13,AR3963&gt;S13),AR3963,"")</f>
        <v>#VALUE!</v>
      </c>
      <c r="AQ3963" s="1759">
        <f t="shared" si="120"/>
        <v>3960</v>
      </c>
      <c r="AR3963" s="1756" t="e">
        <f>0.5*(S18+2*AQ3963)*LN(1+2*AQ3963/S18)</f>
        <v>#VALUE!</v>
      </c>
    </row>
    <row r="3964" spans="42:44">
      <c r="AP3964" s="1756" t="e">
        <f>IF(OR(AR3964=S13,AR3964&gt;S13),AR3964,"")</f>
        <v>#VALUE!</v>
      </c>
      <c r="AQ3964" s="1759">
        <f t="shared" si="120"/>
        <v>3961</v>
      </c>
      <c r="AR3964" s="1756" t="e">
        <f>0.5*(S18+2*AQ3964)*LN(1+2*AQ3964/S18)</f>
        <v>#VALUE!</v>
      </c>
    </row>
    <row r="3965" spans="42:44">
      <c r="AP3965" s="1756" t="e">
        <f>IF(OR(AR3965=S13,AR3965&gt;S13),AR3965,"")</f>
        <v>#VALUE!</v>
      </c>
      <c r="AQ3965" s="1759">
        <f t="shared" si="120"/>
        <v>3962</v>
      </c>
      <c r="AR3965" s="1756" t="e">
        <f>0.5*(S18+2*AQ3965)*LN(1+2*AQ3965/S18)</f>
        <v>#VALUE!</v>
      </c>
    </row>
    <row r="3966" spans="42:44">
      <c r="AP3966" s="1756" t="e">
        <f>IF(OR(AR3966=S13,AR3966&gt;S13),AR3966,"")</f>
        <v>#VALUE!</v>
      </c>
      <c r="AQ3966" s="1759">
        <f t="shared" si="120"/>
        <v>3963</v>
      </c>
      <c r="AR3966" s="1756" t="e">
        <f>0.5*(S18+2*AQ3966)*LN(1+2*AQ3966/S18)</f>
        <v>#VALUE!</v>
      </c>
    </row>
    <row r="3967" spans="42:44">
      <c r="AP3967" s="1756" t="e">
        <f>IF(OR(AR3967=S13,AR3967&gt;S13),AR3967,"")</f>
        <v>#VALUE!</v>
      </c>
      <c r="AQ3967" s="1759">
        <f t="shared" si="120"/>
        <v>3964</v>
      </c>
      <c r="AR3967" s="1756" t="e">
        <f>0.5*(S18+2*AQ3967)*LN(1+2*AQ3967/S18)</f>
        <v>#VALUE!</v>
      </c>
    </row>
    <row r="3968" spans="42:44">
      <c r="AP3968" s="1756" t="e">
        <f>IF(OR(AR3968=S13,AR3968&gt;S13),AR3968,"")</f>
        <v>#VALUE!</v>
      </c>
      <c r="AQ3968" s="1759">
        <f t="shared" si="120"/>
        <v>3965</v>
      </c>
      <c r="AR3968" s="1756" t="e">
        <f>0.5*(S18+2*AQ3968)*LN(1+2*AQ3968/S18)</f>
        <v>#VALUE!</v>
      </c>
    </row>
    <row r="3969" spans="42:44">
      <c r="AP3969" s="1756" t="e">
        <f>IF(OR(AR3969=S13,AR3969&gt;S13),AR3969,"")</f>
        <v>#VALUE!</v>
      </c>
      <c r="AQ3969" s="1759">
        <f t="shared" si="120"/>
        <v>3966</v>
      </c>
      <c r="AR3969" s="1756" t="e">
        <f>0.5*(S18+2*AQ3969)*LN(1+2*AQ3969/S18)</f>
        <v>#VALUE!</v>
      </c>
    </row>
    <row r="3970" spans="42:44">
      <c r="AP3970" s="1756" t="e">
        <f>IF(OR(AR3970=S13,AR3970&gt;S13),AR3970,"")</f>
        <v>#VALUE!</v>
      </c>
      <c r="AQ3970" s="1759">
        <f t="shared" si="120"/>
        <v>3967</v>
      </c>
      <c r="AR3970" s="1756" t="e">
        <f>0.5*(S18+2*AQ3970)*LN(1+2*AQ3970/S18)</f>
        <v>#VALUE!</v>
      </c>
    </row>
    <row r="3971" spans="42:44">
      <c r="AP3971" s="1756" t="e">
        <f>IF(OR(AR3971=S13,AR3971&gt;S13),AR3971,"")</f>
        <v>#VALUE!</v>
      </c>
      <c r="AQ3971" s="1759">
        <f t="shared" si="120"/>
        <v>3968</v>
      </c>
      <c r="AR3971" s="1756" t="e">
        <f>0.5*(S18+2*AQ3971)*LN(1+2*AQ3971/S18)</f>
        <v>#VALUE!</v>
      </c>
    </row>
    <row r="3972" spans="42:44">
      <c r="AP3972" s="1756" t="e">
        <f>IF(OR(AR3972=S13,AR3972&gt;S13),AR3972,"")</f>
        <v>#VALUE!</v>
      </c>
      <c r="AQ3972" s="1759">
        <f t="shared" si="120"/>
        <v>3969</v>
      </c>
      <c r="AR3972" s="1756" t="e">
        <f>0.5*(S18+2*AQ3972)*LN(1+2*AQ3972/S18)</f>
        <v>#VALUE!</v>
      </c>
    </row>
    <row r="3973" spans="42:44">
      <c r="AP3973" s="1756" t="e">
        <f>IF(OR(AR3973=S13,AR3973&gt;S13),AR3973,"")</f>
        <v>#VALUE!</v>
      </c>
      <c r="AQ3973" s="1759">
        <f t="shared" si="120"/>
        <v>3970</v>
      </c>
      <c r="AR3973" s="1756" t="e">
        <f>0.5*(S18+2*AQ3973)*LN(1+2*AQ3973/S18)</f>
        <v>#VALUE!</v>
      </c>
    </row>
    <row r="3974" spans="42:44">
      <c r="AP3974" s="1756" t="e">
        <f>IF(OR(AR3974=S13,AR3974&gt;S13),AR3974,"")</f>
        <v>#VALUE!</v>
      </c>
      <c r="AQ3974" s="1759">
        <f t="shared" ref="AQ3974:AQ4037" si="121">AQ3973+1</f>
        <v>3971</v>
      </c>
      <c r="AR3974" s="1756" t="e">
        <f>0.5*(S18+2*AQ3974)*LN(1+2*AQ3974/S18)</f>
        <v>#VALUE!</v>
      </c>
    </row>
    <row r="3975" spans="42:44">
      <c r="AP3975" s="1756" t="e">
        <f>IF(OR(AR3975=S13,AR3975&gt;S13),AR3975,"")</f>
        <v>#VALUE!</v>
      </c>
      <c r="AQ3975" s="1759">
        <f t="shared" si="121"/>
        <v>3972</v>
      </c>
      <c r="AR3975" s="1756" t="e">
        <f>0.5*(S18+2*AQ3975)*LN(1+2*AQ3975/S18)</f>
        <v>#VALUE!</v>
      </c>
    </row>
    <row r="3976" spans="42:44">
      <c r="AP3976" s="1756" t="e">
        <f>IF(OR(AR3976=S13,AR3976&gt;S13),AR3976,"")</f>
        <v>#VALUE!</v>
      </c>
      <c r="AQ3976" s="1759">
        <f t="shared" si="121"/>
        <v>3973</v>
      </c>
      <c r="AR3976" s="1756" t="e">
        <f>0.5*(S18+2*AQ3976)*LN(1+2*AQ3976/S18)</f>
        <v>#VALUE!</v>
      </c>
    </row>
    <row r="3977" spans="42:44">
      <c r="AP3977" s="1756" t="e">
        <f>IF(OR(AR3977=S13,AR3977&gt;S13),AR3977,"")</f>
        <v>#VALUE!</v>
      </c>
      <c r="AQ3977" s="1759">
        <f t="shared" si="121"/>
        <v>3974</v>
      </c>
      <c r="AR3977" s="1756" t="e">
        <f>0.5*(S18+2*AQ3977)*LN(1+2*AQ3977/S18)</f>
        <v>#VALUE!</v>
      </c>
    </row>
    <row r="3978" spans="42:44">
      <c r="AP3978" s="1756" t="e">
        <f>IF(OR(AR3978=S13,AR3978&gt;S13),AR3978,"")</f>
        <v>#VALUE!</v>
      </c>
      <c r="AQ3978" s="1759">
        <f t="shared" si="121"/>
        <v>3975</v>
      </c>
      <c r="AR3978" s="1756" t="e">
        <f>0.5*(S18+2*AQ3978)*LN(1+2*AQ3978/S18)</f>
        <v>#VALUE!</v>
      </c>
    </row>
    <row r="3979" spans="42:44">
      <c r="AP3979" s="1756" t="e">
        <f>IF(OR(AR3979=S13,AR3979&gt;S13),AR3979,"")</f>
        <v>#VALUE!</v>
      </c>
      <c r="AQ3979" s="1759">
        <f t="shared" si="121"/>
        <v>3976</v>
      </c>
      <c r="AR3979" s="1756" t="e">
        <f>0.5*(S18+2*AQ3979)*LN(1+2*AQ3979/S18)</f>
        <v>#VALUE!</v>
      </c>
    </row>
    <row r="3980" spans="42:44">
      <c r="AP3980" s="1756" t="e">
        <f>IF(OR(AR3980=S13,AR3980&gt;S13),AR3980,"")</f>
        <v>#VALUE!</v>
      </c>
      <c r="AQ3980" s="1759">
        <f t="shared" si="121"/>
        <v>3977</v>
      </c>
      <c r="AR3980" s="1756" t="e">
        <f>0.5*(S18+2*AQ3980)*LN(1+2*AQ3980/S18)</f>
        <v>#VALUE!</v>
      </c>
    </row>
    <row r="3981" spans="42:44">
      <c r="AP3981" s="1756" t="e">
        <f>IF(OR(AR3981=S13,AR3981&gt;S13),AR3981,"")</f>
        <v>#VALUE!</v>
      </c>
      <c r="AQ3981" s="1759">
        <f t="shared" si="121"/>
        <v>3978</v>
      </c>
      <c r="AR3981" s="1756" t="e">
        <f>0.5*(S18+2*AQ3981)*LN(1+2*AQ3981/S18)</f>
        <v>#VALUE!</v>
      </c>
    </row>
    <row r="3982" spans="42:44">
      <c r="AP3982" s="1756" t="e">
        <f>IF(OR(AR3982=S13,AR3982&gt;S13),AR3982,"")</f>
        <v>#VALUE!</v>
      </c>
      <c r="AQ3982" s="1759">
        <f t="shared" si="121"/>
        <v>3979</v>
      </c>
      <c r="AR3982" s="1756" t="e">
        <f>0.5*(S18+2*AQ3982)*LN(1+2*AQ3982/S18)</f>
        <v>#VALUE!</v>
      </c>
    </row>
    <row r="3983" spans="42:44">
      <c r="AP3983" s="1756" t="e">
        <f>IF(OR(AR3983=S13,AR3983&gt;S13),AR3983,"")</f>
        <v>#VALUE!</v>
      </c>
      <c r="AQ3983" s="1759">
        <f t="shared" si="121"/>
        <v>3980</v>
      </c>
      <c r="AR3983" s="1756" t="e">
        <f>0.5*(S18+2*AQ3983)*LN(1+2*AQ3983/S18)</f>
        <v>#VALUE!</v>
      </c>
    </row>
    <row r="3984" spans="42:44">
      <c r="AP3984" s="1756" t="e">
        <f>IF(OR(AR3984=S13,AR3984&gt;S13),AR3984,"")</f>
        <v>#VALUE!</v>
      </c>
      <c r="AQ3984" s="1759">
        <f t="shared" si="121"/>
        <v>3981</v>
      </c>
      <c r="AR3984" s="1756" t="e">
        <f>0.5*(S18+2*AQ3984)*LN(1+2*AQ3984/S18)</f>
        <v>#VALUE!</v>
      </c>
    </row>
    <row r="3985" spans="42:44">
      <c r="AP3985" s="1756" t="e">
        <f>IF(OR(AR3985=S13,AR3985&gt;S13),AR3985,"")</f>
        <v>#VALUE!</v>
      </c>
      <c r="AQ3985" s="1759">
        <f t="shared" si="121"/>
        <v>3982</v>
      </c>
      <c r="AR3985" s="1756" t="e">
        <f>0.5*(S18+2*AQ3985)*LN(1+2*AQ3985/S18)</f>
        <v>#VALUE!</v>
      </c>
    </row>
    <row r="3986" spans="42:44">
      <c r="AP3986" s="1756" t="e">
        <f>IF(OR(AR3986=S13,AR3986&gt;S13),AR3986,"")</f>
        <v>#VALUE!</v>
      </c>
      <c r="AQ3986" s="1759">
        <f t="shared" si="121"/>
        <v>3983</v>
      </c>
      <c r="AR3986" s="1756" t="e">
        <f>0.5*(S18+2*AQ3986)*LN(1+2*AQ3986/S18)</f>
        <v>#VALUE!</v>
      </c>
    </row>
    <row r="3987" spans="42:44">
      <c r="AP3987" s="1756" t="e">
        <f>IF(OR(AR3987=S13,AR3987&gt;S13),AR3987,"")</f>
        <v>#VALUE!</v>
      </c>
      <c r="AQ3987" s="1759">
        <f t="shared" si="121"/>
        <v>3984</v>
      </c>
      <c r="AR3987" s="1756" t="e">
        <f>0.5*(S18+2*AQ3987)*LN(1+2*AQ3987/S18)</f>
        <v>#VALUE!</v>
      </c>
    </row>
    <row r="3988" spans="42:44">
      <c r="AP3988" s="1756" t="e">
        <f>IF(OR(AR3988=S13,AR3988&gt;S13),AR3988,"")</f>
        <v>#VALUE!</v>
      </c>
      <c r="AQ3988" s="1759">
        <f t="shared" si="121"/>
        <v>3985</v>
      </c>
      <c r="AR3988" s="1756" t="e">
        <f>0.5*(S18+2*AQ3988)*LN(1+2*AQ3988/S18)</f>
        <v>#VALUE!</v>
      </c>
    </row>
    <row r="3989" spans="42:44">
      <c r="AP3989" s="1756" t="e">
        <f>IF(OR(AR3989=S13,AR3989&gt;S13),AR3989,"")</f>
        <v>#VALUE!</v>
      </c>
      <c r="AQ3989" s="1759">
        <f t="shared" si="121"/>
        <v>3986</v>
      </c>
      <c r="AR3989" s="1756" t="e">
        <f>0.5*(S18+2*AQ3989)*LN(1+2*AQ3989/S18)</f>
        <v>#VALUE!</v>
      </c>
    </row>
    <row r="3990" spans="42:44">
      <c r="AP3990" s="1756" t="e">
        <f>IF(OR(AR3990=S13,AR3990&gt;S13),AR3990,"")</f>
        <v>#VALUE!</v>
      </c>
      <c r="AQ3990" s="1759">
        <f t="shared" si="121"/>
        <v>3987</v>
      </c>
      <c r="AR3990" s="1756" t="e">
        <f>0.5*(S18+2*AQ3990)*LN(1+2*AQ3990/S18)</f>
        <v>#VALUE!</v>
      </c>
    </row>
    <row r="3991" spans="42:44">
      <c r="AP3991" s="1756" t="e">
        <f>IF(OR(AR3991=S13,AR3991&gt;S13),AR3991,"")</f>
        <v>#VALUE!</v>
      </c>
      <c r="AQ3991" s="1759">
        <f t="shared" si="121"/>
        <v>3988</v>
      </c>
      <c r="AR3991" s="1756" t="e">
        <f>0.5*(S18+2*AQ3991)*LN(1+2*AQ3991/S18)</f>
        <v>#VALUE!</v>
      </c>
    </row>
    <row r="3992" spans="42:44">
      <c r="AP3992" s="1756" t="e">
        <f>IF(OR(AR3992=S13,AR3992&gt;S13),AR3992,"")</f>
        <v>#VALUE!</v>
      </c>
      <c r="AQ3992" s="1759">
        <f t="shared" si="121"/>
        <v>3989</v>
      </c>
      <c r="AR3992" s="1756" t="e">
        <f>0.5*(S18+2*AQ3992)*LN(1+2*AQ3992/S18)</f>
        <v>#VALUE!</v>
      </c>
    </row>
    <row r="3993" spans="42:44">
      <c r="AP3993" s="1756" t="e">
        <f>IF(OR(AR3993=S13,AR3993&gt;S13),AR3993,"")</f>
        <v>#VALUE!</v>
      </c>
      <c r="AQ3993" s="1759">
        <f t="shared" si="121"/>
        <v>3990</v>
      </c>
      <c r="AR3993" s="1756" t="e">
        <f>0.5*(S18+2*AQ3993)*LN(1+2*AQ3993/S18)</f>
        <v>#VALUE!</v>
      </c>
    </row>
    <row r="3994" spans="42:44">
      <c r="AP3994" s="1756" t="e">
        <f>IF(OR(AR3994=S13,AR3994&gt;S13),AR3994,"")</f>
        <v>#VALUE!</v>
      </c>
      <c r="AQ3994" s="1759">
        <f t="shared" si="121"/>
        <v>3991</v>
      </c>
      <c r="AR3994" s="1756" t="e">
        <f>0.5*(S18+2*AQ3994)*LN(1+2*AQ3994/S18)</f>
        <v>#VALUE!</v>
      </c>
    </row>
    <row r="3995" spans="42:44">
      <c r="AP3995" s="1756" t="e">
        <f>IF(OR(AR3995=S13,AR3995&gt;S13),AR3995,"")</f>
        <v>#VALUE!</v>
      </c>
      <c r="AQ3995" s="1759">
        <f t="shared" si="121"/>
        <v>3992</v>
      </c>
      <c r="AR3995" s="1756" t="e">
        <f>0.5*(S18+2*AQ3995)*LN(1+2*AQ3995/S18)</f>
        <v>#VALUE!</v>
      </c>
    </row>
    <row r="3996" spans="42:44">
      <c r="AP3996" s="1756" t="e">
        <f>IF(OR(AR3996=S13,AR3996&gt;S13),AR3996,"")</f>
        <v>#VALUE!</v>
      </c>
      <c r="AQ3996" s="1759">
        <f t="shared" si="121"/>
        <v>3993</v>
      </c>
      <c r="AR3996" s="1756" t="e">
        <f>0.5*(S18+2*AQ3996)*LN(1+2*AQ3996/S18)</f>
        <v>#VALUE!</v>
      </c>
    </row>
    <row r="3997" spans="42:44">
      <c r="AP3997" s="1756" t="e">
        <f>IF(OR(AR3997=S13,AR3997&gt;S13),AR3997,"")</f>
        <v>#VALUE!</v>
      </c>
      <c r="AQ3997" s="1759">
        <f t="shared" si="121"/>
        <v>3994</v>
      </c>
      <c r="AR3997" s="1756" t="e">
        <f>0.5*(S18+2*AQ3997)*LN(1+2*AQ3997/S18)</f>
        <v>#VALUE!</v>
      </c>
    </row>
    <row r="3998" spans="42:44">
      <c r="AP3998" s="1756" t="e">
        <f>IF(OR(AR3998=S13,AR3998&gt;S13),AR3998,"")</f>
        <v>#VALUE!</v>
      </c>
      <c r="AQ3998" s="1759">
        <f t="shared" si="121"/>
        <v>3995</v>
      </c>
      <c r="AR3998" s="1756" t="e">
        <f>0.5*(S18+2*AQ3998)*LN(1+2*AQ3998/S18)</f>
        <v>#VALUE!</v>
      </c>
    </row>
    <row r="3999" spans="42:44">
      <c r="AP3999" s="1756" t="e">
        <f>IF(OR(AR3999=S13,AR3999&gt;S13),AR3999,"")</f>
        <v>#VALUE!</v>
      </c>
      <c r="AQ3999" s="1759">
        <f t="shared" si="121"/>
        <v>3996</v>
      </c>
      <c r="AR3999" s="1756" t="e">
        <f>0.5*(S18+2*AQ3999)*LN(1+2*AQ3999/S18)</f>
        <v>#VALUE!</v>
      </c>
    </row>
    <row r="4000" spans="42:44">
      <c r="AP4000" s="1756" t="e">
        <f>IF(OR(AR4000=S13,AR4000&gt;S13),AR4000,"")</f>
        <v>#VALUE!</v>
      </c>
      <c r="AQ4000" s="1759">
        <f t="shared" si="121"/>
        <v>3997</v>
      </c>
      <c r="AR4000" s="1756" t="e">
        <f>0.5*(S18+2*AQ4000)*LN(1+2*AQ4000/S18)</f>
        <v>#VALUE!</v>
      </c>
    </row>
    <row r="4001" spans="42:44">
      <c r="AP4001" s="1756" t="e">
        <f>IF(OR(AR4001=S13,AR4001&gt;S13),AR4001,"")</f>
        <v>#VALUE!</v>
      </c>
      <c r="AQ4001" s="1759">
        <f t="shared" si="121"/>
        <v>3998</v>
      </c>
      <c r="AR4001" s="1756" t="e">
        <f>0.5*(S18+2*AQ4001)*LN(1+2*AQ4001/S18)</f>
        <v>#VALUE!</v>
      </c>
    </row>
    <row r="4002" spans="42:44">
      <c r="AP4002" s="1756" t="e">
        <f>IF(OR(AR4002=S13,AR4002&gt;S13),AR4002,"")</f>
        <v>#VALUE!</v>
      </c>
      <c r="AQ4002" s="1759">
        <f t="shared" si="121"/>
        <v>3999</v>
      </c>
      <c r="AR4002" s="1756" t="e">
        <f>0.5*(S18+2*AQ4002)*LN(1+2*AQ4002/S18)</f>
        <v>#VALUE!</v>
      </c>
    </row>
    <row r="4003" spans="42:44">
      <c r="AP4003" s="1756" t="e">
        <f>IF(OR(AR4003=S13,AR4003&gt;S13),AR4003,"")</f>
        <v>#VALUE!</v>
      </c>
      <c r="AQ4003" s="1759">
        <f t="shared" si="121"/>
        <v>4000</v>
      </c>
      <c r="AR4003" s="1756" t="e">
        <f>0.5*(S18+2*AQ4003)*LN(1+2*AQ4003/S18)</f>
        <v>#VALUE!</v>
      </c>
    </row>
    <row r="4004" spans="42:44">
      <c r="AP4004" s="1756" t="e">
        <f>IF(OR(AR4004=S13,AR4004&gt;S13),AR4004,"")</f>
        <v>#VALUE!</v>
      </c>
      <c r="AQ4004" s="1759">
        <f t="shared" si="121"/>
        <v>4001</v>
      </c>
      <c r="AR4004" s="1756" t="e">
        <f>0.5*(S18+2*AQ4004)*LN(1+2*AQ4004/S18)</f>
        <v>#VALUE!</v>
      </c>
    </row>
    <row r="4005" spans="42:44">
      <c r="AP4005" s="1756" t="e">
        <f>IF(OR(AR4005=S13,AR4005&gt;S13),AR4005,"")</f>
        <v>#VALUE!</v>
      </c>
      <c r="AQ4005" s="1759">
        <f t="shared" si="121"/>
        <v>4002</v>
      </c>
      <c r="AR4005" s="1756" t="e">
        <f>0.5*(S18+2*AQ4005)*LN(1+2*AQ4005/S18)</f>
        <v>#VALUE!</v>
      </c>
    </row>
    <row r="4006" spans="42:44">
      <c r="AP4006" s="1756" t="e">
        <f>IF(OR(AR4006=S13,AR4006&gt;S13),AR4006,"")</f>
        <v>#VALUE!</v>
      </c>
      <c r="AQ4006" s="1759">
        <f t="shared" si="121"/>
        <v>4003</v>
      </c>
      <c r="AR4006" s="1756" t="e">
        <f>0.5*(S18+2*AQ4006)*LN(1+2*AQ4006/S18)</f>
        <v>#VALUE!</v>
      </c>
    </row>
    <row r="4007" spans="42:44">
      <c r="AP4007" s="1756" t="e">
        <f>IF(OR(AR4007=S13,AR4007&gt;S13),AR4007,"")</f>
        <v>#VALUE!</v>
      </c>
      <c r="AQ4007" s="1759">
        <f t="shared" si="121"/>
        <v>4004</v>
      </c>
      <c r="AR4007" s="1756" t="e">
        <f>0.5*(S18+2*AQ4007)*LN(1+2*AQ4007/S18)</f>
        <v>#VALUE!</v>
      </c>
    </row>
    <row r="4008" spans="42:44">
      <c r="AP4008" s="1756" t="e">
        <f>IF(OR(AR4008=S13,AR4008&gt;S13),AR4008,"")</f>
        <v>#VALUE!</v>
      </c>
      <c r="AQ4008" s="1759">
        <f t="shared" si="121"/>
        <v>4005</v>
      </c>
      <c r="AR4008" s="1756" t="e">
        <f>0.5*(S18+2*AQ4008)*LN(1+2*AQ4008/S18)</f>
        <v>#VALUE!</v>
      </c>
    </row>
    <row r="4009" spans="42:44">
      <c r="AP4009" s="1756" t="e">
        <f>IF(OR(AR4009=S13,AR4009&gt;S13),AR4009,"")</f>
        <v>#VALUE!</v>
      </c>
      <c r="AQ4009" s="1759">
        <f t="shared" si="121"/>
        <v>4006</v>
      </c>
      <c r="AR4009" s="1756" t="e">
        <f>0.5*(S18+2*AQ4009)*LN(1+2*AQ4009/S18)</f>
        <v>#VALUE!</v>
      </c>
    </row>
    <row r="4010" spans="42:44">
      <c r="AP4010" s="1756" t="e">
        <f>IF(OR(AR4010=S13,AR4010&gt;S13),AR4010,"")</f>
        <v>#VALUE!</v>
      </c>
      <c r="AQ4010" s="1759">
        <f t="shared" si="121"/>
        <v>4007</v>
      </c>
      <c r="AR4010" s="1756" t="e">
        <f>0.5*(S18+2*AQ4010)*LN(1+2*AQ4010/S18)</f>
        <v>#VALUE!</v>
      </c>
    </row>
    <row r="4011" spans="42:44">
      <c r="AP4011" s="1756" t="e">
        <f>IF(OR(AR4011=S13,AR4011&gt;S13),AR4011,"")</f>
        <v>#VALUE!</v>
      </c>
      <c r="AQ4011" s="1759">
        <f t="shared" si="121"/>
        <v>4008</v>
      </c>
      <c r="AR4011" s="1756" t="e">
        <f>0.5*(S18+2*AQ4011)*LN(1+2*AQ4011/S18)</f>
        <v>#VALUE!</v>
      </c>
    </row>
    <row r="4012" spans="42:44">
      <c r="AP4012" s="1756" t="e">
        <f>IF(OR(AR4012=S13,AR4012&gt;S13),AR4012,"")</f>
        <v>#VALUE!</v>
      </c>
      <c r="AQ4012" s="1759">
        <f t="shared" si="121"/>
        <v>4009</v>
      </c>
      <c r="AR4012" s="1756" t="e">
        <f>0.5*(S18+2*AQ4012)*LN(1+2*AQ4012/S18)</f>
        <v>#VALUE!</v>
      </c>
    </row>
    <row r="4013" spans="42:44">
      <c r="AP4013" s="1756" t="e">
        <f>IF(OR(AR4013=S13,AR4013&gt;S13),AR4013,"")</f>
        <v>#VALUE!</v>
      </c>
      <c r="AQ4013" s="1759">
        <f t="shared" si="121"/>
        <v>4010</v>
      </c>
      <c r="AR4013" s="1756" t="e">
        <f>0.5*(S18+2*AQ4013)*LN(1+2*AQ4013/S18)</f>
        <v>#VALUE!</v>
      </c>
    </row>
    <row r="4014" spans="42:44">
      <c r="AP4014" s="1756" t="e">
        <f>IF(OR(AR4014=S13,AR4014&gt;S13),AR4014,"")</f>
        <v>#VALUE!</v>
      </c>
      <c r="AQ4014" s="1759">
        <f t="shared" si="121"/>
        <v>4011</v>
      </c>
      <c r="AR4014" s="1756" t="e">
        <f>0.5*(S18+2*AQ4014)*LN(1+2*AQ4014/S18)</f>
        <v>#VALUE!</v>
      </c>
    </row>
    <row r="4015" spans="42:44">
      <c r="AP4015" s="1756" t="e">
        <f>IF(OR(AR4015=S13,AR4015&gt;S13),AR4015,"")</f>
        <v>#VALUE!</v>
      </c>
      <c r="AQ4015" s="1759">
        <f t="shared" si="121"/>
        <v>4012</v>
      </c>
      <c r="AR4015" s="1756" t="e">
        <f>0.5*(S18+2*AQ4015)*LN(1+2*AQ4015/S18)</f>
        <v>#VALUE!</v>
      </c>
    </row>
    <row r="4016" spans="42:44">
      <c r="AP4016" s="1756" t="e">
        <f>IF(OR(AR4016=S13,AR4016&gt;S13),AR4016,"")</f>
        <v>#VALUE!</v>
      </c>
      <c r="AQ4016" s="1759">
        <f t="shared" si="121"/>
        <v>4013</v>
      </c>
      <c r="AR4016" s="1756" t="e">
        <f>0.5*(S18+2*AQ4016)*LN(1+2*AQ4016/S18)</f>
        <v>#VALUE!</v>
      </c>
    </row>
    <row r="4017" spans="42:44">
      <c r="AP4017" s="1756" t="e">
        <f>IF(OR(AR4017=S13,AR4017&gt;S13),AR4017,"")</f>
        <v>#VALUE!</v>
      </c>
      <c r="AQ4017" s="1759">
        <f t="shared" si="121"/>
        <v>4014</v>
      </c>
      <c r="AR4017" s="1756" t="e">
        <f>0.5*(S18+2*AQ4017)*LN(1+2*AQ4017/S18)</f>
        <v>#VALUE!</v>
      </c>
    </row>
    <row r="4018" spans="42:44">
      <c r="AP4018" s="1756" t="e">
        <f>IF(OR(AR4018=S13,AR4018&gt;S13),AR4018,"")</f>
        <v>#VALUE!</v>
      </c>
      <c r="AQ4018" s="1759">
        <f t="shared" si="121"/>
        <v>4015</v>
      </c>
      <c r="AR4018" s="1756" t="e">
        <f>0.5*(S18+2*AQ4018)*LN(1+2*AQ4018/S18)</f>
        <v>#VALUE!</v>
      </c>
    </row>
    <row r="4019" spans="42:44">
      <c r="AP4019" s="1756" t="e">
        <f>IF(OR(AR4019=S13,AR4019&gt;S13),AR4019,"")</f>
        <v>#VALUE!</v>
      </c>
      <c r="AQ4019" s="1759">
        <f t="shared" si="121"/>
        <v>4016</v>
      </c>
      <c r="AR4019" s="1756" t="e">
        <f>0.5*(S18+2*AQ4019)*LN(1+2*AQ4019/S18)</f>
        <v>#VALUE!</v>
      </c>
    </row>
    <row r="4020" spans="42:44">
      <c r="AP4020" s="1756" t="e">
        <f>IF(OR(AR4020=S13,AR4020&gt;S13),AR4020,"")</f>
        <v>#VALUE!</v>
      </c>
      <c r="AQ4020" s="1759">
        <f t="shared" si="121"/>
        <v>4017</v>
      </c>
      <c r="AR4020" s="1756" t="e">
        <f>0.5*(S18+2*AQ4020)*LN(1+2*AQ4020/S18)</f>
        <v>#VALUE!</v>
      </c>
    </row>
    <row r="4021" spans="42:44">
      <c r="AP4021" s="1756" t="e">
        <f>IF(OR(AR4021=S13,AR4021&gt;S13),AR4021,"")</f>
        <v>#VALUE!</v>
      </c>
      <c r="AQ4021" s="1759">
        <f t="shared" si="121"/>
        <v>4018</v>
      </c>
      <c r="AR4021" s="1756" t="e">
        <f>0.5*(S18+2*AQ4021)*LN(1+2*AQ4021/S18)</f>
        <v>#VALUE!</v>
      </c>
    </row>
    <row r="4022" spans="42:44">
      <c r="AP4022" s="1756" t="e">
        <f>IF(OR(AR4022=S13,AR4022&gt;S13),AR4022,"")</f>
        <v>#VALUE!</v>
      </c>
      <c r="AQ4022" s="1759">
        <f t="shared" si="121"/>
        <v>4019</v>
      </c>
      <c r="AR4022" s="1756" t="e">
        <f>0.5*(S18+2*AQ4022)*LN(1+2*AQ4022/S18)</f>
        <v>#VALUE!</v>
      </c>
    </row>
    <row r="4023" spans="42:44">
      <c r="AP4023" s="1756" t="e">
        <f>IF(OR(AR4023=S13,AR4023&gt;S13),AR4023,"")</f>
        <v>#VALUE!</v>
      </c>
      <c r="AQ4023" s="1759">
        <f t="shared" si="121"/>
        <v>4020</v>
      </c>
      <c r="AR4023" s="1756" t="e">
        <f>0.5*(S18+2*AQ4023)*LN(1+2*AQ4023/S18)</f>
        <v>#VALUE!</v>
      </c>
    </row>
    <row r="4024" spans="42:44">
      <c r="AP4024" s="1756" t="e">
        <f>IF(OR(AR4024=S13,AR4024&gt;S13),AR4024,"")</f>
        <v>#VALUE!</v>
      </c>
      <c r="AQ4024" s="1759">
        <f t="shared" si="121"/>
        <v>4021</v>
      </c>
      <c r="AR4024" s="1756" t="e">
        <f>0.5*(S18+2*AQ4024)*LN(1+2*AQ4024/S18)</f>
        <v>#VALUE!</v>
      </c>
    </row>
    <row r="4025" spans="42:44">
      <c r="AP4025" s="1756" t="e">
        <f>IF(OR(AR4025=S13,AR4025&gt;S13),AR4025,"")</f>
        <v>#VALUE!</v>
      </c>
      <c r="AQ4025" s="1759">
        <f t="shared" si="121"/>
        <v>4022</v>
      </c>
      <c r="AR4025" s="1756" t="e">
        <f>0.5*(S18+2*AQ4025)*LN(1+2*AQ4025/S18)</f>
        <v>#VALUE!</v>
      </c>
    </row>
    <row r="4026" spans="42:44">
      <c r="AP4026" s="1756" t="e">
        <f>IF(OR(AR4026=S13,AR4026&gt;S13),AR4026,"")</f>
        <v>#VALUE!</v>
      </c>
      <c r="AQ4026" s="1759">
        <f t="shared" si="121"/>
        <v>4023</v>
      </c>
      <c r="AR4026" s="1756" t="e">
        <f>0.5*(S18+2*AQ4026)*LN(1+2*AQ4026/S18)</f>
        <v>#VALUE!</v>
      </c>
    </row>
    <row r="4027" spans="42:44">
      <c r="AP4027" s="1756" t="e">
        <f>IF(OR(AR4027=S13,AR4027&gt;S13),AR4027,"")</f>
        <v>#VALUE!</v>
      </c>
      <c r="AQ4027" s="1759">
        <f t="shared" si="121"/>
        <v>4024</v>
      </c>
      <c r="AR4027" s="1756" t="e">
        <f>0.5*(S18+2*AQ4027)*LN(1+2*AQ4027/S18)</f>
        <v>#VALUE!</v>
      </c>
    </row>
    <row r="4028" spans="42:44">
      <c r="AP4028" s="1756" t="e">
        <f>IF(OR(AR4028=S13,AR4028&gt;S13),AR4028,"")</f>
        <v>#VALUE!</v>
      </c>
      <c r="AQ4028" s="1759">
        <f t="shared" si="121"/>
        <v>4025</v>
      </c>
      <c r="AR4028" s="1756" t="e">
        <f>0.5*(S18+2*AQ4028)*LN(1+2*AQ4028/S18)</f>
        <v>#VALUE!</v>
      </c>
    </row>
    <row r="4029" spans="42:44">
      <c r="AP4029" s="1756" t="e">
        <f>IF(OR(AR4029=S13,AR4029&gt;S13),AR4029,"")</f>
        <v>#VALUE!</v>
      </c>
      <c r="AQ4029" s="1759">
        <f t="shared" si="121"/>
        <v>4026</v>
      </c>
      <c r="AR4029" s="1756" t="e">
        <f>0.5*(S18+2*AQ4029)*LN(1+2*AQ4029/S18)</f>
        <v>#VALUE!</v>
      </c>
    </row>
    <row r="4030" spans="42:44">
      <c r="AP4030" s="1756" t="e">
        <f>IF(OR(AR4030=S13,AR4030&gt;S13),AR4030,"")</f>
        <v>#VALUE!</v>
      </c>
      <c r="AQ4030" s="1759">
        <f t="shared" si="121"/>
        <v>4027</v>
      </c>
      <c r="AR4030" s="1756" t="e">
        <f>0.5*(S18+2*AQ4030)*LN(1+2*AQ4030/S18)</f>
        <v>#VALUE!</v>
      </c>
    </row>
    <row r="4031" spans="42:44">
      <c r="AP4031" s="1756" t="e">
        <f>IF(OR(AR4031=S13,AR4031&gt;S13),AR4031,"")</f>
        <v>#VALUE!</v>
      </c>
      <c r="AQ4031" s="1759">
        <f t="shared" si="121"/>
        <v>4028</v>
      </c>
      <c r="AR4031" s="1756" t="e">
        <f>0.5*(S18+2*AQ4031)*LN(1+2*AQ4031/S18)</f>
        <v>#VALUE!</v>
      </c>
    </row>
    <row r="4032" spans="42:44">
      <c r="AP4032" s="1756" t="e">
        <f>IF(OR(AR4032=S13,AR4032&gt;S13),AR4032,"")</f>
        <v>#VALUE!</v>
      </c>
      <c r="AQ4032" s="1759">
        <f t="shared" si="121"/>
        <v>4029</v>
      </c>
      <c r="AR4032" s="1756" t="e">
        <f>0.5*(S18+2*AQ4032)*LN(1+2*AQ4032/S18)</f>
        <v>#VALUE!</v>
      </c>
    </row>
    <row r="4033" spans="42:44">
      <c r="AP4033" s="1756" t="e">
        <f>IF(OR(AR4033=S13,AR4033&gt;S13),AR4033,"")</f>
        <v>#VALUE!</v>
      </c>
      <c r="AQ4033" s="1759">
        <f t="shared" si="121"/>
        <v>4030</v>
      </c>
      <c r="AR4033" s="1756" t="e">
        <f>0.5*(S18+2*AQ4033)*LN(1+2*AQ4033/S18)</f>
        <v>#VALUE!</v>
      </c>
    </row>
    <row r="4034" spans="42:44">
      <c r="AP4034" s="1756" t="e">
        <f>IF(OR(AR4034=S13,AR4034&gt;S13),AR4034,"")</f>
        <v>#VALUE!</v>
      </c>
      <c r="AQ4034" s="1759">
        <f t="shared" si="121"/>
        <v>4031</v>
      </c>
      <c r="AR4034" s="1756" t="e">
        <f>0.5*(S18+2*AQ4034)*LN(1+2*AQ4034/S18)</f>
        <v>#VALUE!</v>
      </c>
    </row>
    <row r="4035" spans="42:44">
      <c r="AP4035" s="1756" t="e">
        <f>IF(OR(AR4035=S13,AR4035&gt;S13),AR4035,"")</f>
        <v>#VALUE!</v>
      </c>
      <c r="AQ4035" s="1759">
        <f t="shared" si="121"/>
        <v>4032</v>
      </c>
      <c r="AR4035" s="1756" t="e">
        <f>0.5*(S18+2*AQ4035)*LN(1+2*AQ4035/S18)</f>
        <v>#VALUE!</v>
      </c>
    </row>
    <row r="4036" spans="42:44">
      <c r="AP4036" s="1756" t="e">
        <f>IF(OR(AR4036=S13,AR4036&gt;S13),AR4036,"")</f>
        <v>#VALUE!</v>
      </c>
      <c r="AQ4036" s="1759">
        <f t="shared" si="121"/>
        <v>4033</v>
      </c>
      <c r="AR4036" s="1756" t="e">
        <f>0.5*(S18+2*AQ4036)*LN(1+2*AQ4036/S18)</f>
        <v>#VALUE!</v>
      </c>
    </row>
    <row r="4037" spans="42:44">
      <c r="AP4037" s="1756" t="e">
        <f>IF(OR(AR4037=S13,AR4037&gt;S13),AR4037,"")</f>
        <v>#VALUE!</v>
      </c>
      <c r="AQ4037" s="1759">
        <f t="shared" si="121"/>
        <v>4034</v>
      </c>
      <c r="AR4037" s="1756" t="e">
        <f>0.5*(S18+2*AQ4037)*LN(1+2*AQ4037/S18)</f>
        <v>#VALUE!</v>
      </c>
    </row>
    <row r="4038" spans="42:44">
      <c r="AP4038" s="1756" t="e">
        <f>IF(OR(AR4038=S13,AR4038&gt;S13),AR4038,"")</f>
        <v>#VALUE!</v>
      </c>
      <c r="AQ4038" s="1759">
        <f t="shared" ref="AQ4038:AQ4101" si="122">AQ4037+1</f>
        <v>4035</v>
      </c>
      <c r="AR4038" s="1756" t="e">
        <f>0.5*(S18+2*AQ4038)*LN(1+2*AQ4038/S18)</f>
        <v>#VALUE!</v>
      </c>
    </row>
    <row r="4039" spans="42:44">
      <c r="AP4039" s="1756" t="e">
        <f>IF(OR(AR4039=S13,AR4039&gt;S13),AR4039,"")</f>
        <v>#VALUE!</v>
      </c>
      <c r="AQ4039" s="1759">
        <f t="shared" si="122"/>
        <v>4036</v>
      </c>
      <c r="AR4039" s="1756" t="e">
        <f>0.5*(S18+2*AQ4039)*LN(1+2*AQ4039/S18)</f>
        <v>#VALUE!</v>
      </c>
    </row>
    <row r="4040" spans="42:44">
      <c r="AP4040" s="1756" t="e">
        <f>IF(OR(AR4040=S13,AR4040&gt;S13),AR4040,"")</f>
        <v>#VALUE!</v>
      </c>
      <c r="AQ4040" s="1759">
        <f t="shared" si="122"/>
        <v>4037</v>
      </c>
      <c r="AR4040" s="1756" t="e">
        <f>0.5*(S18+2*AQ4040)*LN(1+2*AQ4040/S18)</f>
        <v>#VALUE!</v>
      </c>
    </row>
    <row r="4041" spans="42:44">
      <c r="AP4041" s="1756" t="e">
        <f>IF(OR(AR4041=S13,AR4041&gt;S13),AR4041,"")</f>
        <v>#VALUE!</v>
      </c>
      <c r="AQ4041" s="1759">
        <f t="shared" si="122"/>
        <v>4038</v>
      </c>
      <c r="AR4041" s="1756" t="e">
        <f>0.5*(S18+2*AQ4041)*LN(1+2*AQ4041/S18)</f>
        <v>#VALUE!</v>
      </c>
    </row>
    <row r="4042" spans="42:44">
      <c r="AP4042" s="1756" t="e">
        <f>IF(OR(AR4042=S13,AR4042&gt;S13),AR4042,"")</f>
        <v>#VALUE!</v>
      </c>
      <c r="AQ4042" s="1759">
        <f t="shared" si="122"/>
        <v>4039</v>
      </c>
      <c r="AR4042" s="1756" t="e">
        <f>0.5*(S18+2*AQ4042)*LN(1+2*AQ4042/S18)</f>
        <v>#VALUE!</v>
      </c>
    </row>
    <row r="4043" spans="42:44">
      <c r="AP4043" s="1756" t="e">
        <f>IF(OR(AR4043=S13,AR4043&gt;S13),AR4043,"")</f>
        <v>#VALUE!</v>
      </c>
      <c r="AQ4043" s="1759">
        <f t="shared" si="122"/>
        <v>4040</v>
      </c>
      <c r="AR4043" s="1756" t="e">
        <f>0.5*(S18+2*AQ4043)*LN(1+2*AQ4043/S18)</f>
        <v>#VALUE!</v>
      </c>
    </row>
    <row r="4044" spans="42:44">
      <c r="AP4044" s="1756" t="e">
        <f>IF(OR(AR4044=S13,AR4044&gt;S13),AR4044,"")</f>
        <v>#VALUE!</v>
      </c>
      <c r="AQ4044" s="1759">
        <f t="shared" si="122"/>
        <v>4041</v>
      </c>
      <c r="AR4044" s="1756" t="e">
        <f>0.5*(S18+2*AQ4044)*LN(1+2*AQ4044/S18)</f>
        <v>#VALUE!</v>
      </c>
    </row>
    <row r="4045" spans="42:44">
      <c r="AP4045" s="1756" t="e">
        <f>IF(OR(AR4045=S13,AR4045&gt;S13),AR4045,"")</f>
        <v>#VALUE!</v>
      </c>
      <c r="AQ4045" s="1759">
        <f t="shared" si="122"/>
        <v>4042</v>
      </c>
      <c r="AR4045" s="1756" t="e">
        <f>0.5*(S18+2*AQ4045)*LN(1+2*AQ4045/S18)</f>
        <v>#VALUE!</v>
      </c>
    </row>
    <row r="4046" spans="42:44">
      <c r="AP4046" s="1756" t="e">
        <f>IF(OR(AR4046=S13,AR4046&gt;S13),AR4046,"")</f>
        <v>#VALUE!</v>
      </c>
      <c r="AQ4046" s="1759">
        <f t="shared" si="122"/>
        <v>4043</v>
      </c>
      <c r="AR4046" s="1756" t="e">
        <f>0.5*(S18+2*AQ4046)*LN(1+2*AQ4046/S18)</f>
        <v>#VALUE!</v>
      </c>
    </row>
    <row r="4047" spans="42:44">
      <c r="AP4047" s="1756" t="e">
        <f>IF(OR(AR4047=S13,AR4047&gt;S13),AR4047,"")</f>
        <v>#VALUE!</v>
      </c>
      <c r="AQ4047" s="1759">
        <f t="shared" si="122"/>
        <v>4044</v>
      </c>
      <c r="AR4047" s="1756" t="e">
        <f>0.5*(S18+2*AQ4047)*LN(1+2*AQ4047/S18)</f>
        <v>#VALUE!</v>
      </c>
    </row>
    <row r="4048" spans="42:44">
      <c r="AP4048" s="1756" t="e">
        <f>IF(OR(AR4048=S13,AR4048&gt;S13),AR4048,"")</f>
        <v>#VALUE!</v>
      </c>
      <c r="AQ4048" s="1759">
        <f t="shared" si="122"/>
        <v>4045</v>
      </c>
      <c r="AR4048" s="1756" t="e">
        <f>0.5*(S18+2*AQ4048)*LN(1+2*AQ4048/S18)</f>
        <v>#VALUE!</v>
      </c>
    </row>
    <row r="4049" spans="42:44">
      <c r="AP4049" s="1756" t="e">
        <f>IF(OR(AR4049=S13,AR4049&gt;S13),AR4049,"")</f>
        <v>#VALUE!</v>
      </c>
      <c r="AQ4049" s="1759">
        <f t="shared" si="122"/>
        <v>4046</v>
      </c>
      <c r="AR4049" s="1756" t="e">
        <f>0.5*(S18+2*AQ4049)*LN(1+2*AQ4049/S18)</f>
        <v>#VALUE!</v>
      </c>
    </row>
    <row r="4050" spans="42:44">
      <c r="AP4050" s="1756" t="e">
        <f>IF(OR(AR4050=S13,AR4050&gt;S13),AR4050,"")</f>
        <v>#VALUE!</v>
      </c>
      <c r="AQ4050" s="1759">
        <f t="shared" si="122"/>
        <v>4047</v>
      </c>
      <c r="AR4050" s="1756" t="e">
        <f>0.5*(S18+2*AQ4050)*LN(1+2*AQ4050/S18)</f>
        <v>#VALUE!</v>
      </c>
    </row>
    <row r="4051" spans="42:44">
      <c r="AP4051" s="1756" t="e">
        <f>IF(OR(AR4051=S13,AR4051&gt;S13),AR4051,"")</f>
        <v>#VALUE!</v>
      </c>
      <c r="AQ4051" s="1759">
        <f t="shared" si="122"/>
        <v>4048</v>
      </c>
      <c r="AR4051" s="1756" t="e">
        <f>0.5*(S18+2*AQ4051)*LN(1+2*AQ4051/S18)</f>
        <v>#VALUE!</v>
      </c>
    </row>
    <row r="4052" spans="42:44">
      <c r="AP4052" s="1756" t="e">
        <f>IF(OR(AR4052=S13,AR4052&gt;S13),AR4052,"")</f>
        <v>#VALUE!</v>
      </c>
      <c r="AQ4052" s="1759">
        <f t="shared" si="122"/>
        <v>4049</v>
      </c>
      <c r="AR4052" s="1756" t="e">
        <f>0.5*(S18+2*AQ4052)*LN(1+2*AQ4052/S18)</f>
        <v>#VALUE!</v>
      </c>
    </row>
    <row r="4053" spans="42:44">
      <c r="AP4053" s="1756" t="e">
        <f>IF(OR(AR4053=S13,AR4053&gt;S13),AR4053,"")</f>
        <v>#VALUE!</v>
      </c>
      <c r="AQ4053" s="1759">
        <f t="shared" si="122"/>
        <v>4050</v>
      </c>
      <c r="AR4053" s="1756" t="e">
        <f>0.5*(S18+2*AQ4053)*LN(1+2*AQ4053/S18)</f>
        <v>#VALUE!</v>
      </c>
    </row>
    <row r="4054" spans="42:44">
      <c r="AP4054" s="1756" t="e">
        <f>IF(OR(AR4054=S13,AR4054&gt;S13),AR4054,"")</f>
        <v>#VALUE!</v>
      </c>
      <c r="AQ4054" s="1759">
        <f t="shared" si="122"/>
        <v>4051</v>
      </c>
      <c r="AR4054" s="1756" t="e">
        <f>0.5*(S18+2*AQ4054)*LN(1+2*AQ4054/S18)</f>
        <v>#VALUE!</v>
      </c>
    </row>
    <row r="4055" spans="42:44">
      <c r="AP4055" s="1756" t="e">
        <f>IF(OR(AR4055=S13,AR4055&gt;S13),AR4055,"")</f>
        <v>#VALUE!</v>
      </c>
      <c r="AQ4055" s="1759">
        <f t="shared" si="122"/>
        <v>4052</v>
      </c>
      <c r="AR4055" s="1756" t="e">
        <f>0.5*(S18+2*AQ4055)*LN(1+2*AQ4055/S18)</f>
        <v>#VALUE!</v>
      </c>
    </row>
    <row r="4056" spans="42:44">
      <c r="AP4056" s="1756" t="e">
        <f>IF(OR(AR4056=S13,AR4056&gt;S13),AR4056,"")</f>
        <v>#VALUE!</v>
      </c>
      <c r="AQ4056" s="1759">
        <f t="shared" si="122"/>
        <v>4053</v>
      </c>
      <c r="AR4056" s="1756" t="e">
        <f>0.5*(S18+2*AQ4056)*LN(1+2*AQ4056/S18)</f>
        <v>#VALUE!</v>
      </c>
    </row>
    <row r="4057" spans="42:44">
      <c r="AP4057" s="1756" t="e">
        <f>IF(OR(AR4057=S13,AR4057&gt;S13),AR4057,"")</f>
        <v>#VALUE!</v>
      </c>
      <c r="AQ4057" s="1759">
        <f t="shared" si="122"/>
        <v>4054</v>
      </c>
      <c r="AR4057" s="1756" t="e">
        <f>0.5*(S18+2*AQ4057)*LN(1+2*AQ4057/S18)</f>
        <v>#VALUE!</v>
      </c>
    </row>
    <row r="4058" spans="42:44">
      <c r="AP4058" s="1756" t="e">
        <f>IF(OR(AR4058=S13,AR4058&gt;S13),AR4058,"")</f>
        <v>#VALUE!</v>
      </c>
      <c r="AQ4058" s="1759">
        <f t="shared" si="122"/>
        <v>4055</v>
      </c>
      <c r="AR4058" s="1756" t="e">
        <f>0.5*(S18+2*AQ4058)*LN(1+2*AQ4058/S18)</f>
        <v>#VALUE!</v>
      </c>
    </row>
    <row r="4059" spans="42:44">
      <c r="AP4059" s="1756" t="e">
        <f>IF(OR(AR4059=S13,AR4059&gt;S13),AR4059,"")</f>
        <v>#VALUE!</v>
      </c>
      <c r="AQ4059" s="1759">
        <f t="shared" si="122"/>
        <v>4056</v>
      </c>
      <c r="AR4059" s="1756" t="e">
        <f>0.5*(S18+2*AQ4059)*LN(1+2*AQ4059/S18)</f>
        <v>#VALUE!</v>
      </c>
    </row>
    <row r="4060" spans="42:44">
      <c r="AP4060" s="1756" t="e">
        <f>IF(OR(AR4060=S13,AR4060&gt;S13),AR4060,"")</f>
        <v>#VALUE!</v>
      </c>
      <c r="AQ4060" s="1759">
        <f t="shared" si="122"/>
        <v>4057</v>
      </c>
      <c r="AR4060" s="1756" t="e">
        <f>0.5*(S18+2*AQ4060)*LN(1+2*AQ4060/S18)</f>
        <v>#VALUE!</v>
      </c>
    </row>
    <row r="4061" spans="42:44">
      <c r="AP4061" s="1756" t="e">
        <f>IF(OR(AR4061=S13,AR4061&gt;S13),AR4061,"")</f>
        <v>#VALUE!</v>
      </c>
      <c r="AQ4061" s="1759">
        <f t="shared" si="122"/>
        <v>4058</v>
      </c>
      <c r="AR4061" s="1756" t="e">
        <f>0.5*(S18+2*AQ4061)*LN(1+2*AQ4061/S18)</f>
        <v>#VALUE!</v>
      </c>
    </row>
    <row r="4062" spans="42:44">
      <c r="AP4062" s="1756" t="e">
        <f>IF(OR(AR4062=S13,AR4062&gt;S13),AR4062,"")</f>
        <v>#VALUE!</v>
      </c>
      <c r="AQ4062" s="1759">
        <f t="shared" si="122"/>
        <v>4059</v>
      </c>
      <c r="AR4062" s="1756" t="e">
        <f>0.5*(S18+2*AQ4062)*LN(1+2*AQ4062/S18)</f>
        <v>#VALUE!</v>
      </c>
    </row>
    <row r="4063" spans="42:44">
      <c r="AP4063" s="1756" t="e">
        <f>IF(OR(AR4063=S13,AR4063&gt;S13),AR4063,"")</f>
        <v>#VALUE!</v>
      </c>
      <c r="AQ4063" s="1759">
        <f t="shared" si="122"/>
        <v>4060</v>
      </c>
      <c r="AR4063" s="1756" t="e">
        <f>0.5*(S18+2*AQ4063)*LN(1+2*AQ4063/S18)</f>
        <v>#VALUE!</v>
      </c>
    </row>
    <row r="4064" spans="42:44">
      <c r="AP4064" s="1756" t="e">
        <f>IF(OR(AR4064=S13,AR4064&gt;S13),AR4064,"")</f>
        <v>#VALUE!</v>
      </c>
      <c r="AQ4064" s="1759">
        <f t="shared" si="122"/>
        <v>4061</v>
      </c>
      <c r="AR4064" s="1756" t="e">
        <f>0.5*(S18+2*AQ4064)*LN(1+2*AQ4064/S18)</f>
        <v>#VALUE!</v>
      </c>
    </row>
    <row r="4065" spans="42:44">
      <c r="AP4065" s="1756" t="e">
        <f>IF(OR(AR4065=S13,AR4065&gt;S13),AR4065,"")</f>
        <v>#VALUE!</v>
      </c>
      <c r="AQ4065" s="1759">
        <f t="shared" si="122"/>
        <v>4062</v>
      </c>
      <c r="AR4065" s="1756" t="e">
        <f>0.5*(S18+2*AQ4065)*LN(1+2*AQ4065/S18)</f>
        <v>#VALUE!</v>
      </c>
    </row>
    <row r="4066" spans="42:44">
      <c r="AP4066" s="1756" t="e">
        <f>IF(OR(AR4066=S13,AR4066&gt;S13),AR4066,"")</f>
        <v>#VALUE!</v>
      </c>
      <c r="AQ4066" s="1759">
        <f t="shared" si="122"/>
        <v>4063</v>
      </c>
      <c r="AR4066" s="1756" t="e">
        <f>0.5*(S18+2*AQ4066)*LN(1+2*AQ4066/S18)</f>
        <v>#VALUE!</v>
      </c>
    </row>
    <row r="4067" spans="42:44">
      <c r="AP4067" s="1756" t="e">
        <f>IF(OR(AR4067=S13,AR4067&gt;S13),AR4067,"")</f>
        <v>#VALUE!</v>
      </c>
      <c r="AQ4067" s="1759">
        <f t="shared" si="122"/>
        <v>4064</v>
      </c>
      <c r="AR4067" s="1756" t="e">
        <f>0.5*(S18+2*AQ4067)*LN(1+2*AQ4067/S18)</f>
        <v>#VALUE!</v>
      </c>
    </row>
    <row r="4068" spans="42:44">
      <c r="AP4068" s="1756" t="e">
        <f>IF(OR(AR4068=S13,AR4068&gt;S13),AR4068,"")</f>
        <v>#VALUE!</v>
      </c>
      <c r="AQ4068" s="1759">
        <f t="shared" si="122"/>
        <v>4065</v>
      </c>
      <c r="AR4068" s="1756" t="e">
        <f>0.5*(S18+2*AQ4068)*LN(1+2*AQ4068/S18)</f>
        <v>#VALUE!</v>
      </c>
    </row>
    <row r="4069" spans="42:44">
      <c r="AP4069" s="1756" t="e">
        <f>IF(OR(AR4069=S13,AR4069&gt;S13),AR4069,"")</f>
        <v>#VALUE!</v>
      </c>
      <c r="AQ4069" s="1759">
        <f t="shared" si="122"/>
        <v>4066</v>
      </c>
      <c r="AR4069" s="1756" t="e">
        <f>0.5*(S18+2*AQ4069)*LN(1+2*AQ4069/S18)</f>
        <v>#VALUE!</v>
      </c>
    </row>
    <row r="4070" spans="42:44">
      <c r="AP4070" s="1756" t="e">
        <f>IF(OR(AR4070=S13,AR4070&gt;S13),AR4070,"")</f>
        <v>#VALUE!</v>
      </c>
      <c r="AQ4070" s="1759">
        <f t="shared" si="122"/>
        <v>4067</v>
      </c>
      <c r="AR4070" s="1756" t="e">
        <f>0.5*(S18+2*AQ4070)*LN(1+2*AQ4070/S18)</f>
        <v>#VALUE!</v>
      </c>
    </row>
    <row r="4071" spans="42:44">
      <c r="AP4071" s="1756" t="e">
        <f>IF(OR(AR4071=S13,AR4071&gt;S13),AR4071,"")</f>
        <v>#VALUE!</v>
      </c>
      <c r="AQ4071" s="1759">
        <f t="shared" si="122"/>
        <v>4068</v>
      </c>
      <c r="AR4071" s="1756" t="e">
        <f>0.5*(S18+2*AQ4071)*LN(1+2*AQ4071/S18)</f>
        <v>#VALUE!</v>
      </c>
    </row>
    <row r="4072" spans="42:44">
      <c r="AP4072" s="1756" t="e">
        <f>IF(OR(AR4072=S13,AR4072&gt;S13),AR4072,"")</f>
        <v>#VALUE!</v>
      </c>
      <c r="AQ4072" s="1759">
        <f t="shared" si="122"/>
        <v>4069</v>
      </c>
      <c r="AR4072" s="1756" t="e">
        <f>0.5*(S18+2*AQ4072)*LN(1+2*AQ4072/S18)</f>
        <v>#VALUE!</v>
      </c>
    </row>
    <row r="4073" spans="42:44">
      <c r="AP4073" s="1756" t="e">
        <f>IF(OR(AR4073=S13,AR4073&gt;S13),AR4073,"")</f>
        <v>#VALUE!</v>
      </c>
      <c r="AQ4073" s="1759">
        <f t="shared" si="122"/>
        <v>4070</v>
      </c>
      <c r="AR4073" s="1756" t="e">
        <f>0.5*(S18+2*AQ4073)*LN(1+2*AQ4073/S18)</f>
        <v>#VALUE!</v>
      </c>
    </row>
    <row r="4074" spans="42:44">
      <c r="AP4074" s="1756" t="e">
        <f>IF(OR(AR4074=S13,AR4074&gt;S13),AR4074,"")</f>
        <v>#VALUE!</v>
      </c>
      <c r="AQ4074" s="1759">
        <f t="shared" si="122"/>
        <v>4071</v>
      </c>
      <c r="AR4074" s="1756" t="e">
        <f>0.5*(S18+2*AQ4074)*LN(1+2*AQ4074/S18)</f>
        <v>#VALUE!</v>
      </c>
    </row>
    <row r="4075" spans="42:44">
      <c r="AP4075" s="1756" t="e">
        <f>IF(OR(AR4075=S13,AR4075&gt;S13),AR4075,"")</f>
        <v>#VALUE!</v>
      </c>
      <c r="AQ4075" s="1759">
        <f t="shared" si="122"/>
        <v>4072</v>
      </c>
      <c r="AR4075" s="1756" t="e">
        <f>0.5*(S18+2*AQ4075)*LN(1+2*AQ4075/S18)</f>
        <v>#VALUE!</v>
      </c>
    </row>
    <row r="4076" spans="42:44">
      <c r="AP4076" s="1756" t="e">
        <f>IF(OR(AR4076=S13,AR4076&gt;S13),AR4076,"")</f>
        <v>#VALUE!</v>
      </c>
      <c r="AQ4076" s="1759">
        <f t="shared" si="122"/>
        <v>4073</v>
      </c>
      <c r="AR4076" s="1756" t="e">
        <f>0.5*(S18+2*AQ4076)*LN(1+2*AQ4076/S18)</f>
        <v>#VALUE!</v>
      </c>
    </row>
    <row r="4077" spans="42:44">
      <c r="AP4077" s="1756" t="e">
        <f>IF(OR(AR4077=S13,AR4077&gt;S13),AR4077,"")</f>
        <v>#VALUE!</v>
      </c>
      <c r="AQ4077" s="1759">
        <f t="shared" si="122"/>
        <v>4074</v>
      </c>
      <c r="AR4077" s="1756" t="e">
        <f>0.5*(S18+2*AQ4077)*LN(1+2*AQ4077/S18)</f>
        <v>#VALUE!</v>
      </c>
    </row>
    <row r="4078" spans="42:44">
      <c r="AP4078" s="1756" t="e">
        <f>IF(OR(AR4078=S13,AR4078&gt;S13),AR4078,"")</f>
        <v>#VALUE!</v>
      </c>
      <c r="AQ4078" s="1759">
        <f t="shared" si="122"/>
        <v>4075</v>
      </c>
      <c r="AR4078" s="1756" t="e">
        <f>0.5*(S18+2*AQ4078)*LN(1+2*AQ4078/S18)</f>
        <v>#VALUE!</v>
      </c>
    </row>
    <row r="4079" spans="42:44">
      <c r="AP4079" s="1756" t="e">
        <f>IF(OR(AR4079=S13,AR4079&gt;S13),AR4079,"")</f>
        <v>#VALUE!</v>
      </c>
      <c r="AQ4079" s="1759">
        <f t="shared" si="122"/>
        <v>4076</v>
      </c>
      <c r="AR4079" s="1756" t="e">
        <f>0.5*(S18+2*AQ4079)*LN(1+2*AQ4079/S18)</f>
        <v>#VALUE!</v>
      </c>
    </row>
    <row r="4080" spans="42:44">
      <c r="AP4080" s="1756" t="e">
        <f>IF(OR(AR4080=S13,AR4080&gt;S13),AR4080,"")</f>
        <v>#VALUE!</v>
      </c>
      <c r="AQ4080" s="1759">
        <f t="shared" si="122"/>
        <v>4077</v>
      </c>
      <c r="AR4080" s="1756" t="e">
        <f>0.5*(S18+2*AQ4080)*LN(1+2*AQ4080/S18)</f>
        <v>#VALUE!</v>
      </c>
    </row>
    <row r="4081" spans="42:44">
      <c r="AP4081" s="1756" t="e">
        <f>IF(OR(AR4081=S13,AR4081&gt;S13),AR4081,"")</f>
        <v>#VALUE!</v>
      </c>
      <c r="AQ4081" s="1759">
        <f t="shared" si="122"/>
        <v>4078</v>
      </c>
      <c r="AR4081" s="1756" t="e">
        <f>0.5*(S18+2*AQ4081)*LN(1+2*AQ4081/S18)</f>
        <v>#VALUE!</v>
      </c>
    </row>
    <row r="4082" spans="42:44">
      <c r="AP4082" s="1756" t="e">
        <f>IF(OR(AR4082=S13,AR4082&gt;S13),AR4082,"")</f>
        <v>#VALUE!</v>
      </c>
      <c r="AQ4082" s="1759">
        <f t="shared" si="122"/>
        <v>4079</v>
      </c>
      <c r="AR4082" s="1756" t="e">
        <f>0.5*(S18+2*AQ4082)*LN(1+2*AQ4082/S18)</f>
        <v>#VALUE!</v>
      </c>
    </row>
    <row r="4083" spans="42:44">
      <c r="AP4083" s="1756" t="e">
        <f>IF(OR(AR4083=S13,AR4083&gt;S13),AR4083,"")</f>
        <v>#VALUE!</v>
      </c>
      <c r="AQ4083" s="1759">
        <f t="shared" si="122"/>
        <v>4080</v>
      </c>
      <c r="AR4083" s="1756" t="e">
        <f>0.5*(S18+2*AQ4083)*LN(1+2*AQ4083/S18)</f>
        <v>#VALUE!</v>
      </c>
    </row>
    <row r="4084" spans="42:44">
      <c r="AP4084" s="1756" t="e">
        <f>IF(OR(AR4084=S13,AR4084&gt;S13),AR4084,"")</f>
        <v>#VALUE!</v>
      </c>
      <c r="AQ4084" s="1759">
        <f t="shared" si="122"/>
        <v>4081</v>
      </c>
      <c r="AR4084" s="1756" t="e">
        <f>0.5*(S18+2*AQ4084)*LN(1+2*AQ4084/S18)</f>
        <v>#VALUE!</v>
      </c>
    </row>
    <row r="4085" spans="42:44">
      <c r="AP4085" s="1756" t="e">
        <f>IF(OR(AR4085=S13,AR4085&gt;S13),AR4085,"")</f>
        <v>#VALUE!</v>
      </c>
      <c r="AQ4085" s="1759">
        <f t="shared" si="122"/>
        <v>4082</v>
      </c>
      <c r="AR4085" s="1756" t="e">
        <f>0.5*(S18+2*AQ4085)*LN(1+2*AQ4085/S18)</f>
        <v>#VALUE!</v>
      </c>
    </row>
    <row r="4086" spans="42:44">
      <c r="AP4086" s="1756" t="e">
        <f>IF(OR(AR4086=S13,AR4086&gt;S13),AR4086,"")</f>
        <v>#VALUE!</v>
      </c>
      <c r="AQ4086" s="1759">
        <f t="shared" si="122"/>
        <v>4083</v>
      </c>
      <c r="AR4086" s="1756" t="e">
        <f>0.5*(S18+2*AQ4086)*LN(1+2*AQ4086/S18)</f>
        <v>#VALUE!</v>
      </c>
    </row>
    <row r="4087" spans="42:44">
      <c r="AP4087" s="1756" t="e">
        <f>IF(OR(AR4087=S13,AR4087&gt;S13),AR4087,"")</f>
        <v>#VALUE!</v>
      </c>
      <c r="AQ4087" s="1759">
        <f t="shared" si="122"/>
        <v>4084</v>
      </c>
      <c r="AR4087" s="1756" t="e">
        <f>0.5*(S18+2*AQ4087)*LN(1+2*AQ4087/S18)</f>
        <v>#VALUE!</v>
      </c>
    </row>
    <row r="4088" spans="42:44">
      <c r="AP4088" s="1756" t="e">
        <f>IF(OR(AR4088=S13,AR4088&gt;S13),AR4088,"")</f>
        <v>#VALUE!</v>
      </c>
      <c r="AQ4088" s="1759">
        <f t="shared" si="122"/>
        <v>4085</v>
      </c>
      <c r="AR4088" s="1756" t="e">
        <f>0.5*(S18+2*AQ4088)*LN(1+2*AQ4088/S18)</f>
        <v>#VALUE!</v>
      </c>
    </row>
    <row r="4089" spans="42:44">
      <c r="AP4089" s="1756" t="e">
        <f>IF(OR(AR4089=S13,AR4089&gt;S13),AR4089,"")</f>
        <v>#VALUE!</v>
      </c>
      <c r="AQ4089" s="1759">
        <f t="shared" si="122"/>
        <v>4086</v>
      </c>
      <c r="AR4089" s="1756" t="e">
        <f>0.5*(S18+2*AQ4089)*LN(1+2*AQ4089/S18)</f>
        <v>#VALUE!</v>
      </c>
    </row>
    <row r="4090" spans="42:44">
      <c r="AP4090" s="1756" t="e">
        <f>IF(OR(AR4090=S13,AR4090&gt;S13),AR4090,"")</f>
        <v>#VALUE!</v>
      </c>
      <c r="AQ4090" s="1759">
        <f t="shared" si="122"/>
        <v>4087</v>
      </c>
      <c r="AR4090" s="1756" t="e">
        <f>0.5*(S18+2*AQ4090)*LN(1+2*AQ4090/S18)</f>
        <v>#VALUE!</v>
      </c>
    </row>
    <row r="4091" spans="42:44">
      <c r="AP4091" s="1756" t="e">
        <f>IF(OR(AR4091=S13,AR4091&gt;S13),AR4091,"")</f>
        <v>#VALUE!</v>
      </c>
      <c r="AQ4091" s="1759">
        <f t="shared" si="122"/>
        <v>4088</v>
      </c>
      <c r="AR4091" s="1756" t="e">
        <f>0.5*(S18+2*AQ4091)*LN(1+2*AQ4091/S18)</f>
        <v>#VALUE!</v>
      </c>
    </row>
    <row r="4092" spans="42:44">
      <c r="AP4092" s="1756" t="e">
        <f>IF(OR(AR4092=S13,AR4092&gt;S13),AR4092,"")</f>
        <v>#VALUE!</v>
      </c>
      <c r="AQ4092" s="1759">
        <f t="shared" si="122"/>
        <v>4089</v>
      </c>
      <c r="AR4092" s="1756" t="e">
        <f>0.5*(S18+2*AQ4092)*LN(1+2*AQ4092/S18)</f>
        <v>#VALUE!</v>
      </c>
    </row>
    <row r="4093" spans="42:44">
      <c r="AP4093" s="1756" t="e">
        <f>IF(OR(AR4093=S13,AR4093&gt;S13),AR4093,"")</f>
        <v>#VALUE!</v>
      </c>
      <c r="AQ4093" s="1759">
        <f t="shared" si="122"/>
        <v>4090</v>
      </c>
      <c r="AR4093" s="1756" t="e">
        <f>0.5*(S18+2*AQ4093)*LN(1+2*AQ4093/S18)</f>
        <v>#VALUE!</v>
      </c>
    </row>
    <row r="4094" spans="42:44">
      <c r="AP4094" s="1756" t="e">
        <f>IF(OR(AR4094=S13,AR4094&gt;S13),AR4094,"")</f>
        <v>#VALUE!</v>
      </c>
      <c r="AQ4094" s="1759">
        <f t="shared" si="122"/>
        <v>4091</v>
      </c>
      <c r="AR4094" s="1756" t="e">
        <f>0.5*(S18+2*AQ4094)*LN(1+2*AQ4094/S18)</f>
        <v>#VALUE!</v>
      </c>
    </row>
    <row r="4095" spans="42:44">
      <c r="AP4095" s="1756" t="e">
        <f>IF(OR(AR4095=S13,AR4095&gt;S13),AR4095,"")</f>
        <v>#VALUE!</v>
      </c>
      <c r="AQ4095" s="1759">
        <f t="shared" si="122"/>
        <v>4092</v>
      </c>
      <c r="AR4095" s="1756" t="e">
        <f>0.5*(S18+2*AQ4095)*LN(1+2*AQ4095/S18)</f>
        <v>#VALUE!</v>
      </c>
    </row>
    <row r="4096" spans="42:44">
      <c r="AP4096" s="1756" t="e">
        <f>IF(OR(AR4096=S13,AR4096&gt;S13),AR4096,"")</f>
        <v>#VALUE!</v>
      </c>
      <c r="AQ4096" s="1759">
        <f t="shared" si="122"/>
        <v>4093</v>
      </c>
      <c r="AR4096" s="1756" t="e">
        <f>0.5*(S18+2*AQ4096)*LN(1+2*AQ4096/S18)</f>
        <v>#VALUE!</v>
      </c>
    </row>
    <row r="4097" spans="42:44">
      <c r="AP4097" s="1756" t="e">
        <f>IF(OR(AR4097=S13,AR4097&gt;S13),AR4097,"")</f>
        <v>#VALUE!</v>
      </c>
      <c r="AQ4097" s="1759">
        <f t="shared" si="122"/>
        <v>4094</v>
      </c>
      <c r="AR4097" s="1756" t="e">
        <f>0.5*(S18+2*AQ4097)*LN(1+2*AQ4097/S18)</f>
        <v>#VALUE!</v>
      </c>
    </row>
    <row r="4098" spans="42:44">
      <c r="AP4098" s="1756" t="e">
        <f>IF(OR(AR4098=S13,AR4098&gt;S13),AR4098,"")</f>
        <v>#VALUE!</v>
      </c>
      <c r="AQ4098" s="1759">
        <f t="shared" si="122"/>
        <v>4095</v>
      </c>
      <c r="AR4098" s="1756" t="e">
        <f>0.5*(S18+2*AQ4098)*LN(1+2*AQ4098/S18)</f>
        <v>#VALUE!</v>
      </c>
    </row>
    <row r="4099" spans="42:44">
      <c r="AP4099" s="1756" t="e">
        <f>IF(OR(AR4099=S13,AR4099&gt;S13),AR4099,"")</f>
        <v>#VALUE!</v>
      </c>
      <c r="AQ4099" s="1759">
        <f t="shared" si="122"/>
        <v>4096</v>
      </c>
      <c r="AR4099" s="1756" t="e">
        <f>0.5*(S18+2*AQ4099)*LN(1+2*AQ4099/S18)</f>
        <v>#VALUE!</v>
      </c>
    </row>
    <row r="4100" spans="42:44">
      <c r="AP4100" s="1756" t="e">
        <f>IF(OR(AR4100=S13,AR4100&gt;S13),AR4100,"")</f>
        <v>#VALUE!</v>
      </c>
      <c r="AQ4100" s="1759">
        <f t="shared" si="122"/>
        <v>4097</v>
      </c>
      <c r="AR4100" s="1756" t="e">
        <f>0.5*(S18+2*AQ4100)*LN(1+2*AQ4100/S18)</f>
        <v>#VALUE!</v>
      </c>
    </row>
    <row r="4101" spans="42:44">
      <c r="AP4101" s="1756" t="e">
        <f>IF(OR(AR4101=S13,AR4101&gt;S13),AR4101,"")</f>
        <v>#VALUE!</v>
      </c>
      <c r="AQ4101" s="1759">
        <f t="shared" si="122"/>
        <v>4098</v>
      </c>
      <c r="AR4101" s="1756" t="e">
        <f>0.5*(S18+2*AQ4101)*LN(1+2*AQ4101/S18)</f>
        <v>#VALUE!</v>
      </c>
    </row>
    <row r="4102" spans="42:44">
      <c r="AP4102" s="1756" t="e">
        <f>IF(OR(AR4102=S13,AR4102&gt;S13),AR4102,"")</f>
        <v>#VALUE!</v>
      </c>
      <c r="AQ4102" s="1759">
        <f t="shared" ref="AQ4102:AQ4165" si="123">AQ4101+1</f>
        <v>4099</v>
      </c>
      <c r="AR4102" s="1756" t="e">
        <f>0.5*(S18+2*AQ4102)*LN(1+2*AQ4102/S18)</f>
        <v>#VALUE!</v>
      </c>
    </row>
    <row r="4103" spans="42:44">
      <c r="AP4103" s="1756" t="e">
        <f>IF(OR(AR4103=S13,AR4103&gt;S13),AR4103,"")</f>
        <v>#VALUE!</v>
      </c>
      <c r="AQ4103" s="1759">
        <f t="shared" si="123"/>
        <v>4100</v>
      </c>
      <c r="AR4103" s="1756" t="e">
        <f>0.5*(S18+2*AQ4103)*LN(1+2*AQ4103/S18)</f>
        <v>#VALUE!</v>
      </c>
    </row>
    <row r="4104" spans="42:44">
      <c r="AP4104" s="1756" t="e">
        <f>IF(OR(AR4104=S13,AR4104&gt;S13),AR4104,"")</f>
        <v>#VALUE!</v>
      </c>
      <c r="AQ4104" s="1759">
        <f t="shared" si="123"/>
        <v>4101</v>
      </c>
      <c r="AR4104" s="1756" t="e">
        <f>0.5*(S18+2*AQ4104)*LN(1+2*AQ4104/S18)</f>
        <v>#VALUE!</v>
      </c>
    </row>
    <row r="4105" spans="42:44">
      <c r="AP4105" s="1756" t="e">
        <f>IF(OR(AR4105=S13,AR4105&gt;S13),AR4105,"")</f>
        <v>#VALUE!</v>
      </c>
      <c r="AQ4105" s="1759">
        <f t="shared" si="123"/>
        <v>4102</v>
      </c>
      <c r="AR4105" s="1756" t="e">
        <f>0.5*(S18+2*AQ4105)*LN(1+2*AQ4105/S18)</f>
        <v>#VALUE!</v>
      </c>
    </row>
    <row r="4106" spans="42:44">
      <c r="AP4106" s="1756" t="e">
        <f>IF(OR(AR4106=S13,AR4106&gt;S13),AR4106,"")</f>
        <v>#VALUE!</v>
      </c>
      <c r="AQ4106" s="1759">
        <f t="shared" si="123"/>
        <v>4103</v>
      </c>
      <c r="AR4106" s="1756" t="e">
        <f>0.5*(S18+2*AQ4106)*LN(1+2*AQ4106/S18)</f>
        <v>#VALUE!</v>
      </c>
    </row>
    <row r="4107" spans="42:44">
      <c r="AP4107" s="1756" t="e">
        <f>IF(OR(AR4107=S13,AR4107&gt;S13),AR4107,"")</f>
        <v>#VALUE!</v>
      </c>
      <c r="AQ4107" s="1759">
        <f t="shared" si="123"/>
        <v>4104</v>
      </c>
      <c r="AR4107" s="1756" t="e">
        <f>0.5*(S18+2*AQ4107)*LN(1+2*AQ4107/S18)</f>
        <v>#VALUE!</v>
      </c>
    </row>
    <row r="4108" spans="42:44">
      <c r="AP4108" s="1756" t="e">
        <f>IF(OR(AR4108=S13,AR4108&gt;S13),AR4108,"")</f>
        <v>#VALUE!</v>
      </c>
      <c r="AQ4108" s="1759">
        <f t="shared" si="123"/>
        <v>4105</v>
      </c>
      <c r="AR4108" s="1756" t="e">
        <f>0.5*(S18+2*AQ4108)*LN(1+2*AQ4108/S18)</f>
        <v>#VALUE!</v>
      </c>
    </row>
    <row r="4109" spans="42:44">
      <c r="AP4109" s="1756" t="e">
        <f>IF(OR(AR4109=S13,AR4109&gt;S13),AR4109,"")</f>
        <v>#VALUE!</v>
      </c>
      <c r="AQ4109" s="1759">
        <f t="shared" si="123"/>
        <v>4106</v>
      </c>
      <c r="AR4109" s="1756" t="e">
        <f>0.5*(S18+2*AQ4109)*LN(1+2*AQ4109/S18)</f>
        <v>#VALUE!</v>
      </c>
    </row>
    <row r="4110" spans="42:44">
      <c r="AP4110" s="1756" t="e">
        <f>IF(OR(AR4110=S13,AR4110&gt;S13),AR4110,"")</f>
        <v>#VALUE!</v>
      </c>
      <c r="AQ4110" s="1759">
        <f t="shared" si="123"/>
        <v>4107</v>
      </c>
      <c r="AR4110" s="1756" t="e">
        <f>0.5*(S18+2*AQ4110)*LN(1+2*AQ4110/S18)</f>
        <v>#VALUE!</v>
      </c>
    </row>
    <row r="4111" spans="42:44">
      <c r="AP4111" s="1756" t="e">
        <f>IF(OR(AR4111=S13,AR4111&gt;S13),AR4111,"")</f>
        <v>#VALUE!</v>
      </c>
      <c r="AQ4111" s="1759">
        <f t="shared" si="123"/>
        <v>4108</v>
      </c>
      <c r="AR4111" s="1756" t="e">
        <f>0.5*(S18+2*AQ4111)*LN(1+2*AQ4111/S18)</f>
        <v>#VALUE!</v>
      </c>
    </row>
    <row r="4112" spans="42:44">
      <c r="AP4112" s="1756" t="e">
        <f>IF(OR(AR4112=S13,AR4112&gt;S13),AR4112,"")</f>
        <v>#VALUE!</v>
      </c>
      <c r="AQ4112" s="1759">
        <f t="shared" si="123"/>
        <v>4109</v>
      </c>
      <c r="AR4112" s="1756" t="e">
        <f>0.5*(S18+2*AQ4112)*LN(1+2*AQ4112/S18)</f>
        <v>#VALUE!</v>
      </c>
    </row>
    <row r="4113" spans="42:44">
      <c r="AP4113" s="1756" t="e">
        <f>IF(OR(AR4113=S13,AR4113&gt;S13),AR4113,"")</f>
        <v>#VALUE!</v>
      </c>
      <c r="AQ4113" s="1759">
        <f t="shared" si="123"/>
        <v>4110</v>
      </c>
      <c r="AR4113" s="1756" t="e">
        <f>0.5*(S18+2*AQ4113)*LN(1+2*AQ4113/S18)</f>
        <v>#VALUE!</v>
      </c>
    </row>
    <row r="4114" spans="42:44">
      <c r="AP4114" s="1756" t="e">
        <f>IF(OR(AR4114=S13,AR4114&gt;S13),AR4114,"")</f>
        <v>#VALUE!</v>
      </c>
      <c r="AQ4114" s="1759">
        <f t="shared" si="123"/>
        <v>4111</v>
      </c>
      <c r="AR4114" s="1756" t="e">
        <f>0.5*(S18+2*AQ4114)*LN(1+2*AQ4114/S18)</f>
        <v>#VALUE!</v>
      </c>
    </row>
    <row r="4115" spans="42:44">
      <c r="AP4115" s="1756" t="e">
        <f>IF(OR(AR4115=S13,AR4115&gt;S13),AR4115,"")</f>
        <v>#VALUE!</v>
      </c>
      <c r="AQ4115" s="1759">
        <f t="shared" si="123"/>
        <v>4112</v>
      </c>
      <c r="AR4115" s="1756" t="e">
        <f>0.5*(S18+2*AQ4115)*LN(1+2*AQ4115/S18)</f>
        <v>#VALUE!</v>
      </c>
    </row>
    <row r="4116" spans="42:44">
      <c r="AP4116" s="1756" t="e">
        <f>IF(OR(AR4116=S13,AR4116&gt;S13),AR4116,"")</f>
        <v>#VALUE!</v>
      </c>
      <c r="AQ4116" s="1759">
        <f t="shared" si="123"/>
        <v>4113</v>
      </c>
      <c r="AR4116" s="1756" t="e">
        <f>0.5*(S18+2*AQ4116)*LN(1+2*AQ4116/S18)</f>
        <v>#VALUE!</v>
      </c>
    </row>
    <row r="4117" spans="42:44">
      <c r="AP4117" s="1756" t="e">
        <f>IF(OR(AR4117=S13,AR4117&gt;S13),AR4117,"")</f>
        <v>#VALUE!</v>
      </c>
      <c r="AQ4117" s="1759">
        <f t="shared" si="123"/>
        <v>4114</v>
      </c>
      <c r="AR4117" s="1756" t="e">
        <f>0.5*(S18+2*AQ4117)*LN(1+2*AQ4117/S18)</f>
        <v>#VALUE!</v>
      </c>
    </row>
    <row r="4118" spans="42:44">
      <c r="AP4118" s="1756" t="e">
        <f>IF(OR(AR4118=S13,AR4118&gt;S13),AR4118,"")</f>
        <v>#VALUE!</v>
      </c>
      <c r="AQ4118" s="1759">
        <f t="shared" si="123"/>
        <v>4115</v>
      </c>
      <c r="AR4118" s="1756" t="e">
        <f>0.5*(S18+2*AQ4118)*LN(1+2*AQ4118/S18)</f>
        <v>#VALUE!</v>
      </c>
    </row>
    <row r="4119" spans="42:44">
      <c r="AP4119" s="1756" t="e">
        <f>IF(OR(AR4119=S13,AR4119&gt;S13),AR4119,"")</f>
        <v>#VALUE!</v>
      </c>
      <c r="AQ4119" s="1759">
        <f t="shared" si="123"/>
        <v>4116</v>
      </c>
      <c r="AR4119" s="1756" t="e">
        <f>0.5*(S18+2*AQ4119)*LN(1+2*AQ4119/S18)</f>
        <v>#VALUE!</v>
      </c>
    </row>
    <row r="4120" spans="42:44">
      <c r="AP4120" s="1756" t="e">
        <f>IF(OR(AR4120=S13,AR4120&gt;S13),AR4120,"")</f>
        <v>#VALUE!</v>
      </c>
      <c r="AQ4120" s="1759">
        <f t="shared" si="123"/>
        <v>4117</v>
      </c>
      <c r="AR4120" s="1756" t="e">
        <f>0.5*(S18+2*AQ4120)*LN(1+2*AQ4120/S18)</f>
        <v>#VALUE!</v>
      </c>
    </row>
    <row r="4121" spans="42:44">
      <c r="AP4121" s="1756" t="e">
        <f>IF(OR(AR4121=S13,AR4121&gt;S13),AR4121,"")</f>
        <v>#VALUE!</v>
      </c>
      <c r="AQ4121" s="1759">
        <f t="shared" si="123"/>
        <v>4118</v>
      </c>
      <c r="AR4121" s="1756" t="e">
        <f>0.5*(S18+2*AQ4121)*LN(1+2*AQ4121/S18)</f>
        <v>#VALUE!</v>
      </c>
    </row>
    <row r="4122" spans="42:44">
      <c r="AP4122" s="1756" t="e">
        <f>IF(OR(AR4122=S13,AR4122&gt;S13),AR4122,"")</f>
        <v>#VALUE!</v>
      </c>
      <c r="AQ4122" s="1759">
        <f t="shared" si="123"/>
        <v>4119</v>
      </c>
      <c r="AR4122" s="1756" t="e">
        <f>0.5*(S18+2*AQ4122)*LN(1+2*AQ4122/S18)</f>
        <v>#VALUE!</v>
      </c>
    </row>
    <row r="4123" spans="42:44">
      <c r="AP4123" s="1756" t="e">
        <f>IF(OR(AR4123=S13,AR4123&gt;S13),AR4123,"")</f>
        <v>#VALUE!</v>
      </c>
      <c r="AQ4123" s="1759">
        <f t="shared" si="123"/>
        <v>4120</v>
      </c>
      <c r="AR4123" s="1756" t="e">
        <f>0.5*(S18+2*AQ4123)*LN(1+2*AQ4123/S18)</f>
        <v>#VALUE!</v>
      </c>
    </row>
    <row r="4124" spans="42:44">
      <c r="AP4124" s="1756" t="e">
        <f>IF(OR(AR4124=S13,AR4124&gt;S13),AR4124,"")</f>
        <v>#VALUE!</v>
      </c>
      <c r="AQ4124" s="1759">
        <f t="shared" si="123"/>
        <v>4121</v>
      </c>
      <c r="AR4124" s="1756" t="e">
        <f>0.5*(S18+2*AQ4124)*LN(1+2*AQ4124/S18)</f>
        <v>#VALUE!</v>
      </c>
    </row>
    <row r="4125" spans="42:44">
      <c r="AP4125" s="1756" t="e">
        <f>IF(OR(AR4125=S13,AR4125&gt;S13),AR4125,"")</f>
        <v>#VALUE!</v>
      </c>
      <c r="AQ4125" s="1759">
        <f t="shared" si="123"/>
        <v>4122</v>
      </c>
      <c r="AR4125" s="1756" t="e">
        <f>0.5*(S18+2*AQ4125)*LN(1+2*AQ4125/S18)</f>
        <v>#VALUE!</v>
      </c>
    </row>
    <row r="4126" spans="42:44">
      <c r="AP4126" s="1756" t="e">
        <f>IF(OR(AR4126=S13,AR4126&gt;S13),AR4126,"")</f>
        <v>#VALUE!</v>
      </c>
      <c r="AQ4126" s="1759">
        <f t="shared" si="123"/>
        <v>4123</v>
      </c>
      <c r="AR4126" s="1756" t="e">
        <f>0.5*(S18+2*AQ4126)*LN(1+2*AQ4126/S18)</f>
        <v>#VALUE!</v>
      </c>
    </row>
    <row r="4127" spans="42:44">
      <c r="AP4127" s="1756" t="e">
        <f>IF(OR(AR4127=S13,AR4127&gt;S13),AR4127,"")</f>
        <v>#VALUE!</v>
      </c>
      <c r="AQ4127" s="1759">
        <f t="shared" si="123"/>
        <v>4124</v>
      </c>
      <c r="AR4127" s="1756" t="e">
        <f>0.5*(S18+2*AQ4127)*LN(1+2*AQ4127/S18)</f>
        <v>#VALUE!</v>
      </c>
    </row>
    <row r="4128" spans="42:44">
      <c r="AP4128" s="1756" t="e">
        <f>IF(OR(AR4128=S13,AR4128&gt;S13),AR4128,"")</f>
        <v>#VALUE!</v>
      </c>
      <c r="AQ4128" s="1759">
        <f t="shared" si="123"/>
        <v>4125</v>
      </c>
      <c r="AR4128" s="1756" t="e">
        <f>0.5*(S18+2*AQ4128)*LN(1+2*AQ4128/S18)</f>
        <v>#VALUE!</v>
      </c>
    </row>
    <row r="4129" spans="42:44">
      <c r="AP4129" s="1756" t="e">
        <f>IF(OR(AR4129=S13,AR4129&gt;S13),AR4129,"")</f>
        <v>#VALUE!</v>
      </c>
      <c r="AQ4129" s="1759">
        <f t="shared" si="123"/>
        <v>4126</v>
      </c>
      <c r="AR4129" s="1756" t="e">
        <f>0.5*(S18+2*AQ4129)*LN(1+2*AQ4129/S18)</f>
        <v>#VALUE!</v>
      </c>
    </row>
    <row r="4130" spans="42:44">
      <c r="AP4130" s="1756" t="e">
        <f>IF(OR(AR4130=S13,AR4130&gt;S13),AR4130,"")</f>
        <v>#VALUE!</v>
      </c>
      <c r="AQ4130" s="1759">
        <f t="shared" si="123"/>
        <v>4127</v>
      </c>
      <c r="AR4130" s="1756" t="e">
        <f>0.5*(S18+2*AQ4130)*LN(1+2*AQ4130/S18)</f>
        <v>#VALUE!</v>
      </c>
    </row>
    <row r="4131" spans="42:44">
      <c r="AP4131" s="1756" t="e">
        <f>IF(OR(AR4131=S13,AR4131&gt;S13),AR4131,"")</f>
        <v>#VALUE!</v>
      </c>
      <c r="AQ4131" s="1759">
        <f t="shared" si="123"/>
        <v>4128</v>
      </c>
      <c r="AR4131" s="1756" t="e">
        <f>0.5*(S18+2*AQ4131)*LN(1+2*AQ4131/S18)</f>
        <v>#VALUE!</v>
      </c>
    </row>
    <row r="4132" spans="42:44">
      <c r="AP4132" s="1756" t="e">
        <f>IF(OR(AR4132=S13,AR4132&gt;S13),AR4132,"")</f>
        <v>#VALUE!</v>
      </c>
      <c r="AQ4132" s="1759">
        <f t="shared" si="123"/>
        <v>4129</v>
      </c>
      <c r="AR4132" s="1756" t="e">
        <f>0.5*(S18+2*AQ4132)*LN(1+2*AQ4132/S18)</f>
        <v>#VALUE!</v>
      </c>
    </row>
    <row r="4133" spans="42:44">
      <c r="AP4133" s="1756" t="e">
        <f>IF(OR(AR4133=S13,AR4133&gt;S13),AR4133,"")</f>
        <v>#VALUE!</v>
      </c>
      <c r="AQ4133" s="1759">
        <f t="shared" si="123"/>
        <v>4130</v>
      </c>
      <c r="AR4133" s="1756" t="e">
        <f>0.5*(S18+2*AQ4133)*LN(1+2*AQ4133/S18)</f>
        <v>#VALUE!</v>
      </c>
    </row>
    <row r="4134" spans="42:44">
      <c r="AP4134" s="1756" t="e">
        <f>IF(OR(AR4134=S13,AR4134&gt;S13),AR4134,"")</f>
        <v>#VALUE!</v>
      </c>
      <c r="AQ4134" s="1759">
        <f t="shared" si="123"/>
        <v>4131</v>
      </c>
      <c r="AR4134" s="1756" t="e">
        <f>0.5*(S18+2*AQ4134)*LN(1+2*AQ4134/S18)</f>
        <v>#VALUE!</v>
      </c>
    </row>
    <row r="4135" spans="42:44">
      <c r="AP4135" s="1756" t="e">
        <f>IF(OR(AR4135=S13,AR4135&gt;S13),AR4135,"")</f>
        <v>#VALUE!</v>
      </c>
      <c r="AQ4135" s="1759">
        <f t="shared" si="123"/>
        <v>4132</v>
      </c>
      <c r="AR4135" s="1756" t="e">
        <f>0.5*(S18+2*AQ4135)*LN(1+2*AQ4135/S18)</f>
        <v>#VALUE!</v>
      </c>
    </row>
    <row r="4136" spans="42:44">
      <c r="AP4136" s="1756" t="e">
        <f>IF(OR(AR4136=S13,AR4136&gt;S13),AR4136,"")</f>
        <v>#VALUE!</v>
      </c>
      <c r="AQ4136" s="1759">
        <f t="shared" si="123"/>
        <v>4133</v>
      </c>
      <c r="AR4136" s="1756" t="e">
        <f>0.5*(S18+2*AQ4136)*LN(1+2*AQ4136/S18)</f>
        <v>#VALUE!</v>
      </c>
    </row>
    <row r="4137" spans="42:44">
      <c r="AP4137" s="1756" t="e">
        <f>IF(OR(AR4137=S13,AR4137&gt;S13),AR4137,"")</f>
        <v>#VALUE!</v>
      </c>
      <c r="AQ4137" s="1759">
        <f t="shared" si="123"/>
        <v>4134</v>
      </c>
      <c r="AR4137" s="1756" t="e">
        <f>0.5*(S18+2*AQ4137)*LN(1+2*AQ4137/S18)</f>
        <v>#VALUE!</v>
      </c>
    </row>
    <row r="4138" spans="42:44">
      <c r="AP4138" s="1756" t="e">
        <f>IF(OR(AR4138=S13,AR4138&gt;S13),AR4138,"")</f>
        <v>#VALUE!</v>
      </c>
      <c r="AQ4138" s="1759">
        <f t="shared" si="123"/>
        <v>4135</v>
      </c>
      <c r="AR4138" s="1756" t="e">
        <f>0.5*(S18+2*AQ4138)*LN(1+2*AQ4138/S18)</f>
        <v>#VALUE!</v>
      </c>
    </row>
    <row r="4139" spans="42:44">
      <c r="AP4139" s="1756" t="e">
        <f>IF(OR(AR4139=S13,AR4139&gt;S13),AR4139,"")</f>
        <v>#VALUE!</v>
      </c>
      <c r="AQ4139" s="1759">
        <f t="shared" si="123"/>
        <v>4136</v>
      </c>
      <c r="AR4139" s="1756" t="e">
        <f>0.5*(S18+2*AQ4139)*LN(1+2*AQ4139/S18)</f>
        <v>#VALUE!</v>
      </c>
    </row>
    <row r="4140" spans="42:44">
      <c r="AP4140" s="1756" t="e">
        <f>IF(OR(AR4140=S13,AR4140&gt;S13),AR4140,"")</f>
        <v>#VALUE!</v>
      </c>
      <c r="AQ4140" s="1759">
        <f t="shared" si="123"/>
        <v>4137</v>
      </c>
      <c r="AR4140" s="1756" t="e">
        <f>0.5*(S18+2*AQ4140)*LN(1+2*AQ4140/S18)</f>
        <v>#VALUE!</v>
      </c>
    </row>
    <row r="4141" spans="42:44">
      <c r="AP4141" s="1756" t="e">
        <f>IF(OR(AR4141=S13,AR4141&gt;S13),AR4141,"")</f>
        <v>#VALUE!</v>
      </c>
      <c r="AQ4141" s="1759">
        <f t="shared" si="123"/>
        <v>4138</v>
      </c>
      <c r="AR4141" s="1756" t="e">
        <f>0.5*(S18+2*AQ4141)*LN(1+2*AQ4141/S18)</f>
        <v>#VALUE!</v>
      </c>
    </row>
    <row r="4142" spans="42:44">
      <c r="AP4142" s="1756" t="e">
        <f>IF(OR(AR4142=S13,AR4142&gt;S13),AR4142,"")</f>
        <v>#VALUE!</v>
      </c>
      <c r="AQ4142" s="1759">
        <f t="shared" si="123"/>
        <v>4139</v>
      </c>
      <c r="AR4142" s="1756" t="e">
        <f>0.5*(S18+2*AQ4142)*LN(1+2*AQ4142/S18)</f>
        <v>#VALUE!</v>
      </c>
    </row>
    <row r="4143" spans="42:44">
      <c r="AP4143" s="1756" t="e">
        <f>IF(OR(AR4143=S13,AR4143&gt;S13),AR4143,"")</f>
        <v>#VALUE!</v>
      </c>
      <c r="AQ4143" s="1759">
        <f t="shared" si="123"/>
        <v>4140</v>
      </c>
      <c r="AR4143" s="1756" t="e">
        <f>0.5*(S18+2*AQ4143)*LN(1+2*AQ4143/S18)</f>
        <v>#VALUE!</v>
      </c>
    </row>
    <row r="4144" spans="42:44">
      <c r="AP4144" s="1756" t="e">
        <f>IF(OR(AR4144=S13,AR4144&gt;S13),AR4144,"")</f>
        <v>#VALUE!</v>
      </c>
      <c r="AQ4144" s="1759">
        <f t="shared" si="123"/>
        <v>4141</v>
      </c>
      <c r="AR4144" s="1756" t="e">
        <f>0.5*(S18+2*AQ4144)*LN(1+2*AQ4144/S18)</f>
        <v>#VALUE!</v>
      </c>
    </row>
    <row r="4145" spans="42:44">
      <c r="AP4145" s="1756" t="e">
        <f>IF(OR(AR4145=S13,AR4145&gt;S13),AR4145,"")</f>
        <v>#VALUE!</v>
      </c>
      <c r="AQ4145" s="1759">
        <f t="shared" si="123"/>
        <v>4142</v>
      </c>
      <c r="AR4145" s="1756" t="e">
        <f>0.5*(S18+2*AQ4145)*LN(1+2*AQ4145/S18)</f>
        <v>#VALUE!</v>
      </c>
    </row>
    <row r="4146" spans="42:44">
      <c r="AP4146" s="1756" t="e">
        <f>IF(OR(AR4146=S13,AR4146&gt;S13),AR4146,"")</f>
        <v>#VALUE!</v>
      </c>
      <c r="AQ4146" s="1759">
        <f t="shared" si="123"/>
        <v>4143</v>
      </c>
      <c r="AR4146" s="1756" t="e">
        <f>0.5*(S18+2*AQ4146)*LN(1+2*AQ4146/S18)</f>
        <v>#VALUE!</v>
      </c>
    </row>
    <row r="4147" spans="42:44">
      <c r="AP4147" s="1756" t="e">
        <f>IF(OR(AR4147=S13,AR4147&gt;S13),AR4147,"")</f>
        <v>#VALUE!</v>
      </c>
      <c r="AQ4147" s="1759">
        <f t="shared" si="123"/>
        <v>4144</v>
      </c>
      <c r="AR4147" s="1756" t="e">
        <f>0.5*(S18+2*AQ4147)*LN(1+2*AQ4147/S18)</f>
        <v>#VALUE!</v>
      </c>
    </row>
    <row r="4148" spans="42:44">
      <c r="AP4148" s="1756" t="e">
        <f>IF(OR(AR4148=S13,AR4148&gt;S13),AR4148,"")</f>
        <v>#VALUE!</v>
      </c>
      <c r="AQ4148" s="1759">
        <f t="shared" si="123"/>
        <v>4145</v>
      </c>
      <c r="AR4148" s="1756" t="e">
        <f>0.5*(S18+2*AQ4148)*LN(1+2*AQ4148/S18)</f>
        <v>#VALUE!</v>
      </c>
    </row>
    <row r="4149" spans="42:44">
      <c r="AP4149" s="1756" t="e">
        <f>IF(OR(AR4149=S13,AR4149&gt;S13),AR4149,"")</f>
        <v>#VALUE!</v>
      </c>
      <c r="AQ4149" s="1759">
        <f t="shared" si="123"/>
        <v>4146</v>
      </c>
      <c r="AR4149" s="1756" t="e">
        <f>0.5*(S18+2*AQ4149)*LN(1+2*AQ4149/S18)</f>
        <v>#VALUE!</v>
      </c>
    </row>
    <row r="4150" spans="42:44">
      <c r="AP4150" s="1756" t="e">
        <f>IF(OR(AR4150=S13,AR4150&gt;S13),AR4150,"")</f>
        <v>#VALUE!</v>
      </c>
      <c r="AQ4150" s="1759">
        <f t="shared" si="123"/>
        <v>4147</v>
      </c>
      <c r="AR4150" s="1756" t="e">
        <f>0.5*(S18+2*AQ4150)*LN(1+2*AQ4150/S18)</f>
        <v>#VALUE!</v>
      </c>
    </row>
    <row r="4151" spans="42:44">
      <c r="AP4151" s="1756" t="e">
        <f>IF(OR(AR4151=S13,AR4151&gt;S13),AR4151,"")</f>
        <v>#VALUE!</v>
      </c>
      <c r="AQ4151" s="1759">
        <f t="shared" si="123"/>
        <v>4148</v>
      </c>
      <c r="AR4151" s="1756" t="e">
        <f>0.5*(S18+2*AQ4151)*LN(1+2*AQ4151/S18)</f>
        <v>#VALUE!</v>
      </c>
    </row>
    <row r="4152" spans="42:44">
      <c r="AP4152" s="1756" t="e">
        <f>IF(OR(AR4152=S13,AR4152&gt;S13),AR4152,"")</f>
        <v>#VALUE!</v>
      </c>
      <c r="AQ4152" s="1759">
        <f t="shared" si="123"/>
        <v>4149</v>
      </c>
      <c r="AR4152" s="1756" t="e">
        <f>0.5*(S18+2*AQ4152)*LN(1+2*AQ4152/S18)</f>
        <v>#VALUE!</v>
      </c>
    </row>
    <row r="4153" spans="42:44">
      <c r="AP4153" s="1756" t="e">
        <f>IF(OR(AR4153=S13,AR4153&gt;S13),AR4153,"")</f>
        <v>#VALUE!</v>
      </c>
      <c r="AQ4153" s="1759">
        <f t="shared" si="123"/>
        <v>4150</v>
      </c>
      <c r="AR4153" s="1756" t="e">
        <f>0.5*(S18+2*AQ4153)*LN(1+2*AQ4153/S18)</f>
        <v>#VALUE!</v>
      </c>
    </row>
    <row r="4154" spans="42:44">
      <c r="AP4154" s="1756" t="e">
        <f>IF(OR(AR4154=S13,AR4154&gt;S13),AR4154,"")</f>
        <v>#VALUE!</v>
      </c>
      <c r="AQ4154" s="1759">
        <f t="shared" si="123"/>
        <v>4151</v>
      </c>
      <c r="AR4154" s="1756" t="e">
        <f>0.5*(S18+2*AQ4154)*LN(1+2*AQ4154/S18)</f>
        <v>#VALUE!</v>
      </c>
    </row>
    <row r="4155" spans="42:44">
      <c r="AP4155" s="1756" t="e">
        <f>IF(OR(AR4155=S13,AR4155&gt;S13),AR4155,"")</f>
        <v>#VALUE!</v>
      </c>
      <c r="AQ4155" s="1759">
        <f t="shared" si="123"/>
        <v>4152</v>
      </c>
      <c r="AR4155" s="1756" t="e">
        <f>0.5*(S18+2*AQ4155)*LN(1+2*AQ4155/S18)</f>
        <v>#VALUE!</v>
      </c>
    </row>
    <row r="4156" spans="42:44">
      <c r="AP4156" s="1756" t="e">
        <f>IF(OR(AR4156=S13,AR4156&gt;S13),AR4156,"")</f>
        <v>#VALUE!</v>
      </c>
      <c r="AQ4156" s="1759">
        <f t="shared" si="123"/>
        <v>4153</v>
      </c>
      <c r="AR4156" s="1756" t="e">
        <f>0.5*(S18+2*AQ4156)*LN(1+2*AQ4156/S18)</f>
        <v>#VALUE!</v>
      </c>
    </row>
    <row r="4157" spans="42:44">
      <c r="AP4157" s="1756" t="e">
        <f>IF(OR(AR4157=S13,AR4157&gt;S13),AR4157,"")</f>
        <v>#VALUE!</v>
      </c>
      <c r="AQ4157" s="1759">
        <f t="shared" si="123"/>
        <v>4154</v>
      </c>
      <c r="AR4157" s="1756" t="e">
        <f>0.5*(S18+2*AQ4157)*LN(1+2*AQ4157/S18)</f>
        <v>#VALUE!</v>
      </c>
    </row>
    <row r="4158" spans="42:44">
      <c r="AP4158" s="1756" t="e">
        <f>IF(OR(AR4158=S13,AR4158&gt;S13),AR4158,"")</f>
        <v>#VALUE!</v>
      </c>
      <c r="AQ4158" s="1759">
        <f t="shared" si="123"/>
        <v>4155</v>
      </c>
      <c r="AR4158" s="1756" t="e">
        <f>0.5*(S18+2*AQ4158)*LN(1+2*AQ4158/S18)</f>
        <v>#VALUE!</v>
      </c>
    </row>
    <row r="4159" spans="42:44">
      <c r="AP4159" s="1756" t="e">
        <f>IF(OR(AR4159=S13,AR4159&gt;S13),AR4159,"")</f>
        <v>#VALUE!</v>
      </c>
      <c r="AQ4159" s="1759">
        <f t="shared" si="123"/>
        <v>4156</v>
      </c>
      <c r="AR4159" s="1756" t="e">
        <f>0.5*(S18+2*AQ4159)*LN(1+2*AQ4159/S18)</f>
        <v>#VALUE!</v>
      </c>
    </row>
    <row r="4160" spans="42:44">
      <c r="AP4160" s="1756" t="e">
        <f>IF(OR(AR4160=S13,AR4160&gt;S13),AR4160,"")</f>
        <v>#VALUE!</v>
      </c>
      <c r="AQ4160" s="1759">
        <f t="shared" si="123"/>
        <v>4157</v>
      </c>
      <c r="AR4160" s="1756" t="e">
        <f>0.5*(S18+2*AQ4160)*LN(1+2*AQ4160/S18)</f>
        <v>#VALUE!</v>
      </c>
    </row>
    <row r="4161" spans="42:44">
      <c r="AP4161" s="1756" t="e">
        <f>IF(OR(AR4161=S13,AR4161&gt;S13),AR4161,"")</f>
        <v>#VALUE!</v>
      </c>
      <c r="AQ4161" s="1759">
        <f t="shared" si="123"/>
        <v>4158</v>
      </c>
      <c r="AR4161" s="1756" t="e">
        <f>0.5*(S18+2*AQ4161)*LN(1+2*AQ4161/S18)</f>
        <v>#VALUE!</v>
      </c>
    </row>
    <row r="4162" spans="42:44">
      <c r="AP4162" s="1756" t="e">
        <f>IF(OR(AR4162=S13,AR4162&gt;S13),AR4162,"")</f>
        <v>#VALUE!</v>
      </c>
      <c r="AQ4162" s="1759">
        <f t="shared" si="123"/>
        <v>4159</v>
      </c>
      <c r="AR4162" s="1756" t="e">
        <f>0.5*(S18+2*AQ4162)*LN(1+2*AQ4162/S18)</f>
        <v>#VALUE!</v>
      </c>
    </row>
    <row r="4163" spans="42:44">
      <c r="AP4163" s="1756" t="e">
        <f>IF(OR(AR4163=S13,AR4163&gt;S13),AR4163,"")</f>
        <v>#VALUE!</v>
      </c>
      <c r="AQ4163" s="1759">
        <f t="shared" si="123"/>
        <v>4160</v>
      </c>
      <c r="AR4163" s="1756" t="e">
        <f>0.5*(S18+2*AQ4163)*LN(1+2*AQ4163/S18)</f>
        <v>#VALUE!</v>
      </c>
    </row>
    <row r="4164" spans="42:44">
      <c r="AP4164" s="1756" t="e">
        <f>IF(OR(AR4164=S13,AR4164&gt;S13),AR4164,"")</f>
        <v>#VALUE!</v>
      </c>
      <c r="AQ4164" s="1759">
        <f t="shared" si="123"/>
        <v>4161</v>
      </c>
      <c r="AR4164" s="1756" t="e">
        <f>0.5*(S18+2*AQ4164)*LN(1+2*AQ4164/S18)</f>
        <v>#VALUE!</v>
      </c>
    </row>
    <row r="4165" spans="42:44">
      <c r="AP4165" s="1756" t="e">
        <f>IF(OR(AR4165=S13,AR4165&gt;S13),AR4165,"")</f>
        <v>#VALUE!</v>
      </c>
      <c r="AQ4165" s="1759">
        <f t="shared" si="123"/>
        <v>4162</v>
      </c>
      <c r="AR4165" s="1756" t="e">
        <f>0.5*(S18+2*AQ4165)*LN(1+2*AQ4165/S18)</f>
        <v>#VALUE!</v>
      </c>
    </row>
    <row r="4166" spans="42:44">
      <c r="AP4166" s="1756" t="e">
        <f>IF(OR(AR4166=S13,AR4166&gt;S13),AR4166,"")</f>
        <v>#VALUE!</v>
      </c>
      <c r="AQ4166" s="1759">
        <f t="shared" ref="AQ4166:AQ4229" si="124">AQ4165+1</f>
        <v>4163</v>
      </c>
      <c r="AR4166" s="1756" t="e">
        <f>0.5*(S18+2*AQ4166)*LN(1+2*AQ4166/S18)</f>
        <v>#VALUE!</v>
      </c>
    </row>
    <row r="4167" spans="42:44">
      <c r="AP4167" s="1756" t="e">
        <f>IF(OR(AR4167=S13,AR4167&gt;S13),AR4167,"")</f>
        <v>#VALUE!</v>
      </c>
      <c r="AQ4167" s="1759">
        <f t="shared" si="124"/>
        <v>4164</v>
      </c>
      <c r="AR4167" s="1756" t="e">
        <f>0.5*(S18+2*AQ4167)*LN(1+2*AQ4167/S18)</f>
        <v>#VALUE!</v>
      </c>
    </row>
    <row r="4168" spans="42:44">
      <c r="AP4168" s="1756" t="e">
        <f>IF(OR(AR4168=S13,AR4168&gt;S13),AR4168,"")</f>
        <v>#VALUE!</v>
      </c>
      <c r="AQ4168" s="1759">
        <f t="shared" si="124"/>
        <v>4165</v>
      </c>
      <c r="AR4168" s="1756" t="e">
        <f>0.5*(S18+2*AQ4168)*LN(1+2*AQ4168/S18)</f>
        <v>#VALUE!</v>
      </c>
    </row>
    <row r="4169" spans="42:44">
      <c r="AP4169" s="1756" t="e">
        <f>IF(OR(AR4169=S13,AR4169&gt;S13),AR4169,"")</f>
        <v>#VALUE!</v>
      </c>
      <c r="AQ4169" s="1759">
        <f t="shared" si="124"/>
        <v>4166</v>
      </c>
      <c r="AR4169" s="1756" t="e">
        <f>0.5*(S18+2*AQ4169)*LN(1+2*AQ4169/S18)</f>
        <v>#VALUE!</v>
      </c>
    </row>
    <row r="4170" spans="42:44">
      <c r="AP4170" s="1756" t="e">
        <f>IF(OR(AR4170=S13,AR4170&gt;S13),AR4170,"")</f>
        <v>#VALUE!</v>
      </c>
      <c r="AQ4170" s="1759">
        <f t="shared" si="124"/>
        <v>4167</v>
      </c>
      <c r="AR4170" s="1756" t="e">
        <f>0.5*(S18+2*AQ4170)*LN(1+2*AQ4170/S18)</f>
        <v>#VALUE!</v>
      </c>
    </row>
    <row r="4171" spans="42:44">
      <c r="AP4171" s="1756" t="e">
        <f>IF(OR(AR4171=S13,AR4171&gt;S13),AR4171,"")</f>
        <v>#VALUE!</v>
      </c>
      <c r="AQ4171" s="1759">
        <f t="shared" si="124"/>
        <v>4168</v>
      </c>
      <c r="AR4171" s="1756" t="e">
        <f>0.5*(S18+2*AQ4171)*LN(1+2*AQ4171/S18)</f>
        <v>#VALUE!</v>
      </c>
    </row>
    <row r="4172" spans="42:44">
      <c r="AP4172" s="1756" t="e">
        <f>IF(OR(AR4172=S13,AR4172&gt;S13),AR4172,"")</f>
        <v>#VALUE!</v>
      </c>
      <c r="AQ4172" s="1759">
        <f t="shared" si="124"/>
        <v>4169</v>
      </c>
      <c r="AR4172" s="1756" t="e">
        <f>0.5*(S18+2*AQ4172)*LN(1+2*AQ4172/S18)</f>
        <v>#VALUE!</v>
      </c>
    </row>
    <row r="4173" spans="42:44">
      <c r="AP4173" s="1756" t="e">
        <f>IF(OR(AR4173=S13,AR4173&gt;S13),AR4173,"")</f>
        <v>#VALUE!</v>
      </c>
      <c r="AQ4173" s="1759">
        <f t="shared" si="124"/>
        <v>4170</v>
      </c>
      <c r="AR4173" s="1756" t="e">
        <f>0.5*(S18+2*AQ4173)*LN(1+2*AQ4173/S18)</f>
        <v>#VALUE!</v>
      </c>
    </row>
    <row r="4174" spans="42:44">
      <c r="AP4174" s="1756" t="e">
        <f>IF(OR(AR4174=S13,AR4174&gt;S13),AR4174,"")</f>
        <v>#VALUE!</v>
      </c>
      <c r="AQ4174" s="1759">
        <f t="shared" si="124"/>
        <v>4171</v>
      </c>
      <c r="AR4174" s="1756" t="e">
        <f>0.5*(S18+2*AQ4174)*LN(1+2*AQ4174/S18)</f>
        <v>#VALUE!</v>
      </c>
    </row>
    <row r="4175" spans="42:44">
      <c r="AP4175" s="1756" t="e">
        <f>IF(OR(AR4175=S13,AR4175&gt;S13),AR4175,"")</f>
        <v>#VALUE!</v>
      </c>
      <c r="AQ4175" s="1759">
        <f t="shared" si="124"/>
        <v>4172</v>
      </c>
      <c r="AR4175" s="1756" t="e">
        <f>0.5*(S18+2*AQ4175)*LN(1+2*AQ4175/S18)</f>
        <v>#VALUE!</v>
      </c>
    </row>
    <row r="4176" spans="42:44">
      <c r="AP4176" s="1756" t="e">
        <f>IF(OR(AR4176=S13,AR4176&gt;S13),AR4176,"")</f>
        <v>#VALUE!</v>
      </c>
      <c r="AQ4176" s="1759">
        <f t="shared" si="124"/>
        <v>4173</v>
      </c>
      <c r="AR4176" s="1756" t="e">
        <f>0.5*(S18+2*AQ4176)*LN(1+2*AQ4176/S18)</f>
        <v>#VALUE!</v>
      </c>
    </row>
    <row r="4177" spans="42:44">
      <c r="AP4177" s="1756" t="e">
        <f>IF(OR(AR4177=S13,AR4177&gt;S13),AR4177,"")</f>
        <v>#VALUE!</v>
      </c>
      <c r="AQ4177" s="1759">
        <f t="shared" si="124"/>
        <v>4174</v>
      </c>
      <c r="AR4177" s="1756" t="e">
        <f>0.5*(S18+2*AQ4177)*LN(1+2*AQ4177/S18)</f>
        <v>#VALUE!</v>
      </c>
    </row>
    <row r="4178" spans="42:44">
      <c r="AP4178" s="1756" t="e">
        <f>IF(OR(AR4178=S13,AR4178&gt;S13),AR4178,"")</f>
        <v>#VALUE!</v>
      </c>
      <c r="AQ4178" s="1759">
        <f t="shared" si="124"/>
        <v>4175</v>
      </c>
      <c r="AR4178" s="1756" t="e">
        <f>0.5*(S18+2*AQ4178)*LN(1+2*AQ4178/S18)</f>
        <v>#VALUE!</v>
      </c>
    </row>
    <row r="4179" spans="42:44">
      <c r="AP4179" s="1756" t="e">
        <f>IF(OR(AR4179=S13,AR4179&gt;S13),AR4179,"")</f>
        <v>#VALUE!</v>
      </c>
      <c r="AQ4179" s="1759">
        <f t="shared" si="124"/>
        <v>4176</v>
      </c>
      <c r="AR4179" s="1756" t="e">
        <f>0.5*(S18+2*AQ4179)*LN(1+2*AQ4179/S18)</f>
        <v>#VALUE!</v>
      </c>
    </row>
    <row r="4180" spans="42:44">
      <c r="AP4180" s="1756" t="e">
        <f>IF(OR(AR4180=S13,AR4180&gt;S13),AR4180,"")</f>
        <v>#VALUE!</v>
      </c>
      <c r="AQ4180" s="1759">
        <f t="shared" si="124"/>
        <v>4177</v>
      </c>
      <c r="AR4180" s="1756" t="e">
        <f>0.5*(S18+2*AQ4180)*LN(1+2*AQ4180/S18)</f>
        <v>#VALUE!</v>
      </c>
    </row>
    <row r="4181" spans="42:44">
      <c r="AP4181" s="1756" t="e">
        <f>IF(OR(AR4181=S13,AR4181&gt;S13),AR4181,"")</f>
        <v>#VALUE!</v>
      </c>
      <c r="AQ4181" s="1759">
        <f t="shared" si="124"/>
        <v>4178</v>
      </c>
      <c r="AR4181" s="1756" t="e">
        <f>0.5*(S18+2*AQ4181)*LN(1+2*AQ4181/S18)</f>
        <v>#VALUE!</v>
      </c>
    </row>
    <row r="4182" spans="42:44">
      <c r="AP4182" s="1756" t="e">
        <f>IF(OR(AR4182=S13,AR4182&gt;S13),AR4182,"")</f>
        <v>#VALUE!</v>
      </c>
      <c r="AQ4182" s="1759">
        <f t="shared" si="124"/>
        <v>4179</v>
      </c>
      <c r="AR4182" s="1756" t="e">
        <f>0.5*(S18+2*AQ4182)*LN(1+2*AQ4182/S18)</f>
        <v>#VALUE!</v>
      </c>
    </row>
    <row r="4183" spans="42:44">
      <c r="AP4183" s="1756" t="e">
        <f>IF(OR(AR4183=S13,AR4183&gt;S13),AR4183,"")</f>
        <v>#VALUE!</v>
      </c>
      <c r="AQ4183" s="1759">
        <f t="shared" si="124"/>
        <v>4180</v>
      </c>
      <c r="AR4183" s="1756" t="e">
        <f>0.5*(S18+2*AQ4183)*LN(1+2*AQ4183/S18)</f>
        <v>#VALUE!</v>
      </c>
    </row>
    <row r="4184" spans="42:44">
      <c r="AP4184" s="1756" t="e">
        <f>IF(OR(AR4184=S13,AR4184&gt;S13),AR4184,"")</f>
        <v>#VALUE!</v>
      </c>
      <c r="AQ4184" s="1759">
        <f t="shared" si="124"/>
        <v>4181</v>
      </c>
      <c r="AR4184" s="1756" t="e">
        <f>0.5*(S18+2*AQ4184)*LN(1+2*AQ4184/S18)</f>
        <v>#VALUE!</v>
      </c>
    </row>
    <row r="4185" spans="42:44">
      <c r="AP4185" s="1756" t="e">
        <f>IF(OR(AR4185=S13,AR4185&gt;S13),AR4185,"")</f>
        <v>#VALUE!</v>
      </c>
      <c r="AQ4185" s="1759">
        <f t="shared" si="124"/>
        <v>4182</v>
      </c>
      <c r="AR4185" s="1756" t="e">
        <f>0.5*(S18+2*AQ4185)*LN(1+2*AQ4185/S18)</f>
        <v>#VALUE!</v>
      </c>
    </row>
    <row r="4186" spans="42:44">
      <c r="AP4186" s="1756" t="e">
        <f>IF(OR(AR4186=S13,AR4186&gt;S13),AR4186,"")</f>
        <v>#VALUE!</v>
      </c>
      <c r="AQ4186" s="1759">
        <f t="shared" si="124"/>
        <v>4183</v>
      </c>
      <c r="AR4186" s="1756" t="e">
        <f>0.5*(S18+2*AQ4186)*LN(1+2*AQ4186/S18)</f>
        <v>#VALUE!</v>
      </c>
    </row>
    <row r="4187" spans="42:44">
      <c r="AP4187" s="1756" t="e">
        <f>IF(OR(AR4187=S13,AR4187&gt;S13),AR4187,"")</f>
        <v>#VALUE!</v>
      </c>
      <c r="AQ4187" s="1759">
        <f t="shared" si="124"/>
        <v>4184</v>
      </c>
      <c r="AR4187" s="1756" t="e">
        <f>0.5*(S18+2*AQ4187)*LN(1+2*AQ4187/S18)</f>
        <v>#VALUE!</v>
      </c>
    </row>
    <row r="4188" spans="42:44">
      <c r="AP4188" s="1756" t="e">
        <f>IF(OR(AR4188=S13,AR4188&gt;S13),AR4188,"")</f>
        <v>#VALUE!</v>
      </c>
      <c r="AQ4188" s="1759">
        <f t="shared" si="124"/>
        <v>4185</v>
      </c>
      <c r="AR4188" s="1756" t="e">
        <f>0.5*(S18+2*AQ4188)*LN(1+2*AQ4188/S18)</f>
        <v>#VALUE!</v>
      </c>
    </row>
    <row r="4189" spans="42:44">
      <c r="AP4189" s="1756" t="e">
        <f>IF(OR(AR4189=S13,AR4189&gt;S13),AR4189,"")</f>
        <v>#VALUE!</v>
      </c>
      <c r="AQ4189" s="1759">
        <f t="shared" si="124"/>
        <v>4186</v>
      </c>
      <c r="AR4189" s="1756" t="e">
        <f>0.5*(S18+2*AQ4189)*LN(1+2*AQ4189/S18)</f>
        <v>#VALUE!</v>
      </c>
    </row>
    <row r="4190" spans="42:44">
      <c r="AP4190" s="1756" t="e">
        <f>IF(OR(AR4190=S13,AR4190&gt;S13),AR4190,"")</f>
        <v>#VALUE!</v>
      </c>
      <c r="AQ4190" s="1759">
        <f t="shared" si="124"/>
        <v>4187</v>
      </c>
      <c r="AR4190" s="1756" t="e">
        <f>0.5*(S18+2*AQ4190)*LN(1+2*AQ4190/S18)</f>
        <v>#VALUE!</v>
      </c>
    </row>
    <row r="4191" spans="42:44">
      <c r="AP4191" s="1756" t="e">
        <f>IF(OR(AR4191=S13,AR4191&gt;S13),AR4191,"")</f>
        <v>#VALUE!</v>
      </c>
      <c r="AQ4191" s="1759">
        <f t="shared" si="124"/>
        <v>4188</v>
      </c>
      <c r="AR4191" s="1756" t="e">
        <f>0.5*(S18+2*AQ4191)*LN(1+2*AQ4191/S18)</f>
        <v>#VALUE!</v>
      </c>
    </row>
    <row r="4192" spans="42:44">
      <c r="AP4192" s="1756" t="e">
        <f>IF(OR(AR4192=S13,AR4192&gt;S13),AR4192,"")</f>
        <v>#VALUE!</v>
      </c>
      <c r="AQ4192" s="1759">
        <f t="shared" si="124"/>
        <v>4189</v>
      </c>
      <c r="AR4192" s="1756" t="e">
        <f>0.5*(S18+2*AQ4192)*LN(1+2*AQ4192/S18)</f>
        <v>#VALUE!</v>
      </c>
    </row>
    <row r="4193" spans="42:44">
      <c r="AP4193" s="1756" t="e">
        <f>IF(OR(AR4193=S13,AR4193&gt;S13),AR4193,"")</f>
        <v>#VALUE!</v>
      </c>
      <c r="AQ4193" s="1759">
        <f t="shared" si="124"/>
        <v>4190</v>
      </c>
      <c r="AR4193" s="1756" t="e">
        <f>0.5*(S18+2*AQ4193)*LN(1+2*AQ4193/S18)</f>
        <v>#VALUE!</v>
      </c>
    </row>
    <row r="4194" spans="42:44">
      <c r="AP4194" s="1756" t="e">
        <f>IF(OR(AR4194=S13,AR4194&gt;S13),AR4194,"")</f>
        <v>#VALUE!</v>
      </c>
      <c r="AQ4194" s="1759">
        <f t="shared" si="124"/>
        <v>4191</v>
      </c>
      <c r="AR4194" s="1756" t="e">
        <f>0.5*(S18+2*AQ4194)*LN(1+2*AQ4194/S18)</f>
        <v>#VALUE!</v>
      </c>
    </row>
    <row r="4195" spans="42:44">
      <c r="AP4195" s="1756" t="e">
        <f>IF(OR(AR4195=S13,AR4195&gt;S13),AR4195,"")</f>
        <v>#VALUE!</v>
      </c>
      <c r="AQ4195" s="1759">
        <f t="shared" si="124"/>
        <v>4192</v>
      </c>
      <c r="AR4195" s="1756" t="e">
        <f>0.5*(S18+2*AQ4195)*LN(1+2*AQ4195/S18)</f>
        <v>#VALUE!</v>
      </c>
    </row>
    <row r="4196" spans="42:44">
      <c r="AP4196" s="1756" t="e">
        <f>IF(OR(AR4196=S13,AR4196&gt;S13),AR4196,"")</f>
        <v>#VALUE!</v>
      </c>
      <c r="AQ4196" s="1759">
        <f t="shared" si="124"/>
        <v>4193</v>
      </c>
      <c r="AR4196" s="1756" t="e">
        <f>0.5*(S18+2*AQ4196)*LN(1+2*AQ4196/S18)</f>
        <v>#VALUE!</v>
      </c>
    </row>
    <row r="4197" spans="42:44">
      <c r="AP4197" s="1756" t="e">
        <f>IF(OR(AR4197=S13,AR4197&gt;S13),AR4197,"")</f>
        <v>#VALUE!</v>
      </c>
      <c r="AQ4197" s="1759">
        <f t="shared" si="124"/>
        <v>4194</v>
      </c>
      <c r="AR4197" s="1756" t="e">
        <f>0.5*(S18+2*AQ4197)*LN(1+2*AQ4197/S18)</f>
        <v>#VALUE!</v>
      </c>
    </row>
    <row r="4198" spans="42:44">
      <c r="AP4198" s="1756" t="e">
        <f>IF(OR(AR4198=S13,AR4198&gt;S13),AR4198,"")</f>
        <v>#VALUE!</v>
      </c>
      <c r="AQ4198" s="1759">
        <f t="shared" si="124"/>
        <v>4195</v>
      </c>
      <c r="AR4198" s="1756" t="e">
        <f>0.5*(S18+2*AQ4198)*LN(1+2*AQ4198/S18)</f>
        <v>#VALUE!</v>
      </c>
    </row>
    <row r="4199" spans="42:44">
      <c r="AP4199" s="1756" t="e">
        <f>IF(OR(AR4199=S13,AR4199&gt;S13),AR4199,"")</f>
        <v>#VALUE!</v>
      </c>
      <c r="AQ4199" s="1759">
        <f t="shared" si="124"/>
        <v>4196</v>
      </c>
      <c r="AR4199" s="1756" t="e">
        <f>0.5*(S18+2*AQ4199)*LN(1+2*AQ4199/S18)</f>
        <v>#VALUE!</v>
      </c>
    </row>
    <row r="4200" spans="42:44">
      <c r="AP4200" s="1756" t="e">
        <f>IF(OR(AR4200=S13,AR4200&gt;S13),AR4200,"")</f>
        <v>#VALUE!</v>
      </c>
      <c r="AQ4200" s="1759">
        <f t="shared" si="124"/>
        <v>4197</v>
      </c>
      <c r="AR4200" s="1756" t="e">
        <f>0.5*(S18+2*AQ4200)*LN(1+2*AQ4200/S18)</f>
        <v>#VALUE!</v>
      </c>
    </row>
    <row r="4201" spans="42:44">
      <c r="AP4201" s="1756" t="e">
        <f>IF(OR(AR4201=S13,AR4201&gt;S13),AR4201,"")</f>
        <v>#VALUE!</v>
      </c>
      <c r="AQ4201" s="1759">
        <f t="shared" si="124"/>
        <v>4198</v>
      </c>
      <c r="AR4201" s="1756" t="e">
        <f>0.5*(S18+2*AQ4201)*LN(1+2*AQ4201/S18)</f>
        <v>#VALUE!</v>
      </c>
    </row>
    <row r="4202" spans="42:44">
      <c r="AP4202" s="1756" t="e">
        <f>IF(OR(AR4202=S13,AR4202&gt;S13),AR4202,"")</f>
        <v>#VALUE!</v>
      </c>
      <c r="AQ4202" s="1759">
        <f t="shared" si="124"/>
        <v>4199</v>
      </c>
      <c r="AR4202" s="1756" t="e">
        <f>0.5*(S18+2*AQ4202)*LN(1+2*AQ4202/S18)</f>
        <v>#VALUE!</v>
      </c>
    </row>
    <row r="4203" spans="42:44">
      <c r="AP4203" s="1756" t="e">
        <f>IF(OR(AR4203=S13,AR4203&gt;S13),AR4203,"")</f>
        <v>#VALUE!</v>
      </c>
      <c r="AQ4203" s="1759">
        <f t="shared" si="124"/>
        <v>4200</v>
      </c>
      <c r="AR4203" s="1756" t="e">
        <f>0.5*(S18+2*AQ4203)*LN(1+2*AQ4203/S18)</f>
        <v>#VALUE!</v>
      </c>
    </row>
    <row r="4204" spans="42:44">
      <c r="AP4204" s="1756" t="e">
        <f>IF(OR(AR4204=S13,AR4204&gt;S13),AR4204,"")</f>
        <v>#VALUE!</v>
      </c>
      <c r="AQ4204" s="1759">
        <f t="shared" si="124"/>
        <v>4201</v>
      </c>
      <c r="AR4204" s="1756" t="e">
        <f>0.5*(S18+2*AQ4204)*LN(1+2*AQ4204/S18)</f>
        <v>#VALUE!</v>
      </c>
    </row>
    <row r="4205" spans="42:44">
      <c r="AP4205" s="1756" t="e">
        <f>IF(OR(AR4205=S13,AR4205&gt;S13),AR4205,"")</f>
        <v>#VALUE!</v>
      </c>
      <c r="AQ4205" s="1759">
        <f t="shared" si="124"/>
        <v>4202</v>
      </c>
      <c r="AR4205" s="1756" t="e">
        <f>0.5*(S18+2*AQ4205)*LN(1+2*AQ4205/S18)</f>
        <v>#VALUE!</v>
      </c>
    </row>
    <row r="4206" spans="42:44">
      <c r="AP4206" s="1756" t="e">
        <f>IF(OR(AR4206=S13,AR4206&gt;S13),AR4206,"")</f>
        <v>#VALUE!</v>
      </c>
      <c r="AQ4206" s="1759">
        <f t="shared" si="124"/>
        <v>4203</v>
      </c>
      <c r="AR4206" s="1756" t="e">
        <f>0.5*(S18+2*AQ4206)*LN(1+2*AQ4206/S18)</f>
        <v>#VALUE!</v>
      </c>
    </row>
    <row r="4207" spans="42:44">
      <c r="AP4207" s="1756" t="e">
        <f>IF(OR(AR4207=S13,AR4207&gt;S13),AR4207,"")</f>
        <v>#VALUE!</v>
      </c>
      <c r="AQ4207" s="1759">
        <f t="shared" si="124"/>
        <v>4204</v>
      </c>
      <c r="AR4207" s="1756" t="e">
        <f>0.5*(S18+2*AQ4207)*LN(1+2*AQ4207/S18)</f>
        <v>#VALUE!</v>
      </c>
    </row>
    <row r="4208" spans="42:44">
      <c r="AP4208" s="1756" t="e">
        <f>IF(OR(AR4208=S13,AR4208&gt;S13),AR4208,"")</f>
        <v>#VALUE!</v>
      </c>
      <c r="AQ4208" s="1759">
        <f t="shared" si="124"/>
        <v>4205</v>
      </c>
      <c r="AR4208" s="1756" t="e">
        <f>0.5*(S18+2*AQ4208)*LN(1+2*AQ4208/S18)</f>
        <v>#VALUE!</v>
      </c>
    </row>
    <row r="4209" spans="42:44">
      <c r="AP4209" s="1756" t="e">
        <f>IF(OR(AR4209=S13,AR4209&gt;S13),AR4209,"")</f>
        <v>#VALUE!</v>
      </c>
      <c r="AQ4209" s="1759">
        <f t="shared" si="124"/>
        <v>4206</v>
      </c>
      <c r="AR4209" s="1756" t="e">
        <f>0.5*(S18+2*AQ4209)*LN(1+2*AQ4209/S18)</f>
        <v>#VALUE!</v>
      </c>
    </row>
    <row r="4210" spans="42:44">
      <c r="AP4210" s="1756" t="e">
        <f>IF(OR(AR4210=S13,AR4210&gt;S13),AR4210,"")</f>
        <v>#VALUE!</v>
      </c>
      <c r="AQ4210" s="1759">
        <f t="shared" si="124"/>
        <v>4207</v>
      </c>
      <c r="AR4210" s="1756" t="e">
        <f>0.5*(S18+2*AQ4210)*LN(1+2*AQ4210/S18)</f>
        <v>#VALUE!</v>
      </c>
    </row>
    <row r="4211" spans="42:44">
      <c r="AP4211" s="1756" t="e">
        <f>IF(OR(AR4211=S13,AR4211&gt;S13),AR4211,"")</f>
        <v>#VALUE!</v>
      </c>
      <c r="AQ4211" s="1759">
        <f t="shared" si="124"/>
        <v>4208</v>
      </c>
      <c r="AR4211" s="1756" t="e">
        <f>0.5*(S18+2*AQ4211)*LN(1+2*AQ4211/S18)</f>
        <v>#VALUE!</v>
      </c>
    </row>
    <row r="4212" spans="42:44">
      <c r="AP4212" s="1756" t="e">
        <f>IF(OR(AR4212=S13,AR4212&gt;S13),AR4212,"")</f>
        <v>#VALUE!</v>
      </c>
      <c r="AQ4212" s="1759">
        <f t="shared" si="124"/>
        <v>4209</v>
      </c>
      <c r="AR4212" s="1756" t="e">
        <f>0.5*(S18+2*AQ4212)*LN(1+2*AQ4212/S18)</f>
        <v>#VALUE!</v>
      </c>
    </row>
    <row r="4213" spans="42:44">
      <c r="AP4213" s="1756" t="e">
        <f>IF(OR(AR4213=S13,AR4213&gt;S13),AR4213,"")</f>
        <v>#VALUE!</v>
      </c>
      <c r="AQ4213" s="1759">
        <f t="shared" si="124"/>
        <v>4210</v>
      </c>
      <c r="AR4213" s="1756" t="e">
        <f>0.5*(S18+2*AQ4213)*LN(1+2*AQ4213/S18)</f>
        <v>#VALUE!</v>
      </c>
    </row>
    <row r="4214" spans="42:44">
      <c r="AP4214" s="1756" t="e">
        <f>IF(OR(AR4214=S13,AR4214&gt;S13),AR4214,"")</f>
        <v>#VALUE!</v>
      </c>
      <c r="AQ4214" s="1759">
        <f t="shared" si="124"/>
        <v>4211</v>
      </c>
      <c r="AR4214" s="1756" t="e">
        <f>0.5*(S18+2*AQ4214)*LN(1+2*AQ4214/S18)</f>
        <v>#VALUE!</v>
      </c>
    </row>
    <row r="4215" spans="42:44">
      <c r="AP4215" s="1756" t="e">
        <f>IF(OR(AR4215=S13,AR4215&gt;S13),AR4215,"")</f>
        <v>#VALUE!</v>
      </c>
      <c r="AQ4215" s="1759">
        <f t="shared" si="124"/>
        <v>4212</v>
      </c>
      <c r="AR4215" s="1756" t="e">
        <f>0.5*(S18+2*AQ4215)*LN(1+2*AQ4215/S18)</f>
        <v>#VALUE!</v>
      </c>
    </row>
    <row r="4216" spans="42:44">
      <c r="AP4216" s="1756" t="e">
        <f>IF(OR(AR4216=S13,AR4216&gt;S13),AR4216,"")</f>
        <v>#VALUE!</v>
      </c>
      <c r="AQ4216" s="1759">
        <f t="shared" si="124"/>
        <v>4213</v>
      </c>
      <c r="AR4216" s="1756" t="e">
        <f>0.5*(S18+2*AQ4216)*LN(1+2*AQ4216/S18)</f>
        <v>#VALUE!</v>
      </c>
    </row>
    <row r="4217" spans="42:44">
      <c r="AP4217" s="1756" t="e">
        <f>IF(OR(AR4217=S13,AR4217&gt;S13),AR4217,"")</f>
        <v>#VALUE!</v>
      </c>
      <c r="AQ4217" s="1759">
        <f t="shared" si="124"/>
        <v>4214</v>
      </c>
      <c r="AR4217" s="1756" t="e">
        <f>0.5*(S18+2*AQ4217)*LN(1+2*AQ4217/S18)</f>
        <v>#VALUE!</v>
      </c>
    </row>
    <row r="4218" spans="42:44">
      <c r="AP4218" s="1756" t="e">
        <f>IF(OR(AR4218=S13,AR4218&gt;S13),AR4218,"")</f>
        <v>#VALUE!</v>
      </c>
      <c r="AQ4218" s="1759">
        <f t="shared" si="124"/>
        <v>4215</v>
      </c>
      <c r="AR4218" s="1756" t="e">
        <f>0.5*(S18+2*AQ4218)*LN(1+2*AQ4218/S18)</f>
        <v>#VALUE!</v>
      </c>
    </row>
    <row r="4219" spans="42:44">
      <c r="AP4219" s="1756" t="e">
        <f>IF(OR(AR4219=S13,AR4219&gt;S13),AR4219,"")</f>
        <v>#VALUE!</v>
      </c>
      <c r="AQ4219" s="1759">
        <f t="shared" si="124"/>
        <v>4216</v>
      </c>
      <c r="AR4219" s="1756" t="e">
        <f>0.5*(S18+2*AQ4219)*LN(1+2*AQ4219/S18)</f>
        <v>#VALUE!</v>
      </c>
    </row>
    <row r="4220" spans="42:44">
      <c r="AP4220" s="1756" t="e">
        <f>IF(OR(AR4220=S13,AR4220&gt;S13),AR4220,"")</f>
        <v>#VALUE!</v>
      </c>
      <c r="AQ4220" s="1759">
        <f t="shared" si="124"/>
        <v>4217</v>
      </c>
      <c r="AR4220" s="1756" t="e">
        <f>0.5*(S18+2*AQ4220)*LN(1+2*AQ4220/S18)</f>
        <v>#VALUE!</v>
      </c>
    </row>
    <row r="4221" spans="42:44">
      <c r="AP4221" s="1756" t="e">
        <f>IF(OR(AR4221=S13,AR4221&gt;S13),AR4221,"")</f>
        <v>#VALUE!</v>
      </c>
      <c r="AQ4221" s="1759">
        <f t="shared" si="124"/>
        <v>4218</v>
      </c>
      <c r="AR4221" s="1756" t="e">
        <f>0.5*(S18+2*AQ4221)*LN(1+2*AQ4221/S18)</f>
        <v>#VALUE!</v>
      </c>
    </row>
    <row r="4222" spans="42:44">
      <c r="AP4222" s="1756" t="e">
        <f>IF(OR(AR4222=S13,AR4222&gt;S13),AR4222,"")</f>
        <v>#VALUE!</v>
      </c>
      <c r="AQ4222" s="1759">
        <f t="shared" si="124"/>
        <v>4219</v>
      </c>
      <c r="AR4222" s="1756" t="e">
        <f>0.5*(S18+2*AQ4222)*LN(1+2*AQ4222/S18)</f>
        <v>#VALUE!</v>
      </c>
    </row>
    <row r="4223" spans="42:44">
      <c r="AP4223" s="1756" t="e">
        <f>IF(OR(AR4223=S13,AR4223&gt;S13),AR4223,"")</f>
        <v>#VALUE!</v>
      </c>
      <c r="AQ4223" s="1759">
        <f t="shared" si="124"/>
        <v>4220</v>
      </c>
      <c r="AR4223" s="1756" t="e">
        <f>0.5*(S18+2*AQ4223)*LN(1+2*AQ4223/S18)</f>
        <v>#VALUE!</v>
      </c>
    </row>
    <row r="4224" spans="42:44">
      <c r="AP4224" s="1756" t="e">
        <f>IF(OR(AR4224=S13,AR4224&gt;S13),AR4224,"")</f>
        <v>#VALUE!</v>
      </c>
      <c r="AQ4224" s="1759">
        <f t="shared" si="124"/>
        <v>4221</v>
      </c>
      <c r="AR4224" s="1756" t="e">
        <f>0.5*(S18+2*AQ4224)*LN(1+2*AQ4224/S18)</f>
        <v>#VALUE!</v>
      </c>
    </row>
    <row r="4225" spans="42:44">
      <c r="AP4225" s="1756" t="e">
        <f>IF(OR(AR4225=S13,AR4225&gt;S13),AR4225,"")</f>
        <v>#VALUE!</v>
      </c>
      <c r="AQ4225" s="1759">
        <f t="shared" si="124"/>
        <v>4222</v>
      </c>
      <c r="AR4225" s="1756" t="e">
        <f>0.5*(S18+2*AQ4225)*LN(1+2*AQ4225/S18)</f>
        <v>#VALUE!</v>
      </c>
    </row>
    <row r="4226" spans="42:44">
      <c r="AP4226" s="1756" t="e">
        <f>IF(OR(AR4226=S13,AR4226&gt;S13),AR4226,"")</f>
        <v>#VALUE!</v>
      </c>
      <c r="AQ4226" s="1759">
        <f t="shared" si="124"/>
        <v>4223</v>
      </c>
      <c r="AR4226" s="1756" t="e">
        <f>0.5*(S18+2*AQ4226)*LN(1+2*AQ4226/S18)</f>
        <v>#VALUE!</v>
      </c>
    </row>
    <row r="4227" spans="42:44">
      <c r="AP4227" s="1756" t="e">
        <f>IF(OR(AR4227=S13,AR4227&gt;S13),AR4227,"")</f>
        <v>#VALUE!</v>
      </c>
      <c r="AQ4227" s="1759">
        <f t="shared" si="124"/>
        <v>4224</v>
      </c>
      <c r="AR4227" s="1756" t="e">
        <f>0.5*(S18+2*AQ4227)*LN(1+2*AQ4227/S18)</f>
        <v>#VALUE!</v>
      </c>
    </row>
    <row r="4228" spans="42:44">
      <c r="AP4228" s="1756" t="e">
        <f>IF(OR(AR4228=S13,AR4228&gt;S13),AR4228,"")</f>
        <v>#VALUE!</v>
      </c>
      <c r="AQ4228" s="1759">
        <f t="shared" si="124"/>
        <v>4225</v>
      </c>
      <c r="AR4228" s="1756" t="e">
        <f>0.5*(S18+2*AQ4228)*LN(1+2*AQ4228/S18)</f>
        <v>#VALUE!</v>
      </c>
    </row>
    <row r="4229" spans="42:44">
      <c r="AP4229" s="1756" t="e">
        <f>IF(OR(AR4229=S13,AR4229&gt;S13),AR4229,"")</f>
        <v>#VALUE!</v>
      </c>
      <c r="AQ4229" s="1759">
        <f t="shared" si="124"/>
        <v>4226</v>
      </c>
      <c r="AR4229" s="1756" t="e">
        <f>0.5*(S18+2*AQ4229)*LN(1+2*AQ4229/S18)</f>
        <v>#VALUE!</v>
      </c>
    </row>
    <row r="4230" spans="42:44">
      <c r="AP4230" s="1756" t="e">
        <f>IF(OR(AR4230=S13,AR4230&gt;S13),AR4230,"")</f>
        <v>#VALUE!</v>
      </c>
      <c r="AQ4230" s="1759">
        <f t="shared" ref="AQ4230:AQ4293" si="125">AQ4229+1</f>
        <v>4227</v>
      </c>
      <c r="AR4230" s="1756" t="e">
        <f>0.5*(S18+2*AQ4230)*LN(1+2*AQ4230/S18)</f>
        <v>#VALUE!</v>
      </c>
    </row>
    <row r="4231" spans="42:44">
      <c r="AP4231" s="1756" t="e">
        <f>IF(OR(AR4231=S13,AR4231&gt;S13),AR4231,"")</f>
        <v>#VALUE!</v>
      </c>
      <c r="AQ4231" s="1759">
        <f t="shared" si="125"/>
        <v>4228</v>
      </c>
      <c r="AR4231" s="1756" t="e">
        <f>0.5*(S18+2*AQ4231)*LN(1+2*AQ4231/S18)</f>
        <v>#VALUE!</v>
      </c>
    </row>
    <row r="4232" spans="42:44">
      <c r="AP4232" s="1756" t="e">
        <f>IF(OR(AR4232=S13,AR4232&gt;S13),AR4232,"")</f>
        <v>#VALUE!</v>
      </c>
      <c r="AQ4232" s="1759">
        <f t="shared" si="125"/>
        <v>4229</v>
      </c>
      <c r="AR4232" s="1756" t="e">
        <f>0.5*(S18+2*AQ4232)*LN(1+2*AQ4232/S18)</f>
        <v>#VALUE!</v>
      </c>
    </row>
    <row r="4233" spans="42:44">
      <c r="AP4233" s="1756" t="e">
        <f>IF(OR(AR4233=S13,AR4233&gt;S13),AR4233,"")</f>
        <v>#VALUE!</v>
      </c>
      <c r="AQ4233" s="1759">
        <f t="shared" si="125"/>
        <v>4230</v>
      </c>
      <c r="AR4233" s="1756" t="e">
        <f>0.5*(S18+2*AQ4233)*LN(1+2*AQ4233/S18)</f>
        <v>#VALUE!</v>
      </c>
    </row>
    <row r="4234" spans="42:44">
      <c r="AP4234" s="1756" t="e">
        <f>IF(OR(AR4234=S13,AR4234&gt;S13),AR4234,"")</f>
        <v>#VALUE!</v>
      </c>
      <c r="AQ4234" s="1759">
        <f t="shared" si="125"/>
        <v>4231</v>
      </c>
      <c r="AR4234" s="1756" t="e">
        <f>0.5*(S18+2*AQ4234)*LN(1+2*AQ4234/S18)</f>
        <v>#VALUE!</v>
      </c>
    </row>
    <row r="4235" spans="42:44">
      <c r="AP4235" s="1756" t="e">
        <f>IF(OR(AR4235=S13,AR4235&gt;S13),AR4235,"")</f>
        <v>#VALUE!</v>
      </c>
      <c r="AQ4235" s="1759">
        <f t="shared" si="125"/>
        <v>4232</v>
      </c>
      <c r="AR4235" s="1756" t="e">
        <f>0.5*(S18+2*AQ4235)*LN(1+2*AQ4235/S18)</f>
        <v>#VALUE!</v>
      </c>
    </row>
    <row r="4236" spans="42:44">
      <c r="AP4236" s="1756" t="e">
        <f>IF(OR(AR4236=S13,AR4236&gt;S13),AR4236,"")</f>
        <v>#VALUE!</v>
      </c>
      <c r="AQ4236" s="1759">
        <f t="shared" si="125"/>
        <v>4233</v>
      </c>
      <c r="AR4236" s="1756" t="e">
        <f>0.5*(S18+2*AQ4236)*LN(1+2*AQ4236/S18)</f>
        <v>#VALUE!</v>
      </c>
    </row>
    <row r="4237" spans="42:44">
      <c r="AP4237" s="1756" t="e">
        <f>IF(OR(AR4237=S13,AR4237&gt;S13),AR4237,"")</f>
        <v>#VALUE!</v>
      </c>
      <c r="AQ4237" s="1759">
        <f t="shared" si="125"/>
        <v>4234</v>
      </c>
      <c r="AR4237" s="1756" t="e">
        <f>0.5*(S18+2*AQ4237)*LN(1+2*AQ4237/S18)</f>
        <v>#VALUE!</v>
      </c>
    </row>
    <row r="4238" spans="42:44">
      <c r="AP4238" s="1756" t="e">
        <f>IF(OR(AR4238=S13,AR4238&gt;S13),AR4238,"")</f>
        <v>#VALUE!</v>
      </c>
      <c r="AQ4238" s="1759">
        <f t="shared" si="125"/>
        <v>4235</v>
      </c>
      <c r="AR4238" s="1756" t="e">
        <f>0.5*(S18+2*AQ4238)*LN(1+2*AQ4238/S18)</f>
        <v>#VALUE!</v>
      </c>
    </row>
    <row r="4239" spans="42:44">
      <c r="AP4239" s="1756" t="e">
        <f>IF(OR(AR4239=S13,AR4239&gt;S13),AR4239,"")</f>
        <v>#VALUE!</v>
      </c>
      <c r="AQ4239" s="1759">
        <f t="shared" si="125"/>
        <v>4236</v>
      </c>
      <c r="AR4239" s="1756" t="e">
        <f>0.5*(S18+2*AQ4239)*LN(1+2*AQ4239/S18)</f>
        <v>#VALUE!</v>
      </c>
    </row>
    <row r="4240" spans="42:44">
      <c r="AP4240" s="1756" t="e">
        <f>IF(OR(AR4240=S13,AR4240&gt;S13),AR4240,"")</f>
        <v>#VALUE!</v>
      </c>
      <c r="AQ4240" s="1759">
        <f t="shared" si="125"/>
        <v>4237</v>
      </c>
      <c r="AR4240" s="1756" t="e">
        <f>0.5*(S18+2*AQ4240)*LN(1+2*AQ4240/S18)</f>
        <v>#VALUE!</v>
      </c>
    </row>
    <row r="4241" spans="42:44">
      <c r="AP4241" s="1756" t="e">
        <f>IF(OR(AR4241=S13,AR4241&gt;S13),AR4241,"")</f>
        <v>#VALUE!</v>
      </c>
      <c r="AQ4241" s="1759">
        <f t="shared" si="125"/>
        <v>4238</v>
      </c>
      <c r="AR4241" s="1756" t="e">
        <f>0.5*(S18+2*AQ4241)*LN(1+2*AQ4241/S18)</f>
        <v>#VALUE!</v>
      </c>
    </row>
    <row r="4242" spans="42:44">
      <c r="AP4242" s="1756" t="e">
        <f>IF(OR(AR4242=S13,AR4242&gt;S13),AR4242,"")</f>
        <v>#VALUE!</v>
      </c>
      <c r="AQ4242" s="1759">
        <f t="shared" si="125"/>
        <v>4239</v>
      </c>
      <c r="AR4242" s="1756" t="e">
        <f>0.5*(S18+2*AQ4242)*LN(1+2*AQ4242/S18)</f>
        <v>#VALUE!</v>
      </c>
    </row>
    <row r="4243" spans="42:44">
      <c r="AP4243" s="1756" t="e">
        <f>IF(OR(AR4243=S13,AR4243&gt;S13),AR4243,"")</f>
        <v>#VALUE!</v>
      </c>
      <c r="AQ4243" s="1759">
        <f t="shared" si="125"/>
        <v>4240</v>
      </c>
      <c r="AR4243" s="1756" t="e">
        <f>0.5*(S18+2*AQ4243)*LN(1+2*AQ4243/S18)</f>
        <v>#VALUE!</v>
      </c>
    </row>
    <row r="4244" spans="42:44">
      <c r="AP4244" s="1756" t="e">
        <f>IF(OR(AR4244=S13,AR4244&gt;S13),AR4244,"")</f>
        <v>#VALUE!</v>
      </c>
      <c r="AQ4244" s="1759">
        <f t="shared" si="125"/>
        <v>4241</v>
      </c>
      <c r="AR4244" s="1756" t="e">
        <f>0.5*(S18+2*AQ4244)*LN(1+2*AQ4244/S18)</f>
        <v>#VALUE!</v>
      </c>
    </row>
    <row r="4245" spans="42:44">
      <c r="AP4245" s="1756" t="e">
        <f>IF(OR(AR4245=S13,AR4245&gt;S13),AR4245,"")</f>
        <v>#VALUE!</v>
      </c>
      <c r="AQ4245" s="1759">
        <f t="shared" si="125"/>
        <v>4242</v>
      </c>
      <c r="AR4245" s="1756" t="e">
        <f>0.5*(S18+2*AQ4245)*LN(1+2*AQ4245/S18)</f>
        <v>#VALUE!</v>
      </c>
    </row>
    <row r="4246" spans="42:44">
      <c r="AP4246" s="1756" t="e">
        <f>IF(OR(AR4246=S13,AR4246&gt;S13),AR4246,"")</f>
        <v>#VALUE!</v>
      </c>
      <c r="AQ4246" s="1759">
        <f t="shared" si="125"/>
        <v>4243</v>
      </c>
      <c r="AR4246" s="1756" t="e">
        <f>0.5*(S18+2*AQ4246)*LN(1+2*AQ4246/S18)</f>
        <v>#VALUE!</v>
      </c>
    </row>
    <row r="4247" spans="42:44">
      <c r="AP4247" s="1756" t="e">
        <f>IF(OR(AR4247=S13,AR4247&gt;S13),AR4247,"")</f>
        <v>#VALUE!</v>
      </c>
      <c r="AQ4247" s="1759">
        <f t="shared" si="125"/>
        <v>4244</v>
      </c>
      <c r="AR4247" s="1756" t="e">
        <f>0.5*(S18+2*AQ4247)*LN(1+2*AQ4247/S18)</f>
        <v>#VALUE!</v>
      </c>
    </row>
    <row r="4248" spans="42:44">
      <c r="AP4248" s="1756" t="e">
        <f>IF(OR(AR4248=S13,AR4248&gt;S13),AR4248,"")</f>
        <v>#VALUE!</v>
      </c>
      <c r="AQ4248" s="1759">
        <f t="shared" si="125"/>
        <v>4245</v>
      </c>
      <c r="AR4248" s="1756" t="e">
        <f>0.5*(S18+2*AQ4248)*LN(1+2*AQ4248/S18)</f>
        <v>#VALUE!</v>
      </c>
    </row>
    <row r="4249" spans="42:44">
      <c r="AP4249" s="1756" t="e">
        <f>IF(OR(AR4249=S13,AR4249&gt;S13),AR4249,"")</f>
        <v>#VALUE!</v>
      </c>
      <c r="AQ4249" s="1759">
        <f t="shared" si="125"/>
        <v>4246</v>
      </c>
      <c r="AR4249" s="1756" t="e">
        <f>0.5*(S18+2*AQ4249)*LN(1+2*AQ4249/S18)</f>
        <v>#VALUE!</v>
      </c>
    </row>
    <row r="4250" spans="42:44">
      <c r="AP4250" s="1756" t="e">
        <f>IF(OR(AR4250=S13,AR4250&gt;S13),AR4250,"")</f>
        <v>#VALUE!</v>
      </c>
      <c r="AQ4250" s="1759">
        <f t="shared" si="125"/>
        <v>4247</v>
      </c>
      <c r="AR4250" s="1756" t="e">
        <f>0.5*(S18+2*AQ4250)*LN(1+2*AQ4250/S18)</f>
        <v>#VALUE!</v>
      </c>
    </row>
    <row r="4251" spans="42:44">
      <c r="AP4251" s="1756" t="e">
        <f>IF(OR(AR4251=S13,AR4251&gt;S13),AR4251,"")</f>
        <v>#VALUE!</v>
      </c>
      <c r="AQ4251" s="1759">
        <f t="shared" si="125"/>
        <v>4248</v>
      </c>
      <c r="AR4251" s="1756" t="e">
        <f>0.5*(S18+2*AQ4251)*LN(1+2*AQ4251/S18)</f>
        <v>#VALUE!</v>
      </c>
    </row>
    <row r="4252" spans="42:44">
      <c r="AP4252" s="1756" t="e">
        <f>IF(OR(AR4252=S13,AR4252&gt;S13),AR4252,"")</f>
        <v>#VALUE!</v>
      </c>
      <c r="AQ4252" s="1759">
        <f t="shared" si="125"/>
        <v>4249</v>
      </c>
      <c r="AR4252" s="1756" t="e">
        <f>0.5*(S18+2*AQ4252)*LN(1+2*AQ4252/S18)</f>
        <v>#VALUE!</v>
      </c>
    </row>
    <row r="4253" spans="42:44">
      <c r="AP4253" s="1756" t="e">
        <f>IF(OR(AR4253=S13,AR4253&gt;S13),AR4253,"")</f>
        <v>#VALUE!</v>
      </c>
      <c r="AQ4253" s="1759">
        <f t="shared" si="125"/>
        <v>4250</v>
      </c>
      <c r="AR4253" s="1756" t="e">
        <f>0.5*(S18+2*AQ4253)*LN(1+2*AQ4253/S18)</f>
        <v>#VALUE!</v>
      </c>
    </row>
    <row r="4254" spans="42:44">
      <c r="AP4254" s="1756" t="e">
        <f>IF(OR(AR4254=S13,AR4254&gt;S13),AR4254,"")</f>
        <v>#VALUE!</v>
      </c>
      <c r="AQ4254" s="1759">
        <f t="shared" si="125"/>
        <v>4251</v>
      </c>
      <c r="AR4254" s="1756" t="e">
        <f>0.5*(S18+2*AQ4254)*LN(1+2*AQ4254/S18)</f>
        <v>#VALUE!</v>
      </c>
    </row>
    <row r="4255" spans="42:44">
      <c r="AP4255" s="1756" t="e">
        <f>IF(OR(AR4255=S13,AR4255&gt;S13),AR4255,"")</f>
        <v>#VALUE!</v>
      </c>
      <c r="AQ4255" s="1759">
        <f t="shared" si="125"/>
        <v>4252</v>
      </c>
      <c r="AR4255" s="1756" t="e">
        <f>0.5*(S18+2*AQ4255)*LN(1+2*AQ4255/S18)</f>
        <v>#VALUE!</v>
      </c>
    </row>
    <row r="4256" spans="42:44">
      <c r="AP4256" s="1756" t="e">
        <f>IF(OR(AR4256=S13,AR4256&gt;S13),AR4256,"")</f>
        <v>#VALUE!</v>
      </c>
      <c r="AQ4256" s="1759">
        <f t="shared" si="125"/>
        <v>4253</v>
      </c>
      <c r="AR4256" s="1756" t="e">
        <f>0.5*(S18+2*AQ4256)*LN(1+2*AQ4256/S18)</f>
        <v>#VALUE!</v>
      </c>
    </row>
    <row r="4257" spans="42:44">
      <c r="AP4257" s="1756" t="e">
        <f>IF(OR(AR4257=S13,AR4257&gt;S13),AR4257,"")</f>
        <v>#VALUE!</v>
      </c>
      <c r="AQ4257" s="1759">
        <f t="shared" si="125"/>
        <v>4254</v>
      </c>
      <c r="AR4257" s="1756" t="e">
        <f>0.5*(S18+2*AQ4257)*LN(1+2*AQ4257/S18)</f>
        <v>#VALUE!</v>
      </c>
    </row>
    <row r="4258" spans="42:44">
      <c r="AP4258" s="1756" t="e">
        <f>IF(OR(AR4258=S13,AR4258&gt;S13),AR4258,"")</f>
        <v>#VALUE!</v>
      </c>
      <c r="AQ4258" s="1759">
        <f t="shared" si="125"/>
        <v>4255</v>
      </c>
      <c r="AR4258" s="1756" t="e">
        <f>0.5*(S18+2*AQ4258)*LN(1+2*AQ4258/S18)</f>
        <v>#VALUE!</v>
      </c>
    </row>
    <row r="4259" spans="42:44">
      <c r="AP4259" s="1756" t="e">
        <f>IF(OR(AR4259=S13,AR4259&gt;S13),AR4259,"")</f>
        <v>#VALUE!</v>
      </c>
      <c r="AQ4259" s="1759">
        <f t="shared" si="125"/>
        <v>4256</v>
      </c>
      <c r="AR4259" s="1756" t="e">
        <f>0.5*(S18+2*AQ4259)*LN(1+2*AQ4259/S18)</f>
        <v>#VALUE!</v>
      </c>
    </row>
    <row r="4260" spans="42:44">
      <c r="AP4260" s="1756" t="e">
        <f>IF(OR(AR4260=S13,AR4260&gt;S13),AR4260,"")</f>
        <v>#VALUE!</v>
      </c>
      <c r="AQ4260" s="1759">
        <f t="shared" si="125"/>
        <v>4257</v>
      </c>
      <c r="AR4260" s="1756" t="e">
        <f>0.5*(S18+2*AQ4260)*LN(1+2*AQ4260/S18)</f>
        <v>#VALUE!</v>
      </c>
    </row>
    <row r="4261" spans="42:44">
      <c r="AP4261" s="1756" t="e">
        <f>IF(OR(AR4261=S13,AR4261&gt;S13),AR4261,"")</f>
        <v>#VALUE!</v>
      </c>
      <c r="AQ4261" s="1759">
        <f t="shared" si="125"/>
        <v>4258</v>
      </c>
      <c r="AR4261" s="1756" t="e">
        <f>0.5*(S18+2*AQ4261)*LN(1+2*AQ4261/S18)</f>
        <v>#VALUE!</v>
      </c>
    </row>
    <row r="4262" spans="42:44">
      <c r="AP4262" s="1756" t="e">
        <f>IF(OR(AR4262=S13,AR4262&gt;S13),AR4262,"")</f>
        <v>#VALUE!</v>
      </c>
      <c r="AQ4262" s="1759">
        <f t="shared" si="125"/>
        <v>4259</v>
      </c>
      <c r="AR4262" s="1756" t="e">
        <f>0.5*(S18+2*AQ4262)*LN(1+2*AQ4262/S18)</f>
        <v>#VALUE!</v>
      </c>
    </row>
    <row r="4263" spans="42:44">
      <c r="AP4263" s="1756" t="e">
        <f>IF(OR(AR4263=S13,AR4263&gt;S13),AR4263,"")</f>
        <v>#VALUE!</v>
      </c>
      <c r="AQ4263" s="1759">
        <f t="shared" si="125"/>
        <v>4260</v>
      </c>
      <c r="AR4263" s="1756" t="e">
        <f>0.5*(S18+2*AQ4263)*LN(1+2*AQ4263/S18)</f>
        <v>#VALUE!</v>
      </c>
    </row>
    <row r="4264" spans="42:44">
      <c r="AP4264" s="1756" t="e">
        <f>IF(OR(AR4264=S13,AR4264&gt;S13),AR4264,"")</f>
        <v>#VALUE!</v>
      </c>
      <c r="AQ4264" s="1759">
        <f t="shared" si="125"/>
        <v>4261</v>
      </c>
      <c r="AR4264" s="1756" t="e">
        <f>0.5*(S18+2*AQ4264)*LN(1+2*AQ4264/S18)</f>
        <v>#VALUE!</v>
      </c>
    </row>
    <row r="4265" spans="42:44">
      <c r="AP4265" s="1756" t="e">
        <f>IF(OR(AR4265=S13,AR4265&gt;S13),AR4265,"")</f>
        <v>#VALUE!</v>
      </c>
      <c r="AQ4265" s="1759">
        <f t="shared" si="125"/>
        <v>4262</v>
      </c>
      <c r="AR4265" s="1756" t="e">
        <f>0.5*(S18+2*AQ4265)*LN(1+2*AQ4265/S18)</f>
        <v>#VALUE!</v>
      </c>
    </row>
    <row r="4266" spans="42:44">
      <c r="AP4266" s="1756" t="e">
        <f>IF(OR(AR4266=S13,AR4266&gt;S13),AR4266,"")</f>
        <v>#VALUE!</v>
      </c>
      <c r="AQ4266" s="1759">
        <f t="shared" si="125"/>
        <v>4263</v>
      </c>
      <c r="AR4266" s="1756" t="e">
        <f>0.5*(S18+2*AQ4266)*LN(1+2*AQ4266/S18)</f>
        <v>#VALUE!</v>
      </c>
    </row>
    <row r="4267" spans="42:44">
      <c r="AP4267" s="1756" t="e">
        <f>IF(OR(AR4267=S13,AR4267&gt;S13),AR4267,"")</f>
        <v>#VALUE!</v>
      </c>
      <c r="AQ4267" s="1759">
        <f t="shared" si="125"/>
        <v>4264</v>
      </c>
      <c r="AR4267" s="1756" t="e">
        <f>0.5*(S18+2*AQ4267)*LN(1+2*AQ4267/S18)</f>
        <v>#VALUE!</v>
      </c>
    </row>
    <row r="4268" spans="42:44">
      <c r="AP4268" s="1756" t="e">
        <f>IF(OR(AR4268=S13,AR4268&gt;S13),AR4268,"")</f>
        <v>#VALUE!</v>
      </c>
      <c r="AQ4268" s="1759">
        <f t="shared" si="125"/>
        <v>4265</v>
      </c>
      <c r="AR4268" s="1756" t="e">
        <f>0.5*(S18+2*AQ4268)*LN(1+2*AQ4268/S18)</f>
        <v>#VALUE!</v>
      </c>
    </row>
    <row r="4269" spans="42:44">
      <c r="AP4269" s="1756" t="e">
        <f>IF(OR(AR4269=S13,AR4269&gt;S13),AR4269,"")</f>
        <v>#VALUE!</v>
      </c>
      <c r="AQ4269" s="1759">
        <f t="shared" si="125"/>
        <v>4266</v>
      </c>
      <c r="AR4269" s="1756" t="e">
        <f>0.5*(S18+2*AQ4269)*LN(1+2*AQ4269/S18)</f>
        <v>#VALUE!</v>
      </c>
    </row>
    <row r="4270" spans="42:44">
      <c r="AP4270" s="1756" t="e">
        <f>IF(OR(AR4270=S13,AR4270&gt;S13),AR4270,"")</f>
        <v>#VALUE!</v>
      </c>
      <c r="AQ4270" s="1759">
        <f t="shared" si="125"/>
        <v>4267</v>
      </c>
      <c r="AR4270" s="1756" t="e">
        <f>0.5*(S18+2*AQ4270)*LN(1+2*AQ4270/S18)</f>
        <v>#VALUE!</v>
      </c>
    </row>
    <row r="4271" spans="42:44">
      <c r="AP4271" s="1756" t="e">
        <f>IF(OR(AR4271=S13,AR4271&gt;S13),AR4271,"")</f>
        <v>#VALUE!</v>
      </c>
      <c r="AQ4271" s="1759">
        <f t="shared" si="125"/>
        <v>4268</v>
      </c>
      <c r="AR4271" s="1756" t="e">
        <f>0.5*(S18+2*AQ4271)*LN(1+2*AQ4271/S18)</f>
        <v>#VALUE!</v>
      </c>
    </row>
    <row r="4272" spans="42:44">
      <c r="AP4272" s="1756" t="e">
        <f>IF(OR(AR4272=S13,AR4272&gt;S13),AR4272,"")</f>
        <v>#VALUE!</v>
      </c>
      <c r="AQ4272" s="1759">
        <f t="shared" si="125"/>
        <v>4269</v>
      </c>
      <c r="AR4272" s="1756" t="e">
        <f>0.5*(S18+2*AQ4272)*LN(1+2*AQ4272/S18)</f>
        <v>#VALUE!</v>
      </c>
    </row>
    <row r="4273" spans="42:44">
      <c r="AP4273" s="1756" t="e">
        <f>IF(OR(AR4273=S13,AR4273&gt;S13),AR4273,"")</f>
        <v>#VALUE!</v>
      </c>
      <c r="AQ4273" s="1759">
        <f t="shared" si="125"/>
        <v>4270</v>
      </c>
      <c r="AR4273" s="1756" t="e">
        <f>0.5*(S18+2*AQ4273)*LN(1+2*AQ4273/S18)</f>
        <v>#VALUE!</v>
      </c>
    </row>
    <row r="4274" spans="42:44">
      <c r="AP4274" s="1756" t="e">
        <f>IF(OR(AR4274=S13,AR4274&gt;S13),AR4274,"")</f>
        <v>#VALUE!</v>
      </c>
      <c r="AQ4274" s="1759">
        <f t="shared" si="125"/>
        <v>4271</v>
      </c>
      <c r="AR4274" s="1756" t="e">
        <f>0.5*(S18+2*AQ4274)*LN(1+2*AQ4274/S18)</f>
        <v>#VALUE!</v>
      </c>
    </row>
    <row r="4275" spans="42:44">
      <c r="AP4275" s="1756" t="e">
        <f>IF(OR(AR4275=S13,AR4275&gt;S13),AR4275,"")</f>
        <v>#VALUE!</v>
      </c>
      <c r="AQ4275" s="1759">
        <f t="shared" si="125"/>
        <v>4272</v>
      </c>
      <c r="AR4275" s="1756" t="e">
        <f>0.5*(S18+2*AQ4275)*LN(1+2*AQ4275/S18)</f>
        <v>#VALUE!</v>
      </c>
    </row>
    <row r="4276" spans="42:44">
      <c r="AP4276" s="1756" t="e">
        <f>IF(OR(AR4276=S13,AR4276&gt;S13),AR4276,"")</f>
        <v>#VALUE!</v>
      </c>
      <c r="AQ4276" s="1759">
        <f t="shared" si="125"/>
        <v>4273</v>
      </c>
      <c r="AR4276" s="1756" t="e">
        <f>0.5*(S18+2*AQ4276)*LN(1+2*AQ4276/S18)</f>
        <v>#VALUE!</v>
      </c>
    </row>
    <row r="4277" spans="42:44">
      <c r="AP4277" s="1756" t="e">
        <f>IF(OR(AR4277=S13,AR4277&gt;S13),AR4277,"")</f>
        <v>#VALUE!</v>
      </c>
      <c r="AQ4277" s="1759">
        <f t="shared" si="125"/>
        <v>4274</v>
      </c>
      <c r="AR4277" s="1756" t="e">
        <f>0.5*(S18+2*AQ4277)*LN(1+2*AQ4277/S18)</f>
        <v>#VALUE!</v>
      </c>
    </row>
    <row r="4278" spans="42:44">
      <c r="AP4278" s="1756" t="e">
        <f>IF(OR(AR4278=S13,AR4278&gt;S13),AR4278,"")</f>
        <v>#VALUE!</v>
      </c>
      <c r="AQ4278" s="1759">
        <f t="shared" si="125"/>
        <v>4275</v>
      </c>
      <c r="AR4278" s="1756" t="e">
        <f>0.5*(S18+2*AQ4278)*LN(1+2*AQ4278/S18)</f>
        <v>#VALUE!</v>
      </c>
    </row>
    <row r="4279" spans="42:44">
      <c r="AP4279" s="1756" t="e">
        <f>IF(OR(AR4279=S13,AR4279&gt;S13),AR4279,"")</f>
        <v>#VALUE!</v>
      </c>
      <c r="AQ4279" s="1759">
        <f t="shared" si="125"/>
        <v>4276</v>
      </c>
      <c r="AR4279" s="1756" t="e">
        <f>0.5*(S18+2*AQ4279)*LN(1+2*AQ4279/S18)</f>
        <v>#VALUE!</v>
      </c>
    </row>
    <row r="4280" spans="42:44">
      <c r="AP4280" s="1756" t="e">
        <f>IF(OR(AR4280=S13,AR4280&gt;S13),AR4280,"")</f>
        <v>#VALUE!</v>
      </c>
      <c r="AQ4280" s="1759">
        <f t="shared" si="125"/>
        <v>4277</v>
      </c>
      <c r="AR4280" s="1756" t="e">
        <f>0.5*(S18+2*AQ4280)*LN(1+2*AQ4280/S18)</f>
        <v>#VALUE!</v>
      </c>
    </row>
    <row r="4281" spans="42:44">
      <c r="AP4281" s="1756" t="e">
        <f>IF(OR(AR4281=S13,AR4281&gt;S13),AR4281,"")</f>
        <v>#VALUE!</v>
      </c>
      <c r="AQ4281" s="1759">
        <f t="shared" si="125"/>
        <v>4278</v>
      </c>
      <c r="AR4281" s="1756" t="e">
        <f>0.5*(S18+2*AQ4281)*LN(1+2*AQ4281/S18)</f>
        <v>#VALUE!</v>
      </c>
    </row>
    <row r="4282" spans="42:44">
      <c r="AP4282" s="1756" t="e">
        <f>IF(OR(AR4282=S13,AR4282&gt;S13),AR4282,"")</f>
        <v>#VALUE!</v>
      </c>
      <c r="AQ4282" s="1759">
        <f t="shared" si="125"/>
        <v>4279</v>
      </c>
      <c r="AR4282" s="1756" t="e">
        <f>0.5*(S18+2*AQ4282)*LN(1+2*AQ4282/S18)</f>
        <v>#VALUE!</v>
      </c>
    </row>
    <row r="4283" spans="42:44">
      <c r="AP4283" s="1756" t="e">
        <f>IF(OR(AR4283=S13,AR4283&gt;S13),AR4283,"")</f>
        <v>#VALUE!</v>
      </c>
      <c r="AQ4283" s="1759">
        <f t="shared" si="125"/>
        <v>4280</v>
      </c>
      <c r="AR4283" s="1756" t="e">
        <f>0.5*(S18+2*AQ4283)*LN(1+2*AQ4283/S18)</f>
        <v>#VALUE!</v>
      </c>
    </row>
    <row r="4284" spans="42:44">
      <c r="AP4284" s="1756" t="e">
        <f>IF(OR(AR4284=S13,AR4284&gt;S13),AR4284,"")</f>
        <v>#VALUE!</v>
      </c>
      <c r="AQ4284" s="1759">
        <f t="shared" si="125"/>
        <v>4281</v>
      </c>
      <c r="AR4284" s="1756" t="e">
        <f>0.5*(S18+2*AQ4284)*LN(1+2*AQ4284/S18)</f>
        <v>#VALUE!</v>
      </c>
    </row>
    <row r="4285" spans="42:44">
      <c r="AP4285" s="1756" t="e">
        <f>IF(OR(AR4285=S13,AR4285&gt;S13),AR4285,"")</f>
        <v>#VALUE!</v>
      </c>
      <c r="AQ4285" s="1759">
        <f t="shared" si="125"/>
        <v>4282</v>
      </c>
      <c r="AR4285" s="1756" t="e">
        <f>0.5*(S18+2*AQ4285)*LN(1+2*AQ4285/S18)</f>
        <v>#VALUE!</v>
      </c>
    </row>
    <row r="4286" spans="42:44">
      <c r="AP4286" s="1756" t="e">
        <f>IF(OR(AR4286=S13,AR4286&gt;S13),AR4286,"")</f>
        <v>#VALUE!</v>
      </c>
      <c r="AQ4286" s="1759">
        <f t="shared" si="125"/>
        <v>4283</v>
      </c>
      <c r="AR4286" s="1756" t="e">
        <f>0.5*(S18+2*AQ4286)*LN(1+2*AQ4286/S18)</f>
        <v>#VALUE!</v>
      </c>
    </row>
    <row r="4287" spans="42:44">
      <c r="AP4287" s="1756" t="e">
        <f>IF(OR(AR4287=S13,AR4287&gt;S13),AR4287,"")</f>
        <v>#VALUE!</v>
      </c>
      <c r="AQ4287" s="1759">
        <f t="shared" si="125"/>
        <v>4284</v>
      </c>
      <c r="AR4287" s="1756" t="e">
        <f>0.5*(S18+2*AQ4287)*LN(1+2*AQ4287/S18)</f>
        <v>#VALUE!</v>
      </c>
    </row>
    <row r="4288" spans="42:44">
      <c r="AP4288" s="1756" t="e">
        <f>IF(OR(AR4288=S13,AR4288&gt;S13),AR4288,"")</f>
        <v>#VALUE!</v>
      </c>
      <c r="AQ4288" s="1759">
        <f t="shared" si="125"/>
        <v>4285</v>
      </c>
      <c r="AR4288" s="1756" t="e">
        <f>0.5*(S18+2*AQ4288)*LN(1+2*AQ4288/S18)</f>
        <v>#VALUE!</v>
      </c>
    </row>
    <row r="4289" spans="42:44">
      <c r="AP4289" s="1756" t="e">
        <f>IF(OR(AR4289=S13,AR4289&gt;S13),AR4289,"")</f>
        <v>#VALUE!</v>
      </c>
      <c r="AQ4289" s="1759">
        <f t="shared" si="125"/>
        <v>4286</v>
      </c>
      <c r="AR4289" s="1756" t="e">
        <f>0.5*(S18+2*AQ4289)*LN(1+2*AQ4289/S18)</f>
        <v>#VALUE!</v>
      </c>
    </row>
    <row r="4290" spans="42:44">
      <c r="AP4290" s="1756" t="e">
        <f>IF(OR(AR4290=S13,AR4290&gt;S13),AR4290,"")</f>
        <v>#VALUE!</v>
      </c>
      <c r="AQ4290" s="1759">
        <f t="shared" si="125"/>
        <v>4287</v>
      </c>
      <c r="AR4290" s="1756" t="e">
        <f>0.5*(S18+2*AQ4290)*LN(1+2*AQ4290/S18)</f>
        <v>#VALUE!</v>
      </c>
    </row>
    <row r="4291" spans="42:44">
      <c r="AP4291" s="1756" t="e">
        <f>IF(OR(AR4291=S13,AR4291&gt;S13),AR4291,"")</f>
        <v>#VALUE!</v>
      </c>
      <c r="AQ4291" s="1759">
        <f t="shared" si="125"/>
        <v>4288</v>
      </c>
      <c r="AR4291" s="1756" t="e">
        <f>0.5*(S18+2*AQ4291)*LN(1+2*AQ4291/S18)</f>
        <v>#VALUE!</v>
      </c>
    </row>
    <row r="4292" spans="42:44">
      <c r="AP4292" s="1756" t="e">
        <f>IF(OR(AR4292=S13,AR4292&gt;S13),AR4292,"")</f>
        <v>#VALUE!</v>
      </c>
      <c r="AQ4292" s="1759">
        <f t="shared" si="125"/>
        <v>4289</v>
      </c>
      <c r="AR4292" s="1756" t="e">
        <f>0.5*(S18+2*AQ4292)*LN(1+2*AQ4292/S18)</f>
        <v>#VALUE!</v>
      </c>
    </row>
    <row r="4293" spans="42:44">
      <c r="AP4293" s="1756" t="e">
        <f>IF(OR(AR4293=S13,AR4293&gt;S13),AR4293,"")</f>
        <v>#VALUE!</v>
      </c>
      <c r="AQ4293" s="1759">
        <f t="shared" si="125"/>
        <v>4290</v>
      </c>
      <c r="AR4293" s="1756" t="e">
        <f>0.5*(S18+2*AQ4293)*LN(1+2*AQ4293/S18)</f>
        <v>#VALUE!</v>
      </c>
    </row>
    <row r="4294" spans="42:44">
      <c r="AP4294" s="1756" t="e">
        <f>IF(OR(AR4294=S13,AR4294&gt;S13),AR4294,"")</f>
        <v>#VALUE!</v>
      </c>
      <c r="AQ4294" s="1759">
        <f t="shared" ref="AQ4294:AQ4357" si="126">AQ4293+1</f>
        <v>4291</v>
      </c>
      <c r="AR4294" s="1756" t="e">
        <f>0.5*(S18+2*AQ4294)*LN(1+2*AQ4294/S18)</f>
        <v>#VALUE!</v>
      </c>
    </row>
    <row r="4295" spans="42:44">
      <c r="AP4295" s="1756" t="e">
        <f>IF(OR(AR4295=S13,AR4295&gt;S13),AR4295,"")</f>
        <v>#VALUE!</v>
      </c>
      <c r="AQ4295" s="1759">
        <f t="shared" si="126"/>
        <v>4292</v>
      </c>
      <c r="AR4295" s="1756" t="e">
        <f>0.5*(S18+2*AQ4295)*LN(1+2*AQ4295/S18)</f>
        <v>#VALUE!</v>
      </c>
    </row>
    <row r="4296" spans="42:44">
      <c r="AP4296" s="1756" t="e">
        <f>IF(OR(AR4296=S13,AR4296&gt;S13),AR4296,"")</f>
        <v>#VALUE!</v>
      </c>
      <c r="AQ4296" s="1759">
        <f t="shared" si="126"/>
        <v>4293</v>
      </c>
      <c r="AR4296" s="1756" t="e">
        <f>0.5*(S18+2*AQ4296)*LN(1+2*AQ4296/S18)</f>
        <v>#VALUE!</v>
      </c>
    </row>
    <row r="4297" spans="42:44">
      <c r="AP4297" s="1756" t="e">
        <f>IF(OR(AR4297=S13,AR4297&gt;S13),AR4297,"")</f>
        <v>#VALUE!</v>
      </c>
      <c r="AQ4297" s="1759">
        <f t="shared" si="126"/>
        <v>4294</v>
      </c>
      <c r="AR4297" s="1756" t="e">
        <f>0.5*(S18+2*AQ4297)*LN(1+2*AQ4297/S18)</f>
        <v>#VALUE!</v>
      </c>
    </row>
    <row r="4298" spans="42:44">
      <c r="AP4298" s="1756" t="e">
        <f>IF(OR(AR4298=S13,AR4298&gt;S13),AR4298,"")</f>
        <v>#VALUE!</v>
      </c>
      <c r="AQ4298" s="1759">
        <f t="shared" si="126"/>
        <v>4295</v>
      </c>
      <c r="AR4298" s="1756" t="e">
        <f>0.5*(S18+2*AQ4298)*LN(1+2*AQ4298/S18)</f>
        <v>#VALUE!</v>
      </c>
    </row>
    <row r="4299" spans="42:44">
      <c r="AP4299" s="1756" t="e">
        <f>IF(OR(AR4299=S13,AR4299&gt;S13),AR4299,"")</f>
        <v>#VALUE!</v>
      </c>
      <c r="AQ4299" s="1759">
        <f t="shared" si="126"/>
        <v>4296</v>
      </c>
      <c r="AR4299" s="1756" t="e">
        <f>0.5*(S18+2*AQ4299)*LN(1+2*AQ4299/S18)</f>
        <v>#VALUE!</v>
      </c>
    </row>
    <row r="4300" spans="42:44">
      <c r="AP4300" s="1756" t="e">
        <f>IF(OR(AR4300=S13,AR4300&gt;S13),AR4300,"")</f>
        <v>#VALUE!</v>
      </c>
      <c r="AQ4300" s="1759">
        <f t="shared" si="126"/>
        <v>4297</v>
      </c>
      <c r="AR4300" s="1756" t="e">
        <f>0.5*(S18+2*AQ4300)*LN(1+2*AQ4300/S18)</f>
        <v>#VALUE!</v>
      </c>
    </row>
    <row r="4301" spans="42:44">
      <c r="AP4301" s="1756" t="e">
        <f>IF(OR(AR4301=S13,AR4301&gt;S13),AR4301,"")</f>
        <v>#VALUE!</v>
      </c>
      <c r="AQ4301" s="1759">
        <f t="shared" si="126"/>
        <v>4298</v>
      </c>
      <c r="AR4301" s="1756" t="e">
        <f>0.5*(S18+2*AQ4301)*LN(1+2*AQ4301/S18)</f>
        <v>#VALUE!</v>
      </c>
    </row>
    <row r="4302" spans="42:44">
      <c r="AP4302" s="1756" t="e">
        <f>IF(OR(AR4302=S13,AR4302&gt;S13),AR4302,"")</f>
        <v>#VALUE!</v>
      </c>
      <c r="AQ4302" s="1759">
        <f t="shared" si="126"/>
        <v>4299</v>
      </c>
      <c r="AR4302" s="1756" t="e">
        <f>0.5*(S18+2*AQ4302)*LN(1+2*AQ4302/S18)</f>
        <v>#VALUE!</v>
      </c>
    </row>
    <row r="4303" spans="42:44">
      <c r="AP4303" s="1756" t="e">
        <f>IF(OR(AR4303=S13,AR4303&gt;S13),AR4303,"")</f>
        <v>#VALUE!</v>
      </c>
      <c r="AQ4303" s="1759">
        <f t="shared" si="126"/>
        <v>4300</v>
      </c>
      <c r="AR4303" s="1756" t="e">
        <f>0.5*(S18+2*AQ4303)*LN(1+2*AQ4303/S18)</f>
        <v>#VALUE!</v>
      </c>
    </row>
    <row r="4304" spans="42:44">
      <c r="AP4304" s="1756" t="e">
        <f>IF(OR(AR4304=S13,AR4304&gt;S13),AR4304,"")</f>
        <v>#VALUE!</v>
      </c>
      <c r="AQ4304" s="1759">
        <f t="shared" si="126"/>
        <v>4301</v>
      </c>
      <c r="AR4304" s="1756" t="e">
        <f>0.5*(S18+2*AQ4304)*LN(1+2*AQ4304/S18)</f>
        <v>#VALUE!</v>
      </c>
    </row>
    <row r="4305" spans="42:44">
      <c r="AP4305" s="1756" t="e">
        <f>IF(OR(AR4305=S13,AR4305&gt;S13),AR4305,"")</f>
        <v>#VALUE!</v>
      </c>
      <c r="AQ4305" s="1759">
        <f t="shared" si="126"/>
        <v>4302</v>
      </c>
      <c r="AR4305" s="1756" t="e">
        <f>0.5*(S18+2*AQ4305)*LN(1+2*AQ4305/S18)</f>
        <v>#VALUE!</v>
      </c>
    </row>
    <row r="4306" spans="42:44">
      <c r="AP4306" s="1756" t="e">
        <f>IF(OR(AR4306=S13,AR4306&gt;S13),AR4306,"")</f>
        <v>#VALUE!</v>
      </c>
      <c r="AQ4306" s="1759">
        <f t="shared" si="126"/>
        <v>4303</v>
      </c>
      <c r="AR4306" s="1756" t="e">
        <f>0.5*(S18+2*AQ4306)*LN(1+2*AQ4306/S18)</f>
        <v>#VALUE!</v>
      </c>
    </row>
    <row r="4307" spans="42:44">
      <c r="AP4307" s="1756" t="e">
        <f>IF(OR(AR4307=S13,AR4307&gt;S13),AR4307,"")</f>
        <v>#VALUE!</v>
      </c>
      <c r="AQ4307" s="1759">
        <f t="shared" si="126"/>
        <v>4304</v>
      </c>
      <c r="AR4307" s="1756" t="e">
        <f>0.5*(S18+2*AQ4307)*LN(1+2*AQ4307/S18)</f>
        <v>#VALUE!</v>
      </c>
    </row>
    <row r="4308" spans="42:44">
      <c r="AP4308" s="1756" t="e">
        <f>IF(OR(AR4308=S13,AR4308&gt;S13),AR4308,"")</f>
        <v>#VALUE!</v>
      </c>
      <c r="AQ4308" s="1759">
        <f t="shared" si="126"/>
        <v>4305</v>
      </c>
      <c r="AR4308" s="1756" t="e">
        <f>0.5*(S18+2*AQ4308)*LN(1+2*AQ4308/S18)</f>
        <v>#VALUE!</v>
      </c>
    </row>
    <row r="4309" spans="42:44">
      <c r="AP4309" s="1756" t="e">
        <f>IF(OR(AR4309=S13,AR4309&gt;S13),AR4309,"")</f>
        <v>#VALUE!</v>
      </c>
      <c r="AQ4309" s="1759">
        <f t="shared" si="126"/>
        <v>4306</v>
      </c>
      <c r="AR4309" s="1756" t="e">
        <f>0.5*(S18+2*AQ4309)*LN(1+2*AQ4309/S18)</f>
        <v>#VALUE!</v>
      </c>
    </row>
    <row r="4310" spans="42:44">
      <c r="AP4310" s="1756" t="e">
        <f>IF(OR(AR4310=S13,AR4310&gt;S13),AR4310,"")</f>
        <v>#VALUE!</v>
      </c>
      <c r="AQ4310" s="1759">
        <f t="shared" si="126"/>
        <v>4307</v>
      </c>
      <c r="AR4310" s="1756" t="e">
        <f>0.5*(S18+2*AQ4310)*LN(1+2*AQ4310/S18)</f>
        <v>#VALUE!</v>
      </c>
    </row>
    <row r="4311" spans="42:44">
      <c r="AP4311" s="1756" t="e">
        <f>IF(OR(AR4311=S13,AR4311&gt;S13),AR4311,"")</f>
        <v>#VALUE!</v>
      </c>
      <c r="AQ4311" s="1759">
        <f t="shared" si="126"/>
        <v>4308</v>
      </c>
      <c r="AR4311" s="1756" t="e">
        <f>0.5*(S18+2*AQ4311)*LN(1+2*AQ4311/S18)</f>
        <v>#VALUE!</v>
      </c>
    </row>
    <row r="4312" spans="42:44">
      <c r="AP4312" s="1756" t="e">
        <f>IF(OR(AR4312=S13,AR4312&gt;S13),AR4312,"")</f>
        <v>#VALUE!</v>
      </c>
      <c r="AQ4312" s="1759">
        <f t="shared" si="126"/>
        <v>4309</v>
      </c>
      <c r="AR4312" s="1756" t="e">
        <f>0.5*(S18+2*AQ4312)*LN(1+2*AQ4312/S18)</f>
        <v>#VALUE!</v>
      </c>
    </row>
    <row r="4313" spans="42:44">
      <c r="AP4313" s="1756" t="e">
        <f>IF(OR(AR4313=S13,AR4313&gt;S13),AR4313,"")</f>
        <v>#VALUE!</v>
      </c>
      <c r="AQ4313" s="1759">
        <f t="shared" si="126"/>
        <v>4310</v>
      </c>
      <c r="AR4313" s="1756" t="e">
        <f>0.5*(S18+2*AQ4313)*LN(1+2*AQ4313/S18)</f>
        <v>#VALUE!</v>
      </c>
    </row>
    <row r="4314" spans="42:44">
      <c r="AP4314" s="1756" t="e">
        <f>IF(OR(AR4314=S13,AR4314&gt;S13),AR4314,"")</f>
        <v>#VALUE!</v>
      </c>
      <c r="AQ4314" s="1759">
        <f t="shared" si="126"/>
        <v>4311</v>
      </c>
      <c r="AR4314" s="1756" t="e">
        <f>0.5*(S18+2*AQ4314)*LN(1+2*AQ4314/S18)</f>
        <v>#VALUE!</v>
      </c>
    </row>
    <row r="4315" spans="42:44">
      <c r="AP4315" s="1756" t="e">
        <f>IF(OR(AR4315=S13,AR4315&gt;S13),AR4315,"")</f>
        <v>#VALUE!</v>
      </c>
      <c r="AQ4315" s="1759">
        <f t="shared" si="126"/>
        <v>4312</v>
      </c>
      <c r="AR4315" s="1756" t="e">
        <f>0.5*(S18+2*AQ4315)*LN(1+2*AQ4315/S18)</f>
        <v>#VALUE!</v>
      </c>
    </row>
    <row r="4316" spans="42:44">
      <c r="AP4316" s="1756" t="e">
        <f>IF(OR(AR4316=S13,AR4316&gt;S13),AR4316,"")</f>
        <v>#VALUE!</v>
      </c>
      <c r="AQ4316" s="1759">
        <f t="shared" si="126"/>
        <v>4313</v>
      </c>
      <c r="AR4316" s="1756" t="e">
        <f>0.5*(S18+2*AQ4316)*LN(1+2*AQ4316/S18)</f>
        <v>#VALUE!</v>
      </c>
    </row>
    <row r="4317" spans="42:44">
      <c r="AP4317" s="1756" t="e">
        <f>IF(OR(AR4317=S13,AR4317&gt;S13),AR4317,"")</f>
        <v>#VALUE!</v>
      </c>
      <c r="AQ4317" s="1759">
        <f t="shared" si="126"/>
        <v>4314</v>
      </c>
      <c r="AR4317" s="1756" t="e">
        <f>0.5*(S18+2*AQ4317)*LN(1+2*AQ4317/S18)</f>
        <v>#VALUE!</v>
      </c>
    </row>
    <row r="4318" spans="42:44">
      <c r="AP4318" s="1756" t="e">
        <f>IF(OR(AR4318=S13,AR4318&gt;S13),AR4318,"")</f>
        <v>#VALUE!</v>
      </c>
      <c r="AQ4318" s="1759">
        <f t="shared" si="126"/>
        <v>4315</v>
      </c>
      <c r="AR4318" s="1756" t="e">
        <f>0.5*(S18+2*AQ4318)*LN(1+2*AQ4318/S18)</f>
        <v>#VALUE!</v>
      </c>
    </row>
    <row r="4319" spans="42:44">
      <c r="AP4319" s="1756" t="e">
        <f>IF(OR(AR4319=S13,AR4319&gt;S13),AR4319,"")</f>
        <v>#VALUE!</v>
      </c>
      <c r="AQ4319" s="1759">
        <f t="shared" si="126"/>
        <v>4316</v>
      </c>
      <c r="AR4319" s="1756" t="e">
        <f>0.5*(S18+2*AQ4319)*LN(1+2*AQ4319/S18)</f>
        <v>#VALUE!</v>
      </c>
    </row>
    <row r="4320" spans="42:44">
      <c r="AP4320" s="1756" t="e">
        <f>IF(OR(AR4320=S13,AR4320&gt;S13),AR4320,"")</f>
        <v>#VALUE!</v>
      </c>
      <c r="AQ4320" s="1759">
        <f t="shared" si="126"/>
        <v>4317</v>
      </c>
      <c r="AR4320" s="1756" t="e">
        <f>0.5*(S18+2*AQ4320)*LN(1+2*AQ4320/S18)</f>
        <v>#VALUE!</v>
      </c>
    </row>
    <row r="4321" spans="42:44">
      <c r="AP4321" s="1756" t="e">
        <f>IF(OR(AR4321=S13,AR4321&gt;S13),AR4321,"")</f>
        <v>#VALUE!</v>
      </c>
      <c r="AQ4321" s="1759">
        <f t="shared" si="126"/>
        <v>4318</v>
      </c>
      <c r="AR4321" s="1756" t="e">
        <f>0.5*(S18+2*AQ4321)*LN(1+2*AQ4321/S18)</f>
        <v>#VALUE!</v>
      </c>
    </row>
    <row r="4322" spans="42:44">
      <c r="AP4322" s="1756" t="e">
        <f>IF(OR(AR4322=S13,AR4322&gt;S13),AR4322,"")</f>
        <v>#VALUE!</v>
      </c>
      <c r="AQ4322" s="1759">
        <f t="shared" si="126"/>
        <v>4319</v>
      </c>
      <c r="AR4322" s="1756" t="e">
        <f>0.5*(S18+2*AQ4322)*LN(1+2*AQ4322/S18)</f>
        <v>#VALUE!</v>
      </c>
    </row>
    <row r="4323" spans="42:44">
      <c r="AP4323" s="1756" t="e">
        <f>IF(OR(AR4323=S13,AR4323&gt;S13),AR4323,"")</f>
        <v>#VALUE!</v>
      </c>
      <c r="AQ4323" s="1759">
        <f t="shared" si="126"/>
        <v>4320</v>
      </c>
      <c r="AR4323" s="1756" t="e">
        <f>0.5*(S18+2*AQ4323)*LN(1+2*AQ4323/S18)</f>
        <v>#VALUE!</v>
      </c>
    </row>
    <row r="4324" spans="42:44">
      <c r="AP4324" s="1756" t="e">
        <f>IF(OR(AR4324=S13,AR4324&gt;S13),AR4324,"")</f>
        <v>#VALUE!</v>
      </c>
      <c r="AQ4324" s="1759">
        <f t="shared" si="126"/>
        <v>4321</v>
      </c>
      <c r="AR4324" s="1756" t="e">
        <f>0.5*(S18+2*AQ4324)*LN(1+2*AQ4324/S18)</f>
        <v>#VALUE!</v>
      </c>
    </row>
    <row r="4325" spans="42:44">
      <c r="AP4325" s="1756" t="e">
        <f>IF(OR(AR4325=S13,AR4325&gt;S13),AR4325,"")</f>
        <v>#VALUE!</v>
      </c>
      <c r="AQ4325" s="1759">
        <f t="shared" si="126"/>
        <v>4322</v>
      </c>
      <c r="AR4325" s="1756" t="e">
        <f>0.5*(S18+2*AQ4325)*LN(1+2*AQ4325/S18)</f>
        <v>#VALUE!</v>
      </c>
    </row>
    <row r="4326" spans="42:44">
      <c r="AP4326" s="1756" t="e">
        <f>IF(OR(AR4326=S13,AR4326&gt;S13),AR4326,"")</f>
        <v>#VALUE!</v>
      </c>
      <c r="AQ4326" s="1759">
        <f t="shared" si="126"/>
        <v>4323</v>
      </c>
      <c r="AR4326" s="1756" t="e">
        <f>0.5*(S18+2*AQ4326)*LN(1+2*AQ4326/S18)</f>
        <v>#VALUE!</v>
      </c>
    </row>
    <row r="4327" spans="42:44">
      <c r="AP4327" s="1756" t="e">
        <f>IF(OR(AR4327=S13,AR4327&gt;S13),AR4327,"")</f>
        <v>#VALUE!</v>
      </c>
      <c r="AQ4327" s="1759">
        <f t="shared" si="126"/>
        <v>4324</v>
      </c>
      <c r="AR4327" s="1756" t="e">
        <f>0.5*(S18+2*AQ4327)*LN(1+2*AQ4327/S18)</f>
        <v>#VALUE!</v>
      </c>
    </row>
    <row r="4328" spans="42:44">
      <c r="AP4328" s="1756" t="e">
        <f>IF(OR(AR4328=S13,AR4328&gt;S13),AR4328,"")</f>
        <v>#VALUE!</v>
      </c>
      <c r="AQ4328" s="1759">
        <f t="shared" si="126"/>
        <v>4325</v>
      </c>
      <c r="AR4328" s="1756" t="e">
        <f>0.5*(S18+2*AQ4328)*LN(1+2*AQ4328/S18)</f>
        <v>#VALUE!</v>
      </c>
    </row>
    <row r="4329" spans="42:44">
      <c r="AP4329" s="1756" t="e">
        <f>IF(OR(AR4329=S13,AR4329&gt;S13),AR4329,"")</f>
        <v>#VALUE!</v>
      </c>
      <c r="AQ4329" s="1759">
        <f t="shared" si="126"/>
        <v>4326</v>
      </c>
      <c r="AR4329" s="1756" t="e">
        <f>0.5*(S18+2*AQ4329)*LN(1+2*AQ4329/S18)</f>
        <v>#VALUE!</v>
      </c>
    </row>
    <row r="4330" spans="42:44">
      <c r="AP4330" s="1756" t="e">
        <f>IF(OR(AR4330=S13,AR4330&gt;S13),AR4330,"")</f>
        <v>#VALUE!</v>
      </c>
      <c r="AQ4330" s="1759">
        <f t="shared" si="126"/>
        <v>4327</v>
      </c>
      <c r="AR4330" s="1756" t="e">
        <f>0.5*(S18+2*AQ4330)*LN(1+2*AQ4330/S18)</f>
        <v>#VALUE!</v>
      </c>
    </row>
    <row r="4331" spans="42:44">
      <c r="AP4331" s="1756" t="e">
        <f>IF(OR(AR4331=S13,AR4331&gt;S13),AR4331,"")</f>
        <v>#VALUE!</v>
      </c>
      <c r="AQ4331" s="1759">
        <f t="shared" si="126"/>
        <v>4328</v>
      </c>
      <c r="AR4331" s="1756" t="e">
        <f>0.5*(S18+2*AQ4331)*LN(1+2*AQ4331/S18)</f>
        <v>#VALUE!</v>
      </c>
    </row>
    <row r="4332" spans="42:44">
      <c r="AP4332" s="1756" t="e">
        <f>IF(OR(AR4332=S13,AR4332&gt;S13),AR4332,"")</f>
        <v>#VALUE!</v>
      </c>
      <c r="AQ4332" s="1759">
        <f t="shared" si="126"/>
        <v>4329</v>
      </c>
      <c r="AR4332" s="1756" t="e">
        <f>0.5*(S18+2*AQ4332)*LN(1+2*AQ4332/S18)</f>
        <v>#VALUE!</v>
      </c>
    </row>
    <row r="4333" spans="42:44">
      <c r="AP4333" s="1756" t="e">
        <f>IF(OR(AR4333=S13,AR4333&gt;S13),AR4333,"")</f>
        <v>#VALUE!</v>
      </c>
      <c r="AQ4333" s="1759">
        <f t="shared" si="126"/>
        <v>4330</v>
      </c>
      <c r="AR4333" s="1756" t="e">
        <f>0.5*(S18+2*AQ4333)*LN(1+2*AQ4333/S18)</f>
        <v>#VALUE!</v>
      </c>
    </row>
    <row r="4334" spans="42:44">
      <c r="AP4334" s="1756" t="e">
        <f>IF(OR(AR4334=S13,AR4334&gt;S13),AR4334,"")</f>
        <v>#VALUE!</v>
      </c>
      <c r="AQ4334" s="1759">
        <f t="shared" si="126"/>
        <v>4331</v>
      </c>
      <c r="AR4334" s="1756" t="e">
        <f>0.5*(S18+2*AQ4334)*LN(1+2*AQ4334/S18)</f>
        <v>#VALUE!</v>
      </c>
    </row>
    <row r="4335" spans="42:44">
      <c r="AP4335" s="1756" t="e">
        <f>IF(OR(AR4335=S13,AR4335&gt;S13),AR4335,"")</f>
        <v>#VALUE!</v>
      </c>
      <c r="AQ4335" s="1759">
        <f t="shared" si="126"/>
        <v>4332</v>
      </c>
      <c r="AR4335" s="1756" t="e">
        <f>0.5*(S18+2*AQ4335)*LN(1+2*AQ4335/S18)</f>
        <v>#VALUE!</v>
      </c>
    </row>
    <row r="4336" spans="42:44">
      <c r="AP4336" s="1756" t="e">
        <f>IF(OR(AR4336=S13,AR4336&gt;S13),AR4336,"")</f>
        <v>#VALUE!</v>
      </c>
      <c r="AQ4336" s="1759">
        <f t="shared" si="126"/>
        <v>4333</v>
      </c>
      <c r="AR4336" s="1756" t="e">
        <f>0.5*(S18+2*AQ4336)*LN(1+2*AQ4336/S18)</f>
        <v>#VALUE!</v>
      </c>
    </row>
    <row r="4337" spans="42:44">
      <c r="AP4337" s="1756" t="e">
        <f>IF(OR(AR4337=S13,AR4337&gt;S13),AR4337,"")</f>
        <v>#VALUE!</v>
      </c>
      <c r="AQ4337" s="1759">
        <f t="shared" si="126"/>
        <v>4334</v>
      </c>
      <c r="AR4337" s="1756" t="e">
        <f>0.5*(S18+2*AQ4337)*LN(1+2*AQ4337/S18)</f>
        <v>#VALUE!</v>
      </c>
    </row>
    <row r="4338" spans="42:44">
      <c r="AP4338" s="1756" t="e">
        <f>IF(OR(AR4338=S13,AR4338&gt;S13),AR4338,"")</f>
        <v>#VALUE!</v>
      </c>
      <c r="AQ4338" s="1759">
        <f t="shared" si="126"/>
        <v>4335</v>
      </c>
      <c r="AR4338" s="1756" t="e">
        <f>0.5*(S18+2*AQ4338)*LN(1+2*AQ4338/S18)</f>
        <v>#VALUE!</v>
      </c>
    </row>
    <row r="4339" spans="42:44">
      <c r="AP4339" s="1756" t="e">
        <f>IF(OR(AR4339=S13,AR4339&gt;S13),AR4339,"")</f>
        <v>#VALUE!</v>
      </c>
      <c r="AQ4339" s="1759">
        <f t="shared" si="126"/>
        <v>4336</v>
      </c>
      <c r="AR4339" s="1756" t="e">
        <f>0.5*(S18+2*AQ4339)*LN(1+2*AQ4339/S18)</f>
        <v>#VALUE!</v>
      </c>
    </row>
    <row r="4340" spans="42:44">
      <c r="AP4340" s="1756" t="e">
        <f>IF(OR(AR4340=S13,AR4340&gt;S13),AR4340,"")</f>
        <v>#VALUE!</v>
      </c>
      <c r="AQ4340" s="1759">
        <f t="shared" si="126"/>
        <v>4337</v>
      </c>
      <c r="AR4340" s="1756" t="e">
        <f>0.5*(S18+2*AQ4340)*LN(1+2*AQ4340/S18)</f>
        <v>#VALUE!</v>
      </c>
    </row>
    <row r="4341" spans="42:44">
      <c r="AP4341" s="1756" t="e">
        <f>IF(OR(AR4341=S13,AR4341&gt;S13),AR4341,"")</f>
        <v>#VALUE!</v>
      </c>
      <c r="AQ4341" s="1759">
        <f t="shared" si="126"/>
        <v>4338</v>
      </c>
      <c r="AR4341" s="1756" t="e">
        <f>0.5*(S18+2*AQ4341)*LN(1+2*AQ4341/S18)</f>
        <v>#VALUE!</v>
      </c>
    </row>
    <row r="4342" spans="42:44">
      <c r="AP4342" s="1756" t="e">
        <f>IF(OR(AR4342=S13,AR4342&gt;S13),AR4342,"")</f>
        <v>#VALUE!</v>
      </c>
      <c r="AQ4342" s="1759">
        <f t="shared" si="126"/>
        <v>4339</v>
      </c>
      <c r="AR4342" s="1756" t="e">
        <f>0.5*(S18+2*AQ4342)*LN(1+2*AQ4342/S18)</f>
        <v>#VALUE!</v>
      </c>
    </row>
    <row r="4343" spans="42:44">
      <c r="AP4343" s="1756" t="e">
        <f>IF(OR(AR4343=S13,AR4343&gt;S13),AR4343,"")</f>
        <v>#VALUE!</v>
      </c>
      <c r="AQ4343" s="1759">
        <f t="shared" si="126"/>
        <v>4340</v>
      </c>
      <c r="AR4343" s="1756" t="e">
        <f>0.5*(S18+2*AQ4343)*LN(1+2*AQ4343/S18)</f>
        <v>#VALUE!</v>
      </c>
    </row>
    <row r="4344" spans="42:44">
      <c r="AP4344" s="1756" t="e">
        <f>IF(OR(AR4344=S13,AR4344&gt;S13),AR4344,"")</f>
        <v>#VALUE!</v>
      </c>
      <c r="AQ4344" s="1759">
        <f t="shared" si="126"/>
        <v>4341</v>
      </c>
      <c r="AR4344" s="1756" t="e">
        <f>0.5*(S18+2*AQ4344)*LN(1+2*AQ4344/S18)</f>
        <v>#VALUE!</v>
      </c>
    </row>
    <row r="4345" spans="42:44">
      <c r="AP4345" s="1756" t="e">
        <f>IF(OR(AR4345=S13,AR4345&gt;S13),AR4345,"")</f>
        <v>#VALUE!</v>
      </c>
      <c r="AQ4345" s="1759">
        <f t="shared" si="126"/>
        <v>4342</v>
      </c>
      <c r="AR4345" s="1756" t="e">
        <f>0.5*(S18+2*AQ4345)*LN(1+2*AQ4345/S18)</f>
        <v>#VALUE!</v>
      </c>
    </row>
    <row r="4346" spans="42:44">
      <c r="AP4346" s="1756" t="e">
        <f>IF(OR(AR4346=S13,AR4346&gt;S13),AR4346,"")</f>
        <v>#VALUE!</v>
      </c>
      <c r="AQ4346" s="1759">
        <f t="shared" si="126"/>
        <v>4343</v>
      </c>
      <c r="AR4346" s="1756" t="e">
        <f>0.5*(S18+2*AQ4346)*LN(1+2*AQ4346/S18)</f>
        <v>#VALUE!</v>
      </c>
    </row>
    <row r="4347" spans="42:44">
      <c r="AP4347" s="1756" t="e">
        <f>IF(OR(AR4347=S13,AR4347&gt;S13),AR4347,"")</f>
        <v>#VALUE!</v>
      </c>
      <c r="AQ4347" s="1759">
        <f t="shared" si="126"/>
        <v>4344</v>
      </c>
      <c r="AR4347" s="1756" t="e">
        <f>0.5*(S18+2*AQ4347)*LN(1+2*AQ4347/S18)</f>
        <v>#VALUE!</v>
      </c>
    </row>
    <row r="4348" spans="42:44">
      <c r="AP4348" s="1756" t="e">
        <f>IF(OR(AR4348=S13,AR4348&gt;S13),AR4348,"")</f>
        <v>#VALUE!</v>
      </c>
      <c r="AQ4348" s="1759">
        <f t="shared" si="126"/>
        <v>4345</v>
      </c>
      <c r="AR4348" s="1756" t="e">
        <f>0.5*(S18+2*AQ4348)*LN(1+2*AQ4348/S18)</f>
        <v>#VALUE!</v>
      </c>
    </row>
    <row r="4349" spans="42:44">
      <c r="AP4349" s="1756" t="e">
        <f>IF(OR(AR4349=S13,AR4349&gt;S13),AR4349,"")</f>
        <v>#VALUE!</v>
      </c>
      <c r="AQ4349" s="1759">
        <f t="shared" si="126"/>
        <v>4346</v>
      </c>
      <c r="AR4349" s="1756" t="e">
        <f>0.5*(S18+2*AQ4349)*LN(1+2*AQ4349/S18)</f>
        <v>#VALUE!</v>
      </c>
    </row>
    <row r="4350" spans="42:44">
      <c r="AP4350" s="1756" t="e">
        <f>IF(OR(AR4350=S13,AR4350&gt;S13),AR4350,"")</f>
        <v>#VALUE!</v>
      </c>
      <c r="AQ4350" s="1759">
        <f t="shared" si="126"/>
        <v>4347</v>
      </c>
      <c r="AR4350" s="1756" t="e">
        <f>0.5*(S18+2*AQ4350)*LN(1+2*AQ4350/S18)</f>
        <v>#VALUE!</v>
      </c>
    </row>
    <row r="4351" spans="42:44">
      <c r="AP4351" s="1756" t="e">
        <f>IF(OR(AR4351=S13,AR4351&gt;S13),AR4351,"")</f>
        <v>#VALUE!</v>
      </c>
      <c r="AQ4351" s="1759">
        <f t="shared" si="126"/>
        <v>4348</v>
      </c>
      <c r="AR4351" s="1756" t="e">
        <f>0.5*(S18+2*AQ4351)*LN(1+2*AQ4351/S18)</f>
        <v>#VALUE!</v>
      </c>
    </row>
    <row r="4352" spans="42:44">
      <c r="AP4352" s="1756" t="e">
        <f>IF(OR(AR4352=S13,AR4352&gt;S13),AR4352,"")</f>
        <v>#VALUE!</v>
      </c>
      <c r="AQ4352" s="1759">
        <f t="shared" si="126"/>
        <v>4349</v>
      </c>
      <c r="AR4352" s="1756" t="e">
        <f>0.5*(S18+2*AQ4352)*LN(1+2*AQ4352/S18)</f>
        <v>#VALUE!</v>
      </c>
    </row>
    <row r="4353" spans="42:44">
      <c r="AP4353" s="1756" t="e">
        <f>IF(OR(AR4353=S13,AR4353&gt;S13),AR4353,"")</f>
        <v>#VALUE!</v>
      </c>
      <c r="AQ4353" s="1759">
        <f t="shared" si="126"/>
        <v>4350</v>
      </c>
      <c r="AR4353" s="1756" t="e">
        <f>0.5*(S18+2*AQ4353)*LN(1+2*AQ4353/S18)</f>
        <v>#VALUE!</v>
      </c>
    </row>
    <row r="4354" spans="42:44">
      <c r="AP4354" s="1756" t="e">
        <f>IF(OR(AR4354=S13,AR4354&gt;S13),AR4354,"")</f>
        <v>#VALUE!</v>
      </c>
      <c r="AQ4354" s="1759">
        <f t="shared" si="126"/>
        <v>4351</v>
      </c>
      <c r="AR4354" s="1756" t="e">
        <f>0.5*(S18+2*AQ4354)*LN(1+2*AQ4354/S18)</f>
        <v>#VALUE!</v>
      </c>
    </row>
    <row r="4355" spans="42:44">
      <c r="AP4355" s="1756" t="e">
        <f>IF(OR(AR4355=S13,AR4355&gt;S13),AR4355,"")</f>
        <v>#VALUE!</v>
      </c>
      <c r="AQ4355" s="1759">
        <f t="shared" si="126"/>
        <v>4352</v>
      </c>
      <c r="AR4355" s="1756" t="e">
        <f>0.5*(S18+2*AQ4355)*LN(1+2*AQ4355/S18)</f>
        <v>#VALUE!</v>
      </c>
    </row>
    <row r="4356" spans="42:44">
      <c r="AP4356" s="1756" t="e">
        <f>IF(OR(AR4356=S13,AR4356&gt;S13),AR4356,"")</f>
        <v>#VALUE!</v>
      </c>
      <c r="AQ4356" s="1759">
        <f t="shared" si="126"/>
        <v>4353</v>
      </c>
      <c r="AR4356" s="1756" t="e">
        <f>0.5*(S18+2*AQ4356)*LN(1+2*AQ4356/S18)</f>
        <v>#VALUE!</v>
      </c>
    </row>
    <row r="4357" spans="42:44">
      <c r="AP4357" s="1756" t="e">
        <f>IF(OR(AR4357=S13,AR4357&gt;S13),AR4357,"")</f>
        <v>#VALUE!</v>
      </c>
      <c r="AQ4357" s="1759">
        <f t="shared" si="126"/>
        <v>4354</v>
      </c>
      <c r="AR4357" s="1756" t="e">
        <f>0.5*(S18+2*AQ4357)*LN(1+2*AQ4357/S18)</f>
        <v>#VALUE!</v>
      </c>
    </row>
    <row r="4358" spans="42:44">
      <c r="AP4358" s="1756" t="e">
        <f>IF(OR(AR4358=S13,AR4358&gt;S13),AR4358,"")</f>
        <v>#VALUE!</v>
      </c>
      <c r="AQ4358" s="1759">
        <f t="shared" ref="AQ4358:AQ4421" si="127">AQ4357+1</f>
        <v>4355</v>
      </c>
      <c r="AR4358" s="1756" t="e">
        <f>0.5*(S18+2*AQ4358)*LN(1+2*AQ4358/S18)</f>
        <v>#VALUE!</v>
      </c>
    </row>
    <row r="4359" spans="42:44">
      <c r="AP4359" s="1756" t="e">
        <f>IF(OR(AR4359=S13,AR4359&gt;S13),AR4359,"")</f>
        <v>#VALUE!</v>
      </c>
      <c r="AQ4359" s="1759">
        <f t="shared" si="127"/>
        <v>4356</v>
      </c>
      <c r="AR4359" s="1756" t="e">
        <f>0.5*(S18+2*AQ4359)*LN(1+2*AQ4359/S18)</f>
        <v>#VALUE!</v>
      </c>
    </row>
    <row r="4360" spans="42:44">
      <c r="AP4360" s="1756" t="e">
        <f>IF(OR(AR4360=S13,AR4360&gt;S13),AR4360,"")</f>
        <v>#VALUE!</v>
      </c>
      <c r="AQ4360" s="1759">
        <f t="shared" si="127"/>
        <v>4357</v>
      </c>
      <c r="AR4360" s="1756" t="e">
        <f>0.5*(S18+2*AQ4360)*LN(1+2*AQ4360/S18)</f>
        <v>#VALUE!</v>
      </c>
    </row>
    <row r="4361" spans="42:44">
      <c r="AP4361" s="1756" t="e">
        <f>IF(OR(AR4361=S13,AR4361&gt;S13),AR4361,"")</f>
        <v>#VALUE!</v>
      </c>
      <c r="AQ4361" s="1759">
        <f t="shared" si="127"/>
        <v>4358</v>
      </c>
      <c r="AR4361" s="1756" t="e">
        <f>0.5*(S18+2*AQ4361)*LN(1+2*AQ4361/S18)</f>
        <v>#VALUE!</v>
      </c>
    </row>
    <row r="4362" spans="42:44">
      <c r="AP4362" s="1756" t="e">
        <f>IF(OR(AR4362=S13,AR4362&gt;S13),AR4362,"")</f>
        <v>#VALUE!</v>
      </c>
      <c r="AQ4362" s="1759">
        <f t="shared" si="127"/>
        <v>4359</v>
      </c>
      <c r="AR4362" s="1756" t="e">
        <f>0.5*(S18+2*AQ4362)*LN(1+2*AQ4362/S18)</f>
        <v>#VALUE!</v>
      </c>
    </row>
    <row r="4363" spans="42:44">
      <c r="AP4363" s="1756" t="e">
        <f>IF(OR(AR4363=S13,AR4363&gt;S13),AR4363,"")</f>
        <v>#VALUE!</v>
      </c>
      <c r="AQ4363" s="1759">
        <f t="shared" si="127"/>
        <v>4360</v>
      </c>
      <c r="AR4363" s="1756" t="e">
        <f>0.5*(S18+2*AQ4363)*LN(1+2*AQ4363/S18)</f>
        <v>#VALUE!</v>
      </c>
    </row>
    <row r="4364" spans="42:44">
      <c r="AP4364" s="1756" t="e">
        <f>IF(OR(AR4364=S13,AR4364&gt;S13),AR4364,"")</f>
        <v>#VALUE!</v>
      </c>
      <c r="AQ4364" s="1759">
        <f t="shared" si="127"/>
        <v>4361</v>
      </c>
      <c r="AR4364" s="1756" t="e">
        <f>0.5*(S18+2*AQ4364)*LN(1+2*AQ4364/S18)</f>
        <v>#VALUE!</v>
      </c>
    </row>
    <row r="4365" spans="42:44">
      <c r="AP4365" s="1756" t="e">
        <f>IF(OR(AR4365=S13,AR4365&gt;S13),AR4365,"")</f>
        <v>#VALUE!</v>
      </c>
      <c r="AQ4365" s="1759">
        <f t="shared" si="127"/>
        <v>4362</v>
      </c>
      <c r="AR4365" s="1756" t="e">
        <f>0.5*(S18+2*AQ4365)*LN(1+2*AQ4365/S18)</f>
        <v>#VALUE!</v>
      </c>
    </row>
    <row r="4366" spans="42:44">
      <c r="AP4366" s="1756" t="e">
        <f>IF(OR(AR4366=S13,AR4366&gt;S13),AR4366,"")</f>
        <v>#VALUE!</v>
      </c>
      <c r="AQ4366" s="1759">
        <f t="shared" si="127"/>
        <v>4363</v>
      </c>
      <c r="AR4366" s="1756" t="e">
        <f>0.5*(S18+2*AQ4366)*LN(1+2*AQ4366/S18)</f>
        <v>#VALUE!</v>
      </c>
    </row>
    <row r="4367" spans="42:44">
      <c r="AP4367" s="1756" t="e">
        <f>IF(OR(AR4367=S13,AR4367&gt;S13),AR4367,"")</f>
        <v>#VALUE!</v>
      </c>
      <c r="AQ4367" s="1759">
        <f t="shared" si="127"/>
        <v>4364</v>
      </c>
      <c r="AR4367" s="1756" t="e">
        <f>0.5*(S18+2*AQ4367)*LN(1+2*AQ4367/S18)</f>
        <v>#VALUE!</v>
      </c>
    </row>
    <row r="4368" spans="42:44">
      <c r="AP4368" s="1756" t="e">
        <f>IF(OR(AR4368=S13,AR4368&gt;S13),AR4368,"")</f>
        <v>#VALUE!</v>
      </c>
      <c r="AQ4368" s="1759">
        <f t="shared" si="127"/>
        <v>4365</v>
      </c>
      <c r="AR4368" s="1756" t="e">
        <f>0.5*(S18+2*AQ4368)*LN(1+2*AQ4368/S18)</f>
        <v>#VALUE!</v>
      </c>
    </row>
    <row r="4369" spans="42:44">
      <c r="AP4369" s="1756" t="e">
        <f>IF(OR(AR4369=S13,AR4369&gt;S13),AR4369,"")</f>
        <v>#VALUE!</v>
      </c>
      <c r="AQ4369" s="1759">
        <f t="shared" si="127"/>
        <v>4366</v>
      </c>
      <c r="AR4369" s="1756" t="e">
        <f>0.5*(S18+2*AQ4369)*LN(1+2*AQ4369/S18)</f>
        <v>#VALUE!</v>
      </c>
    </row>
    <row r="4370" spans="42:44">
      <c r="AP4370" s="1756" t="e">
        <f>IF(OR(AR4370=S13,AR4370&gt;S13),AR4370,"")</f>
        <v>#VALUE!</v>
      </c>
      <c r="AQ4370" s="1759">
        <f t="shared" si="127"/>
        <v>4367</v>
      </c>
      <c r="AR4370" s="1756" t="e">
        <f>0.5*(S18+2*AQ4370)*LN(1+2*AQ4370/S18)</f>
        <v>#VALUE!</v>
      </c>
    </row>
    <row r="4371" spans="42:44">
      <c r="AP4371" s="1756" t="e">
        <f>IF(OR(AR4371=S13,AR4371&gt;S13),AR4371,"")</f>
        <v>#VALUE!</v>
      </c>
      <c r="AQ4371" s="1759">
        <f t="shared" si="127"/>
        <v>4368</v>
      </c>
      <c r="AR4371" s="1756" t="e">
        <f>0.5*(S18+2*AQ4371)*LN(1+2*AQ4371/S18)</f>
        <v>#VALUE!</v>
      </c>
    </row>
    <row r="4372" spans="42:44">
      <c r="AP4372" s="1756" t="e">
        <f>IF(OR(AR4372=S13,AR4372&gt;S13),AR4372,"")</f>
        <v>#VALUE!</v>
      </c>
      <c r="AQ4372" s="1759">
        <f t="shared" si="127"/>
        <v>4369</v>
      </c>
      <c r="AR4372" s="1756" t="e">
        <f>0.5*(S18+2*AQ4372)*LN(1+2*AQ4372/S18)</f>
        <v>#VALUE!</v>
      </c>
    </row>
    <row r="4373" spans="42:44">
      <c r="AP4373" s="1756" t="e">
        <f>IF(OR(AR4373=S13,AR4373&gt;S13),AR4373,"")</f>
        <v>#VALUE!</v>
      </c>
      <c r="AQ4373" s="1759">
        <f t="shared" si="127"/>
        <v>4370</v>
      </c>
      <c r="AR4373" s="1756" t="e">
        <f>0.5*(S18+2*AQ4373)*LN(1+2*AQ4373/S18)</f>
        <v>#VALUE!</v>
      </c>
    </row>
    <row r="4374" spans="42:44">
      <c r="AP4374" s="1756" t="e">
        <f>IF(OR(AR4374=S13,AR4374&gt;S13),AR4374,"")</f>
        <v>#VALUE!</v>
      </c>
      <c r="AQ4374" s="1759">
        <f t="shared" si="127"/>
        <v>4371</v>
      </c>
      <c r="AR4374" s="1756" t="e">
        <f>0.5*(S18+2*AQ4374)*LN(1+2*AQ4374/S18)</f>
        <v>#VALUE!</v>
      </c>
    </row>
    <row r="4375" spans="42:44">
      <c r="AP4375" s="1756" t="e">
        <f>IF(OR(AR4375=S13,AR4375&gt;S13),AR4375,"")</f>
        <v>#VALUE!</v>
      </c>
      <c r="AQ4375" s="1759">
        <f t="shared" si="127"/>
        <v>4372</v>
      </c>
      <c r="AR4375" s="1756" t="e">
        <f>0.5*(S18+2*AQ4375)*LN(1+2*AQ4375/S18)</f>
        <v>#VALUE!</v>
      </c>
    </row>
    <row r="4376" spans="42:44">
      <c r="AP4376" s="1756" t="e">
        <f>IF(OR(AR4376=S13,AR4376&gt;S13),AR4376,"")</f>
        <v>#VALUE!</v>
      </c>
      <c r="AQ4376" s="1759">
        <f t="shared" si="127"/>
        <v>4373</v>
      </c>
      <c r="AR4376" s="1756" t="e">
        <f>0.5*(S18+2*AQ4376)*LN(1+2*AQ4376/S18)</f>
        <v>#VALUE!</v>
      </c>
    </row>
    <row r="4377" spans="42:44">
      <c r="AP4377" s="1756" t="e">
        <f>IF(OR(AR4377=S13,AR4377&gt;S13),AR4377,"")</f>
        <v>#VALUE!</v>
      </c>
      <c r="AQ4377" s="1759">
        <f t="shared" si="127"/>
        <v>4374</v>
      </c>
      <c r="AR4377" s="1756" t="e">
        <f>0.5*(S18+2*AQ4377)*LN(1+2*AQ4377/S18)</f>
        <v>#VALUE!</v>
      </c>
    </row>
    <row r="4378" spans="42:44">
      <c r="AP4378" s="1756" t="e">
        <f>IF(OR(AR4378=S13,AR4378&gt;S13),AR4378,"")</f>
        <v>#VALUE!</v>
      </c>
      <c r="AQ4378" s="1759">
        <f t="shared" si="127"/>
        <v>4375</v>
      </c>
      <c r="AR4378" s="1756" t="e">
        <f>0.5*(S18+2*AQ4378)*LN(1+2*AQ4378/S18)</f>
        <v>#VALUE!</v>
      </c>
    </row>
    <row r="4379" spans="42:44">
      <c r="AP4379" s="1756" t="e">
        <f>IF(OR(AR4379=S13,AR4379&gt;S13),AR4379,"")</f>
        <v>#VALUE!</v>
      </c>
      <c r="AQ4379" s="1759">
        <f t="shared" si="127"/>
        <v>4376</v>
      </c>
      <c r="AR4379" s="1756" t="e">
        <f>0.5*(S18+2*AQ4379)*LN(1+2*AQ4379/S18)</f>
        <v>#VALUE!</v>
      </c>
    </row>
    <row r="4380" spans="42:44">
      <c r="AP4380" s="1756" t="e">
        <f>IF(OR(AR4380=S13,AR4380&gt;S13),AR4380,"")</f>
        <v>#VALUE!</v>
      </c>
      <c r="AQ4380" s="1759">
        <f t="shared" si="127"/>
        <v>4377</v>
      </c>
      <c r="AR4380" s="1756" t="e">
        <f>0.5*(S18+2*AQ4380)*LN(1+2*AQ4380/S18)</f>
        <v>#VALUE!</v>
      </c>
    </row>
    <row r="4381" spans="42:44">
      <c r="AP4381" s="1756" t="e">
        <f>IF(OR(AR4381=S13,AR4381&gt;S13),AR4381,"")</f>
        <v>#VALUE!</v>
      </c>
      <c r="AQ4381" s="1759">
        <f t="shared" si="127"/>
        <v>4378</v>
      </c>
      <c r="AR4381" s="1756" t="e">
        <f>0.5*(S18+2*AQ4381)*LN(1+2*AQ4381/S18)</f>
        <v>#VALUE!</v>
      </c>
    </row>
    <row r="4382" spans="42:44">
      <c r="AP4382" s="1756" t="e">
        <f>IF(OR(AR4382=S13,AR4382&gt;S13),AR4382,"")</f>
        <v>#VALUE!</v>
      </c>
      <c r="AQ4382" s="1759">
        <f t="shared" si="127"/>
        <v>4379</v>
      </c>
      <c r="AR4382" s="1756" t="e">
        <f>0.5*(S18+2*AQ4382)*LN(1+2*AQ4382/S18)</f>
        <v>#VALUE!</v>
      </c>
    </row>
    <row r="4383" spans="42:44">
      <c r="AP4383" s="1756" t="e">
        <f>IF(OR(AR4383=S13,AR4383&gt;S13),AR4383,"")</f>
        <v>#VALUE!</v>
      </c>
      <c r="AQ4383" s="1759">
        <f t="shared" si="127"/>
        <v>4380</v>
      </c>
      <c r="AR4383" s="1756" t="e">
        <f>0.5*(S18+2*AQ4383)*LN(1+2*AQ4383/S18)</f>
        <v>#VALUE!</v>
      </c>
    </row>
    <row r="4384" spans="42:44">
      <c r="AP4384" s="1756" t="e">
        <f>IF(OR(AR4384=S13,AR4384&gt;S13),AR4384,"")</f>
        <v>#VALUE!</v>
      </c>
      <c r="AQ4384" s="1759">
        <f t="shared" si="127"/>
        <v>4381</v>
      </c>
      <c r="AR4384" s="1756" t="e">
        <f>0.5*(S18+2*AQ4384)*LN(1+2*AQ4384/S18)</f>
        <v>#VALUE!</v>
      </c>
    </row>
    <row r="4385" spans="42:44">
      <c r="AP4385" s="1756" t="e">
        <f>IF(OR(AR4385=S13,AR4385&gt;S13),AR4385,"")</f>
        <v>#VALUE!</v>
      </c>
      <c r="AQ4385" s="1759">
        <f t="shared" si="127"/>
        <v>4382</v>
      </c>
      <c r="AR4385" s="1756" t="e">
        <f>0.5*(S18+2*AQ4385)*LN(1+2*AQ4385/S18)</f>
        <v>#VALUE!</v>
      </c>
    </row>
    <row r="4386" spans="42:44">
      <c r="AP4386" s="1756" t="e">
        <f>IF(OR(AR4386=S13,AR4386&gt;S13),AR4386,"")</f>
        <v>#VALUE!</v>
      </c>
      <c r="AQ4386" s="1759">
        <f t="shared" si="127"/>
        <v>4383</v>
      </c>
      <c r="AR4386" s="1756" t="e">
        <f>0.5*(S18+2*AQ4386)*LN(1+2*AQ4386/S18)</f>
        <v>#VALUE!</v>
      </c>
    </row>
    <row r="4387" spans="42:44">
      <c r="AP4387" s="1756" t="e">
        <f>IF(OR(AR4387=S13,AR4387&gt;S13),AR4387,"")</f>
        <v>#VALUE!</v>
      </c>
      <c r="AQ4387" s="1759">
        <f t="shared" si="127"/>
        <v>4384</v>
      </c>
      <c r="AR4387" s="1756" t="e">
        <f>0.5*(S18+2*AQ4387)*LN(1+2*AQ4387/S18)</f>
        <v>#VALUE!</v>
      </c>
    </row>
    <row r="4388" spans="42:44">
      <c r="AP4388" s="1756" t="e">
        <f>IF(OR(AR4388=S13,AR4388&gt;S13),AR4388,"")</f>
        <v>#VALUE!</v>
      </c>
      <c r="AQ4388" s="1759">
        <f t="shared" si="127"/>
        <v>4385</v>
      </c>
      <c r="AR4388" s="1756" t="e">
        <f>0.5*(S18+2*AQ4388)*LN(1+2*AQ4388/S18)</f>
        <v>#VALUE!</v>
      </c>
    </row>
    <row r="4389" spans="42:44">
      <c r="AP4389" s="1756" t="e">
        <f>IF(OR(AR4389=S13,AR4389&gt;S13),AR4389,"")</f>
        <v>#VALUE!</v>
      </c>
      <c r="AQ4389" s="1759">
        <f t="shared" si="127"/>
        <v>4386</v>
      </c>
      <c r="AR4389" s="1756" t="e">
        <f>0.5*(S18+2*AQ4389)*LN(1+2*AQ4389/S18)</f>
        <v>#VALUE!</v>
      </c>
    </row>
    <row r="4390" spans="42:44">
      <c r="AP4390" s="1756" t="e">
        <f>IF(OR(AR4390=S13,AR4390&gt;S13),AR4390,"")</f>
        <v>#VALUE!</v>
      </c>
      <c r="AQ4390" s="1759">
        <f t="shared" si="127"/>
        <v>4387</v>
      </c>
      <c r="AR4390" s="1756" t="e">
        <f>0.5*(S18+2*AQ4390)*LN(1+2*AQ4390/S18)</f>
        <v>#VALUE!</v>
      </c>
    </row>
    <row r="4391" spans="42:44">
      <c r="AP4391" s="1756" t="e">
        <f>IF(OR(AR4391=S13,AR4391&gt;S13),AR4391,"")</f>
        <v>#VALUE!</v>
      </c>
      <c r="AQ4391" s="1759">
        <f t="shared" si="127"/>
        <v>4388</v>
      </c>
      <c r="AR4391" s="1756" t="e">
        <f>0.5*(S18+2*AQ4391)*LN(1+2*AQ4391/S18)</f>
        <v>#VALUE!</v>
      </c>
    </row>
    <row r="4392" spans="42:44">
      <c r="AP4392" s="1756" t="e">
        <f>IF(OR(AR4392=S13,AR4392&gt;S13),AR4392,"")</f>
        <v>#VALUE!</v>
      </c>
      <c r="AQ4392" s="1759">
        <f t="shared" si="127"/>
        <v>4389</v>
      </c>
      <c r="AR4392" s="1756" t="e">
        <f>0.5*(S18+2*AQ4392)*LN(1+2*AQ4392/S18)</f>
        <v>#VALUE!</v>
      </c>
    </row>
    <row r="4393" spans="42:44">
      <c r="AP4393" s="1756" t="e">
        <f>IF(OR(AR4393=S13,AR4393&gt;S13),AR4393,"")</f>
        <v>#VALUE!</v>
      </c>
      <c r="AQ4393" s="1759">
        <f t="shared" si="127"/>
        <v>4390</v>
      </c>
      <c r="AR4393" s="1756" t="e">
        <f>0.5*(S18+2*AQ4393)*LN(1+2*AQ4393/S18)</f>
        <v>#VALUE!</v>
      </c>
    </row>
    <row r="4394" spans="42:44">
      <c r="AP4394" s="1756" t="e">
        <f>IF(OR(AR4394=S13,AR4394&gt;S13),AR4394,"")</f>
        <v>#VALUE!</v>
      </c>
      <c r="AQ4394" s="1759">
        <f t="shared" si="127"/>
        <v>4391</v>
      </c>
      <c r="AR4394" s="1756" t="e">
        <f>0.5*(S18+2*AQ4394)*LN(1+2*AQ4394/S18)</f>
        <v>#VALUE!</v>
      </c>
    </row>
    <row r="4395" spans="42:44">
      <c r="AP4395" s="1756" t="e">
        <f>IF(OR(AR4395=S13,AR4395&gt;S13),AR4395,"")</f>
        <v>#VALUE!</v>
      </c>
      <c r="AQ4395" s="1759">
        <f t="shared" si="127"/>
        <v>4392</v>
      </c>
      <c r="AR4395" s="1756" t="e">
        <f>0.5*(S18+2*AQ4395)*LN(1+2*AQ4395/S18)</f>
        <v>#VALUE!</v>
      </c>
    </row>
    <row r="4396" spans="42:44">
      <c r="AP4396" s="1756" t="e">
        <f>IF(OR(AR4396=S13,AR4396&gt;S13),AR4396,"")</f>
        <v>#VALUE!</v>
      </c>
      <c r="AQ4396" s="1759">
        <f t="shared" si="127"/>
        <v>4393</v>
      </c>
      <c r="AR4396" s="1756" t="e">
        <f>0.5*(S18+2*AQ4396)*LN(1+2*AQ4396/S18)</f>
        <v>#VALUE!</v>
      </c>
    </row>
    <row r="4397" spans="42:44">
      <c r="AP4397" s="1756" t="e">
        <f>IF(OR(AR4397=S13,AR4397&gt;S13),AR4397,"")</f>
        <v>#VALUE!</v>
      </c>
      <c r="AQ4397" s="1759">
        <f t="shared" si="127"/>
        <v>4394</v>
      </c>
      <c r="AR4397" s="1756" t="e">
        <f>0.5*(S18+2*AQ4397)*LN(1+2*AQ4397/S18)</f>
        <v>#VALUE!</v>
      </c>
    </row>
    <row r="4398" spans="42:44">
      <c r="AP4398" s="1756" t="e">
        <f>IF(OR(AR4398=S13,AR4398&gt;S13),AR4398,"")</f>
        <v>#VALUE!</v>
      </c>
      <c r="AQ4398" s="1759">
        <f t="shared" si="127"/>
        <v>4395</v>
      </c>
      <c r="AR4398" s="1756" t="e">
        <f>0.5*(S18+2*AQ4398)*LN(1+2*AQ4398/S18)</f>
        <v>#VALUE!</v>
      </c>
    </row>
    <row r="4399" spans="42:44">
      <c r="AP4399" s="1756" t="e">
        <f>IF(OR(AR4399=S13,AR4399&gt;S13),AR4399,"")</f>
        <v>#VALUE!</v>
      </c>
      <c r="AQ4399" s="1759">
        <f t="shared" si="127"/>
        <v>4396</v>
      </c>
      <c r="AR4399" s="1756" t="e">
        <f>0.5*(S18+2*AQ4399)*LN(1+2*AQ4399/S18)</f>
        <v>#VALUE!</v>
      </c>
    </row>
    <row r="4400" spans="42:44">
      <c r="AP4400" s="1756" t="e">
        <f>IF(OR(AR4400=S13,AR4400&gt;S13),AR4400,"")</f>
        <v>#VALUE!</v>
      </c>
      <c r="AQ4400" s="1759">
        <f t="shared" si="127"/>
        <v>4397</v>
      </c>
      <c r="AR4400" s="1756" t="e">
        <f>0.5*(S18+2*AQ4400)*LN(1+2*AQ4400/S18)</f>
        <v>#VALUE!</v>
      </c>
    </row>
    <row r="4401" spans="42:44">
      <c r="AP4401" s="1756" t="e">
        <f>IF(OR(AR4401=S13,AR4401&gt;S13),AR4401,"")</f>
        <v>#VALUE!</v>
      </c>
      <c r="AQ4401" s="1759">
        <f t="shared" si="127"/>
        <v>4398</v>
      </c>
      <c r="AR4401" s="1756" t="e">
        <f>0.5*(S18+2*AQ4401)*LN(1+2*AQ4401/S18)</f>
        <v>#VALUE!</v>
      </c>
    </row>
    <row r="4402" spans="42:44">
      <c r="AP4402" s="1756" t="e">
        <f>IF(OR(AR4402=S13,AR4402&gt;S13),AR4402,"")</f>
        <v>#VALUE!</v>
      </c>
      <c r="AQ4402" s="1759">
        <f t="shared" si="127"/>
        <v>4399</v>
      </c>
      <c r="AR4402" s="1756" t="e">
        <f>0.5*(S18+2*AQ4402)*LN(1+2*AQ4402/S18)</f>
        <v>#VALUE!</v>
      </c>
    </row>
    <row r="4403" spans="42:44">
      <c r="AP4403" s="1756" t="e">
        <f>IF(OR(AR4403=S13,AR4403&gt;S13),AR4403,"")</f>
        <v>#VALUE!</v>
      </c>
      <c r="AQ4403" s="1759">
        <f t="shared" si="127"/>
        <v>4400</v>
      </c>
      <c r="AR4403" s="1756" t="e">
        <f>0.5*(S18+2*AQ4403)*LN(1+2*AQ4403/S18)</f>
        <v>#VALUE!</v>
      </c>
    </row>
    <row r="4404" spans="42:44">
      <c r="AP4404" s="1756" t="e">
        <f>IF(OR(AR4404=S13,AR4404&gt;S13),AR4404,"")</f>
        <v>#VALUE!</v>
      </c>
      <c r="AQ4404" s="1759">
        <f t="shared" si="127"/>
        <v>4401</v>
      </c>
      <c r="AR4404" s="1756" t="e">
        <f>0.5*(S18+2*AQ4404)*LN(1+2*AQ4404/S18)</f>
        <v>#VALUE!</v>
      </c>
    </row>
    <row r="4405" spans="42:44">
      <c r="AP4405" s="1756" t="e">
        <f>IF(OR(AR4405=S13,AR4405&gt;S13),AR4405,"")</f>
        <v>#VALUE!</v>
      </c>
      <c r="AQ4405" s="1759">
        <f t="shared" si="127"/>
        <v>4402</v>
      </c>
      <c r="AR4405" s="1756" t="e">
        <f>0.5*(S18+2*AQ4405)*LN(1+2*AQ4405/S18)</f>
        <v>#VALUE!</v>
      </c>
    </row>
    <row r="4406" spans="42:44">
      <c r="AP4406" s="1756" t="e">
        <f>IF(OR(AR4406=S13,AR4406&gt;S13),AR4406,"")</f>
        <v>#VALUE!</v>
      </c>
      <c r="AQ4406" s="1759">
        <f t="shared" si="127"/>
        <v>4403</v>
      </c>
      <c r="AR4406" s="1756" t="e">
        <f>0.5*(S18+2*AQ4406)*LN(1+2*AQ4406/S18)</f>
        <v>#VALUE!</v>
      </c>
    </row>
    <row r="4407" spans="42:44">
      <c r="AP4407" s="1756" t="e">
        <f>IF(OR(AR4407=S13,AR4407&gt;S13),AR4407,"")</f>
        <v>#VALUE!</v>
      </c>
      <c r="AQ4407" s="1759">
        <f t="shared" si="127"/>
        <v>4404</v>
      </c>
      <c r="AR4407" s="1756" t="e">
        <f>0.5*(S18+2*AQ4407)*LN(1+2*AQ4407/S18)</f>
        <v>#VALUE!</v>
      </c>
    </row>
    <row r="4408" spans="42:44">
      <c r="AP4408" s="1756" t="e">
        <f>IF(OR(AR4408=S13,AR4408&gt;S13),AR4408,"")</f>
        <v>#VALUE!</v>
      </c>
      <c r="AQ4408" s="1759">
        <f t="shared" si="127"/>
        <v>4405</v>
      </c>
      <c r="AR4408" s="1756" t="e">
        <f>0.5*(S18+2*AQ4408)*LN(1+2*AQ4408/S18)</f>
        <v>#VALUE!</v>
      </c>
    </row>
    <row r="4409" spans="42:44">
      <c r="AP4409" s="1756" t="e">
        <f>IF(OR(AR4409=S13,AR4409&gt;S13),AR4409,"")</f>
        <v>#VALUE!</v>
      </c>
      <c r="AQ4409" s="1759">
        <f t="shared" si="127"/>
        <v>4406</v>
      </c>
      <c r="AR4409" s="1756" t="e">
        <f>0.5*(S18+2*AQ4409)*LN(1+2*AQ4409/S18)</f>
        <v>#VALUE!</v>
      </c>
    </row>
    <row r="4410" spans="42:44">
      <c r="AP4410" s="1756" t="e">
        <f>IF(OR(AR4410=S13,AR4410&gt;S13),AR4410,"")</f>
        <v>#VALUE!</v>
      </c>
      <c r="AQ4410" s="1759">
        <f t="shared" si="127"/>
        <v>4407</v>
      </c>
      <c r="AR4410" s="1756" t="e">
        <f>0.5*(S18+2*AQ4410)*LN(1+2*AQ4410/S18)</f>
        <v>#VALUE!</v>
      </c>
    </row>
    <row r="4411" spans="42:44">
      <c r="AP4411" s="1756" t="e">
        <f>IF(OR(AR4411=S13,AR4411&gt;S13),AR4411,"")</f>
        <v>#VALUE!</v>
      </c>
      <c r="AQ4411" s="1759">
        <f t="shared" si="127"/>
        <v>4408</v>
      </c>
      <c r="AR4411" s="1756" t="e">
        <f>0.5*(S18+2*AQ4411)*LN(1+2*AQ4411/S18)</f>
        <v>#VALUE!</v>
      </c>
    </row>
    <row r="4412" spans="42:44">
      <c r="AP4412" s="1756" t="e">
        <f>IF(OR(AR4412=S13,AR4412&gt;S13),AR4412,"")</f>
        <v>#VALUE!</v>
      </c>
      <c r="AQ4412" s="1759">
        <f t="shared" si="127"/>
        <v>4409</v>
      </c>
      <c r="AR4412" s="1756" t="e">
        <f>0.5*(S18+2*AQ4412)*LN(1+2*AQ4412/S18)</f>
        <v>#VALUE!</v>
      </c>
    </row>
    <row r="4413" spans="42:44">
      <c r="AP4413" s="1756" t="e">
        <f>IF(OR(AR4413=S13,AR4413&gt;S13),AR4413,"")</f>
        <v>#VALUE!</v>
      </c>
      <c r="AQ4413" s="1759">
        <f t="shared" si="127"/>
        <v>4410</v>
      </c>
      <c r="AR4413" s="1756" t="e">
        <f>0.5*(S18+2*AQ4413)*LN(1+2*AQ4413/S18)</f>
        <v>#VALUE!</v>
      </c>
    </row>
    <row r="4414" spans="42:44">
      <c r="AP4414" s="1756" t="e">
        <f>IF(OR(AR4414=S13,AR4414&gt;S13),AR4414,"")</f>
        <v>#VALUE!</v>
      </c>
      <c r="AQ4414" s="1759">
        <f t="shared" si="127"/>
        <v>4411</v>
      </c>
      <c r="AR4414" s="1756" t="e">
        <f>0.5*(S18+2*AQ4414)*LN(1+2*AQ4414/S18)</f>
        <v>#VALUE!</v>
      </c>
    </row>
    <row r="4415" spans="42:44">
      <c r="AP4415" s="1756" t="e">
        <f>IF(OR(AR4415=S13,AR4415&gt;S13),AR4415,"")</f>
        <v>#VALUE!</v>
      </c>
      <c r="AQ4415" s="1759">
        <f t="shared" si="127"/>
        <v>4412</v>
      </c>
      <c r="AR4415" s="1756" t="e">
        <f>0.5*(S18+2*AQ4415)*LN(1+2*AQ4415/S18)</f>
        <v>#VALUE!</v>
      </c>
    </row>
    <row r="4416" spans="42:44">
      <c r="AP4416" s="1756" t="e">
        <f>IF(OR(AR4416=S13,AR4416&gt;S13),AR4416,"")</f>
        <v>#VALUE!</v>
      </c>
      <c r="AQ4416" s="1759">
        <f t="shared" si="127"/>
        <v>4413</v>
      </c>
      <c r="AR4416" s="1756" t="e">
        <f>0.5*(S18+2*AQ4416)*LN(1+2*AQ4416/S18)</f>
        <v>#VALUE!</v>
      </c>
    </row>
    <row r="4417" spans="42:44">
      <c r="AP4417" s="1756" t="e">
        <f>IF(OR(AR4417=S13,AR4417&gt;S13),AR4417,"")</f>
        <v>#VALUE!</v>
      </c>
      <c r="AQ4417" s="1759">
        <f t="shared" si="127"/>
        <v>4414</v>
      </c>
      <c r="AR4417" s="1756" t="e">
        <f>0.5*(S18+2*AQ4417)*LN(1+2*AQ4417/S18)</f>
        <v>#VALUE!</v>
      </c>
    </row>
    <row r="4418" spans="42:44">
      <c r="AP4418" s="1756" t="e">
        <f>IF(OR(AR4418=S13,AR4418&gt;S13),AR4418,"")</f>
        <v>#VALUE!</v>
      </c>
      <c r="AQ4418" s="1759">
        <f t="shared" si="127"/>
        <v>4415</v>
      </c>
      <c r="AR4418" s="1756" t="e">
        <f>0.5*(S18+2*AQ4418)*LN(1+2*AQ4418/S18)</f>
        <v>#VALUE!</v>
      </c>
    </row>
    <row r="4419" spans="42:44">
      <c r="AP4419" s="1756" t="e">
        <f>IF(OR(AR4419=S13,AR4419&gt;S13),AR4419,"")</f>
        <v>#VALUE!</v>
      </c>
      <c r="AQ4419" s="1759">
        <f t="shared" si="127"/>
        <v>4416</v>
      </c>
      <c r="AR4419" s="1756" t="e">
        <f>0.5*(S18+2*AQ4419)*LN(1+2*AQ4419/S18)</f>
        <v>#VALUE!</v>
      </c>
    </row>
    <row r="4420" spans="42:44">
      <c r="AP4420" s="1756" t="e">
        <f>IF(OR(AR4420=S13,AR4420&gt;S13),AR4420,"")</f>
        <v>#VALUE!</v>
      </c>
      <c r="AQ4420" s="1759">
        <f t="shared" si="127"/>
        <v>4417</v>
      </c>
      <c r="AR4420" s="1756" t="e">
        <f>0.5*(S18+2*AQ4420)*LN(1+2*AQ4420/S18)</f>
        <v>#VALUE!</v>
      </c>
    </row>
    <row r="4421" spans="42:44">
      <c r="AP4421" s="1756" t="e">
        <f>IF(OR(AR4421=S13,AR4421&gt;S13),AR4421,"")</f>
        <v>#VALUE!</v>
      </c>
      <c r="AQ4421" s="1759">
        <f t="shared" si="127"/>
        <v>4418</v>
      </c>
      <c r="AR4421" s="1756" t="e">
        <f>0.5*(S18+2*AQ4421)*LN(1+2*AQ4421/S18)</f>
        <v>#VALUE!</v>
      </c>
    </row>
    <row r="4422" spans="42:44">
      <c r="AP4422" s="1756" t="e">
        <f>IF(OR(AR4422=S13,AR4422&gt;S13),AR4422,"")</f>
        <v>#VALUE!</v>
      </c>
      <c r="AQ4422" s="1759">
        <f t="shared" ref="AQ4422:AQ4485" si="128">AQ4421+1</f>
        <v>4419</v>
      </c>
      <c r="AR4422" s="1756" t="e">
        <f>0.5*(S18+2*AQ4422)*LN(1+2*AQ4422/S18)</f>
        <v>#VALUE!</v>
      </c>
    </row>
    <row r="4423" spans="42:44">
      <c r="AP4423" s="1756" t="e">
        <f>IF(OR(AR4423=S13,AR4423&gt;S13),AR4423,"")</f>
        <v>#VALUE!</v>
      </c>
      <c r="AQ4423" s="1759">
        <f t="shared" si="128"/>
        <v>4420</v>
      </c>
      <c r="AR4423" s="1756" t="e">
        <f>0.5*(S18+2*AQ4423)*LN(1+2*AQ4423/S18)</f>
        <v>#VALUE!</v>
      </c>
    </row>
    <row r="4424" spans="42:44">
      <c r="AP4424" s="1756" t="e">
        <f>IF(OR(AR4424=S13,AR4424&gt;S13),AR4424,"")</f>
        <v>#VALUE!</v>
      </c>
      <c r="AQ4424" s="1759">
        <f t="shared" si="128"/>
        <v>4421</v>
      </c>
      <c r="AR4424" s="1756" t="e">
        <f>0.5*(S18+2*AQ4424)*LN(1+2*AQ4424/S18)</f>
        <v>#VALUE!</v>
      </c>
    </row>
    <row r="4425" spans="42:44">
      <c r="AP4425" s="1756" t="e">
        <f>IF(OR(AR4425=S13,AR4425&gt;S13),AR4425,"")</f>
        <v>#VALUE!</v>
      </c>
      <c r="AQ4425" s="1759">
        <f t="shared" si="128"/>
        <v>4422</v>
      </c>
      <c r="AR4425" s="1756" t="e">
        <f>0.5*(S18+2*AQ4425)*LN(1+2*AQ4425/S18)</f>
        <v>#VALUE!</v>
      </c>
    </row>
    <row r="4426" spans="42:44">
      <c r="AP4426" s="1756" t="e">
        <f>IF(OR(AR4426=S13,AR4426&gt;S13),AR4426,"")</f>
        <v>#VALUE!</v>
      </c>
      <c r="AQ4426" s="1759">
        <f t="shared" si="128"/>
        <v>4423</v>
      </c>
      <c r="AR4426" s="1756" t="e">
        <f>0.5*(S18+2*AQ4426)*LN(1+2*AQ4426/S18)</f>
        <v>#VALUE!</v>
      </c>
    </row>
    <row r="4427" spans="42:44">
      <c r="AP4427" s="1756" t="e">
        <f>IF(OR(AR4427=S13,AR4427&gt;S13),AR4427,"")</f>
        <v>#VALUE!</v>
      </c>
      <c r="AQ4427" s="1759">
        <f t="shared" si="128"/>
        <v>4424</v>
      </c>
      <c r="AR4427" s="1756" t="e">
        <f>0.5*(S18+2*AQ4427)*LN(1+2*AQ4427/S18)</f>
        <v>#VALUE!</v>
      </c>
    </row>
    <row r="4428" spans="42:44">
      <c r="AP4428" s="1756" t="e">
        <f>IF(OR(AR4428=S13,AR4428&gt;S13),AR4428,"")</f>
        <v>#VALUE!</v>
      </c>
      <c r="AQ4428" s="1759">
        <f t="shared" si="128"/>
        <v>4425</v>
      </c>
      <c r="AR4428" s="1756" t="e">
        <f>0.5*(S18+2*AQ4428)*LN(1+2*AQ4428/S18)</f>
        <v>#VALUE!</v>
      </c>
    </row>
    <row r="4429" spans="42:44">
      <c r="AP4429" s="1756" t="e">
        <f>IF(OR(AR4429=S13,AR4429&gt;S13),AR4429,"")</f>
        <v>#VALUE!</v>
      </c>
      <c r="AQ4429" s="1759">
        <f t="shared" si="128"/>
        <v>4426</v>
      </c>
      <c r="AR4429" s="1756" t="e">
        <f>0.5*(S18+2*AQ4429)*LN(1+2*AQ4429/S18)</f>
        <v>#VALUE!</v>
      </c>
    </row>
    <row r="4430" spans="42:44">
      <c r="AP4430" s="1756" t="e">
        <f>IF(OR(AR4430=S13,AR4430&gt;S13),AR4430,"")</f>
        <v>#VALUE!</v>
      </c>
      <c r="AQ4430" s="1759">
        <f t="shared" si="128"/>
        <v>4427</v>
      </c>
      <c r="AR4430" s="1756" t="e">
        <f>0.5*(S18+2*AQ4430)*LN(1+2*AQ4430/S18)</f>
        <v>#VALUE!</v>
      </c>
    </row>
    <row r="4431" spans="42:44">
      <c r="AP4431" s="1756" t="e">
        <f>IF(OR(AR4431=S13,AR4431&gt;S13),AR4431,"")</f>
        <v>#VALUE!</v>
      </c>
      <c r="AQ4431" s="1759">
        <f t="shared" si="128"/>
        <v>4428</v>
      </c>
      <c r="AR4431" s="1756" t="e">
        <f>0.5*(S18+2*AQ4431)*LN(1+2*AQ4431/S18)</f>
        <v>#VALUE!</v>
      </c>
    </row>
    <row r="4432" spans="42:44">
      <c r="AP4432" s="1756" t="e">
        <f>IF(OR(AR4432=S13,AR4432&gt;S13),AR4432,"")</f>
        <v>#VALUE!</v>
      </c>
      <c r="AQ4432" s="1759">
        <f t="shared" si="128"/>
        <v>4429</v>
      </c>
      <c r="AR4432" s="1756" t="e">
        <f>0.5*(S18+2*AQ4432)*LN(1+2*AQ4432/S18)</f>
        <v>#VALUE!</v>
      </c>
    </row>
    <row r="4433" spans="42:44">
      <c r="AP4433" s="1756" t="e">
        <f>IF(OR(AR4433=S13,AR4433&gt;S13),AR4433,"")</f>
        <v>#VALUE!</v>
      </c>
      <c r="AQ4433" s="1759">
        <f t="shared" si="128"/>
        <v>4430</v>
      </c>
      <c r="AR4433" s="1756" t="e">
        <f>0.5*(S18+2*AQ4433)*LN(1+2*AQ4433/S18)</f>
        <v>#VALUE!</v>
      </c>
    </row>
    <row r="4434" spans="42:44">
      <c r="AP4434" s="1756" t="e">
        <f>IF(OR(AR4434=S13,AR4434&gt;S13),AR4434,"")</f>
        <v>#VALUE!</v>
      </c>
      <c r="AQ4434" s="1759">
        <f t="shared" si="128"/>
        <v>4431</v>
      </c>
      <c r="AR4434" s="1756" t="e">
        <f>0.5*(S18+2*AQ4434)*LN(1+2*AQ4434/S18)</f>
        <v>#VALUE!</v>
      </c>
    </row>
    <row r="4435" spans="42:44">
      <c r="AP4435" s="1756" t="e">
        <f>IF(OR(AR4435=S13,AR4435&gt;S13),AR4435,"")</f>
        <v>#VALUE!</v>
      </c>
      <c r="AQ4435" s="1759">
        <f t="shared" si="128"/>
        <v>4432</v>
      </c>
      <c r="AR4435" s="1756" t="e">
        <f>0.5*(S18+2*AQ4435)*LN(1+2*AQ4435/S18)</f>
        <v>#VALUE!</v>
      </c>
    </row>
    <row r="4436" spans="42:44">
      <c r="AP4436" s="1756" t="e">
        <f>IF(OR(AR4436=S13,AR4436&gt;S13),AR4436,"")</f>
        <v>#VALUE!</v>
      </c>
      <c r="AQ4436" s="1759">
        <f t="shared" si="128"/>
        <v>4433</v>
      </c>
      <c r="AR4436" s="1756" t="e">
        <f>0.5*(S18+2*AQ4436)*LN(1+2*AQ4436/S18)</f>
        <v>#VALUE!</v>
      </c>
    </row>
    <row r="4437" spans="42:44">
      <c r="AP4437" s="1756" t="e">
        <f>IF(OR(AR4437=S13,AR4437&gt;S13),AR4437,"")</f>
        <v>#VALUE!</v>
      </c>
      <c r="AQ4437" s="1759">
        <f t="shared" si="128"/>
        <v>4434</v>
      </c>
      <c r="AR4437" s="1756" t="e">
        <f>0.5*(S18+2*AQ4437)*LN(1+2*AQ4437/S18)</f>
        <v>#VALUE!</v>
      </c>
    </row>
    <row r="4438" spans="42:44">
      <c r="AP4438" s="1756" t="e">
        <f>IF(OR(AR4438=S13,AR4438&gt;S13),AR4438,"")</f>
        <v>#VALUE!</v>
      </c>
      <c r="AQ4438" s="1759">
        <f t="shared" si="128"/>
        <v>4435</v>
      </c>
      <c r="AR4438" s="1756" t="e">
        <f>0.5*(S18+2*AQ4438)*LN(1+2*AQ4438/S18)</f>
        <v>#VALUE!</v>
      </c>
    </row>
    <row r="4439" spans="42:44">
      <c r="AP4439" s="1756" t="e">
        <f>IF(OR(AR4439=S13,AR4439&gt;S13),AR4439,"")</f>
        <v>#VALUE!</v>
      </c>
      <c r="AQ4439" s="1759">
        <f t="shared" si="128"/>
        <v>4436</v>
      </c>
      <c r="AR4439" s="1756" t="e">
        <f>0.5*(S18+2*AQ4439)*LN(1+2*AQ4439/S18)</f>
        <v>#VALUE!</v>
      </c>
    </row>
    <row r="4440" spans="42:44">
      <c r="AP4440" s="1756" t="e">
        <f>IF(OR(AR4440=S13,AR4440&gt;S13),AR4440,"")</f>
        <v>#VALUE!</v>
      </c>
      <c r="AQ4440" s="1759">
        <f t="shared" si="128"/>
        <v>4437</v>
      </c>
      <c r="AR4440" s="1756" t="e">
        <f>0.5*(S18+2*AQ4440)*LN(1+2*AQ4440/S18)</f>
        <v>#VALUE!</v>
      </c>
    </row>
    <row r="4441" spans="42:44">
      <c r="AP4441" s="1756" t="e">
        <f>IF(OR(AR4441=S13,AR4441&gt;S13),AR4441,"")</f>
        <v>#VALUE!</v>
      </c>
      <c r="AQ4441" s="1759">
        <f t="shared" si="128"/>
        <v>4438</v>
      </c>
      <c r="AR4441" s="1756" t="e">
        <f>0.5*(S18+2*AQ4441)*LN(1+2*AQ4441/S18)</f>
        <v>#VALUE!</v>
      </c>
    </row>
    <row r="4442" spans="42:44">
      <c r="AP4442" s="1756" t="e">
        <f>IF(OR(AR4442=S13,AR4442&gt;S13),AR4442,"")</f>
        <v>#VALUE!</v>
      </c>
      <c r="AQ4442" s="1759">
        <f t="shared" si="128"/>
        <v>4439</v>
      </c>
      <c r="AR4442" s="1756" t="e">
        <f>0.5*(S18+2*AQ4442)*LN(1+2*AQ4442/S18)</f>
        <v>#VALUE!</v>
      </c>
    </row>
    <row r="4443" spans="42:44">
      <c r="AP4443" s="1756" t="e">
        <f>IF(OR(AR4443=S13,AR4443&gt;S13),AR4443,"")</f>
        <v>#VALUE!</v>
      </c>
      <c r="AQ4443" s="1759">
        <f t="shared" si="128"/>
        <v>4440</v>
      </c>
      <c r="AR4443" s="1756" t="e">
        <f>0.5*(S18+2*AQ4443)*LN(1+2*AQ4443/S18)</f>
        <v>#VALUE!</v>
      </c>
    </row>
    <row r="4444" spans="42:44">
      <c r="AP4444" s="1756" t="e">
        <f>IF(OR(AR4444=S13,AR4444&gt;S13),AR4444,"")</f>
        <v>#VALUE!</v>
      </c>
      <c r="AQ4444" s="1759">
        <f t="shared" si="128"/>
        <v>4441</v>
      </c>
      <c r="AR4444" s="1756" t="e">
        <f>0.5*(S18+2*AQ4444)*LN(1+2*AQ4444/S18)</f>
        <v>#VALUE!</v>
      </c>
    </row>
    <row r="4445" spans="42:44">
      <c r="AP4445" s="1756" t="e">
        <f>IF(OR(AR4445=S13,AR4445&gt;S13),AR4445,"")</f>
        <v>#VALUE!</v>
      </c>
      <c r="AQ4445" s="1759">
        <f t="shared" si="128"/>
        <v>4442</v>
      </c>
      <c r="AR4445" s="1756" t="e">
        <f>0.5*(S18+2*AQ4445)*LN(1+2*AQ4445/S18)</f>
        <v>#VALUE!</v>
      </c>
    </row>
    <row r="4446" spans="42:44">
      <c r="AP4446" s="1756" t="e">
        <f>IF(OR(AR4446=S13,AR4446&gt;S13),AR4446,"")</f>
        <v>#VALUE!</v>
      </c>
      <c r="AQ4446" s="1759">
        <f t="shared" si="128"/>
        <v>4443</v>
      </c>
      <c r="AR4446" s="1756" t="e">
        <f>0.5*(S18+2*AQ4446)*LN(1+2*AQ4446/S18)</f>
        <v>#VALUE!</v>
      </c>
    </row>
    <row r="4447" spans="42:44">
      <c r="AP4447" s="1756" t="e">
        <f>IF(OR(AR4447=S13,AR4447&gt;S13),AR4447,"")</f>
        <v>#VALUE!</v>
      </c>
      <c r="AQ4447" s="1759">
        <f t="shared" si="128"/>
        <v>4444</v>
      </c>
      <c r="AR4447" s="1756" t="e">
        <f>0.5*(S18+2*AQ4447)*LN(1+2*AQ4447/S18)</f>
        <v>#VALUE!</v>
      </c>
    </row>
    <row r="4448" spans="42:44">
      <c r="AP4448" s="1756" t="e">
        <f>IF(OR(AR4448=S13,AR4448&gt;S13),AR4448,"")</f>
        <v>#VALUE!</v>
      </c>
      <c r="AQ4448" s="1759">
        <f t="shared" si="128"/>
        <v>4445</v>
      </c>
      <c r="AR4448" s="1756" t="e">
        <f>0.5*(S18+2*AQ4448)*LN(1+2*AQ4448/S18)</f>
        <v>#VALUE!</v>
      </c>
    </row>
    <row r="4449" spans="42:44">
      <c r="AP4449" s="1756" t="e">
        <f>IF(OR(AR4449=S13,AR4449&gt;S13),AR4449,"")</f>
        <v>#VALUE!</v>
      </c>
      <c r="AQ4449" s="1759">
        <f t="shared" si="128"/>
        <v>4446</v>
      </c>
      <c r="AR4449" s="1756" t="e">
        <f>0.5*(S18+2*AQ4449)*LN(1+2*AQ4449/S18)</f>
        <v>#VALUE!</v>
      </c>
    </row>
    <row r="4450" spans="42:44">
      <c r="AP4450" s="1756" t="e">
        <f>IF(OR(AR4450=S13,AR4450&gt;S13),AR4450,"")</f>
        <v>#VALUE!</v>
      </c>
      <c r="AQ4450" s="1759">
        <f t="shared" si="128"/>
        <v>4447</v>
      </c>
      <c r="AR4450" s="1756" t="e">
        <f>0.5*(S18+2*AQ4450)*LN(1+2*AQ4450/S18)</f>
        <v>#VALUE!</v>
      </c>
    </row>
    <row r="4451" spans="42:44">
      <c r="AP4451" s="1756" t="e">
        <f>IF(OR(AR4451=S13,AR4451&gt;S13),AR4451,"")</f>
        <v>#VALUE!</v>
      </c>
      <c r="AQ4451" s="1759">
        <f t="shared" si="128"/>
        <v>4448</v>
      </c>
      <c r="AR4451" s="1756" t="e">
        <f>0.5*(S18+2*AQ4451)*LN(1+2*AQ4451/S18)</f>
        <v>#VALUE!</v>
      </c>
    </row>
    <row r="4452" spans="42:44">
      <c r="AP4452" s="1756" t="e">
        <f>IF(OR(AR4452=S13,AR4452&gt;S13),AR4452,"")</f>
        <v>#VALUE!</v>
      </c>
      <c r="AQ4452" s="1759">
        <f t="shared" si="128"/>
        <v>4449</v>
      </c>
      <c r="AR4452" s="1756" t="e">
        <f>0.5*(S18+2*AQ4452)*LN(1+2*AQ4452/S18)</f>
        <v>#VALUE!</v>
      </c>
    </row>
    <row r="4453" spans="42:44">
      <c r="AP4453" s="1756" t="e">
        <f>IF(OR(AR4453=S13,AR4453&gt;S13),AR4453,"")</f>
        <v>#VALUE!</v>
      </c>
      <c r="AQ4453" s="1759">
        <f t="shared" si="128"/>
        <v>4450</v>
      </c>
      <c r="AR4453" s="1756" t="e">
        <f>0.5*(S18+2*AQ4453)*LN(1+2*AQ4453/S18)</f>
        <v>#VALUE!</v>
      </c>
    </row>
    <row r="4454" spans="42:44">
      <c r="AP4454" s="1756" t="e">
        <f>IF(OR(AR4454=S13,AR4454&gt;S13),AR4454,"")</f>
        <v>#VALUE!</v>
      </c>
      <c r="AQ4454" s="1759">
        <f t="shared" si="128"/>
        <v>4451</v>
      </c>
      <c r="AR4454" s="1756" t="e">
        <f>0.5*(S18+2*AQ4454)*LN(1+2*AQ4454/S18)</f>
        <v>#VALUE!</v>
      </c>
    </row>
    <row r="4455" spans="42:44">
      <c r="AP4455" s="1756" t="e">
        <f>IF(OR(AR4455=S13,AR4455&gt;S13),AR4455,"")</f>
        <v>#VALUE!</v>
      </c>
      <c r="AQ4455" s="1759">
        <f t="shared" si="128"/>
        <v>4452</v>
      </c>
      <c r="AR4455" s="1756" t="e">
        <f>0.5*(S18+2*AQ4455)*LN(1+2*AQ4455/S18)</f>
        <v>#VALUE!</v>
      </c>
    </row>
    <row r="4456" spans="42:44">
      <c r="AP4456" s="1756" t="e">
        <f>IF(OR(AR4456=S13,AR4456&gt;S13),AR4456,"")</f>
        <v>#VALUE!</v>
      </c>
      <c r="AQ4456" s="1759">
        <f t="shared" si="128"/>
        <v>4453</v>
      </c>
      <c r="AR4456" s="1756" t="e">
        <f>0.5*(S18+2*AQ4456)*LN(1+2*AQ4456/S18)</f>
        <v>#VALUE!</v>
      </c>
    </row>
    <row r="4457" spans="42:44">
      <c r="AP4457" s="1756" t="e">
        <f>IF(OR(AR4457=S13,AR4457&gt;S13),AR4457,"")</f>
        <v>#VALUE!</v>
      </c>
      <c r="AQ4457" s="1759">
        <f t="shared" si="128"/>
        <v>4454</v>
      </c>
      <c r="AR4457" s="1756" t="e">
        <f>0.5*(S18+2*AQ4457)*LN(1+2*AQ4457/S18)</f>
        <v>#VALUE!</v>
      </c>
    </row>
    <row r="4458" spans="42:44">
      <c r="AP4458" s="1756" t="e">
        <f>IF(OR(AR4458=S13,AR4458&gt;S13),AR4458,"")</f>
        <v>#VALUE!</v>
      </c>
      <c r="AQ4458" s="1759">
        <f t="shared" si="128"/>
        <v>4455</v>
      </c>
      <c r="AR4458" s="1756" t="e">
        <f>0.5*(S18+2*AQ4458)*LN(1+2*AQ4458/S18)</f>
        <v>#VALUE!</v>
      </c>
    </row>
    <row r="4459" spans="42:44">
      <c r="AP4459" s="1756" t="e">
        <f>IF(OR(AR4459=S13,AR4459&gt;S13),AR4459,"")</f>
        <v>#VALUE!</v>
      </c>
      <c r="AQ4459" s="1759">
        <f t="shared" si="128"/>
        <v>4456</v>
      </c>
      <c r="AR4459" s="1756" t="e">
        <f>0.5*(S18+2*AQ4459)*LN(1+2*AQ4459/S18)</f>
        <v>#VALUE!</v>
      </c>
    </row>
    <row r="4460" spans="42:44">
      <c r="AP4460" s="1756" t="e">
        <f>IF(OR(AR4460=S13,AR4460&gt;S13),AR4460,"")</f>
        <v>#VALUE!</v>
      </c>
      <c r="AQ4460" s="1759">
        <f t="shared" si="128"/>
        <v>4457</v>
      </c>
      <c r="AR4460" s="1756" t="e">
        <f>0.5*(S18+2*AQ4460)*LN(1+2*AQ4460/S18)</f>
        <v>#VALUE!</v>
      </c>
    </row>
    <row r="4461" spans="42:44">
      <c r="AP4461" s="1756" t="e">
        <f>IF(OR(AR4461=S13,AR4461&gt;S13),AR4461,"")</f>
        <v>#VALUE!</v>
      </c>
      <c r="AQ4461" s="1759">
        <f t="shared" si="128"/>
        <v>4458</v>
      </c>
      <c r="AR4461" s="1756" t="e">
        <f>0.5*(S18+2*AQ4461)*LN(1+2*AQ4461/S18)</f>
        <v>#VALUE!</v>
      </c>
    </row>
    <row r="4462" spans="42:44">
      <c r="AP4462" s="1756" t="e">
        <f>IF(OR(AR4462=S13,AR4462&gt;S13),AR4462,"")</f>
        <v>#VALUE!</v>
      </c>
      <c r="AQ4462" s="1759">
        <f t="shared" si="128"/>
        <v>4459</v>
      </c>
      <c r="AR4462" s="1756" t="e">
        <f>0.5*(S18+2*AQ4462)*LN(1+2*AQ4462/S18)</f>
        <v>#VALUE!</v>
      </c>
    </row>
    <row r="4463" spans="42:44">
      <c r="AP4463" s="1756" t="e">
        <f>IF(OR(AR4463=S13,AR4463&gt;S13),AR4463,"")</f>
        <v>#VALUE!</v>
      </c>
      <c r="AQ4463" s="1759">
        <f t="shared" si="128"/>
        <v>4460</v>
      </c>
      <c r="AR4463" s="1756" t="e">
        <f>0.5*(S18+2*AQ4463)*LN(1+2*AQ4463/S18)</f>
        <v>#VALUE!</v>
      </c>
    </row>
    <row r="4464" spans="42:44">
      <c r="AP4464" s="1756" t="e">
        <f>IF(OR(AR4464=S13,AR4464&gt;S13),AR4464,"")</f>
        <v>#VALUE!</v>
      </c>
      <c r="AQ4464" s="1759">
        <f t="shared" si="128"/>
        <v>4461</v>
      </c>
      <c r="AR4464" s="1756" t="e">
        <f>0.5*(S18+2*AQ4464)*LN(1+2*AQ4464/S18)</f>
        <v>#VALUE!</v>
      </c>
    </row>
    <row r="4465" spans="42:44">
      <c r="AP4465" s="1756" t="e">
        <f>IF(OR(AR4465=S13,AR4465&gt;S13),AR4465,"")</f>
        <v>#VALUE!</v>
      </c>
      <c r="AQ4465" s="1759">
        <f t="shared" si="128"/>
        <v>4462</v>
      </c>
      <c r="AR4465" s="1756" t="e">
        <f>0.5*(S18+2*AQ4465)*LN(1+2*AQ4465/S18)</f>
        <v>#VALUE!</v>
      </c>
    </row>
    <row r="4466" spans="42:44">
      <c r="AP4466" s="1756" t="e">
        <f>IF(OR(AR4466=S13,AR4466&gt;S13),AR4466,"")</f>
        <v>#VALUE!</v>
      </c>
      <c r="AQ4466" s="1759">
        <f t="shared" si="128"/>
        <v>4463</v>
      </c>
      <c r="AR4466" s="1756" t="e">
        <f>0.5*(S18+2*AQ4466)*LN(1+2*AQ4466/S18)</f>
        <v>#VALUE!</v>
      </c>
    </row>
    <row r="4467" spans="42:44">
      <c r="AP4467" s="1756" t="e">
        <f>IF(OR(AR4467=S13,AR4467&gt;S13),AR4467,"")</f>
        <v>#VALUE!</v>
      </c>
      <c r="AQ4467" s="1759">
        <f t="shared" si="128"/>
        <v>4464</v>
      </c>
      <c r="AR4467" s="1756" t="e">
        <f>0.5*(S18+2*AQ4467)*LN(1+2*AQ4467/S18)</f>
        <v>#VALUE!</v>
      </c>
    </row>
    <row r="4468" spans="42:44">
      <c r="AP4468" s="1756" t="e">
        <f>IF(OR(AR4468=S13,AR4468&gt;S13),AR4468,"")</f>
        <v>#VALUE!</v>
      </c>
      <c r="AQ4468" s="1759">
        <f t="shared" si="128"/>
        <v>4465</v>
      </c>
      <c r="AR4468" s="1756" t="e">
        <f>0.5*(S18+2*AQ4468)*LN(1+2*AQ4468/S18)</f>
        <v>#VALUE!</v>
      </c>
    </row>
    <row r="4469" spans="42:44">
      <c r="AP4469" s="1756" t="e">
        <f>IF(OR(AR4469=S13,AR4469&gt;S13),AR4469,"")</f>
        <v>#VALUE!</v>
      </c>
      <c r="AQ4469" s="1759">
        <f t="shared" si="128"/>
        <v>4466</v>
      </c>
      <c r="AR4469" s="1756" t="e">
        <f>0.5*(S18+2*AQ4469)*LN(1+2*AQ4469/S18)</f>
        <v>#VALUE!</v>
      </c>
    </row>
    <row r="4470" spans="42:44">
      <c r="AP4470" s="1756" t="e">
        <f>IF(OR(AR4470=S13,AR4470&gt;S13),AR4470,"")</f>
        <v>#VALUE!</v>
      </c>
      <c r="AQ4470" s="1759">
        <f t="shared" si="128"/>
        <v>4467</v>
      </c>
      <c r="AR4470" s="1756" t="e">
        <f>0.5*(S18+2*AQ4470)*LN(1+2*AQ4470/S18)</f>
        <v>#VALUE!</v>
      </c>
    </row>
    <row r="4471" spans="42:44">
      <c r="AP4471" s="1756" t="e">
        <f>IF(OR(AR4471=S13,AR4471&gt;S13),AR4471,"")</f>
        <v>#VALUE!</v>
      </c>
      <c r="AQ4471" s="1759">
        <f t="shared" si="128"/>
        <v>4468</v>
      </c>
      <c r="AR4471" s="1756" t="e">
        <f>0.5*(S18+2*AQ4471)*LN(1+2*AQ4471/S18)</f>
        <v>#VALUE!</v>
      </c>
    </row>
    <row r="4472" spans="42:44">
      <c r="AP4472" s="1756" t="e">
        <f>IF(OR(AR4472=S13,AR4472&gt;S13),AR4472,"")</f>
        <v>#VALUE!</v>
      </c>
      <c r="AQ4472" s="1759">
        <f t="shared" si="128"/>
        <v>4469</v>
      </c>
      <c r="AR4472" s="1756" t="e">
        <f>0.5*(S18+2*AQ4472)*LN(1+2*AQ4472/S18)</f>
        <v>#VALUE!</v>
      </c>
    </row>
    <row r="4473" spans="42:44">
      <c r="AP4473" s="1756" t="e">
        <f>IF(OR(AR4473=S13,AR4473&gt;S13),AR4473,"")</f>
        <v>#VALUE!</v>
      </c>
      <c r="AQ4473" s="1759">
        <f t="shared" si="128"/>
        <v>4470</v>
      </c>
      <c r="AR4473" s="1756" t="e">
        <f>0.5*(S18+2*AQ4473)*LN(1+2*AQ4473/S18)</f>
        <v>#VALUE!</v>
      </c>
    </row>
    <row r="4474" spans="42:44">
      <c r="AP4474" s="1756" t="e">
        <f>IF(OR(AR4474=S13,AR4474&gt;S13),AR4474,"")</f>
        <v>#VALUE!</v>
      </c>
      <c r="AQ4474" s="1759">
        <f t="shared" si="128"/>
        <v>4471</v>
      </c>
      <c r="AR4474" s="1756" t="e">
        <f>0.5*(S18+2*AQ4474)*LN(1+2*AQ4474/S18)</f>
        <v>#VALUE!</v>
      </c>
    </row>
    <row r="4475" spans="42:44">
      <c r="AP4475" s="1756" t="e">
        <f>IF(OR(AR4475=S13,AR4475&gt;S13),AR4475,"")</f>
        <v>#VALUE!</v>
      </c>
      <c r="AQ4475" s="1759">
        <f t="shared" si="128"/>
        <v>4472</v>
      </c>
      <c r="AR4475" s="1756" t="e">
        <f>0.5*(S18+2*AQ4475)*LN(1+2*AQ4475/S18)</f>
        <v>#VALUE!</v>
      </c>
    </row>
    <row r="4476" spans="42:44">
      <c r="AP4476" s="1756" t="e">
        <f>IF(OR(AR4476=S13,AR4476&gt;S13),AR4476,"")</f>
        <v>#VALUE!</v>
      </c>
      <c r="AQ4476" s="1759">
        <f t="shared" si="128"/>
        <v>4473</v>
      </c>
      <c r="AR4476" s="1756" t="e">
        <f>0.5*(S18+2*AQ4476)*LN(1+2*AQ4476/S18)</f>
        <v>#VALUE!</v>
      </c>
    </row>
    <row r="4477" spans="42:44">
      <c r="AP4477" s="1756" t="e">
        <f>IF(OR(AR4477=S13,AR4477&gt;S13),AR4477,"")</f>
        <v>#VALUE!</v>
      </c>
      <c r="AQ4477" s="1759">
        <f t="shared" si="128"/>
        <v>4474</v>
      </c>
      <c r="AR4477" s="1756" t="e">
        <f>0.5*(S18+2*AQ4477)*LN(1+2*AQ4477/S18)</f>
        <v>#VALUE!</v>
      </c>
    </row>
    <row r="4478" spans="42:44">
      <c r="AP4478" s="1756" t="e">
        <f>IF(OR(AR4478=S13,AR4478&gt;S13),AR4478,"")</f>
        <v>#VALUE!</v>
      </c>
      <c r="AQ4478" s="1759">
        <f t="shared" si="128"/>
        <v>4475</v>
      </c>
      <c r="AR4478" s="1756" t="e">
        <f>0.5*(S18+2*AQ4478)*LN(1+2*AQ4478/S18)</f>
        <v>#VALUE!</v>
      </c>
    </row>
    <row r="4479" spans="42:44">
      <c r="AP4479" s="1756" t="e">
        <f>IF(OR(AR4479=S13,AR4479&gt;S13),AR4479,"")</f>
        <v>#VALUE!</v>
      </c>
      <c r="AQ4479" s="1759">
        <f t="shared" si="128"/>
        <v>4476</v>
      </c>
      <c r="AR4479" s="1756" t="e">
        <f>0.5*(S18+2*AQ4479)*LN(1+2*AQ4479/S18)</f>
        <v>#VALUE!</v>
      </c>
    </row>
    <row r="4480" spans="42:44">
      <c r="AP4480" s="1756" t="e">
        <f>IF(OR(AR4480=S13,AR4480&gt;S13),AR4480,"")</f>
        <v>#VALUE!</v>
      </c>
      <c r="AQ4480" s="1759">
        <f t="shared" si="128"/>
        <v>4477</v>
      </c>
      <c r="AR4480" s="1756" t="e">
        <f>0.5*(S18+2*AQ4480)*LN(1+2*AQ4480/S18)</f>
        <v>#VALUE!</v>
      </c>
    </row>
    <row r="4481" spans="42:44">
      <c r="AP4481" s="1756" t="e">
        <f>IF(OR(AR4481=S13,AR4481&gt;S13),AR4481,"")</f>
        <v>#VALUE!</v>
      </c>
      <c r="AQ4481" s="1759">
        <f t="shared" si="128"/>
        <v>4478</v>
      </c>
      <c r="AR4481" s="1756" t="e">
        <f>0.5*(S18+2*AQ4481)*LN(1+2*AQ4481/S18)</f>
        <v>#VALUE!</v>
      </c>
    </row>
    <row r="4482" spans="42:44">
      <c r="AP4482" s="1756" t="e">
        <f>IF(OR(AR4482=S13,AR4482&gt;S13),AR4482,"")</f>
        <v>#VALUE!</v>
      </c>
      <c r="AQ4482" s="1759">
        <f t="shared" si="128"/>
        <v>4479</v>
      </c>
      <c r="AR4482" s="1756" t="e">
        <f>0.5*(S18+2*AQ4482)*LN(1+2*AQ4482/S18)</f>
        <v>#VALUE!</v>
      </c>
    </row>
    <row r="4483" spans="42:44">
      <c r="AP4483" s="1756" t="e">
        <f>IF(OR(AR4483=S13,AR4483&gt;S13),AR4483,"")</f>
        <v>#VALUE!</v>
      </c>
      <c r="AQ4483" s="1759">
        <f t="shared" si="128"/>
        <v>4480</v>
      </c>
      <c r="AR4483" s="1756" t="e">
        <f>0.5*(S18+2*AQ4483)*LN(1+2*AQ4483/S18)</f>
        <v>#VALUE!</v>
      </c>
    </row>
    <row r="4484" spans="42:44">
      <c r="AP4484" s="1756" t="e">
        <f>IF(OR(AR4484=S13,AR4484&gt;S13),AR4484,"")</f>
        <v>#VALUE!</v>
      </c>
      <c r="AQ4484" s="1759">
        <f t="shared" si="128"/>
        <v>4481</v>
      </c>
      <c r="AR4484" s="1756" t="e">
        <f>0.5*(S18+2*AQ4484)*LN(1+2*AQ4484/S18)</f>
        <v>#VALUE!</v>
      </c>
    </row>
    <row r="4485" spans="42:44">
      <c r="AP4485" s="1756" t="e">
        <f>IF(OR(AR4485=S13,AR4485&gt;S13),AR4485,"")</f>
        <v>#VALUE!</v>
      </c>
      <c r="AQ4485" s="1759">
        <f t="shared" si="128"/>
        <v>4482</v>
      </c>
      <c r="AR4485" s="1756" t="e">
        <f>0.5*(S18+2*AQ4485)*LN(1+2*AQ4485/S18)</f>
        <v>#VALUE!</v>
      </c>
    </row>
    <row r="4486" spans="42:44">
      <c r="AP4486" s="1756" t="e">
        <f>IF(OR(AR4486=S13,AR4486&gt;S13),AR4486,"")</f>
        <v>#VALUE!</v>
      </c>
      <c r="AQ4486" s="1759">
        <f t="shared" ref="AQ4486:AQ4549" si="129">AQ4485+1</f>
        <v>4483</v>
      </c>
      <c r="AR4486" s="1756" t="e">
        <f>0.5*(S18+2*AQ4486)*LN(1+2*AQ4486/S18)</f>
        <v>#VALUE!</v>
      </c>
    </row>
    <row r="4487" spans="42:44">
      <c r="AP4487" s="1756" t="e">
        <f>IF(OR(AR4487=S13,AR4487&gt;S13),AR4487,"")</f>
        <v>#VALUE!</v>
      </c>
      <c r="AQ4487" s="1759">
        <f t="shared" si="129"/>
        <v>4484</v>
      </c>
      <c r="AR4487" s="1756" t="e">
        <f>0.5*(S18+2*AQ4487)*LN(1+2*AQ4487/S18)</f>
        <v>#VALUE!</v>
      </c>
    </row>
    <row r="4488" spans="42:44">
      <c r="AP4488" s="1756" t="e">
        <f>IF(OR(AR4488=S13,AR4488&gt;S13),AR4488,"")</f>
        <v>#VALUE!</v>
      </c>
      <c r="AQ4488" s="1759">
        <f t="shared" si="129"/>
        <v>4485</v>
      </c>
      <c r="AR4488" s="1756" t="e">
        <f>0.5*(S18+2*AQ4488)*LN(1+2*AQ4488/S18)</f>
        <v>#VALUE!</v>
      </c>
    </row>
    <row r="4489" spans="42:44">
      <c r="AP4489" s="1756" t="e">
        <f>IF(OR(AR4489=S13,AR4489&gt;S13),AR4489,"")</f>
        <v>#VALUE!</v>
      </c>
      <c r="AQ4489" s="1759">
        <f t="shared" si="129"/>
        <v>4486</v>
      </c>
      <c r="AR4489" s="1756" t="e">
        <f>0.5*(S18+2*AQ4489)*LN(1+2*AQ4489/S18)</f>
        <v>#VALUE!</v>
      </c>
    </row>
    <row r="4490" spans="42:44">
      <c r="AP4490" s="1756" t="e">
        <f>IF(OR(AR4490=S13,AR4490&gt;S13),AR4490,"")</f>
        <v>#VALUE!</v>
      </c>
      <c r="AQ4490" s="1759">
        <f t="shared" si="129"/>
        <v>4487</v>
      </c>
      <c r="AR4490" s="1756" t="e">
        <f>0.5*(S18+2*AQ4490)*LN(1+2*AQ4490/S18)</f>
        <v>#VALUE!</v>
      </c>
    </row>
    <row r="4491" spans="42:44">
      <c r="AP4491" s="1756" t="e">
        <f>IF(OR(AR4491=S13,AR4491&gt;S13),AR4491,"")</f>
        <v>#VALUE!</v>
      </c>
      <c r="AQ4491" s="1759">
        <f t="shared" si="129"/>
        <v>4488</v>
      </c>
      <c r="AR4491" s="1756" t="e">
        <f>0.5*(S18+2*AQ4491)*LN(1+2*AQ4491/S18)</f>
        <v>#VALUE!</v>
      </c>
    </row>
    <row r="4492" spans="42:44">
      <c r="AP4492" s="1756" t="e">
        <f>IF(OR(AR4492=S13,AR4492&gt;S13),AR4492,"")</f>
        <v>#VALUE!</v>
      </c>
      <c r="AQ4492" s="1759">
        <f t="shared" si="129"/>
        <v>4489</v>
      </c>
      <c r="AR4492" s="1756" t="e">
        <f>0.5*(S18+2*AQ4492)*LN(1+2*AQ4492/S18)</f>
        <v>#VALUE!</v>
      </c>
    </row>
    <row r="4493" spans="42:44">
      <c r="AP4493" s="1756" t="e">
        <f>IF(OR(AR4493=S13,AR4493&gt;S13),AR4493,"")</f>
        <v>#VALUE!</v>
      </c>
      <c r="AQ4493" s="1759">
        <f t="shared" si="129"/>
        <v>4490</v>
      </c>
      <c r="AR4493" s="1756" t="e">
        <f>0.5*(S18+2*AQ4493)*LN(1+2*AQ4493/S18)</f>
        <v>#VALUE!</v>
      </c>
    </row>
    <row r="4494" spans="42:44">
      <c r="AP4494" s="1756" t="e">
        <f>IF(OR(AR4494=S13,AR4494&gt;S13),AR4494,"")</f>
        <v>#VALUE!</v>
      </c>
      <c r="AQ4494" s="1759">
        <f t="shared" si="129"/>
        <v>4491</v>
      </c>
      <c r="AR4494" s="1756" t="e">
        <f>0.5*(S18+2*AQ4494)*LN(1+2*AQ4494/S18)</f>
        <v>#VALUE!</v>
      </c>
    </row>
    <row r="4495" spans="42:44">
      <c r="AP4495" s="1756" t="e">
        <f>IF(OR(AR4495=S13,AR4495&gt;S13),AR4495,"")</f>
        <v>#VALUE!</v>
      </c>
      <c r="AQ4495" s="1759">
        <f t="shared" si="129"/>
        <v>4492</v>
      </c>
      <c r="AR4495" s="1756" t="e">
        <f>0.5*(S18+2*AQ4495)*LN(1+2*AQ4495/S18)</f>
        <v>#VALUE!</v>
      </c>
    </row>
    <row r="4496" spans="42:44">
      <c r="AP4496" s="1756" t="e">
        <f>IF(OR(AR4496=S13,AR4496&gt;S13),AR4496,"")</f>
        <v>#VALUE!</v>
      </c>
      <c r="AQ4496" s="1759">
        <f t="shared" si="129"/>
        <v>4493</v>
      </c>
      <c r="AR4496" s="1756" t="e">
        <f>0.5*(S18+2*AQ4496)*LN(1+2*AQ4496/S18)</f>
        <v>#VALUE!</v>
      </c>
    </row>
    <row r="4497" spans="42:44">
      <c r="AP4497" s="1756" t="e">
        <f>IF(OR(AR4497=S13,AR4497&gt;S13),AR4497,"")</f>
        <v>#VALUE!</v>
      </c>
      <c r="AQ4497" s="1759">
        <f t="shared" si="129"/>
        <v>4494</v>
      </c>
      <c r="AR4497" s="1756" t="e">
        <f>0.5*(S18+2*AQ4497)*LN(1+2*AQ4497/S18)</f>
        <v>#VALUE!</v>
      </c>
    </row>
    <row r="4498" spans="42:44">
      <c r="AP4498" s="1756" t="e">
        <f>IF(OR(AR4498=S13,AR4498&gt;S13),AR4498,"")</f>
        <v>#VALUE!</v>
      </c>
      <c r="AQ4498" s="1759">
        <f t="shared" si="129"/>
        <v>4495</v>
      </c>
      <c r="AR4498" s="1756" t="e">
        <f>0.5*(S18+2*AQ4498)*LN(1+2*AQ4498/S18)</f>
        <v>#VALUE!</v>
      </c>
    </row>
    <row r="4499" spans="42:44">
      <c r="AP4499" s="1756" t="e">
        <f>IF(OR(AR4499=S13,AR4499&gt;S13),AR4499,"")</f>
        <v>#VALUE!</v>
      </c>
      <c r="AQ4499" s="1759">
        <f t="shared" si="129"/>
        <v>4496</v>
      </c>
      <c r="AR4499" s="1756" t="e">
        <f>0.5*(S18+2*AQ4499)*LN(1+2*AQ4499/S18)</f>
        <v>#VALUE!</v>
      </c>
    </row>
    <row r="4500" spans="42:44">
      <c r="AP4500" s="1756" t="e">
        <f>IF(OR(AR4500=S13,AR4500&gt;S13),AR4500,"")</f>
        <v>#VALUE!</v>
      </c>
      <c r="AQ4500" s="1759">
        <f t="shared" si="129"/>
        <v>4497</v>
      </c>
      <c r="AR4500" s="1756" t="e">
        <f>0.5*(S18+2*AQ4500)*LN(1+2*AQ4500/S18)</f>
        <v>#VALUE!</v>
      </c>
    </row>
    <row r="4501" spans="42:44">
      <c r="AP4501" s="1756" t="e">
        <f>IF(OR(AR4501=S13,AR4501&gt;S13),AR4501,"")</f>
        <v>#VALUE!</v>
      </c>
      <c r="AQ4501" s="1759">
        <f t="shared" si="129"/>
        <v>4498</v>
      </c>
      <c r="AR4501" s="1756" t="e">
        <f>0.5*(S18+2*AQ4501)*LN(1+2*AQ4501/S18)</f>
        <v>#VALUE!</v>
      </c>
    </row>
    <row r="4502" spans="42:44">
      <c r="AP4502" s="1756" t="e">
        <f>IF(OR(AR4502=S13,AR4502&gt;S13),AR4502,"")</f>
        <v>#VALUE!</v>
      </c>
      <c r="AQ4502" s="1759">
        <f t="shared" si="129"/>
        <v>4499</v>
      </c>
      <c r="AR4502" s="1756" t="e">
        <f>0.5*(S18+2*AQ4502)*LN(1+2*AQ4502/S18)</f>
        <v>#VALUE!</v>
      </c>
    </row>
    <row r="4503" spans="42:44">
      <c r="AP4503" s="1756" t="e">
        <f>IF(OR(AR4503=S13,AR4503&gt;S13),AR4503,"")</f>
        <v>#VALUE!</v>
      </c>
      <c r="AQ4503" s="1759">
        <f t="shared" si="129"/>
        <v>4500</v>
      </c>
      <c r="AR4503" s="1756" t="e">
        <f>0.5*(S18+2*AQ4503)*LN(1+2*AQ4503/S18)</f>
        <v>#VALUE!</v>
      </c>
    </row>
    <row r="4504" spans="42:44">
      <c r="AP4504" s="1756" t="e">
        <f>IF(OR(AR4504=S13,AR4504&gt;S13),AR4504,"")</f>
        <v>#VALUE!</v>
      </c>
      <c r="AQ4504" s="1759">
        <f t="shared" si="129"/>
        <v>4501</v>
      </c>
      <c r="AR4504" s="1756" t="e">
        <f>0.5*(S18+2*AQ4504)*LN(1+2*AQ4504/S18)</f>
        <v>#VALUE!</v>
      </c>
    </row>
    <row r="4505" spans="42:44">
      <c r="AP4505" s="1756" t="e">
        <f>IF(OR(AR4505=S13,AR4505&gt;S13),AR4505,"")</f>
        <v>#VALUE!</v>
      </c>
      <c r="AQ4505" s="1759">
        <f t="shared" si="129"/>
        <v>4502</v>
      </c>
      <c r="AR4505" s="1756" t="e">
        <f>0.5*(S18+2*AQ4505)*LN(1+2*AQ4505/S18)</f>
        <v>#VALUE!</v>
      </c>
    </row>
    <row r="4506" spans="42:44">
      <c r="AP4506" s="1756" t="e">
        <f>IF(OR(AR4506=S13,AR4506&gt;S13),AR4506,"")</f>
        <v>#VALUE!</v>
      </c>
      <c r="AQ4506" s="1759">
        <f t="shared" si="129"/>
        <v>4503</v>
      </c>
      <c r="AR4506" s="1756" t="e">
        <f>0.5*(S18+2*AQ4506)*LN(1+2*AQ4506/S18)</f>
        <v>#VALUE!</v>
      </c>
    </row>
    <row r="4507" spans="42:44">
      <c r="AP4507" s="1756" t="e">
        <f>IF(OR(AR4507=S13,AR4507&gt;S13),AR4507,"")</f>
        <v>#VALUE!</v>
      </c>
      <c r="AQ4507" s="1759">
        <f t="shared" si="129"/>
        <v>4504</v>
      </c>
      <c r="AR4507" s="1756" t="e">
        <f>0.5*(S18+2*AQ4507)*LN(1+2*AQ4507/S18)</f>
        <v>#VALUE!</v>
      </c>
    </row>
    <row r="4508" spans="42:44">
      <c r="AP4508" s="1756" t="e">
        <f>IF(OR(AR4508=S13,AR4508&gt;S13),AR4508,"")</f>
        <v>#VALUE!</v>
      </c>
      <c r="AQ4508" s="1759">
        <f t="shared" si="129"/>
        <v>4505</v>
      </c>
      <c r="AR4508" s="1756" t="e">
        <f>0.5*(S18+2*AQ4508)*LN(1+2*AQ4508/S18)</f>
        <v>#VALUE!</v>
      </c>
    </row>
    <row r="4509" spans="42:44">
      <c r="AP4509" s="1756" t="e">
        <f>IF(OR(AR4509=S13,AR4509&gt;S13),AR4509,"")</f>
        <v>#VALUE!</v>
      </c>
      <c r="AQ4509" s="1759">
        <f t="shared" si="129"/>
        <v>4506</v>
      </c>
      <c r="AR4509" s="1756" t="e">
        <f>0.5*(S18+2*AQ4509)*LN(1+2*AQ4509/S18)</f>
        <v>#VALUE!</v>
      </c>
    </row>
    <row r="4510" spans="42:44">
      <c r="AP4510" s="1756" t="e">
        <f>IF(OR(AR4510=S13,AR4510&gt;S13),AR4510,"")</f>
        <v>#VALUE!</v>
      </c>
      <c r="AQ4510" s="1759">
        <f t="shared" si="129"/>
        <v>4507</v>
      </c>
      <c r="AR4510" s="1756" t="e">
        <f>0.5*(S18+2*AQ4510)*LN(1+2*AQ4510/S18)</f>
        <v>#VALUE!</v>
      </c>
    </row>
    <row r="4511" spans="42:44">
      <c r="AP4511" s="1756" t="e">
        <f>IF(OR(AR4511=S13,AR4511&gt;S13),AR4511,"")</f>
        <v>#VALUE!</v>
      </c>
      <c r="AQ4511" s="1759">
        <f t="shared" si="129"/>
        <v>4508</v>
      </c>
      <c r="AR4511" s="1756" t="e">
        <f>0.5*(S18+2*AQ4511)*LN(1+2*AQ4511/S18)</f>
        <v>#VALUE!</v>
      </c>
    </row>
    <row r="4512" spans="42:44">
      <c r="AP4512" s="1756" t="e">
        <f>IF(OR(AR4512=S13,AR4512&gt;S13),AR4512,"")</f>
        <v>#VALUE!</v>
      </c>
      <c r="AQ4512" s="1759">
        <f t="shared" si="129"/>
        <v>4509</v>
      </c>
      <c r="AR4512" s="1756" t="e">
        <f>0.5*(S18+2*AQ4512)*LN(1+2*AQ4512/S18)</f>
        <v>#VALUE!</v>
      </c>
    </row>
    <row r="4513" spans="42:44">
      <c r="AP4513" s="1756" t="e">
        <f>IF(OR(AR4513=S13,AR4513&gt;S13),AR4513,"")</f>
        <v>#VALUE!</v>
      </c>
      <c r="AQ4513" s="1759">
        <f t="shared" si="129"/>
        <v>4510</v>
      </c>
      <c r="AR4513" s="1756" t="e">
        <f>0.5*(S18+2*AQ4513)*LN(1+2*AQ4513/S18)</f>
        <v>#VALUE!</v>
      </c>
    </row>
    <row r="4514" spans="42:44">
      <c r="AP4514" s="1756" t="e">
        <f>IF(OR(AR4514=S13,AR4514&gt;S13),AR4514,"")</f>
        <v>#VALUE!</v>
      </c>
      <c r="AQ4514" s="1759">
        <f t="shared" si="129"/>
        <v>4511</v>
      </c>
      <c r="AR4514" s="1756" t="e">
        <f>0.5*(S18+2*AQ4514)*LN(1+2*AQ4514/S18)</f>
        <v>#VALUE!</v>
      </c>
    </row>
    <row r="4515" spans="42:44">
      <c r="AP4515" s="1756" t="e">
        <f>IF(OR(AR4515=S13,AR4515&gt;S13),AR4515,"")</f>
        <v>#VALUE!</v>
      </c>
      <c r="AQ4515" s="1759">
        <f t="shared" si="129"/>
        <v>4512</v>
      </c>
      <c r="AR4515" s="1756" t="e">
        <f>0.5*(S18+2*AQ4515)*LN(1+2*AQ4515/S18)</f>
        <v>#VALUE!</v>
      </c>
    </row>
    <row r="4516" spans="42:44">
      <c r="AP4516" s="1756" t="e">
        <f>IF(OR(AR4516=S13,AR4516&gt;S13),AR4516,"")</f>
        <v>#VALUE!</v>
      </c>
      <c r="AQ4516" s="1759">
        <f t="shared" si="129"/>
        <v>4513</v>
      </c>
      <c r="AR4516" s="1756" t="e">
        <f>0.5*(S18+2*AQ4516)*LN(1+2*AQ4516/S18)</f>
        <v>#VALUE!</v>
      </c>
    </row>
    <row r="4517" spans="42:44">
      <c r="AP4517" s="1756" t="e">
        <f>IF(OR(AR4517=S13,AR4517&gt;S13),AR4517,"")</f>
        <v>#VALUE!</v>
      </c>
      <c r="AQ4517" s="1759">
        <f t="shared" si="129"/>
        <v>4514</v>
      </c>
      <c r="AR4517" s="1756" t="e">
        <f>0.5*(S18+2*AQ4517)*LN(1+2*AQ4517/S18)</f>
        <v>#VALUE!</v>
      </c>
    </row>
    <row r="4518" spans="42:44">
      <c r="AP4518" s="1756" t="e">
        <f>IF(OR(AR4518=S13,AR4518&gt;S13),AR4518,"")</f>
        <v>#VALUE!</v>
      </c>
      <c r="AQ4518" s="1759">
        <f t="shared" si="129"/>
        <v>4515</v>
      </c>
      <c r="AR4518" s="1756" t="e">
        <f>0.5*(S18+2*AQ4518)*LN(1+2*AQ4518/S18)</f>
        <v>#VALUE!</v>
      </c>
    </row>
    <row r="4519" spans="42:44">
      <c r="AP4519" s="1756" t="e">
        <f>IF(OR(AR4519=S13,AR4519&gt;S13),AR4519,"")</f>
        <v>#VALUE!</v>
      </c>
      <c r="AQ4519" s="1759">
        <f t="shared" si="129"/>
        <v>4516</v>
      </c>
      <c r="AR4519" s="1756" t="e">
        <f>0.5*(S18+2*AQ4519)*LN(1+2*AQ4519/S18)</f>
        <v>#VALUE!</v>
      </c>
    </row>
    <row r="4520" spans="42:44">
      <c r="AP4520" s="1756" t="e">
        <f>IF(OR(AR4520=S13,AR4520&gt;S13),AR4520,"")</f>
        <v>#VALUE!</v>
      </c>
      <c r="AQ4520" s="1759">
        <f t="shared" si="129"/>
        <v>4517</v>
      </c>
      <c r="AR4520" s="1756" t="e">
        <f>0.5*(S18+2*AQ4520)*LN(1+2*AQ4520/S18)</f>
        <v>#VALUE!</v>
      </c>
    </row>
    <row r="4521" spans="42:44">
      <c r="AP4521" s="1756" t="e">
        <f>IF(OR(AR4521=S13,AR4521&gt;S13),AR4521,"")</f>
        <v>#VALUE!</v>
      </c>
      <c r="AQ4521" s="1759">
        <f t="shared" si="129"/>
        <v>4518</v>
      </c>
      <c r="AR4521" s="1756" t="e">
        <f>0.5*(S18+2*AQ4521)*LN(1+2*AQ4521/S18)</f>
        <v>#VALUE!</v>
      </c>
    </row>
    <row r="4522" spans="42:44">
      <c r="AP4522" s="1756" t="e">
        <f>IF(OR(AR4522=S13,AR4522&gt;S13),AR4522,"")</f>
        <v>#VALUE!</v>
      </c>
      <c r="AQ4522" s="1759">
        <f t="shared" si="129"/>
        <v>4519</v>
      </c>
      <c r="AR4522" s="1756" t="e">
        <f>0.5*(S18+2*AQ4522)*LN(1+2*AQ4522/S18)</f>
        <v>#VALUE!</v>
      </c>
    </row>
    <row r="4523" spans="42:44">
      <c r="AP4523" s="1756" t="e">
        <f>IF(OR(AR4523=S13,AR4523&gt;S13),AR4523,"")</f>
        <v>#VALUE!</v>
      </c>
      <c r="AQ4523" s="1759">
        <f t="shared" si="129"/>
        <v>4520</v>
      </c>
      <c r="AR4523" s="1756" t="e">
        <f>0.5*(S18+2*AQ4523)*LN(1+2*AQ4523/S18)</f>
        <v>#VALUE!</v>
      </c>
    </row>
    <row r="4524" spans="42:44">
      <c r="AP4524" s="1756" t="e">
        <f>IF(OR(AR4524=S13,AR4524&gt;S13),AR4524,"")</f>
        <v>#VALUE!</v>
      </c>
      <c r="AQ4524" s="1759">
        <f t="shared" si="129"/>
        <v>4521</v>
      </c>
      <c r="AR4524" s="1756" t="e">
        <f>0.5*(S18+2*AQ4524)*LN(1+2*AQ4524/S18)</f>
        <v>#VALUE!</v>
      </c>
    </row>
    <row r="4525" spans="42:44">
      <c r="AP4525" s="1756" t="e">
        <f>IF(OR(AR4525=S13,AR4525&gt;S13),AR4525,"")</f>
        <v>#VALUE!</v>
      </c>
      <c r="AQ4525" s="1759">
        <f t="shared" si="129"/>
        <v>4522</v>
      </c>
      <c r="AR4525" s="1756" t="e">
        <f>0.5*(S18+2*AQ4525)*LN(1+2*AQ4525/S18)</f>
        <v>#VALUE!</v>
      </c>
    </row>
    <row r="4526" spans="42:44">
      <c r="AP4526" s="1756" t="e">
        <f>IF(OR(AR4526=S13,AR4526&gt;S13),AR4526,"")</f>
        <v>#VALUE!</v>
      </c>
      <c r="AQ4526" s="1759">
        <f t="shared" si="129"/>
        <v>4523</v>
      </c>
      <c r="AR4526" s="1756" t="e">
        <f>0.5*(S18+2*AQ4526)*LN(1+2*AQ4526/S18)</f>
        <v>#VALUE!</v>
      </c>
    </row>
    <row r="4527" spans="42:44">
      <c r="AP4527" s="1756" t="e">
        <f>IF(OR(AR4527=S13,AR4527&gt;S13),AR4527,"")</f>
        <v>#VALUE!</v>
      </c>
      <c r="AQ4527" s="1759">
        <f t="shared" si="129"/>
        <v>4524</v>
      </c>
      <c r="AR4527" s="1756" t="e">
        <f>0.5*(S18+2*AQ4527)*LN(1+2*AQ4527/S18)</f>
        <v>#VALUE!</v>
      </c>
    </row>
    <row r="4528" spans="42:44">
      <c r="AP4528" s="1756" t="e">
        <f>IF(OR(AR4528=S13,AR4528&gt;S13),AR4528,"")</f>
        <v>#VALUE!</v>
      </c>
      <c r="AQ4528" s="1759">
        <f t="shared" si="129"/>
        <v>4525</v>
      </c>
      <c r="AR4528" s="1756" t="e">
        <f>0.5*(S18+2*AQ4528)*LN(1+2*AQ4528/S18)</f>
        <v>#VALUE!</v>
      </c>
    </row>
    <row r="4529" spans="42:44">
      <c r="AP4529" s="1756" t="e">
        <f>IF(OR(AR4529=S13,AR4529&gt;S13),AR4529,"")</f>
        <v>#VALUE!</v>
      </c>
      <c r="AQ4529" s="1759">
        <f t="shared" si="129"/>
        <v>4526</v>
      </c>
      <c r="AR4529" s="1756" t="e">
        <f>0.5*(S18+2*AQ4529)*LN(1+2*AQ4529/S18)</f>
        <v>#VALUE!</v>
      </c>
    </row>
    <row r="4530" spans="42:44">
      <c r="AP4530" s="1756" t="e">
        <f>IF(OR(AR4530=S13,AR4530&gt;S13),AR4530,"")</f>
        <v>#VALUE!</v>
      </c>
      <c r="AQ4530" s="1759">
        <f t="shared" si="129"/>
        <v>4527</v>
      </c>
      <c r="AR4530" s="1756" t="e">
        <f>0.5*(S18+2*AQ4530)*LN(1+2*AQ4530/S18)</f>
        <v>#VALUE!</v>
      </c>
    </row>
    <row r="4531" spans="42:44">
      <c r="AP4531" s="1756" t="e">
        <f>IF(OR(AR4531=S13,AR4531&gt;S13),AR4531,"")</f>
        <v>#VALUE!</v>
      </c>
      <c r="AQ4531" s="1759">
        <f t="shared" si="129"/>
        <v>4528</v>
      </c>
      <c r="AR4531" s="1756" t="e">
        <f>0.5*(S18+2*AQ4531)*LN(1+2*AQ4531/S18)</f>
        <v>#VALUE!</v>
      </c>
    </row>
    <row r="4532" spans="42:44">
      <c r="AP4532" s="1756" t="e">
        <f>IF(OR(AR4532=S13,AR4532&gt;S13),AR4532,"")</f>
        <v>#VALUE!</v>
      </c>
      <c r="AQ4532" s="1759">
        <f t="shared" si="129"/>
        <v>4529</v>
      </c>
      <c r="AR4532" s="1756" t="e">
        <f>0.5*(S18+2*AQ4532)*LN(1+2*AQ4532/S18)</f>
        <v>#VALUE!</v>
      </c>
    </row>
    <row r="4533" spans="42:44">
      <c r="AP4533" s="1756" t="e">
        <f>IF(OR(AR4533=S13,AR4533&gt;S13),AR4533,"")</f>
        <v>#VALUE!</v>
      </c>
      <c r="AQ4533" s="1759">
        <f t="shared" si="129"/>
        <v>4530</v>
      </c>
      <c r="AR4533" s="1756" t="e">
        <f>0.5*(S18+2*AQ4533)*LN(1+2*AQ4533/S18)</f>
        <v>#VALUE!</v>
      </c>
    </row>
    <row r="4534" spans="42:44">
      <c r="AP4534" s="1756" t="e">
        <f>IF(OR(AR4534=S13,AR4534&gt;S13),AR4534,"")</f>
        <v>#VALUE!</v>
      </c>
      <c r="AQ4534" s="1759">
        <f t="shared" si="129"/>
        <v>4531</v>
      </c>
      <c r="AR4534" s="1756" t="e">
        <f>0.5*(S18+2*AQ4534)*LN(1+2*AQ4534/S18)</f>
        <v>#VALUE!</v>
      </c>
    </row>
    <row r="4535" spans="42:44">
      <c r="AP4535" s="1756" t="e">
        <f>IF(OR(AR4535=S13,AR4535&gt;S13),AR4535,"")</f>
        <v>#VALUE!</v>
      </c>
      <c r="AQ4535" s="1759">
        <f t="shared" si="129"/>
        <v>4532</v>
      </c>
      <c r="AR4535" s="1756" t="e">
        <f>0.5*(S18+2*AQ4535)*LN(1+2*AQ4535/S18)</f>
        <v>#VALUE!</v>
      </c>
    </row>
    <row r="4536" spans="42:44">
      <c r="AP4536" s="1756" t="e">
        <f>IF(OR(AR4536=S13,AR4536&gt;S13),AR4536,"")</f>
        <v>#VALUE!</v>
      </c>
      <c r="AQ4536" s="1759">
        <f t="shared" si="129"/>
        <v>4533</v>
      </c>
      <c r="AR4536" s="1756" t="e">
        <f>0.5*(S18+2*AQ4536)*LN(1+2*AQ4536/S18)</f>
        <v>#VALUE!</v>
      </c>
    </row>
    <row r="4537" spans="42:44">
      <c r="AP4537" s="1756" t="e">
        <f>IF(OR(AR4537=S13,AR4537&gt;S13),AR4537,"")</f>
        <v>#VALUE!</v>
      </c>
      <c r="AQ4537" s="1759">
        <f t="shared" si="129"/>
        <v>4534</v>
      </c>
      <c r="AR4537" s="1756" t="e">
        <f>0.5*(S18+2*AQ4537)*LN(1+2*AQ4537/S18)</f>
        <v>#VALUE!</v>
      </c>
    </row>
    <row r="4538" spans="42:44">
      <c r="AP4538" s="1756" t="e">
        <f>IF(OR(AR4538=S13,AR4538&gt;S13),AR4538,"")</f>
        <v>#VALUE!</v>
      </c>
      <c r="AQ4538" s="1759">
        <f t="shared" si="129"/>
        <v>4535</v>
      </c>
      <c r="AR4538" s="1756" t="e">
        <f>0.5*(S18+2*AQ4538)*LN(1+2*AQ4538/S18)</f>
        <v>#VALUE!</v>
      </c>
    </row>
    <row r="4539" spans="42:44">
      <c r="AP4539" s="1756" t="e">
        <f>IF(OR(AR4539=S13,AR4539&gt;S13),AR4539,"")</f>
        <v>#VALUE!</v>
      </c>
      <c r="AQ4539" s="1759">
        <f t="shared" si="129"/>
        <v>4536</v>
      </c>
      <c r="AR4539" s="1756" t="e">
        <f>0.5*(S18+2*AQ4539)*LN(1+2*AQ4539/S18)</f>
        <v>#VALUE!</v>
      </c>
    </row>
    <row r="4540" spans="42:44">
      <c r="AP4540" s="1756" t="e">
        <f>IF(OR(AR4540=S13,AR4540&gt;S13),AR4540,"")</f>
        <v>#VALUE!</v>
      </c>
      <c r="AQ4540" s="1759">
        <f t="shared" si="129"/>
        <v>4537</v>
      </c>
      <c r="AR4540" s="1756" t="e">
        <f>0.5*(S18+2*AQ4540)*LN(1+2*AQ4540/S18)</f>
        <v>#VALUE!</v>
      </c>
    </row>
    <row r="4541" spans="42:44">
      <c r="AP4541" s="1756" t="e">
        <f>IF(OR(AR4541=S13,AR4541&gt;S13),AR4541,"")</f>
        <v>#VALUE!</v>
      </c>
      <c r="AQ4541" s="1759">
        <f t="shared" si="129"/>
        <v>4538</v>
      </c>
      <c r="AR4541" s="1756" t="e">
        <f>0.5*(S18+2*AQ4541)*LN(1+2*AQ4541/S18)</f>
        <v>#VALUE!</v>
      </c>
    </row>
    <row r="4542" spans="42:44">
      <c r="AP4542" s="1756" t="e">
        <f>IF(OR(AR4542=S13,AR4542&gt;S13),AR4542,"")</f>
        <v>#VALUE!</v>
      </c>
      <c r="AQ4542" s="1759">
        <f t="shared" si="129"/>
        <v>4539</v>
      </c>
      <c r="AR4542" s="1756" t="e">
        <f>0.5*(S18+2*AQ4542)*LN(1+2*AQ4542/S18)</f>
        <v>#VALUE!</v>
      </c>
    </row>
    <row r="4543" spans="42:44">
      <c r="AP4543" s="1756" t="e">
        <f>IF(OR(AR4543=S13,AR4543&gt;S13),AR4543,"")</f>
        <v>#VALUE!</v>
      </c>
      <c r="AQ4543" s="1759">
        <f t="shared" si="129"/>
        <v>4540</v>
      </c>
      <c r="AR4543" s="1756" t="e">
        <f>0.5*(S18+2*AQ4543)*LN(1+2*AQ4543/S18)</f>
        <v>#VALUE!</v>
      </c>
    </row>
    <row r="4544" spans="42:44">
      <c r="AP4544" s="1756" t="e">
        <f>IF(OR(AR4544=S13,AR4544&gt;S13),AR4544,"")</f>
        <v>#VALUE!</v>
      </c>
      <c r="AQ4544" s="1759">
        <f t="shared" si="129"/>
        <v>4541</v>
      </c>
      <c r="AR4544" s="1756" t="e">
        <f>0.5*(S18+2*AQ4544)*LN(1+2*AQ4544/S18)</f>
        <v>#VALUE!</v>
      </c>
    </row>
    <row r="4545" spans="42:44">
      <c r="AP4545" s="1756" t="e">
        <f>IF(OR(AR4545=S13,AR4545&gt;S13),AR4545,"")</f>
        <v>#VALUE!</v>
      </c>
      <c r="AQ4545" s="1759">
        <f t="shared" si="129"/>
        <v>4542</v>
      </c>
      <c r="AR4545" s="1756" t="e">
        <f>0.5*(S18+2*AQ4545)*LN(1+2*AQ4545/S18)</f>
        <v>#VALUE!</v>
      </c>
    </row>
    <row r="4546" spans="42:44">
      <c r="AP4546" s="1756" t="e">
        <f>IF(OR(AR4546=S13,AR4546&gt;S13),AR4546,"")</f>
        <v>#VALUE!</v>
      </c>
      <c r="AQ4546" s="1759">
        <f t="shared" si="129"/>
        <v>4543</v>
      </c>
      <c r="AR4546" s="1756" t="e">
        <f>0.5*(S18+2*AQ4546)*LN(1+2*AQ4546/S18)</f>
        <v>#VALUE!</v>
      </c>
    </row>
    <row r="4547" spans="42:44">
      <c r="AP4547" s="1756" t="e">
        <f>IF(OR(AR4547=S13,AR4547&gt;S13),AR4547,"")</f>
        <v>#VALUE!</v>
      </c>
      <c r="AQ4547" s="1759">
        <f t="shared" si="129"/>
        <v>4544</v>
      </c>
      <c r="AR4547" s="1756" t="e">
        <f>0.5*(S18+2*AQ4547)*LN(1+2*AQ4547/S18)</f>
        <v>#VALUE!</v>
      </c>
    </row>
    <row r="4548" spans="42:44">
      <c r="AP4548" s="1756" t="e">
        <f>IF(OR(AR4548=S13,AR4548&gt;S13),AR4548,"")</f>
        <v>#VALUE!</v>
      </c>
      <c r="AQ4548" s="1759">
        <f t="shared" si="129"/>
        <v>4545</v>
      </c>
      <c r="AR4548" s="1756" t="e">
        <f>0.5*(S18+2*AQ4548)*LN(1+2*AQ4548/S18)</f>
        <v>#VALUE!</v>
      </c>
    </row>
    <row r="4549" spans="42:44">
      <c r="AP4549" s="1756" t="e">
        <f>IF(OR(AR4549=S13,AR4549&gt;S13),AR4549,"")</f>
        <v>#VALUE!</v>
      </c>
      <c r="AQ4549" s="1759">
        <f t="shared" si="129"/>
        <v>4546</v>
      </c>
      <c r="AR4549" s="1756" t="e">
        <f>0.5*(S18+2*AQ4549)*LN(1+2*AQ4549/S18)</f>
        <v>#VALUE!</v>
      </c>
    </row>
    <row r="4550" spans="42:44">
      <c r="AP4550" s="1756" t="e">
        <f>IF(OR(AR4550=S13,AR4550&gt;S13),AR4550,"")</f>
        <v>#VALUE!</v>
      </c>
      <c r="AQ4550" s="1759">
        <f t="shared" ref="AQ4550:AQ4613" si="130">AQ4549+1</f>
        <v>4547</v>
      </c>
      <c r="AR4550" s="1756" t="e">
        <f>0.5*(S18+2*AQ4550)*LN(1+2*AQ4550/S18)</f>
        <v>#VALUE!</v>
      </c>
    </row>
    <row r="4551" spans="42:44">
      <c r="AP4551" s="1756" t="e">
        <f>IF(OR(AR4551=S13,AR4551&gt;S13),AR4551,"")</f>
        <v>#VALUE!</v>
      </c>
      <c r="AQ4551" s="1759">
        <f t="shared" si="130"/>
        <v>4548</v>
      </c>
      <c r="AR4551" s="1756" t="e">
        <f>0.5*(S18+2*AQ4551)*LN(1+2*AQ4551/S18)</f>
        <v>#VALUE!</v>
      </c>
    </row>
    <row r="4552" spans="42:44">
      <c r="AP4552" s="1756" t="e">
        <f>IF(OR(AR4552=S13,AR4552&gt;S13),AR4552,"")</f>
        <v>#VALUE!</v>
      </c>
      <c r="AQ4552" s="1759">
        <f t="shared" si="130"/>
        <v>4549</v>
      </c>
      <c r="AR4552" s="1756" t="e">
        <f>0.5*(S18+2*AQ4552)*LN(1+2*AQ4552/S18)</f>
        <v>#VALUE!</v>
      </c>
    </row>
    <row r="4553" spans="42:44">
      <c r="AP4553" s="1756" t="e">
        <f>IF(OR(AR4553=S13,AR4553&gt;S13),AR4553,"")</f>
        <v>#VALUE!</v>
      </c>
      <c r="AQ4553" s="1759">
        <f t="shared" si="130"/>
        <v>4550</v>
      </c>
      <c r="AR4553" s="1756" t="e">
        <f>0.5*(S18+2*AQ4553)*LN(1+2*AQ4553/S18)</f>
        <v>#VALUE!</v>
      </c>
    </row>
    <row r="4554" spans="42:44">
      <c r="AP4554" s="1756" t="e">
        <f>IF(OR(AR4554=S13,AR4554&gt;S13),AR4554,"")</f>
        <v>#VALUE!</v>
      </c>
      <c r="AQ4554" s="1759">
        <f t="shared" si="130"/>
        <v>4551</v>
      </c>
      <c r="AR4554" s="1756" t="e">
        <f>0.5*(S18+2*AQ4554)*LN(1+2*AQ4554/S18)</f>
        <v>#VALUE!</v>
      </c>
    </row>
    <row r="4555" spans="42:44">
      <c r="AP4555" s="1756" t="e">
        <f>IF(OR(AR4555=S13,AR4555&gt;S13),AR4555,"")</f>
        <v>#VALUE!</v>
      </c>
      <c r="AQ4555" s="1759">
        <f t="shared" si="130"/>
        <v>4552</v>
      </c>
      <c r="AR4555" s="1756" t="e">
        <f>0.5*(S18+2*AQ4555)*LN(1+2*AQ4555/S18)</f>
        <v>#VALUE!</v>
      </c>
    </row>
    <row r="4556" spans="42:44">
      <c r="AP4556" s="1756" t="e">
        <f>IF(OR(AR4556=S13,AR4556&gt;S13),AR4556,"")</f>
        <v>#VALUE!</v>
      </c>
      <c r="AQ4556" s="1759">
        <f t="shared" si="130"/>
        <v>4553</v>
      </c>
      <c r="AR4556" s="1756" t="e">
        <f>0.5*(S18+2*AQ4556)*LN(1+2*AQ4556/S18)</f>
        <v>#VALUE!</v>
      </c>
    </row>
    <row r="4557" spans="42:44">
      <c r="AP4557" s="1756" t="e">
        <f>IF(OR(AR4557=S13,AR4557&gt;S13),AR4557,"")</f>
        <v>#VALUE!</v>
      </c>
      <c r="AQ4557" s="1759">
        <f t="shared" si="130"/>
        <v>4554</v>
      </c>
      <c r="AR4557" s="1756" t="e">
        <f>0.5*(S18+2*AQ4557)*LN(1+2*AQ4557/S18)</f>
        <v>#VALUE!</v>
      </c>
    </row>
    <row r="4558" spans="42:44">
      <c r="AP4558" s="1756" t="e">
        <f>IF(OR(AR4558=S13,AR4558&gt;S13),AR4558,"")</f>
        <v>#VALUE!</v>
      </c>
      <c r="AQ4558" s="1759">
        <f t="shared" si="130"/>
        <v>4555</v>
      </c>
      <c r="AR4558" s="1756" t="e">
        <f>0.5*(S18+2*AQ4558)*LN(1+2*AQ4558/S18)</f>
        <v>#VALUE!</v>
      </c>
    </row>
    <row r="4559" spans="42:44">
      <c r="AP4559" s="1756" t="e">
        <f>IF(OR(AR4559=S13,AR4559&gt;S13),AR4559,"")</f>
        <v>#VALUE!</v>
      </c>
      <c r="AQ4559" s="1759">
        <f t="shared" si="130"/>
        <v>4556</v>
      </c>
      <c r="AR4559" s="1756" t="e">
        <f>0.5*(S18+2*AQ4559)*LN(1+2*AQ4559/S18)</f>
        <v>#VALUE!</v>
      </c>
    </row>
    <row r="4560" spans="42:44">
      <c r="AP4560" s="1756" t="e">
        <f>IF(OR(AR4560=S13,AR4560&gt;S13),AR4560,"")</f>
        <v>#VALUE!</v>
      </c>
      <c r="AQ4560" s="1759">
        <f t="shared" si="130"/>
        <v>4557</v>
      </c>
      <c r="AR4560" s="1756" t="e">
        <f>0.5*(S18+2*AQ4560)*LN(1+2*AQ4560/S18)</f>
        <v>#VALUE!</v>
      </c>
    </row>
    <row r="4561" spans="42:44">
      <c r="AP4561" s="1756" t="e">
        <f>IF(OR(AR4561=S13,AR4561&gt;S13),AR4561,"")</f>
        <v>#VALUE!</v>
      </c>
      <c r="AQ4561" s="1759">
        <f t="shared" si="130"/>
        <v>4558</v>
      </c>
      <c r="AR4561" s="1756" t="e">
        <f>0.5*(S18+2*AQ4561)*LN(1+2*AQ4561/S18)</f>
        <v>#VALUE!</v>
      </c>
    </row>
    <row r="4562" spans="42:44">
      <c r="AP4562" s="1756" t="e">
        <f>IF(OR(AR4562=S13,AR4562&gt;S13),AR4562,"")</f>
        <v>#VALUE!</v>
      </c>
      <c r="AQ4562" s="1759">
        <f t="shared" si="130"/>
        <v>4559</v>
      </c>
      <c r="AR4562" s="1756" t="e">
        <f>0.5*(S18+2*AQ4562)*LN(1+2*AQ4562/S18)</f>
        <v>#VALUE!</v>
      </c>
    </row>
    <row r="4563" spans="42:44">
      <c r="AP4563" s="1756" t="e">
        <f>IF(OR(AR4563=S13,AR4563&gt;S13),AR4563,"")</f>
        <v>#VALUE!</v>
      </c>
      <c r="AQ4563" s="1759">
        <f t="shared" si="130"/>
        <v>4560</v>
      </c>
      <c r="AR4563" s="1756" t="e">
        <f>0.5*(S18+2*AQ4563)*LN(1+2*AQ4563/S18)</f>
        <v>#VALUE!</v>
      </c>
    </row>
    <row r="4564" spans="42:44">
      <c r="AP4564" s="1756" t="e">
        <f>IF(OR(AR4564=S13,AR4564&gt;S13),AR4564,"")</f>
        <v>#VALUE!</v>
      </c>
      <c r="AQ4564" s="1759">
        <f t="shared" si="130"/>
        <v>4561</v>
      </c>
      <c r="AR4564" s="1756" t="e">
        <f>0.5*(S18+2*AQ4564)*LN(1+2*AQ4564/S18)</f>
        <v>#VALUE!</v>
      </c>
    </row>
    <row r="4565" spans="42:44">
      <c r="AP4565" s="1756" t="e">
        <f>IF(OR(AR4565=S13,AR4565&gt;S13),AR4565,"")</f>
        <v>#VALUE!</v>
      </c>
      <c r="AQ4565" s="1759">
        <f t="shared" si="130"/>
        <v>4562</v>
      </c>
      <c r="AR4565" s="1756" t="e">
        <f>0.5*(S18+2*AQ4565)*LN(1+2*AQ4565/S18)</f>
        <v>#VALUE!</v>
      </c>
    </row>
    <row r="4566" spans="42:44">
      <c r="AP4566" s="1756" t="e">
        <f>IF(OR(AR4566=S13,AR4566&gt;S13),AR4566,"")</f>
        <v>#VALUE!</v>
      </c>
      <c r="AQ4566" s="1759">
        <f t="shared" si="130"/>
        <v>4563</v>
      </c>
      <c r="AR4566" s="1756" t="e">
        <f>0.5*(S18+2*AQ4566)*LN(1+2*AQ4566/S18)</f>
        <v>#VALUE!</v>
      </c>
    </row>
    <row r="4567" spans="42:44">
      <c r="AP4567" s="1756" t="e">
        <f>IF(OR(AR4567=S13,AR4567&gt;S13),AR4567,"")</f>
        <v>#VALUE!</v>
      </c>
      <c r="AQ4567" s="1759">
        <f t="shared" si="130"/>
        <v>4564</v>
      </c>
      <c r="AR4567" s="1756" t="e">
        <f>0.5*(S18+2*AQ4567)*LN(1+2*AQ4567/S18)</f>
        <v>#VALUE!</v>
      </c>
    </row>
    <row r="4568" spans="42:44">
      <c r="AP4568" s="1756" t="e">
        <f>IF(OR(AR4568=S13,AR4568&gt;S13),AR4568,"")</f>
        <v>#VALUE!</v>
      </c>
      <c r="AQ4568" s="1759">
        <f t="shared" si="130"/>
        <v>4565</v>
      </c>
      <c r="AR4568" s="1756" t="e">
        <f>0.5*(S18+2*AQ4568)*LN(1+2*AQ4568/S18)</f>
        <v>#VALUE!</v>
      </c>
    </row>
    <row r="4569" spans="42:44">
      <c r="AP4569" s="1756" t="e">
        <f>IF(OR(AR4569=S13,AR4569&gt;S13),AR4569,"")</f>
        <v>#VALUE!</v>
      </c>
      <c r="AQ4569" s="1759">
        <f t="shared" si="130"/>
        <v>4566</v>
      </c>
      <c r="AR4569" s="1756" t="e">
        <f>0.5*(S18+2*AQ4569)*LN(1+2*AQ4569/S18)</f>
        <v>#VALUE!</v>
      </c>
    </row>
    <row r="4570" spans="42:44">
      <c r="AP4570" s="1756" t="e">
        <f>IF(OR(AR4570=S13,AR4570&gt;S13),AR4570,"")</f>
        <v>#VALUE!</v>
      </c>
      <c r="AQ4570" s="1759">
        <f t="shared" si="130"/>
        <v>4567</v>
      </c>
      <c r="AR4570" s="1756" t="e">
        <f>0.5*(S18+2*AQ4570)*LN(1+2*AQ4570/S18)</f>
        <v>#VALUE!</v>
      </c>
    </row>
    <row r="4571" spans="42:44">
      <c r="AP4571" s="1756" t="e">
        <f>IF(OR(AR4571=S13,AR4571&gt;S13),AR4571,"")</f>
        <v>#VALUE!</v>
      </c>
      <c r="AQ4571" s="1759">
        <f t="shared" si="130"/>
        <v>4568</v>
      </c>
      <c r="AR4571" s="1756" t="e">
        <f>0.5*(S18+2*AQ4571)*LN(1+2*AQ4571/S18)</f>
        <v>#VALUE!</v>
      </c>
    </row>
    <row r="4572" spans="42:44">
      <c r="AP4572" s="1756" t="e">
        <f>IF(OR(AR4572=S13,AR4572&gt;S13),AR4572,"")</f>
        <v>#VALUE!</v>
      </c>
      <c r="AQ4572" s="1759">
        <f t="shared" si="130"/>
        <v>4569</v>
      </c>
      <c r="AR4572" s="1756" t="e">
        <f>0.5*(S18+2*AQ4572)*LN(1+2*AQ4572/S18)</f>
        <v>#VALUE!</v>
      </c>
    </row>
    <row r="4573" spans="42:44">
      <c r="AP4573" s="1756" t="e">
        <f>IF(OR(AR4573=S13,AR4573&gt;S13),AR4573,"")</f>
        <v>#VALUE!</v>
      </c>
      <c r="AQ4573" s="1759">
        <f t="shared" si="130"/>
        <v>4570</v>
      </c>
      <c r="AR4573" s="1756" t="e">
        <f>0.5*(S18+2*AQ4573)*LN(1+2*AQ4573/S18)</f>
        <v>#VALUE!</v>
      </c>
    </row>
    <row r="4574" spans="42:44">
      <c r="AP4574" s="1756" t="e">
        <f>IF(OR(AR4574=S13,AR4574&gt;S13),AR4574,"")</f>
        <v>#VALUE!</v>
      </c>
      <c r="AQ4574" s="1759">
        <f t="shared" si="130"/>
        <v>4571</v>
      </c>
      <c r="AR4574" s="1756" t="e">
        <f>0.5*(S18+2*AQ4574)*LN(1+2*AQ4574/S18)</f>
        <v>#VALUE!</v>
      </c>
    </row>
    <row r="4575" spans="42:44">
      <c r="AP4575" s="1756" t="e">
        <f>IF(OR(AR4575=S13,AR4575&gt;S13),AR4575,"")</f>
        <v>#VALUE!</v>
      </c>
      <c r="AQ4575" s="1759">
        <f t="shared" si="130"/>
        <v>4572</v>
      </c>
      <c r="AR4575" s="1756" t="e">
        <f>0.5*(S18+2*AQ4575)*LN(1+2*AQ4575/S18)</f>
        <v>#VALUE!</v>
      </c>
    </row>
    <row r="4576" spans="42:44">
      <c r="AP4576" s="1756" t="e">
        <f>IF(OR(AR4576=S13,AR4576&gt;S13),AR4576,"")</f>
        <v>#VALUE!</v>
      </c>
      <c r="AQ4576" s="1759">
        <f t="shared" si="130"/>
        <v>4573</v>
      </c>
      <c r="AR4576" s="1756" t="e">
        <f>0.5*(S18+2*AQ4576)*LN(1+2*AQ4576/S18)</f>
        <v>#VALUE!</v>
      </c>
    </row>
    <row r="4577" spans="42:44">
      <c r="AP4577" s="1756" t="e">
        <f>IF(OR(AR4577=S13,AR4577&gt;S13),AR4577,"")</f>
        <v>#VALUE!</v>
      </c>
      <c r="AQ4577" s="1759">
        <f t="shared" si="130"/>
        <v>4574</v>
      </c>
      <c r="AR4577" s="1756" t="e">
        <f>0.5*(S18+2*AQ4577)*LN(1+2*AQ4577/S18)</f>
        <v>#VALUE!</v>
      </c>
    </row>
    <row r="4578" spans="42:44">
      <c r="AP4578" s="1756" t="e">
        <f>IF(OR(AR4578=S13,AR4578&gt;S13),AR4578,"")</f>
        <v>#VALUE!</v>
      </c>
      <c r="AQ4578" s="1759">
        <f t="shared" si="130"/>
        <v>4575</v>
      </c>
      <c r="AR4578" s="1756" t="e">
        <f>0.5*(S18+2*AQ4578)*LN(1+2*AQ4578/S18)</f>
        <v>#VALUE!</v>
      </c>
    </row>
    <row r="4579" spans="42:44">
      <c r="AP4579" s="1756" t="e">
        <f>IF(OR(AR4579=S13,AR4579&gt;S13),AR4579,"")</f>
        <v>#VALUE!</v>
      </c>
      <c r="AQ4579" s="1759">
        <f t="shared" si="130"/>
        <v>4576</v>
      </c>
      <c r="AR4579" s="1756" t="e">
        <f>0.5*(S18+2*AQ4579)*LN(1+2*AQ4579/S18)</f>
        <v>#VALUE!</v>
      </c>
    </row>
    <row r="4580" spans="42:44">
      <c r="AP4580" s="1756" t="e">
        <f>IF(OR(AR4580=S13,AR4580&gt;S13),AR4580,"")</f>
        <v>#VALUE!</v>
      </c>
      <c r="AQ4580" s="1759">
        <f t="shared" si="130"/>
        <v>4577</v>
      </c>
      <c r="AR4580" s="1756" t="e">
        <f>0.5*(S18+2*AQ4580)*LN(1+2*AQ4580/S18)</f>
        <v>#VALUE!</v>
      </c>
    </row>
    <row r="4581" spans="42:44">
      <c r="AP4581" s="1756" t="e">
        <f>IF(OR(AR4581=S13,AR4581&gt;S13),AR4581,"")</f>
        <v>#VALUE!</v>
      </c>
      <c r="AQ4581" s="1759">
        <f t="shared" si="130"/>
        <v>4578</v>
      </c>
      <c r="AR4581" s="1756" t="e">
        <f>0.5*(S18+2*AQ4581)*LN(1+2*AQ4581/S18)</f>
        <v>#VALUE!</v>
      </c>
    </row>
    <row r="4582" spans="42:44">
      <c r="AP4582" s="1756" t="e">
        <f>IF(OR(AR4582=S13,AR4582&gt;S13),AR4582,"")</f>
        <v>#VALUE!</v>
      </c>
      <c r="AQ4582" s="1759">
        <f t="shared" si="130"/>
        <v>4579</v>
      </c>
      <c r="AR4582" s="1756" t="e">
        <f>0.5*(S18+2*AQ4582)*LN(1+2*AQ4582/S18)</f>
        <v>#VALUE!</v>
      </c>
    </row>
    <row r="4583" spans="42:44">
      <c r="AP4583" s="1756" t="e">
        <f>IF(OR(AR4583=S13,AR4583&gt;S13),AR4583,"")</f>
        <v>#VALUE!</v>
      </c>
      <c r="AQ4583" s="1759">
        <f t="shared" si="130"/>
        <v>4580</v>
      </c>
      <c r="AR4583" s="1756" t="e">
        <f>0.5*(S18+2*AQ4583)*LN(1+2*AQ4583/S18)</f>
        <v>#VALUE!</v>
      </c>
    </row>
    <row r="4584" spans="42:44">
      <c r="AP4584" s="1756" t="e">
        <f>IF(OR(AR4584=S13,AR4584&gt;S13),AR4584,"")</f>
        <v>#VALUE!</v>
      </c>
      <c r="AQ4584" s="1759">
        <f t="shared" si="130"/>
        <v>4581</v>
      </c>
      <c r="AR4584" s="1756" t="e">
        <f>0.5*(S18+2*AQ4584)*LN(1+2*AQ4584/S18)</f>
        <v>#VALUE!</v>
      </c>
    </row>
    <row r="4585" spans="42:44">
      <c r="AP4585" s="1756" t="e">
        <f>IF(OR(AR4585=S13,AR4585&gt;S13),AR4585,"")</f>
        <v>#VALUE!</v>
      </c>
      <c r="AQ4585" s="1759">
        <f t="shared" si="130"/>
        <v>4582</v>
      </c>
      <c r="AR4585" s="1756" t="e">
        <f>0.5*(S18+2*AQ4585)*LN(1+2*AQ4585/S18)</f>
        <v>#VALUE!</v>
      </c>
    </row>
    <row r="4586" spans="42:44">
      <c r="AP4586" s="1756" t="e">
        <f>IF(OR(AR4586=S13,AR4586&gt;S13),AR4586,"")</f>
        <v>#VALUE!</v>
      </c>
      <c r="AQ4586" s="1759">
        <f t="shared" si="130"/>
        <v>4583</v>
      </c>
      <c r="AR4586" s="1756" t="e">
        <f>0.5*(S18+2*AQ4586)*LN(1+2*AQ4586/S18)</f>
        <v>#VALUE!</v>
      </c>
    </row>
    <row r="4587" spans="42:44">
      <c r="AP4587" s="1756" t="e">
        <f>IF(OR(AR4587=S13,AR4587&gt;S13),AR4587,"")</f>
        <v>#VALUE!</v>
      </c>
      <c r="AQ4587" s="1759">
        <f t="shared" si="130"/>
        <v>4584</v>
      </c>
      <c r="AR4587" s="1756" t="e">
        <f>0.5*(S18+2*AQ4587)*LN(1+2*AQ4587/S18)</f>
        <v>#VALUE!</v>
      </c>
    </row>
    <row r="4588" spans="42:44">
      <c r="AP4588" s="1756" t="e">
        <f>IF(OR(AR4588=S13,AR4588&gt;S13),AR4588,"")</f>
        <v>#VALUE!</v>
      </c>
      <c r="AQ4588" s="1759">
        <f t="shared" si="130"/>
        <v>4585</v>
      </c>
      <c r="AR4588" s="1756" t="e">
        <f>0.5*(S18+2*AQ4588)*LN(1+2*AQ4588/S18)</f>
        <v>#VALUE!</v>
      </c>
    </row>
    <row r="4589" spans="42:44">
      <c r="AP4589" s="1756" t="e">
        <f>IF(OR(AR4589=S13,AR4589&gt;S13),AR4589,"")</f>
        <v>#VALUE!</v>
      </c>
      <c r="AQ4589" s="1759">
        <f t="shared" si="130"/>
        <v>4586</v>
      </c>
      <c r="AR4589" s="1756" t="e">
        <f>0.5*(S18+2*AQ4589)*LN(1+2*AQ4589/S18)</f>
        <v>#VALUE!</v>
      </c>
    </row>
    <row r="4590" spans="42:44">
      <c r="AP4590" s="1756" t="e">
        <f>IF(OR(AR4590=S13,AR4590&gt;S13),AR4590,"")</f>
        <v>#VALUE!</v>
      </c>
      <c r="AQ4590" s="1759">
        <f t="shared" si="130"/>
        <v>4587</v>
      </c>
      <c r="AR4590" s="1756" t="e">
        <f>0.5*(S18+2*AQ4590)*LN(1+2*AQ4590/S18)</f>
        <v>#VALUE!</v>
      </c>
    </row>
    <row r="4591" spans="42:44">
      <c r="AP4591" s="1756" t="e">
        <f>IF(OR(AR4591=S13,AR4591&gt;S13),AR4591,"")</f>
        <v>#VALUE!</v>
      </c>
      <c r="AQ4591" s="1759">
        <f t="shared" si="130"/>
        <v>4588</v>
      </c>
      <c r="AR4591" s="1756" t="e">
        <f>0.5*(S18+2*AQ4591)*LN(1+2*AQ4591/S18)</f>
        <v>#VALUE!</v>
      </c>
    </row>
    <row r="4592" spans="42:44">
      <c r="AP4592" s="1756" t="e">
        <f>IF(OR(AR4592=S13,AR4592&gt;S13),AR4592,"")</f>
        <v>#VALUE!</v>
      </c>
      <c r="AQ4592" s="1759">
        <f t="shared" si="130"/>
        <v>4589</v>
      </c>
      <c r="AR4592" s="1756" t="e">
        <f>0.5*(S18+2*AQ4592)*LN(1+2*AQ4592/S18)</f>
        <v>#VALUE!</v>
      </c>
    </row>
    <row r="4593" spans="42:44">
      <c r="AP4593" s="1756" t="e">
        <f>IF(OR(AR4593=S13,AR4593&gt;S13),AR4593,"")</f>
        <v>#VALUE!</v>
      </c>
      <c r="AQ4593" s="1759">
        <f t="shared" si="130"/>
        <v>4590</v>
      </c>
      <c r="AR4593" s="1756" t="e">
        <f>0.5*(S18+2*AQ4593)*LN(1+2*AQ4593/S18)</f>
        <v>#VALUE!</v>
      </c>
    </row>
    <row r="4594" spans="42:44">
      <c r="AP4594" s="1756" t="e">
        <f>IF(OR(AR4594=S13,AR4594&gt;S13),AR4594,"")</f>
        <v>#VALUE!</v>
      </c>
      <c r="AQ4594" s="1759">
        <f t="shared" si="130"/>
        <v>4591</v>
      </c>
      <c r="AR4594" s="1756" t="e">
        <f>0.5*(S18+2*AQ4594)*LN(1+2*AQ4594/S18)</f>
        <v>#VALUE!</v>
      </c>
    </row>
    <row r="4595" spans="42:44">
      <c r="AP4595" s="1756" t="e">
        <f>IF(OR(AR4595=S13,AR4595&gt;S13),AR4595,"")</f>
        <v>#VALUE!</v>
      </c>
      <c r="AQ4595" s="1759">
        <f t="shared" si="130"/>
        <v>4592</v>
      </c>
      <c r="AR4595" s="1756" t="e">
        <f>0.5*(S18+2*AQ4595)*LN(1+2*AQ4595/S18)</f>
        <v>#VALUE!</v>
      </c>
    </row>
    <row r="4596" spans="42:44">
      <c r="AP4596" s="1756" t="e">
        <f>IF(OR(AR4596=S13,AR4596&gt;S13),AR4596,"")</f>
        <v>#VALUE!</v>
      </c>
      <c r="AQ4596" s="1759">
        <f t="shared" si="130"/>
        <v>4593</v>
      </c>
      <c r="AR4596" s="1756" t="e">
        <f>0.5*(S18+2*AQ4596)*LN(1+2*AQ4596/S18)</f>
        <v>#VALUE!</v>
      </c>
    </row>
    <row r="4597" spans="42:44">
      <c r="AP4597" s="1756" t="e">
        <f>IF(OR(AR4597=S13,AR4597&gt;S13),AR4597,"")</f>
        <v>#VALUE!</v>
      </c>
      <c r="AQ4597" s="1759">
        <f t="shared" si="130"/>
        <v>4594</v>
      </c>
      <c r="AR4597" s="1756" t="e">
        <f>0.5*(S18+2*AQ4597)*LN(1+2*AQ4597/S18)</f>
        <v>#VALUE!</v>
      </c>
    </row>
    <row r="4598" spans="42:44">
      <c r="AP4598" s="1756" t="e">
        <f>IF(OR(AR4598=S13,AR4598&gt;S13),AR4598,"")</f>
        <v>#VALUE!</v>
      </c>
      <c r="AQ4598" s="1759">
        <f t="shared" si="130"/>
        <v>4595</v>
      </c>
      <c r="AR4598" s="1756" t="e">
        <f>0.5*(S18+2*AQ4598)*LN(1+2*AQ4598/S18)</f>
        <v>#VALUE!</v>
      </c>
    </row>
    <row r="4599" spans="42:44">
      <c r="AP4599" s="1756" t="e">
        <f>IF(OR(AR4599=S13,AR4599&gt;S13),AR4599,"")</f>
        <v>#VALUE!</v>
      </c>
      <c r="AQ4599" s="1759">
        <f t="shared" si="130"/>
        <v>4596</v>
      </c>
      <c r="AR4599" s="1756" t="e">
        <f>0.5*(S18+2*AQ4599)*LN(1+2*AQ4599/S18)</f>
        <v>#VALUE!</v>
      </c>
    </row>
    <row r="4600" spans="42:44">
      <c r="AP4600" s="1756" t="e">
        <f>IF(OR(AR4600=S13,AR4600&gt;S13),AR4600,"")</f>
        <v>#VALUE!</v>
      </c>
      <c r="AQ4600" s="1759">
        <f t="shared" si="130"/>
        <v>4597</v>
      </c>
      <c r="AR4600" s="1756" t="e">
        <f>0.5*(S18+2*AQ4600)*LN(1+2*AQ4600/S18)</f>
        <v>#VALUE!</v>
      </c>
    </row>
    <row r="4601" spans="42:44">
      <c r="AP4601" s="1756" t="e">
        <f>IF(OR(AR4601=S13,AR4601&gt;S13),AR4601,"")</f>
        <v>#VALUE!</v>
      </c>
      <c r="AQ4601" s="1759">
        <f t="shared" si="130"/>
        <v>4598</v>
      </c>
      <c r="AR4601" s="1756" t="e">
        <f>0.5*(S18+2*AQ4601)*LN(1+2*AQ4601/S18)</f>
        <v>#VALUE!</v>
      </c>
    </row>
    <row r="4602" spans="42:44">
      <c r="AP4602" s="1756" t="e">
        <f>IF(OR(AR4602=S13,AR4602&gt;S13),AR4602,"")</f>
        <v>#VALUE!</v>
      </c>
      <c r="AQ4602" s="1759">
        <f t="shared" si="130"/>
        <v>4599</v>
      </c>
      <c r="AR4602" s="1756" t="e">
        <f>0.5*(S18+2*AQ4602)*LN(1+2*AQ4602/S18)</f>
        <v>#VALUE!</v>
      </c>
    </row>
    <row r="4603" spans="42:44">
      <c r="AP4603" s="1756" t="e">
        <f>IF(OR(AR4603=S13,AR4603&gt;S13),AR4603,"")</f>
        <v>#VALUE!</v>
      </c>
      <c r="AQ4603" s="1759">
        <f t="shared" si="130"/>
        <v>4600</v>
      </c>
      <c r="AR4603" s="1756" t="e">
        <f>0.5*(S18+2*AQ4603)*LN(1+2*AQ4603/S18)</f>
        <v>#VALUE!</v>
      </c>
    </row>
    <row r="4604" spans="42:44">
      <c r="AP4604" s="1756" t="e">
        <f>IF(OR(AR4604=S13,AR4604&gt;S13),AR4604,"")</f>
        <v>#VALUE!</v>
      </c>
      <c r="AQ4604" s="1759">
        <f t="shared" si="130"/>
        <v>4601</v>
      </c>
      <c r="AR4604" s="1756" t="e">
        <f>0.5*(S18+2*AQ4604)*LN(1+2*AQ4604/S18)</f>
        <v>#VALUE!</v>
      </c>
    </row>
    <row r="4605" spans="42:44">
      <c r="AP4605" s="1756" t="e">
        <f>IF(OR(AR4605=S13,AR4605&gt;S13),AR4605,"")</f>
        <v>#VALUE!</v>
      </c>
      <c r="AQ4605" s="1759">
        <f t="shared" si="130"/>
        <v>4602</v>
      </c>
      <c r="AR4605" s="1756" t="e">
        <f>0.5*(S18+2*AQ4605)*LN(1+2*AQ4605/S18)</f>
        <v>#VALUE!</v>
      </c>
    </row>
    <row r="4606" spans="42:44">
      <c r="AP4606" s="1756" t="e">
        <f>IF(OR(AR4606=S13,AR4606&gt;S13),AR4606,"")</f>
        <v>#VALUE!</v>
      </c>
      <c r="AQ4606" s="1759">
        <f t="shared" si="130"/>
        <v>4603</v>
      </c>
      <c r="AR4606" s="1756" t="e">
        <f>0.5*(S18+2*AQ4606)*LN(1+2*AQ4606/S18)</f>
        <v>#VALUE!</v>
      </c>
    </row>
    <row r="4607" spans="42:44">
      <c r="AP4607" s="1756" t="e">
        <f>IF(OR(AR4607=S13,AR4607&gt;S13),AR4607,"")</f>
        <v>#VALUE!</v>
      </c>
      <c r="AQ4607" s="1759">
        <f t="shared" si="130"/>
        <v>4604</v>
      </c>
      <c r="AR4607" s="1756" t="e">
        <f>0.5*(S18+2*AQ4607)*LN(1+2*AQ4607/S18)</f>
        <v>#VALUE!</v>
      </c>
    </row>
    <row r="4608" spans="42:44">
      <c r="AP4608" s="1756" t="e">
        <f>IF(OR(AR4608=S13,AR4608&gt;S13),AR4608,"")</f>
        <v>#VALUE!</v>
      </c>
      <c r="AQ4608" s="1759">
        <f t="shared" si="130"/>
        <v>4605</v>
      </c>
      <c r="AR4608" s="1756" t="e">
        <f>0.5*(S18+2*AQ4608)*LN(1+2*AQ4608/S18)</f>
        <v>#VALUE!</v>
      </c>
    </row>
    <row r="4609" spans="42:44">
      <c r="AP4609" s="1756" t="e">
        <f>IF(OR(AR4609=S13,AR4609&gt;S13),AR4609,"")</f>
        <v>#VALUE!</v>
      </c>
      <c r="AQ4609" s="1759">
        <f t="shared" si="130"/>
        <v>4606</v>
      </c>
      <c r="AR4609" s="1756" t="e">
        <f>0.5*(S18+2*AQ4609)*LN(1+2*AQ4609/S18)</f>
        <v>#VALUE!</v>
      </c>
    </row>
    <row r="4610" spans="42:44">
      <c r="AP4610" s="1756" t="e">
        <f>IF(OR(AR4610=S13,AR4610&gt;S13),AR4610,"")</f>
        <v>#VALUE!</v>
      </c>
      <c r="AQ4610" s="1759">
        <f t="shared" si="130"/>
        <v>4607</v>
      </c>
      <c r="AR4610" s="1756" t="e">
        <f>0.5*(S18+2*AQ4610)*LN(1+2*AQ4610/S18)</f>
        <v>#VALUE!</v>
      </c>
    </row>
    <row r="4611" spans="42:44">
      <c r="AP4611" s="1756" t="e">
        <f>IF(OR(AR4611=S13,AR4611&gt;S13),AR4611,"")</f>
        <v>#VALUE!</v>
      </c>
      <c r="AQ4611" s="1759">
        <f t="shared" si="130"/>
        <v>4608</v>
      </c>
      <c r="AR4611" s="1756" t="e">
        <f>0.5*(S18+2*AQ4611)*LN(1+2*AQ4611/S18)</f>
        <v>#VALUE!</v>
      </c>
    </row>
    <row r="4612" spans="42:44">
      <c r="AP4612" s="1756" t="e">
        <f>IF(OR(AR4612=S13,AR4612&gt;S13),AR4612,"")</f>
        <v>#VALUE!</v>
      </c>
      <c r="AQ4612" s="1759">
        <f t="shared" si="130"/>
        <v>4609</v>
      </c>
      <c r="AR4612" s="1756" t="e">
        <f>0.5*(S18+2*AQ4612)*LN(1+2*AQ4612/S18)</f>
        <v>#VALUE!</v>
      </c>
    </row>
    <row r="4613" spans="42:44">
      <c r="AP4613" s="1756" t="e">
        <f>IF(OR(AR4613=S13,AR4613&gt;S13),AR4613,"")</f>
        <v>#VALUE!</v>
      </c>
      <c r="AQ4613" s="1759">
        <f t="shared" si="130"/>
        <v>4610</v>
      </c>
      <c r="AR4613" s="1756" t="e">
        <f>0.5*(S18+2*AQ4613)*LN(1+2*AQ4613/S18)</f>
        <v>#VALUE!</v>
      </c>
    </row>
    <row r="4614" spans="42:44">
      <c r="AP4614" s="1756" t="e">
        <f>IF(OR(AR4614=S13,AR4614&gt;S13),AR4614,"")</f>
        <v>#VALUE!</v>
      </c>
      <c r="AQ4614" s="1759">
        <f t="shared" ref="AQ4614:AQ4677" si="131">AQ4613+1</f>
        <v>4611</v>
      </c>
      <c r="AR4614" s="1756" t="e">
        <f>0.5*(S18+2*AQ4614)*LN(1+2*AQ4614/S18)</f>
        <v>#VALUE!</v>
      </c>
    </row>
    <row r="4615" spans="42:44">
      <c r="AP4615" s="1756" t="e">
        <f>IF(OR(AR4615=S13,AR4615&gt;S13),AR4615,"")</f>
        <v>#VALUE!</v>
      </c>
      <c r="AQ4615" s="1759">
        <f t="shared" si="131"/>
        <v>4612</v>
      </c>
      <c r="AR4615" s="1756" t="e">
        <f>0.5*(S18+2*AQ4615)*LN(1+2*AQ4615/S18)</f>
        <v>#VALUE!</v>
      </c>
    </row>
    <row r="4616" spans="42:44">
      <c r="AP4616" s="1756" t="e">
        <f>IF(OR(AR4616=S13,AR4616&gt;S13),AR4616,"")</f>
        <v>#VALUE!</v>
      </c>
      <c r="AQ4616" s="1759">
        <f t="shared" si="131"/>
        <v>4613</v>
      </c>
      <c r="AR4616" s="1756" t="e">
        <f>0.5*(S18+2*AQ4616)*LN(1+2*AQ4616/S18)</f>
        <v>#VALUE!</v>
      </c>
    </row>
    <row r="4617" spans="42:44">
      <c r="AP4617" s="1756" t="e">
        <f>IF(OR(AR4617=S13,AR4617&gt;S13),AR4617,"")</f>
        <v>#VALUE!</v>
      </c>
      <c r="AQ4617" s="1759">
        <f t="shared" si="131"/>
        <v>4614</v>
      </c>
      <c r="AR4617" s="1756" t="e">
        <f>0.5*(S18+2*AQ4617)*LN(1+2*AQ4617/S18)</f>
        <v>#VALUE!</v>
      </c>
    </row>
    <row r="4618" spans="42:44">
      <c r="AP4618" s="1756" t="e">
        <f>IF(OR(AR4618=S13,AR4618&gt;S13),AR4618,"")</f>
        <v>#VALUE!</v>
      </c>
      <c r="AQ4618" s="1759">
        <f t="shared" si="131"/>
        <v>4615</v>
      </c>
      <c r="AR4618" s="1756" t="e">
        <f>0.5*(S18+2*AQ4618)*LN(1+2*AQ4618/S18)</f>
        <v>#VALUE!</v>
      </c>
    </row>
    <row r="4619" spans="42:44">
      <c r="AP4619" s="1756" t="e">
        <f>IF(OR(AR4619=S13,AR4619&gt;S13),AR4619,"")</f>
        <v>#VALUE!</v>
      </c>
      <c r="AQ4619" s="1759">
        <f t="shared" si="131"/>
        <v>4616</v>
      </c>
      <c r="AR4619" s="1756" t="e">
        <f>0.5*(S18+2*AQ4619)*LN(1+2*AQ4619/S18)</f>
        <v>#VALUE!</v>
      </c>
    </row>
    <row r="4620" spans="42:44">
      <c r="AP4620" s="1756" t="e">
        <f>IF(OR(AR4620=S13,AR4620&gt;S13),AR4620,"")</f>
        <v>#VALUE!</v>
      </c>
      <c r="AQ4620" s="1759">
        <f t="shared" si="131"/>
        <v>4617</v>
      </c>
      <c r="AR4620" s="1756" t="e">
        <f>0.5*(S18+2*AQ4620)*LN(1+2*AQ4620/S18)</f>
        <v>#VALUE!</v>
      </c>
    </row>
    <row r="4621" spans="42:44">
      <c r="AP4621" s="1756" t="e">
        <f>IF(OR(AR4621=S13,AR4621&gt;S13),AR4621,"")</f>
        <v>#VALUE!</v>
      </c>
      <c r="AQ4621" s="1759">
        <f t="shared" si="131"/>
        <v>4618</v>
      </c>
      <c r="AR4621" s="1756" t="e">
        <f>0.5*(S18+2*AQ4621)*LN(1+2*AQ4621/S18)</f>
        <v>#VALUE!</v>
      </c>
    </row>
    <row r="4622" spans="42:44">
      <c r="AP4622" s="1756" t="e">
        <f>IF(OR(AR4622=S13,AR4622&gt;S13),AR4622,"")</f>
        <v>#VALUE!</v>
      </c>
      <c r="AQ4622" s="1759">
        <f t="shared" si="131"/>
        <v>4619</v>
      </c>
      <c r="AR4622" s="1756" t="e">
        <f>0.5*(S18+2*AQ4622)*LN(1+2*AQ4622/S18)</f>
        <v>#VALUE!</v>
      </c>
    </row>
    <row r="4623" spans="42:44">
      <c r="AP4623" s="1756" t="e">
        <f>IF(OR(AR4623=S13,AR4623&gt;S13),AR4623,"")</f>
        <v>#VALUE!</v>
      </c>
      <c r="AQ4623" s="1759">
        <f t="shared" si="131"/>
        <v>4620</v>
      </c>
      <c r="AR4623" s="1756" t="e">
        <f>0.5*(S18+2*AQ4623)*LN(1+2*AQ4623/S18)</f>
        <v>#VALUE!</v>
      </c>
    </row>
    <row r="4624" spans="42:44">
      <c r="AP4624" s="1756" t="e">
        <f>IF(OR(AR4624=S13,AR4624&gt;S13),AR4624,"")</f>
        <v>#VALUE!</v>
      </c>
      <c r="AQ4624" s="1759">
        <f t="shared" si="131"/>
        <v>4621</v>
      </c>
      <c r="AR4624" s="1756" t="e">
        <f>0.5*(S18+2*AQ4624)*LN(1+2*AQ4624/S18)</f>
        <v>#VALUE!</v>
      </c>
    </row>
    <row r="4625" spans="42:44">
      <c r="AP4625" s="1756" t="e">
        <f>IF(OR(AR4625=S13,AR4625&gt;S13),AR4625,"")</f>
        <v>#VALUE!</v>
      </c>
      <c r="AQ4625" s="1759">
        <f t="shared" si="131"/>
        <v>4622</v>
      </c>
      <c r="AR4625" s="1756" t="e">
        <f>0.5*(S18+2*AQ4625)*LN(1+2*AQ4625/S18)</f>
        <v>#VALUE!</v>
      </c>
    </row>
    <row r="4626" spans="42:44">
      <c r="AP4626" s="1756" t="e">
        <f>IF(OR(AR4626=S13,AR4626&gt;S13),AR4626,"")</f>
        <v>#VALUE!</v>
      </c>
      <c r="AQ4626" s="1759">
        <f t="shared" si="131"/>
        <v>4623</v>
      </c>
      <c r="AR4626" s="1756" t="e">
        <f>0.5*(S18+2*AQ4626)*LN(1+2*AQ4626/S18)</f>
        <v>#VALUE!</v>
      </c>
    </row>
    <row r="4627" spans="42:44">
      <c r="AP4627" s="1756" t="e">
        <f>IF(OR(AR4627=S13,AR4627&gt;S13),AR4627,"")</f>
        <v>#VALUE!</v>
      </c>
      <c r="AQ4627" s="1759">
        <f t="shared" si="131"/>
        <v>4624</v>
      </c>
      <c r="AR4627" s="1756" t="e">
        <f>0.5*(S18+2*AQ4627)*LN(1+2*AQ4627/S18)</f>
        <v>#VALUE!</v>
      </c>
    </row>
    <row r="4628" spans="42:44">
      <c r="AP4628" s="1756" t="e">
        <f>IF(OR(AR4628=S13,AR4628&gt;S13),AR4628,"")</f>
        <v>#VALUE!</v>
      </c>
      <c r="AQ4628" s="1759">
        <f t="shared" si="131"/>
        <v>4625</v>
      </c>
      <c r="AR4628" s="1756" t="e">
        <f>0.5*(S18+2*AQ4628)*LN(1+2*AQ4628/S18)</f>
        <v>#VALUE!</v>
      </c>
    </row>
    <row r="4629" spans="42:44">
      <c r="AP4629" s="1756" t="e">
        <f>IF(OR(AR4629=S13,AR4629&gt;S13),AR4629,"")</f>
        <v>#VALUE!</v>
      </c>
      <c r="AQ4629" s="1759">
        <f t="shared" si="131"/>
        <v>4626</v>
      </c>
      <c r="AR4629" s="1756" t="e">
        <f>0.5*(S18+2*AQ4629)*LN(1+2*AQ4629/S18)</f>
        <v>#VALUE!</v>
      </c>
    </row>
    <row r="4630" spans="42:44">
      <c r="AP4630" s="1756" t="e">
        <f>IF(OR(AR4630=S13,AR4630&gt;S13),AR4630,"")</f>
        <v>#VALUE!</v>
      </c>
      <c r="AQ4630" s="1759">
        <f t="shared" si="131"/>
        <v>4627</v>
      </c>
      <c r="AR4630" s="1756" t="e">
        <f>0.5*(S18+2*AQ4630)*LN(1+2*AQ4630/S18)</f>
        <v>#VALUE!</v>
      </c>
    </row>
    <row r="4631" spans="42:44">
      <c r="AP4631" s="1756" t="e">
        <f>IF(OR(AR4631=S13,AR4631&gt;S13),AR4631,"")</f>
        <v>#VALUE!</v>
      </c>
      <c r="AQ4631" s="1759">
        <f t="shared" si="131"/>
        <v>4628</v>
      </c>
      <c r="AR4631" s="1756" t="e">
        <f>0.5*(S18+2*AQ4631)*LN(1+2*AQ4631/S18)</f>
        <v>#VALUE!</v>
      </c>
    </row>
    <row r="4632" spans="42:44">
      <c r="AP4632" s="1756" t="e">
        <f>IF(OR(AR4632=S13,AR4632&gt;S13),AR4632,"")</f>
        <v>#VALUE!</v>
      </c>
      <c r="AQ4632" s="1759">
        <f t="shared" si="131"/>
        <v>4629</v>
      </c>
      <c r="AR4632" s="1756" t="e">
        <f>0.5*(S18+2*AQ4632)*LN(1+2*AQ4632/S18)</f>
        <v>#VALUE!</v>
      </c>
    </row>
    <row r="4633" spans="42:44">
      <c r="AP4633" s="1756" t="e">
        <f>IF(OR(AR4633=S13,AR4633&gt;S13),AR4633,"")</f>
        <v>#VALUE!</v>
      </c>
      <c r="AQ4633" s="1759">
        <f t="shared" si="131"/>
        <v>4630</v>
      </c>
      <c r="AR4633" s="1756" t="e">
        <f>0.5*(S18+2*AQ4633)*LN(1+2*AQ4633/S18)</f>
        <v>#VALUE!</v>
      </c>
    </row>
    <row r="4634" spans="42:44">
      <c r="AP4634" s="1756" t="e">
        <f>IF(OR(AR4634=S13,AR4634&gt;S13),AR4634,"")</f>
        <v>#VALUE!</v>
      </c>
      <c r="AQ4634" s="1759">
        <f t="shared" si="131"/>
        <v>4631</v>
      </c>
      <c r="AR4634" s="1756" t="e">
        <f>0.5*(S18+2*AQ4634)*LN(1+2*AQ4634/S18)</f>
        <v>#VALUE!</v>
      </c>
    </row>
    <row r="4635" spans="42:44">
      <c r="AP4635" s="1756" t="e">
        <f>IF(OR(AR4635=S13,AR4635&gt;S13),AR4635,"")</f>
        <v>#VALUE!</v>
      </c>
      <c r="AQ4635" s="1759">
        <f t="shared" si="131"/>
        <v>4632</v>
      </c>
      <c r="AR4635" s="1756" t="e">
        <f>0.5*(S18+2*AQ4635)*LN(1+2*AQ4635/S18)</f>
        <v>#VALUE!</v>
      </c>
    </row>
    <row r="4636" spans="42:44">
      <c r="AP4636" s="1756" t="e">
        <f>IF(OR(AR4636=S13,AR4636&gt;S13),AR4636,"")</f>
        <v>#VALUE!</v>
      </c>
      <c r="AQ4636" s="1759">
        <f t="shared" si="131"/>
        <v>4633</v>
      </c>
      <c r="AR4636" s="1756" t="e">
        <f>0.5*(S18+2*AQ4636)*LN(1+2*AQ4636/S18)</f>
        <v>#VALUE!</v>
      </c>
    </row>
    <row r="4637" spans="42:44">
      <c r="AP4637" s="1756" t="e">
        <f>IF(OR(AR4637=S13,AR4637&gt;S13),AR4637,"")</f>
        <v>#VALUE!</v>
      </c>
      <c r="AQ4637" s="1759">
        <f t="shared" si="131"/>
        <v>4634</v>
      </c>
      <c r="AR4637" s="1756" t="e">
        <f>0.5*(S18+2*AQ4637)*LN(1+2*AQ4637/S18)</f>
        <v>#VALUE!</v>
      </c>
    </row>
    <row r="4638" spans="42:44">
      <c r="AP4638" s="1756" t="e">
        <f>IF(OR(AR4638=S13,AR4638&gt;S13),AR4638,"")</f>
        <v>#VALUE!</v>
      </c>
      <c r="AQ4638" s="1759">
        <f t="shared" si="131"/>
        <v>4635</v>
      </c>
      <c r="AR4638" s="1756" t="e">
        <f>0.5*(S18+2*AQ4638)*LN(1+2*AQ4638/S18)</f>
        <v>#VALUE!</v>
      </c>
    </row>
    <row r="4639" spans="42:44">
      <c r="AP4639" s="1756" t="e">
        <f>IF(OR(AR4639=S13,AR4639&gt;S13),AR4639,"")</f>
        <v>#VALUE!</v>
      </c>
      <c r="AQ4639" s="1759">
        <f t="shared" si="131"/>
        <v>4636</v>
      </c>
      <c r="AR4639" s="1756" t="e">
        <f>0.5*(S18+2*AQ4639)*LN(1+2*AQ4639/S18)</f>
        <v>#VALUE!</v>
      </c>
    </row>
    <row r="4640" spans="42:44">
      <c r="AP4640" s="1756" t="e">
        <f>IF(OR(AR4640=S13,AR4640&gt;S13),AR4640,"")</f>
        <v>#VALUE!</v>
      </c>
      <c r="AQ4640" s="1759">
        <f t="shared" si="131"/>
        <v>4637</v>
      </c>
      <c r="AR4640" s="1756" t="e">
        <f>0.5*(S18+2*AQ4640)*LN(1+2*AQ4640/S18)</f>
        <v>#VALUE!</v>
      </c>
    </row>
    <row r="4641" spans="42:44">
      <c r="AP4641" s="1756" t="e">
        <f>IF(OR(AR4641=S13,AR4641&gt;S13),AR4641,"")</f>
        <v>#VALUE!</v>
      </c>
      <c r="AQ4641" s="1759">
        <f t="shared" si="131"/>
        <v>4638</v>
      </c>
      <c r="AR4641" s="1756" t="e">
        <f>0.5*(S18+2*AQ4641)*LN(1+2*AQ4641/S18)</f>
        <v>#VALUE!</v>
      </c>
    </row>
    <row r="4642" spans="42:44">
      <c r="AP4642" s="1756" t="e">
        <f>IF(OR(AR4642=S13,AR4642&gt;S13),AR4642,"")</f>
        <v>#VALUE!</v>
      </c>
      <c r="AQ4642" s="1759">
        <f t="shared" si="131"/>
        <v>4639</v>
      </c>
      <c r="AR4642" s="1756" t="e">
        <f>0.5*(S18+2*AQ4642)*LN(1+2*AQ4642/S18)</f>
        <v>#VALUE!</v>
      </c>
    </row>
    <row r="4643" spans="42:44">
      <c r="AP4643" s="1756" t="e">
        <f>IF(OR(AR4643=S13,AR4643&gt;S13),AR4643,"")</f>
        <v>#VALUE!</v>
      </c>
      <c r="AQ4643" s="1759">
        <f t="shared" si="131"/>
        <v>4640</v>
      </c>
      <c r="AR4643" s="1756" t="e">
        <f>0.5*(S18+2*AQ4643)*LN(1+2*AQ4643/S18)</f>
        <v>#VALUE!</v>
      </c>
    </row>
    <row r="4644" spans="42:44">
      <c r="AP4644" s="1756" t="e">
        <f>IF(OR(AR4644=S13,AR4644&gt;S13),AR4644,"")</f>
        <v>#VALUE!</v>
      </c>
      <c r="AQ4644" s="1759">
        <f t="shared" si="131"/>
        <v>4641</v>
      </c>
      <c r="AR4644" s="1756" t="e">
        <f>0.5*(S18+2*AQ4644)*LN(1+2*AQ4644/S18)</f>
        <v>#VALUE!</v>
      </c>
    </row>
    <row r="4645" spans="42:44">
      <c r="AP4645" s="1756" t="e">
        <f>IF(OR(AR4645=S13,AR4645&gt;S13),AR4645,"")</f>
        <v>#VALUE!</v>
      </c>
      <c r="AQ4645" s="1759">
        <f t="shared" si="131"/>
        <v>4642</v>
      </c>
      <c r="AR4645" s="1756" t="e">
        <f>0.5*(S18+2*AQ4645)*LN(1+2*AQ4645/S18)</f>
        <v>#VALUE!</v>
      </c>
    </row>
    <row r="4646" spans="42:44">
      <c r="AP4646" s="1756" t="e">
        <f>IF(OR(AR4646=S13,AR4646&gt;S13),AR4646,"")</f>
        <v>#VALUE!</v>
      </c>
      <c r="AQ4646" s="1759">
        <f t="shared" si="131"/>
        <v>4643</v>
      </c>
      <c r="AR4646" s="1756" t="e">
        <f>0.5*(S18+2*AQ4646)*LN(1+2*AQ4646/S18)</f>
        <v>#VALUE!</v>
      </c>
    </row>
    <row r="4647" spans="42:44">
      <c r="AP4647" s="1756" t="e">
        <f>IF(OR(AR4647=S13,AR4647&gt;S13),AR4647,"")</f>
        <v>#VALUE!</v>
      </c>
      <c r="AQ4647" s="1759">
        <f t="shared" si="131"/>
        <v>4644</v>
      </c>
      <c r="AR4647" s="1756" t="e">
        <f>0.5*(S18+2*AQ4647)*LN(1+2*AQ4647/S18)</f>
        <v>#VALUE!</v>
      </c>
    </row>
    <row r="4648" spans="42:44">
      <c r="AP4648" s="1756" t="e">
        <f>IF(OR(AR4648=S13,AR4648&gt;S13),AR4648,"")</f>
        <v>#VALUE!</v>
      </c>
      <c r="AQ4648" s="1759">
        <f t="shared" si="131"/>
        <v>4645</v>
      </c>
      <c r="AR4648" s="1756" t="e">
        <f>0.5*(S18+2*AQ4648)*LN(1+2*AQ4648/S18)</f>
        <v>#VALUE!</v>
      </c>
    </row>
    <row r="4649" spans="42:44">
      <c r="AP4649" s="1756" t="e">
        <f>IF(OR(AR4649=S13,AR4649&gt;S13),AR4649,"")</f>
        <v>#VALUE!</v>
      </c>
      <c r="AQ4649" s="1759">
        <f t="shared" si="131"/>
        <v>4646</v>
      </c>
      <c r="AR4649" s="1756" t="e">
        <f>0.5*(S18+2*AQ4649)*LN(1+2*AQ4649/S18)</f>
        <v>#VALUE!</v>
      </c>
    </row>
    <row r="4650" spans="42:44">
      <c r="AP4650" s="1756" t="e">
        <f>IF(OR(AR4650=S13,AR4650&gt;S13),AR4650,"")</f>
        <v>#VALUE!</v>
      </c>
      <c r="AQ4650" s="1759">
        <f t="shared" si="131"/>
        <v>4647</v>
      </c>
      <c r="AR4650" s="1756" t="e">
        <f>0.5*(S18+2*AQ4650)*LN(1+2*AQ4650/S18)</f>
        <v>#VALUE!</v>
      </c>
    </row>
    <row r="4651" spans="42:44">
      <c r="AP4651" s="1756" t="e">
        <f>IF(OR(AR4651=S13,AR4651&gt;S13),AR4651,"")</f>
        <v>#VALUE!</v>
      </c>
      <c r="AQ4651" s="1759">
        <f t="shared" si="131"/>
        <v>4648</v>
      </c>
      <c r="AR4651" s="1756" t="e">
        <f>0.5*(S18+2*AQ4651)*LN(1+2*AQ4651/S18)</f>
        <v>#VALUE!</v>
      </c>
    </row>
    <row r="4652" spans="42:44">
      <c r="AP4652" s="1756" t="e">
        <f>IF(OR(AR4652=S13,AR4652&gt;S13),AR4652,"")</f>
        <v>#VALUE!</v>
      </c>
      <c r="AQ4652" s="1759">
        <f t="shared" si="131"/>
        <v>4649</v>
      </c>
      <c r="AR4652" s="1756" t="e">
        <f>0.5*(S18+2*AQ4652)*LN(1+2*AQ4652/S18)</f>
        <v>#VALUE!</v>
      </c>
    </row>
    <row r="4653" spans="42:44">
      <c r="AP4653" s="1756" t="e">
        <f>IF(OR(AR4653=S13,AR4653&gt;S13),AR4653,"")</f>
        <v>#VALUE!</v>
      </c>
      <c r="AQ4653" s="1759">
        <f t="shared" si="131"/>
        <v>4650</v>
      </c>
      <c r="AR4653" s="1756" t="e">
        <f>0.5*(S18+2*AQ4653)*LN(1+2*AQ4653/S18)</f>
        <v>#VALUE!</v>
      </c>
    </row>
    <row r="4654" spans="42:44">
      <c r="AP4654" s="1756" t="e">
        <f>IF(OR(AR4654=S13,AR4654&gt;S13),AR4654,"")</f>
        <v>#VALUE!</v>
      </c>
      <c r="AQ4654" s="1759">
        <f t="shared" si="131"/>
        <v>4651</v>
      </c>
      <c r="AR4654" s="1756" t="e">
        <f>0.5*(S18+2*AQ4654)*LN(1+2*AQ4654/S18)</f>
        <v>#VALUE!</v>
      </c>
    </row>
    <row r="4655" spans="42:44">
      <c r="AP4655" s="1756" t="e">
        <f>IF(OR(AR4655=S13,AR4655&gt;S13),AR4655,"")</f>
        <v>#VALUE!</v>
      </c>
      <c r="AQ4655" s="1759">
        <f t="shared" si="131"/>
        <v>4652</v>
      </c>
      <c r="AR4655" s="1756" t="e">
        <f>0.5*(S18+2*AQ4655)*LN(1+2*AQ4655/S18)</f>
        <v>#VALUE!</v>
      </c>
    </row>
    <row r="4656" spans="42:44">
      <c r="AP4656" s="1756" t="e">
        <f>IF(OR(AR4656=S13,AR4656&gt;S13),AR4656,"")</f>
        <v>#VALUE!</v>
      </c>
      <c r="AQ4656" s="1759">
        <f t="shared" si="131"/>
        <v>4653</v>
      </c>
      <c r="AR4656" s="1756" t="e">
        <f>0.5*(S18+2*AQ4656)*LN(1+2*AQ4656/S18)</f>
        <v>#VALUE!</v>
      </c>
    </row>
    <row r="4657" spans="42:44">
      <c r="AP4657" s="1756" t="e">
        <f>IF(OR(AR4657=S13,AR4657&gt;S13),AR4657,"")</f>
        <v>#VALUE!</v>
      </c>
      <c r="AQ4657" s="1759">
        <f t="shared" si="131"/>
        <v>4654</v>
      </c>
      <c r="AR4657" s="1756" t="e">
        <f>0.5*(S18+2*AQ4657)*LN(1+2*AQ4657/S18)</f>
        <v>#VALUE!</v>
      </c>
    </row>
    <row r="4658" spans="42:44">
      <c r="AP4658" s="1756" t="e">
        <f>IF(OR(AR4658=S13,AR4658&gt;S13),AR4658,"")</f>
        <v>#VALUE!</v>
      </c>
      <c r="AQ4658" s="1759">
        <f t="shared" si="131"/>
        <v>4655</v>
      </c>
      <c r="AR4658" s="1756" t="e">
        <f>0.5*(S18+2*AQ4658)*LN(1+2*AQ4658/S18)</f>
        <v>#VALUE!</v>
      </c>
    </row>
    <row r="4659" spans="42:44">
      <c r="AP4659" s="1756" t="e">
        <f>IF(OR(AR4659=S13,AR4659&gt;S13),AR4659,"")</f>
        <v>#VALUE!</v>
      </c>
      <c r="AQ4659" s="1759">
        <f t="shared" si="131"/>
        <v>4656</v>
      </c>
      <c r="AR4659" s="1756" t="e">
        <f>0.5*(S18+2*AQ4659)*LN(1+2*AQ4659/S18)</f>
        <v>#VALUE!</v>
      </c>
    </row>
    <row r="4660" spans="42:44">
      <c r="AP4660" s="1756" t="e">
        <f>IF(OR(AR4660=S13,AR4660&gt;S13),AR4660,"")</f>
        <v>#VALUE!</v>
      </c>
      <c r="AQ4660" s="1759">
        <f t="shared" si="131"/>
        <v>4657</v>
      </c>
      <c r="AR4660" s="1756" t="e">
        <f>0.5*(S18+2*AQ4660)*LN(1+2*AQ4660/S18)</f>
        <v>#VALUE!</v>
      </c>
    </row>
    <row r="4661" spans="42:44">
      <c r="AP4661" s="1756" t="e">
        <f>IF(OR(AR4661=S13,AR4661&gt;S13),AR4661,"")</f>
        <v>#VALUE!</v>
      </c>
      <c r="AQ4661" s="1759">
        <f t="shared" si="131"/>
        <v>4658</v>
      </c>
      <c r="AR4661" s="1756" t="e">
        <f>0.5*(S18+2*AQ4661)*LN(1+2*AQ4661/S18)</f>
        <v>#VALUE!</v>
      </c>
    </row>
    <row r="4662" spans="42:44">
      <c r="AP4662" s="1756" t="e">
        <f>IF(OR(AR4662=S13,AR4662&gt;S13),AR4662,"")</f>
        <v>#VALUE!</v>
      </c>
      <c r="AQ4662" s="1759">
        <f t="shared" si="131"/>
        <v>4659</v>
      </c>
      <c r="AR4662" s="1756" t="e">
        <f>0.5*(S18+2*AQ4662)*LN(1+2*AQ4662/S18)</f>
        <v>#VALUE!</v>
      </c>
    </row>
    <row r="4663" spans="42:44">
      <c r="AP4663" s="1756" t="e">
        <f>IF(OR(AR4663=S13,AR4663&gt;S13),AR4663,"")</f>
        <v>#VALUE!</v>
      </c>
      <c r="AQ4663" s="1759">
        <f t="shared" si="131"/>
        <v>4660</v>
      </c>
      <c r="AR4663" s="1756" t="e">
        <f>0.5*(S18+2*AQ4663)*LN(1+2*AQ4663/S18)</f>
        <v>#VALUE!</v>
      </c>
    </row>
    <row r="4664" spans="42:44">
      <c r="AP4664" s="1756" t="e">
        <f>IF(OR(AR4664=S13,AR4664&gt;S13),AR4664,"")</f>
        <v>#VALUE!</v>
      </c>
      <c r="AQ4664" s="1759">
        <f t="shared" si="131"/>
        <v>4661</v>
      </c>
      <c r="AR4664" s="1756" t="e">
        <f>0.5*(S18+2*AQ4664)*LN(1+2*AQ4664/S18)</f>
        <v>#VALUE!</v>
      </c>
    </row>
    <row r="4665" spans="42:44">
      <c r="AP4665" s="1756" t="e">
        <f>IF(OR(AR4665=S13,AR4665&gt;S13),AR4665,"")</f>
        <v>#VALUE!</v>
      </c>
      <c r="AQ4665" s="1759">
        <f t="shared" si="131"/>
        <v>4662</v>
      </c>
      <c r="AR4665" s="1756" t="e">
        <f>0.5*(S18+2*AQ4665)*LN(1+2*AQ4665/S18)</f>
        <v>#VALUE!</v>
      </c>
    </row>
    <row r="4666" spans="42:44">
      <c r="AP4666" s="1756" t="e">
        <f>IF(OR(AR4666=S13,AR4666&gt;S13),AR4666,"")</f>
        <v>#VALUE!</v>
      </c>
      <c r="AQ4666" s="1759">
        <f t="shared" si="131"/>
        <v>4663</v>
      </c>
      <c r="AR4666" s="1756" t="e">
        <f>0.5*(S18+2*AQ4666)*LN(1+2*AQ4666/S18)</f>
        <v>#VALUE!</v>
      </c>
    </row>
    <row r="4667" spans="42:44">
      <c r="AP4667" s="1756" t="e">
        <f>IF(OR(AR4667=S13,AR4667&gt;S13),AR4667,"")</f>
        <v>#VALUE!</v>
      </c>
      <c r="AQ4667" s="1759">
        <f t="shared" si="131"/>
        <v>4664</v>
      </c>
      <c r="AR4667" s="1756" t="e">
        <f>0.5*(S18+2*AQ4667)*LN(1+2*AQ4667/S18)</f>
        <v>#VALUE!</v>
      </c>
    </row>
    <row r="4668" spans="42:44">
      <c r="AP4668" s="1756" t="e">
        <f>IF(OR(AR4668=S13,AR4668&gt;S13),AR4668,"")</f>
        <v>#VALUE!</v>
      </c>
      <c r="AQ4668" s="1759">
        <f t="shared" si="131"/>
        <v>4665</v>
      </c>
      <c r="AR4668" s="1756" t="e">
        <f>0.5*(S18+2*AQ4668)*LN(1+2*AQ4668/S18)</f>
        <v>#VALUE!</v>
      </c>
    </row>
    <row r="4669" spans="42:44">
      <c r="AP4669" s="1756" t="e">
        <f>IF(OR(AR4669=S13,AR4669&gt;S13),AR4669,"")</f>
        <v>#VALUE!</v>
      </c>
      <c r="AQ4669" s="1759">
        <f t="shared" si="131"/>
        <v>4666</v>
      </c>
      <c r="AR4669" s="1756" t="e">
        <f>0.5*(S18+2*AQ4669)*LN(1+2*AQ4669/S18)</f>
        <v>#VALUE!</v>
      </c>
    </row>
    <row r="4670" spans="42:44">
      <c r="AP4670" s="1756" t="e">
        <f>IF(OR(AR4670=S13,AR4670&gt;S13),AR4670,"")</f>
        <v>#VALUE!</v>
      </c>
      <c r="AQ4670" s="1759">
        <f t="shared" si="131"/>
        <v>4667</v>
      </c>
      <c r="AR4670" s="1756" t="e">
        <f>0.5*(S18+2*AQ4670)*LN(1+2*AQ4670/S18)</f>
        <v>#VALUE!</v>
      </c>
    </row>
    <row r="4671" spans="42:44">
      <c r="AP4671" s="1756" t="e">
        <f>IF(OR(AR4671=S13,AR4671&gt;S13),AR4671,"")</f>
        <v>#VALUE!</v>
      </c>
      <c r="AQ4671" s="1759">
        <f t="shared" si="131"/>
        <v>4668</v>
      </c>
      <c r="AR4671" s="1756" t="e">
        <f>0.5*(S18+2*AQ4671)*LN(1+2*AQ4671/S18)</f>
        <v>#VALUE!</v>
      </c>
    </row>
    <row r="4672" spans="42:44">
      <c r="AP4672" s="1756" t="e">
        <f>IF(OR(AR4672=S13,AR4672&gt;S13),AR4672,"")</f>
        <v>#VALUE!</v>
      </c>
      <c r="AQ4672" s="1759">
        <f t="shared" si="131"/>
        <v>4669</v>
      </c>
      <c r="AR4672" s="1756" t="e">
        <f>0.5*(S18+2*AQ4672)*LN(1+2*AQ4672/S18)</f>
        <v>#VALUE!</v>
      </c>
    </row>
    <row r="4673" spans="42:44">
      <c r="AP4673" s="1756" t="e">
        <f>IF(OR(AR4673=S13,AR4673&gt;S13),AR4673,"")</f>
        <v>#VALUE!</v>
      </c>
      <c r="AQ4673" s="1759">
        <f t="shared" si="131"/>
        <v>4670</v>
      </c>
      <c r="AR4673" s="1756" t="e">
        <f>0.5*(S18+2*AQ4673)*LN(1+2*AQ4673/S18)</f>
        <v>#VALUE!</v>
      </c>
    </row>
    <row r="4674" spans="42:44">
      <c r="AP4674" s="1756" t="e">
        <f>IF(OR(AR4674=S13,AR4674&gt;S13),AR4674,"")</f>
        <v>#VALUE!</v>
      </c>
      <c r="AQ4674" s="1759">
        <f t="shared" si="131"/>
        <v>4671</v>
      </c>
      <c r="AR4674" s="1756" t="e">
        <f>0.5*(S18+2*AQ4674)*LN(1+2*AQ4674/S18)</f>
        <v>#VALUE!</v>
      </c>
    </row>
    <row r="4675" spans="42:44">
      <c r="AP4675" s="1756" t="e">
        <f>IF(OR(AR4675=S13,AR4675&gt;S13),AR4675,"")</f>
        <v>#VALUE!</v>
      </c>
      <c r="AQ4675" s="1759">
        <f t="shared" si="131"/>
        <v>4672</v>
      </c>
      <c r="AR4675" s="1756" t="e">
        <f>0.5*(S18+2*AQ4675)*LN(1+2*AQ4675/S18)</f>
        <v>#VALUE!</v>
      </c>
    </row>
    <row r="4676" spans="42:44">
      <c r="AP4676" s="1756" t="e">
        <f>IF(OR(AR4676=S13,AR4676&gt;S13),AR4676,"")</f>
        <v>#VALUE!</v>
      </c>
      <c r="AQ4676" s="1759">
        <f t="shared" si="131"/>
        <v>4673</v>
      </c>
      <c r="AR4676" s="1756" t="e">
        <f>0.5*(S18+2*AQ4676)*LN(1+2*AQ4676/S18)</f>
        <v>#VALUE!</v>
      </c>
    </row>
    <row r="4677" spans="42:44">
      <c r="AP4677" s="1756" t="e">
        <f>IF(OR(AR4677=S13,AR4677&gt;S13),AR4677,"")</f>
        <v>#VALUE!</v>
      </c>
      <c r="AQ4677" s="1759">
        <f t="shared" si="131"/>
        <v>4674</v>
      </c>
      <c r="AR4677" s="1756" t="e">
        <f>0.5*(S18+2*AQ4677)*LN(1+2*AQ4677/S18)</f>
        <v>#VALUE!</v>
      </c>
    </row>
    <row r="4678" spans="42:44">
      <c r="AP4678" s="1756" t="e">
        <f>IF(OR(AR4678=S13,AR4678&gt;S13),AR4678,"")</f>
        <v>#VALUE!</v>
      </c>
      <c r="AQ4678" s="1759">
        <f t="shared" ref="AQ4678:AQ4741" si="132">AQ4677+1</f>
        <v>4675</v>
      </c>
      <c r="AR4678" s="1756" t="e">
        <f>0.5*(S18+2*AQ4678)*LN(1+2*AQ4678/S18)</f>
        <v>#VALUE!</v>
      </c>
    </row>
    <row r="4679" spans="42:44">
      <c r="AP4679" s="1756" t="e">
        <f>IF(OR(AR4679=S13,AR4679&gt;S13),AR4679,"")</f>
        <v>#VALUE!</v>
      </c>
      <c r="AQ4679" s="1759">
        <f t="shared" si="132"/>
        <v>4676</v>
      </c>
      <c r="AR4679" s="1756" t="e">
        <f>0.5*(S18+2*AQ4679)*LN(1+2*AQ4679/S18)</f>
        <v>#VALUE!</v>
      </c>
    </row>
    <row r="4680" spans="42:44">
      <c r="AP4680" s="1756" t="e">
        <f>IF(OR(AR4680=S13,AR4680&gt;S13),AR4680,"")</f>
        <v>#VALUE!</v>
      </c>
      <c r="AQ4680" s="1759">
        <f t="shared" si="132"/>
        <v>4677</v>
      </c>
      <c r="AR4680" s="1756" t="e">
        <f>0.5*(S18+2*AQ4680)*LN(1+2*AQ4680/S18)</f>
        <v>#VALUE!</v>
      </c>
    </row>
    <row r="4681" spans="42:44">
      <c r="AP4681" s="1756" t="e">
        <f>IF(OR(AR4681=S13,AR4681&gt;S13),AR4681,"")</f>
        <v>#VALUE!</v>
      </c>
      <c r="AQ4681" s="1759">
        <f t="shared" si="132"/>
        <v>4678</v>
      </c>
      <c r="AR4681" s="1756" t="e">
        <f>0.5*(S18+2*AQ4681)*LN(1+2*AQ4681/S18)</f>
        <v>#VALUE!</v>
      </c>
    </row>
    <row r="4682" spans="42:44">
      <c r="AP4682" s="1756" t="e">
        <f>IF(OR(AR4682=S13,AR4682&gt;S13),AR4682,"")</f>
        <v>#VALUE!</v>
      </c>
      <c r="AQ4682" s="1759">
        <f t="shared" si="132"/>
        <v>4679</v>
      </c>
      <c r="AR4682" s="1756" t="e">
        <f>0.5*(S18+2*AQ4682)*LN(1+2*AQ4682/S18)</f>
        <v>#VALUE!</v>
      </c>
    </row>
    <row r="4683" spans="42:44">
      <c r="AP4683" s="1756" t="e">
        <f>IF(OR(AR4683=S13,AR4683&gt;S13),AR4683,"")</f>
        <v>#VALUE!</v>
      </c>
      <c r="AQ4683" s="1759">
        <f t="shared" si="132"/>
        <v>4680</v>
      </c>
      <c r="AR4683" s="1756" t="e">
        <f>0.5*(S18+2*AQ4683)*LN(1+2*AQ4683/S18)</f>
        <v>#VALUE!</v>
      </c>
    </row>
    <row r="4684" spans="42:44">
      <c r="AP4684" s="1756" t="e">
        <f>IF(OR(AR4684=S13,AR4684&gt;S13),AR4684,"")</f>
        <v>#VALUE!</v>
      </c>
      <c r="AQ4684" s="1759">
        <f t="shared" si="132"/>
        <v>4681</v>
      </c>
      <c r="AR4684" s="1756" t="e">
        <f>0.5*(S18+2*AQ4684)*LN(1+2*AQ4684/S18)</f>
        <v>#VALUE!</v>
      </c>
    </row>
    <row r="4685" spans="42:44">
      <c r="AP4685" s="1756" t="e">
        <f>IF(OR(AR4685=S13,AR4685&gt;S13),AR4685,"")</f>
        <v>#VALUE!</v>
      </c>
      <c r="AQ4685" s="1759">
        <f t="shared" si="132"/>
        <v>4682</v>
      </c>
      <c r="AR4685" s="1756" t="e">
        <f>0.5*(S18+2*AQ4685)*LN(1+2*AQ4685/S18)</f>
        <v>#VALUE!</v>
      </c>
    </row>
    <row r="4686" spans="42:44">
      <c r="AP4686" s="1756" t="e">
        <f>IF(OR(AR4686=S13,AR4686&gt;S13),AR4686,"")</f>
        <v>#VALUE!</v>
      </c>
      <c r="AQ4686" s="1759">
        <f t="shared" si="132"/>
        <v>4683</v>
      </c>
      <c r="AR4686" s="1756" t="e">
        <f>0.5*(S18+2*AQ4686)*LN(1+2*AQ4686/S18)</f>
        <v>#VALUE!</v>
      </c>
    </row>
    <row r="4687" spans="42:44">
      <c r="AP4687" s="1756" t="e">
        <f>IF(OR(AR4687=S13,AR4687&gt;S13),AR4687,"")</f>
        <v>#VALUE!</v>
      </c>
      <c r="AQ4687" s="1759">
        <f t="shared" si="132"/>
        <v>4684</v>
      </c>
      <c r="AR4687" s="1756" t="e">
        <f>0.5*(S18+2*AQ4687)*LN(1+2*AQ4687/S18)</f>
        <v>#VALUE!</v>
      </c>
    </row>
    <row r="4688" spans="42:44">
      <c r="AP4688" s="1756" t="e">
        <f>IF(OR(AR4688=S13,AR4688&gt;S13),AR4688,"")</f>
        <v>#VALUE!</v>
      </c>
      <c r="AQ4688" s="1759">
        <f t="shared" si="132"/>
        <v>4685</v>
      </c>
      <c r="AR4688" s="1756" t="e">
        <f>0.5*(S18+2*AQ4688)*LN(1+2*AQ4688/S18)</f>
        <v>#VALUE!</v>
      </c>
    </row>
    <row r="4689" spans="42:44">
      <c r="AP4689" s="1756" t="e">
        <f>IF(OR(AR4689=S13,AR4689&gt;S13),AR4689,"")</f>
        <v>#VALUE!</v>
      </c>
      <c r="AQ4689" s="1759">
        <f t="shared" si="132"/>
        <v>4686</v>
      </c>
      <c r="AR4689" s="1756" t="e">
        <f>0.5*(S18+2*AQ4689)*LN(1+2*AQ4689/S18)</f>
        <v>#VALUE!</v>
      </c>
    </row>
    <row r="4690" spans="42:44">
      <c r="AP4690" s="1756" t="e">
        <f>IF(OR(AR4690=S13,AR4690&gt;S13),AR4690,"")</f>
        <v>#VALUE!</v>
      </c>
      <c r="AQ4690" s="1759">
        <f t="shared" si="132"/>
        <v>4687</v>
      </c>
      <c r="AR4690" s="1756" t="e">
        <f>0.5*(S18+2*AQ4690)*LN(1+2*AQ4690/S18)</f>
        <v>#VALUE!</v>
      </c>
    </row>
    <row r="4691" spans="42:44">
      <c r="AP4691" s="1756" t="e">
        <f>IF(OR(AR4691=S13,AR4691&gt;S13),AR4691,"")</f>
        <v>#VALUE!</v>
      </c>
      <c r="AQ4691" s="1759">
        <f t="shared" si="132"/>
        <v>4688</v>
      </c>
      <c r="AR4691" s="1756" t="e">
        <f>0.5*(S18+2*AQ4691)*LN(1+2*AQ4691/S18)</f>
        <v>#VALUE!</v>
      </c>
    </row>
    <row r="4692" spans="42:44">
      <c r="AP4692" s="1756" t="e">
        <f>IF(OR(AR4692=S13,AR4692&gt;S13),AR4692,"")</f>
        <v>#VALUE!</v>
      </c>
      <c r="AQ4692" s="1759">
        <f t="shared" si="132"/>
        <v>4689</v>
      </c>
      <c r="AR4692" s="1756" t="e">
        <f>0.5*(S18+2*AQ4692)*LN(1+2*AQ4692/S18)</f>
        <v>#VALUE!</v>
      </c>
    </row>
    <row r="4693" spans="42:44">
      <c r="AP4693" s="1756" t="e">
        <f>IF(OR(AR4693=S13,AR4693&gt;S13),AR4693,"")</f>
        <v>#VALUE!</v>
      </c>
      <c r="AQ4693" s="1759">
        <f t="shared" si="132"/>
        <v>4690</v>
      </c>
      <c r="AR4693" s="1756" t="e">
        <f>0.5*(S18+2*AQ4693)*LN(1+2*AQ4693/S18)</f>
        <v>#VALUE!</v>
      </c>
    </row>
    <row r="4694" spans="42:44">
      <c r="AP4694" s="1756" t="e">
        <f>IF(OR(AR4694=S13,AR4694&gt;S13),AR4694,"")</f>
        <v>#VALUE!</v>
      </c>
      <c r="AQ4694" s="1759">
        <f t="shared" si="132"/>
        <v>4691</v>
      </c>
      <c r="AR4694" s="1756" t="e">
        <f>0.5*(S18+2*AQ4694)*LN(1+2*AQ4694/S18)</f>
        <v>#VALUE!</v>
      </c>
    </row>
    <row r="4695" spans="42:44">
      <c r="AP4695" s="1756" t="e">
        <f>IF(OR(AR4695=S13,AR4695&gt;S13),AR4695,"")</f>
        <v>#VALUE!</v>
      </c>
      <c r="AQ4695" s="1759">
        <f t="shared" si="132"/>
        <v>4692</v>
      </c>
      <c r="AR4695" s="1756" t="e">
        <f>0.5*(S18+2*AQ4695)*LN(1+2*AQ4695/S18)</f>
        <v>#VALUE!</v>
      </c>
    </row>
    <row r="4696" spans="42:44">
      <c r="AP4696" s="1756" t="e">
        <f>IF(OR(AR4696=S13,AR4696&gt;S13),AR4696,"")</f>
        <v>#VALUE!</v>
      </c>
      <c r="AQ4696" s="1759">
        <f t="shared" si="132"/>
        <v>4693</v>
      </c>
      <c r="AR4696" s="1756" t="e">
        <f>0.5*(S18+2*AQ4696)*LN(1+2*AQ4696/S18)</f>
        <v>#VALUE!</v>
      </c>
    </row>
    <row r="4697" spans="42:44">
      <c r="AP4697" s="1756" t="e">
        <f>IF(OR(AR4697=S13,AR4697&gt;S13),AR4697,"")</f>
        <v>#VALUE!</v>
      </c>
      <c r="AQ4697" s="1759">
        <f t="shared" si="132"/>
        <v>4694</v>
      </c>
      <c r="AR4697" s="1756" t="e">
        <f>0.5*(S18+2*AQ4697)*LN(1+2*AQ4697/S18)</f>
        <v>#VALUE!</v>
      </c>
    </row>
    <row r="4698" spans="42:44">
      <c r="AP4698" s="1756" t="e">
        <f>IF(OR(AR4698=S13,AR4698&gt;S13),AR4698,"")</f>
        <v>#VALUE!</v>
      </c>
      <c r="AQ4698" s="1759">
        <f t="shared" si="132"/>
        <v>4695</v>
      </c>
      <c r="AR4698" s="1756" t="e">
        <f>0.5*(S18+2*AQ4698)*LN(1+2*AQ4698/S18)</f>
        <v>#VALUE!</v>
      </c>
    </row>
    <row r="4699" spans="42:44">
      <c r="AP4699" s="1756" t="e">
        <f>IF(OR(AR4699=S13,AR4699&gt;S13),AR4699,"")</f>
        <v>#VALUE!</v>
      </c>
      <c r="AQ4699" s="1759">
        <f t="shared" si="132"/>
        <v>4696</v>
      </c>
      <c r="AR4699" s="1756" t="e">
        <f>0.5*(S18+2*AQ4699)*LN(1+2*AQ4699/S18)</f>
        <v>#VALUE!</v>
      </c>
    </row>
    <row r="4700" spans="42:44">
      <c r="AP4700" s="1756" t="e">
        <f>IF(OR(AR4700=S13,AR4700&gt;S13),AR4700,"")</f>
        <v>#VALUE!</v>
      </c>
      <c r="AQ4700" s="1759">
        <f t="shared" si="132"/>
        <v>4697</v>
      </c>
      <c r="AR4700" s="1756" t="e">
        <f>0.5*(S18+2*AQ4700)*LN(1+2*AQ4700/S18)</f>
        <v>#VALUE!</v>
      </c>
    </row>
    <row r="4701" spans="42:44">
      <c r="AP4701" s="1756" t="e">
        <f>IF(OR(AR4701=S13,AR4701&gt;S13),AR4701,"")</f>
        <v>#VALUE!</v>
      </c>
      <c r="AQ4701" s="1759">
        <f t="shared" si="132"/>
        <v>4698</v>
      </c>
      <c r="AR4701" s="1756" t="e">
        <f>0.5*(S18+2*AQ4701)*LN(1+2*AQ4701/S18)</f>
        <v>#VALUE!</v>
      </c>
    </row>
    <row r="4702" spans="42:44">
      <c r="AP4702" s="1756" t="e">
        <f>IF(OR(AR4702=S13,AR4702&gt;S13),AR4702,"")</f>
        <v>#VALUE!</v>
      </c>
      <c r="AQ4702" s="1759">
        <f t="shared" si="132"/>
        <v>4699</v>
      </c>
      <c r="AR4702" s="1756" t="e">
        <f>0.5*(S18+2*AQ4702)*LN(1+2*AQ4702/S18)</f>
        <v>#VALUE!</v>
      </c>
    </row>
    <row r="4703" spans="42:44">
      <c r="AP4703" s="1756" t="e">
        <f>IF(OR(AR4703=S13,AR4703&gt;S13),AR4703,"")</f>
        <v>#VALUE!</v>
      </c>
      <c r="AQ4703" s="1759">
        <f t="shared" si="132"/>
        <v>4700</v>
      </c>
      <c r="AR4703" s="1756" t="e">
        <f>0.5*(S18+2*AQ4703)*LN(1+2*AQ4703/S18)</f>
        <v>#VALUE!</v>
      </c>
    </row>
    <row r="4704" spans="42:44">
      <c r="AP4704" s="1756" t="e">
        <f>IF(OR(AR4704=S13,AR4704&gt;S13),AR4704,"")</f>
        <v>#VALUE!</v>
      </c>
      <c r="AQ4704" s="1759">
        <f t="shared" si="132"/>
        <v>4701</v>
      </c>
      <c r="AR4704" s="1756" t="e">
        <f>0.5*(S18+2*AQ4704)*LN(1+2*AQ4704/S18)</f>
        <v>#VALUE!</v>
      </c>
    </row>
    <row r="4705" spans="42:44">
      <c r="AP4705" s="1756" t="e">
        <f>IF(OR(AR4705=S13,AR4705&gt;S13),AR4705,"")</f>
        <v>#VALUE!</v>
      </c>
      <c r="AQ4705" s="1759">
        <f t="shared" si="132"/>
        <v>4702</v>
      </c>
      <c r="AR4705" s="1756" t="e">
        <f>0.5*(S18+2*AQ4705)*LN(1+2*AQ4705/S18)</f>
        <v>#VALUE!</v>
      </c>
    </row>
    <row r="4706" spans="42:44">
      <c r="AP4706" s="1756" t="e">
        <f>IF(OR(AR4706=S13,AR4706&gt;S13),AR4706,"")</f>
        <v>#VALUE!</v>
      </c>
      <c r="AQ4706" s="1759">
        <f t="shared" si="132"/>
        <v>4703</v>
      </c>
      <c r="AR4706" s="1756" t="e">
        <f>0.5*(S18+2*AQ4706)*LN(1+2*AQ4706/S18)</f>
        <v>#VALUE!</v>
      </c>
    </row>
    <row r="4707" spans="42:44">
      <c r="AP4707" s="1756" t="e">
        <f>IF(OR(AR4707=S13,AR4707&gt;S13),AR4707,"")</f>
        <v>#VALUE!</v>
      </c>
      <c r="AQ4707" s="1759">
        <f t="shared" si="132"/>
        <v>4704</v>
      </c>
      <c r="AR4707" s="1756" t="e">
        <f>0.5*(S18+2*AQ4707)*LN(1+2*AQ4707/S18)</f>
        <v>#VALUE!</v>
      </c>
    </row>
    <row r="4708" spans="42:44">
      <c r="AP4708" s="1756" t="e">
        <f>IF(OR(AR4708=S13,AR4708&gt;S13),AR4708,"")</f>
        <v>#VALUE!</v>
      </c>
      <c r="AQ4708" s="1759">
        <f t="shared" si="132"/>
        <v>4705</v>
      </c>
      <c r="AR4708" s="1756" t="e">
        <f>0.5*(S18+2*AQ4708)*LN(1+2*AQ4708/S18)</f>
        <v>#VALUE!</v>
      </c>
    </row>
    <row r="4709" spans="42:44">
      <c r="AP4709" s="1756" t="e">
        <f>IF(OR(AR4709=S13,AR4709&gt;S13),AR4709,"")</f>
        <v>#VALUE!</v>
      </c>
      <c r="AQ4709" s="1759">
        <f t="shared" si="132"/>
        <v>4706</v>
      </c>
      <c r="AR4709" s="1756" t="e">
        <f>0.5*(S18+2*AQ4709)*LN(1+2*AQ4709/S18)</f>
        <v>#VALUE!</v>
      </c>
    </row>
    <row r="4710" spans="42:44">
      <c r="AP4710" s="1756" t="e">
        <f>IF(OR(AR4710=S13,AR4710&gt;S13),AR4710,"")</f>
        <v>#VALUE!</v>
      </c>
      <c r="AQ4710" s="1759">
        <f t="shared" si="132"/>
        <v>4707</v>
      </c>
      <c r="AR4710" s="1756" t="e">
        <f>0.5*(S18+2*AQ4710)*LN(1+2*AQ4710/S18)</f>
        <v>#VALUE!</v>
      </c>
    </row>
    <row r="4711" spans="42:44">
      <c r="AP4711" s="1756" t="e">
        <f>IF(OR(AR4711=S13,AR4711&gt;S13),AR4711,"")</f>
        <v>#VALUE!</v>
      </c>
      <c r="AQ4711" s="1759">
        <f t="shared" si="132"/>
        <v>4708</v>
      </c>
      <c r="AR4711" s="1756" t="e">
        <f>0.5*(S18+2*AQ4711)*LN(1+2*AQ4711/S18)</f>
        <v>#VALUE!</v>
      </c>
    </row>
    <row r="4712" spans="42:44">
      <c r="AP4712" s="1756" t="e">
        <f>IF(OR(AR4712=S13,AR4712&gt;S13),AR4712,"")</f>
        <v>#VALUE!</v>
      </c>
      <c r="AQ4712" s="1759">
        <f t="shared" si="132"/>
        <v>4709</v>
      </c>
      <c r="AR4712" s="1756" t="e">
        <f>0.5*(S18+2*AQ4712)*LN(1+2*AQ4712/S18)</f>
        <v>#VALUE!</v>
      </c>
    </row>
    <row r="4713" spans="42:44">
      <c r="AP4713" s="1756" t="e">
        <f>IF(OR(AR4713=S13,AR4713&gt;S13),AR4713,"")</f>
        <v>#VALUE!</v>
      </c>
      <c r="AQ4713" s="1759">
        <f t="shared" si="132"/>
        <v>4710</v>
      </c>
      <c r="AR4713" s="1756" t="e">
        <f>0.5*(S18+2*AQ4713)*LN(1+2*AQ4713/S18)</f>
        <v>#VALUE!</v>
      </c>
    </row>
    <row r="4714" spans="42:44">
      <c r="AP4714" s="1756" t="e">
        <f>IF(OR(AR4714=S13,AR4714&gt;S13),AR4714,"")</f>
        <v>#VALUE!</v>
      </c>
      <c r="AQ4714" s="1759">
        <f t="shared" si="132"/>
        <v>4711</v>
      </c>
      <c r="AR4714" s="1756" t="e">
        <f>0.5*(S18+2*AQ4714)*LN(1+2*AQ4714/S18)</f>
        <v>#VALUE!</v>
      </c>
    </row>
    <row r="4715" spans="42:44">
      <c r="AP4715" s="1756" t="e">
        <f>IF(OR(AR4715=S13,AR4715&gt;S13),AR4715,"")</f>
        <v>#VALUE!</v>
      </c>
      <c r="AQ4715" s="1759">
        <f t="shared" si="132"/>
        <v>4712</v>
      </c>
      <c r="AR4715" s="1756" t="e">
        <f>0.5*(S18+2*AQ4715)*LN(1+2*AQ4715/S18)</f>
        <v>#VALUE!</v>
      </c>
    </row>
    <row r="4716" spans="42:44">
      <c r="AP4716" s="1756" t="e">
        <f>IF(OR(AR4716=S13,AR4716&gt;S13),AR4716,"")</f>
        <v>#VALUE!</v>
      </c>
      <c r="AQ4716" s="1759">
        <f t="shared" si="132"/>
        <v>4713</v>
      </c>
      <c r="AR4716" s="1756" t="e">
        <f>0.5*(S18+2*AQ4716)*LN(1+2*AQ4716/S18)</f>
        <v>#VALUE!</v>
      </c>
    </row>
    <row r="4717" spans="42:44">
      <c r="AP4717" s="1756" t="e">
        <f>IF(OR(AR4717=S13,AR4717&gt;S13),AR4717,"")</f>
        <v>#VALUE!</v>
      </c>
      <c r="AQ4717" s="1759">
        <f t="shared" si="132"/>
        <v>4714</v>
      </c>
      <c r="AR4717" s="1756" t="e">
        <f>0.5*(S18+2*AQ4717)*LN(1+2*AQ4717/S18)</f>
        <v>#VALUE!</v>
      </c>
    </row>
    <row r="4718" spans="42:44">
      <c r="AP4718" s="1756" t="e">
        <f>IF(OR(AR4718=S13,AR4718&gt;S13),AR4718,"")</f>
        <v>#VALUE!</v>
      </c>
      <c r="AQ4718" s="1759">
        <f t="shared" si="132"/>
        <v>4715</v>
      </c>
      <c r="AR4718" s="1756" t="e">
        <f>0.5*(S18+2*AQ4718)*LN(1+2*AQ4718/S18)</f>
        <v>#VALUE!</v>
      </c>
    </row>
    <row r="4719" spans="42:44">
      <c r="AP4719" s="1756" t="e">
        <f>IF(OR(AR4719=S13,AR4719&gt;S13),AR4719,"")</f>
        <v>#VALUE!</v>
      </c>
      <c r="AQ4719" s="1759">
        <f t="shared" si="132"/>
        <v>4716</v>
      </c>
      <c r="AR4719" s="1756" t="e">
        <f>0.5*(S18+2*AQ4719)*LN(1+2*AQ4719/S18)</f>
        <v>#VALUE!</v>
      </c>
    </row>
    <row r="4720" spans="42:44">
      <c r="AP4720" s="1756" t="e">
        <f>IF(OR(AR4720=S13,AR4720&gt;S13),AR4720,"")</f>
        <v>#VALUE!</v>
      </c>
      <c r="AQ4720" s="1759">
        <f t="shared" si="132"/>
        <v>4717</v>
      </c>
      <c r="AR4720" s="1756" t="e">
        <f>0.5*(S18+2*AQ4720)*LN(1+2*AQ4720/S18)</f>
        <v>#VALUE!</v>
      </c>
    </row>
    <row r="4721" spans="42:44">
      <c r="AP4721" s="1756" t="e">
        <f>IF(OR(AR4721=S13,AR4721&gt;S13),AR4721,"")</f>
        <v>#VALUE!</v>
      </c>
      <c r="AQ4721" s="1759">
        <f t="shared" si="132"/>
        <v>4718</v>
      </c>
      <c r="AR4721" s="1756" t="e">
        <f>0.5*(S18+2*AQ4721)*LN(1+2*AQ4721/S18)</f>
        <v>#VALUE!</v>
      </c>
    </row>
    <row r="4722" spans="42:44">
      <c r="AP4722" s="1756" t="e">
        <f>IF(OR(AR4722=S13,AR4722&gt;S13),AR4722,"")</f>
        <v>#VALUE!</v>
      </c>
      <c r="AQ4722" s="1759">
        <f t="shared" si="132"/>
        <v>4719</v>
      </c>
      <c r="AR4722" s="1756" t="e">
        <f>0.5*(S18+2*AQ4722)*LN(1+2*AQ4722/S18)</f>
        <v>#VALUE!</v>
      </c>
    </row>
    <row r="4723" spans="42:44">
      <c r="AP4723" s="1756" t="e">
        <f>IF(OR(AR4723=S13,AR4723&gt;S13),AR4723,"")</f>
        <v>#VALUE!</v>
      </c>
      <c r="AQ4723" s="1759">
        <f t="shared" si="132"/>
        <v>4720</v>
      </c>
      <c r="AR4723" s="1756" t="e">
        <f>0.5*(S18+2*AQ4723)*LN(1+2*AQ4723/S18)</f>
        <v>#VALUE!</v>
      </c>
    </row>
    <row r="4724" spans="42:44">
      <c r="AP4724" s="1756" t="e">
        <f>IF(OR(AR4724=S13,AR4724&gt;S13),AR4724,"")</f>
        <v>#VALUE!</v>
      </c>
      <c r="AQ4724" s="1759">
        <f t="shared" si="132"/>
        <v>4721</v>
      </c>
      <c r="AR4724" s="1756" t="e">
        <f>0.5*(S18+2*AQ4724)*LN(1+2*AQ4724/S18)</f>
        <v>#VALUE!</v>
      </c>
    </row>
    <row r="4725" spans="42:44">
      <c r="AP4725" s="1756" t="e">
        <f>IF(OR(AR4725=S13,AR4725&gt;S13),AR4725,"")</f>
        <v>#VALUE!</v>
      </c>
      <c r="AQ4725" s="1759">
        <f t="shared" si="132"/>
        <v>4722</v>
      </c>
      <c r="AR4725" s="1756" t="e">
        <f>0.5*(S18+2*AQ4725)*LN(1+2*AQ4725/S18)</f>
        <v>#VALUE!</v>
      </c>
    </row>
    <row r="4726" spans="42:44">
      <c r="AP4726" s="1756" t="e">
        <f>IF(OR(AR4726=S13,AR4726&gt;S13),AR4726,"")</f>
        <v>#VALUE!</v>
      </c>
      <c r="AQ4726" s="1759">
        <f t="shared" si="132"/>
        <v>4723</v>
      </c>
      <c r="AR4726" s="1756" t="e">
        <f>0.5*(S18+2*AQ4726)*LN(1+2*AQ4726/S18)</f>
        <v>#VALUE!</v>
      </c>
    </row>
    <row r="4727" spans="42:44">
      <c r="AP4727" s="1756" t="e">
        <f>IF(OR(AR4727=S13,AR4727&gt;S13),AR4727,"")</f>
        <v>#VALUE!</v>
      </c>
      <c r="AQ4727" s="1759">
        <f t="shared" si="132"/>
        <v>4724</v>
      </c>
      <c r="AR4727" s="1756" t="e">
        <f>0.5*(S18+2*AQ4727)*LN(1+2*AQ4727/S18)</f>
        <v>#VALUE!</v>
      </c>
    </row>
    <row r="4728" spans="42:44">
      <c r="AP4728" s="1756" t="e">
        <f>IF(OR(AR4728=S13,AR4728&gt;S13),AR4728,"")</f>
        <v>#VALUE!</v>
      </c>
      <c r="AQ4728" s="1759">
        <f t="shared" si="132"/>
        <v>4725</v>
      </c>
      <c r="AR4728" s="1756" t="e">
        <f>0.5*(S18+2*AQ4728)*LN(1+2*AQ4728/S18)</f>
        <v>#VALUE!</v>
      </c>
    </row>
    <row r="4729" spans="42:44">
      <c r="AP4729" s="1756" t="e">
        <f>IF(OR(AR4729=S13,AR4729&gt;S13),AR4729,"")</f>
        <v>#VALUE!</v>
      </c>
      <c r="AQ4729" s="1759">
        <f t="shared" si="132"/>
        <v>4726</v>
      </c>
      <c r="AR4729" s="1756" t="e">
        <f>0.5*(S18+2*AQ4729)*LN(1+2*AQ4729/S18)</f>
        <v>#VALUE!</v>
      </c>
    </row>
    <row r="4730" spans="42:44">
      <c r="AP4730" s="1756" t="e">
        <f>IF(OR(AR4730=S13,AR4730&gt;S13),AR4730,"")</f>
        <v>#VALUE!</v>
      </c>
      <c r="AQ4730" s="1759">
        <f t="shared" si="132"/>
        <v>4727</v>
      </c>
      <c r="AR4730" s="1756" t="e">
        <f>0.5*(S18+2*AQ4730)*LN(1+2*AQ4730/S18)</f>
        <v>#VALUE!</v>
      </c>
    </row>
    <row r="4731" spans="42:44">
      <c r="AP4731" s="1756" t="e">
        <f>IF(OR(AR4731=S13,AR4731&gt;S13),AR4731,"")</f>
        <v>#VALUE!</v>
      </c>
      <c r="AQ4731" s="1759">
        <f t="shared" si="132"/>
        <v>4728</v>
      </c>
      <c r="AR4731" s="1756" t="e">
        <f>0.5*(S18+2*AQ4731)*LN(1+2*AQ4731/S18)</f>
        <v>#VALUE!</v>
      </c>
    </row>
    <row r="4732" spans="42:44">
      <c r="AP4732" s="1756" t="e">
        <f>IF(OR(AR4732=S13,AR4732&gt;S13),AR4732,"")</f>
        <v>#VALUE!</v>
      </c>
      <c r="AQ4732" s="1759">
        <f t="shared" si="132"/>
        <v>4729</v>
      </c>
      <c r="AR4732" s="1756" t="e">
        <f>0.5*(S18+2*AQ4732)*LN(1+2*AQ4732/S18)</f>
        <v>#VALUE!</v>
      </c>
    </row>
    <row r="4733" spans="42:44">
      <c r="AP4733" s="1756" t="e">
        <f>IF(OR(AR4733=S13,AR4733&gt;S13),AR4733,"")</f>
        <v>#VALUE!</v>
      </c>
      <c r="AQ4733" s="1759">
        <f t="shared" si="132"/>
        <v>4730</v>
      </c>
      <c r="AR4733" s="1756" t="e">
        <f>0.5*(S18+2*AQ4733)*LN(1+2*AQ4733/S18)</f>
        <v>#VALUE!</v>
      </c>
    </row>
    <row r="4734" spans="42:44">
      <c r="AP4734" s="1756" t="e">
        <f>IF(OR(AR4734=S13,AR4734&gt;S13),AR4734,"")</f>
        <v>#VALUE!</v>
      </c>
      <c r="AQ4734" s="1759">
        <f t="shared" si="132"/>
        <v>4731</v>
      </c>
      <c r="AR4734" s="1756" t="e">
        <f>0.5*(S18+2*AQ4734)*LN(1+2*AQ4734/S18)</f>
        <v>#VALUE!</v>
      </c>
    </row>
    <row r="4735" spans="42:44">
      <c r="AP4735" s="1756" t="e">
        <f>IF(OR(AR4735=S13,AR4735&gt;S13),AR4735,"")</f>
        <v>#VALUE!</v>
      </c>
      <c r="AQ4735" s="1759">
        <f t="shared" si="132"/>
        <v>4732</v>
      </c>
      <c r="AR4735" s="1756" t="e">
        <f>0.5*(S18+2*AQ4735)*LN(1+2*AQ4735/S18)</f>
        <v>#VALUE!</v>
      </c>
    </row>
    <row r="4736" spans="42:44">
      <c r="AP4736" s="1756" t="e">
        <f>IF(OR(AR4736=S13,AR4736&gt;S13),AR4736,"")</f>
        <v>#VALUE!</v>
      </c>
      <c r="AQ4736" s="1759">
        <f t="shared" si="132"/>
        <v>4733</v>
      </c>
      <c r="AR4736" s="1756" t="e">
        <f>0.5*(S18+2*AQ4736)*LN(1+2*AQ4736/S18)</f>
        <v>#VALUE!</v>
      </c>
    </row>
    <row r="4737" spans="42:44">
      <c r="AP4737" s="1756" t="e">
        <f>IF(OR(AR4737=S13,AR4737&gt;S13),AR4737,"")</f>
        <v>#VALUE!</v>
      </c>
      <c r="AQ4737" s="1759">
        <f t="shared" si="132"/>
        <v>4734</v>
      </c>
      <c r="AR4737" s="1756" t="e">
        <f>0.5*(S18+2*AQ4737)*LN(1+2*AQ4737/S18)</f>
        <v>#VALUE!</v>
      </c>
    </row>
    <row r="4738" spans="42:44">
      <c r="AP4738" s="1756" t="e">
        <f>IF(OR(AR4738=S13,AR4738&gt;S13),AR4738,"")</f>
        <v>#VALUE!</v>
      </c>
      <c r="AQ4738" s="1759">
        <f t="shared" si="132"/>
        <v>4735</v>
      </c>
      <c r="AR4738" s="1756" t="e">
        <f>0.5*(S18+2*AQ4738)*LN(1+2*AQ4738/S18)</f>
        <v>#VALUE!</v>
      </c>
    </row>
    <row r="4739" spans="42:44">
      <c r="AP4739" s="1756" t="e">
        <f>IF(OR(AR4739=S13,AR4739&gt;S13),AR4739,"")</f>
        <v>#VALUE!</v>
      </c>
      <c r="AQ4739" s="1759">
        <f t="shared" si="132"/>
        <v>4736</v>
      </c>
      <c r="AR4739" s="1756" t="e">
        <f>0.5*(S18+2*AQ4739)*LN(1+2*AQ4739/S18)</f>
        <v>#VALUE!</v>
      </c>
    </row>
    <row r="4740" spans="42:44">
      <c r="AP4740" s="1756" t="e">
        <f>IF(OR(AR4740=S13,AR4740&gt;S13),AR4740,"")</f>
        <v>#VALUE!</v>
      </c>
      <c r="AQ4740" s="1759">
        <f t="shared" si="132"/>
        <v>4737</v>
      </c>
      <c r="AR4740" s="1756" t="e">
        <f>0.5*(S18+2*AQ4740)*LN(1+2*AQ4740/S18)</f>
        <v>#VALUE!</v>
      </c>
    </row>
    <row r="4741" spans="42:44">
      <c r="AP4741" s="1756" t="e">
        <f>IF(OR(AR4741=S13,AR4741&gt;S13),AR4741,"")</f>
        <v>#VALUE!</v>
      </c>
      <c r="AQ4741" s="1759">
        <f t="shared" si="132"/>
        <v>4738</v>
      </c>
      <c r="AR4741" s="1756" t="e">
        <f>0.5*(S18+2*AQ4741)*LN(1+2*AQ4741/S18)</f>
        <v>#VALUE!</v>
      </c>
    </row>
    <row r="4742" spans="42:44">
      <c r="AP4742" s="1756" t="e">
        <f>IF(OR(AR4742=S13,AR4742&gt;S13),AR4742,"")</f>
        <v>#VALUE!</v>
      </c>
      <c r="AQ4742" s="1759">
        <f t="shared" ref="AQ4742:AQ4805" si="133">AQ4741+1</f>
        <v>4739</v>
      </c>
      <c r="AR4742" s="1756" t="e">
        <f>0.5*(S18+2*AQ4742)*LN(1+2*AQ4742/S18)</f>
        <v>#VALUE!</v>
      </c>
    </row>
    <row r="4743" spans="42:44">
      <c r="AP4743" s="1756" t="e">
        <f>IF(OR(AR4743=S13,AR4743&gt;S13),AR4743,"")</f>
        <v>#VALUE!</v>
      </c>
      <c r="AQ4743" s="1759">
        <f t="shared" si="133"/>
        <v>4740</v>
      </c>
      <c r="AR4743" s="1756" t="e">
        <f>0.5*(S18+2*AQ4743)*LN(1+2*AQ4743/S18)</f>
        <v>#VALUE!</v>
      </c>
    </row>
    <row r="4744" spans="42:44">
      <c r="AP4744" s="1756" t="e">
        <f>IF(OR(AR4744=S13,AR4744&gt;S13),AR4744,"")</f>
        <v>#VALUE!</v>
      </c>
      <c r="AQ4744" s="1759">
        <f t="shared" si="133"/>
        <v>4741</v>
      </c>
      <c r="AR4744" s="1756" t="e">
        <f>0.5*(S18+2*AQ4744)*LN(1+2*AQ4744/S18)</f>
        <v>#VALUE!</v>
      </c>
    </row>
    <row r="4745" spans="42:44">
      <c r="AP4745" s="1756" t="e">
        <f>IF(OR(AR4745=S13,AR4745&gt;S13),AR4745,"")</f>
        <v>#VALUE!</v>
      </c>
      <c r="AQ4745" s="1759">
        <f t="shared" si="133"/>
        <v>4742</v>
      </c>
      <c r="AR4745" s="1756" t="e">
        <f>0.5*(S18+2*AQ4745)*LN(1+2*AQ4745/S18)</f>
        <v>#VALUE!</v>
      </c>
    </row>
    <row r="4746" spans="42:44">
      <c r="AP4746" s="1756" t="e">
        <f>IF(OR(AR4746=S13,AR4746&gt;S13),AR4746,"")</f>
        <v>#VALUE!</v>
      </c>
      <c r="AQ4746" s="1759">
        <f t="shared" si="133"/>
        <v>4743</v>
      </c>
      <c r="AR4746" s="1756" t="e">
        <f>0.5*(S18+2*AQ4746)*LN(1+2*AQ4746/S18)</f>
        <v>#VALUE!</v>
      </c>
    </row>
    <row r="4747" spans="42:44">
      <c r="AP4747" s="1756" t="e">
        <f>IF(OR(AR4747=S13,AR4747&gt;S13),AR4747,"")</f>
        <v>#VALUE!</v>
      </c>
      <c r="AQ4747" s="1759">
        <f t="shared" si="133"/>
        <v>4744</v>
      </c>
      <c r="AR4747" s="1756" t="e">
        <f>0.5*(S18+2*AQ4747)*LN(1+2*AQ4747/S18)</f>
        <v>#VALUE!</v>
      </c>
    </row>
    <row r="4748" spans="42:44">
      <c r="AP4748" s="1756" t="e">
        <f>IF(OR(AR4748=S13,AR4748&gt;S13),AR4748,"")</f>
        <v>#VALUE!</v>
      </c>
      <c r="AQ4748" s="1759">
        <f t="shared" si="133"/>
        <v>4745</v>
      </c>
      <c r="AR4748" s="1756" t="e">
        <f>0.5*(S18+2*AQ4748)*LN(1+2*AQ4748/S18)</f>
        <v>#VALUE!</v>
      </c>
    </row>
    <row r="4749" spans="42:44">
      <c r="AP4749" s="1756" t="e">
        <f>IF(OR(AR4749=S13,AR4749&gt;S13),AR4749,"")</f>
        <v>#VALUE!</v>
      </c>
      <c r="AQ4749" s="1759">
        <f t="shared" si="133"/>
        <v>4746</v>
      </c>
      <c r="AR4749" s="1756" t="e">
        <f>0.5*(S18+2*AQ4749)*LN(1+2*AQ4749/S18)</f>
        <v>#VALUE!</v>
      </c>
    </row>
    <row r="4750" spans="42:44">
      <c r="AP4750" s="1756" t="e">
        <f>IF(OR(AR4750=S13,AR4750&gt;S13),AR4750,"")</f>
        <v>#VALUE!</v>
      </c>
      <c r="AQ4750" s="1759">
        <f t="shared" si="133"/>
        <v>4747</v>
      </c>
      <c r="AR4750" s="1756" t="e">
        <f>0.5*(S18+2*AQ4750)*LN(1+2*AQ4750/S18)</f>
        <v>#VALUE!</v>
      </c>
    </row>
    <row r="4751" spans="42:44">
      <c r="AP4751" s="1756" t="e">
        <f>IF(OR(AR4751=S13,AR4751&gt;S13),AR4751,"")</f>
        <v>#VALUE!</v>
      </c>
      <c r="AQ4751" s="1759">
        <f t="shared" si="133"/>
        <v>4748</v>
      </c>
      <c r="AR4751" s="1756" t="e">
        <f>0.5*(S18+2*AQ4751)*LN(1+2*AQ4751/S18)</f>
        <v>#VALUE!</v>
      </c>
    </row>
    <row r="4752" spans="42:44">
      <c r="AP4752" s="1756" t="e">
        <f>IF(OR(AR4752=S13,AR4752&gt;S13),AR4752,"")</f>
        <v>#VALUE!</v>
      </c>
      <c r="AQ4752" s="1759">
        <f t="shared" si="133"/>
        <v>4749</v>
      </c>
      <c r="AR4752" s="1756" t="e">
        <f>0.5*(S18+2*AQ4752)*LN(1+2*AQ4752/S18)</f>
        <v>#VALUE!</v>
      </c>
    </row>
    <row r="4753" spans="42:44">
      <c r="AP4753" s="1756" t="e">
        <f>IF(OR(AR4753=S13,AR4753&gt;S13),AR4753,"")</f>
        <v>#VALUE!</v>
      </c>
      <c r="AQ4753" s="1759">
        <f t="shared" si="133"/>
        <v>4750</v>
      </c>
      <c r="AR4753" s="1756" t="e">
        <f>0.5*(S18+2*AQ4753)*LN(1+2*AQ4753/S18)</f>
        <v>#VALUE!</v>
      </c>
    </row>
    <row r="4754" spans="42:44">
      <c r="AP4754" s="1756" t="e">
        <f>IF(OR(AR4754=S13,AR4754&gt;S13),AR4754,"")</f>
        <v>#VALUE!</v>
      </c>
      <c r="AQ4754" s="1759">
        <f t="shared" si="133"/>
        <v>4751</v>
      </c>
      <c r="AR4754" s="1756" t="e">
        <f>0.5*(S18+2*AQ4754)*LN(1+2*AQ4754/S18)</f>
        <v>#VALUE!</v>
      </c>
    </row>
    <row r="4755" spans="42:44">
      <c r="AP4755" s="1756" t="e">
        <f>IF(OR(AR4755=S13,AR4755&gt;S13),AR4755,"")</f>
        <v>#VALUE!</v>
      </c>
      <c r="AQ4755" s="1759">
        <f t="shared" si="133"/>
        <v>4752</v>
      </c>
      <c r="AR4755" s="1756" t="e">
        <f>0.5*(S18+2*AQ4755)*LN(1+2*AQ4755/S18)</f>
        <v>#VALUE!</v>
      </c>
    </row>
    <row r="4756" spans="42:44">
      <c r="AP4756" s="1756" t="e">
        <f>IF(OR(AR4756=S13,AR4756&gt;S13),AR4756,"")</f>
        <v>#VALUE!</v>
      </c>
      <c r="AQ4756" s="1759">
        <f t="shared" si="133"/>
        <v>4753</v>
      </c>
      <c r="AR4756" s="1756" t="e">
        <f>0.5*(S18+2*AQ4756)*LN(1+2*AQ4756/S18)</f>
        <v>#VALUE!</v>
      </c>
    </row>
    <row r="4757" spans="42:44">
      <c r="AP4757" s="1756" t="e">
        <f>IF(OR(AR4757=S13,AR4757&gt;S13),AR4757,"")</f>
        <v>#VALUE!</v>
      </c>
      <c r="AQ4757" s="1759">
        <f t="shared" si="133"/>
        <v>4754</v>
      </c>
      <c r="AR4757" s="1756" t="e">
        <f>0.5*(S18+2*AQ4757)*LN(1+2*AQ4757/S18)</f>
        <v>#VALUE!</v>
      </c>
    </row>
    <row r="4758" spans="42:44">
      <c r="AP4758" s="1756" t="e">
        <f>IF(OR(AR4758=S13,AR4758&gt;S13),AR4758,"")</f>
        <v>#VALUE!</v>
      </c>
      <c r="AQ4758" s="1759">
        <f t="shared" si="133"/>
        <v>4755</v>
      </c>
      <c r="AR4758" s="1756" t="e">
        <f>0.5*(S18+2*AQ4758)*LN(1+2*AQ4758/S18)</f>
        <v>#VALUE!</v>
      </c>
    </row>
    <row r="4759" spans="42:44">
      <c r="AP4759" s="1756" t="e">
        <f>IF(OR(AR4759=S13,AR4759&gt;S13),AR4759,"")</f>
        <v>#VALUE!</v>
      </c>
      <c r="AQ4759" s="1759">
        <f t="shared" si="133"/>
        <v>4756</v>
      </c>
      <c r="AR4759" s="1756" t="e">
        <f>0.5*(S18+2*AQ4759)*LN(1+2*AQ4759/S18)</f>
        <v>#VALUE!</v>
      </c>
    </row>
    <row r="4760" spans="42:44">
      <c r="AP4760" s="1756" t="e">
        <f>IF(OR(AR4760=S13,AR4760&gt;S13),AR4760,"")</f>
        <v>#VALUE!</v>
      </c>
      <c r="AQ4760" s="1759">
        <f t="shared" si="133"/>
        <v>4757</v>
      </c>
      <c r="AR4760" s="1756" t="e">
        <f>0.5*(S18+2*AQ4760)*LN(1+2*AQ4760/S18)</f>
        <v>#VALUE!</v>
      </c>
    </row>
    <row r="4761" spans="42:44">
      <c r="AP4761" s="1756" t="e">
        <f>IF(OR(AR4761=S13,AR4761&gt;S13),AR4761,"")</f>
        <v>#VALUE!</v>
      </c>
      <c r="AQ4761" s="1759">
        <f t="shared" si="133"/>
        <v>4758</v>
      </c>
      <c r="AR4761" s="1756" t="e">
        <f>0.5*(S18+2*AQ4761)*LN(1+2*AQ4761/S18)</f>
        <v>#VALUE!</v>
      </c>
    </row>
    <row r="4762" spans="42:44">
      <c r="AP4762" s="1756" t="e">
        <f>IF(OR(AR4762=S13,AR4762&gt;S13),AR4762,"")</f>
        <v>#VALUE!</v>
      </c>
      <c r="AQ4762" s="1759">
        <f t="shared" si="133"/>
        <v>4759</v>
      </c>
      <c r="AR4762" s="1756" t="e">
        <f>0.5*(S18+2*AQ4762)*LN(1+2*AQ4762/S18)</f>
        <v>#VALUE!</v>
      </c>
    </row>
    <row r="4763" spans="42:44">
      <c r="AP4763" s="1756" t="e">
        <f>IF(OR(AR4763=S13,AR4763&gt;S13),AR4763,"")</f>
        <v>#VALUE!</v>
      </c>
      <c r="AQ4763" s="1759">
        <f t="shared" si="133"/>
        <v>4760</v>
      </c>
      <c r="AR4763" s="1756" t="e">
        <f>0.5*(S18+2*AQ4763)*LN(1+2*AQ4763/S18)</f>
        <v>#VALUE!</v>
      </c>
    </row>
    <row r="4764" spans="42:44">
      <c r="AP4764" s="1756" t="e">
        <f>IF(OR(AR4764=S13,AR4764&gt;S13),AR4764,"")</f>
        <v>#VALUE!</v>
      </c>
      <c r="AQ4764" s="1759">
        <f t="shared" si="133"/>
        <v>4761</v>
      </c>
      <c r="AR4764" s="1756" t="e">
        <f>0.5*(S18+2*AQ4764)*LN(1+2*AQ4764/S18)</f>
        <v>#VALUE!</v>
      </c>
    </row>
    <row r="4765" spans="42:44">
      <c r="AP4765" s="1756" t="e">
        <f>IF(OR(AR4765=S13,AR4765&gt;S13),AR4765,"")</f>
        <v>#VALUE!</v>
      </c>
      <c r="AQ4765" s="1759">
        <f t="shared" si="133"/>
        <v>4762</v>
      </c>
      <c r="AR4765" s="1756" t="e">
        <f>0.5*(S18+2*AQ4765)*LN(1+2*AQ4765/S18)</f>
        <v>#VALUE!</v>
      </c>
    </row>
    <row r="4766" spans="42:44">
      <c r="AP4766" s="1756" t="e">
        <f>IF(OR(AR4766=S13,AR4766&gt;S13),AR4766,"")</f>
        <v>#VALUE!</v>
      </c>
      <c r="AQ4766" s="1759">
        <f t="shared" si="133"/>
        <v>4763</v>
      </c>
      <c r="AR4766" s="1756" t="e">
        <f>0.5*(S18+2*AQ4766)*LN(1+2*AQ4766/S18)</f>
        <v>#VALUE!</v>
      </c>
    </row>
    <row r="4767" spans="42:44">
      <c r="AP4767" s="1756" t="e">
        <f>IF(OR(AR4767=S13,AR4767&gt;S13),AR4767,"")</f>
        <v>#VALUE!</v>
      </c>
      <c r="AQ4767" s="1759">
        <f t="shared" si="133"/>
        <v>4764</v>
      </c>
      <c r="AR4767" s="1756" t="e">
        <f>0.5*(S18+2*AQ4767)*LN(1+2*AQ4767/S18)</f>
        <v>#VALUE!</v>
      </c>
    </row>
    <row r="4768" spans="42:44">
      <c r="AP4768" s="1756" t="e">
        <f>IF(OR(AR4768=S13,AR4768&gt;S13),AR4768,"")</f>
        <v>#VALUE!</v>
      </c>
      <c r="AQ4768" s="1759">
        <f t="shared" si="133"/>
        <v>4765</v>
      </c>
      <c r="AR4768" s="1756" t="e">
        <f>0.5*(S18+2*AQ4768)*LN(1+2*AQ4768/S18)</f>
        <v>#VALUE!</v>
      </c>
    </row>
    <row r="4769" spans="42:44">
      <c r="AP4769" s="1756" t="e">
        <f>IF(OR(AR4769=S13,AR4769&gt;S13),AR4769,"")</f>
        <v>#VALUE!</v>
      </c>
      <c r="AQ4769" s="1759">
        <f t="shared" si="133"/>
        <v>4766</v>
      </c>
      <c r="AR4769" s="1756" t="e">
        <f>0.5*(S18+2*AQ4769)*LN(1+2*AQ4769/S18)</f>
        <v>#VALUE!</v>
      </c>
    </row>
    <row r="4770" spans="42:44">
      <c r="AP4770" s="1756" t="e">
        <f>IF(OR(AR4770=S13,AR4770&gt;S13),AR4770,"")</f>
        <v>#VALUE!</v>
      </c>
      <c r="AQ4770" s="1759">
        <f t="shared" si="133"/>
        <v>4767</v>
      </c>
      <c r="AR4770" s="1756" t="e">
        <f>0.5*(S18+2*AQ4770)*LN(1+2*AQ4770/S18)</f>
        <v>#VALUE!</v>
      </c>
    </row>
    <row r="4771" spans="42:44">
      <c r="AP4771" s="1756" t="e">
        <f>IF(OR(AR4771=S13,AR4771&gt;S13),AR4771,"")</f>
        <v>#VALUE!</v>
      </c>
      <c r="AQ4771" s="1759">
        <f t="shared" si="133"/>
        <v>4768</v>
      </c>
      <c r="AR4771" s="1756" t="e">
        <f>0.5*(S18+2*AQ4771)*LN(1+2*AQ4771/S18)</f>
        <v>#VALUE!</v>
      </c>
    </row>
    <row r="4772" spans="42:44">
      <c r="AP4772" s="1756" t="e">
        <f>IF(OR(AR4772=S13,AR4772&gt;S13),AR4772,"")</f>
        <v>#VALUE!</v>
      </c>
      <c r="AQ4772" s="1759">
        <f t="shared" si="133"/>
        <v>4769</v>
      </c>
      <c r="AR4772" s="1756" t="e">
        <f>0.5*(S18+2*AQ4772)*LN(1+2*AQ4772/S18)</f>
        <v>#VALUE!</v>
      </c>
    </row>
    <row r="4773" spans="42:44">
      <c r="AP4773" s="1756" t="e">
        <f>IF(OR(AR4773=S13,AR4773&gt;S13),AR4773,"")</f>
        <v>#VALUE!</v>
      </c>
      <c r="AQ4773" s="1759">
        <f t="shared" si="133"/>
        <v>4770</v>
      </c>
      <c r="AR4773" s="1756" t="e">
        <f>0.5*(S18+2*AQ4773)*LN(1+2*AQ4773/S18)</f>
        <v>#VALUE!</v>
      </c>
    </row>
    <row r="4774" spans="42:44">
      <c r="AP4774" s="1756" t="e">
        <f>IF(OR(AR4774=S13,AR4774&gt;S13),AR4774,"")</f>
        <v>#VALUE!</v>
      </c>
      <c r="AQ4774" s="1759">
        <f t="shared" si="133"/>
        <v>4771</v>
      </c>
      <c r="AR4774" s="1756" t="e">
        <f>0.5*(S18+2*AQ4774)*LN(1+2*AQ4774/S18)</f>
        <v>#VALUE!</v>
      </c>
    </row>
    <row r="4775" spans="42:44">
      <c r="AP4775" s="1756" t="e">
        <f>IF(OR(AR4775=S13,AR4775&gt;S13),AR4775,"")</f>
        <v>#VALUE!</v>
      </c>
      <c r="AQ4775" s="1759">
        <f t="shared" si="133"/>
        <v>4772</v>
      </c>
      <c r="AR4775" s="1756" t="e">
        <f>0.5*(S18+2*AQ4775)*LN(1+2*AQ4775/S18)</f>
        <v>#VALUE!</v>
      </c>
    </row>
    <row r="4776" spans="42:44">
      <c r="AP4776" s="1756" t="e">
        <f>IF(OR(AR4776=S13,AR4776&gt;S13),AR4776,"")</f>
        <v>#VALUE!</v>
      </c>
      <c r="AQ4776" s="1759">
        <f t="shared" si="133"/>
        <v>4773</v>
      </c>
      <c r="AR4776" s="1756" t="e">
        <f>0.5*(S18+2*AQ4776)*LN(1+2*AQ4776/S18)</f>
        <v>#VALUE!</v>
      </c>
    </row>
    <row r="4777" spans="42:44">
      <c r="AP4777" s="1756" t="e">
        <f>IF(OR(AR4777=S13,AR4777&gt;S13),AR4777,"")</f>
        <v>#VALUE!</v>
      </c>
      <c r="AQ4777" s="1759">
        <f t="shared" si="133"/>
        <v>4774</v>
      </c>
      <c r="AR4777" s="1756" t="e">
        <f>0.5*(S18+2*AQ4777)*LN(1+2*AQ4777/S18)</f>
        <v>#VALUE!</v>
      </c>
    </row>
    <row r="4778" spans="42:44">
      <c r="AP4778" s="1756" t="e">
        <f>IF(OR(AR4778=S13,AR4778&gt;S13),AR4778,"")</f>
        <v>#VALUE!</v>
      </c>
      <c r="AQ4778" s="1759">
        <f t="shared" si="133"/>
        <v>4775</v>
      </c>
      <c r="AR4778" s="1756" t="e">
        <f>0.5*(S18+2*AQ4778)*LN(1+2*AQ4778/S18)</f>
        <v>#VALUE!</v>
      </c>
    </row>
    <row r="4779" spans="42:44">
      <c r="AP4779" s="1756" t="e">
        <f>IF(OR(AR4779=S13,AR4779&gt;S13),AR4779,"")</f>
        <v>#VALUE!</v>
      </c>
      <c r="AQ4779" s="1759">
        <f t="shared" si="133"/>
        <v>4776</v>
      </c>
      <c r="AR4779" s="1756" t="e">
        <f>0.5*(S18+2*AQ4779)*LN(1+2*AQ4779/S18)</f>
        <v>#VALUE!</v>
      </c>
    </row>
    <row r="4780" spans="42:44">
      <c r="AP4780" s="1756" t="e">
        <f>IF(OR(AR4780=S13,AR4780&gt;S13),AR4780,"")</f>
        <v>#VALUE!</v>
      </c>
      <c r="AQ4780" s="1759">
        <f t="shared" si="133"/>
        <v>4777</v>
      </c>
      <c r="AR4780" s="1756" t="e">
        <f>0.5*(S18+2*AQ4780)*LN(1+2*AQ4780/S18)</f>
        <v>#VALUE!</v>
      </c>
    </row>
    <row r="4781" spans="42:44">
      <c r="AP4781" s="1756" t="e">
        <f>IF(OR(AR4781=S13,AR4781&gt;S13),AR4781,"")</f>
        <v>#VALUE!</v>
      </c>
      <c r="AQ4781" s="1759">
        <f t="shared" si="133"/>
        <v>4778</v>
      </c>
      <c r="AR4781" s="1756" t="e">
        <f>0.5*(S18+2*AQ4781)*LN(1+2*AQ4781/S18)</f>
        <v>#VALUE!</v>
      </c>
    </row>
    <row r="4782" spans="42:44">
      <c r="AP4782" s="1756" t="e">
        <f>IF(OR(AR4782=S13,AR4782&gt;S13),AR4782,"")</f>
        <v>#VALUE!</v>
      </c>
      <c r="AQ4782" s="1759">
        <f t="shared" si="133"/>
        <v>4779</v>
      </c>
      <c r="AR4782" s="1756" t="e">
        <f>0.5*(S18+2*AQ4782)*LN(1+2*AQ4782/S18)</f>
        <v>#VALUE!</v>
      </c>
    </row>
    <row r="4783" spans="42:44">
      <c r="AP4783" s="1756" t="e">
        <f>IF(OR(AR4783=S13,AR4783&gt;S13),AR4783,"")</f>
        <v>#VALUE!</v>
      </c>
      <c r="AQ4783" s="1759">
        <f t="shared" si="133"/>
        <v>4780</v>
      </c>
      <c r="AR4783" s="1756" t="e">
        <f>0.5*(S18+2*AQ4783)*LN(1+2*AQ4783/S18)</f>
        <v>#VALUE!</v>
      </c>
    </row>
    <row r="4784" spans="42:44">
      <c r="AP4784" s="1756" t="e">
        <f>IF(OR(AR4784=S13,AR4784&gt;S13),AR4784,"")</f>
        <v>#VALUE!</v>
      </c>
      <c r="AQ4784" s="1759">
        <f t="shared" si="133"/>
        <v>4781</v>
      </c>
      <c r="AR4784" s="1756" t="e">
        <f>0.5*(S18+2*AQ4784)*LN(1+2*AQ4784/S18)</f>
        <v>#VALUE!</v>
      </c>
    </row>
    <row r="4785" spans="42:44">
      <c r="AP4785" s="1756" t="e">
        <f>IF(OR(AR4785=S13,AR4785&gt;S13),AR4785,"")</f>
        <v>#VALUE!</v>
      </c>
      <c r="AQ4785" s="1759">
        <f t="shared" si="133"/>
        <v>4782</v>
      </c>
      <c r="AR4785" s="1756" t="e">
        <f>0.5*(S18+2*AQ4785)*LN(1+2*AQ4785/S18)</f>
        <v>#VALUE!</v>
      </c>
    </row>
    <row r="4786" spans="42:44">
      <c r="AP4786" s="1756" t="e">
        <f>IF(OR(AR4786=S13,AR4786&gt;S13),AR4786,"")</f>
        <v>#VALUE!</v>
      </c>
      <c r="AQ4786" s="1759">
        <f t="shared" si="133"/>
        <v>4783</v>
      </c>
      <c r="AR4786" s="1756" t="e">
        <f>0.5*(S18+2*AQ4786)*LN(1+2*AQ4786/S18)</f>
        <v>#VALUE!</v>
      </c>
    </row>
    <row r="4787" spans="42:44">
      <c r="AP4787" s="1756" t="e">
        <f>IF(OR(AR4787=S13,AR4787&gt;S13),AR4787,"")</f>
        <v>#VALUE!</v>
      </c>
      <c r="AQ4787" s="1759">
        <f t="shared" si="133"/>
        <v>4784</v>
      </c>
      <c r="AR4787" s="1756" t="e">
        <f>0.5*(S18+2*AQ4787)*LN(1+2*AQ4787/S18)</f>
        <v>#VALUE!</v>
      </c>
    </row>
    <row r="4788" spans="42:44">
      <c r="AP4788" s="1756" t="e">
        <f>IF(OR(AR4788=S13,AR4788&gt;S13),AR4788,"")</f>
        <v>#VALUE!</v>
      </c>
      <c r="AQ4788" s="1759">
        <f t="shared" si="133"/>
        <v>4785</v>
      </c>
      <c r="AR4788" s="1756" t="e">
        <f>0.5*(S18+2*AQ4788)*LN(1+2*AQ4788/S18)</f>
        <v>#VALUE!</v>
      </c>
    </row>
    <row r="4789" spans="42:44">
      <c r="AP4789" s="1756" t="e">
        <f>IF(OR(AR4789=S13,AR4789&gt;S13),AR4789,"")</f>
        <v>#VALUE!</v>
      </c>
      <c r="AQ4789" s="1759">
        <f t="shared" si="133"/>
        <v>4786</v>
      </c>
      <c r="AR4789" s="1756" t="e">
        <f>0.5*(S18+2*AQ4789)*LN(1+2*AQ4789/S18)</f>
        <v>#VALUE!</v>
      </c>
    </row>
    <row r="4790" spans="42:44">
      <c r="AP4790" s="1756" t="e">
        <f>IF(OR(AR4790=S13,AR4790&gt;S13),AR4790,"")</f>
        <v>#VALUE!</v>
      </c>
      <c r="AQ4790" s="1759">
        <f t="shared" si="133"/>
        <v>4787</v>
      </c>
      <c r="AR4790" s="1756" t="e">
        <f>0.5*(S18+2*AQ4790)*LN(1+2*AQ4790/S18)</f>
        <v>#VALUE!</v>
      </c>
    </row>
    <row r="4791" spans="42:44">
      <c r="AP4791" s="1756" t="e">
        <f>IF(OR(AR4791=S13,AR4791&gt;S13),AR4791,"")</f>
        <v>#VALUE!</v>
      </c>
      <c r="AQ4791" s="1759">
        <f t="shared" si="133"/>
        <v>4788</v>
      </c>
      <c r="AR4791" s="1756" t="e">
        <f>0.5*(S18+2*AQ4791)*LN(1+2*AQ4791/S18)</f>
        <v>#VALUE!</v>
      </c>
    </row>
    <row r="4792" spans="42:44">
      <c r="AP4792" s="1756" t="e">
        <f>IF(OR(AR4792=S13,AR4792&gt;S13),AR4792,"")</f>
        <v>#VALUE!</v>
      </c>
      <c r="AQ4792" s="1759">
        <f t="shared" si="133"/>
        <v>4789</v>
      </c>
      <c r="AR4792" s="1756" t="e">
        <f>0.5*(S18+2*AQ4792)*LN(1+2*AQ4792/S18)</f>
        <v>#VALUE!</v>
      </c>
    </row>
    <row r="4793" spans="42:44">
      <c r="AP4793" s="1756" t="e">
        <f>IF(OR(AR4793=S13,AR4793&gt;S13),AR4793,"")</f>
        <v>#VALUE!</v>
      </c>
      <c r="AQ4793" s="1759">
        <f t="shared" si="133"/>
        <v>4790</v>
      </c>
      <c r="AR4793" s="1756" t="e">
        <f>0.5*(S18+2*AQ4793)*LN(1+2*AQ4793/S18)</f>
        <v>#VALUE!</v>
      </c>
    </row>
    <row r="4794" spans="42:44">
      <c r="AP4794" s="1756" t="e">
        <f>IF(OR(AR4794=S13,AR4794&gt;S13),AR4794,"")</f>
        <v>#VALUE!</v>
      </c>
      <c r="AQ4794" s="1759">
        <f t="shared" si="133"/>
        <v>4791</v>
      </c>
      <c r="AR4794" s="1756" t="e">
        <f>0.5*(S18+2*AQ4794)*LN(1+2*AQ4794/S18)</f>
        <v>#VALUE!</v>
      </c>
    </row>
    <row r="4795" spans="42:44">
      <c r="AP4795" s="1756" t="e">
        <f>IF(OR(AR4795=S13,AR4795&gt;S13),AR4795,"")</f>
        <v>#VALUE!</v>
      </c>
      <c r="AQ4795" s="1759">
        <f t="shared" si="133"/>
        <v>4792</v>
      </c>
      <c r="AR4795" s="1756" t="e">
        <f>0.5*(S18+2*AQ4795)*LN(1+2*AQ4795/S18)</f>
        <v>#VALUE!</v>
      </c>
    </row>
    <row r="4796" spans="42:44">
      <c r="AP4796" s="1756" t="e">
        <f>IF(OR(AR4796=S13,AR4796&gt;S13),AR4796,"")</f>
        <v>#VALUE!</v>
      </c>
      <c r="AQ4796" s="1759">
        <f t="shared" si="133"/>
        <v>4793</v>
      </c>
      <c r="AR4796" s="1756" t="e">
        <f>0.5*(S18+2*AQ4796)*LN(1+2*AQ4796/S18)</f>
        <v>#VALUE!</v>
      </c>
    </row>
    <row r="4797" spans="42:44">
      <c r="AP4797" s="1756" t="e">
        <f>IF(OR(AR4797=S13,AR4797&gt;S13),AR4797,"")</f>
        <v>#VALUE!</v>
      </c>
      <c r="AQ4797" s="1759">
        <f t="shared" si="133"/>
        <v>4794</v>
      </c>
      <c r="AR4797" s="1756" t="e">
        <f>0.5*(S18+2*AQ4797)*LN(1+2*AQ4797/S18)</f>
        <v>#VALUE!</v>
      </c>
    </row>
    <row r="4798" spans="42:44">
      <c r="AP4798" s="1756" t="e">
        <f>IF(OR(AR4798=S13,AR4798&gt;S13),AR4798,"")</f>
        <v>#VALUE!</v>
      </c>
      <c r="AQ4798" s="1759">
        <f t="shared" si="133"/>
        <v>4795</v>
      </c>
      <c r="AR4798" s="1756" t="e">
        <f>0.5*(S18+2*AQ4798)*LN(1+2*AQ4798/S18)</f>
        <v>#VALUE!</v>
      </c>
    </row>
    <row r="4799" spans="42:44">
      <c r="AP4799" s="1756" t="e">
        <f>IF(OR(AR4799=S13,AR4799&gt;S13),AR4799,"")</f>
        <v>#VALUE!</v>
      </c>
      <c r="AQ4799" s="1759">
        <f t="shared" si="133"/>
        <v>4796</v>
      </c>
      <c r="AR4799" s="1756" t="e">
        <f>0.5*(S18+2*AQ4799)*LN(1+2*AQ4799/S18)</f>
        <v>#VALUE!</v>
      </c>
    </row>
    <row r="4800" spans="42:44">
      <c r="AP4800" s="1756" t="e">
        <f>IF(OR(AR4800=S13,AR4800&gt;S13),AR4800,"")</f>
        <v>#VALUE!</v>
      </c>
      <c r="AQ4800" s="1759">
        <f t="shared" si="133"/>
        <v>4797</v>
      </c>
      <c r="AR4800" s="1756" t="e">
        <f>0.5*(S18+2*AQ4800)*LN(1+2*AQ4800/S18)</f>
        <v>#VALUE!</v>
      </c>
    </row>
    <row r="4801" spans="42:44">
      <c r="AP4801" s="1756" t="e">
        <f>IF(OR(AR4801=S13,AR4801&gt;S13),AR4801,"")</f>
        <v>#VALUE!</v>
      </c>
      <c r="AQ4801" s="1759">
        <f t="shared" si="133"/>
        <v>4798</v>
      </c>
      <c r="AR4801" s="1756" t="e">
        <f>0.5*(S18+2*AQ4801)*LN(1+2*AQ4801/S18)</f>
        <v>#VALUE!</v>
      </c>
    </row>
    <row r="4802" spans="42:44">
      <c r="AP4802" s="1756" t="e">
        <f>IF(OR(AR4802=S13,AR4802&gt;S13),AR4802,"")</f>
        <v>#VALUE!</v>
      </c>
      <c r="AQ4802" s="1759">
        <f t="shared" si="133"/>
        <v>4799</v>
      </c>
      <c r="AR4802" s="1756" t="e">
        <f>0.5*(S18+2*AQ4802)*LN(1+2*AQ4802/S18)</f>
        <v>#VALUE!</v>
      </c>
    </row>
    <row r="4803" spans="42:44">
      <c r="AP4803" s="1756" t="e">
        <f>IF(OR(AR4803=S13,AR4803&gt;S13),AR4803,"")</f>
        <v>#VALUE!</v>
      </c>
      <c r="AQ4803" s="1759">
        <f t="shared" si="133"/>
        <v>4800</v>
      </c>
      <c r="AR4803" s="1756" t="e">
        <f>0.5*(S18+2*AQ4803)*LN(1+2*AQ4803/S18)</f>
        <v>#VALUE!</v>
      </c>
    </row>
    <row r="4804" spans="42:44">
      <c r="AP4804" s="1756" t="e">
        <f>IF(OR(AR4804=S13,AR4804&gt;S13),AR4804,"")</f>
        <v>#VALUE!</v>
      </c>
      <c r="AQ4804" s="1759">
        <f t="shared" si="133"/>
        <v>4801</v>
      </c>
      <c r="AR4804" s="1756" t="e">
        <f>0.5*(S18+2*AQ4804)*LN(1+2*AQ4804/S18)</f>
        <v>#VALUE!</v>
      </c>
    </row>
    <row r="4805" spans="42:44">
      <c r="AP4805" s="1756" t="e">
        <f>IF(OR(AR4805=S13,AR4805&gt;S13),AR4805,"")</f>
        <v>#VALUE!</v>
      </c>
      <c r="AQ4805" s="1759">
        <f t="shared" si="133"/>
        <v>4802</v>
      </c>
      <c r="AR4805" s="1756" t="e">
        <f>0.5*(S18+2*AQ4805)*LN(1+2*AQ4805/S18)</f>
        <v>#VALUE!</v>
      </c>
    </row>
    <row r="4806" spans="42:44">
      <c r="AP4806" s="1756" t="e">
        <f>IF(OR(AR4806=S13,AR4806&gt;S13),AR4806,"")</f>
        <v>#VALUE!</v>
      </c>
      <c r="AQ4806" s="1759">
        <f t="shared" ref="AQ4806:AQ4869" si="134">AQ4805+1</f>
        <v>4803</v>
      </c>
      <c r="AR4806" s="1756" t="e">
        <f>0.5*(S18+2*AQ4806)*LN(1+2*AQ4806/S18)</f>
        <v>#VALUE!</v>
      </c>
    </row>
    <row r="4807" spans="42:44">
      <c r="AP4807" s="1756" t="e">
        <f>IF(OR(AR4807=S13,AR4807&gt;S13),AR4807,"")</f>
        <v>#VALUE!</v>
      </c>
      <c r="AQ4807" s="1759">
        <f t="shared" si="134"/>
        <v>4804</v>
      </c>
      <c r="AR4807" s="1756" t="e">
        <f>0.5*(S18+2*AQ4807)*LN(1+2*AQ4807/S18)</f>
        <v>#VALUE!</v>
      </c>
    </row>
    <row r="4808" spans="42:44">
      <c r="AP4808" s="1756" t="e">
        <f>IF(OR(AR4808=S13,AR4808&gt;S13),AR4808,"")</f>
        <v>#VALUE!</v>
      </c>
      <c r="AQ4808" s="1759">
        <f t="shared" si="134"/>
        <v>4805</v>
      </c>
      <c r="AR4808" s="1756" t="e">
        <f>0.5*(S18+2*AQ4808)*LN(1+2*AQ4808/S18)</f>
        <v>#VALUE!</v>
      </c>
    </row>
    <row r="4809" spans="42:44">
      <c r="AP4809" s="1756" t="e">
        <f>IF(OR(AR4809=S13,AR4809&gt;S13),AR4809,"")</f>
        <v>#VALUE!</v>
      </c>
      <c r="AQ4809" s="1759">
        <f t="shared" si="134"/>
        <v>4806</v>
      </c>
      <c r="AR4809" s="1756" t="e">
        <f>0.5*(S18+2*AQ4809)*LN(1+2*AQ4809/S18)</f>
        <v>#VALUE!</v>
      </c>
    </row>
    <row r="4810" spans="42:44">
      <c r="AP4810" s="1756" t="e">
        <f>IF(OR(AR4810=S13,AR4810&gt;S13),AR4810,"")</f>
        <v>#VALUE!</v>
      </c>
      <c r="AQ4810" s="1759">
        <f t="shared" si="134"/>
        <v>4807</v>
      </c>
      <c r="AR4810" s="1756" t="e">
        <f>0.5*(S18+2*AQ4810)*LN(1+2*AQ4810/S18)</f>
        <v>#VALUE!</v>
      </c>
    </row>
    <row r="4811" spans="42:44">
      <c r="AP4811" s="1756" t="e">
        <f>IF(OR(AR4811=S13,AR4811&gt;S13),AR4811,"")</f>
        <v>#VALUE!</v>
      </c>
      <c r="AQ4811" s="1759">
        <f t="shared" si="134"/>
        <v>4808</v>
      </c>
      <c r="AR4811" s="1756" t="e">
        <f>0.5*(S18+2*AQ4811)*LN(1+2*AQ4811/S18)</f>
        <v>#VALUE!</v>
      </c>
    </row>
    <row r="4812" spans="42:44">
      <c r="AP4812" s="1756" t="e">
        <f>IF(OR(AR4812=S13,AR4812&gt;S13),AR4812,"")</f>
        <v>#VALUE!</v>
      </c>
      <c r="AQ4812" s="1759">
        <f t="shared" si="134"/>
        <v>4809</v>
      </c>
      <c r="AR4812" s="1756" t="e">
        <f>0.5*(S18+2*AQ4812)*LN(1+2*AQ4812/S18)</f>
        <v>#VALUE!</v>
      </c>
    </row>
    <row r="4813" spans="42:44">
      <c r="AP4813" s="1756" t="e">
        <f>IF(OR(AR4813=S13,AR4813&gt;S13),AR4813,"")</f>
        <v>#VALUE!</v>
      </c>
      <c r="AQ4813" s="1759">
        <f t="shared" si="134"/>
        <v>4810</v>
      </c>
      <c r="AR4813" s="1756" t="e">
        <f>0.5*(S18+2*AQ4813)*LN(1+2*AQ4813/S18)</f>
        <v>#VALUE!</v>
      </c>
    </row>
    <row r="4814" spans="42:44">
      <c r="AP4814" s="1756" t="e">
        <f>IF(OR(AR4814=S13,AR4814&gt;S13),AR4814,"")</f>
        <v>#VALUE!</v>
      </c>
      <c r="AQ4814" s="1759">
        <f t="shared" si="134"/>
        <v>4811</v>
      </c>
      <c r="AR4814" s="1756" t="e">
        <f>0.5*(S18+2*AQ4814)*LN(1+2*AQ4814/S18)</f>
        <v>#VALUE!</v>
      </c>
    </row>
    <row r="4815" spans="42:44">
      <c r="AP4815" s="1756" t="e">
        <f>IF(OR(AR4815=S13,AR4815&gt;S13),AR4815,"")</f>
        <v>#VALUE!</v>
      </c>
      <c r="AQ4815" s="1759">
        <f t="shared" si="134"/>
        <v>4812</v>
      </c>
      <c r="AR4815" s="1756" t="e">
        <f>0.5*(S18+2*AQ4815)*LN(1+2*AQ4815/S18)</f>
        <v>#VALUE!</v>
      </c>
    </row>
    <row r="4816" spans="42:44">
      <c r="AP4816" s="1756" t="e">
        <f>IF(OR(AR4816=S13,AR4816&gt;S13),AR4816,"")</f>
        <v>#VALUE!</v>
      </c>
      <c r="AQ4816" s="1759">
        <f t="shared" si="134"/>
        <v>4813</v>
      </c>
      <c r="AR4816" s="1756" t="e">
        <f>0.5*(S18+2*AQ4816)*LN(1+2*AQ4816/S18)</f>
        <v>#VALUE!</v>
      </c>
    </row>
    <row r="4817" spans="42:44">
      <c r="AP4817" s="1756" t="e">
        <f>IF(OR(AR4817=S13,AR4817&gt;S13),AR4817,"")</f>
        <v>#VALUE!</v>
      </c>
      <c r="AQ4817" s="1759">
        <f t="shared" si="134"/>
        <v>4814</v>
      </c>
      <c r="AR4817" s="1756" t="e">
        <f>0.5*(S18+2*AQ4817)*LN(1+2*AQ4817/S18)</f>
        <v>#VALUE!</v>
      </c>
    </row>
    <row r="4818" spans="42:44">
      <c r="AP4818" s="1756" t="e">
        <f>IF(OR(AR4818=S13,AR4818&gt;S13),AR4818,"")</f>
        <v>#VALUE!</v>
      </c>
      <c r="AQ4818" s="1759">
        <f t="shared" si="134"/>
        <v>4815</v>
      </c>
      <c r="AR4818" s="1756" t="e">
        <f>0.5*(S18+2*AQ4818)*LN(1+2*AQ4818/S18)</f>
        <v>#VALUE!</v>
      </c>
    </row>
    <row r="4819" spans="42:44">
      <c r="AP4819" s="1756" t="e">
        <f>IF(OR(AR4819=S13,AR4819&gt;S13),AR4819,"")</f>
        <v>#VALUE!</v>
      </c>
      <c r="AQ4819" s="1759">
        <f t="shared" si="134"/>
        <v>4816</v>
      </c>
      <c r="AR4819" s="1756" t="e">
        <f>0.5*(S18+2*AQ4819)*LN(1+2*AQ4819/S18)</f>
        <v>#VALUE!</v>
      </c>
    </row>
    <row r="4820" spans="42:44">
      <c r="AP4820" s="1756" t="e">
        <f>IF(OR(AR4820=S13,AR4820&gt;S13),AR4820,"")</f>
        <v>#VALUE!</v>
      </c>
      <c r="AQ4820" s="1759">
        <f t="shared" si="134"/>
        <v>4817</v>
      </c>
      <c r="AR4820" s="1756" t="e">
        <f>0.5*(S18+2*AQ4820)*LN(1+2*AQ4820/S18)</f>
        <v>#VALUE!</v>
      </c>
    </row>
    <row r="4821" spans="42:44">
      <c r="AP4821" s="1756" t="e">
        <f>IF(OR(AR4821=S13,AR4821&gt;S13),AR4821,"")</f>
        <v>#VALUE!</v>
      </c>
      <c r="AQ4821" s="1759">
        <f t="shared" si="134"/>
        <v>4818</v>
      </c>
      <c r="AR4821" s="1756" t="e">
        <f>0.5*(S18+2*AQ4821)*LN(1+2*AQ4821/S18)</f>
        <v>#VALUE!</v>
      </c>
    </row>
    <row r="4822" spans="42:44">
      <c r="AP4822" s="1756" t="e">
        <f>IF(OR(AR4822=S13,AR4822&gt;S13),AR4822,"")</f>
        <v>#VALUE!</v>
      </c>
      <c r="AQ4822" s="1759">
        <f t="shared" si="134"/>
        <v>4819</v>
      </c>
      <c r="AR4822" s="1756" t="e">
        <f>0.5*(S18+2*AQ4822)*LN(1+2*AQ4822/S18)</f>
        <v>#VALUE!</v>
      </c>
    </row>
    <row r="4823" spans="42:44">
      <c r="AP4823" s="1756" t="e">
        <f>IF(OR(AR4823=S13,AR4823&gt;S13),AR4823,"")</f>
        <v>#VALUE!</v>
      </c>
      <c r="AQ4823" s="1759">
        <f t="shared" si="134"/>
        <v>4820</v>
      </c>
      <c r="AR4823" s="1756" t="e">
        <f>0.5*(S18+2*AQ4823)*LN(1+2*AQ4823/S18)</f>
        <v>#VALUE!</v>
      </c>
    </row>
    <row r="4824" spans="42:44">
      <c r="AP4824" s="1756" t="e">
        <f>IF(OR(AR4824=S13,AR4824&gt;S13),AR4824,"")</f>
        <v>#VALUE!</v>
      </c>
      <c r="AQ4824" s="1759">
        <f t="shared" si="134"/>
        <v>4821</v>
      </c>
      <c r="AR4824" s="1756" t="e">
        <f>0.5*(S18+2*AQ4824)*LN(1+2*AQ4824/S18)</f>
        <v>#VALUE!</v>
      </c>
    </row>
    <row r="4825" spans="42:44">
      <c r="AP4825" s="1756" t="e">
        <f>IF(OR(AR4825=S13,AR4825&gt;S13),AR4825,"")</f>
        <v>#VALUE!</v>
      </c>
      <c r="AQ4825" s="1759">
        <f t="shared" si="134"/>
        <v>4822</v>
      </c>
      <c r="AR4825" s="1756" t="e">
        <f>0.5*(S18+2*AQ4825)*LN(1+2*AQ4825/S18)</f>
        <v>#VALUE!</v>
      </c>
    </row>
    <row r="4826" spans="42:44">
      <c r="AP4826" s="1756" t="e">
        <f>IF(OR(AR4826=S13,AR4826&gt;S13),AR4826,"")</f>
        <v>#VALUE!</v>
      </c>
      <c r="AQ4826" s="1759">
        <f t="shared" si="134"/>
        <v>4823</v>
      </c>
      <c r="AR4826" s="1756" t="e">
        <f>0.5*(S18+2*AQ4826)*LN(1+2*AQ4826/S18)</f>
        <v>#VALUE!</v>
      </c>
    </row>
    <row r="4827" spans="42:44">
      <c r="AP4827" s="1756" t="e">
        <f>IF(OR(AR4827=S13,AR4827&gt;S13),AR4827,"")</f>
        <v>#VALUE!</v>
      </c>
      <c r="AQ4827" s="1759">
        <f t="shared" si="134"/>
        <v>4824</v>
      </c>
      <c r="AR4827" s="1756" t="e">
        <f>0.5*(S18+2*AQ4827)*LN(1+2*AQ4827/S18)</f>
        <v>#VALUE!</v>
      </c>
    </row>
    <row r="4828" spans="42:44">
      <c r="AP4828" s="1756" t="e">
        <f>IF(OR(AR4828=S13,AR4828&gt;S13),AR4828,"")</f>
        <v>#VALUE!</v>
      </c>
      <c r="AQ4828" s="1759">
        <f t="shared" si="134"/>
        <v>4825</v>
      </c>
      <c r="AR4828" s="1756" t="e">
        <f>0.5*(S18+2*AQ4828)*LN(1+2*AQ4828/S18)</f>
        <v>#VALUE!</v>
      </c>
    </row>
    <row r="4829" spans="42:44">
      <c r="AP4829" s="1756" t="e">
        <f>IF(OR(AR4829=S13,AR4829&gt;S13),AR4829,"")</f>
        <v>#VALUE!</v>
      </c>
      <c r="AQ4829" s="1759">
        <f t="shared" si="134"/>
        <v>4826</v>
      </c>
      <c r="AR4829" s="1756" t="e">
        <f>0.5*(S18+2*AQ4829)*LN(1+2*AQ4829/S18)</f>
        <v>#VALUE!</v>
      </c>
    </row>
    <row r="4830" spans="42:44">
      <c r="AP4830" s="1756" t="e">
        <f>IF(OR(AR4830=S13,AR4830&gt;S13),AR4830,"")</f>
        <v>#VALUE!</v>
      </c>
      <c r="AQ4830" s="1759">
        <f t="shared" si="134"/>
        <v>4827</v>
      </c>
      <c r="AR4830" s="1756" t="e">
        <f>0.5*(S18+2*AQ4830)*LN(1+2*AQ4830/S18)</f>
        <v>#VALUE!</v>
      </c>
    </row>
    <row r="4831" spans="42:44">
      <c r="AP4831" s="1756" t="e">
        <f>IF(OR(AR4831=S13,AR4831&gt;S13),AR4831,"")</f>
        <v>#VALUE!</v>
      </c>
      <c r="AQ4831" s="1759">
        <f t="shared" si="134"/>
        <v>4828</v>
      </c>
      <c r="AR4831" s="1756" t="e">
        <f>0.5*(S18+2*AQ4831)*LN(1+2*AQ4831/S18)</f>
        <v>#VALUE!</v>
      </c>
    </row>
    <row r="4832" spans="42:44">
      <c r="AP4832" s="1756" t="e">
        <f>IF(OR(AR4832=S13,AR4832&gt;S13),AR4832,"")</f>
        <v>#VALUE!</v>
      </c>
      <c r="AQ4832" s="1759">
        <f t="shared" si="134"/>
        <v>4829</v>
      </c>
      <c r="AR4832" s="1756" t="e">
        <f>0.5*(S18+2*AQ4832)*LN(1+2*AQ4832/S18)</f>
        <v>#VALUE!</v>
      </c>
    </row>
    <row r="4833" spans="42:44">
      <c r="AP4833" s="1756" t="e">
        <f>IF(OR(AR4833=S13,AR4833&gt;S13),AR4833,"")</f>
        <v>#VALUE!</v>
      </c>
      <c r="AQ4833" s="1759">
        <f t="shared" si="134"/>
        <v>4830</v>
      </c>
      <c r="AR4833" s="1756" t="e">
        <f>0.5*(S18+2*AQ4833)*LN(1+2*AQ4833/S18)</f>
        <v>#VALUE!</v>
      </c>
    </row>
    <row r="4834" spans="42:44">
      <c r="AP4834" s="1756" t="e">
        <f>IF(OR(AR4834=S13,AR4834&gt;S13),AR4834,"")</f>
        <v>#VALUE!</v>
      </c>
      <c r="AQ4834" s="1759">
        <f t="shared" si="134"/>
        <v>4831</v>
      </c>
      <c r="AR4834" s="1756" t="e">
        <f>0.5*(S18+2*AQ4834)*LN(1+2*AQ4834/S18)</f>
        <v>#VALUE!</v>
      </c>
    </row>
    <row r="4835" spans="42:44">
      <c r="AP4835" s="1756" t="e">
        <f>IF(OR(AR4835=S13,AR4835&gt;S13),AR4835,"")</f>
        <v>#VALUE!</v>
      </c>
      <c r="AQ4835" s="1759">
        <f t="shared" si="134"/>
        <v>4832</v>
      </c>
      <c r="AR4835" s="1756" t="e">
        <f>0.5*(S18+2*AQ4835)*LN(1+2*AQ4835/S18)</f>
        <v>#VALUE!</v>
      </c>
    </row>
    <row r="4836" spans="42:44">
      <c r="AP4836" s="1756" t="e">
        <f>IF(OR(AR4836=S13,AR4836&gt;S13),AR4836,"")</f>
        <v>#VALUE!</v>
      </c>
      <c r="AQ4836" s="1759">
        <f t="shared" si="134"/>
        <v>4833</v>
      </c>
      <c r="AR4836" s="1756" t="e">
        <f>0.5*(S18+2*AQ4836)*LN(1+2*AQ4836/S18)</f>
        <v>#VALUE!</v>
      </c>
    </row>
    <row r="4837" spans="42:44">
      <c r="AP4837" s="1756" t="e">
        <f>IF(OR(AR4837=S13,AR4837&gt;S13),AR4837,"")</f>
        <v>#VALUE!</v>
      </c>
      <c r="AQ4837" s="1759">
        <f t="shared" si="134"/>
        <v>4834</v>
      </c>
      <c r="AR4837" s="1756" t="e">
        <f>0.5*(S18+2*AQ4837)*LN(1+2*AQ4837/S18)</f>
        <v>#VALUE!</v>
      </c>
    </row>
    <row r="4838" spans="42:44">
      <c r="AP4838" s="1756" t="e">
        <f>IF(OR(AR4838=S13,AR4838&gt;S13),AR4838,"")</f>
        <v>#VALUE!</v>
      </c>
      <c r="AQ4838" s="1759">
        <f t="shared" si="134"/>
        <v>4835</v>
      </c>
      <c r="AR4838" s="1756" t="e">
        <f>0.5*(S18+2*AQ4838)*LN(1+2*AQ4838/S18)</f>
        <v>#VALUE!</v>
      </c>
    </row>
    <row r="4839" spans="42:44">
      <c r="AP4839" s="1756" t="e">
        <f>IF(OR(AR4839=S13,AR4839&gt;S13),AR4839,"")</f>
        <v>#VALUE!</v>
      </c>
      <c r="AQ4839" s="1759">
        <f t="shared" si="134"/>
        <v>4836</v>
      </c>
      <c r="AR4839" s="1756" t="e">
        <f>0.5*(S18+2*AQ4839)*LN(1+2*AQ4839/S18)</f>
        <v>#VALUE!</v>
      </c>
    </row>
    <row r="4840" spans="42:44">
      <c r="AP4840" s="1756" t="e">
        <f>IF(OR(AR4840=S13,AR4840&gt;S13),AR4840,"")</f>
        <v>#VALUE!</v>
      </c>
      <c r="AQ4840" s="1759">
        <f t="shared" si="134"/>
        <v>4837</v>
      </c>
      <c r="AR4840" s="1756" t="e">
        <f>0.5*(S18+2*AQ4840)*LN(1+2*AQ4840/S18)</f>
        <v>#VALUE!</v>
      </c>
    </row>
    <row r="4841" spans="42:44">
      <c r="AP4841" s="1756" t="e">
        <f>IF(OR(AR4841=S13,AR4841&gt;S13),AR4841,"")</f>
        <v>#VALUE!</v>
      </c>
      <c r="AQ4841" s="1759">
        <f t="shared" si="134"/>
        <v>4838</v>
      </c>
      <c r="AR4841" s="1756" t="e">
        <f>0.5*(S18+2*AQ4841)*LN(1+2*AQ4841/S18)</f>
        <v>#VALUE!</v>
      </c>
    </row>
    <row r="4842" spans="42:44">
      <c r="AP4842" s="1756" t="e">
        <f>IF(OR(AR4842=S13,AR4842&gt;S13),AR4842,"")</f>
        <v>#VALUE!</v>
      </c>
      <c r="AQ4842" s="1759">
        <f t="shared" si="134"/>
        <v>4839</v>
      </c>
      <c r="AR4842" s="1756" t="e">
        <f>0.5*(S18+2*AQ4842)*LN(1+2*AQ4842/S18)</f>
        <v>#VALUE!</v>
      </c>
    </row>
    <row r="4843" spans="42:44">
      <c r="AP4843" s="1756" t="e">
        <f>IF(OR(AR4843=S13,AR4843&gt;S13),AR4843,"")</f>
        <v>#VALUE!</v>
      </c>
      <c r="AQ4843" s="1759">
        <f t="shared" si="134"/>
        <v>4840</v>
      </c>
      <c r="AR4843" s="1756" t="e">
        <f>0.5*(S18+2*AQ4843)*LN(1+2*AQ4843/S18)</f>
        <v>#VALUE!</v>
      </c>
    </row>
    <row r="4844" spans="42:44">
      <c r="AP4844" s="1756" t="e">
        <f>IF(OR(AR4844=S13,AR4844&gt;S13),AR4844,"")</f>
        <v>#VALUE!</v>
      </c>
      <c r="AQ4844" s="1759">
        <f t="shared" si="134"/>
        <v>4841</v>
      </c>
      <c r="AR4844" s="1756" t="e">
        <f>0.5*(S18+2*AQ4844)*LN(1+2*AQ4844/S18)</f>
        <v>#VALUE!</v>
      </c>
    </row>
    <row r="4845" spans="42:44">
      <c r="AP4845" s="1756" t="e">
        <f>IF(OR(AR4845=S13,AR4845&gt;S13),AR4845,"")</f>
        <v>#VALUE!</v>
      </c>
      <c r="AQ4845" s="1759">
        <f t="shared" si="134"/>
        <v>4842</v>
      </c>
      <c r="AR4845" s="1756" t="e">
        <f>0.5*(S18+2*AQ4845)*LN(1+2*AQ4845/S18)</f>
        <v>#VALUE!</v>
      </c>
    </row>
    <row r="4846" spans="42:44">
      <c r="AP4846" s="1756" t="e">
        <f>IF(OR(AR4846=S13,AR4846&gt;S13),AR4846,"")</f>
        <v>#VALUE!</v>
      </c>
      <c r="AQ4846" s="1759">
        <f t="shared" si="134"/>
        <v>4843</v>
      </c>
      <c r="AR4846" s="1756" t="e">
        <f>0.5*(S18+2*AQ4846)*LN(1+2*AQ4846/S18)</f>
        <v>#VALUE!</v>
      </c>
    </row>
    <row r="4847" spans="42:44">
      <c r="AP4847" s="1756" t="e">
        <f>IF(OR(AR4847=S13,AR4847&gt;S13),AR4847,"")</f>
        <v>#VALUE!</v>
      </c>
      <c r="AQ4847" s="1759">
        <f t="shared" si="134"/>
        <v>4844</v>
      </c>
      <c r="AR4847" s="1756" t="e">
        <f>0.5*(S18+2*AQ4847)*LN(1+2*AQ4847/S18)</f>
        <v>#VALUE!</v>
      </c>
    </row>
    <row r="4848" spans="42:44">
      <c r="AP4848" s="1756" t="e">
        <f>IF(OR(AR4848=S13,AR4848&gt;S13),AR4848,"")</f>
        <v>#VALUE!</v>
      </c>
      <c r="AQ4848" s="1759">
        <f t="shared" si="134"/>
        <v>4845</v>
      </c>
      <c r="AR4848" s="1756" t="e">
        <f>0.5*(S18+2*AQ4848)*LN(1+2*AQ4848/S18)</f>
        <v>#VALUE!</v>
      </c>
    </row>
    <row r="4849" spans="42:44">
      <c r="AP4849" s="1756" t="e">
        <f>IF(OR(AR4849=S13,AR4849&gt;S13),AR4849,"")</f>
        <v>#VALUE!</v>
      </c>
      <c r="AQ4849" s="1759">
        <f t="shared" si="134"/>
        <v>4846</v>
      </c>
      <c r="AR4849" s="1756" t="e">
        <f>0.5*(S18+2*AQ4849)*LN(1+2*AQ4849/S18)</f>
        <v>#VALUE!</v>
      </c>
    </row>
    <row r="4850" spans="42:44">
      <c r="AP4850" s="1756" t="e">
        <f>IF(OR(AR4850=S13,AR4850&gt;S13),AR4850,"")</f>
        <v>#VALUE!</v>
      </c>
      <c r="AQ4850" s="1759">
        <f t="shared" si="134"/>
        <v>4847</v>
      </c>
      <c r="AR4850" s="1756" t="e">
        <f>0.5*(S18+2*AQ4850)*LN(1+2*AQ4850/S18)</f>
        <v>#VALUE!</v>
      </c>
    </row>
    <row r="4851" spans="42:44">
      <c r="AP4851" s="1756" t="e">
        <f>IF(OR(AR4851=S13,AR4851&gt;S13),AR4851,"")</f>
        <v>#VALUE!</v>
      </c>
      <c r="AQ4851" s="1759">
        <f t="shared" si="134"/>
        <v>4848</v>
      </c>
      <c r="AR4851" s="1756" t="e">
        <f>0.5*(S18+2*AQ4851)*LN(1+2*AQ4851/S18)</f>
        <v>#VALUE!</v>
      </c>
    </row>
    <row r="4852" spans="42:44">
      <c r="AP4852" s="1756" t="e">
        <f>IF(OR(AR4852=S13,AR4852&gt;S13),AR4852,"")</f>
        <v>#VALUE!</v>
      </c>
      <c r="AQ4852" s="1759">
        <f t="shared" si="134"/>
        <v>4849</v>
      </c>
      <c r="AR4852" s="1756" t="e">
        <f>0.5*(S18+2*AQ4852)*LN(1+2*AQ4852/S18)</f>
        <v>#VALUE!</v>
      </c>
    </row>
    <row r="4853" spans="42:44">
      <c r="AP4853" s="1756" t="e">
        <f>IF(OR(AR4853=S13,AR4853&gt;S13),AR4853,"")</f>
        <v>#VALUE!</v>
      </c>
      <c r="AQ4853" s="1759">
        <f t="shared" si="134"/>
        <v>4850</v>
      </c>
      <c r="AR4853" s="1756" t="e">
        <f>0.5*(S18+2*AQ4853)*LN(1+2*AQ4853/S18)</f>
        <v>#VALUE!</v>
      </c>
    </row>
    <row r="4854" spans="42:44">
      <c r="AP4854" s="1756" t="e">
        <f>IF(OR(AR4854=S13,AR4854&gt;S13),AR4854,"")</f>
        <v>#VALUE!</v>
      </c>
      <c r="AQ4854" s="1759">
        <f t="shared" si="134"/>
        <v>4851</v>
      </c>
      <c r="AR4854" s="1756" t="e">
        <f>0.5*(S18+2*AQ4854)*LN(1+2*AQ4854/S18)</f>
        <v>#VALUE!</v>
      </c>
    </row>
    <row r="4855" spans="42:44">
      <c r="AP4855" s="1756" t="e">
        <f>IF(OR(AR4855=S13,AR4855&gt;S13),AR4855,"")</f>
        <v>#VALUE!</v>
      </c>
      <c r="AQ4855" s="1759">
        <f t="shared" si="134"/>
        <v>4852</v>
      </c>
      <c r="AR4855" s="1756" t="e">
        <f>0.5*(S18+2*AQ4855)*LN(1+2*AQ4855/S18)</f>
        <v>#VALUE!</v>
      </c>
    </row>
    <row r="4856" spans="42:44">
      <c r="AP4856" s="1756" t="e">
        <f>IF(OR(AR4856=S13,AR4856&gt;S13),AR4856,"")</f>
        <v>#VALUE!</v>
      </c>
      <c r="AQ4856" s="1759">
        <f t="shared" si="134"/>
        <v>4853</v>
      </c>
      <c r="AR4856" s="1756" t="e">
        <f>0.5*(S18+2*AQ4856)*LN(1+2*AQ4856/S18)</f>
        <v>#VALUE!</v>
      </c>
    </row>
    <row r="4857" spans="42:44">
      <c r="AP4857" s="1756" t="e">
        <f>IF(OR(AR4857=S13,AR4857&gt;S13),AR4857,"")</f>
        <v>#VALUE!</v>
      </c>
      <c r="AQ4857" s="1759">
        <f t="shared" si="134"/>
        <v>4854</v>
      </c>
      <c r="AR4857" s="1756" t="e">
        <f>0.5*(S18+2*AQ4857)*LN(1+2*AQ4857/S18)</f>
        <v>#VALUE!</v>
      </c>
    </row>
    <row r="4858" spans="42:44">
      <c r="AP4858" s="1756" t="e">
        <f>IF(OR(AR4858=S13,AR4858&gt;S13),AR4858,"")</f>
        <v>#VALUE!</v>
      </c>
      <c r="AQ4858" s="1759">
        <f t="shared" si="134"/>
        <v>4855</v>
      </c>
      <c r="AR4858" s="1756" t="e">
        <f>0.5*(S18+2*AQ4858)*LN(1+2*AQ4858/S18)</f>
        <v>#VALUE!</v>
      </c>
    </row>
    <row r="4859" spans="42:44">
      <c r="AP4859" s="1756" t="e">
        <f>IF(OR(AR4859=S13,AR4859&gt;S13),AR4859,"")</f>
        <v>#VALUE!</v>
      </c>
      <c r="AQ4859" s="1759">
        <f t="shared" si="134"/>
        <v>4856</v>
      </c>
      <c r="AR4859" s="1756" t="e">
        <f>0.5*(S18+2*AQ4859)*LN(1+2*AQ4859/S18)</f>
        <v>#VALUE!</v>
      </c>
    </row>
    <row r="4860" spans="42:44">
      <c r="AP4860" s="1756" t="e">
        <f>IF(OR(AR4860=S13,AR4860&gt;S13),AR4860,"")</f>
        <v>#VALUE!</v>
      </c>
      <c r="AQ4860" s="1759">
        <f t="shared" si="134"/>
        <v>4857</v>
      </c>
      <c r="AR4860" s="1756" t="e">
        <f>0.5*(S18+2*AQ4860)*LN(1+2*AQ4860/S18)</f>
        <v>#VALUE!</v>
      </c>
    </row>
    <row r="4861" spans="42:44">
      <c r="AP4861" s="1756" t="e">
        <f>IF(OR(AR4861=S13,AR4861&gt;S13),AR4861,"")</f>
        <v>#VALUE!</v>
      </c>
      <c r="AQ4861" s="1759">
        <f t="shared" si="134"/>
        <v>4858</v>
      </c>
      <c r="AR4861" s="1756" t="e">
        <f>0.5*(S18+2*AQ4861)*LN(1+2*AQ4861/S18)</f>
        <v>#VALUE!</v>
      </c>
    </row>
    <row r="4862" spans="42:44">
      <c r="AP4862" s="1756" t="e">
        <f>IF(OR(AR4862=S13,AR4862&gt;S13),AR4862,"")</f>
        <v>#VALUE!</v>
      </c>
      <c r="AQ4862" s="1759">
        <f t="shared" si="134"/>
        <v>4859</v>
      </c>
      <c r="AR4862" s="1756" t="e">
        <f>0.5*(S18+2*AQ4862)*LN(1+2*AQ4862/S18)</f>
        <v>#VALUE!</v>
      </c>
    </row>
    <row r="4863" spans="42:44">
      <c r="AP4863" s="1756" t="e">
        <f>IF(OR(AR4863=S13,AR4863&gt;S13),AR4863,"")</f>
        <v>#VALUE!</v>
      </c>
      <c r="AQ4863" s="1759">
        <f t="shared" si="134"/>
        <v>4860</v>
      </c>
      <c r="AR4863" s="1756" t="e">
        <f>0.5*(S18+2*AQ4863)*LN(1+2*AQ4863/S18)</f>
        <v>#VALUE!</v>
      </c>
    </row>
    <row r="4864" spans="42:44">
      <c r="AP4864" s="1756" t="e">
        <f>IF(OR(AR4864=S13,AR4864&gt;S13),AR4864,"")</f>
        <v>#VALUE!</v>
      </c>
      <c r="AQ4864" s="1759">
        <f t="shared" si="134"/>
        <v>4861</v>
      </c>
      <c r="AR4864" s="1756" t="e">
        <f>0.5*(S18+2*AQ4864)*LN(1+2*AQ4864/S18)</f>
        <v>#VALUE!</v>
      </c>
    </row>
    <row r="4865" spans="42:44">
      <c r="AP4865" s="1756" t="e">
        <f>IF(OR(AR4865=S13,AR4865&gt;S13),AR4865,"")</f>
        <v>#VALUE!</v>
      </c>
      <c r="AQ4865" s="1759">
        <f t="shared" si="134"/>
        <v>4862</v>
      </c>
      <c r="AR4865" s="1756" t="e">
        <f>0.5*(S18+2*AQ4865)*LN(1+2*AQ4865/S18)</f>
        <v>#VALUE!</v>
      </c>
    </row>
    <row r="4866" spans="42:44">
      <c r="AP4866" s="1756" t="e">
        <f>IF(OR(AR4866=S13,AR4866&gt;S13),AR4866,"")</f>
        <v>#VALUE!</v>
      </c>
      <c r="AQ4866" s="1759">
        <f t="shared" si="134"/>
        <v>4863</v>
      </c>
      <c r="AR4866" s="1756" t="e">
        <f>0.5*(S18+2*AQ4866)*LN(1+2*AQ4866/S18)</f>
        <v>#VALUE!</v>
      </c>
    </row>
    <row r="4867" spans="42:44">
      <c r="AP4867" s="1756" t="e">
        <f>IF(OR(AR4867=S13,AR4867&gt;S13),AR4867,"")</f>
        <v>#VALUE!</v>
      </c>
      <c r="AQ4867" s="1759">
        <f t="shared" si="134"/>
        <v>4864</v>
      </c>
      <c r="AR4867" s="1756" t="e">
        <f>0.5*(S18+2*AQ4867)*LN(1+2*AQ4867/S18)</f>
        <v>#VALUE!</v>
      </c>
    </row>
    <row r="4868" spans="42:44">
      <c r="AP4868" s="1756" t="e">
        <f>IF(OR(AR4868=S13,AR4868&gt;S13),AR4868,"")</f>
        <v>#VALUE!</v>
      </c>
      <c r="AQ4868" s="1759">
        <f t="shared" si="134"/>
        <v>4865</v>
      </c>
      <c r="AR4868" s="1756" t="e">
        <f>0.5*(S18+2*AQ4868)*LN(1+2*AQ4868/S18)</f>
        <v>#VALUE!</v>
      </c>
    </row>
    <row r="4869" spans="42:44">
      <c r="AP4869" s="1756" t="e">
        <f>IF(OR(AR4869=S13,AR4869&gt;S13),AR4869,"")</f>
        <v>#VALUE!</v>
      </c>
      <c r="AQ4869" s="1759">
        <f t="shared" si="134"/>
        <v>4866</v>
      </c>
      <c r="AR4869" s="1756" t="e">
        <f>0.5*(S18+2*AQ4869)*LN(1+2*AQ4869/S18)</f>
        <v>#VALUE!</v>
      </c>
    </row>
    <row r="4870" spans="42:44">
      <c r="AP4870" s="1756" t="e">
        <f>IF(OR(AR4870=S13,AR4870&gt;S13),AR4870,"")</f>
        <v>#VALUE!</v>
      </c>
      <c r="AQ4870" s="1759">
        <f t="shared" ref="AQ4870:AQ4933" si="135">AQ4869+1</f>
        <v>4867</v>
      </c>
      <c r="AR4870" s="1756" t="e">
        <f>0.5*(S18+2*AQ4870)*LN(1+2*AQ4870/S18)</f>
        <v>#VALUE!</v>
      </c>
    </row>
    <row r="4871" spans="42:44">
      <c r="AP4871" s="1756" t="e">
        <f>IF(OR(AR4871=S13,AR4871&gt;S13),AR4871,"")</f>
        <v>#VALUE!</v>
      </c>
      <c r="AQ4871" s="1759">
        <f t="shared" si="135"/>
        <v>4868</v>
      </c>
      <c r="AR4871" s="1756" t="e">
        <f>0.5*(S18+2*AQ4871)*LN(1+2*AQ4871/S18)</f>
        <v>#VALUE!</v>
      </c>
    </row>
    <row r="4872" spans="42:44">
      <c r="AP4872" s="1756" t="e">
        <f>IF(OR(AR4872=S13,AR4872&gt;S13),AR4872,"")</f>
        <v>#VALUE!</v>
      </c>
      <c r="AQ4872" s="1759">
        <f t="shared" si="135"/>
        <v>4869</v>
      </c>
      <c r="AR4872" s="1756" t="e">
        <f>0.5*(S18+2*AQ4872)*LN(1+2*AQ4872/S18)</f>
        <v>#VALUE!</v>
      </c>
    </row>
    <row r="4873" spans="42:44">
      <c r="AP4873" s="1756" t="e">
        <f>IF(OR(AR4873=S13,AR4873&gt;S13),AR4873,"")</f>
        <v>#VALUE!</v>
      </c>
      <c r="AQ4873" s="1759">
        <f t="shared" si="135"/>
        <v>4870</v>
      </c>
      <c r="AR4873" s="1756" t="e">
        <f>0.5*(S18+2*AQ4873)*LN(1+2*AQ4873/S18)</f>
        <v>#VALUE!</v>
      </c>
    </row>
    <row r="4874" spans="42:44">
      <c r="AP4874" s="1756" t="e">
        <f>IF(OR(AR4874=S13,AR4874&gt;S13),AR4874,"")</f>
        <v>#VALUE!</v>
      </c>
      <c r="AQ4874" s="1759">
        <f t="shared" si="135"/>
        <v>4871</v>
      </c>
      <c r="AR4874" s="1756" t="e">
        <f>0.5*(S18+2*AQ4874)*LN(1+2*AQ4874/S18)</f>
        <v>#VALUE!</v>
      </c>
    </row>
    <row r="4875" spans="42:44">
      <c r="AP4875" s="1756" t="e">
        <f>IF(OR(AR4875=S13,AR4875&gt;S13),AR4875,"")</f>
        <v>#VALUE!</v>
      </c>
      <c r="AQ4875" s="1759">
        <f t="shared" si="135"/>
        <v>4872</v>
      </c>
      <c r="AR4875" s="1756" t="e">
        <f>0.5*(S18+2*AQ4875)*LN(1+2*AQ4875/S18)</f>
        <v>#VALUE!</v>
      </c>
    </row>
    <row r="4876" spans="42:44">
      <c r="AP4876" s="1756" t="e">
        <f>IF(OR(AR4876=S13,AR4876&gt;S13),AR4876,"")</f>
        <v>#VALUE!</v>
      </c>
      <c r="AQ4876" s="1759">
        <f t="shared" si="135"/>
        <v>4873</v>
      </c>
      <c r="AR4876" s="1756" t="e">
        <f>0.5*(S18+2*AQ4876)*LN(1+2*AQ4876/S18)</f>
        <v>#VALUE!</v>
      </c>
    </row>
    <row r="4877" spans="42:44">
      <c r="AP4877" s="1756" t="e">
        <f>IF(OR(AR4877=S13,AR4877&gt;S13),AR4877,"")</f>
        <v>#VALUE!</v>
      </c>
      <c r="AQ4877" s="1759">
        <f t="shared" si="135"/>
        <v>4874</v>
      </c>
      <c r="AR4877" s="1756" t="e">
        <f>0.5*(S18+2*AQ4877)*LN(1+2*AQ4877/S18)</f>
        <v>#VALUE!</v>
      </c>
    </row>
    <row r="4878" spans="42:44">
      <c r="AP4878" s="1756" t="e">
        <f>IF(OR(AR4878=S13,AR4878&gt;S13),AR4878,"")</f>
        <v>#VALUE!</v>
      </c>
      <c r="AQ4878" s="1759">
        <f t="shared" si="135"/>
        <v>4875</v>
      </c>
      <c r="AR4878" s="1756" t="e">
        <f>0.5*(S18+2*AQ4878)*LN(1+2*AQ4878/S18)</f>
        <v>#VALUE!</v>
      </c>
    </row>
    <row r="4879" spans="42:44">
      <c r="AP4879" s="1756" t="e">
        <f>IF(OR(AR4879=S13,AR4879&gt;S13),AR4879,"")</f>
        <v>#VALUE!</v>
      </c>
      <c r="AQ4879" s="1759">
        <f t="shared" si="135"/>
        <v>4876</v>
      </c>
      <c r="AR4879" s="1756" t="e">
        <f>0.5*(S18+2*AQ4879)*LN(1+2*AQ4879/S18)</f>
        <v>#VALUE!</v>
      </c>
    </row>
    <row r="4880" spans="42:44">
      <c r="AP4880" s="1756" t="e">
        <f>IF(OR(AR4880=S13,AR4880&gt;S13),AR4880,"")</f>
        <v>#VALUE!</v>
      </c>
      <c r="AQ4880" s="1759">
        <f t="shared" si="135"/>
        <v>4877</v>
      </c>
      <c r="AR4880" s="1756" t="e">
        <f>0.5*(S18+2*AQ4880)*LN(1+2*AQ4880/S18)</f>
        <v>#VALUE!</v>
      </c>
    </row>
    <row r="4881" spans="42:44">
      <c r="AP4881" s="1756" t="e">
        <f>IF(OR(AR4881=S13,AR4881&gt;S13),AR4881,"")</f>
        <v>#VALUE!</v>
      </c>
      <c r="AQ4881" s="1759">
        <f t="shared" si="135"/>
        <v>4878</v>
      </c>
      <c r="AR4881" s="1756" t="e">
        <f>0.5*(S18+2*AQ4881)*LN(1+2*AQ4881/S18)</f>
        <v>#VALUE!</v>
      </c>
    </row>
    <row r="4882" spans="42:44">
      <c r="AP4882" s="1756" t="e">
        <f>IF(OR(AR4882=S13,AR4882&gt;S13),AR4882,"")</f>
        <v>#VALUE!</v>
      </c>
      <c r="AQ4882" s="1759">
        <f t="shared" si="135"/>
        <v>4879</v>
      </c>
      <c r="AR4882" s="1756" t="e">
        <f>0.5*(S18+2*AQ4882)*LN(1+2*AQ4882/S18)</f>
        <v>#VALUE!</v>
      </c>
    </row>
    <row r="4883" spans="42:44">
      <c r="AP4883" s="1756" t="e">
        <f>IF(OR(AR4883=S13,AR4883&gt;S13),AR4883,"")</f>
        <v>#VALUE!</v>
      </c>
      <c r="AQ4883" s="1759">
        <f t="shared" si="135"/>
        <v>4880</v>
      </c>
      <c r="AR4883" s="1756" t="e">
        <f>0.5*(S18+2*AQ4883)*LN(1+2*AQ4883/S18)</f>
        <v>#VALUE!</v>
      </c>
    </row>
    <row r="4884" spans="42:44">
      <c r="AP4884" s="1756" t="e">
        <f>IF(OR(AR4884=S13,AR4884&gt;S13),AR4884,"")</f>
        <v>#VALUE!</v>
      </c>
      <c r="AQ4884" s="1759">
        <f t="shared" si="135"/>
        <v>4881</v>
      </c>
      <c r="AR4884" s="1756" t="e">
        <f>0.5*(S18+2*AQ4884)*LN(1+2*AQ4884/S18)</f>
        <v>#VALUE!</v>
      </c>
    </row>
    <row r="4885" spans="42:44">
      <c r="AP4885" s="1756" t="e">
        <f>IF(OR(AR4885=S13,AR4885&gt;S13),AR4885,"")</f>
        <v>#VALUE!</v>
      </c>
      <c r="AQ4885" s="1759">
        <f t="shared" si="135"/>
        <v>4882</v>
      </c>
      <c r="AR4885" s="1756" t="e">
        <f>0.5*(S18+2*AQ4885)*LN(1+2*AQ4885/S18)</f>
        <v>#VALUE!</v>
      </c>
    </row>
    <row r="4886" spans="42:44">
      <c r="AP4886" s="1756" t="e">
        <f>IF(OR(AR4886=S13,AR4886&gt;S13),AR4886,"")</f>
        <v>#VALUE!</v>
      </c>
      <c r="AQ4886" s="1759">
        <f t="shared" si="135"/>
        <v>4883</v>
      </c>
      <c r="AR4886" s="1756" t="e">
        <f>0.5*(S18+2*AQ4886)*LN(1+2*AQ4886/S18)</f>
        <v>#VALUE!</v>
      </c>
    </row>
    <row r="4887" spans="42:44">
      <c r="AP4887" s="1756" t="e">
        <f>IF(OR(AR4887=S13,AR4887&gt;S13),AR4887,"")</f>
        <v>#VALUE!</v>
      </c>
      <c r="AQ4887" s="1759">
        <f t="shared" si="135"/>
        <v>4884</v>
      </c>
      <c r="AR4887" s="1756" t="e">
        <f>0.5*(S18+2*AQ4887)*LN(1+2*AQ4887/S18)</f>
        <v>#VALUE!</v>
      </c>
    </row>
    <row r="4888" spans="42:44">
      <c r="AP4888" s="1756" t="e">
        <f>IF(OR(AR4888=S13,AR4888&gt;S13),AR4888,"")</f>
        <v>#VALUE!</v>
      </c>
      <c r="AQ4888" s="1759">
        <f t="shared" si="135"/>
        <v>4885</v>
      </c>
      <c r="AR4888" s="1756" t="e">
        <f>0.5*(S18+2*AQ4888)*LN(1+2*AQ4888/S18)</f>
        <v>#VALUE!</v>
      </c>
    </row>
    <row r="4889" spans="42:44">
      <c r="AP4889" s="1756" t="e">
        <f>IF(OR(AR4889=S13,AR4889&gt;S13),AR4889,"")</f>
        <v>#VALUE!</v>
      </c>
      <c r="AQ4889" s="1759">
        <f t="shared" si="135"/>
        <v>4886</v>
      </c>
      <c r="AR4889" s="1756" t="e">
        <f>0.5*(S18+2*AQ4889)*LN(1+2*AQ4889/S18)</f>
        <v>#VALUE!</v>
      </c>
    </row>
    <row r="4890" spans="42:44">
      <c r="AP4890" s="1756" t="e">
        <f>IF(OR(AR4890=S13,AR4890&gt;S13),AR4890,"")</f>
        <v>#VALUE!</v>
      </c>
      <c r="AQ4890" s="1759">
        <f t="shared" si="135"/>
        <v>4887</v>
      </c>
      <c r="AR4890" s="1756" t="e">
        <f>0.5*(S18+2*AQ4890)*LN(1+2*AQ4890/S18)</f>
        <v>#VALUE!</v>
      </c>
    </row>
    <row r="4891" spans="42:44">
      <c r="AP4891" s="1756" t="e">
        <f>IF(OR(AR4891=S13,AR4891&gt;S13),AR4891,"")</f>
        <v>#VALUE!</v>
      </c>
      <c r="AQ4891" s="1759">
        <f t="shared" si="135"/>
        <v>4888</v>
      </c>
      <c r="AR4891" s="1756" t="e">
        <f>0.5*(S18+2*AQ4891)*LN(1+2*AQ4891/S18)</f>
        <v>#VALUE!</v>
      </c>
    </row>
    <row r="4892" spans="42:44">
      <c r="AP4892" s="1756" t="e">
        <f>IF(OR(AR4892=S13,AR4892&gt;S13),AR4892,"")</f>
        <v>#VALUE!</v>
      </c>
      <c r="AQ4892" s="1759">
        <f t="shared" si="135"/>
        <v>4889</v>
      </c>
      <c r="AR4892" s="1756" t="e">
        <f>0.5*(S18+2*AQ4892)*LN(1+2*AQ4892/S18)</f>
        <v>#VALUE!</v>
      </c>
    </row>
    <row r="4893" spans="42:44">
      <c r="AP4893" s="1756" t="e">
        <f>IF(OR(AR4893=S13,AR4893&gt;S13),AR4893,"")</f>
        <v>#VALUE!</v>
      </c>
      <c r="AQ4893" s="1759">
        <f t="shared" si="135"/>
        <v>4890</v>
      </c>
      <c r="AR4893" s="1756" t="e">
        <f>0.5*(S18+2*AQ4893)*LN(1+2*AQ4893/S18)</f>
        <v>#VALUE!</v>
      </c>
    </row>
    <row r="4894" spans="42:44">
      <c r="AP4894" s="1756" t="e">
        <f>IF(OR(AR4894=S13,AR4894&gt;S13),AR4894,"")</f>
        <v>#VALUE!</v>
      </c>
      <c r="AQ4894" s="1759">
        <f t="shared" si="135"/>
        <v>4891</v>
      </c>
      <c r="AR4894" s="1756" t="e">
        <f>0.5*(S18+2*AQ4894)*LN(1+2*AQ4894/S18)</f>
        <v>#VALUE!</v>
      </c>
    </row>
    <row r="4895" spans="42:44">
      <c r="AP4895" s="1756" t="e">
        <f>IF(OR(AR4895=S13,AR4895&gt;S13),AR4895,"")</f>
        <v>#VALUE!</v>
      </c>
      <c r="AQ4895" s="1759">
        <f t="shared" si="135"/>
        <v>4892</v>
      </c>
      <c r="AR4895" s="1756" t="e">
        <f>0.5*(S18+2*AQ4895)*LN(1+2*AQ4895/S18)</f>
        <v>#VALUE!</v>
      </c>
    </row>
    <row r="4896" spans="42:44">
      <c r="AP4896" s="1756" t="e">
        <f>IF(OR(AR4896=S13,AR4896&gt;S13),AR4896,"")</f>
        <v>#VALUE!</v>
      </c>
      <c r="AQ4896" s="1759">
        <f t="shared" si="135"/>
        <v>4893</v>
      </c>
      <c r="AR4896" s="1756" t="e">
        <f>0.5*(S18+2*AQ4896)*LN(1+2*AQ4896/S18)</f>
        <v>#VALUE!</v>
      </c>
    </row>
    <row r="4897" spans="42:44">
      <c r="AP4897" s="1756" t="e">
        <f>IF(OR(AR4897=S13,AR4897&gt;S13),AR4897,"")</f>
        <v>#VALUE!</v>
      </c>
      <c r="AQ4897" s="1759">
        <f t="shared" si="135"/>
        <v>4894</v>
      </c>
      <c r="AR4897" s="1756" t="e">
        <f>0.5*(S18+2*AQ4897)*LN(1+2*AQ4897/S18)</f>
        <v>#VALUE!</v>
      </c>
    </row>
    <row r="4898" spans="42:44">
      <c r="AP4898" s="1756" t="e">
        <f>IF(OR(AR4898=S13,AR4898&gt;S13),AR4898,"")</f>
        <v>#VALUE!</v>
      </c>
      <c r="AQ4898" s="1759">
        <f t="shared" si="135"/>
        <v>4895</v>
      </c>
      <c r="AR4898" s="1756" t="e">
        <f>0.5*(S18+2*AQ4898)*LN(1+2*AQ4898/S18)</f>
        <v>#VALUE!</v>
      </c>
    </row>
    <row r="4899" spans="42:44">
      <c r="AP4899" s="1756" t="e">
        <f>IF(OR(AR4899=S13,AR4899&gt;S13),AR4899,"")</f>
        <v>#VALUE!</v>
      </c>
      <c r="AQ4899" s="1759">
        <f t="shared" si="135"/>
        <v>4896</v>
      </c>
      <c r="AR4899" s="1756" t="e">
        <f>0.5*(S18+2*AQ4899)*LN(1+2*AQ4899/S18)</f>
        <v>#VALUE!</v>
      </c>
    </row>
    <row r="4900" spans="42:44">
      <c r="AP4900" s="1756" t="e">
        <f>IF(OR(AR4900=S13,AR4900&gt;S13),AR4900,"")</f>
        <v>#VALUE!</v>
      </c>
      <c r="AQ4900" s="1759">
        <f t="shared" si="135"/>
        <v>4897</v>
      </c>
      <c r="AR4900" s="1756" t="e">
        <f>0.5*(S18+2*AQ4900)*LN(1+2*AQ4900/S18)</f>
        <v>#VALUE!</v>
      </c>
    </row>
    <row r="4901" spans="42:44">
      <c r="AP4901" s="1756" t="e">
        <f>IF(OR(AR4901=S13,AR4901&gt;S13),AR4901,"")</f>
        <v>#VALUE!</v>
      </c>
      <c r="AQ4901" s="1759">
        <f t="shared" si="135"/>
        <v>4898</v>
      </c>
      <c r="AR4901" s="1756" t="e">
        <f>0.5*(S18+2*AQ4901)*LN(1+2*AQ4901/S18)</f>
        <v>#VALUE!</v>
      </c>
    </row>
    <row r="4902" spans="42:44">
      <c r="AP4902" s="1756" t="e">
        <f>IF(OR(AR4902=S13,AR4902&gt;S13),AR4902,"")</f>
        <v>#VALUE!</v>
      </c>
      <c r="AQ4902" s="1759">
        <f t="shared" si="135"/>
        <v>4899</v>
      </c>
      <c r="AR4902" s="1756" t="e">
        <f>0.5*(S18+2*AQ4902)*LN(1+2*AQ4902/S18)</f>
        <v>#VALUE!</v>
      </c>
    </row>
    <row r="4903" spans="42:44">
      <c r="AP4903" s="1756" t="e">
        <f>IF(OR(AR4903=S13,AR4903&gt;S13),AR4903,"")</f>
        <v>#VALUE!</v>
      </c>
      <c r="AQ4903" s="1759">
        <f t="shared" si="135"/>
        <v>4900</v>
      </c>
      <c r="AR4903" s="1756" t="e">
        <f>0.5*(S18+2*AQ4903)*LN(1+2*AQ4903/S18)</f>
        <v>#VALUE!</v>
      </c>
    </row>
    <row r="4904" spans="42:44">
      <c r="AP4904" s="1756" t="e">
        <f>IF(OR(AR4904=S13,AR4904&gt;S13),AR4904,"")</f>
        <v>#VALUE!</v>
      </c>
      <c r="AQ4904" s="1759">
        <f t="shared" si="135"/>
        <v>4901</v>
      </c>
      <c r="AR4904" s="1756" t="e">
        <f>0.5*(S18+2*AQ4904)*LN(1+2*AQ4904/S18)</f>
        <v>#VALUE!</v>
      </c>
    </row>
    <row r="4905" spans="42:44">
      <c r="AP4905" s="1756" t="e">
        <f>IF(OR(AR4905=S13,AR4905&gt;S13),AR4905,"")</f>
        <v>#VALUE!</v>
      </c>
      <c r="AQ4905" s="1759">
        <f t="shared" si="135"/>
        <v>4902</v>
      </c>
      <c r="AR4905" s="1756" t="e">
        <f>0.5*(S18+2*AQ4905)*LN(1+2*AQ4905/S18)</f>
        <v>#VALUE!</v>
      </c>
    </row>
    <row r="4906" spans="42:44">
      <c r="AP4906" s="1756" t="e">
        <f>IF(OR(AR4906=S13,AR4906&gt;S13),AR4906,"")</f>
        <v>#VALUE!</v>
      </c>
      <c r="AQ4906" s="1759">
        <f t="shared" si="135"/>
        <v>4903</v>
      </c>
      <c r="AR4906" s="1756" t="e">
        <f>0.5*(S18+2*AQ4906)*LN(1+2*AQ4906/S18)</f>
        <v>#VALUE!</v>
      </c>
    </row>
    <row r="4907" spans="42:44">
      <c r="AP4907" s="1756" t="e">
        <f>IF(OR(AR4907=S13,AR4907&gt;S13),AR4907,"")</f>
        <v>#VALUE!</v>
      </c>
      <c r="AQ4907" s="1759">
        <f t="shared" si="135"/>
        <v>4904</v>
      </c>
      <c r="AR4907" s="1756" t="e">
        <f>0.5*(S18+2*AQ4907)*LN(1+2*AQ4907/S18)</f>
        <v>#VALUE!</v>
      </c>
    </row>
    <row r="4908" spans="42:44">
      <c r="AP4908" s="1756" t="e">
        <f>IF(OR(AR4908=S13,AR4908&gt;S13),AR4908,"")</f>
        <v>#VALUE!</v>
      </c>
      <c r="AQ4908" s="1759">
        <f t="shared" si="135"/>
        <v>4905</v>
      </c>
      <c r="AR4908" s="1756" t="e">
        <f>0.5*(S18+2*AQ4908)*LN(1+2*AQ4908/S18)</f>
        <v>#VALUE!</v>
      </c>
    </row>
    <row r="4909" spans="42:44">
      <c r="AP4909" s="1756" t="e">
        <f>IF(OR(AR4909=S13,AR4909&gt;S13),AR4909,"")</f>
        <v>#VALUE!</v>
      </c>
      <c r="AQ4909" s="1759">
        <f t="shared" si="135"/>
        <v>4906</v>
      </c>
      <c r="AR4909" s="1756" t="e">
        <f>0.5*(S18+2*AQ4909)*LN(1+2*AQ4909/S18)</f>
        <v>#VALUE!</v>
      </c>
    </row>
    <row r="4910" spans="42:44">
      <c r="AP4910" s="1756" t="e">
        <f>IF(OR(AR4910=S13,AR4910&gt;S13),AR4910,"")</f>
        <v>#VALUE!</v>
      </c>
      <c r="AQ4910" s="1759">
        <f t="shared" si="135"/>
        <v>4907</v>
      </c>
      <c r="AR4910" s="1756" t="e">
        <f>0.5*(S18+2*AQ4910)*LN(1+2*AQ4910/S18)</f>
        <v>#VALUE!</v>
      </c>
    </row>
    <row r="4911" spans="42:44">
      <c r="AP4911" s="1756" t="e">
        <f>IF(OR(AR4911=S13,AR4911&gt;S13),AR4911,"")</f>
        <v>#VALUE!</v>
      </c>
      <c r="AQ4911" s="1759">
        <f t="shared" si="135"/>
        <v>4908</v>
      </c>
      <c r="AR4911" s="1756" t="e">
        <f>0.5*(S18+2*AQ4911)*LN(1+2*AQ4911/S18)</f>
        <v>#VALUE!</v>
      </c>
    </row>
    <row r="4912" spans="42:44">
      <c r="AP4912" s="1756" t="e">
        <f>IF(OR(AR4912=S13,AR4912&gt;S13),AR4912,"")</f>
        <v>#VALUE!</v>
      </c>
      <c r="AQ4912" s="1759">
        <f t="shared" si="135"/>
        <v>4909</v>
      </c>
      <c r="AR4912" s="1756" t="e">
        <f>0.5*(S18+2*AQ4912)*LN(1+2*AQ4912/S18)</f>
        <v>#VALUE!</v>
      </c>
    </row>
    <row r="4913" spans="42:44">
      <c r="AP4913" s="1756" t="e">
        <f>IF(OR(AR4913=S13,AR4913&gt;S13),AR4913,"")</f>
        <v>#VALUE!</v>
      </c>
      <c r="AQ4913" s="1759">
        <f t="shared" si="135"/>
        <v>4910</v>
      </c>
      <c r="AR4913" s="1756" t="e">
        <f>0.5*(S18+2*AQ4913)*LN(1+2*AQ4913/S18)</f>
        <v>#VALUE!</v>
      </c>
    </row>
    <row r="4914" spans="42:44">
      <c r="AP4914" s="1756" t="e">
        <f>IF(OR(AR4914=S13,AR4914&gt;S13),AR4914,"")</f>
        <v>#VALUE!</v>
      </c>
      <c r="AQ4914" s="1759">
        <f t="shared" si="135"/>
        <v>4911</v>
      </c>
      <c r="AR4914" s="1756" t="e">
        <f>0.5*(S18+2*AQ4914)*LN(1+2*AQ4914/S18)</f>
        <v>#VALUE!</v>
      </c>
    </row>
    <row r="4915" spans="42:44">
      <c r="AP4915" s="1756" t="e">
        <f>IF(OR(AR4915=S13,AR4915&gt;S13),AR4915,"")</f>
        <v>#VALUE!</v>
      </c>
      <c r="AQ4915" s="1759">
        <f t="shared" si="135"/>
        <v>4912</v>
      </c>
      <c r="AR4915" s="1756" t="e">
        <f>0.5*(S18+2*AQ4915)*LN(1+2*AQ4915/S18)</f>
        <v>#VALUE!</v>
      </c>
    </row>
    <row r="4916" spans="42:44">
      <c r="AP4916" s="1756" t="e">
        <f>IF(OR(AR4916=S13,AR4916&gt;S13),AR4916,"")</f>
        <v>#VALUE!</v>
      </c>
      <c r="AQ4916" s="1759">
        <f t="shared" si="135"/>
        <v>4913</v>
      </c>
      <c r="AR4916" s="1756" t="e">
        <f>0.5*(S18+2*AQ4916)*LN(1+2*AQ4916/S18)</f>
        <v>#VALUE!</v>
      </c>
    </row>
    <row r="4917" spans="42:44">
      <c r="AP4917" s="1756" t="e">
        <f>IF(OR(AR4917=S13,AR4917&gt;S13),AR4917,"")</f>
        <v>#VALUE!</v>
      </c>
      <c r="AQ4917" s="1759">
        <f t="shared" si="135"/>
        <v>4914</v>
      </c>
      <c r="AR4917" s="1756" t="e">
        <f>0.5*(S18+2*AQ4917)*LN(1+2*AQ4917/S18)</f>
        <v>#VALUE!</v>
      </c>
    </row>
    <row r="4918" spans="42:44">
      <c r="AP4918" s="1756" t="e">
        <f>IF(OR(AR4918=S13,AR4918&gt;S13),AR4918,"")</f>
        <v>#VALUE!</v>
      </c>
      <c r="AQ4918" s="1759">
        <f t="shared" si="135"/>
        <v>4915</v>
      </c>
      <c r="AR4918" s="1756" t="e">
        <f>0.5*(S18+2*AQ4918)*LN(1+2*AQ4918/S18)</f>
        <v>#VALUE!</v>
      </c>
    </row>
    <row r="4919" spans="42:44">
      <c r="AP4919" s="1756" t="e">
        <f>IF(OR(AR4919=S13,AR4919&gt;S13),AR4919,"")</f>
        <v>#VALUE!</v>
      </c>
      <c r="AQ4919" s="1759">
        <f t="shared" si="135"/>
        <v>4916</v>
      </c>
      <c r="AR4919" s="1756" t="e">
        <f>0.5*(S18+2*AQ4919)*LN(1+2*AQ4919/S18)</f>
        <v>#VALUE!</v>
      </c>
    </row>
    <row r="4920" spans="42:44">
      <c r="AP4920" s="1756" t="e">
        <f>IF(OR(AR4920=S13,AR4920&gt;S13),AR4920,"")</f>
        <v>#VALUE!</v>
      </c>
      <c r="AQ4920" s="1759">
        <f t="shared" si="135"/>
        <v>4917</v>
      </c>
      <c r="AR4920" s="1756" t="e">
        <f>0.5*(S18+2*AQ4920)*LN(1+2*AQ4920/S18)</f>
        <v>#VALUE!</v>
      </c>
    </row>
    <row r="4921" spans="42:44">
      <c r="AP4921" s="1756" t="e">
        <f>IF(OR(AR4921=S13,AR4921&gt;S13),AR4921,"")</f>
        <v>#VALUE!</v>
      </c>
      <c r="AQ4921" s="1759">
        <f t="shared" si="135"/>
        <v>4918</v>
      </c>
      <c r="AR4921" s="1756" t="e">
        <f>0.5*(S18+2*AQ4921)*LN(1+2*AQ4921/S18)</f>
        <v>#VALUE!</v>
      </c>
    </row>
    <row r="4922" spans="42:44">
      <c r="AP4922" s="1756" t="e">
        <f>IF(OR(AR4922=S13,AR4922&gt;S13),AR4922,"")</f>
        <v>#VALUE!</v>
      </c>
      <c r="AQ4922" s="1759">
        <f t="shared" si="135"/>
        <v>4919</v>
      </c>
      <c r="AR4922" s="1756" t="e">
        <f>0.5*(S18+2*AQ4922)*LN(1+2*AQ4922/S18)</f>
        <v>#VALUE!</v>
      </c>
    </row>
    <row r="4923" spans="42:44">
      <c r="AP4923" s="1756" t="e">
        <f>IF(OR(AR4923=S13,AR4923&gt;S13),AR4923,"")</f>
        <v>#VALUE!</v>
      </c>
      <c r="AQ4923" s="1759">
        <f t="shared" si="135"/>
        <v>4920</v>
      </c>
      <c r="AR4923" s="1756" t="e">
        <f>0.5*(S18+2*AQ4923)*LN(1+2*AQ4923/S18)</f>
        <v>#VALUE!</v>
      </c>
    </row>
    <row r="4924" spans="42:44">
      <c r="AP4924" s="1756" t="e">
        <f>IF(OR(AR4924=S13,AR4924&gt;S13),AR4924,"")</f>
        <v>#VALUE!</v>
      </c>
      <c r="AQ4924" s="1759">
        <f t="shared" si="135"/>
        <v>4921</v>
      </c>
      <c r="AR4924" s="1756" t="e">
        <f>0.5*(S18+2*AQ4924)*LN(1+2*AQ4924/S18)</f>
        <v>#VALUE!</v>
      </c>
    </row>
    <row r="4925" spans="42:44">
      <c r="AP4925" s="1756" t="e">
        <f>IF(OR(AR4925=S13,AR4925&gt;S13),AR4925,"")</f>
        <v>#VALUE!</v>
      </c>
      <c r="AQ4925" s="1759">
        <f t="shared" si="135"/>
        <v>4922</v>
      </c>
      <c r="AR4925" s="1756" t="e">
        <f>0.5*(S18+2*AQ4925)*LN(1+2*AQ4925/S18)</f>
        <v>#VALUE!</v>
      </c>
    </row>
    <row r="4926" spans="42:44">
      <c r="AP4926" s="1756" t="e">
        <f>IF(OR(AR4926=S13,AR4926&gt;S13),AR4926,"")</f>
        <v>#VALUE!</v>
      </c>
      <c r="AQ4926" s="1759">
        <f t="shared" si="135"/>
        <v>4923</v>
      </c>
      <c r="AR4926" s="1756" t="e">
        <f>0.5*(S18+2*AQ4926)*LN(1+2*AQ4926/S18)</f>
        <v>#VALUE!</v>
      </c>
    </row>
    <row r="4927" spans="42:44">
      <c r="AP4927" s="1756" t="e">
        <f>IF(OR(AR4927=S13,AR4927&gt;S13),AR4927,"")</f>
        <v>#VALUE!</v>
      </c>
      <c r="AQ4927" s="1759">
        <f t="shared" si="135"/>
        <v>4924</v>
      </c>
      <c r="AR4927" s="1756" t="e">
        <f>0.5*(S18+2*AQ4927)*LN(1+2*AQ4927/S18)</f>
        <v>#VALUE!</v>
      </c>
    </row>
    <row r="4928" spans="42:44">
      <c r="AP4928" s="1756" t="e">
        <f>IF(OR(AR4928=S13,AR4928&gt;S13),AR4928,"")</f>
        <v>#VALUE!</v>
      </c>
      <c r="AQ4928" s="1759">
        <f t="shared" si="135"/>
        <v>4925</v>
      </c>
      <c r="AR4928" s="1756" t="e">
        <f>0.5*(S18+2*AQ4928)*LN(1+2*AQ4928/S18)</f>
        <v>#VALUE!</v>
      </c>
    </row>
    <row r="4929" spans="42:44">
      <c r="AP4929" s="1756" t="e">
        <f>IF(OR(AR4929=S13,AR4929&gt;S13),AR4929,"")</f>
        <v>#VALUE!</v>
      </c>
      <c r="AQ4929" s="1759">
        <f t="shared" si="135"/>
        <v>4926</v>
      </c>
      <c r="AR4929" s="1756" t="e">
        <f>0.5*(S18+2*AQ4929)*LN(1+2*AQ4929/S18)</f>
        <v>#VALUE!</v>
      </c>
    </row>
    <row r="4930" spans="42:44">
      <c r="AP4930" s="1756" t="e">
        <f>IF(OR(AR4930=S13,AR4930&gt;S13),AR4930,"")</f>
        <v>#VALUE!</v>
      </c>
      <c r="AQ4930" s="1759">
        <f t="shared" si="135"/>
        <v>4927</v>
      </c>
      <c r="AR4930" s="1756" t="e">
        <f>0.5*(S18+2*AQ4930)*LN(1+2*AQ4930/S18)</f>
        <v>#VALUE!</v>
      </c>
    </row>
    <row r="4931" spans="42:44">
      <c r="AP4931" s="1756" t="e">
        <f>IF(OR(AR4931=S13,AR4931&gt;S13),AR4931,"")</f>
        <v>#VALUE!</v>
      </c>
      <c r="AQ4931" s="1759">
        <f t="shared" si="135"/>
        <v>4928</v>
      </c>
      <c r="AR4931" s="1756" t="e">
        <f>0.5*(S18+2*AQ4931)*LN(1+2*AQ4931/S18)</f>
        <v>#VALUE!</v>
      </c>
    </row>
    <row r="4932" spans="42:44">
      <c r="AP4932" s="1756" t="e">
        <f>IF(OR(AR4932=S13,AR4932&gt;S13),AR4932,"")</f>
        <v>#VALUE!</v>
      </c>
      <c r="AQ4932" s="1759">
        <f t="shared" si="135"/>
        <v>4929</v>
      </c>
      <c r="AR4932" s="1756" t="e">
        <f>0.5*(S18+2*AQ4932)*LN(1+2*AQ4932/S18)</f>
        <v>#VALUE!</v>
      </c>
    </row>
    <row r="4933" spans="42:44">
      <c r="AP4933" s="1756" t="e">
        <f>IF(OR(AR4933=S13,AR4933&gt;S13),AR4933,"")</f>
        <v>#VALUE!</v>
      </c>
      <c r="AQ4933" s="1759">
        <f t="shared" si="135"/>
        <v>4930</v>
      </c>
      <c r="AR4933" s="1756" t="e">
        <f>0.5*(S18+2*AQ4933)*LN(1+2*AQ4933/S18)</f>
        <v>#VALUE!</v>
      </c>
    </row>
    <row r="4934" spans="42:44">
      <c r="AP4934" s="1756" t="e">
        <f>IF(OR(AR4934=S13,AR4934&gt;S13),AR4934,"")</f>
        <v>#VALUE!</v>
      </c>
      <c r="AQ4934" s="1759">
        <f t="shared" ref="AQ4934:AQ4997" si="136">AQ4933+1</f>
        <v>4931</v>
      </c>
      <c r="AR4934" s="1756" t="e">
        <f>0.5*(S18+2*AQ4934)*LN(1+2*AQ4934/S18)</f>
        <v>#VALUE!</v>
      </c>
    </row>
    <row r="4935" spans="42:44">
      <c r="AP4935" s="1756" t="e">
        <f>IF(OR(AR4935=S13,AR4935&gt;S13),AR4935,"")</f>
        <v>#VALUE!</v>
      </c>
      <c r="AQ4935" s="1759">
        <f t="shared" si="136"/>
        <v>4932</v>
      </c>
      <c r="AR4935" s="1756" t="e">
        <f>0.5*(S18+2*AQ4935)*LN(1+2*AQ4935/S18)</f>
        <v>#VALUE!</v>
      </c>
    </row>
    <row r="4936" spans="42:44">
      <c r="AP4936" s="1756" t="e">
        <f>IF(OR(AR4936=S13,AR4936&gt;S13),AR4936,"")</f>
        <v>#VALUE!</v>
      </c>
      <c r="AQ4936" s="1759">
        <f t="shared" si="136"/>
        <v>4933</v>
      </c>
      <c r="AR4936" s="1756" t="e">
        <f>0.5*(S18+2*AQ4936)*LN(1+2*AQ4936/S18)</f>
        <v>#VALUE!</v>
      </c>
    </row>
    <row r="4937" spans="42:44">
      <c r="AP4937" s="1756" t="e">
        <f>IF(OR(AR4937=S13,AR4937&gt;S13),AR4937,"")</f>
        <v>#VALUE!</v>
      </c>
      <c r="AQ4937" s="1759">
        <f t="shared" si="136"/>
        <v>4934</v>
      </c>
      <c r="AR4937" s="1756" t="e">
        <f>0.5*(S18+2*AQ4937)*LN(1+2*AQ4937/S18)</f>
        <v>#VALUE!</v>
      </c>
    </row>
    <row r="4938" spans="42:44">
      <c r="AP4938" s="1756" t="e">
        <f>IF(OR(AR4938=S13,AR4938&gt;S13),AR4938,"")</f>
        <v>#VALUE!</v>
      </c>
      <c r="AQ4938" s="1759">
        <f t="shared" si="136"/>
        <v>4935</v>
      </c>
      <c r="AR4938" s="1756" t="e">
        <f>0.5*(S18+2*AQ4938)*LN(1+2*AQ4938/S18)</f>
        <v>#VALUE!</v>
      </c>
    </row>
    <row r="4939" spans="42:44">
      <c r="AP4939" s="1756" t="e">
        <f>IF(OR(AR4939=S13,AR4939&gt;S13),AR4939,"")</f>
        <v>#VALUE!</v>
      </c>
      <c r="AQ4939" s="1759">
        <f t="shared" si="136"/>
        <v>4936</v>
      </c>
      <c r="AR4939" s="1756" t="e">
        <f>0.5*(S18+2*AQ4939)*LN(1+2*AQ4939/S18)</f>
        <v>#VALUE!</v>
      </c>
    </row>
    <row r="4940" spans="42:44">
      <c r="AP4940" s="1756" t="e">
        <f>IF(OR(AR4940=S13,AR4940&gt;S13),AR4940,"")</f>
        <v>#VALUE!</v>
      </c>
      <c r="AQ4940" s="1759">
        <f t="shared" si="136"/>
        <v>4937</v>
      </c>
      <c r="AR4940" s="1756" t="e">
        <f>0.5*(S18+2*AQ4940)*LN(1+2*AQ4940/S18)</f>
        <v>#VALUE!</v>
      </c>
    </row>
    <row r="4941" spans="42:44">
      <c r="AP4941" s="1756" t="e">
        <f>IF(OR(AR4941=S13,AR4941&gt;S13),AR4941,"")</f>
        <v>#VALUE!</v>
      </c>
      <c r="AQ4941" s="1759">
        <f t="shared" si="136"/>
        <v>4938</v>
      </c>
      <c r="AR4941" s="1756" t="e">
        <f>0.5*(S18+2*AQ4941)*LN(1+2*AQ4941/S18)</f>
        <v>#VALUE!</v>
      </c>
    </row>
    <row r="4942" spans="42:44">
      <c r="AP4942" s="1756" t="e">
        <f>IF(OR(AR4942=S13,AR4942&gt;S13),AR4942,"")</f>
        <v>#VALUE!</v>
      </c>
      <c r="AQ4942" s="1759">
        <f t="shared" si="136"/>
        <v>4939</v>
      </c>
      <c r="AR4942" s="1756" t="e">
        <f>0.5*(S18+2*AQ4942)*LN(1+2*AQ4942/S18)</f>
        <v>#VALUE!</v>
      </c>
    </row>
    <row r="4943" spans="42:44">
      <c r="AP4943" s="1756" t="e">
        <f>IF(OR(AR4943=S13,AR4943&gt;S13),AR4943,"")</f>
        <v>#VALUE!</v>
      </c>
      <c r="AQ4943" s="1759">
        <f t="shared" si="136"/>
        <v>4940</v>
      </c>
      <c r="AR4943" s="1756" t="e">
        <f>0.5*(S18+2*AQ4943)*LN(1+2*AQ4943/S18)</f>
        <v>#VALUE!</v>
      </c>
    </row>
    <row r="4944" spans="42:44">
      <c r="AP4944" s="1756" t="e">
        <f>IF(OR(AR4944=S13,AR4944&gt;S13),AR4944,"")</f>
        <v>#VALUE!</v>
      </c>
      <c r="AQ4944" s="1759">
        <f t="shared" si="136"/>
        <v>4941</v>
      </c>
      <c r="AR4944" s="1756" t="e">
        <f>0.5*(S18+2*AQ4944)*LN(1+2*AQ4944/S18)</f>
        <v>#VALUE!</v>
      </c>
    </row>
    <row r="4945" spans="42:44">
      <c r="AP4945" s="1756" t="e">
        <f>IF(OR(AR4945=S13,AR4945&gt;S13),AR4945,"")</f>
        <v>#VALUE!</v>
      </c>
      <c r="AQ4945" s="1759">
        <f t="shared" si="136"/>
        <v>4942</v>
      </c>
      <c r="AR4945" s="1756" t="e">
        <f>0.5*(S18+2*AQ4945)*LN(1+2*AQ4945/S18)</f>
        <v>#VALUE!</v>
      </c>
    </row>
    <row r="4946" spans="42:44">
      <c r="AP4946" s="1756" t="e">
        <f>IF(OR(AR4946=S13,AR4946&gt;S13),AR4946,"")</f>
        <v>#VALUE!</v>
      </c>
      <c r="AQ4946" s="1759">
        <f t="shared" si="136"/>
        <v>4943</v>
      </c>
      <c r="AR4946" s="1756" t="e">
        <f>0.5*(S18+2*AQ4946)*LN(1+2*AQ4946/S18)</f>
        <v>#VALUE!</v>
      </c>
    </row>
    <row r="4947" spans="42:44">
      <c r="AP4947" s="1756" t="e">
        <f>IF(OR(AR4947=S13,AR4947&gt;S13),AR4947,"")</f>
        <v>#VALUE!</v>
      </c>
      <c r="AQ4947" s="1759">
        <f t="shared" si="136"/>
        <v>4944</v>
      </c>
      <c r="AR4947" s="1756" t="e">
        <f>0.5*(S18+2*AQ4947)*LN(1+2*AQ4947/S18)</f>
        <v>#VALUE!</v>
      </c>
    </row>
    <row r="4948" spans="42:44">
      <c r="AP4948" s="1756" t="e">
        <f>IF(OR(AR4948=S13,AR4948&gt;S13),AR4948,"")</f>
        <v>#VALUE!</v>
      </c>
      <c r="AQ4948" s="1759">
        <f t="shared" si="136"/>
        <v>4945</v>
      </c>
      <c r="AR4948" s="1756" t="e">
        <f>0.5*(S18+2*AQ4948)*LN(1+2*AQ4948/S18)</f>
        <v>#VALUE!</v>
      </c>
    </row>
    <row r="4949" spans="42:44">
      <c r="AP4949" s="1756" t="e">
        <f>IF(OR(AR4949=S13,AR4949&gt;S13),AR4949,"")</f>
        <v>#VALUE!</v>
      </c>
      <c r="AQ4949" s="1759">
        <f t="shared" si="136"/>
        <v>4946</v>
      </c>
      <c r="AR4949" s="1756" t="e">
        <f>0.5*(S18+2*AQ4949)*LN(1+2*AQ4949/S18)</f>
        <v>#VALUE!</v>
      </c>
    </row>
    <row r="4950" spans="42:44">
      <c r="AP4950" s="1756" t="e">
        <f>IF(OR(AR4950=S13,AR4950&gt;S13),AR4950,"")</f>
        <v>#VALUE!</v>
      </c>
      <c r="AQ4950" s="1759">
        <f t="shared" si="136"/>
        <v>4947</v>
      </c>
      <c r="AR4950" s="1756" t="e">
        <f>0.5*(S18+2*AQ4950)*LN(1+2*AQ4950/S18)</f>
        <v>#VALUE!</v>
      </c>
    </row>
    <row r="4951" spans="42:44">
      <c r="AP4951" s="1756" t="e">
        <f>IF(OR(AR4951=S13,AR4951&gt;S13),AR4951,"")</f>
        <v>#VALUE!</v>
      </c>
      <c r="AQ4951" s="1759">
        <f t="shared" si="136"/>
        <v>4948</v>
      </c>
      <c r="AR4951" s="1756" t="e">
        <f>0.5*(S18+2*AQ4951)*LN(1+2*AQ4951/S18)</f>
        <v>#VALUE!</v>
      </c>
    </row>
    <row r="4952" spans="42:44">
      <c r="AP4952" s="1756" t="e">
        <f>IF(OR(AR4952=S13,AR4952&gt;S13),AR4952,"")</f>
        <v>#VALUE!</v>
      </c>
      <c r="AQ4952" s="1759">
        <f t="shared" si="136"/>
        <v>4949</v>
      </c>
      <c r="AR4952" s="1756" t="e">
        <f>0.5*(S18+2*AQ4952)*LN(1+2*AQ4952/S18)</f>
        <v>#VALUE!</v>
      </c>
    </row>
    <row r="4953" spans="42:44">
      <c r="AP4953" s="1756" t="e">
        <f>IF(OR(AR4953=S13,AR4953&gt;S13),AR4953,"")</f>
        <v>#VALUE!</v>
      </c>
      <c r="AQ4953" s="1759">
        <f t="shared" si="136"/>
        <v>4950</v>
      </c>
      <c r="AR4953" s="1756" t="e">
        <f>0.5*(S18+2*AQ4953)*LN(1+2*AQ4953/S18)</f>
        <v>#VALUE!</v>
      </c>
    </row>
    <row r="4954" spans="42:44">
      <c r="AP4954" s="1756" t="e">
        <f>IF(OR(AR4954=S13,AR4954&gt;S13),AR4954,"")</f>
        <v>#VALUE!</v>
      </c>
      <c r="AQ4954" s="1759">
        <f t="shared" si="136"/>
        <v>4951</v>
      </c>
      <c r="AR4954" s="1756" t="e">
        <f>0.5*(S18+2*AQ4954)*LN(1+2*AQ4954/S18)</f>
        <v>#VALUE!</v>
      </c>
    </row>
    <row r="4955" spans="42:44">
      <c r="AP4955" s="1756" t="e">
        <f>IF(OR(AR4955=S13,AR4955&gt;S13),AR4955,"")</f>
        <v>#VALUE!</v>
      </c>
      <c r="AQ4955" s="1759">
        <f t="shared" si="136"/>
        <v>4952</v>
      </c>
      <c r="AR4955" s="1756" t="e">
        <f>0.5*(S18+2*AQ4955)*LN(1+2*AQ4955/S18)</f>
        <v>#VALUE!</v>
      </c>
    </row>
    <row r="4956" spans="42:44">
      <c r="AP4956" s="1756" t="e">
        <f>IF(OR(AR4956=S13,AR4956&gt;S13),AR4956,"")</f>
        <v>#VALUE!</v>
      </c>
      <c r="AQ4956" s="1759">
        <f t="shared" si="136"/>
        <v>4953</v>
      </c>
      <c r="AR4956" s="1756" t="e">
        <f>0.5*(S18+2*AQ4956)*LN(1+2*AQ4956/S18)</f>
        <v>#VALUE!</v>
      </c>
    </row>
    <row r="4957" spans="42:44">
      <c r="AP4957" s="1756" t="e">
        <f>IF(OR(AR4957=S13,AR4957&gt;S13),AR4957,"")</f>
        <v>#VALUE!</v>
      </c>
      <c r="AQ4957" s="1759">
        <f t="shared" si="136"/>
        <v>4954</v>
      </c>
      <c r="AR4957" s="1756" t="e">
        <f>0.5*(S18+2*AQ4957)*LN(1+2*AQ4957/S18)</f>
        <v>#VALUE!</v>
      </c>
    </row>
    <row r="4958" spans="42:44">
      <c r="AP4958" s="1756" t="e">
        <f>IF(OR(AR4958=S13,AR4958&gt;S13),AR4958,"")</f>
        <v>#VALUE!</v>
      </c>
      <c r="AQ4958" s="1759">
        <f t="shared" si="136"/>
        <v>4955</v>
      </c>
      <c r="AR4958" s="1756" t="e">
        <f>0.5*(S18+2*AQ4958)*LN(1+2*AQ4958/S18)</f>
        <v>#VALUE!</v>
      </c>
    </row>
    <row r="4959" spans="42:44">
      <c r="AP4959" s="1756" t="e">
        <f>IF(OR(AR4959=S13,AR4959&gt;S13),AR4959,"")</f>
        <v>#VALUE!</v>
      </c>
      <c r="AQ4959" s="1759">
        <f t="shared" si="136"/>
        <v>4956</v>
      </c>
      <c r="AR4959" s="1756" t="e">
        <f>0.5*(S18+2*AQ4959)*LN(1+2*AQ4959/S18)</f>
        <v>#VALUE!</v>
      </c>
    </row>
    <row r="4960" spans="42:44">
      <c r="AP4960" s="1756" t="e">
        <f>IF(OR(AR4960=S13,AR4960&gt;S13),AR4960,"")</f>
        <v>#VALUE!</v>
      </c>
      <c r="AQ4960" s="1759">
        <f t="shared" si="136"/>
        <v>4957</v>
      </c>
      <c r="AR4960" s="1756" t="e">
        <f>0.5*(S18+2*AQ4960)*LN(1+2*AQ4960/S18)</f>
        <v>#VALUE!</v>
      </c>
    </row>
    <row r="4961" spans="42:44">
      <c r="AP4961" s="1756" t="e">
        <f>IF(OR(AR4961=S13,AR4961&gt;S13),AR4961,"")</f>
        <v>#VALUE!</v>
      </c>
      <c r="AQ4961" s="1759">
        <f t="shared" si="136"/>
        <v>4958</v>
      </c>
      <c r="AR4961" s="1756" t="e">
        <f>0.5*(S18+2*AQ4961)*LN(1+2*AQ4961/S18)</f>
        <v>#VALUE!</v>
      </c>
    </row>
    <row r="4962" spans="42:44">
      <c r="AP4962" s="1756" t="e">
        <f>IF(OR(AR4962=S13,AR4962&gt;S13),AR4962,"")</f>
        <v>#VALUE!</v>
      </c>
      <c r="AQ4962" s="1759">
        <f t="shared" si="136"/>
        <v>4959</v>
      </c>
      <c r="AR4962" s="1756" t="e">
        <f>0.5*(S18+2*AQ4962)*LN(1+2*AQ4962/S18)</f>
        <v>#VALUE!</v>
      </c>
    </row>
    <row r="4963" spans="42:44">
      <c r="AP4963" s="1756" t="e">
        <f>IF(OR(AR4963=S13,AR4963&gt;S13),AR4963,"")</f>
        <v>#VALUE!</v>
      </c>
      <c r="AQ4963" s="1759">
        <f t="shared" si="136"/>
        <v>4960</v>
      </c>
      <c r="AR4963" s="1756" t="e">
        <f>0.5*(S18+2*AQ4963)*LN(1+2*AQ4963/S18)</f>
        <v>#VALUE!</v>
      </c>
    </row>
    <row r="4964" spans="42:44">
      <c r="AP4964" s="1756" t="e">
        <f>IF(OR(AR4964=S13,AR4964&gt;S13),AR4964,"")</f>
        <v>#VALUE!</v>
      </c>
      <c r="AQ4964" s="1759">
        <f t="shared" si="136"/>
        <v>4961</v>
      </c>
      <c r="AR4964" s="1756" t="e">
        <f>0.5*(S18+2*AQ4964)*LN(1+2*AQ4964/S18)</f>
        <v>#VALUE!</v>
      </c>
    </row>
    <row r="4965" spans="42:44">
      <c r="AP4965" s="1756" t="e">
        <f>IF(OR(AR4965=S13,AR4965&gt;S13),AR4965,"")</f>
        <v>#VALUE!</v>
      </c>
      <c r="AQ4965" s="1759">
        <f t="shared" si="136"/>
        <v>4962</v>
      </c>
      <c r="AR4965" s="1756" t="e">
        <f>0.5*(S18+2*AQ4965)*LN(1+2*AQ4965/S18)</f>
        <v>#VALUE!</v>
      </c>
    </row>
    <row r="4966" spans="42:44">
      <c r="AP4966" s="1756" t="e">
        <f>IF(OR(AR4966=S13,AR4966&gt;S13),AR4966,"")</f>
        <v>#VALUE!</v>
      </c>
      <c r="AQ4966" s="1759">
        <f t="shared" si="136"/>
        <v>4963</v>
      </c>
      <c r="AR4966" s="1756" t="e">
        <f>0.5*(S18+2*AQ4966)*LN(1+2*AQ4966/S18)</f>
        <v>#VALUE!</v>
      </c>
    </row>
    <row r="4967" spans="42:44">
      <c r="AP4967" s="1756" t="e">
        <f>IF(OR(AR4967=S13,AR4967&gt;S13),AR4967,"")</f>
        <v>#VALUE!</v>
      </c>
      <c r="AQ4967" s="1759">
        <f t="shared" si="136"/>
        <v>4964</v>
      </c>
      <c r="AR4967" s="1756" t="e">
        <f>0.5*(S18+2*AQ4967)*LN(1+2*AQ4967/S18)</f>
        <v>#VALUE!</v>
      </c>
    </row>
    <row r="4968" spans="42:44">
      <c r="AP4968" s="1756" t="e">
        <f>IF(OR(AR4968=S13,AR4968&gt;S13),AR4968,"")</f>
        <v>#VALUE!</v>
      </c>
      <c r="AQ4968" s="1759">
        <f t="shared" si="136"/>
        <v>4965</v>
      </c>
      <c r="AR4968" s="1756" t="e">
        <f>0.5*(S18+2*AQ4968)*LN(1+2*AQ4968/S18)</f>
        <v>#VALUE!</v>
      </c>
    </row>
    <row r="4969" spans="42:44">
      <c r="AP4969" s="1756" t="e">
        <f>IF(OR(AR4969=S13,AR4969&gt;S13),AR4969,"")</f>
        <v>#VALUE!</v>
      </c>
      <c r="AQ4969" s="1759">
        <f t="shared" si="136"/>
        <v>4966</v>
      </c>
      <c r="AR4969" s="1756" t="e">
        <f>0.5*(S18+2*AQ4969)*LN(1+2*AQ4969/S18)</f>
        <v>#VALUE!</v>
      </c>
    </row>
    <row r="4970" spans="42:44">
      <c r="AP4970" s="1756" t="e">
        <f>IF(OR(AR4970=S13,AR4970&gt;S13),AR4970,"")</f>
        <v>#VALUE!</v>
      </c>
      <c r="AQ4970" s="1759">
        <f t="shared" si="136"/>
        <v>4967</v>
      </c>
      <c r="AR4970" s="1756" t="e">
        <f>0.5*(S18+2*AQ4970)*LN(1+2*AQ4970/S18)</f>
        <v>#VALUE!</v>
      </c>
    </row>
    <row r="4971" spans="42:44">
      <c r="AP4971" s="1756" t="e">
        <f>IF(OR(AR4971=S13,AR4971&gt;S13),AR4971,"")</f>
        <v>#VALUE!</v>
      </c>
      <c r="AQ4971" s="1759">
        <f t="shared" si="136"/>
        <v>4968</v>
      </c>
      <c r="AR4971" s="1756" t="e">
        <f>0.5*(S18+2*AQ4971)*LN(1+2*AQ4971/S18)</f>
        <v>#VALUE!</v>
      </c>
    </row>
    <row r="4972" spans="42:44">
      <c r="AP4972" s="1756" t="e">
        <f>IF(OR(AR4972=S13,AR4972&gt;S13),AR4972,"")</f>
        <v>#VALUE!</v>
      </c>
      <c r="AQ4972" s="1759">
        <f t="shared" si="136"/>
        <v>4969</v>
      </c>
      <c r="AR4972" s="1756" t="e">
        <f>0.5*(S18+2*AQ4972)*LN(1+2*AQ4972/S18)</f>
        <v>#VALUE!</v>
      </c>
    </row>
    <row r="4973" spans="42:44">
      <c r="AP4973" s="1756" t="e">
        <f>IF(OR(AR4973=S13,AR4973&gt;S13),AR4973,"")</f>
        <v>#VALUE!</v>
      </c>
      <c r="AQ4973" s="1759">
        <f t="shared" si="136"/>
        <v>4970</v>
      </c>
      <c r="AR4973" s="1756" t="e">
        <f>0.5*(S18+2*AQ4973)*LN(1+2*AQ4973/S18)</f>
        <v>#VALUE!</v>
      </c>
    </row>
    <row r="4974" spans="42:44">
      <c r="AP4974" s="1756" t="e">
        <f>IF(OR(AR4974=S13,AR4974&gt;S13),AR4974,"")</f>
        <v>#VALUE!</v>
      </c>
      <c r="AQ4974" s="1759">
        <f t="shared" si="136"/>
        <v>4971</v>
      </c>
      <c r="AR4974" s="1756" t="e">
        <f>0.5*(S18+2*AQ4974)*LN(1+2*AQ4974/S18)</f>
        <v>#VALUE!</v>
      </c>
    </row>
    <row r="4975" spans="42:44">
      <c r="AP4975" s="1756" t="e">
        <f>IF(OR(AR4975=S13,AR4975&gt;S13),AR4975,"")</f>
        <v>#VALUE!</v>
      </c>
      <c r="AQ4975" s="1759">
        <f t="shared" si="136"/>
        <v>4972</v>
      </c>
      <c r="AR4975" s="1756" t="e">
        <f>0.5*(S18+2*AQ4975)*LN(1+2*AQ4975/S18)</f>
        <v>#VALUE!</v>
      </c>
    </row>
    <row r="4976" spans="42:44">
      <c r="AP4976" s="1756" t="e">
        <f>IF(OR(AR4976=S13,AR4976&gt;S13),AR4976,"")</f>
        <v>#VALUE!</v>
      </c>
      <c r="AQ4976" s="1759">
        <f t="shared" si="136"/>
        <v>4973</v>
      </c>
      <c r="AR4976" s="1756" t="e">
        <f>0.5*(S18+2*AQ4976)*LN(1+2*AQ4976/S18)</f>
        <v>#VALUE!</v>
      </c>
    </row>
    <row r="4977" spans="42:44">
      <c r="AP4977" s="1756" t="e">
        <f>IF(OR(AR4977=S13,AR4977&gt;S13),AR4977,"")</f>
        <v>#VALUE!</v>
      </c>
      <c r="AQ4977" s="1759">
        <f t="shared" si="136"/>
        <v>4974</v>
      </c>
      <c r="AR4977" s="1756" t="e">
        <f>0.5*(S18+2*AQ4977)*LN(1+2*AQ4977/S18)</f>
        <v>#VALUE!</v>
      </c>
    </row>
    <row r="4978" spans="42:44">
      <c r="AP4978" s="1756" t="e">
        <f>IF(OR(AR4978=S13,AR4978&gt;S13),AR4978,"")</f>
        <v>#VALUE!</v>
      </c>
      <c r="AQ4978" s="1759">
        <f t="shared" si="136"/>
        <v>4975</v>
      </c>
      <c r="AR4978" s="1756" t="e">
        <f>0.5*(S18+2*AQ4978)*LN(1+2*AQ4978/S18)</f>
        <v>#VALUE!</v>
      </c>
    </row>
    <row r="4979" spans="42:44">
      <c r="AP4979" s="1756" t="e">
        <f>IF(OR(AR4979=S13,AR4979&gt;S13),AR4979,"")</f>
        <v>#VALUE!</v>
      </c>
      <c r="AQ4979" s="1759">
        <f t="shared" si="136"/>
        <v>4976</v>
      </c>
      <c r="AR4979" s="1756" t="e">
        <f>0.5*(S18+2*AQ4979)*LN(1+2*AQ4979/S18)</f>
        <v>#VALUE!</v>
      </c>
    </row>
    <row r="4980" spans="42:44">
      <c r="AP4980" s="1756" t="e">
        <f>IF(OR(AR4980=S13,AR4980&gt;S13),AR4980,"")</f>
        <v>#VALUE!</v>
      </c>
      <c r="AQ4980" s="1759">
        <f t="shared" si="136"/>
        <v>4977</v>
      </c>
      <c r="AR4980" s="1756" t="e">
        <f>0.5*(S18+2*AQ4980)*LN(1+2*AQ4980/S18)</f>
        <v>#VALUE!</v>
      </c>
    </row>
    <row r="4981" spans="42:44">
      <c r="AP4981" s="1756" t="e">
        <f>IF(OR(AR4981=S13,AR4981&gt;S13),AR4981,"")</f>
        <v>#VALUE!</v>
      </c>
      <c r="AQ4981" s="1759">
        <f t="shared" si="136"/>
        <v>4978</v>
      </c>
      <c r="AR4981" s="1756" t="e">
        <f>0.5*(S18+2*AQ4981)*LN(1+2*AQ4981/S18)</f>
        <v>#VALUE!</v>
      </c>
    </row>
    <row r="4982" spans="42:44">
      <c r="AP4982" s="1756" t="e">
        <f>IF(OR(AR4982=S13,AR4982&gt;S13),AR4982,"")</f>
        <v>#VALUE!</v>
      </c>
      <c r="AQ4982" s="1759">
        <f t="shared" si="136"/>
        <v>4979</v>
      </c>
      <c r="AR4982" s="1756" t="e">
        <f>0.5*(S18+2*AQ4982)*LN(1+2*AQ4982/S18)</f>
        <v>#VALUE!</v>
      </c>
    </row>
    <row r="4983" spans="42:44">
      <c r="AP4983" s="1756" t="e">
        <f>IF(OR(AR4983=S13,AR4983&gt;S13),AR4983,"")</f>
        <v>#VALUE!</v>
      </c>
      <c r="AQ4983" s="1759">
        <f t="shared" si="136"/>
        <v>4980</v>
      </c>
      <c r="AR4983" s="1756" t="e">
        <f>0.5*(S18+2*AQ4983)*LN(1+2*AQ4983/S18)</f>
        <v>#VALUE!</v>
      </c>
    </row>
    <row r="4984" spans="42:44">
      <c r="AP4984" s="1756" t="e">
        <f>IF(OR(AR4984=S13,AR4984&gt;S13),AR4984,"")</f>
        <v>#VALUE!</v>
      </c>
      <c r="AQ4984" s="1759">
        <f t="shared" si="136"/>
        <v>4981</v>
      </c>
      <c r="AR4984" s="1756" t="e">
        <f>0.5*(S18+2*AQ4984)*LN(1+2*AQ4984/S18)</f>
        <v>#VALUE!</v>
      </c>
    </row>
    <row r="4985" spans="42:44">
      <c r="AP4985" s="1756" t="e">
        <f>IF(OR(AR4985=S13,AR4985&gt;S13),AR4985,"")</f>
        <v>#VALUE!</v>
      </c>
      <c r="AQ4985" s="1759">
        <f t="shared" si="136"/>
        <v>4982</v>
      </c>
      <c r="AR4985" s="1756" t="e">
        <f>0.5*(S18+2*AQ4985)*LN(1+2*AQ4985/S18)</f>
        <v>#VALUE!</v>
      </c>
    </row>
    <row r="4986" spans="42:44">
      <c r="AP4986" s="1756" t="e">
        <f>IF(OR(AR4986=S13,AR4986&gt;S13),AR4986,"")</f>
        <v>#VALUE!</v>
      </c>
      <c r="AQ4986" s="1759">
        <f t="shared" si="136"/>
        <v>4983</v>
      </c>
      <c r="AR4986" s="1756" t="e">
        <f>0.5*(S18+2*AQ4986)*LN(1+2*AQ4986/S18)</f>
        <v>#VALUE!</v>
      </c>
    </row>
    <row r="4987" spans="42:44">
      <c r="AP4987" s="1756" t="e">
        <f>IF(OR(AR4987=S13,AR4987&gt;S13),AR4987,"")</f>
        <v>#VALUE!</v>
      </c>
      <c r="AQ4987" s="1759">
        <f t="shared" si="136"/>
        <v>4984</v>
      </c>
      <c r="AR4987" s="1756" t="e">
        <f>0.5*(S18+2*AQ4987)*LN(1+2*AQ4987/S18)</f>
        <v>#VALUE!</v>
      </c>
    </row>
    <row r="4988" spans="42:44">
      <c r="AP4988" s="1756" t="e">
        <f>IF(OR(AR4988=S13,AR4988&gt;S13),AR4988,"")</f>
        <v>#VALUE!</v>
      </c>
      <c r="AQ4988" s="1759">
        <f t="shared" si="136"/>
        <v>4985</v>
      </c>
      <c r="AR4988" s="1756" t="e">
        <f>0.5*(S18+2*AQ4988)*LN(1+2*AQ4988/S18)</f>
        <v>#VALUE!</v>
      </c>
    </row>
    <row r="4989" spans="42:44">
      <c r="AP4989" s="1756" t="e">
        <f>IF(OR(AR4989=S13,AR4989&gt;S13),AR4989,"")</f>
        <v>#VALUE!</v>
      </c>
      <c r="AQ4989" s="1759">
        <f t="shared" si="136"/>
        <v>4986</v>
      </c>
      <c r="AR4989" s="1756" t="e">
        <f>0.5*(S18+2*AQ4989)*LN(1+2*AQ4989/S18)</f>
        <v>#VALUE!</v>
      </c>
    </row>
    <row r="4990" spans="42:44">
      <c r="AP4990" s="1756" t="e">
        <f>IF(OR(AR4990=S13,AR4990&gt;S13),AR4990,"")</f>
        <v>#VALUE!</v>
      </c>
      <c r="AQ4990" s="1759">
        <f t="shared" si="136"/>
        <v>4987</v>
      </c>
      <c r="AR4990" s="1756" t="e">
        <f>0.5*(S18+2*AQ4990)*LN(1+2*AQ4990/S18)</f>
        <v>#VALUE!</v>
      </c>
    </row>
    <row r="4991" spans="42:44">
      <c r="AP4991" s="1756" t="e">
        <f>IF(OR(AR4991=S13,AR4991&gt;S13),AR4991,"")</f>
        <v>#VALUE!</v>
      </c>
      <c r="AQ4991" s="1759">
        <f t="shared" si="136"/>
        <v>4988</v>
      </c>
      <c r="AR4991" s="1756" t="e">
        <f>0.5*(S18+2*AQ4991)*LN(1+2*AQ4991/S18)</f>
        <v>#VALUE!</v>
      </c>
    </row>
    <row r="4992" spans="42:44">
      <c r="AP4992" s="1756" t="e">
        <f>IF(OR(AR4992=S13,AR4992&gt;S13),AR4992,"")</f>
        <v>#VALUE!</v>
      </c>
      <c r="AQ4992" s="1759">
        <f t="shared" si="136"/>
        <v>4989</v>
      </c>
      <c r="AR4992" s="1756" t="e">
        <f>0.5*(S18+2*AQ4992)*LN(1+2*AQ4992/S18)</f>
        <v>#VALUE!</v>
      </c>
    </row>
    <row r="4993" spans="42:44">
      <c r="AP4993" s="1756" t="e">
        <f>IF(OR(AR4993=S13,AR4993&gt;S13),AR4993,"")</f>
        <v>#VALUE!</v>
      </c>
      <c r="AQ4993" s="1759">
        <f t="shared" si="136"/>
        <v>4990</v>
      </c>
      <c r="AR4993" s="1756" t="e">
        <f>0.5*(S18+2*AQ4993)*LN(1+2*AQ4993/S18)</f>
        <v>#VALUE!</v>
      </c>
    </row>
    <row r="4994" spans="42:44">
      <c r="AP4994" s="1756" t="e">
        <f>IF(OR(AR4994=S13,AR4994&gt;S13),AR4994,"")</f>
        <v>#VALUE!</v>
      </c>
      <c r="AQ4994" s="1759">
        <f t="shared" si="136"/>
        <v>4991</v>
      </c>
      <c r="AR4994" s="1756" t="e">
        <f>0.5*(S18+2*AQ4994)*LN(1+2*AQ4994/S18)</f>
        <v>#VALUE!</v>
      </c>
    </row>
    <row r="4995" spans="42:44">
      <c r="AP4995" s="1756" t="e">
        <f>IF(OR(AR4995=S13,AR4995&gt;S13),AR4995,"")</f>
        <v>#VALUE!</v>
      </c>
      <c r="AQ4995" s="1759">
        <f t="shared" si="136"/>
        <v>4992</v>
      </c>
      <c r="AR4995" s="1756" t="e">
        <f>0.5*(S18+2*AQ4995)*LN(1+2*AQ4995/S18)</f>
        <v>#VALUE!</v>
      </c>
    </row>
    <row r="4996" spans="42:44">
      <c r="AP4996" s="1756" t="e">
        <f>IF(OR(AR4996=S13,AR4996&gt;S13),AR4996,"")</f>
        <v>#VALUE!</v>
      </c>
      <c r="AQ4996" s="1759">
        <f t="shared" si="136"/>
        <v>4993</v>
      </c>
      <c r="AR4996" s="1756" t="e">
        <f>0.5*(S18+2*AQ4996)*LN(1+2*AQ4996/S18)</f>
        <v>#VALUE!</v>
      </c>
    </row>
    <row r="4997" spans="42:44">
      <c r="AP4997" s="1756" t="e">
        <f>IF(OR(AR4997=S13,AR4997&gt;S13),AR4997,"")</f>
        <v>#VALUE!</v>
      </c>
      <c r="AQ4997" s="1759">
        <f t="shared" si="136"/>
        <v>4994</v>
      </c>
      <c r="AR4997" s="1756" t="e">
        <f>0.5*(S18+2*AQ4997)*LN(1+2*AQ4997/S18)</f>
        <v>#VALUE!</v>
      </c>
    </row>
    <row r="4998" spans="42:44">
      <c r="AP4998" s="1756" t="e">
        <f>IF(OR(AR4998=S13,AR4998&gt;S13),AR4998,"")</f>
        <v>#VALUE!</v>
      </c>
      <c r="AQ4998" s="1759">
        <f t="shared" ref="AQ4998:AQ5003" si="137">AQ4997+1</f>
        <v>4995</v>
      </c>
      <c r="AR4998" s="1756" t="e">
        <f>0.5*(S18+2*AQ4998)*LN(1+2*AQ4998/S18)</f>
        <v>#VALUE!</v>
      </c>
    </row>
    <row r="4999" spans="42:44">
      <c r="AP4999" s="1756" t="e">
        <f>IF(OR(AR4999=S13,AR4999&gt;S13),AR4999,"")</f>
        <v>#VALUE!</v>
      </c>
      <c r="AQ4999" s="1759">
        <f t="shared" si="137"/>
        <v>4996</v>
      </c>
      <c r="AR4999" s="1756" t="e">
        <f>0.5*(S18+2*AQ4999)*LN(1+2*AQ4999/S18)</f>
        <v>#VALUE!</v>
      </c>
    </row>
    <row r="5000" spans="42:44">
      <c r="AP5000" s="1756" t="e">
        <f>IF(OR(AR5000=S13,AR5000&gt;S13),AR5000,"")</f>
        <v>#VALUE!</v>
      </c>
      <c r="AQ5000" s="1759">
        <f t="shared" si="137"/>
        <v>4997</v>
      </c>
      <c r="AR5000" s="1756" t="e">
        <f>0.5*(S18+2*AQ5000)*LN(1+2*AQ5000/S18)</f>
        <v>#VALUE!</v>
      </c>
    </row>
    <row r="5001" spans="42:44">
      <c r="AP5001" s="1756" t="e">
        <f>IF(OR(AR5001=S13,AR5001&gt;S13),AR5001,"")</f>
        <v>#VALUE!</v>
      </c>
      <c r="AQ5001" s="1759">
        <f t="shared" si="137"/>
        <v>4998</v>
      </c>
      <c r="AR5001" s="1756" t="e">
        <f>0.5*(S18+2*AQ5001)*LN(1+2*AQ5001/S18)</f>
        <v>#VALUE!</v>
      </c>
    </row>
    <row r="5002" spans="42:44">
      <c r="AP5002" s="1756" t="e">
        <f>IF(OR(AR5002=S13,AR5002&gt;S13),AR5002,"")</f>
        <v>#VALUE!</v>
      </c>
      <c r="AQ5002" s="1759">
        <f t="shared" si="137"/>
        <v>4999</v>
      </c>
      <c r="AR5002" s="1756" t="e">
        <f>0.5*(S18+2*AQ5002)*LN(1+2*AQ5002/S18)</f>
        <v>#VALUE!</v>
      </c>
    </row>
    <row r="5003" spans="42:44">
      <c r="AP5003" s="1756" t="e">
        <f>IF(OR(AR5003=S13,AR5003&gt;S13),AR5003,"")</f>
        <v>#VALUE!</v>
      </c>
      <c r="AQ5003" s="1759">
        <f t="shared" si="137"/>
        <v>5000</v>
      </c>
      <c r="AR5003" s="1756" t="e">
        <f>0.5*(S18+2*AQ5003)*LN(1+2*AQ5003/S18)</f>
        <v>#VALUE!</v>
      </c>
    </row>
    <row r="5004" spans="42:44">
      <c r="AR5004" s="1756"/>
    </row>
    <row r="5005" spans="42:44">
      <c r="AR5005" s="1756"/>
    </row>
    <row r="5006" spans="42:44">
      <c r="AR5006" s="1756"/>
    </row>
    <row r="5007" spans="42:44">
      <c r="AR5007" s="1756"/>
    </row>
    <row r="5008" spans="42:44">
      <c r="AR5008" s="1756"/>
    </row>
    <row r="5009" spans="44:44">
      <c r="AR5009" s="1756"/>
    </row>
    <row r="5010" spans="44:44">
      <c r="AR5010" s="1756"/>
    </row>
    <row r="5011" spans="44:44">
      <c r="AR5011" s="1756"/>
    </row>
    <row r="5012" spans="44:44">
      <c r="AR5012" s="1756"/>
    </row>
    <row r="5013" spans="44:44">
      <c r="AR5013" s="1756"/>
    </row>
    <row r="5014" spans="44:44">
      <c r="AR5014" s="1756"/>
    </row>
    <row r="5015" spans="44:44">
      <c r="AR5015" s="1756"/>
    </row>
    <row r="5016" spans="44:44">
      <c r="AR5016" s="1756"/>
    </row>
    <row r="5017" spans="44:44">
      <c r="AR5017" s="1756"/>
    </row>
    <row r="5018" spans="44:44">
      <c r="AR5018" s="1756"/>
    </row>
    <row r="5019" spans="44:44">
      <c r="AR5019" s="1756"/>
    </row>
    <row r="5020" spans="44:44">
      <c r="AR5020" s="1756"/>
    </row>
    <row r="5021" spans="44:44">
      <c r="AR5021" s="1756"/>
    </row>
    <row r="5022" spans="44:44">
      <c r="AR5022" s="1756"/>
    </row>
    <row r="5023" spans="44:44">
      <c r="AR5023" s="1756"/>
    </row>
    <row r="5024" spans="44:44">
      <c r="AR5024" s="1756"/>
    </row>
    <row r="5025" spans="44:44">
      <c r="AR5025" s="1756"/>
    </row>
    <row r="5026" spans="44:44">
      <c r="AR5026" s="1756"/>
    </row>
    <row r="5027" spans="44:44">
      <c r="AR5027" s="1756"/>
    </row>
    <row r="5028" spans="44:44">
      <c r="AR5028" s="1756"/>
    </row>
    <row r="5029" spans="44:44">
      <c r="AR5029" s="1756"/>
    </row>
    <row r="5030" spans="44:44">
      <c r="AR5030" s="1756"/>
    </row>
    <row r="5031" spans="44:44">
      <c r="AR5031" s="1756"/>
    </row>
    <row r="5032" spans="44:44">
      <c r="AR5032" s="1756"/>
    </row>
    <row r="5033" spans="44:44">
      <c r="AR5033" s="1756"/>
    </row>
    <row r="5034" spans="44:44">
      <c r="AR5034" s="1756"/>
    </row>
    <row r="5035" spans="44:44">
      <c r="AR5035" s="1756"/>
    </row>
    <row r="5036" spans="44:44">
      <c r="AR5036" s="1756"/>
    </row>
    <row r="5037" spans="44:44">
      <c r="AR5037" s="1756"/>
    </row>
    <row r="5038" spans="44:44">
      <c r="AR5038" s="1756"/>
    </row>
    <row r="5039" spans="44:44">
      <c r="AR5039" s="1756"/>
    </row>
    <row r="5040" spans="44:44">
      <c r="AR5040" s="1756"/>
    </row>
    <row r="5041" spans="44:44">
      <c r="AR5041" s="1756"/>
    </row>
    <row r="5042" spans="44:44">
      <c r="AR5042" s="1756"/>
    </row>
    <row r="5043" spans="44:44">
      <c r="AR5043" s="1756"/>
    </row>
    <row r="5044" spans="44:44">
      <c r="AR5044" s="1756"/>
    </row>
    <row r="5045" spans="44:44">
      <c r="AR5045" s="1756"/>
    </row>
    <row r="5046" spans="44:44">
      <c r="AR5046" s="1756"/>
    </row>
    <row r="5047" spans="44:44">
      <c r="AR5047" s="1756"/>
    </row>
    <row r="5048" spans="44:44">
      <c r="AR5048" s="1756"/>
    </row>
    <row r="5049" spans="44:44">
      <c r="AR5049" s="1756"/>
    </row>
    <row r="5050" spans="44:44">
      <c r="AR5050" s="1756"/>
    </row>
    <row r="5051" spans="44:44">
      <c r="AR5051" s="1756"/>
    </row>
    <row r="5052" spans="44:44">
      <c r="AR5052" s="1756"/>
    </row>
    <row r="5053" spans="44:44">
      <c r="AR5053" s="1756"/>
    </row>
    <row r="5054" spans="44:44">
      <c r="AR5054" s="1756"/>
    </row>
    <row r="5055" spans="44:44">
      <c r="AR5055" s="1756"/>
    </row>
    <row r="5056" spans="44:44">
      <c r="AR5056" s="1756"/>
    </row>
    <row r="5057" spans="44:44">
      <c r="AR5057" s="1756"/>
    </row>
    <row r="5058" spans="44:44">
      <c r="AR5058" s="1756"/>
    </row>
    <row r="5059" spans="44:44">
      <c r="AR5059" s="1756"/>
    </row>
    <row r="5060" spans="44:44">
      <c r="AR5060" s="1756"/>
    </row>
    <row r="5061" spans="44:44">
      <c r="AR5061" s="1756"/>
    </row>
    <row r="5062" spans="44:44">
      <c r="AR5062" s="1756"/>
    </row>
    <row r="5063" spans="44:44">
      <c r="AR5063" s="1756"/>
    </row>
    <row r="5064" spans="44:44">
      <c r="AR5064" s="1756"/>
    </row>
    <row r="5065" spans="44:44">
      <c r="AR5065" s="1756"/>
    </row>
    <row r="5066" spans="44:44">
      <c r="AR5066" s="1756"/>
    </row>
    <row r="5067" spans="44:44">
      <c r="AR5067" s="1756"/>
    </row>
    <row r="5068" spans="44:44">
      <c r="AR5068" s="1756"/>
    </row>
    <row r="5069" spans="44:44">
      <c r="AR5069" s="1756"/>
    </row>
    <row r="5070" spans="44:44">
      <c r="AR5070" s="1756"/>
    </row>
    <row r="5071" spans="44:44">
      <c r="AR5071" s="1756"/>
    </row>
    <row r="5072" spans="44:44">
      <c r="AR5072" s="1756"/>
    </row>
    <row r="5073" spans="44:44">
      <c r="AR5073" s="1756"/>
    </row>
    <row r="5074" spans="44:44">
      <c r="AR5074" s="1756"/>
    </row>
    <row r="5075" spans="44:44">
      <c r="AR5075" s="1756"/>
    </row>
    <row r="5076" spans="44:44">
      <c r="AR5076" s="1756"/>
    </row>
    <row r="5077" spans="44:44">
      <c r="AR5077" s="1756"/>
    </row>
    <row r="5078" spans="44:44">
      <c r="AR5078" s="1756"/>
    </row>
    <row r="5079" spans="44:44">
      <c r="AR5079" s="1756"/>
    </row>
    <row r="5080" spans="44:44">
      <c r="AR5080" s="1756"/>
    </row>
    <row r="5081" spans="44:44">
      <c r="AR5081" s="1756"/>
    </row>
    <row r="5082" spans="44:44">
      <c r="AR5082" s="1756"/>
    </row>
    <row r="5083" spans="44:44">
      <c r="AR5083" s="1756"/>
    </row>
    <row r="5084" spans="44:44">
      <c r="AR5084" s="1756"/>
    </row>
    <row r="5085" spans="44:44">
      <c r="AR5085" s="1756"/>
    </row>
    <row r="5086" spans="44:44">
      <c r="AR5086" s="1756"/>
    </row>
    <row r="5087" spans="44:44">
      <c r="AR5087" s="1756"/>
    </row>
    <row r="5088" spans="44:44">
      <c r="AR5088" s="1756"/>
    </row>
    <row r="5089" spans="44:44">
      <c r="AR5089" s="1756"/>
    </row>
    <row r="5090" spans="44:44">
      <c r="AR5090" s="1756"/>
    </row>
    <row r="5091" spans="44:44">
      <c r="AR5091" s="1756"/>
    </row>
    <row r="5092" spans="44:44">
      <c r="AR5092" s="1756"/>
    </row>
    <row r="5093" spans="44:44">
      <c r="AR5093" s="1756"/>
    </row>
    <row r="5094" spans="44:44">
      <c r="AR5094" s="1756"/>
    </row>
    <row r="5095" spans="44:44">
      <c r="AR5095" s="1756"/>
    </row>
    <row r="5096" spans="44:44">
      <c r="AR5096" s="1756"/>
    </row>
    <row r="5097" spans="44:44">
      <c r="AR5097" s="1756"/>
    </row>
    <row r="5098" spans="44:44">
      <c r="AR5098" s="1756"/>
    </row>
    <row r="5099" spans="44:44">
      <c r="AR5099" s="1756"/>
    </row>
    <row r="5100" spans="44:44">
      <c r="AR5100" s="1756"/>
    </row>
    <row r="5101" spans="44:44">
      <c r="AR5101" s="1756"/>
    </row>
    <row r="5102" spans="44:44">
      <c r="AR5102" s="1756"/>
    </row>
    <row r="5103" spans="44:44">
      <c r="AR5103" s="1756"/>
    </row>
    <row r="5104" spans="44:44">
      <c r="AR5104" s="1756"/>
    </row>
    <row r="5105" spans="44:44">
      <c r="AR5105" s="1756"/>
    </row>
    <row r="5106" spans="44:44">
      <c r="AR5106" s="1756"/>
    </row>
    <row r="5107" spans="44:44">
      <c r="AR5107" s="1756"/>
    </row>
    <row r="5108" spans="44:44">
      <c r="AR5108" s="1756"/>
    </row>
    <row r="5109" spans="44:44">
      <c r="AR5109" s="1756"/>
    </row>
    <row r="5110" spans="44:44">
      <c r="AR5110" s="1756"/>
    </row>
    <row r="5111" spans="44:44">
      <c r="AR5111" s="1756"/>
    </row>
    <row r="5112" spans="44:44">
      <c r="AR5112" s="1756"/>
    </row>
    <row r="5113" spans="44:44">
      <c r="AR5113" s="1756"/>
    </row>
    <row r="5114" spans="44:44">
      <c r="AR5114" s="1756"/>
    </row>
    <row r="5115" spans="44:44">
      <c r="AR5115" s="1756"/>
    </row>
    <row r="5116" spans="44:44">
      <c r="AR5116" s="1756"/>
    </row>
    <row r="5117" spans="44:44">
      <c r="AR5117" s="1756"/>
    </row>
    <row r="5118" spans="44:44">
      <c r="AR5118" s="1756"/>
    </row>
    <row r="5119" spans="44:44">
      <c r="AR5119" s="1756"/>
    </row>
    <row r="5120" spans="44:44">
      <c r="AR5120" s="1756"/>
    </row>
    <row r="5121" spans="44:44">
      <c r="AR5121" s="1756"/>
    </row>
    <row r="5122" spans="44:44">
      <c r="AR5122" s="1756"/>
    </row>
    <row r="5123" spans="44:44">
      <c r="AR5123" s="1756"/>
    </row>
    <row r="5124" spans="44:44">
      <c r="AR5124" s="1756"/>
    </row>
    <row r="5125" spans="44:44">
      <c r="AR5125" s="1756"/>
    </row>
    <row r="5126" spans="44:44">
      <c r="AR5126" s="1756"/>
    </row>
    <row r="5127" spans="44:44">
      <c r="AR5127" s="1756"/>
    </row>
    <row r="5128" spans="44:44">
      <c r="AR5128" s="1756"/>
    </row>
    <row r="5129" spans="44:44">
      <c r="AR5129" s="1756"/>
    </row>
    <row r="5130" spans="44:44">
      <c r="AR5130" s="1756"/>
    </row>
    <row r="5131" spans="44:44">
      <c r="AR5131" s="1756"/>
    </row>
    <row r="5132" spans="44:44">
      <c r="AR5132" s="1756"/>
    </row>
    <row r="5133" spans="44:44">
      <c r="AR5133" s="1756"/>
    </row>
    <row r="5134" spans="44:44">
      <c r="AR5134" s="1756"/>
    </row>
    <row r="5135" spans="44:44">
      <c r="AR5135" s="1756"/>
    </row>
    <row r="5136" spans="44:44">
      <c r="AR5136" s="1756"/>
    </row>
    <row r="5137" spans="44:44">
      <c r="AR5137" s="1756"/>
    </row>
    <row r="5138" spans="44:44">
      <c r="AR5138" s="1756"/>
    </row>
    <row r="5139" spans="44:44">
      <c r="AR5139" s="1756"/>
    </row>
    <row r="5140" spans="44:44">
      <c r="AR5140" s="1756"/>
    </row>
    <row r="5141" spans="44:44">
      <c r="AR5141" s="1756"/>
    </row>
    <row r="5142" spans="44:44">
      <c r="AR5142" s="1756"/>
    </row>
    <row r="5143" spans="44:44">
      <c r="AR5143" s="1756"/>
    </row>
    <row r="5144" spans="44:44">
      <c r="AR5144" s="1756"/>
    </row>
    <row r="5145" spans="44:44">
      <c r="AR5145" s="1756"/>
    </row>
    <row r="5146" spans="44:44">
      <c r="AR5146" s="1756"/>
    </row>
    <row r="5147" spans="44:44">
      <c r="AR5147" s="1756"/>
    </row>
    <row r="5148" spans="44:44">
      <c r="AR5148" s="1756"/>
    </row>
    <row r="5149" spans="44:44">
      <c r="AR5149" s="1756"/>
    </row>
    <row r="5150" spans="44:44">
      <c r="AR5150" s="1756"/>
    </row>
    <row r="5151" spans="44:44">
      <c r="AR5151" s="1756"/>
    </row>
    <row r="5152" spans="44:44">
      <c r="AR5152" s="1756"/>
    </row>
    <row r="5153" spans="44:44">
      <c r="AR5153" s="1756"/>
    </row>
    <row r="5154" spans="44:44">
      <c r="AR5154" s="1756"/>
    </row>
    <row r="5155" spans="44:44">
      <c r="AR5155" s="1756"/>
    </row>
    <row r="5156" spans="44:44">
      <c r="AR5156" s="1756"/>
    </row>
    <row r="5157" spans="44:44">
      <c r="AR5157" s="1756"/>
    </row>
    <row r="5158" spans="44:44">
      <c r="AR5158" s="1756"/>
    </row>
    <row r="5159" spans="44:44">
      <c r="AR5159" s="1756"/>
    </row>
    <row r="5160" spans="44:44">
      <c r="AR5160" s="1756"/>
    </row>
    <row r="5161" spans="44:44">
      <c r="AR5161" s="1756"/>
    </row>
    <row r="5162" spans="44:44">
      <c r="AR5162" s="1756"/>
    </row>
    <row r="5163" spans="44:44">
      <c r="AR5163" s="1756"/>
    </row>
    <row r="5164" spans="44:44">
      <c r="AR5164" s="1756"/>
    </row>
    <row r="5165" spans="44:44">
      <c r="AR5165" s="1756"/>
    </row>
    <row r="5166" spans="44:44">
      <c r="AR5166" s="1756"/>
    </row>
    <row r="5167" spans="44:44">
      <c r="AR5167" s="1756"/>
    </row>
    <row r="5168" spans="44:44">
      <c r="AR5168" s="1756"/>
    </row>
    <row r="5169" spans="44:44">
      <c r="AR5169" s="1756"/>
    </row>
    <row r="5170" spans="44:44">
      <c r="AR5170" s="1756"/>
    </row>
    <row r="5171" spans="44:44">
      <c r="AR5171" s="1756"/>
    </row>
    <row r="5172" spans="44:44">
      <c r="AR5172" s="1756"/>
    </row>
    <row r="5173" spans="44:44">
      <c r="AR5173" s="1756"/>
    </row>
    <row r="5174" spans="44:44">
      <c r="AR5174" s="1756"/>
    </row>
    <row r="5175" spans="44:44">
      <c r="AR5175" s="1756"/>
    </row>
    <row r="5176" spans="44:44">
      <c r="AR5176" s="1756"/>
    </row>
    <row r="5177" spans="44:44">
      <c r="AR5177" s="1756"/>
    </row>
    <row r="5178" spans="44:44">
      <c r="AR5178" s="1756"/>
    </row>
    <row r="5179" spans="44:44">
      <c r="AR5179" s="1756"/>
    </row>
    <row r="5180" spans="44:44">
      <c r="AR5180" s="1756"/>
    </row>
    <row r="5181" spans="44:44">
      <c r="AR5181" s="1756"/>
    </row>
    <row r="5182" spans="44:44">
      <c r="AR5182" s="1756"/>
    </row>
    <row r="5183" spans="44:44">
      <c r="AR5183" s="1756"/>
    </row>
    <row r="5184" spans="44:44">
      <c r="AR5184" s="1756"/>
    </row>
    <row r="5185" spans="44:44">
      <c r="AR5185" s="1756"/>
    </row>
    <row r="5186" spans="44:44">
      <c r="AR5186" s="1756"/>
    </row>
    <row r="5187" spans="44:44">
      <c r="AR5187" s="1756"/>
    </row>
    <row r="5188" spans="44:44">
      <c r="AR5188" s="1756"/>
    </row>
    <row r="5189" spans="44:44">
      <c r="AR5189" s="1756"/>
    </row>
    <row r="5190" spans="44:44">
      <c r="AR5190" s="1756"/>
    </row>
    <row r="5191" spans="44:44">
      <c r="AR5191" s="1756"/>
    </row>
    <row r="5192" spans="44:44">
      <c r="AR5192" s="1756"/>
    </row>
    <row r="5193" spans="44:44">
      <c r="AR5193" s="1756"/>
    </row>
    <row r="5194" spans="44:44">
      <c r="AR5194" s="1756"/>
    </row>
    <row r="5195" spans="44:44">
      <c r="AR5195" s="1756"/>
    </row>
    <row r="5196" spans="44:44">
      <c r="AR5196" s="1756"/>
    </row>
    <row r="5197" spans="44:44">
      <c r="AR5197" s="1756"/>
    </row>
    <row r="5198" spans="44:44">
      <c r="AR5198" s="1756"/>
    </row>
    <row r="5199" spans="44:44">
      <c r="AR5199" s="1756"/>
    </row>
    <row r="5200" spans="44:44">
      <c r="AR5200" s="1756"/>
    </row>
    <row r="5201" spans="44:44">
      <c r="AR5201" s="1756"/>
    </row>
    <row r="5202" spans="44:44">
      <c r="AR5202" s="1756"/>
    </row>
    <row r="5203" spans="44:44">
      <c r="AR5203" s="1756"/>
    </row>
    <row r="5204" spans="44:44">
      <c r="AR5204" s="1756"/>
    </row>
    <row r="5205" spans="44:44">
      <c r="AR5205" s="1756"/>
    </row>
    <row r="5206" spans="44:44">
      <c r="AR5206" s="1756"/>
    </row>
    <row r="5207" spans="44:44">
      <c r="AR5207" s="1756"/>
    </row>
    <row r="5208" spans="44:44">
      <c r="AR5208" s="1756"/>
    </row>
    <row r="5209" spans="44:44">
      <c r="AR5209" s="1756"/>
    </row>
    <row r="5210" spans="44:44">
      <c r="AR5210" s="1756"/>
    </row>
    <row r="5211" spans="44:44">
      <c r="AR5211" s="1756"/>
    </row>
    <row r="5212" spans="44:44">
      <c r="AR5212" s="1756"/>
    </row>
    <row r="5213" spans="44:44">
      <c r="AR5213" s="1756"/>
    </row>
    <row r="5214" spans="44:44">
      <c r="AR5214" s="1756"/>
    </row>
    <row r="5215" spans="44:44">
      <c r="AR5215" s="1756"/>
    </row>
    <row r="5216" spans="44:44">
      <c r="AR5216" s="1756"/>
    </row>
    <row r="5217" spans="44:44">
      <c r="AR5217" s="1756"/>
    </row>
    <row r="5218" spans="44:44">
      <c r="AR5218" s="1756"/>
    </row>
    <row r="5219" spans="44:44">
      <c r="AR5219" s="1756"/>
    </row>
    <row r="5220" spans="44:44">
      <c r="AR5220" s="1756"/>
    </row>
    <row r="5221" spans="44:44">
      <c r="AR5221" s="1756"/>
    </row>
    <row r="5222" spans="44:44">
      <c r="AR5222" s="1756"/>
    </row>
    <row r="5223" spans="44:44">
      <c r="AR5223" s="1756"/>
    </row>
    <row r="5224" spans="44:44">
      <c r="AR5224" s="1756"/>
    </row>
    <row r="5225" spans="44:44">
      <c r="AR5225" s="1756"/>
    </row>
    <row r="5226" spans="44:44">
      <c r="AR5226" s="1756"/>
    </row>
    <row r="5227" spans="44:44">
      <c r="AR5227" s="1756"/>
    </row>
    <row r="5228" spans="44:44">
      <c r="AR5228" s="1756"/>
    </row>
    <row r="5229" spans="44:44">
      <c r="AR5229" s="1756"/>
    </row>
    <row r="5230" spans="44:44">
      <c r="AR5230" s="1756"/>
    </row>
    <row r="5231" spans="44:44">
      <c r="AR5231" s="1756"/>
    </row>
    <row r="5232" spans="44:44">
      <c r="AR5232" s="1756"/>
    </row>
    <row r="5233" spans="44:44">
      <c r="AR5233" s="1756"/>
    </row>
    <row r="5234" spans="44:44">
      <c r="AR5234" s="1756"/>
    </row>
    <row r="5235" spans="44:44">
      <c r="AR5235" s="1756"/>
    </row>
    <row r="5236" spans="44:44">
      <c r="AR5236" s="1756"/>
    </row>
    <row r="5237" spans="44:44">
      <c r="AR5237" s="1756"/>
    </row>
    <row r="5238" spans="44:44">
      <c r="AR5238" s="1756"/>
    </row>
    <row r="5239" spans="44:44">
      <c r="AR5239" s="1756"/>
    </row>
    <row r="5240" spans="44:44">
      <c r="AR5240" s="1756"/>
    </row>
    <row r="5241" spans="44:44">
      <c r="AR5241" s="1756"/>
    </row>
    <row r="5242" spans="44:44">
      <c r="AR5242" s="1756"/>
    </row>
    <row r="5243" spans="44:44">
      <c r="AR5243" s="1756"/>
    </row>
    <row r="5244" spans="44:44">
      <c r="AR5244" s="1756"/>
    </row>
    <row r="5245" spans="44:44">
      <c r="AR5245" s="1756"/>
    </row>
    <row r="5246" spans="44:44">
      <c r="AR5246" s="1756"/>
    </row>
    <row r="5247" spans="44:44">
      <c r="AR5247" s="1756"/>
    </row>
    <row r="5248" spans="44:44">
      <c r="AR5248" s="1756"/>
    </row>
    <row r="5249" spans="44:44">
      <c r="AR5249" s="1756"/>
    </row>
    <row r="5250" spans="44:44">
      <c r="AR5250" s="1756"/>
    </row>
    <row r="5251" spans="44:44">
      <c r="AR5251" s="1756"/>
    </row>
    <row r="5252" spans="44:44">
      <c r="AR5252" s="1756"/>
    </row>
    <row r="5253" spans="44:44">
      <c r="AR5253" s="1756"/>
    </row>
    <row r="5254" spans="44:44">
      <c r="AR5254" s="1756"/>
    </row>
    <row r="5255" spans="44:44">
      <c r="AR5255" s="1756"/>
    </row>
    <row r="5256" spans="44:44">
      <c r="AR5256" s="1756"/>
    </row>
    <row r="5257" spans="44:44">
      <c r="AR5257" s="1756"/>
    </row>
    <row r="5258" spans="44:44">
      <c r="AR5258" s="1756"/>
    </row>
    <row r="5259" spans="44:44">
      <c r="AR5259" s="1756"/>
    </row>
    <row r="5260" spans="44:44">
      <c r="AR5260" s="1756"/>
    </row>
    <row r="5261" spans="44:44">
      <c r="AR5261" s="1756"/>
    </row>
    <row r="5262" spans="44:44">
      <c r="AR5262" s="1756"/>
    </row>
    <row r="5263" spans="44:44">
      <c r="AR5263" s="1756"/>
    </row>
    <row r="5264" spans="44:44">
      <c r="AR5264" s="1756"/>
    </row>
    <row r="5265" spans="44:44">
      <c r="AR5265" s="1756"/>
    </row>
    <row r="5266" spans="44:44">
      <c r="AR5266" s="1756"/>
    </row>
    <row r="5267" spans="44:44">
      <c r="AR5267" s="1756"/>
    </row>
    <row r="5268" spans="44:44">
      <c r="AR5268" s="1756"/>
    </row>
    <row r="5269" spans="44:44">
      <c r="AR5269" s="1756"/>
    </row>
    <row r="5270" spans="44:44">
      <c r="AR5270" s="1756"/>
    </row>
    <row r="5271" spans="44:44">
      <c r="AR5271" s="1756"/>
    </row>
    <row r="5272" spans="44:44">
      <c r="AR5272" s="1756"/>
    </row>
    <row r="5273" spans="44:44">
      <c r="AR5273" s="1756"/>
    </row>
    <row r="5274" spans="44:44">
      <c r="AR5274" s="1756"/>
    </row>
    <row r="5275" spans="44:44">
      <c r="AR5275" s="1756"/>
    </row>
    <row r="5276" spans="44:44">
      <c r="AR5276" s="1756"/>
    </row>
    <row r="5277" spans="44:44">
      <c r="AR5277" s="1756"/>
    </row>
    <row r="5278" spans="44:44">
      <c r="AR5278" s="1756"/>
    </row>
    <row r="5279" spans="44:44">
      <c r="AR5279" s="1756"/>
    </row>
    <row r="5280" spans="44:44">
      <c r="AR5280" s="1756"/>
    </row>
    <row r="5281" spans="44:44">
      <c r="AR5281" s="1756"/>
    </row>
    <row r="5282" spans="44:44">
      <c r="AR5282" s="1756"/>
    </row>
    <row r="5283" spans="44:44">
      <c r="AR5283" s="1756"/>
    </row>
    <row r="5284" spans="44:44">
      <c r="AR5284" s="1756"/>
    </row>
    <row r="5285" spans="44:44">
      <c r="AR5285" s="1756"/>
    </row>
    <row r="5286" spans="44:44">
      <c r="AR5286" s="1756"/>
    </row>
    <row r="5287" spans="44:44">
      <c r="AR5287" s="1756"/>
    </row>
    <row r="5288" spans="44:44">
      <c r="AR5288" s="1756"/>
    </row>
    <row r="5289" spans="44:44">
      <c r="AR5289" s="1756"/>
    </row>
    <row r="5290" spans="44:44">
      <c r="AR5290" s="1756"/>
    </row>
    <row r="5291" spans="44:44">
      <c r="AR5291" s="1756"/>
    </row>
    <row r="5292" spans="44:44">
      <c r="AR5292" s="1756"/>
    </row>
    <row r="5293" spans="44:44">
      <c r="AR5293" s="1756"/>
    </row>
    <row r="5294" spans="44:44">
      <c r="AR5294" s="1756"/>
    </row>
    <row r="5295" spans="44:44">
      <c r="AR5295" s="1756"/>
    </row>
    <row r="5296" spans="44:44">
      <c r="AR5296" s="1756"/>
    </row>
    <row r="5297" spans="44:44">
      <c r="AR5297" s="1756"/>
    </row>
    <row r="5298" spans="44:44">
      <c r="AR5298" s="1756"/>
    </row>
    <row r="5299" spans="44:44">
      <c r="AR5299" s="1756"/>
    </row>
    <row r="5300" spans="44:44">
      <c r="AR5300" s="1756"/>
    </row>
    <row r="5301" spans="44:44">
      <c r="AR5301" s="1756"/>
    </row>
    <row r="5302" spans="44:44">
      <c r="AR5302" s="1756"/>
    </row>
    <row r="5303" spans="44:44">
      <c r="AR5303" s="1756"/>
    </row>
    <row r="5304" spans="44:44">
      <c r="AR5304" s="1756"/>
    </row>
    <row r="5305" spans="44:44">
      <c r="AR5305" s="1756"/>
    </row>
    <row r="5306" spans="44:44">
      <c r="AR5306" s="1756"/>
    </row>
    <row r="5307" spans="44:44">
      <c r="AR5307" s="1756"/>
    </row>
    <row r="5308" spans="44:44">
      <c r="AR5308" s="1756"/>
    </row>
    <row r="5309" spans="44:44">
      <c r="AR5309" s="1756"/>
    </row>
    <row r="5310" spans="44:44">
      <c r="AR5310" s="1756"/>
    </row>
    <row r="5311" spans="44:44">
      <c r="AR5311" s="1756"/>
    </row>
    <row r="5312" spans="44:44">
      <c r="AR5312" s="1756"/>
    </row>
    <row r="5313" spans="44:44">
      <c r="AR5313" s="1756"/>
    </row>
    <row r="5314" spans="44:44">
      <c r="AR5314" s="1756"/>
    </row>
    <row r="5315" spans="44:44">
      <c r="AR5315" s="1756"/>
    </row>
    <row r="5316" spans="44:44">
      <c r="AR5316" s="1756"/>
    </row>
    <row r="5317" spans="44:44">
      <c r="AR5317" s="1756"/>
    </row>
    <row r="5318" spans="44:44">
      <c r="AR5318" s="1756"/>
    </row>
    <row r="5319" spans="44:44">
      <c r="AR5319" s="1756"/>
    </row>
    <row r="5320" spans="44:44">
      <c r="AR5320" s="1756"/>
    </row>
    <row r="5321" spans="44:44">
      <c r="AR5321" s="1756"/>
    </row>
    <row r="5322" spans="44:44">
      <c r="AR5322" s="1756"/>
    </row>
    <row r="5323" spans="44:44">
      <c r="AR5323" s="1756"/>
    </row>
    <row r="5324" spans="44:44">
      <c r="AR5324" s="1756"/>
    </row>
    <row r="5325" spans="44:44">
      <c r="AR5325" s="1756"/>
    </row>
    <row r="5326" spans="44:44">
      <c r="AR5326" s="1756"/>
    </row>
    <row r="5327" spans="44:44">
      <c r="AR5327" s="1756"/>
    </row>
    <row r="5328" spans="44:44">
      <c r="AR5328" s="1756"/>
    </row>
    <row r="5329" spans="44:44">
      <c r="AR5329" s="1756"/>
    </row>
    <row r="5330" spans="44:44">
      <c r="AR5330" s="1756"/>
    </row>
    <row r="5331" spans="44:44">
      <c r="AR5331" s="1756"/>
    </row>
    <row r="5332" spans="44:44">
      <c r="AR5332" s="1756"/>
    </row>
    <row r="5333" spans="44:44">
      <c r="AR5333" s="1756"/>
    </row>
    <row r="5334" spans="44:44">
      <c r="AR5334" s="1756"/>
    </row>
    <row r="5335" spans="44:44">
      <c r="AR5335" s="1756"/>
    </row>
    <row r="5336" spans="44:44">
      <c r="AR5336" s="1756"/>
    </row>
    <row r="5337" spans="44:44">
      <c r="AR5337" s="1756"/>
    </row>
    <row r="5338" spans="44:44">
      <c r="AR5338" s="1756"/>
    </row>
    <row r="5339" spans="44:44">
      <c r="AR5339" s="1756"/>
    </row>
    <row r="5340" spans="44:44">
      <c r="AR5340" s="1756"/>
    </row>
    <row r="5341" spans="44:44">
      <c r="AR5341" s="1756"/>
    </row>
    <row r="5342" spans="44:44">
      <c r="AR5342" s="1756"/>
    </row>
    <row r="5343" spans="44:44">
      <c r="AR5343" s="1756"/>
    </row>
    <row r="5344" spans="44:44">
      <c r="AR5344" s="1756"/>
    </row>
    <row r="5345" spans="44:44">
      <c r="AR5345" s="1756"/>
    </row>
    <row r="5346" spans="44:44">
      <c r="AR5346" s="1756"/>
    </row>
    <row r="5347" spans="44:44">
      <c r="AR5347" s="1756"/>
    </row>
    <row r="5348" spans="44:44">
      <c r="AR5348" s="1756"/>
    </row>
    <row r="5349" spans="44:44">
      <c r="AR5349" s="1756"/>
    </row>
    <row r="5350" spans="44:44">
      <c r="AR5350" s="1756"/>
    </row>
    <row r="5351" spans="44:44">
      <c r="AR5351" s="1756"/>
    </row>
    <row r="5352" spans="44:44">
      <c r="AR5352" s="1756"/>
    </row>
    <row r="5353" spans="44:44">
      <c r="AR5353" s="1756"/>
    </row>
    <row r="5354" spans="44:44">
      <c r="AR5354" s="1756"/>
    </row>
    <row r="5355" spans="44:44">
      <c r="AR5355" s="1756"/>
    </row>
    <row r="5356" spans="44:44">
      <c r="AR5356" s="1756"/>
    </row>
    <row r="5357" spans="44:44">
      <c r="AR5357" s="1756"/>
    </row>
    <row r="5358" spans="44:44">
      <c r="AR5358" s="1756"/>
    </row>
    <row r="5359" spans="44:44">
      <c r="AR5359" s="1756"/>
    </row>
    <row r="5360" spans="44:44">
      <c r="AR5360" s="1756"/>
    </row>
    <row r="5361" spans="44:44">
      <c r="AR5361" s="1756"/>
    </row>
    <row r="5362" spans="44:44">
      <c r="AR5362" s="1756"/>
    </row>
    <row r="5363" spans="44:44">
      <c r="AR5363" s="1756"/>
    </row>
    <row r="5364" spans="44:44">
      <c r="AR5364" s="1756"/>
    </row>
    <row r="5365" spans="44:44">
      <c r="AR5365" s="1756"/>
    </row>
    <row r="5366" spans="44:44">
      <c r="AR5366" s="1756"/>
    </row>
    <row r="5367" spans="44:44">
      <c r="AR5367" s="1756"/>
    </row>
    <row r="5368" spans="44:44">
      <c r="AR5368" s="1756"/>
    </row>
    <row r="5369" spans="44:44">
      <c r="AR5369" s="1756"/>
    </row>
    <row r="5370" spans="44:44">
      <c r="AR5370" s="1756"/>
    </row>
    <row r="5371" spans="44:44">
      <c r="AR5371" s="1756"/>
    </row>
    <row r="5372" spans="44:44">
      <c r="AR5372" s="1756"/>
    </row>
    <row r="5373" spans="44:44">
      <c r="AR5373" s="1756"/>
    </row>
    <row r="5374" spans="44:44">
      <c r="AR5374" s="1756"/>
    </row>
    <row r="5375" spans="44:44">
      <c r="AR5375" s="1756"/>
    </row>
    <row r="5376" spans="44:44">
      <c r="AR5376" s="1756"/>
    </row>
    <row r="5377" spans="44:44">
      <c r="AR5377" s="1756"/>
    </row>
    <row r="5378" spans="44:44">
      <c r="AR5378" s="1756"/>
    </row>
    <row r="5379" spans="44:44">
      <c r="AR5379" s="1756"/>
    </row>
    <row r="5380" spans="44:44">
      <c r="AR5380" s="1756"/>
    </row>
    <row r="5381" spans="44:44">
      <c r="AR5381" s="1756"/>
    </row>
    <row r="5382" spans="44:44">
      <c r="AR5382" s="1756"/>
    </row>
    <row r="5383" spans="44:44">
      <c r="AR5383" s="1756"/>
    </row>
    <row r="5384" spans="44:44">
      <c r="AR5384" s="1756"/>
    </row>
    <row r="5385" spans="44:44">
      <c r="AR5385" s="1756"/>
    </row>
    <row r="5386" spans="44:44">
      <c r="AR5386" s="1756"/>
    </row>
    <row r="5387" spans="44:44">
      <c r="AR5387" s="1756"/>
    </row>
    <row r="5388" spans="44:44">
      <c r="AR5388" s="1756"/>
    </row>
    <row r="5389" spans="44:44">
      <c r="AR5389" s="1756"/>
    </row>
    <row r="5390" spans="44:44">
      <c r="AR5390" s="1756"/>
    </row>
    <row r="5391" spans="44:44">
      <c r="AR5391" s="1756"/>
    </row>
    <row r="5392" spans="44:44">
      <c r="AR5392" s="1756"/>
    </row>
    <row r="5393" spans="44:44">
      <c r="AR5393" s="1756"/>
    </row>
    <row r="5394" spans="44:44">
      <c r="AR5394" s="1756"/>
    </row>
    <row r="5395" spans="44:44">
      <c r="AR5395" s="1756"/>
    </row>
    <row r="5396" spans="44:44">
      <c r="AR5396" s="1756"/>
    </row>
    <row r="5397" spans="44:44">
      <c r="AR5397" s="1756"/>
    </row>
    <row r="5398" spans="44:44">
      <c r="AR5398" s="1756"/>
    </row>
    <row r="5399" spans="44:44">
      <c r="AR5399" s="1756"/>
    </row>
    <row r="5400" spans="44:44">
      <c r="AR5400" s="1756"/>
    </row>
    <row r="5401" spans="44:44">
      <c r="AR5401" s="1756"/>
    </row>
    <row r="5402" spans="44:44">
      <c r="AR5402" s="1756"/>
    </row>
    <row r="5403" spans="44:44">
      <c r="AR5403" s="1756"/>
    </row>
    <row r="5404" spans="44:44">
      <c r="AR5404" s="1756"/>
    </row>
    <row r="5405" spans="44:44">
      <c r="AR5405" s="1756"/>
    </row>
    <row r="5406" spans="44:44">
      <c r="AR5406" s="1756"/>
    </row>
    <row r="5407" spans="44:44">
      <c r="AR5407" s="1756"/>
    </row>
    <row r="5408" spans="44:44">
      <c r="AR5408" s="1756"/>
    </row>
    <row r="5409" spans="44:44">
      <c r="AR5409" s="1756"/>
    </row>
    <row r="5410" spans="44:44">
      <c r="AR5410" s="1756"/>
    </row>
    <row r="5411" spans="44:44">
      <c r="AR5411" s="1756"/>
    </row>
    <row r="5412" spans="44:44">
      <c r="AR5412" s="1756"/>
    </row>
    <row r="5413" spans="44:44">
      <c r="AR5413" s="1756"/>
    </row>
    <row r="5414" spans="44:44">
      <c r="AR5414" s="1756"/>
    </row>
    <row r="5415" spans="44:44">
      <c r="AR5415" s="1756"/>
    </row>
    <row r="5416" spans="44:44">
      <c r="AR5416" s="1756"/>
    </row>
    <row r="5417" spans="44:44">
      <c r="AR5417" s="1756"/>
    </row>
    <row r="5418" spans="44:44">
      <c r="AR5418" s="1756"/>
    </row>
    <row r="5419" spans="44:44">
      <c r="AR5419" s="1756"/>
    </row>
    <row r="5420" spans="44:44">
      <c r="AR5420" s="1756"/>
    </row>
    <row r="5421" spans="44:44">
      <c r="AR5421" s="1756"/>
    </row>
    <row r="5422" spans="44:44">
      <c r="AR5422" s="1756"/>
    </row>
    <row r="5423" spans="44:44">
      <c r="AR5423" s="1756"/>
    </row>
    <row r="5424" spans="44:44">
      <c r="AR5424" s="1756"/>
    </row>
    <row r="5425" spans="44:44">
      <c r="AR5425" s="1756"/>
    </row>
    <row r="5426" spans="44:44">
      <c r="AR5426" s="1756"/>
    </row>
    <row r="5427" spans="44:44">
      <c r="AR5427" s="1756"/>
    </row>
    <row r="5428" spans="44:44">
      <c r="AR5428" s="1756"/>
    </row>
    <row r="5429" spans="44:44">
      <c r="AR5429" s="1756"/>
    </row>
    <row r="5430" spans="44:44">
      <c r="AR5430" s="1756"/>
    </row>
    <row r="5431" spans="44:44">
      <c r="AR5431" s="1756"/>
    </row>
    <row r="5432" spans="44:44">
      <c r="AR5432" s="1756"/>
    </row>
    <row r="5433" spans="44:44">
      <c r="AR5433" s="1756"/>
    </row>
    <row r="5434" spans="44:44">
      <c r="AR5434" s="1756"/>
    </row>
    <row r="5435" spans="44:44">
      <c r="AR5435" s="1756"/>
    </row>
    <row r="5436" spans="44:44">
      <c r="AR5436" s="1756"/>
    </row>
    <row r="5437" spans="44:44">
      <c r="AR5437" s="1756"/>
    </row>
    <row r="5438" spans="44:44">
      <c r="AR5438" s="1756"/>
    </row>
    <row r="5439" spans="44:44">
      <c r="AR5439" s="1756"/>
    </row>
    <row r="5440" spans="44:44">
      <c r="AR5440" s="1756"/>
    </row>
    <row r="5441" spans="44:44">
      <c r="AR5441" s="1756"/>
    </row>
    <row r="5442" spans="44:44">
      <c r="AR5442" s="1756"/>
    </row>
    <row r="5443" spans="44:44">
      <c r="AR5443" s="1756"/>
    </row>
    <row r="5444" spans="44:44">
      <c r="AR5444" s="1756"/>
    </row>
    <row r="5445" spans="44:44">
      <c r="AR5445" s="1756"/>
    </row>
    <row r="5446" spans="44:44">
      <c r="AR5446" s="1756"/>
    </row>
    <row r="5447" spans="44:44">
      <c r="AR5447" s="1756"/>
    </row>
    <row r="5448" spans="44:44">
      <c r="AR5448" s="1756"/>
    </row>
    <row r="5449" spans="44:44">
      <c r="AR5449" s="1756"/>
    </row>
    <row r="5450" spans="44:44">
      <c r="AR5450" s="1756"/>
    </row>
    <row r="5451" spans="44:44">
      <c r="AR5451" s="1756"/>
    </row>
    <row r="5452" spans="44:44">
      <c r="AR5452" s="1756"/>
    </row>
    <row r="5453" spans="44:44">
      <c r="AR5453" s="1756"/>
    </row>
    <row r="5454" spans="44:44">
      <c r="AR5454" s="1756"/>
    </row>
    <row r="5455" spans="44:44">
      <c r="AR5455" s="1756"/>
    </row>
    <row r="5456" spans="44:44">
      <c r="AR5456" s="1756"/>
    </row>
    <row r="5457" spans="44:44">
      <c r="AR5457" s="1756"/>
    </row>
    <row r="5458" spans="44:44">
      <c r="AR5458" s="1756"/>
    </row>
    <row r="5459" spans="44:44">
      <c r="AR5459" s="1756"/>
    </row>
    <row r="5460" spans="44:44">
      <c r="AR5460" s="1756"/>
    </row>
    <row r="5461" spans="44:44">
      <c r="AR5461" s="1756"/>
    </row>
    <row r="5462" spans="44:44">
      <c r="AR5462" s="1756"/>
    </row>
    <row r="5463" spans="44:44">
      <c r="AR5463" s="1756"/>
    </row>
    <row r="5464" spans="44:44">
      <c r="AR5464" s="1756"/>
    </row>
    <row r="5465" spans="44:44">
      <c r="AR5465" s="1756"/>
    </row>
    <row r="5466" spans="44:44">
      <c r="AR5466" s="1756"/>
    </row>
    <row r="5467" spans="44:44">
      <c r="AR5467" s="1756"/>
    </row>
    <row r="5468" spans="44:44">
      <c r="AR5468" s="1756"/>
    </row>
    <row r="5469" spans="44:44">
      <c r="AR5469" s="1756"/>
    </row>
    <row r="5470" spans="44:44">
      <c r="AR5470" s="1756"/>
    </row>
    <row r="5471" spans="44:44">
      <c r="AR5471" s="1756"/>
    </row>
    <row r="5472" spans="44:44">
      <c r="AR5472" s="1756"/>
    </row>
    <row r="5473" spans="44:44">
      <c r="AR5473" s="1756"/>
    </row>
    <row r="5474" spans="44:44">
      <c r="AR5474" s="1756"/>
    </row>
    <row r="5475" spans="44:44">
      <c r="AR5475" s="1756"/>
    </row>
    <row r="5476" spans="44:44">
      <c r="AR5476" s="1756"/>
    </row>
    <row r="5477" spans="44:44">
      <c r="AR5477" s="1756"/>
    </row>
    <row r="5478" spans="44:44">
      <c r="AR5478" s="1756"/>
    </row>
    <row r="5479" spans="44:44">
      <c r="AR5479" s="1756"/>
    </row>
    <row r="5480" spans="44:44">
      <c r="AR5480" s="1756"/>
    </row>
    <row r="5481" spans="44:44">
      <c r="AR5481" s="1756"/>
    </row>
    <row r="5482" spans="44:44">
      <c r="AR5482" s="1756"/>
    </row>
    <row r="5483" spans="44:44">
      <c r="AR5483" s="1756"/>
    </row>
    <row r="5484" spans="44:44">
      <c r="AR5484" s="1756"/>
    </row>
    <row r="5485" spans="44:44">
      <c r="AR5485" s="1756"/>
    </row>
    <row r="5486" spans="44:44">
      <c r="AR5486" s="1756"/>
    </row>
    <row r="5487" spans="44:44">
      <c r="AR5487" s="1756"/>
    </row>
    <row r="5488" spans="44:44">
      <c r="AR5488" s="1756"/>
    </row>
    <row r="5489" spans="44:44">
      <c r="AR5489" s="1756"/>
    </row>
    <row r="5490" spans="44:44">
      <c r="AR5490" s="1756"/>
    </row>
    <row r="5491" spans="44:44">
      <c r="AR5491" s="1756"/>
    </row>
    <row r="5492" spans="44:44">
      <c r="AR5492" s="1756"/>
    </row>
    <row r="5493" spans="44:44">
      <c r="AR5493" s="1756"/>
    </row>
    <row r="5494" spans="44:44">
      <c r="AR5494" s="1756"/>
    </row>
    <row r="5495" spans="44:44">
      <c r="AR5495" s="1756"/>
    </row>
    <row r="5496" spans="44:44">
      <c r="AR5496" s="1756"/>
    </row>
    <row r="5497" spans="44:44">
      <c r="AR5497" s="1756"/>
    </row>
    <row r="5498" spans="44:44">
      <c r="AR5498" s="1756"/>
    </row>
    <row r="5499" spans="44:44">
      <c r="AR5499" s="1756"/>
    </row>
    <row r="5500" spans="44:44">
      <c r="AR5500" s="1756"/>
    </row>
    <row r="5501" spans="44:44">
      <c r="AR5501" s="1756"/>
    </row>
    <row r="5502" spans="44:44">
      <c r="AR5502" s="1756"/>
    </row>
    <row r="5503" spans="44:44">
      <c r="AR5503" s="1756"/>
    </row>
    <row r="5504" spans="44:44">
      <c r="AR5504" s="1756"/>
    </row>
    <row r="5505" spans="44:44">
      <c r="AR5505" s="1756"/>
    </row>
    <row r="5506" spans="44:44">
      <c r="AR5506" s="1756"/>
    </row>
    <row r="5507" spans="44:44">
      <c r="AR5507" s="1756"/>
    </row>
    <row r="5508" spans="44:44">
      <c r="AR5508" s="1756"/>
    </row>
    <row r="5509" spans="44:44">
      <c r="AR5509" s="1756"/>
    </row>
    <row r="5510" spans="44:44">
      <c r="AR5510" s="1756"/>
    </row>
    <row r="5511" spans="44:44">
      <c r="AR5511" s="1756"/>
    </row>
    <row r="5512" spans="44:44">
      <c r="AR5512" s="1756"/>
    </row>
    <row r="5513" spans="44:44">
      <c r="AR5513" s="1756"/>
    </row>
    <row r="5514" spans="44:44">
      <c r="AR5514" s="1756"/>
    </row>
    <row r="5515" spans="44:44">
      <c r="AR5515" s="1756"/>
    </row>
    <row r="5516" spans="44:44">
      <c r="AR5516" s="1756"/>
    </row>
    <row r="5517" spans="44:44">
      <c r="AR5517" s="1756"/>
    </row>
    <row r="5518" spans="44:44">
      <c r="AR5518" s="1756"/>
    </row>
    <row r="5519" spans="44:44">
      <c r="AR5519" s="1756"/>
    </row>
    <row r="5520" spans="44:44">
      <c r="AR5520" s="1756"/>
    </row>
    <row r="5521" spans="44:44">
      <c r="AR5521" s="1756"/>
    </row>
    <row r="5522" spans="44:44">
      <c r="AR5522" s="1756"/>
    </row>
    <row r="5523" spans="44:44">
      <c r="AR5523" s="1756"/>
    </row>
    <row r="5524" spans="44:44">
      <c r="AR5524" s="1756"/>
    </row>
    <row r="5525" spans="44:44">
      <c r="AR5525" s="1756"/>
    </row>
    <row r="5526" spans="44:44">
      <c r="AR5526" s="1756"/>
    </row>
    <row r="5527" spans="44:44">
      <c r="AR5527" s="1756"/>
    </row>
    <row r="5528" spans="44:44">
      <c r="AR5528" s="1756"/>
    </row>
    <row r="5529" spans="44:44">
      <c r="AR5529" s="1756"/>
    </row>
    <row r="5530" spans="44:44">
      <c r="AR5530" s="1756"/>
    </row>
    <row r="5531" spans="44:44">
      <c r="AR5531" s="1756"/>
    </row>
    <row r="5532" spans="44:44">
      <c r="AR5532" s="1756"/>
    </row>
    <row r="5533" spans="44:44">
      <c r="AR5533" s="1756"/>
    </row>
    <row r="5534" spans="44:44">
      <c r="AR5534" s="1756"/>
    </row>
    <row r="5535" spans="44:44">
      <c r="AR5535" s="1756"/>
    </row>
    <row r="5536" spans="44:44">
      <c r="AR5536" s="1756"/>
    </row>
    <row r="5537" spans="44:44">
      <c r="AR5537" s="1756"/>
    </row>
    <row r="5538" spans="44:44">
      <c r="AR5538" s="1756"/>
    </row>
    <row r="5539" spans="44:44">
      <c r="AR5539" s="1756"/>
    </row>
    <row r="5540" spans="44:44">
      <c r="AR5540" s="1756"/>
    </row>
    <row r="5541" spans="44:44">
      <c r="AR5541" s="1756"/>
    </row>
    <row r="5542" spans="44:44">
      <c r="AR5542" s="1756"/>
    </row>
    <row r="5543" spans="44:44">
      <c r="AR5543" s="1756"/>
    </row>
    <row r="5544" spans="44:44">
      <c r="AR5544" s="1756"/>
    </row>
    <row r="5545" spans="44:44">
      <c r="AR5545" s="1756"/>
    </row>
    <row r="5546" spans="44:44">
      <c r="AR5546" s="1756"/>
    </row>
    <row r="5547" spans="44:44">
      <c r="AR5547" s="1756"/>
    </row>
    <row r="5548" spans="44:44">
      <c r="AR5548" s="1756"/>
    </row>
    <row r="5549" spans="44:44">
      <c r="AR5549" s="1756"/>
    </row>
    <row r="5550" spans="44:44">
      <c r="AR5550" s="1756"/>
    </row>
    <row r="5551" spans="44:44">
      <c r="AR5551" s="1756"/>
    </row>
    <row r="5552" spans="44:44">
      <c r="AR5552" s="1756"/>
    </row>
    <row r="5553" spans="44:44">
      <c r="AR5553" s="1756"/>
    </row>
    <row r="5554" spans="44:44">
      <c r="AR5554" s="1756"/>
    </row>
    <row r="5555" spans="44:44">
      <c r="AR5555" s="1756"/>
    </row>
    <row r="5556" spans="44:44">
      <c r="AR5556" s="1756"/>
    </row>
    <row r="5557" spans="44:44">
      <c r="AR5557" s="1756"/>
    </row>
    <row r="5558" spans="44:44">
      <c r="AR5558" s="1756"/>
    </row>
    <row r="5559" spans="44:44">
      <c r="AR5559" s="1756"/>
    </row>
    <row r="5560" spans="44:44">
      <c r="AR5560" s="1756"/>
    </row>
    <row r="5561" spans="44:44">
      <c r="AR5561" s="1756"/>
    </row>
    <row r="5562" spans="44:44">
      <c r="AR5562" s="1756"/>
    </row>
    <row r="5563" spans="44:44">
      <c r="AR5563" s="1756"/>
    </row>
    <row r="5564" spans="44:44">
      <c r="AR5564" s="1756"/>
    </row>
    <row r="5565" spans="44:44">
      <c r="AR5565" s="1756"/>
    </row>
    <row r="5566" spans="44:44">
      <c r="AR5566" s="1756"/>
    </row>
    <row r="5567" spans="44:44">
      <c r="AR5567" s="1756"/>
    </row>
    <row r="5568" spans="44:44">
      <c r="AR5568" s="1756"/>
    </row>
    <row r="5569" spans="44:44">
      <c r="AR5569" s="1756"/>
    </row>
    <row r="5570" spans="44:44">
      <c r="AR5570" s="1756"/>
    </row>
    <row r="5571" spans="44:44">
      <c r="AR5571" s="1756"/>
    </row>
    <row r="5572" spans="44:44">
      <c r="AR5572" s="1756"/>
    </row>
    <row r="5573" spans="44:44">
      <c r="AR5573" s="1756"/>
    </row>
    <row r="5574" spans="44:44">
      <c r="AR5574" s="1756"/>
    </row>
    <row r="5575" spans="44:44">
      <c r="AR5575" s="1756"/>
    </row>
    <row r="5576" spans="44:44">
      <c r="AR5576" s="1756"/>
    </row>
    <row r="5577" spans="44:44">
      <c r="AR5577" s="1756"/>
    </row>
    <row r="5578" spans="44:44">
      <c r="AR5578" s="1756"/>
    </row>
    <row r="5579" spans="44:44">
      <c r="AR5579" s="1756"/>
    </row>
    <row r="5580" spans="44:44">
      <c r="AR5580" s="1756"/>
    </row>
    <row r="5581" spans="44:44">
      <c r="AR5581" s="1756"/>
    </row>
    <row r="5582" spans="44:44">
      <c r="AR5582" s="1756"/>
    </row>
    <row r="5583" spans="44:44">
      <c r="AR5583" s="1756"/>
    </row>
    <row r="5584" spans="44:44">
      <c r="AR5584" s="1756"/>
    </row>
    <row r="5585" spans="44:44">
      <c r="AR5585" s="1756"/>
    </row>
    <row r="5586" spans="44:44">
      <c r="AR5586" s="1756"/>
    </row>
    <row r="5587" spans="44:44">
      <c r="AR5587" s="1756"/>
    </row>
    <row r="5588" spans="44:44">
      <c r="AR5588" s="1756"/>
    </row>
    <row r="5589" spans="44:44">
      <c r="AR5589" s="1756"/>
    </row>
    <row r="5590" spans="44:44">
      <c r="AR5590" s="1756"/>
    </row>
    <row r="5591" spans="44:44">
      <c r="AR5591" s="1756"/>
    </row>
    <row r="5592" spans="44:44">
      <c r="AR5592" s="1756"/>
    </row>
    <row r="5593" spans="44:44">
      <c r="AR5593" s="1756"/>
    </row>
    <row r="5594" spans="44:44">
      <c r="AR5594" s="1756"/>
    </row>
    <row r="5595" spans="44:44">
      <c r="AR5595" s="1756"/>
    </row>
    <row r="5596" spans="44:44">
      <c r="AR5596" s="1756"/>
    </row>
    <row r="5597" spans="44:44">
      <c r="AR5597" s="1756"/>
    </row>
    <row r="5598" spans="44:44">
      <c r="AR5598" s="1756"/>
    </row>
    <row r="5599" spans="44:44">
      <c r="AR5599" s="1756"/>
    </row>
    <row r="5600" spans="44:44">
      <c r="AR5600" s="1756"/>
    </row>
    <row r="5601" spans="44:44">
      <c r="AR5601" s="1756"/>
    </row>
    <row r="5602" spans="44:44">
      <c r="AR5602" s="1756"/>
    </row>
    <row r="5603" spans="44:44">
      <c r="AR5603" s="1756"/>
    </row>
    <row r="5604" spans="44:44">
      <c r="AR5604" s="1756"/>
    </row>
    <row r="5605" spans="44:44">
      <c r="AR5605" s="1756"/>
    </row>
    <row r="5606" spans="44:44">
      <c r="AR5606" s="1756"/>
    </row>
    <row r="5607" spans="44:44">
      <c r="AR5607" s="1756"/>
    </row>
    <row r="5608" spans="44:44">
      <c r="AR5608" s="1756"/>
    </row>
    <row r="5609" spans="44:44">
      <c r="AR5609" s="1756"/>
    </row>
    <row r="5610" spans="44:44">
      <c r="AR5610" s="1756"/>
    </row>
    <row r="5611" spans="44:44">
      <c r="AR5611" s="1756"/>
    </row>
    <row r="5612" spans="44:44">
      <c r="AR5612" s="1756"/>
    </row>
    <row r="5613" spans="44:44">
      <c r="AR5613" s="1756"/>
    </row>
    <row r="5614" spans="44:44">
      <c r="AR5614" s="1756"/>
    </row>
    <row r="5615" spans="44:44">
      <c r="AR5615" s="1756"/>
    </row>
    <row r="5616" spans="44:44">
      <c r="AR5616" s="1756"/>
    </row>
    <row r="5617" spans="44:44">
      <c r="AR5617" s="1756"/>
    </row>
    <row r="5618" spans="44:44">
      <c r="AR5618" s="1756"/>
    </row>
    <row r="5619" spans="44:44">
      <c r="AR5619" s="1756"/>
    </row>
    <row r="5620" spans="44:44">
      <c r="AR5620" s="1756"/>
    </row>
    <row r="5621" spans="44:44">
      <c r="AR5621" s="1756"/>
    </row>
    <row r="5622" spans="44:44">
      <c r="AR5622" s="1756"/>
    </row>
    <row r="5623" spans="44:44">
      <c r="AR5623" s="1756"/>
    </row>
    <row r="5624" spans="44:44">
      <c r="AR5624" s="1756"/>
    </row>
    <row r="5625" spans="44:44">
      <c r="AR5625" s="1756"/>
    </row>
    <row r="5626" spans="44:44">
      <c r="AR5626" s="1756"/>
    </row>
    <row r="5627" spans="44:44">
      <c r="AR5627" s="1756"/>
    </row>
    <row r="5628" spans="44:44">
      <c r="AR5628" s="1756"/>
    </row>
    <row r="5629" spans="44:44">
      <c r="AR5629" s="1756"/>
    </row>
    <row r="5630" spans="44:44">
      <c r="AR5630" s="1756"/>
    </row>
    <row r="5631" spans="44:44">
      <c r="AR5631" s="1756"/>
    </row>
    <row r="5632" spans="44:44">
      <c r="AR5632" s="1756"/>
    </row>
    <row r="5633" spans="44:44">
      <c r="AR5633" s="1756"/>
    </row>
    <row r="5634" spans="44:44">
      <c r="AR5634" s="1756"/>
    </row>
    <row r="5635" spans="44:44">
      <c r="AR5635" s="1756"/>
    </row>
    <row r="5636" spans="44:44">
      <c r="AR5636" s="1756"/>
    </row>
    <row r="5637" spans="44:44">
      <c r="AR5637" s="1756"/>
    </row>
    <row r="5638" spans="44:44">
      <c r="AR5638" s="1756"/>
    </row>
    <row r="5639" spans="44:44">
      <c r="AR5639" s="1756"/>
    </row>
    <row r="5640" spans="44:44">
      <c r="AR5640" s="1756"/>
    </row>
    <row r="5641" spans="44:44">
      <c r="AR5641" s="1756"/>
    </row>
    <row r="5642" spans="44:44">
      <c r="AR5642" s="1756"/>
    </row>
    <row r="5643" spans="44:44">
      <c r="AR5643" s="1756"/>
    </row>
    <row r="5644" spans="44:44">
      <c r="AR5644" s="1756"/>
    </row>
    <row r="5645" spans="44:44">
      <c r="AR5645" s="1756"/>
    </row>
    <row r="5646" spans="44:44">
      <c r="AR5646" s="1756"/>
    </row>
    <row r="5647" spans="44:44">
      <c r="AR5647" s="1756"/>
    </row>
    <row r="5648" spans="44:44">
      <c r="AR5648" s="1756"/>
    </row>
    <row r="5649" spans="44:44">
      <c r="AR5649" s="1756"/>
    </row>
    <row r="5650" spans="44:44">
      <c r="AR5650" s="1756"/>
    </row>
    <row r="5651" spans="44:44">
      <c r="AR5651" s="1756"/>
    </row>
    <row r="5652" spans="44:44">
      <c r="AR5652" s="1756"/>
    </row>
    <row r="5653" spans="44:44">
      <c r="AR5653" s="1756"/>
    </row>
    <row r="5654" spans="44:44">
      <c r="AR5654" s="1756"/>
    </row>
    <row r="5655" spans="44:44">
      <c r="AR5655" s="1756"/>
    </row>
    <row r="5656" spans="44:44">
      <c r="AR5656" s="1756"/>
    </row>
    <row r="5657" spans="44:44">
      <c r="AR5657" s="1756"/>
    </row>
    <row r="5658" spans="44:44">
      <c r="AR5658" s="1756"/>
    </row>
    <row r="5659" spans="44:44">
      <c r="AR5659" s="1756"/>
    </row>
    <row r="5660" spans="44:44">
      <c r="AR5660" s="1756"/>
    </row>
    <row r="5661" spans="44:44">
      <c r="AR5661" s="1756"/>
    </row>
    <row r="5662" spans="44:44">
      <c r="AR5662" s="1756"/>
    </row>
    <row r="5663" spans="44:44">
      <c r="AR5663" s="1756"/>
    </row>
    <row r="5664" spans="44:44">
      <c r="AR5664" s="1756"/>
    </row>
    <row r="5665" spans="44:44">
      <c r="AR5665" s="1756"/>
    </row>
    <row r="5666" spans="44:44">
      <c r="AR5666" s="1756"/>
    </row>
    <row r="5667" spans="44:44">
      <c r="AR5667" s="1756"/>
    </row>
    <row r="5668" spans="44:44">
      <c r="AR5668" s="1756"/>
    </row>
    <row r="5669" spans="44:44">
      <c r="AR5669" s="1756"/>
    </row>
    <row r="5670" spans="44:44">
      <c r="AR5670" s="1756"/>
    </row>
    <row r="5671" spans="44:44">
      <c r="AR5671" s="1756"/>
    </row>
    <row r="5672" spans="44:44">
      <c r="AR5672" s="1756"/>
    </row>
    <row r="5673" spans="44:44">
      <c r="AR5673" s="1756"/>
    </row>
    <row r="5674" spans="44:44">
      <c r="AR5674" s="1756"/>
    </row>
    <row r="5675" spans="44:44">
      <c r="AR5675" s="1756"/>
    </row>
    <row r="5676" spans="44:44">
      <c r="AR5676" s="1756"/>
    </row>
    <row r="5677" spans="44:44">
      <c r="AR5677" s="1756"/>
    </row>
    <row r="5678" spans="44:44">
      <c r="AR5678" s="1756"/>
    </row>
    <row r="5679" spans="44:44">
      <c r="AR5679" s="1756"/>
    </row>
    <row r="5680" spans="44:44">
      <c r="AR5680" s="1756"/>
    </row>
    <row r="5681" spans="44:44">
      <c r="AR5681" s="1756"/>
    </row>
    <row r="5682" spans="44:44">
      <c r="AR5682" s="1756"/>
    </row>
    <row r="5683" spans="44:44">
      <c r="AR5683" s="1756"/>
    </row>
    <row r="5684" spans="44:44">
      <c r="AR5684" s="1756"/>
    </row>
    <row r="5685" spans="44:44">
      <c r="AR5685" s="1756"/>
    </row>
    <row r="5686" spans="44:44">
      <c r="AR5686" s="1756"/>
    </row>
    <row r="5687" spans="44:44">
      <c r="AR5687" s="1756"/>
    </row>
    <row r="5688" spans="44:44">
      <c r="AR5688" s="1756"/>
    </row>
    <row r="5689" spans="44:44">
      <c r="AR5689" s="1756"/>
    </row>
    <row r="5690" spans="44:44">
      <c r="AR5690" s="1756"/>
    </row>
    <row r="5691" spans="44:44">
      <c r="AR5691" s="1756"/>
    </row>
    <row r="5692" spans="44:44">
      <c r="AR5692" s="1756"/>
    </row>
    <row r="5693" spans="44:44">
      <c r="AR5693" s="1756"/>
    </row>
    <row r="5694" spans="44:44">
      <c r="AR5694" s="1756"/>
    </row>
    <row r="5695" spans="44:44">
      <c r="AR5695" s="1756"/>
    </row>
    <row r="5696" spans="44:44">
      <c r="AR5696" s="1756"/>
    </row>
    <row r="5697" spans="44:44">
      <c r="AR5697" s="1756"/>
    </row>
    <row r="5698" spans="44:44">
      <c r="AR5698" s="1756"/>
    </row>
    <row r="5699" spans="44:44">
      <c r="AR5699" s="1756"/>
    </row>
    <row r="5700" spans="44:44">
      <c r="AR5700" s="1756"/>
    </row>
    <row r="5701" spans="44:44">
      <c r="AR5701" s="1756"/>
    </row>
    <row r="5702" spans="44:44">
      <c r="AR5702" s="1756"/>
    </row>
    <row r="5703" spans="44:44">
      <c r="AR5703" s="1756"/>
    </row>
    <row r="5704" spans="44:44">
      <c r="AR5704" s="1756"/>
    </row>
    <row r="5705" spans="44:44">
      <c r="AR5705" s="1756"/>
    </row>
    <row r="5706" spans="44:44">
      <c r="AR5706" s="1756"/>
    </row>
    <row r="5707" spans="44:44">
      <c r="AR5707" s="1756"/>
    </row>
    <row r="5708" spans="44:44">
      <c r="AR5708" s="1756"/>
    </row>
    <row r="5709" spans="44:44">
      <c r="AR5709" s="1756"/>
    </row>
    <row r="5710" spans="44:44">
      <c r="AR5710" s="1756"/>
    </row>
    <row r="5711" spans="44:44">
      <c r="AR5711" s="1756"/>
    </row>
    <row r="5712" spans="44:44">
      <c r="AR5712" s="1756"/>
    </row>
    <row r="5713" spans="44:44">
      <c r="AR5713" s="1756"/>
    </row>
    <row r="5714" spans="44:44">
      <c r="AR5714" s="1756"/>
    </row>
    <row r="5715" spans="44:44">
      <c r="AR5715" s="1756"/>
    </row>
    <row r="5716" spans="44:44">
      <c r="AR5716" s="1756"/>
    </row>
    <row r="5717" spans="44:44">
      <c r="AR5717" s="1756"/>
    </row>
    <row r="5718" spans="44:44">
      <c r="AR5718" s="1756"/>
    </row>
    <row r="5719" spans="44:44">
      <c r="AR5719" s="1756"/>
    </row>
    <row r="5720" spans="44:44">
      <c r="AR5720" s="1756"/>
    </row>
    <row r="5721" spans="44:44">
      <c r="AR5721" s="1756"/>
    </row>
    <row r="5722" spans="44:44">
      <c r="AR5722" s="1756"/>
    </row>
    <row r="5723" spans="44:44">
      <c r="AR5723" s="1756"/>
    </row>
    <row r="5724" spans="44:44">
      <c r="AR5724" s="1756"/>
    </row>
    <row r="5725" spans="44:44">
      <c r="AR5725" s="1756"/>
    </row>
    <row r="5726" spans="44:44">
      <c r="AR5726" s="1756"/>
    </row>
    <row r="5727" spans="44:44">
      <c r="AR5727" s="1756"/>
    </row>
    <row r="5728" spans="44:44">
      <c r="AR5728" s="1756"/>
    </row>
    <row r="5729" spans="44:44">
      <c r="AR5729" s="1756"/>
    </row>
    <row r="5730" spans="44:44">
      <c r="AR5730" s="1756"/>
    </row>
    <row r="5731" spans="44:44">
      <c r="AR5731" s="1756"/>
    </row>
    <row r="5732" spans="44:44">
      <c r="AR5732" s="1756"/>
    </row>
    <row r="5733" spans="44:44">
      <c r="AR5733" s="1756"/>
    </row>
    <row r="5734" spans="44:44">
      <c r="AR5734" s="1756"/>
    </row>
    <row r="5735" spans="44:44">
      <c r="AR5735" s="1756"/>
    </row>
    <row r="5736" spans="44:44">
      <c r="AR5736" s="1756"/>
    </row>
    <row r="5737" spans="44:44">
      <c r="AR5737" s="1756"/>
    </row>
    <row r="5738" spans="44:44">
      <c r="AR5738" s="1756"/>
    </row>
    <row r="5739" spans="44:44">
      <c r="AR5739" s="1756"/>
    </row>
  </sheetData>
  <sheetProtection password="DFE4" sheet="1" objects="1" scenarios="1" formatColumns="0"/>
  <mergeCells count="102">
    <mergeCell ref="AA8:AA9"/>
    <mergeCell ref="Z8:Z9"/>
    <mergeCell ref="D34:F34"/>
    <mergeCell ref="Q26:T26"/>
    <mergeCell ref="Q20:T20"/>
    <mergeCell ref="Q3:T4"/>
    <mergeCell ref="Q15:T15"/>
    <mergeCell ref="H21:I23"/>
    <mergeCell ref="L16:N17"/>
    <mergeCell ref="Q2:T2"/>
    <mergeCell ref="D2:N2"/>
    <mergeCell ref="L18:N18"/>
    <mergeCell ref="K15:N15"/>
    <mergeCell ref="H16:H17"/>
    <mergeCell ref="I16:I17"/>
    <mergeCell ref="H15:I15"/>
    <mergeCell ref="D15:F15"/>
    <mergeCell ref="D16:D17"/>
    <mergeCell ref="E16:E17"/>
    <mergeCell ref="F16:F17"/>
    <mergeCell ref="K16:K19"/>
    <mergeCell ref="AX2:BH2"/>
    <mergeCell ref="AX4:AZ4"/>
    <mergeCell ref="BB4:BC4"/>
    <mergeCell ref="BB5:BB8"/>
    <mergeCell ref="BC5:BC8"/>
    <mergeCell ref="BD5:BD6"/>
    <mergeCell ref="BE5:BE6"/>
    <mergeCell ref="BF5:BF21"/>
    <mergeCell ref="BG5:BG21"/>
    <mergeCell ref="BH5:BH21"/>
    <mergeCell ref="AX6:AX8"/>
    <mergeCell ref="BB18:BB21"/>
    <mergeCell ref="BC18:BC21"/>
    <mergeCell ref="BD18:BD19"/>
    <mergeCell ref="BE18:BE19"/>
    <mergeCell ref="AT5:AT7"/>
    <mergeCell ref="BD7:BD8"/>
    <mergeCell ref="BE7:BE8"/>
    <mergeCell ref="AX9:AX10"/>
    <mergeCell ref="BB9:BB12"/>
    <mergeCell ref="BC9:BC12"/>
    <mergeCell ref="BD9:BD12"/>
    <mergeCell ref="BE9:BE12"/>
    <mergeCell ref="AT8:AT9"/>
    <mergeCell ref="BG22:BG27"/>
    <mergeCell ref="BH22:BH27"/>
    <mergeCell ref="AT21:AT22"/>
    <mergeCell ref="AX24:AX25"/>
    <mergeCell ref="AY24:AY25"/>
    <mergeCell ref="AU8:AU9"/>
    <mergeCell ref="AV8:AV9"/>
    <mergeCell ref="AX11:AX13"/>
    <mergeCell ref="AY11:AY13"/>
    <mergeCell ref="AZ11:AZ13"/>
    <mergeCell ref="BB13:BB14"/>
    <mergeCell ref="BC13:BC14"/>
    <mergeCell ref="BD13:BD14"/>
    <mergeCell ref="BE13:BE14"/>
    <mergeCell ref="AT13:AT15"/>
    <mergeCell ref="BB15:BB17"/>
    <mergeCell ref="BC15:BC17"/>
    <mergeCell ref="BD15:BD17"/>
    <mergeCell ref="BE15:BE17"/>
    <mergeCell ref="AX16:AX17"/>
    <mergeCell ref="AT16:AT17"/>
    <mergeCell ref="BE20:BE21"/>
    <mergeCell ref="AX22:AX23"/>
    <mergeCell ref="AY22:AY23"/>
    <mergeCell ref="BB22:BB24"/>
    <mergeCell ref="BC22:BC24"/>
    <mergeCell ref="BD22:BD24"/>
    <mergeCell ref="BE22:BE27"/>
    <mergeCell ref="BF22:BF27"/>
    <mergeCell ref="AZ24:AZ25"/>
    <mergeCell ref="BB25:BB27"/>
    <mergeCell ref="BC25:BC27"/>
    <mergeCell ref="BD25:BD27"/>
    <mergeCell ref="AX26:AX27"/>
    <mergeCell ref="AY26:AY27"/>
    <mergeCell ref="AZ26:AZ27"/>
    <mergeCell ref="AT18:AT19"/>
    <mergeCell ref="BD20:BD21"/>
    <mergeCell ref="BH33:BH34"/>
    <mergeCell ref="BB33:BB34"/>
    <mergeCell ref="BC33:BC34"/>
    <mergeCell ref="BD33:BD34"/>
    <mergeCell ref="BE33:BE34"/>
    <mergeCell ref="BF33:BG34"/>
    <mergeCell ref="BG28:BG30"/>
    <mergeCell ref="BH28:BH30"/>
    <mergeCell ref="BB31:BB32"/>
    <mergeCell ref="BC31:BC32"/>
    <mergeCell ref="BD31:BD32"/>
    <mergeCell ref="BE31:BE32"/>
    <mergeCell ref="BF31:BH32"/>
    <mergeCell ref="BB28:BB30"/>
    <mergeCell ref="BC28:BC30"/>
    <mergeCell ref="BD28:BD30"/>
    <mergeCell ref="BE28:BE30"/>
    <mergeCell ref="BF28:BF30"/>
    <mergeCell ref="AZ22:AZ23"/>
  </mergeCells>
  <phoneticPr fontId="4" type="noConversion"/>
  <dataValidations count="4">
    <dataValidation type="list" allowBlank="1" showInputMessage="1" showErrorMessage="1" sqref="E5" xr:uid="{00000000-0002-0000-1C00-000000000000}">
      <formula1>$V$11:$V$13</formula1>
    </dataValidation>
    <dataValidation type="list" allowBlank="1" showInputMessage="1" showErrorMessage="1" sqref="E7" xr:uid="{00000000-0002-0000-1C00-000001000000}">
      <formula1>$V$15:$V$17</formula1>
    </dataValidation>
    <dataValidation type="list" allowBlank="1" showInputMessage="1" showErrorMessage="1" sqref="E11" xr:uid="{00000000-0002-0000-1C00-000002000000}">
      <formula1>$V$23:$V$24</formula1>
    </dataValidation>
    <dataValidation type="list" allowBlank="1" showInputMessage="1" showErrorMessage="1" sqref="S17" xr:uid="{00000000-0002-0000-1C00-000003000000}">
      <formula1>$AM$13:$AM$45</formula1>
    </dataValidation>
  </dataValidations>
  <pageMargins left="0.75" right="0.75" top="1" bottom="1" header="0.5" footer="0.5"/>
  <pageSetup paperSize="9" scale="76"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autoFill="0" autoPict="0" macro="[0]!Insul_clear_all">
                <anchor>
                  <from>
                    <xdr:col>1</xdr:col>
                    <xdr:colOff>0</xdr:colOff>
                    <xdr:row>8</xdr:row>
                    <xdr:rowOff>127000</xdr:rowOff>
                  </from>
                  <to>
                    <xdr:col>1</xdr:col>
                    <xdr:colOff>781050</xdr:colOff>
                    <xdr:row>10</xdr:row>
                    <xdr:rowOff>88900</xdr:rowOff>
                  </to>
                </anchor>
              </controlPr>
            </control>
          </mc:Choice>
        </mc:AlternateContent>
        <mc:AlternateContent xmlns:mc="http://schemas.openxmlformats.org/markup-compatibility/2006">
          <mc:Choice Requires="x14">
            <control shapeId="21506" r:id="rId5" name="Option Button 2">
              <controlPr defaultSize="0" autoFill="0" autoLine="0" autoPict="0" macro="[0]!Insul_mat">
                <anchor moveWithCells="1">
                  <from>
                    <xdr:col>1</xdr:col>
                    <xdr:colOff>12700</xdr:colOff>
                    <xdr:row>3</xdr:row>
                    <xdr:rowOff>171450</xdr:rowOff>
                  </from>
                  <to>
                    <xdr:col>1</xdr:col>
                    <xdr:colOff>1543050</xdr:colOff>
                    <xdr:row>5</xdr:row>
                    <xdr:rowOff>114300</xdr:rowOff>
                  </to>
                </anchor>
              </controlPr>
            </control>
          </mc:Choice>
        </mc:AlternateContent>
        <mc:AlternateContent xmlns:mc="http://schemas.openxmlformats.org/markup-compatibility/2006">
          <mc:Choice Requires="x14">
            <control shapeId="21507" r:id="rId6" name="Option Button 3">
              <controlPr defaultSize="0" autoFill="0" autoLine="0" autoPict="0" macro="[0]!Insul_PRC">
                <anchor moveWithCells="1">
                  <from>
                    <xdr:col>1</xdr:col>
                    <xdr:colOff>12700</xdr:colOff>
                    <xdr:row>2</xdr:row>
                    <xdr:rowOff>184150</xdr:rowOff>
                  </from>
                  <to>
                    <xdr:col>1</xdr:col>
                    <xdr:colOff>1562100</xdr:colOff>
                    <xdr:row>4</xdr:row>
                    <xdr:rowOff>76200</xdr:rowOff>
                  </to>
                </anchor>
              </controlPr>
            </control>
          </mc:Choice>
        </mc:AlternateContent>
        <mc:AlternateContent xmlns:mc="http://schemas.openxmlformats.org/markup-compatibility/2006">
          <mc:Choice Requires="x14">
            <control shapeId="21508" r:id="rId7" name="Option Button 4">
              <controlPr defaultSize="0" autoFill="0" autoLine="0" autoPict="0" macro="[0]!Insul_BEC">
                <anchor moveWithCells="1">
                  <from>
                    <xdr:col>1</xdr:col>
                    <xdr:colOff>12700</xdr:colOff>
                    <xdr:row>2</xdr:row>
                    <xdr:rowOff>12700</xdr:rowOff>
                  </from>
                  <to>
                    <xdr:col>1</xdr:col>
                    <xdr:colOff>1517650</xdr:colOff>
                    <xdr:row>3</xdr:row>
                    <xdr:rowOff>88900</xdr:rowOff>
                  </to>
                </anchor>
              </controlPr>
            </control>
          </mc:Choice>
        </mc:AlternateContent>
        <mc:AlternateContent xmlns:mc="http://schemas.openxmlformats.org/markup-compatibility/2006">
          <mc:Choice Requires="x14">
            <control shapeId="21532" r:id="rId8" name="Button 28">
              <controlPr defaultSize="0" autoFill="0" autoPict="0" macro="[0]!Insul_BEC1_clear">
                <anchor moveWithCells="1" sizeWithCells="1">
                  <from>
                    <xdr:col>7</xdr:col>
                    <xdr:colOff>57150</xdr:colOff>
                    <xdr:row>10</xdr:row>
                    <xdr:rowOff>107950</xdr:rowOff>
                  </from>
                  <to>
                    <xdr:col>7</xdr:col>
                    <xdr:colOff>647700</xdr:colOff>
                    <xdr:row>12</xdr:row>
                    <xdr:rowOff>0</xdr:rowOff>
                  </to>
                </anchor>
              </controlPr>
            </control>
          </mc:Choice>
        </mc:AlternateContent>
        <mc:AlternateContent xmlns:mc="http://schemas.openxmlformats.org/markup-compatibility/2006">
          <mc:Choice Requires="x14">
            <control shapeId="21533" r:id="rId9" name="Button 29">
              <controlPr defaultSize="0" autoFill="0" autoPict="0" macro="[0]!Insul_BEC2_clear">
                <anchor moveWithCells="1" sizeWithCells="1">
                  <from>
                    <xdr:col>18</xdr:col>
                    <xdr:colOff>317500</xdr:colOff>
                    <xdr:row>29</xdr:row>
                    <xdr:rowOff>88900</xdr:rowOff>
                  </from>
                  <to>
                    <xdr:col>19</xdr:col>
                    <xdr:colOff>374650</xdr:colOff>
                    <xdr:row>30</xdr:row>
                    <xdr:rowOff>133350</xdr:rowOff>
                  </to>
                </anchor>
              </controlPr>
            </control>
          </mc:Choice>
        </mc:AlternateContent>
        <mc:AlternateContent xmlns:mc="http://schemas.openxmlformats.org/markup-compatibility/2006">
          <mc:Choice Requires="x14">
            <control shapeId="21534" r:id="rId10" name="Button 30">
              <controlPr defaultSize="0" autoFill="0" autoPict="0" macro="[0]!Home">
                <anchor>
                  <from>
                    <xdr:col>1</xdr:col>
                    <xdr:colOff>0</xdr:colOff>
                    <xdr:row>6</xdr:row>
                    <xdr:rowOff>95250</xdr:rowOff>
                  </from>
                  <to>
                    <xdr:col>1</xdr:col>
                    <xdr:colOff>781050</xdr:colOff>
                    <xdr:row>8</xdr:row>
                    <xdr:rowOff>69850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1">
    <tabColor theme="3" tint="0.39997558519241921"/>
    <pageSetUpPr fitToPage="1"/>
  </sheetPr>
  <dimension ref="B2:AX48"/>
  <sheetViews>
    <sheetView showGridLines="0" showRowColHeaders="0" zoomScaleNormal="100" workbookViewId="0"/>
  </sheetViews>
  <sheetFormatPr defaultColWidth="9.1796875" defaultRowHeight="12.5"/>
  <cols>
    <col min="1" max="1" width="2.81640625" style="43" customWidth="1"/>
    <col min="2" max="2" width="8.453125" style="43" bestFit="1" customWidth="1"/>
    <col min="3" max="3" width="9.54296875" style="43" bestFit="1" customWidth="1"/>
    <col min="4" max="4" width="4.81640625" style="43" bestFit="1" customWidth="1"/>
    <col min="5" max="5" width="1.7265625" style="43" customWidth="1"/>
    <col min="6" max="6" width="3.7265625" style="43" customWidth="1"/>
    <col min="7" max="7" width="2.7265625" style="43" customWidth="1"/>
    <col min="8" max="8" width="6.54296875" style="43" customWidth="1"/>
    <col min="9" max="10" width="1.7265625" style="43" customWidth="1"/>
    <col min="11" max="11" width="6.7265625" style="43" customWidth="1"/>
    <col min="12" max="12" width="7.54296875" style="43" customWidth="1"/>
    <col min="13" max="13" width="9.54296875" style="43" customWidth="1"/>
    <col min="14" max="14" width="6.81640625" style="43" customWidth="1"/>
    <col min="15" max="15" width="6.7265625" style="43" customWidth="1"/>
    <col min="16" max="16" width="1.7265625" style="43" customWidth="1"/>
    <col min="17" max="17" width="6.54296875" style="43" customWidth="1"/>
    <col min="18" max="18" width="3.7265625" style="43" customWidth="1"/>
    <col min="19" max="19" width="3.7265625" style="43" hidden="1" customWidth="1"/>
    <col min="20" max="20" width="2.7265625" style="43" hidden="1" customWidth="1"/>
    <col min="21" max="21" width="6.54296875" style="43" hidden="1" customWidth="1"/>
    <col min="22" max="23" width="1.7265625" style="43" hidden="1" customWidth="1"/>
    <col min="24" max="24" width="6.7265625" style="43" hidden="1" customWidth="1"/>
    <col min="25" max="25" width="7.54296875" style="43" hidden="1" customWidth="1"/>
    <col min="26" max="26" width="9.54296875" style="43" hidden="1" customWidth="1"/>
    <col min="27" max="27" width="6.81640625" style="43" hidden="1" customWidth="1"/>
    <col min="28" max="28" width="6.7265625" style="43" hidden="1" customWidth="1"/>
    <col min="29" max="29" width="1.7265625" style="43" hidden="1" customWidth="1"/>
    <col min="30" max="30" width="6.54296875" style="43" hidden="1" customWidth="1"/>
    <col min="31" max="31" width="3.7265625" style="43" hidden="1" customWidth="1"/>
    <col min="32" max="32" width="7.1796875" style="43" hidden="1" customWidth="1"/>
    <col min="33" max="41" width="9.1796875" style="43" hidden="1" customWidth="1"/>
    <col min="42" max="42" width="9.1796875" style="43" customWidth="1"/>
    <col min="43" max="43" width="4.54296875" style="43" bestFit="1" customWidth="1"/>
    <col min="44" max="44" width="1.7265625" style="43" customWidth="1"/>
    <col min="45" max="46" width="9.1796875" style="43" customWidth="1"/>
    <col min="47" max="47" width="9.54296875" style="43" bestFit="1" customWidth="1"/>
    <col min="48" max="55" width="9.1796875" style="43" customWidth="1"/>
    <col min="56" max="16384" width="9.1796875" style="43"/>
  </cols>
  <sheetData>
    <row r="2" spans="2:50" ht="13">
      <c r="B2" s="2356" t="s">
        <v>1237</v>
      </c>
      <c r="C2" s="2357"/>
      <c r="D2" s="2357"/>
      <c r="E2" s="2358"/>
      <c r="G2" s="2099" t="s">
        <v>1087</v>
      </c>
      <c r="H2" s="2100"/>
      <c r="I2" s="2100"/>
      <c r="J2" s="2100"/>
      <c r="K2" s="2100"/>
      <c r="L2" s="2100"/>
      <c r="M2" s="2100"/>
      <c r="N2" s="2100"/>
      <c r="O2" s="2100"/>
      <c r="P2" s="2100"/>
      <c r="Q2" s="2100"/>
      <c r="R2" s="2098"/>
      <c r="T2" s="2099" t="s">
        <v>1087</v>
      </c>
      <c r="U2" s="2100"/>
      <c r="V2" s="2100"/>
      <c r="W2" s="2100"/>
      <c r="X2" s="2100"/>
      <c r="Y2" s="2100"/>
      <c r="Z2" s="2100"/>
      <c r="AA2" s="2100"/>
      <c r="AB2" s="2100"/>
      <c r="AC2" s="2100"/>
      <c r="AD2" s="2100"/>
      <c r="AE2" s="2098"/>
      <c r="AG2" s="2364" t="s">
        <v>1211</v>
      </c>
      <c r="AH2" s="2364"/>
      <c r="AI2" s="2364"/>
      <c r="AJ2" s="2364"/>
      <c r="AK2" s="2364"/>
      <c r="AL2" s="2364"/>
      <c r="AM2" s="2364"/>
      <c r="AN2" s="2364"/>
    </row>
    <row r="3" spans="2:50" ht="13.5" customHeight="1" thickBot="1">
      <c r="B3" s="447">
        <v>1</v>
      </c>
      <c r="C3" s="1061"/>
      <c r="D3" s="442"/>
      <c r="E3" s="443"/>
      <c r="G3" s="444"/>
      <c r="H3" s="45"/>
      <c r="I3" s="45"/>
      <c r="J3" s="45"/>
      <c r="K3" s="45"/>
      <c r="L3" s="45"/>
      <c r="M3" s="45"/>
      <c r="N3" s="45"/>
      <c r="O3" s="45"/>
      <c r="P3" s="45"/>
      <c r="Q3" s="45"/>
      <c r="R3" s="445"/>
      <c r="T3" s="444"/>
      <c r="U3" s="45"/>
      <c r="V3" s="45"/>
      <c r="W3" s="45"/>
      <c r="X3" s="45"/>
      <c r="Y3" s="45"/>
      <c r="Z3" s="45"/>
      <c r="AA3" s="45"/>
      <c r="AB3" s="45"/>
      <c r="AC3" s="45"/>
      <c r="AD3" s="45"/>
      <c r="AE3" s="445"/>
    </row>
    <row r="4" spans="2:50" ht="13" thickBot="1">
      <c r="B4" s="444"/>
      <c r="C4" s="1062"/>
      <c r="D4" s="45"/>
      <c r="E4" s="445"/>
      <c r="G4" s="444"/>
      <c r="H4" s="254"/>
      <c r="I4" s="45"/>
      <c r="J4" s="45"/>
      <c r="K4" s="286"/>
      <c r="L4" s="286"/>
      <c r="M4" s="2368" t="s">
        <v>741</v>
      </c>
      <c r="N4" s="1063"/>
      <c r="O4" s="1063"/>
      <c r="P4" s="254"/>
      <c r="Q4" s="45"/>
      <c r="R4" s="445"/>
      <c r="T4" s="444"/>
      <c r="U4" s="254"/>
      <c r="V4" s="45"/>
      <c r="W4" s="45"/>
      <c r="X4" s="286"/>
      <c r="Y4" s="286"/>
      <c r="Z4" s="2368" t="s">
        <v>741</v>
      </c>
      <c r="AA4" s="1063"/>
      <c r="AB4" s="1063"/>
      <c r="AC4" s="254"/>
      <c r="AD4" s="45"/>
      <c r="AE4" s="445"/>
    </row>
    <row r="5" spans="2:50" ht="13" thickBot="1">
      <c r="B5" s="51"/>
      <c r="C5" s="446"/>
      <c r="D5" s="446"/>
      <c r="E5" s="52"/>
      <c r="G5" s="444"/>
      <c r="H5" s="45"/>
      <c r="I5" s="45"/>
      <c r="J5" s="45"/>
      <c r="K5" s="1064"/>
      <c r="L5" s="45"/>
      <c r="M5" s="2369"/>
      <c r="N5" s="1065"/>
      <c r="O5" s="45"/>
      <c r="P5" s="1064"/>
      <c r="Q5" s="45"/>
      <c r="R5" s="445"/>
      <c r="T5" s="444"/>
      <c r="U5" s="45"/>
      <c r="V5" s="45"/>
      <c r="W5" s="45"/>
      <c r="X5" s="1064"/>
      <c r="Y5" s="45"/>
      <c r="Z5" s="2369"/>
      <c r="AA5" s="1065"/>
      <c r="AB5" s="45"/>
      <c r="AC5" s="1064"/>
      <c r="AD5" s="45"/>
      <c r="AE5" s="445"/>
      <c r="AS5" s="165"/>
      <c r="AT5" s="615"/>
      <c r="AU5" s="615"/>
      <c r="AV5" s="922"/>
      <c r="AW5" s="615"/>
      <c r="AX5" s="615"/>
    </row>
    <row r="6" spans="2:50">
      <c r="G6" s="444"/>
      <c r="H6" s="45"/>
      <c r="I6" s="45"/>
      <c r="J6" s="45"/>
      <c r="K6" s="1064"/>
      <c r="L6" s="45"/>
      <c r="M6" s="45"/>
      <c r="N6" s="45"/>
      <c r="O6" s="45"/>
      <c r="P6" s="1064"/>
      <c r="Q6" s="45"/>
      <c r="R6" s="445"/>
      <c r="T6" s="444"/>
      <c r="U6" s="45"/>
      <c r="V6" s="45"/>
      <c r="W6" s="45"/>
      <c r="X6" s="1064"/>
      <c r="Y6" s="45"/>
      <c r="Z6" s="45"/>
      <c r="AA6" s="45"/>
      <c r="AB6" s="45"/>
      <c r="AC6" s="1064"/>
      <c r="AD6" s="45"/>
      <c r="AE6" s="445"/>
      <c r="AK6" s="254">
        <f>K8*0.09804139432</f>
        <v>0</v>
      </c>
      <c r="AN6" s="254" t="e">
        <f>L14*0.09804139432</f>
        <v>#VALUE!</v>
      </c>
      <c r="AS6" s="165"/>
      <c r="AT6" s="615"/>
      <c r="AU6" s="615"/>
      <c r="AV6" s="922"/>
      <c r="AW6" s="615"/>
      <c r="AX6" s="615"/>
    </row>
    <row r="7" spans="2:50" ht="13.5" thickBot="1">
      <c r="B7" s="2099" t="s">
        <v>1306</v>
      </c>
      <c r="C7" s="2100"/>
      <c r="D7" s="2100"/>
      <c r="E7" s="2098"/>
      <c r="G7" s="444"/>
      <c r="H7" s="2359" t="str">
        <f>IF(Q7*N11*L11&gt;0,MIN(AJ8:AJ13),"")</f>
        <v/>
      </c>
      <c r="I7" s="2359"/>
      <c r="J7" s="2360"/>
      <c r="K7" s="1064"/>
      <c r="L7" s="45"/>
      <c r="M7" s="45"/>
      <c r="N7" s="45"/>
      <c r="O7" s="45"/>
      <c r="P7" s="1064"/>
      <c r="Q7" s="1406"/>
      <c r="R7" s="445" t="s">
        <v>216</v>
      </c>
      <c r="T7" s="444"/>
      <c r="U7" s="2359" t="str">
        <f>IF(AD7*AA11*Y11&gt;0,MIN(AJ29:AJ34),"")</f>
        <v/>
      </c>
      <c r="V7" s="2359"/>
      <c r="W7" s="2360"/>
      <c r="X7" s="1064"/>
      <c r="Y7" s="45"/>
      <c r="Z7" s="45"/>
      <c r="AA7" s="45"/>
      <c r="AB7" s="45"/>
      <c r="AC7" s="1064"/>
      <c r="AD7" s="1406"/>
      <c r="AE7" s="445" t="s">
        <v>216</v>
      </c>
      <c r="AG7" s="2361" t="s">
        <v>740</v>
      </c>
      <c r="AH7" s="2361"/>
      <c r="AI7" s="273"/>
      <c r="AJ7" s="2361" t="s">
        <v>1239</v>
      </c>
      <c r="AK7" s="2361"/>
      <c r="AM7" s="2361" t="s">
        <v>1241</v>
      </c>
      <c r="AN7" s="2361"/>
      <c r="AS7" s="165"/>
      <c r="AT7" s="615"/>
      <c r="AU7" s="615"/>
      <c r="AV7" s="922"/>
      <c r="AW7" s="615"/>
      <c r="AX7" s="615"/>
    </row>
    <row r="8" spans="2:50" ht="13.5" thickBot="1">
      <c r="B8" s="1796"/>
      <c r="C8" s="1797"/>
      <c r="D8" s="1797"/>
      <c r="E8" s="1798"/>
      <c r="G8" s="444"/>
      <c r="H8" s="45"/>
      <c r="I8" s="45"/>
      <c r="J8" s="45"/>
      <c r="K8" s="288">
        <f>M8-L11</f>
        <v>0</v>
      </c>
      <c r="L8" s="2365" t="s">
        <v>1088</v>
      </c>
      <c r="M8" s="285">
        <f>O8+N11</f>
        <v>0</v>
      </c>
      <c r="N8" s="2367" t="s">
        <v>678</v>
      </c>
      <c r="O8" s="287">
        <f>Q7</f>
        <v>0</v>
      </c>
      <c r="P8" s="1064"/>
      <c r="Q8" s="448" t="str">
        <f>IF(Q7*N11*L11&gt;0,MIN(AJ16:AJ21),"")</f>
        <v/>
      </c>
      <c r="R8" s="445"/>
      <c r="T8" s="444"/>
      <c r="U8" s="254"/>
      <c r="V8" s="45"/>
      <c r="W8" s="45"/>
      <c r="X8" s="441">
        <f>Z8+Y11</f>
        <v>0</v>
      </c>
      <c r="Y8" s="2367" t="s">
        <v>678</v>
      </c>
      <c r="Z8" s="287">
        <f>AB8-AA11</f>
        <v>0</v>
      </c>
      <c r="AA8" s="2365" t="s">
        <v>1088</v>
      </c>
      <c r="AB8" s="287">
        <f>IF(AD7=0,AA11,AD7)</f>
        <v>0</v>
      </c>
      <c r="AC8" s="1064"/>
      <c r="AD8" s="448" t="str">
        <f>IF(AD7*AA11*Y11&gt;0,MIN(AJ37:AJ42),"")</f>
        <v/>
      </c>
      <c r="AE8" s="445"/>
      <c r="AG8" s="290" t="str">
        <f t="shared" ref="AG8:AG13" si="0">IF($L$18&lt;=AH8,AH8,"")</f>
        <v/>
      </c>
      <c r="AH8" s="290">
        <v>4</v>
      </c>
      <c r="AI8" s="273"/>
      <c r="AJ8" s="290">
        <f t="shared" ref="AJ8:AJ13" si="1">IF($AK$6&lt;=AK8,AK8,"")</f>
        <v>4</v>
      </c>
      <c r="AK8" s="290">
        <v>4</v>
      </c>
      <c r="AM8" s="290" t="e">
        <f t="shared" ref="AM8:AM13" si="2">IF($AN$6&lt;=AN8,AN8,"")</f>
        <v>#VALUE!</v>
      </c>
      <c r="AN8" s="290">
        <v>4</v>
      </c>
      <c r="AS8" s="165"/>
      <c r="AT8" s="615"/>
      <c r="AU8" s="615"/>
      <c r="AV8" s="922"/>
      <c r="AW8" s="615"/>
      <c r="AX8" s="615"/>
    </row>
    <row r="9" spans="2:50" ht="13.5" thickBot="1">
      <c r="B9" s="603" t="s">
        <v>358</v>
      </c>
      <c r="C9" s="1413"/>
      <c r="D9" s="1091" t="s">
        <v>216</v>
      </c>
      <c r="E9" s="616"/>
      <c r="G9" s="444"/>
      <c r="H9" s="45"/>
      <c r="I9" s="45"/>
      <c r="J9" s="45"/>
      <c r="K9" s="1064"/>
      <c r="L9" s="2366"/>
      <c r="M9" s="45"/>
      <c r="N9" s="2367"/>
      <c r="O9" s="45"/>
      <c r="P9" s="1064"/>
      <c r="Q9" s="45"/>
      <c r="R9" s="445"/>
      <c r="T9" s="444"/>
      <c r="U9" s="45"/>
      <c r="V9" s="45"/>
      <c r="W9" s="45"/>
      <c r="X9" s="1064"/>
      <c r="Y9" s="2367"/>
      <c r="Z9" s="45"/>
      <c r="AA9" s="2366"/>
      <c r="AB9" s="45"/>
      <c r="AC9" s="1064"/>
      <c r="AD9" s="45"/>
      <c r="AE9" s="445"/>
      <c r="AG9" s="290" t="str">
        <f t="shared" si="0"/>
        <v/>
      </c>
      <c r="AH9" s="290">
        <v>6</v>
      </c>
      <c r="AI9" s="273"/>
      <c r="AJ9" s="290">
        <f t="shared" si="1"/>
        <v>6</v>
      </c>
      <c r="AK9" s="290">
        <v>6</v>
      </c>
      <c r="AM9" s="290" t="e">
        <f t="shared" si="2"/>
        <v>#VALUE!</v>
      </c>
      <c r="AN9" s="290">
        <v>6</v>
      </c>
      <c r="AS9" s="165"/>
      <c r="AT9" s="615"/>
      <c r="AU9" s="615"/>
      <c r="AV9" s="922"/>
      <c r="AW9" s="615"/>
      <c r="AX9" s="615"/>
    </row>
    <row r="10" spans="2:50">
      <c r="B10" s="610" t="s">
        <v>5</v>
      </c>
      <c r="C10" s="614" t="str">
        <f>IF($C$9=0,"-",SUM(AH45:AH48))</f>
        <v>-</v>
      </c>
      <c r="D10" s="548" t="s">
        <v>216</v>
      </c>
      <c r="E10" s="611"/>
      <c r="G10" s="444"/>
      <c r="H10" s="45"/>
      <c r="I10" s="45"/>
      <c r="J10" s="45"/>
      <c r="K10" s="289"/>
      <c r="L10" s="45"/>
      <c r="M10" s="254"/>
      <c r="N10" s="45"/>
      <c r="O10" s="254"/>
      <c r="P10" s="1064"/>
      <c r="Q10" s="45"/>
      <c r="R10" s="445"/>
      <c r="T10" s="444"/>
      <c r="U10" s="45"/>
      <c r="V10" s="45"/>
      <c r="W10" s="45"/>
      <c r="X10" s="289"/>
      <c r="Y10" s="45"/>
      <c r="Z10" s="254"/>
      <c r="AA10" s="45"/>
      <c r="AB10" s="254"/>
      <c r="AC10" s="1064"/>
      <c r="AD10" s="45"/>
      <c r="AE10" s="445"/>
      <c r="AG10" s="290" t="str">
        <f t="shared" si="0"/>
        <v/>
      </c>
      <c r="AH10" s="290">
        <v>10</v>
      </c>
      <c r="AI10" s="273"/>
      <c r="AJ10" s="290">
        <f t="shared" si="1"/>
        <v>10</v>
      </c>
      <c r="AK10" s="290">
        <v>10</v>
      </c>
      <c r="AM10" s="290" t="e">
        <f t="shared" si="2"/>
        <v>#VALUE!</v>
      </c>
      <c r="AN10" s="290">
        <v>10</v>
      </c>
      <c r="AS10" s="165"/>
      <c r="AT10" s="615"/>
      <c r="AU10" s="615"/>
      <c r="AV10" s="922"/>
      <c r="AW10" s="615"/>
      <c r="AX10" s="615"/>
    </row>
    <row r="11" spans="2:50">
      <c r="B11" s="610" t="s">
        <v>5</v>
      </c>
      <c r="C11" s="614" t="str">
        <f>IF($C$9=0,"-",SUM(AI45:AI48))</f>
        <v>-</v>
      </c>
      <c r="D11" s="548" t="s">
        <v>128</v>
      </c>
      <c r="E11" s="611"/>
      <c r="G11" s="444"/>
      <c r="H11" s="1406"/>
      <c r="I11" s="45" t="s">
        <v>216</v>
      </c>
      <c r="J11" s="45"/>
      <c r="K11" s="1064"/>
      <c r="L11" s="1406"/>
      <c r="M11" s="45" t="s">
        <v>216</v>
      </c>
      <c r="N11" s="1406"/>
      <c r="O11" s="45" t="s">
        <v>216</v>
      </c>
      <c r="P11" s="1064"/>
      <c r="Q11" s="45"/>
      <c r="R11" s="445"/>
      <c r="T11" s="444"/>
      <c r="U11" s="1406"/>
      <c r="V11" s="45" t="s">
        <v>216</v>
      </c>
      <c r="W11" s="45"/>
      <c r="X11" s="1064"/>
      <c r="Y11" s="1406"/>
      <c r="Z11" s="45" t="s">
        <v>216</v>
      </c>
      <c r="AA11" s="1406"/>
      <c r="AB11" s="45" t="s">
        <v>216</v>
      </c>
      <c r="AC11" s="1064"/>
      <c r="AD11" s="45"/>
      <c r="AE11" s="445"/>
      <c r="AG11" s="290" t="str">
        <f t="shared" si="0"/>
        <v/>
      </c>
      <c r="AH11" s="290">
        <v>16</v>
      </c>
      <c r="AI11" s="273"/>
      <c r="AJ11" s="290">
        <f t="shared" si="1"/>
        <v>16</v>
      </c>
      <c r="AK11" s="290">
        <v>16</v>
      </c>
      <c r="AM11" s="290" t="e">
        <f t="shared" si="2"/>
        <v>#VALUE!</v>
      </c>
      <c r="AN11" s="290">
        <v>16</v>
      </c>
      <c r="AR11" s="165"/>
      <c r="AS11" s="165"/>
      <c r="AT11" s="615"/>
      <c r="AU11" s="615"/>
      <c r="AV11" s="922"/>
      <c r="AW11" s="615"/>
      <c r="AX11" s="615"/>
    </row>
    <row r="12" spans="2:50" ht="13" thickBot="1">
      <c r="B12" s="610" t="s">
        <v>5</v>
      </c>
      <c r="C12" s="614" t="str">
        <f>IF($C$9=0,"-",SUM(AJ45:AJ48))</f>
        <v>-</v>
      </c>
      <c r="D12" s="548" t="s">
        <v>127</v>
      </c>
      <c r="E12" s="611"/>
      <c r="G12" s="444"/>
      <c r="H12" s="45"/>
      <c r="I12" s="45"/>
      <c r="J12" s="45"/>
      <c r="K12" s="1064"/>
      <c r="L12" s="45"/>
      <c r="M12" s="45"/>
      <c r="N12" s="45"/>
      <c r="O12" s="45"/>
      <c r="P12" s="1064"/>
      <c r="Q12" s="45"/>
      <c r="R12" s="445"/>
      <c r="T12" s="444"/>
      <c r="U12" s="45"/>
      <c r="V12" s="45"/>
      <c r="W12" s="45"/>
      <c r="X12" s="1064"/>
      <c r="Y12" s="45"/>
      <c r="Z12" s="45"/>
      <c r="AA12" s="45"/>
      <c r="AB12" s="45"/>
      <c r="AC12" s="1064"/>
      <c r="AD12" s="45"/>
      <c r="AE12" s="445"/>
      <c r="AG12" s="290" t="str">
        <f t="shared" si="0"/>
        <v/>
      </c>
      <c r="AH12" s="290">
        <v>20</v>
      </c>
      <c r="AI12" s="273"/>
      <c r="AJ12" s="290">
        <f t="shared" si="1"/>
        <v>20</v>
      </c>
      <c r="AK12" s="290">
        <v>20</v>
      </c>
      <c r="AM12" s="290" t="e">
        <f t="shared" si="2"/>
        <v>#VALUE!</v>
      </c>
      <c r="AN12" s="290">
        <v>20</v>
      </c>
      <c r="AR12" s="165"/>
      <c r="AS12" s="165"/>
      <c r="AT12" s="615"/>
      <c r="AU12" s="615"/>
      <c r="AV12" s="922"/>
      <c r="AW12" s="615"/>
      <c r="AX12" s="615"/>
    </row>
    <row r="13" spans="2:50" ht="13" thickBot="1">
      <c r="B13" s="536" t="s">
        <v>5</v>
      </c>
      <c r="C13" s="613" t="str">
        <f>IF($C$9=0,"-",SUM(AK45:AK48))</f>
        <v>-</v>
      </c>
      <c r="D13" s="553" t="s">
        <v>1448</v>
      </c>
      <c r="E13" s="612"/>
      <c r="G13" s="444"/>
      <c r="H13" s="2359" t="str">
        <f>IF(H11*N11*L11&gt;0,MIN(AM8:AM13),"")</f>
        <v/>
      </c>
      <c r="I13" s="2359"/>
      <c r="J13" s="2360"/>
      <c r="K13" s="1066"/>
      <c r="L13" s="1063"/>
      <c r="M13" s="2368" t="s">
        <v>742</v>
      </c>
      <c r="N13" s="1063"/>
      <c r="O13" s="1063"/>
      <c r="P13" s="1064"/>
      <c r="Q13" s="45"/>
      <c r="R13" s="445"/>
      <c r="T13" s="444"/>
      <c r="U13" s="2362" t="str">
        <f>IF(U11*AA11*Y11&gt;0,MIN(AM29:AM34),"")</f>
        <v/>
      </c>
      <c r="V13" s="2362"/>
      <c r="W13" s="2363"/>
      <c r="X13" s="1066"/>
      <c r="Y13" s="1063"/>
      <c r="Z13" s="2368" t="s">
        <v>742</v>
      </c>
      <c r="AA13" s="1063"/>
      <c r="AB13" s="1063"/>
      <c r="AC13" s="1064"/>
      <c r="AD13" s="45"/>
      <c r="AE13" s="445"/>
      <c r="AG13" s="290" t="str">
        <f t="shared" si="0"/>
        <v/>
      </c>
      <c r="AH13" s="290">
        <v>25</v>
      </c>
      <c r="AI13" s="273"/>
      <c r="AJ13" s="290">
        <f t="shared" si="1"/>
        <v>25</v>
      </c>
      <c r="AK13" s="290">
        <v>25</v>
      </c>
      <c r="AM13" s="290" t="e">
        <f t="shared" si="2"/>
        <v>#VALUE!</v>
      </c>
      <c r="AN13" s="290">
        <v>25</v>
      </c>
      <c r="AR13" s="165"/>
      <c r="AS13" s="165"/>
      <c r="AT13" s="615"/>
      <c r="AU13" s="615"/>
      <c r="AV13" s="922"/>
      <c r="AW13" s="615"/>
      <c r="AX13" s="615"/>
    </row>
    <row r="14" spans="2:50" ht="13.5" thickBot="1">
      <c r="G14" s="444"/>
      <c r="H14" s="45"/>
      <c r="I14" s="45"/>
      <c r="J14" s="45"/>
      <c r="K14" s="254"/>
      <c r="L14" s="280" t="str">
        <f>IF(H11*L11*N11&gt;0,K8+H11,"-")</f>
        <v>-</v>
      </c>
      <c r="M14" s="2370"/>
      <c r="N14" s="45"/>
      <c r="O14" s="291"/>
      <c r="P14" s="45"/>
      <c r="Q14" s="45"/>
      <c r="R14" s="445"/>
      <c r="T14" s="444"/>
      <c r="U14" s="45"/>
      <c r="V14" s="45"/>
      <c r="W14" s="45"/>
      <c r="X14" s="254"/>
      <c r="Y14" s="280" t="str">
        <f>IF(U11*Y11*AA11&gt;0,X8+U11,"-")</f>
        <v>-</v>
      </c>
      <c r="Z14" s="2370"/>
      <c r="AA14" s="45"/>
      <c r="AB14" s="291"/>
      <c r="AC14" s="45"/>
      <c r="AD14" s="45"/>
      <c r="AE14" s="445"/>
      <c r="AI14" s="273"/>
      <c r="AK14" s="254">
        <f>Q7*0.09804139432</f>
        <v>0</v>
      </c>
      <c r="AR14" s="165"/>
      <c r="AS14" s="165"/>
    </row>
    <row r="15" spans="2:50" ht="13">
      <c r="G15" s="444"/>
      <c r="H15" s="45"/>
      <c r="I15" s="45"/>
      <c r="J15" s="45"/>
      <c r="K15" s="45"/>
      <c r="L15" s="45"/>
      <c r="M15" s="45"/>
      <c r="N15" s="45"/>
      <c r="O15" s="45"/>
      <c r="P15" s="45"/>
      <c r="Q15" s="45"/>
      <c r="R15" s="445"/>
      <c r="T15" s="444"/>
      <c r="U15" s="45"/>
      <c r="V15" s="45"/>
      <c r="W15" s="45"/>
      <c r="X15" s="45"/>
      <c r="Y15" s="45"/>
      <c r="Z15" s="45"/>
      <c r="AA15" s="45"/>
      <c r="AB15" s="45"/>
      <c r="AC15" s="45"/>
      <c r="AD15" s="45"/>
      <c r="AE15" s="445"/>
      <c r="AG15" s="2361" t="s">
        <v>1238</v>
      </c>
      <c r="AH15" s="2361"/>
      <c r="AI15" s="273"/>
      <c r="AJ15" s="2361" t="s">
        <v>1240</v>
      </c>
      <c r="AK15" s="2361"/>
      <c r="AR15" s="165"/>
      <c r="AS15" s="165"/>
    </row>
    <row r="16" spans="2:50" ht="13">
      <c r="G16" s="444"/>
      <c r="H16" s="1068" t="s">
        <v>1086</v>
      </c>
      <c r="I16" s="1068"/>
      <c r="J16" s="1068"/>
      <c r="K16" s="1068"/>
      <c r="L16" s="1068"/>
      <c r="M16" s="1068"/>
      <c r="P16" s="45"/>
      <c r="Q16" s="45"/>
      <c r="R16" s="445"/>
      <c r="T16" s="444"/>
      <c r="U16" s="1068" t="s">
        <v>1086</v>
      </c>
      <c r="V16" s="45"/>
      <c r="X16" s="1068"/>
      <c r="Y16" s="1068"/>
      <c r="Z16" s="1068"/>
      <c r="AA16" s="1068"/>
      <c r="AC16" s="45"/>
      <c r="AD16" s="45"/>
      <c r="AE16" s="445"/>
      <c r="AG16" s="290" t="str">
        <f t="shared" ref="AG16:AG21" si="3">IF($L$20&lt;=AH16,AH16,"")</f>
        <v/>
      </c>
      <c r="AH16" s="290">
        <v>4</v>
      </c>
      <c r="AI16" s="273"/>
      <c r="AJ16" s="290">
        <f t="shared" ref="AJ16:AJ21" si="4">IF($AK$14&lt;=AK16,AK16,"")</f>
        <v>4</v>
      </c>
      <c r="AK16" s="290">
        <v>4</v>
      </c>
      <c r="AR16" s="165"/>
      <c r="AS16" s="165"/>
    </row>
    <row r="17" spans="7:45" ht="13">
      <c r="G17" s="444"/>
      <c r="H17" s="535" t="s">
        <v>743</v>
      </c>
      <c r="I17" s="1069"/>
      <c r="J17" s="1069"/>
      <c r="K17" s="442"/>
      <c r="L17" s="281" t="str">
        <f>IF(N11*L11&gt;0,M8,"-")</f>
        <v>-</v>
      </c>
      <c r="M17" s="282" t="s">
        <v>216</v>
      </c>
      <c r="N17" s="2371" t="str">
        <f>IF(N11*L11&gt;0,MIN(AG8:AG13),"-")</f>
        <v>-</v>
      </c>
      <c r="P17" s="290" t="str">
        <f>IF(N17=0,"Pressure break required","")</f>
        <v/>
      </c>
      <c r="Q17" s="45"/>
      <c r="R17" s="445"/>
      <c r="T17" s="444"/>
      <c r="U17" s="535" t="s">
        <v>743</v>
      </c>
      <c r="V17" s="1069"/>
      <c r="W17" s="1069"/>
      <c r="X17" s="442"/>
      <c r="Y17" s="281" t="str">
        <f>IF(AA11*Y11&gt;0,AB8,"-")</f>
        <v>-</v>
      </c>
      <c r="Z17" s="282" t="s">
        <v>216</v>
      </c>
      <c r="AA17" s="2371" t="str">
        <f>IF(AA11*Y11&gt;0,MIN(AG29:AG34),"-")</f>
        <v>-</v>
      </c>
      <c r="AC17" s="290" t="str">
        <f>IF(AA17=0,"Pressure break required","")</f>
        <v/>
      </c>
      <c r="AD17" s="45"/>
      <c r="AE17" s="445"/>
      <c r="AG17" s="290" t="str">
        <f t="shared" si="3"/>
        <v/>
      </c>
      <c r="AH17" s="290">
        <v>6</v>
      </c>
      <c r="AI17" s="290"/>
      <c r="AJ17" s="290">
        <f t="shared" si="4"/>
        <v>6</v>
      </c>
      <c r="AK17" s="290">
        <v>6</v>
      </c>
      <c r="AR17" s="165"/>
      <c r="AS17" s="165"/>
    </row>
    <row r="18" spans="7:45" ht="13">
      <c r="G18" s="444"/>
      <c r="H18" s="1070"/>
      <c r="I18" s="1071"/>
      <c r="J18" s="1071"/>
      <c r="K18" s="446"/>
      <c r="L18" s="283" t="str">
        <f>IF(N11*L11&gt;0,L17*0.09804139432,"-")</f>
        <v>-</v>
      </c>
      <c r="M18" s="1067" t="s">
        <v>634</v>
      </c>
      <c r="N18" s="2372"/>
      <c r="P18" s="45"/>
      <c r="Q18" s="45"/>
      <c r="R18" s="445"/>
      <c r="T18" s="444"/>
      <c r="U18" s="1070"/>
      <c r="V18" s="1071"/>
      <c r="W18" s="1071"/>
      <c r="X18" s="446"/>
      <c r="Y18" s="283" t="str">
        <f>IF(AA11*Y11&gt;0,Y17*0.09804139432,"-")</f>
        <v>-</v>
      </c>
      <c r="Z18" s="1067" t="s">
        <v>634</v>
      </c>
      <c r="AA18" s="2372"/>
      <c r="AC18" s="45"/>
      <c r="AD18" s="45"/>
      <c r="AE18" s="445"/>
      <c r="AG18" s="290" t="str">
        <f t="shared" si="3"/>
        <v/>
      </c>
      <c r="AH18" s="290">
        <v>10</v>
      </c>
      <c r="AI18" s="290"/>
      <c r="AJ18" s="290">
        <f t="shared" si="4"/>
        <v>10</v>
      </c>
      <c r="AK18" s="290">
        <v>10</v>
      </c>
      <c r="AR18" s="165"/>
      <c r="AS18" s="165"/>
    </row>
    <row r="19" spans="7:45" ht="13">
      <c r="G19" s="444"/>
      <c r="H19" s="535" t="s">
        <v>744</v>
      </c>
      <c r="I19" s="1069"/>
      <c r="J19" s="1069"/>
      <c r="K19" s="442"/>
      <c r="L19" s="281" t="str">
        <f>IF(H11*L11*N11&gt;0,L14,"-")</f>
        <v>-</v>
      </c>
      <c r="M19" s="282" t="s">
        <v>216</v>
      </c>
      <c r="N19" s="2371" t="str">
        <f>IF(H11*L11*N11&gt;0,MIN(AG16:AG21),"-")</f>
        <v>-</v>
      </c>
      <c r="P19" s="290" t="str">
        <f>IF(N19=0,"Pressure break required","")</f>
        <v/>
      </c>
      <c r="Q19" s="45"/>
      <c r="R19" s="445"/>
      <c r="T19" s="444"/>
      <c r="U19" s="535" t="s">
        <v>744</v>
      </c>
      <c r="V19" s="1069"/>
      <c r="W19" s="1069"/>
      <c r="X19" s="442"/>
      <c r="Y19" s="281" t="str">
        <f>IF(U11*Y11*AA11&gt;0,Y14,"-")</f>
        <v>-</v>
      </c>
      <c r="Z19" s="282" t="s">
        <v>216</v>
      </c>
      <c r="AA19" s="2371" t="str">
        <f>IF(U11*Y11*AA11&gt;0,MIN(AG36:AG41),"-")</f>
        <v>-</v>
      </c>
      <c r="AC19" s="290" t="str">
        <f>IF(AA19=0,"Pressure break required","")</f>
        <v/>
      </c>
      <c r="AD19" s="45"/>
      <c r="AE19" s="445"/>
      <c r="AG19" s="290" t="str">
        <f t="shared" si="3"/>
        <v/>
      </c>
      <c r="AH19" s="290">
        <v>16</v>
      </c>
      <c r="AI19" s="290"/>
      <c r="AJ19" s="290">
        <f t="shared" si="4"/>
        <v>16</v>
      </c>
      <c r="AK19" s="290">
        <v>16</v>
      </c>
    </row>
    <row r="20" spans="7:45" ht="13">
      <c r="G20" s="444"/>
      <c r="H20" s="1070"/>
      <c r="I20" s="1071"/>
      <c r="J20" s="1071"/>
      <c r="K20" s="446"/>
      <c r="L20" s="283" t="str">
        <f>IF(H11*L11*N11&gt;0,L19*0.09804139432,"-")</f>
        <v>-</v>
      </c>
      <c r="M20" s="1067" t="s">
        <v>634</v>
      </c>
      <c r="N20" s="2372"/>
      <c r="P20" s="45"/>
      <c r="Q20" s="45"/>
      <c r="R20" s="445"/>
      <c r="T20" s="444"/>
      <c r="U20" s="1070"/>
      <c r="V20" s="1071"/>
      <c r="W20" s="1071"/>
      <c r="X20" s="446"/>
      <c r="Y20" s="283" t="str">
        <f>IF(U11*Y11*AA11&gt;0,Y19*0.09804139432,"-")</f>
        <v>-</v>
      </c>
      <c r="Z20" s="1067" t="s">
        <v>634</v>
      </c>
      <c r="AA20" s="2372"/>
      <c r="AC20" s="45"/>
      <c r="AD20" s="45"/>
      <c r="AE20" s="445"/>
      <c r="AG20" s="290" t="str">
        <f t="shared" si="3"/>
        <v/>
      </c>
      <c r="AH20" s="290">
        <v>20</v>
      </c>
      <c r="AI20" s="290"/>
      <c r="AJ20" s="290">
        <f t="shared" si="4"/>
        <v>20</v>
      </c>
      <c r="AK20" s="290">
        <v>20</v>
      </c>
    </row>
    <row r="21" spans="7:45">
      <c r="G21" s="51"/>
      <c r="H21" s="446"/>
      <c r="I21" s="446"/>
      <c r="J21" s="446"/>
      <c r="K21" s="446"/>
      <c r="L21" s="446"/>
      <c r="M21" s="446"/>
      <c r="N21" s="446"/>
      <c r="O21" s="446"/>
      <c r="P21" s="446"/>
      <c r="Q21" s="446"/>
      <c r="R21" s="52"/>
      <c r="T21" s="51"/>
      <c r="U21" s="446"/>
      <c r="V21" s="446"/>
      <c r="W21" s="446"/>
      <c r="X21" s="446"/>
      <c r="Y21" s="446"/>
      <c r="Z21" s="446"/>
      <c r="AA21" s="446"/>
      <c r="AB21" s="446"/>
      <c r="AC21" s="446"/>
      <c r="AD21" s="446"/>
      <c r="AE21" s="52"/>
      <c r="AG21" s="290" t="str">
        <f t="shared" si="3"/>
        <v/>
      </c>
      <c r="AH21" s="290">
        <v>25</v>
      </c>
      <c r="AI21" s="290"/>
      <c r="AJ21" s="290">
        <f t="shared" si="4"/>
        <v>25</v>
      </c>
      <c r="AK21" s="290">
        <v>25</v>
      </c>
    </row>
    <row r="27" spans="7:45">
      <c r="AK27" s="254">
        <f>X8*0.09804139432</f>
        <v>0</v>
      </c>
      <c r="AN27" s="254" t="e">
        <f>Y14*0.09804139432</f>
        <v>#VALUE!</v>
      </c>
    </row>
    <row r="28" spans="7:45" ht="13">
      <c r="AG28" s="2361" t="s">
        <v>740</v>
      </c>
      <c r="AH28" s="2361"/>
      <c r="AJ28" s="2361" t="s">
        <v>1239</v>
      </c>
      <c r="AK28" s="2361"/>
      <c r="AM28" s="2361" t="s">
        <v>1241</v>
      </c>
      <c r="AN28" s="2361"/>
    </row>
    <row r="29" spans="7:45" ht="13.5" customHeight="1">
      <c r="AG29" s="290" t="str">
        <f t="shared" ref="AG29:AG34" si="5">IF($Y$18&lt;=AH29,AH29,"")</f>
        <v/>
      </c>
      <c r="AH29" s="290">
        <v>4</v>
      </c>
      <c r="AJ29" s="290">
        <f t="shared" ref="AJ29:AJ34" si="6">IF($AK$27&lt;=AK29,AK29,"")</f>
        <v>4</v>
      </c>
      <c r="AK29" s="290">
        <v>4</v>
      </c>
      <c r="AM29" s="290" t="e">
        <f t="shared" ref="AM29:AM34" si="7">IF($AN$27&lt;=AN29,AN29,"")</f>
        <v>#VALUE!</v>
      </c>
      <c r="AN29" s="290">
        <v>4</v>
      </c>
    </row>
    <row r="30" spans="7:45">
      <c r="AG30" s="290" t="str">
        <f t="shared" si="5"/>
        <v/>
      </c>
      <c r="AH30" s="290">
        <v>6</v>
      </c>
      <c r="AJ30" s="290">
        <f t="shared" si="6"/>
        <v>6</v>
      </c>
      <c r="AK30" s="290">
        <v>6</v>
      </c>
      <c r="AM30" s="290" t="e">
        <f t="shared" si="7"/>
        <v>#VALUE!</v>
      </c>
      <c r="AN30" s="290">
        <v>6</v>
      </c>
    </row>
    <row r="31" spans="7:45">
      <c r="AG31" s="290" t="str">
        <f t="shared" si="5"/>
        <v/>
      </c>
      <c r="AH31" s="290">
        <v>10</v>
      </c>
      <c r="AJ31" s="290">
        <f t="shared" si="6"/>
        <v>10</v>
      </c>
      <c r="AK31" s="290">
        <v>10</v>
      </c>
      <c r="AM31" s="290" t="e">
        <f t="shared" si="7"/>
        <v>#VALUE!</v>
      </c>
      <c r="AN31" s="290">
        <v>10</v>
      </c>
    </row>
    <row r="32" spans="7:45">
      <c r="AG32" s="290" t="str">
        <f t="shared" si="5"/>
        <v/>
      </c>
      <c r="AH32" s="290">
        <v>16</v>
      </c>
      <c r="AJ32" s="290">
        <f t="shared" si="6"/>
        <v>16</v>
      </c>
      <c r="AK32" s="290">
        <v>16</v>
      </c>
      <c r="AM32" s="290" t="e">
        <f t="shared" si="7"/>
        <v>#VALUE!</v>
      </c>
      <c r="AN32" s="290">
        <v>16</v>
      </c>
    </row>
    <row r="33" spans="33:40" ht="13.5" customHeight="1">
      <c r="AG33" s="290" t="str">
        <f t="shared" si="5"/>
        <v/>
      </c>
      <c r="AH33" s="290">
        <v>20</v>
      </c>
      <c r="AJ33" s="290">
        <f t="shared" si="6"/>
        <v>20</v>
      </c>
      <c r="AK33" s="290">
        <v>20</v>
      </c>
      <c r="AM33" s="290" t="e">
        <f t="shared" si="7"/>
        <v>#VALUE!</v>
      </c>
      <c r="AN33" s="290">
        <v>20</v>
      </c>
    </row>
    <row r="34" spans="33:40">
      <c r="AG34" s="290" t="str">
        <f t="shared" si="5"/>
        <v/>
      </c>
      <c r="AH34" s="290">
        <v>25</v>
      </c>
      <c r="AJ34" s="290">
        <f t="shared" si="6"/>
        <v>25</v>
      </c>
      <c r="AK34" s="290">
        <v>25</v>
      </c>
      <c r="AM34" s="290" t="e">
        <f t="shared" si="7"/>
        <v>#VALUE!</v>
      </c>
      <c r="AN34" s="290">
        <v>25</v>
      </c>
    </row>
    <row r="35" spans="33:40" ht="13">
      <c r="AG35" s="2361" t="s">
        <v>1238</v>
      </c>
      <c r="AH35" s="2361"/>
      <c r="AK35" s="254">
        <f>AD7*0.09804139432</f>
        <v>0</v>
      </c>
    </row>
    <row r="36" spans="33:40" ht="13">
      <c r="AG36" s="290" t="str">
        <f t="shared" ref="AG36:AG41" si="8">IF($Y$20&lt;=AH36,AH36,"")</f>
        <v/>
      </c>
      <c r="AH36" s="290">
        <v>4</v>
      </c>
      <c r="AJ36" s="2361" t="s">
        <v>1240</v>
      </c>
      <c r="AK36" s="2361"/>
    </row>
    <row r="37" spans="33:40">
      <c r="AG37" s="290" t="str">
        <f t="shared" si="8"/>
        <v/>
      </c>
      <c r="AH37" s="290">
        <v>6</v>
      </c>
      <c r="AJ37" s="290">
        <f t="shared" ref="AJ37:AJ42" si="9">IF($AK$35&lt;=AK37,AK37,"")</f>
        <v>4</v>
      </c>
      <c r="AK37" s="290">
        <v>4</v>
      </c>
    </row>
    <row r="38" spans="33:40" ht="13.5" customHeight="1">
      <c r="AG38" s="290" t="str">
        <f t="shared" si="8"/>
        <v/>
      </c>
      <c r="AH38" s="290">
        <v>10</v>
      </c>
      <c r="AJ38" s="290">
        <f t="shared" si="9"/>
        <v>6</v>
      </c>
      <c r="AK38" s="290">
        <v>6</v>
      </c>
    </row>
    <row r="39" spans="33:40">
      <c r="AG39" s="290" t="str">
        <f t="shared" si="8"/>
        <v/>
      </c>
      <c r="AH39" s="290">
        <v>16</v>
      </c>
      <c r="AJ39" s="290">
        <f t="shared" si="9"/>
        <v>10</v>
      </c>
      <c r="AK39" s="290">
        <v>10</v>
      </c>
    </row>
    <row r="40" spans="33:40">
      <c r="AG40" s="290" t="str">
        <f t="shared" si="8"/>
        <v/>
      </c>
      <c r="AH40" s="290">
        <v>20</v>
      </c>
      <c r="AJ40" s="290">
        <f t="shared" si="9"/>
        <v>16</v>
      </c>
      <c r="AK40" s="290">
        <v>16</v>
      </c>
    </row>
    <row r="41" spans="33:40">
      <c r="AG41" s="290" t="str">
        <f t="shared" si="8"/>
        <v/>
      </c>
      <c r="AH41" s="290">
        <v>25</v>
      </c>
      <c r="AJ41" s="290">
        <f t="shared" si="9"/>
        <v>20</v>
      </c>
      <c r="AK41" s="290">
        <v>20</v>
      </c>
    </row>
    <row r="42" spans="33:40">
      <c r="AJ42" s="290">
        <f t="shared" si="9"/>
        <v>25</v>
      </c>
      <c r="AK42" s="290">
        <v>25</v>
      </c>
    </row>
    <row r="44" spans="33:40">
      <c r="AG44" s="615"/>
      <c r="AH44" s="615" t="s">
        <v>216</v>
      </c>
      <c r="AI44" s="615" t="s">
        <v>634</v>
      </c>
      <c r="AJ44" s="615" t="s">
        <v>127</v>
      </c>
      <c r="AK44" s="615" t="s">
        <v>1382</v>
      </c>
    </row>
    <row r="45" spans="33:40">
      <c r="AG45" s="615" t="s">
        <v>216</v>
      </c>
      <c r="AH45" s="1361">
        <f>IF($D$9=D10,$C$9,0)</f>
        <v>0</v>
      </c>
      <c r="AI45" s="1361">
        <f>AH45*0.09804139432</f>
        <v>0</v>
      </c>
      <c r="AJ45" s="1361">
        <f>AH45*9.804139432</f>
        <v>0</v>
      </c>
      <c r="AK45" s="615">
        <f>AJ45*0.001</f>
        <v>0</v>
      </c>
    </row>
    <row r="46" spans="33:40">
      <c r="AG46" s="615" t="s">
        <v>128</v>
      </c>
      <c r="AH46" s="1361">
        <f>AI46/0.09804139432</f>
        <v>0</v>
      </c>
      <c r="AI46" s="1361">
        <f>IF($D$9=D11,$C$9,0)</f>
        <v>0</v>
      </c>
      <c r="AJ46" s="1361">
        <f>AH46*9.804139432</f>
        <v>0</v>
      </c>
      <c r="AK46" s="615">
        <f>AJ46*0.001</f>
        <v>0</v>
      </c>
    </row>
    <row r="47" spans="33:40">
      <c r="AG47" s="615" t="s">
        <v>127</v>
      </c>
      <c r="AH47" s="1361">
        <f>AI47/0.09804139432</f>
        <v>0</v>
      </c>
      <c r="AI47" s="615">
        <f>AJ47/100</f>
        <v>0</v>
      </c>
      <c r="AJ47" s="1361">
        <f>IF($D$9=D12,$C$9,0)</f>
        <v>0</v>
      </c>
      <c r="AK47" s="615">
        <f>AJ47*0.001</f>
        <v>0</v>
      </c>
    </row>
    <row r="48" spans="33:40">
      <c r="AG48" s="615" t="s">
        <v>1382</v>
      </c>
      <c r="AH48" s="1361">
        <f>AI48/0.09804139432</f>
        <v>0</v>
      </c>
      <c r="AI48" s="615">
        <f>AJ48/100</f>
        <v>0</v>
      </c>
      <c r="AJ48" s="1361">
        <f>AK48*1000</f>
        <v>0</v>
      </c>
      <c r="AK48" s="1361">
        <f>IF($D$9=D13,$C$9,0)</f>
        <v>0</v>
      </c>
    </row>
  </sheetData>
  <sheetProtection password="DFE4" sheet="1" objects="1" scenarios="1" formatColumns="0" selectLockedCells="1"/>
  <protectedRanges>
    <protectedRange sqref="AK48 AI45:AI46 AJ45:AJ48 AH45:AH48" name="範圍1_1"/>
  </protectedRanges>
  <mergeCells count="31">
    <mergeCell ref="N17:N18"/>
    <mergeCell ref="AJ28:AK28"/>
    <mergeCell ref="AM28:AN28"/>
    <mergeCell ref="AJ36:AK36"/>
    <mergeCell ref="AG28:AH28"/>
    <mergeCell ref="AG35:AH35"/>
    <mergeCell ref="N19:N20"/>
    <mergeCell ref="AA19:AA20"/>
    <mergeCell ref="AA17:AA18"/>
    <mergeCell ref="AG15:AH15"/>
    <mergeCell ref="G2:R2"/>
    <mergeCell ref="AJ7:AK7"/>
    <mergeCell ref="AJ15:AK15"/>
    <mergeCell ref="AM7:AN7"/>
    <mergeCell ref="AG2:AN2"/>
    <mergeCell ref="L8:L9"/>
    <mergeCell ref="N8:N9"/>
    <mergeCell ref="M4:M5"/>
    <mergeCell ref="M13:M14"/>
    <mergeCell ref="T2:AE2"/>
    <mergeCell ref="Z4:Z5"/>
    <mergeCell ref="AA8:AA9"/>
    <mergeCell ref="Y8:Y9"/>
    <mergeCell ref="Z13:Z14"/>
    <mergeCell ref="U7:W7"/>
    <mergeCell ref="B2:E2"/>
    <mergeCell ref="B7:E7"/>
    <mergeCell ref="H7:J7"/>
    <mergeCell ref="H13:J13"/>
    <mergeCell ref="AG7:AH7"/>
    <mergeCell ref="U13:W13"/>
  </mergeCells>
  <phoneticPr fontId="143" type="noConversion"/>
  <dataValidations count="1">
    <dataValidation type="list" allowBlank="1" showInputMessage="1" showErrorMessage="1" sqref="D9" xr:uid="{00000000-0002-0000-1D00-000000000000}">
      <formula1>$D$10:$D$13</formula1>
    </dataValidation>
  </dataValidations>
  <pageMargins left="0.75" right="0.75" top="1" bottom="1" header="0.5" footer="0.5"/>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62" r:id="rId4" name="Button 6">
              <controlPr defaultSize="0" autoFill="0" autoPict="0" macro="[0]!Home">
                <anchor>
                  <from>
                    <xdr:col>1</xdr:col>
                    <xdr:colOff>31750</xdr:colOff>
                    <xdr:row>13</xdr:row>
                    <xdr:rowOff>165100</xdr:rowOff>
                  </from>
                  <to>
                    <xdr:col>2</xdr:col>
                    <xdr:colOff>247650</xdr:colOff>
                    <xdr:row>15</xdr:row>
                    <xdr:rowOff>152400</xdr:rowOff>
                  </to>
                </anchor>
              </controlPr>
            </control>
          </mc:Choice>
        </mc:AlternateContent>
        <mc:AlternateContent xmlns:mc="http://schemas.openxmlformats.org/markup-compatibility/2006">
          <mc:Choice Requires="x14">
            <control shapeId="173063" r:id="rId5" name="Button 7">
              <controlPr defaultSize="0" autoFill="0" autoPict="0" macro="[0]!pn_clear">
                <anchor>
                  <from>
                    <xdr:col>1</xdr:col>
                    <xdr:colOff>31750</xdr:colOff>
                    <xdr:row>16</xdr:row>
                    <xdr:rowOff>69850</xdr:rowOff>
                  </from>
                  <to>
                    <xdr:col>2</xdr:col>
                    <xdr:colOff>247650</xdr:colOff>
                    <xdr:row>18</xdr:row>
                    <xdr:rowOff>57150</xdr:rowOff>
                  </to>
                </anchor>
              </controlPr>
            </control>
          </mc:Choice>
        </mc:AlternateContent>
        <mc:AlternateContent xmlns:mc="http://schemas.openxmlformats.org/markup-compatibility/2006">
          <mc:Choice Requires="x14">
            <control shapeId="173064" r:id="rId6" name="Option Button 8">
              <controlPr defaultSize="0" autoFill="0" autoLine="0" autoPict="0" macro="[0]!PN_1">
                <anchor moveWithCells="1">
                  <from>
                    <xdr:col>1</xdr:col>
                    <xdr:colOff>38100</xdr:colOff>
                    <xdr:row>2</xdr:row>
                    <xdr:rowOff>38100</xdr:rowOff>
                  </from>
                  <to>
                    <xdr:col>5</xdr:col>
                    <xdr:colOff>222250</xdr:colOff>
                    <xdr:row>3</xdr:row>
                    <xdr:rowOff>107950</xdr:rowOff>
                  </to>
                </anchor>
              </controlPr>
            </control>
          </mc:Choice>
        </mc:AlternateContent>
        <mc:AlternateContent xmlns:mc="http://schemas.openxmlformats.org/markup-compatibility/2006">
          <mc:Choice Requires="x14">
            <control shapeId="173065" r:id="rId7" name="Option Button 9">
              <controlPr defaultSize="0" autoFill="0" autoLine="0" autoPict="0" macro="[0]!PN_2">
                <anchor moveWithCells="1">
                  <from>
                    <xdr:col>1</xdr:col>
                    <xdr:colOff>50800</xdr:colOff>
                    <xdr:row>3</xdr:row>
                    <xdr:rowOff>107950</xdr:rowOff>
                  </from>
                  <to>
                    <xdr:col>6</xdr:col>
                    <xdr:colOff>146050</xdr:colOff>
                    <xdr:row>4</xdr:row>
                    <xdr:rowOff>88900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7">
    <tabColor theme="3" tint="0.39997558519241921"/>
    <pageSetUpPr fitToPage="1"/>
  </sheetPr>
  <dimension ref="B2:O114"/>
  <sheetViews>
    <sheetView showGridLines="0" showRowColHeaders="0" zoomScaleNormal="100" workbookViewId="0">
      <selection activeCell="F14" sqref="F14"/>
    </sheetView>
  </sheetViews>
  <sheetFormatPr defaultColWidth="9.1796875" defaultRowHeight="12.5"/>
  <cols>
    <col min="1" max="2" width="2.7265625" style="43" customWidth="1"/>
    <col min="3" max="3" width="9.1796875" style="43"/>
    <col min="4" max="4" width="26" style="43" customWidth="1"/>
    <col min="5" max="5" width="3.81640625" style="43" bestFit="1" customWidth="1"/>
    <col min="6" max="6" width="8.54296875" style="43" bestFit="1" customWidth="1"/>
    <col min="7" max="7" width="4.26953125" style="43" bestFit="1" customWidth="1"/>
    <col min="8" max="13" width="9.1796875" style="43"/>
    <col min="14" max="14" width="8.81640625" style="43" customWidth="1"/>
    <col min="15" max="15" width="9.81640625" style="43" customWidth="1"/>
    <col min="16" max="16384" width="9.1796875" style="43"/>
  </cols>
  <sheetData>
    <row r="2" spans="2:15" ht="13">
      <c r="B2" s="637" t="s">
        <v>643</v>
      </c>
      <c r="C2" s="1143"/>
      <c r="D2" s="1143"/>
      <c r="E2" s="1143"/>
      <c r="F2" s="1143"/>
      <c r="G2" s="1143"/>
      <c r="H2" s="1143"/>
      <c r="I2" s="1143"/>
      <c r="J2" s="1143"/>
      <c r="K2" s="1143"/>
      <c r="L2" s="1143"/>
      <c r="M2" s="1143"/>
      <c r="N2" s="1143"/>
      <c r="O2" s="1143"/>
    </row>
    <row r="3" spans="2:15">
      <c r="B3" s="45"/>
      <c r="C3" s="45"/>
      <c r="D3" s="45"/>
      <c r="E3" s="45"/>
      <c r="F3" s="45"/>
      <c r="G3" s="45"/>
      <c r="H3" s="45"/>
      <c r="I3" s="45"/>
      <c r="J3" s="45"/>
      <c r="K3" s="45"/>
      <c r="L3" s="45"/>
      <c r="M3" s="45"/>
      <c r="N3" s="45"/>
      <c r="O3" s="45"/>
    </row>
    <row r="4" spans="2:15">
      <c r="B4" s="45"/>
      <c r="C4" s="45"/>
      <c r="D4" s="45"/>
      <c r="E4" s="45"/>
      <c r="F4" s="45"/>
      <c r="G4" s="45"/>
      <c r="H4" s="45"/>
      <c r="I4" s="45"/>
      <c r="J4" s="45"/>
      <c r="K4" s="45"/>
      <c r="L4" s="45"/>
      <c r="M4" s="45"/>
      <c r="N4" s="45"/>
      <c r="O4" s="45"/>
    </row>
    <row r="5" spans="2:15">
      <c r="B5" s="45"/>
      <c r="C5" s="45"/>
      <c r="D5" s="45"/>
      <c r="E5" s="45"/>
      <c r="F5" s="45"/>
      <c r="G5" s="45"/>
      <c r="H5" s="45"/>
      <c r="I5" s="45"/>
      <c r="J5" s="45"/>
      <c r="K5" s="45"/>
      <c r="L5" s="45"/>
      <c r="M5" s="45"/>
      <c r="N5" s="45"/>
      <c r="O5" s="45"/>
    </row>
    <row r="6" spans="2:15">
      <c r="B6" s="45"/>
      <c r="C6" s="45"/>
      <c r="D6" s="45"/>
      <c r="E6" s="45"/>
      <c r="F6" s="45"/>
      <c r="G6" s="45"/>
      <c r="H6" s="45"/>
      <c r="I6" s="45"/>
      <c r="J6" s="45"/>
      <c r="K6" s="45"/>
      <c r="L6" s="45"/>
      <c r="M6" s="45"/>
      <c r="N6" s="45"/>
      <c r="O6" s="45"/>
    </row>
    <row r="7" spans="2:15" ht="17.5">
      <c r="B7" s="45"/>
      <c r="C7" s="257" t="s">
        <v>635</v>
      </c>
      <c r="D7" s="268" t="s">
        <v>647</v>
      </c>
      <c r="E7" s="45"/>
      <c r="F7" s="45"/>
      <c r="G7" s="45"/>
      <c r="H7" s="45"/>
      <c r="I7" s="45"/>
      <c r="J7" s="45"/>
      <c r="K7" s="45"/>
      <c r="L7" s="45"/>
      <c r="M7" s="45"/>
      <c r="N7" s="45"/>
      <c r="O7" s="45"/>
    </row>
    <row r="8" spans="2:15" ht="17.5">
      <c r="B8" s="45"/>
      <c r="C8" s="257" t="s">
        <v>636</v>
      </c>
      <c r="D8" s="268" t="s">
        <v>637</v>
      </c>
      <c r="E8" s="45"/>
      <c r="F8" s="45"/>
      <c r="G8" s="45"/>
      <c r="H8" s="45"/>
      <c r="I8" s="45"/>
      <c r="J8" s="45"/>
      <c r="K8" s="45"/>
      <c r="L8" s="45"/>
      <c r="M8" s="45"/>
      <c r="N8" s="45"/>
      <c r="O8" s="45"/>
    </row>
    <row r="9" spans="2:15" ht="17.5">
      <c r="B9" s="45"/>
      <c r="C9" s="257" t="s">
        <v>638</v>
      </c>
      <c r="D9" s="268" t="s">
        <v>657</v>
      </c>
      <c r="E9" s="45"/>
      <c r="F9" s="45"/>
      <c r="G9" s="45"/>
      <c r="H9" s="45"/>
      <c r="I9" s="45"/>
      <c r="J9" s="45"/>
      <c r="K9" s="45"/>
      <c r="L9" s="45"/>
      <c r="M9" s="45"/>
      <c r="N9" s="45"/>
      <c r="O9" s="45"/>
    </row>
    <row r="10" spans="2:15" ht="17.5">
      <c r="B10" s="45"/>
      <c r="C10" s="257" t="s">
        <v>639</v>
      </c>
      <c r="D10" s="268" t="s">
        <v>640</v>
      </c>
      <c r="E10" s="45"/>
      <c r="F10" s="45"/>
      <c r="G10" s="45"/>
      <c r="H10" s="45"/>
      <c r="I10" s="45"/>
      <c r="J10" s="45"/>
      <c r="K10" s="45"/>
      <c r="L10" s="45"/>
      <c r="M10" s="45"/>
      <c r="N10" s="45"/>
      <c r="O10" s="45"/>
    </row>
    <row r="11" spans="2:15" ht="17.5">
      <c r="B11" s="45"/>
      <c r="C11" s="257" t="s">
        <v>644</v>
      </c>
      <c r="D11" s="268" t="s">
        <v>641</v>
      </c>
      <c r="E11" s="45"/>
      <c r="F11" s="45"/>
      <c r="G11" s="45"/>
      <c r="H11" s="45"/>
      <c r="I11" s="45"/>
      <c r="J11" s="45"/>
      <c r="K11" s="45"/>
      <c r="L11" s="45"/>
      <c r="M11" s="45"/>
      <c r="N11" s="45"/>
      <c r="O11" s="45"/>
    </row>
    <row r="12" spans="2:15" ht="17.5">
      <c r="B12" s="45"/>
      <c r="C12" s="257" t="s">
        <v>645</v>
      </c>
      <c r="D12" s="268" t="s">
        <v>642</v>
      </c>
      <c r="E12" s="45"/>
      <c r="F12" s="45"/>
      <c r="G12" s="45"/>
      <c r="H12" s="45"/>
      <c r="I12" s="45"/>
      <c r="J12" s="45"/>
      <c r="K12" s="45"/>
      <c r="L12" s="45"/>
      <c r="M12" s="45"/>
      <c r="N12" s="45"/>
      <c r="O12" s="45"/>
    </row>
    <row r="13" spans="2:15">
      <c r="B13" s="261"/>
      <c r="C13" s="261"/>
      <c r="D13" s="261"/>
      <c r="E13" s="261"/>
      <c r="F13" s="262"/>
      <c r="G13" s="261"/>
      <c r="H13" s="261"/>
      <c r="I13" s="261"/>
      <c r="J13" s="261"/>
      <c r="K13" s="261"/>
      <c r="L13" s="261"/>
      <c r="M13" s="261"/>
      <c r="N13" s="261"/>
      <c r="O13" s="261"/>
    </row>
    <row r="14" spans="2:15" ht="14.5">
      <c r="B14" s="255" t="s">
        <v>167</v>
      </c>
      <c r="C14" s="258" t="s">
        <v>661</v>
      </c>
      <c r="D14" s="45"/>
      <c r="E14" s="260" t="s">
        <v>5</v>
      </c>
      <c r="F14" s="1403"/>
      <c r="G14" s="253" t="s">
        <v>127</v>
      </c>
      <c r="H14" s="45"/>
      <c r="I14" s="45"/>
      <c r="J14" s="45"/>
      <c r="K14" s="45"/>
      <c r="L14" s="45"/>
      <c r="M14" s="45"/>
      <c r="N14" s="45"/>
      <c r="O14" s="45"/>
    </row>
    <row r="15" spans="2:15" ht="17.5">
      <c r="B15" s="255"/>
      <c r="C15" s="258"/>
      <c r="D15" s="45"/>
      <c r="E15" s="267" t="s">
        <v>669</v>
      </c>
      <c r="F15" s="269" t="str">
        <f>IF(F14&gt;0,F14/9.8,"-")</f>
        <v>-</v>
      </c>
      <c r="G15" s="256" t="s">
        <v>216</v>
      </c>
      <c r="H15" s="45"/>
      <c r="I15" s="45"/>
      <c r="J15" s="45"/>
      <c r="K15" s="45"/>
      <c r="L15" s="45"/>
      <c r="M15" s="45"/>
      <c r="N15" s="45"/>
      <c r="O15" s="45"/>
    </row>
    <row r="16" spans="2:15" ht="14.5">
      <c r="B16" s="255"/>
      <c r="C16" s="258"/>
      <c r="D16" s="45"/>
      <c r="E16" s="257"/>
      <c r="F16" s="269"/>
      <c r="G16" s="253"/>
      <c r="H16" s="45"/>
      <c r="I16" s="45"/>
      <c r="J16" s="45"/>
      <c r="K16" s="45"/>
      <c r="L16" s="45"/>
      <c r="M16" s="45"/>
      <c r="N16" s="45"/>
      <c r="O16" s="45"/>
    </row>
    <row r="17" spans="2:15" ht="14.5">
      <c r="B17" s="255" t="s">
        <v>168</v>
      </c>
      <c r="C17" s="258" t="s">
        <v>671</v>
      </c>
      <c r="D17" s="45"/>
      <c r="E17" s="257" t="s">
        <v>659</v>
      </c>
      <c r="F17" s="1431"/>
      <c r="G17" s="253" t="s">
        <v>216</v>
      </c>
      <c r="H17" s="45"/>
      <c r="I17" s="45"/>
      <c r="J17" s="45"/>
      <c r="K17" s="45"/>
      <c r="L17" s="45"/>
      <c r="M17" s="45"/>
      <c r="N17" s="45"/>
      <c r="O17" s="45"/>
    </row>
    <row r="18" spans="2:15" ht="14.5">
      <c r="B18" s="255"/>
      <c r="C18" s="258" t="s">
        <v>674</v>
      </c>
      <c r="D18" s="642"/>
      <c r="E18" s="257" t="s">
        <v>670</v>
      </c>
      <c r="F18" s="1403"/>
      <c r="G18" s="253" t="s">
        <v>216</v>
      </c>
      <c r="H18" s="45"/>
      <c r="I18" s="45"/>
      <c r="J18" s="45"/>
      <c r="K18" s="45"/>
      <c r="L18" s="45"/>
      <c r="M18" s="45"/>
      <c r="N18" s="45"/>
      <c r="O18" s="45"/>
    </row>
    <row r="19" spans="2:15" ht="14.5">
      <c r="B19" s="255"/>
      <c r="C19" s="2373" t="s">
        <v>662</v>
      </c>
      <c r="D19" s="2373"/>
      <c r="E19" s="257" t="s">
        <v>660</v>
      </c>
      <c r="F19" s="1403"/>
      <c r="G19" s="253" t="s">
        <v>216</v>
      </c>
      <c r="H19" s="45"/>
      <c r="I19" s="45"/>
      <c r="J19" s="45"/>
      <c r="K19" s="45"/>
      <c r="L19" s="45"/>
      <c r="M19" s="45"/>
      <c r="N19" s="45"/>
      <c r="O19" s="45"/>
    </row>
    <row r="20" spans="2:15" ht="14.5">
      <c r="B20" s="255"/>
      <c r="C20" s="643" t="s">
        <v>672</v>
      </c>
      <c r="D20" s="45"/>
      <c r="E20" s="257" t="s">
        <v>665</v>
      </c>
      <c r="F20" s="270">
        <f>F17-F18</f>
        <v>0</v>
      </c>
      <c r="G20" s="253" t="s">
        <v>216</v>
      </c>
      <c r="H20" s="45"/>
      <c r="I20" s="45"/>
      <c r="J20" s="45"/>
      <c r="K20" s="45"/>
      <c r="L20" s="45"/>
      <c r="M20" s="45"/>
      <c r="N20" s="45"/>
      <c r="O20" s="45"/>
    </row>
    <row r="21" spans="2:15" ht="17.5">
      <c r="B21" s="255"/>
      <c r="C21" s="265" t="s">
        <v>673</v>
      </c>
      <c r="D21" s="45"/>
      <c r="E21" s="266" t="s">
        <v>666</v>
      </c>
      <c r="F21" s="269">
        <f>F20+F19</f>
        <v>0</v>
      </c>
      <c r="G21" s="256" t="s">
        <v>216</v>
      </c>
      <c r="H21" s="45"/>
      <c r="I21" s="45"/>
      <c r="J21" s="45"/>
      <c r="K21" s="45"/>
      <c r="L21" s="45"/>
      <c r="M21" s="45"/>
      <c r="N21" s="45"/>
      <c r="O21" s="45"/>
    </row>
    <row r="22" spans="2:15" ht="14.5">
      <c r="B22" s="255"/>
      <c r="C22" s="258"/>
      <c r="D22" s="45"/>
      <c r="E22" s="257"/>
      <c r="F22" s="45"/>
      <c r="G22" s="253"/>
      <c r="H22" s="45"/>
      <c r="I22" s="45"/>
      <c r="J22" s="45"/>
      <c r="K22" s="45"/>
      <c r="L22" s="45"/>
      <c r="M22" s="45"/>
      <c r="N22" s="45"/>
      <c r="O22" s="45"/>
    </row>
    <row r="23" spans="2:15" ht="17.5">
      <c r="B23" s="255" t="s">
        <v>652</v>
      </c>
      <c r="C23" s="258" t="s">
        <v>663</v>
      </c>
      <c r="D23" s="45"/>
      <c r="E23" s="257" t="s">
        <v>646</v>
      </c>
      <c r="F23" s="1403"/>
      <c r="G23" s="253" t="s">
        <v>459</v>
      </c>
      <c r="H23" s="45"/>
      <c r="I23" s="45"/>
      <c r="J23" s="45"/>
      <c r="K23" s="45"/>
      <c r="L23" s="45"/>
      <c r="M23" s="1"/>
      <c r="N23" s="45"/>
      <c r="O23" s="45"/>
    </row>
    <row r="24" spans="2:15" ht="17.5">
      <c r="B24" s="255" t="s">
        <v>174</v>
      </c>
      <c r="C24" s="258" t="s">
        <v>664</v>
      </c>
      <c r="D24" s="45"/>
      <c r="E24" s="260" t="s">
        <v>5</v>
      </c>
      <c r="F24" s="270" t="str">
        <f>IF(F23&gt;0,D40,"-")</f>
        <v>-</v>
      </c>
      <c r="G24" s="253" t="s">
        <v>127</v>
      </c>
      <c r="H24" s="268"/>
      <c r="I24" s="45"/>
      <c r="J24" s="45"/>
      <c r="K24" s="45"/>
      <c r="L24" s="45"/>
      <c r="M24" s="45"/>
      <c r="N24" s="45"/>
      <c r="O24" s="45"/>
    </row>
    <row r="25" spans="2:15" ht="17.5">
      <c r="B25" s="255"/>
      <c r="C25" s="763"/>
      <c r="D25" s="45"/>
      <c r="E25" s="266" t="s">
        <v>667</v>
      </c>
      <c r="F25" s="269" t="str">
        <f>IF(F24="-","-",F24/9.8)</f>
        <v>-</v>
      </c>
      <c r="G25" s="256" t="s">
        <v>216</v>
      </c>
      <c r="H25" s="45"/>
      <c r="I25" s="45"/>
      <c r="J25" s="45"/>
      <c r="K25" s="45"/>
      <c r="L25" s="45"/>
      <c r="M25" s="45"/>
      <c r="N25" s="45"/>
      <c r="O25" s="45"/>
    </row>
    <row r="26" spans="2:15" ht="14.5">
      <c r="B26" s="255"/>
      <c r="C26" s="258"/>
      <c r="D26" s="45"/>
      <c r="E26" s="257"/>
      <c r="F26" s="269"/>
      <c r="G26" s="253"/>
      <c r="H26" s="45"/>
      <c r="I26" s="45"/>
      <c r="J26" s="45"/>
      <c r="K26" s="45"/>
      <c r="L26" s="45"/>
      <c r="M26" s="45"/>
      <c r="N26" s="45"/>
      <c r="O26" s="45"/>
    </row>
    <row r="27" spans="2:15" ht="17.5">
      <c r="B27" s="255" t="s">
        <v>653</v>
      </c>
      <c r="C27" s="45" t="s">
        <v>658</v>
      </c>
      <c r="D27" s="45"/>
      <c r="E27" s="266" t="s">
        <v>668</v>
      </c>
      <c r="F27" s="1423"/>
      <c r="G27" s="256" t="s">
        <v>216</v>
      </c>
      <c r="H27" s="45"/>
      <c r="I27" s="45"/>
      <c r="J27" s="45"/>
      <c r="K27" s="45"/>
      <c r="L27" s="45"/>
      <c r="M27" s="45"/>
      <c r="N27" s="45"/>
      <c r="O27" s="45"/>
    </row>
    <row r="28" spans="2:15" ht="13">
      <c r="B28" s="255"/>
      <c r="C28" s="45"/>
      <c r="D28" s="45"/>
      <c r="E28" s="45"/>
      <c r="F28" s="253"/>
      <c r="G28" s="253"/>
      <c r="H28" s="45"/>
      <c r="I28" s="45"/>
      <c r="J28" s="45"/>
      <c r="K28" s="45"/>
      <c r="L28" s="45"/>
      <c r="M28" s="45"/>
      <c r="N28" s="45"/>
      <c r="O28" s="45"/>
    </row>
    <row r="29" spans="2:15" ht="17.5">
      <c r="B29" s="255" t="s">
        <v>654</v>
      </c>
      <c r="C29" s="2374" t="s">
        <v>1984</v>
      </c>
      <c r="D29" s="2374"/>
      <c r="E29" s="1434" t="s">
        <v>5</v>
      </c>
      <c r="F29" s="1056" t="str">
        <f>IF(OR(F15="-",F25="-"),"-",F15+F21-F25-F27)</f>
        <v>-</v>
      </c>
      <c r="G29" s="1435" t="s">
        <v>216</v>
      </c>
      <c r="H29" s="45"/>
      <c r="I29" s="45"/>
      <c r="J29" s="45"/>
      <c r="K29" s="45"/>
      <c r="L29" s="45"/>
      <c r="M29" s="45"/>
      <c r="N29" s="45"/>
      <c r="O29" s="45"/>
    </row>
    <row r="30" spans="2:15" ht="13">
      <c r="B30" s="255"/>
      <c r="C30" s="45"/>
      <c r="D30" s="45"/>
      <c r="E30" s="45"/>
      <c r="F30" s="253"/>
      <c r="G30" s="253"/>
      <c r="H30" s="45"/>
      <c r="I30" s="45"/>
      <c r="J30" s="45"/>
      <c r="K30" s="45"/>
      <c r="L30" s="45"/>
      <c r="M30" s="45"/>
      <c r="N30" s="45"/>
      <c r="O30" s="45"/>
    </row>
    <row r="31" spans="2:15" ht="17.5">
      <c r="B31" s="255" t="s">
        <v>655</v>
      </c>
      <c r="C31" s="258" t="s">
        <v>649</v>
      </c>
      <c r="D31" s="259"/>
      <c r="E31" s="260" t="s">
        <v>651</v>
      </c>
      <c r="F31" s="1403"/>
      <c r="G31" s="253" t="s">
        <v>216</v>
      </c>
      <c r="H31" s="45"/>
      <c r="I31" s="45"/>
      <c r="J31" s="45"/>
      <c r="K31" s="45"/>
      <c r="L31" s="45"/>
      <c r="M31" s="45"/>
      <c r="N31" s="45"/>
      <c r="O31" s="45"/>
    </row>
    <row r="32" spans="2:15" ht="13">
      <c r="B32" s="255"/>
      <c r="C32" s="45"/>
      <c r="D32" s="45"/>
      <c r="E32" s="45"/>
      <c r="F32" s="45"/>
      <c r="G32" s="253"/>
      <c r="H32" s="45"/>
      <c r="I32" s="45"/>
      <c r="J32" s="45"/>
      <c r="K32" s="45"/>
      <c r="L32" s="45"/>
      <c r="M32" s="45"/>
      <c r="N32" s="45"/>
      <c r="O32" s="45"/>
    </row>
    <row r="33" spans="2:15" ht="17.5">
      <c r="B33" s="255" t="s">
        <v>656</v>
      </c>
      <c r="C33" s="263" t="s">
        <v>650</v>
      </c>
      <c r="D33" s="264"/>
      <c r="E33" s="640" t="s">
        <v>5</v>
      </c>
      <c r="F33" s="1432" t="str">
        <f>IF(F29="-","-",F29-F31)</f>
        <v>-</v>
      </c>
      <c r="G33" s="641" t="s">
        <v>648</v>
      </c>
      <c r="H33" s="271"/>
      <c r="I33" s="45"/>
      <c r="J33" s="45"/>
      <c r="K33" s="45"/>
      <c r="L33" s="45"/>
      <c r="M33" s="45"/>
      <c r="N33" s="45"/>
      <c r="O33" s="45"/>
    </row>
    <row r="34" spans="2:15">
      <c r="B34" s="45"/>
      <c r="C34" s="45"/>
      <c r="D34" s="45"/>
      <c r="E34" s="45"/>
      <c r="F34" s="45"/>
      <c r="G34" s="45"/>
      <c r="H34" s="45"/>
      <c r="I34" s="45"/>
      <c r="J34" s="45"/>
      <c r="K34" s="45"/>
      <c r="L34" s="45"/>
      <c r="M34" s="45"/>
      <c r="N34" s="45"/>
      <c r="O34" s="45"/>
    </row>
    <row r="35" spans="2:15" ht="13">
      <c r="B35" s="45"/>
      <c r="C35" s="2375" t="str">
        <f>"NPSH " &amp;IF(F33&gt;=0,"≥ 0 ","≤ 0") &amp;"; Cavitation:"</f>
        <v>NPSH ≥ 0 ; Cavitation:</v>
      </c>
      <c r="D35" s="2375"/>
      <c r="E35" s="2376"/>
      <c r="F35" s="2377" t="str">
        <f>IF(F33="-","-",IF(F33&gt;=0,"NO","YES"))</f>
        <v>-</v>
      </c>
      <c r="G35" s="1433"/>
      <c r="H35" s="45"/>
      <c r="I35" s="45"/>
      <c r="J35" s="45"/>
      <c r="K35" s="45"/>
      <c r="L35" s="45"/>
      <c r="M35" s="45"/>
      <c r="N35" s="45"/>
      <c r="O35" s="45"/>
    </row>
    <row r="36" spans="2:15" ht="13">
      <c r="B36" s="45"/>
      <c r="C36" s="2375"/>
      <c r="D36" s="2375"/>
      <c r="E36" s="2376"/>
      <c r="F36" s="2378"/>
      <c r="G36" s="1433"/>
      <c r="H36" s="45"/>
      <c r="I36" s="45"/>
      <c r="J36" s="45"/>
      <c r="K36" s="45"/>
      <c r="L36" s="45"/>
      <c r="M36" s="45"/>
      <c r="N36" s="45"/>
      <c r="O36" s="45"/>
    </row>
    <row r="37" spans="2:15">
      <c r="B37" s="45"/>
      <c r="C37" s="45"/>
      <c r="D37" s="45"/>
      <c r="E37" s="45"/>
      <c r="F37" s="45"/>
      <c r="G37" s="45"/>
      <c r="H37" s="45"/>
      <c r="I37" s="45"/>
      <c r="J37" s="45"/>
      <c r="K37" s="45"/>
      <c r="L37" s="45"/>
      <c r="M37" s="45"/>
      <c r="N37" s="45"/>
      <c r="O37" s="45"/>
    </row>
    <row r="40" spans="2:15" s="273" customFormat="1" hidden="1">
      <c r="C40" s="274">
        <f>F23</f>
        <v>0</v>
      </c>
      <c r="D40" s="275" t="e">
        <f>INDEX(D44:D114,C41) + (C40-INDEX(C44:C114,C41)) * (INDEX(D44:D114,C41+1)-INDEX(D44:D114,C41)) / (INDEX(C44:C114,C41+1)-INDEX(C44:C114,C41))</f>
        <v>#N/A</v>
      </c>
    </row>
    <row r="41" spans="2:15" s="273" customFormat="1" hidden="1">
      <c r="C41" s="273" t="e">
        <f>MATCH(C40,C44:C114)</f>
        <v>#N/A</v>
      </c>
      <c r="D41" s="272"/>
      <c r="E41" s="272"/>
      <c r="F41" s="274"/>
      <c r="G41" s="275"/>
    </row>
    <row r="42" spans="2:15" s="273" customFormat="1" hidden="1">
      <c r="C42" s="272"/>
      <c r="D42" s="272"/>
      <c r="E42" s="272"/>
    </row>
    <row r="43" spans="2:15" s="273" customFormat="1" hidden="1">
      <c r="C43" s="272"/>
      <c r="D43" s="272"/>
      <c r="E43" s="272"/>
    </row>
    <row r="44" spans="2:15" s="273" customFormat="1" hidden="1">
      <c r="C44" s="273">
        <v>0.01</v>
      </c>
      <c r="D44" s="273">
        <v>0.61129999999999995</v>
      </c>
      <c r="E44" s="272"/>
    </row>
    <row r="45" spans="2:15" s="273" customFormat="1" hidden="1">
      <c r="C45" s="273">
        <v>5</v>
      </c>
      <c r="D45" s="273">
        <v>0.87209999999999999</v>
      </c>
      <c r="E45" s="272"/>
    </row>
    <row r="46" spans="2:15" s="273" customFormat="1" hidden="1">
      <c r="C46" s="273">
        <v>10</v>
      </c>
      <c r="D46" s="273">
        <v>1.2276</v>
      </c>
      <c r="E46" s="272"/>
    </row>
    <row r="47" spans="2:15" s="273" customFormat="1" hidden="1">
      <c r="C47" s="273">
        <v>15</v>
      </c>
      <c r="D47" s="273">
        <v>1.7051000000000001</v>
      </c>
      <c r="E47" s="272"/>
    </row>
    <row r="48" spans="2:15" s="273" customFormat="1" hidden="1">
      <c r="C48" s="273">
        <v>20</v>
      </c>
      <c r="D48" s="273">
        <v>2.339</v>
      </c>
      <c r="E48" s="272"/>
    </row>
    <row r="49" spans="3:5" s="273" customFormat="1" hidden="1">
      <c r="C49" s="273">
        <v>25</v>
      </c>
      <c r="D49" s="273">
        <v>3.169</v>
      </c>
      <c r="E49" s="272"/>
    </row>
    <row r="50" spans="3:5" s="273" customFormat="1" hidden="1">
      <c r="C50" s="273">
        <v>30</v>
      </c>
      <c r="D50" s="273">
        <v>4.2460000000000004</v>
      </c>
      <c r="E50" s="272"/>
    </row>
    <row r="51" spans="3:5" s="273" customFormat="1" hidden="1">
      <c r="C51" s="273">
        <v>35</v>
      </c>
      <c r="D51" s="273">
        <v>5.6280000000000001</v>
      </c>
      <c r="E51" s="272"/>
    </row>
    <row r="52" spans="3:5" s="273" customFormat="1" hidden="1">
      <c r="C52" s="273">
        <v>40</v>
      </c>
      <c r="D52" s="273">
        <v>7.3840000000000003</v>
      </c>
      <c r="E52" s="272"/>
    </row>
    <row r="53" spans="3:5" s="273" customFormat="1" hidden="1">
      <c r="C53" s="273">
        <v>45</v>
      </c>
      <c r="D53" s="273">
        <v>9.593</v>
      </c>
      <c r="E53" s="272"/>
    </row>
    <row r="54" spans="3:5" s="273" customFormat="1" hidden="1">
      <c r="C54" s="273">
        <v>50</v>
      </c>
      <c r="D54" s="273">
        <v>12.349</v>
      </c>
      <c r="E54" s="272"/>
    </row>
    <row r="55" spans="3:5" s="273" customFormat="1" hidden="1">
      <c r="C55" s="273">
        <v>55</v>
      </c>
      <c r="D55" s="273">
        <v>15.757999999999999</v>
      </c>
      <c r="E55" s="272"/>
    </row>
    <row r="56" spans="3:5" s="273" customFormat="1" hidden="1">
      <c r="C56" s="273">
        <v>60</v>
      </c>
      <c r="D56" s="273">
        <v>19.940000000000001</v>
      </c>
      <c r="E56" s="272"/>
    </row>
    <row r="57" spans="3:5" s="273" customFormat="1" hidden="1">
      <c r="C57" s="273">
        <v>65</v>
      </c>
      <c r="D57" s="273">
        <v>25.03</v>
      </c>
      <c r="E57" s="272"/>
    </row>
    <row r="58" spans="3:5" s="273" customFormat="1" hidden="1">
      <c r="C58" s="273">
        <v>70</v>
      </c>
      <c r="D58" s="273">
        <v>31.19</v>
      </c>
      <c r="E58" s="272"/>
    </row>
    <row r="59" spans="3:5" s="273" customFormat="1" hidden="1">
      <c r="C59" s="273">
        <v>75</v>
      </c>
      <c r="D59" s="273">
        <v>38.58</v>
      </c>
      <c r="E59" s="272"/>
    </row>
    <row r="60" spans="3:5" s="273" customFormat="1" hidden="1">
      <c r="C60" s="273">
        <v>80</v>
      </c>
      <c r="D60" s="273">
        <v>47.39</v>
      </c>
      <c r="E60" s="272"/>
    </row>
    <row r="61" spans="3:5" s="273" customFormat="1" hidden="1">
      <c r="C61" s="273">
        <v>85</v>
      </c>
      <c r="D61" s="273">
        <v>57.83</v>
      </c>
      <c r="E61" s="272"/>
    </row>
    <row r="62" spans="3:5" s="273" customFormat="1" hidden="1">
      <c r="C62" s="273">
        <v>90</v>
      </c>
      <c r="D62" s="273">
        <v>70.14</v>
      </c>
      <c r="E62" s="272"/>
    </row>
    <row r="63" spans="3:5" s="273" customFormat="1" hidden="1">
      <c r="C63" s="273">
        <v>95</v>
      </c>
      <c r="D63" s="273">
        <v>84.55</v>
      </c>
      <c r="E63" s="272"/>
    </row>
    <row r="64" spans="3:5" s="273" customFormat="1" hidden="1">
      <c r="C64" s="273">
        <v>100</v>
      </c>
      <c r="D64" s="273">
        <v>101.35</v>
      </c>
      <c r="E64" s="272"/>
    </row>
    <row r="65" spans="3:5" s="273" customFormat="1" hidden="1">
      <c r="C65" s="273">
        <v>105</v>
      </c>
      <c r="D65" s="273">
        <v>120.82</v>
      </c>
      <c r="E65" s="272"/>
    </row>
    <row r="66" spans="3:5" s="273" customFormat="1" hidden="1">
      <c r="C66" s="273">
        <v>110</v>
      </c>
      <c r="D66" s="273">
        <v>143.27000000000001</v>
      </c>
      <c r="E66" s="272"/>
    </row>
    <row r="67" spans="3:5" s="273" customFormat="1" hidden="1">
      <c r="C67" s="273">
        <v>115</v>
      </c>
      <c r="D67" s="273">
        <v>169.06</v>
      </c>
      <c r="E67" s="272"/>
    </row>
    <row r="68" spans="3:5" s="273" customFormat="1" hidden="1">
      <c r="C68" s="273">
        <v>120</v>
      </c>
      <c r="D68" s="273">
        <v>198.53</v>
      </c>
      <c r="E68" s="272"/>
    </row>
    <row r="69" spans="3:5" s="273" customFormat="1" hidden="1">
      <c r="C69" s="273">
        <v>125</v>
      </c>
      <c r="D69" s="273">
        <v>232.1</v>
      </c>
      <c r="E69" s="272"/>
    </row>
    <row r="70" spans="3:5" s="273" customFormat="1" hidden="1">
      <c r="C70" s="273">
        <v>130</v>
      </c>
      <c r="D70" s="273">
        <v>270.10000000000002</v>
      </c>
      <c r="E70" s="272"/>
    </row>
    <row r="71" spans="3:5" s="273" customFormat="1" hidden="1">
      <c r="C71" s="273">
        <v>135</v>
      </c>
      <c r="D71" s="273">
        <v>313</v>
      </c>
      <c r="E71" s="272"/>
    </row>
    <row r="72" spans="3:5" s="273" customFormat="1" hidden="1">
      <c r="C72" s="273">
        <v>140</v>
      </c>
      <c r="D72" s="273">
        <v>361.3</v>
      </c>
      <c r="E72" s="272"/>
    </row>
    <row r="73" spans="3:5" s="273" customFormat="1" hidden="1">
      <c r="C73" s="273">
        <v>145</v>
      </c>
      <c r="D73" s="273">
        <v>415.4</v>
      </c>
      <c r="E73" s="272"/>
    </row>
    <row r="74" spans="3:5" s="273" customFormat="1" hidden="1">
      <c r="C74" s="273">
        <v>150</v>
      </c>
      <c r="D74" s="273">
        <v>475.8</v>
      </c>
      <c r="E74" s="272"/>
    </row>
    <row r="75" spans="3:5" s="273" customFormat="1" hidden="1">
      <c r="C75" s="273">
        <v>155</v>
      </c>
      <c r="D75" s="273">
        <v>543.1</v>
      </c>
      <c r="E75" s="272"/>
    </row>
    <row r="76" spans="3:5" s="273" customFormat="1" hidden="1">
      <c r="C76" s="273">
        <v>160</v>
      </c>
      <c r="D76" s="273">
        <v>617.80000000000007</v>
      </c>
      <c r="E76" s="272"/>
    </row>
    <row r="77" spans="3:5" s="273" customFormat="1" hidden="1">
      <c r="C77" s="273">
        <v>165</v>
      </c>
      <c r="D77" s="273">
        <v>700.5</v>
      </c>
      <c r="E77" s="272"/>
    </row>
    <row r="78" spans="3:5" s="273" customFormat="1" hidden="1">
      <c r="C78" s="273">
        <v>170</v>
      </c>
      <c r="D78" s="273">
        <v>791.69999999999993</v>
      </c>
      <c r="E78" s="272"/>
    </row>
    <row r="79" spans="3:5" s="273" customFormat="1" hidden="1">
      <c r="C79" s="273">
        <v>175</v>
      </c>
      <c r="D79" s="273">
        <v>892</v>
      </c>
      <c r="E79" s="272"/>
    </row>
    <row r="80" spans="3:5" s="273" customFormat="1" hidden="1">
      <c r="C80" s="273">
        <v>180</v>
      </c>
      <c r="D80" s="273">
        <v>1002.1</v>
      </c>
      <c r="E80" s="272"/>
    </row>
    <row r="81" spans="3:5" s="273" customFormat="1" hidden="1">
      <c r="C81" s="273">
        <v>185</v>
      </c>
      <c r="D81" s="273">
        <v>1122.7</v>
      </c>
      <c r="E81" s="272"/>
    </row>
    <row r="82" spans="3:5" s="273" customFormat="1" hidden="1">
      <c r="C82" s="273">
        <v>190</v>
      </c>
      <c r="D82" s="273">
        <v>1254.3999999999999</v>
      </c>
      <c r="E82" s="272"/>
    </row>
    <row r="83" spans="3:5" s="273" customFormat="1" hidden="1">
      <c r="C83" s="273">
        <v>195</v>
      </c>
      <c r="D83" s="273">
        <v>1397.8</v>
      </c>
      <c r="E83" s="272"/>
    </row>
    <row r="84" spans="3:5" s="273" customFormat="1" hidden="1">
      <c r="C84" s="273">
        <v>200</v>
      </c>
      <c r="D84" s="273">
        <v>1553.8000000000002</v>
      </c>
      <c r="E84" s="272"/>
    </row>
    <row r="85" spans="3:5" s="273" customFormat="1" hidden="1">
      <c r="C85" s="273">
        <v>205</v>
      </c>
      <c r="D85" s="273">
        <v>1723</v>
      </c>
      <c r="E85" s="272"/>
    </row>
    <row r="86" spans="3:5" s="273" customFormat="1" hidden="1">
      <c r="C86" s="273">
        <v>210</v>
      </c>
      <c r="D86" s="273">
        <v>1906.1999999999998</v>
      </c>
      <c r="E86" s="272"/>
    </row>
    <row r="87" spans="3:5" s="273" customFormat="1" hidden="1">
      <c r="C87" s="273">
        <v>215</v>
      </c>
      <c r="D87" s="273">
        <v>2104</v>
      </c>
      <c r="E87" s="272"/>
    </row>
    <row r="88" spans="3:5" s="273" customFormat="1" hidden="1">
      <c r="C88" s="273">
        <v>220</v>
      </c>
      <c r="D88" s="273">
        <v>2318</v>
      </c>
      <c r="E88" s="272"/>
    </row>
    <row r="89" spans="3:5" s="273" customFormat="1" hidden="1">
      <c r="C89" s="273">
        <v>225</v>
      </c>
      <c r="D89" s="273">
        <v>2548</v>
      </c>
      <c r="E89" s="272"/>
    </row>
    <row r="90" spans="3:5" s="273" customFormat="1" hidden="1">
      <c r="C90" s="273">
        <v>230</v>
      </c>
      <c r="D90" s="273">
        <v>2795</v>
      </c>
      <c r="E90" s="272"/>
    </row>
    <row r="91" spans="3:5" s="273" customFormat="1" hidden="1">
      <c r="C91" s="273">
        <v>235</v>
      </c>
      <c r="D91" s="273">
        <v>3060</v>
      </c>
      <c r="E91" s="272"/>
    </row>
    <row r="92" spans="3:5" s="273" customFormat="1" hidden="1">
      <c r="C92" s="273">
        <v>240</v>
      </c>
      <c r="D92" s="273">
        <v>3344</v>
      </c>
      <c r="E92" s="272"/>
    </row>
    <row r="93" spans="3:5" s="273" customFormat="1" hidden="1">
      <c r="C93" s="273">
        <v>245</v>
      </c>
      <c r="D93" s="273">
        <v>3648</v>
      </c>
      <c r="E93" s="272"/>
    </row>
    <row r="94" spans="3:5" s="273" customFormat="1" hidden="1">
      <c r="C94" s="273">
        <v>250</v>
      </c>
      <c r="D94" s="273">
        <v>3973</v>
      </c>
      <c r="E94" s="272"/>
    </row>
    <row r="95" spans="3:5" s="273" customFormat="1" hidden="1">
      <c r="C95" s="273">
        <v>255</v>
      </c>
      <c r="D95" s="273">
        <v>4319</v>
      </c>
      <c r="E95" s="272"/>
    </row>
    <row r="96" spans="3:5" s="273" customFormat="1" hidden="1">
      <c r="C96" s="273">
        <v>260</v>
      </c>
      <c r="D96" s="273">
        <v>4688</v>
      </c>
      <c r="E96" s="272"/>
    </row>
    <row r="97" spans="3:5" s="273" customFormat="1" hidden="1">
      <c r="C97" s="273">
        <v>265</v>
      </c>
      <c r="D97" s="273">
        <v>5081</v>
      </c>
      <c r="E97" s="272"/>
    </row>
    <row r="98" spans="3:5" s="273" customFormat="1" hidden="1">
      <c r="C98" s="273">
        <v>270</v>
      </c>
      <c r="D98" s="273">
        <v>5499</v>
      </c>
      <c r="E98" s="272"/>
    </row>
    <row r="99" spans="3:5" s="273" customFormat="1" hidden="1">
      <c r="C99" s="273">
        <v>275</v>
      </c>
      <c r="D99" s="273">
        <v>5942</v>
      </c>
      <c r="E99" s="272"/>
    </row>
    <row r="100" spans="3:5" s="273" customFormat="1" hidden="1">
      <c r="C100" s="273">
        <v>280</v>
      </c>
      <c r="D100" s="273">
        <v>6412</v>
      </c>
      <c r="E100" s="272"/>
    </row>
    <row r="101" spans="3:5" s="273" customFormat="1" hidden="1">
      <c r="C101" s="273">
        <v>285</v>
      </c>
      <c r="D101" s="273">
        <v>6909</v>
      </c>
      <c r="E101" s="272"/>
    </row>
    <row r="102" spans="3:5" s="273" customFormat="1" hidden="1">
      <c r="C102" s="273">
        <v>290</v>
      </c>
      <c r="D102" s="273">
        <v>7436</v>
      </c>
      <c r="E102" s="272"/>
    </row>
    <row r="103" spans="3:5" s="273" customFormat="1" hidden="1">
      <c r="C103" s="273">
        <v>295</v>
      </c>
      <c r="D103" s="273">
        <v>7993</v>
      </c>
      <c r="E103" s="272"/>
    </row>
    <row r="104" spans="3:5" s="273" customFormat="1" hidden="1">
      <c r="C104" s="273">
        <v>300</v>
      </c>
      <c r="D104" s="273">
        <v>8581</v>
      </c>
      <c r="E104" s="272"/>
    </row>
    <row r="105" spans="3:5" s="273" customFormat="1" hidden="1">
      <c r="C105" s="273">
        <v>305</v>
      </c>
      <c r="D105" s="273">
        <v>9202</v>
      </c>
      <c r="E105" s="272"/>
    </row>
    <row r="106" spans="3:5" s="273" customFormat="1" hidden="1">
      <c r="C106" s="273">
        <v>310</v>
      </c>
      <c r="D106" s="273">
        <v>9856</v>
      </c>
      <c r="E106" s="272"/>
    </row>
    <row r="107" spans="3:5" s="273" customFormat="1" hidden="1">
      <c r="C107" s="273">
        <v>315</v>
      </c>
      <c r="D107" s="273">
        <v>10547</v>
      </c>
      <c r="E107" s="272"/>
    </row>
    <row r="108" spans="3:5" s="273" customFormat="1" hidden="1">
      <c r="C108" s="273">
        <v>320</v>
      </c>
      <c r="D108" s="273">
        <v>11274</v>
      </c>
      <c r="E108" s="272"/>
    </row>
    <row r="109" spans="3:5" s="273" customFormat="1" hidden="1">
      <c r="C109" s="273">
        <v>330</v>
      </c>
      <c r="D109" s="273">
        <v>12845</v>
      </c>
      <c r="E109" s="272"/>
    </row>
    <row r="110" spans="3:5" s="273" customFormat="1" hidden="1">
      <c r="C110" s="273">
        <v>340</v>
      </c>
      <c r="D110" s="273">
        <v>14586</v>
      </c>
      <c r="E110" s="272"/>
    </row>
    <row r="111" spans="3:5" s="273" customFormat="1" hidden="1">
      <c r="C111" s="273">
        <v>350</v>
      </c>
      <c r="D111" s="273">
        <v>16513</v>
      </c>
      <c r="E111" s="272"/>
    </row>
    <row r="112" spans="3:5" s="273" customFormat="1" hidden="1">
      <c r="C112" s="273">
        <v>360</v>
      </c>
      <c r="D112" s="273">
        <v>18651</v>
      </c>
      <c r="E112" s="272"/>
    </row>
    <row r="113" spans="3:5" s="273" customFormat="1" hidden="1">
      <c r="C113" s="273">
        <v>370</v>
      </c>
      <c r="D113" s="273">
        <v>21030</v>
      </c>
      <c r="E113" s="272"/>
    </row>
    <row r="114" spans="3:5" s="273" customFormat="1" hidden="1">
      <c r="C114" s="273">
        <v>374.14</v>
      </c>
      <c r="D114" s="273">
        <v>22090</v>
      </c>
    </row>
  </sheetData>
  <sheetProtection password="DFE4" sheet="1" objects="1" scenarios="1" selectLockedCells="1"/>
  <mergeCells count="4">
    <mergeCell ref="C19:D19"/>
    <mergeCell ref="C29:D29"/>
    <mergeCell ref="C35:E36"/>
    <mergeCell ref="F35:F36"/>
  </mergeCells>
  <phoneticPr fontId="143" type="noConversion"/>
  <conditionalFormatting sqref="F35">
    <cfRule type="cellIs" dxfId="0" priority="1" operator="equal">
      <formula>"YES"</formula>
    </cfRule>
  </conditionalFormatting>
  <dataValidations count="2">
    <dataValidation allowBlank="1" sqref="F24" xr:uid="{00000000-0002-0000-1E00-000000000000}"/>
    <dataValidation allowBlank="1" showInputMessage="1" showErrorMessage="1" prompt="For vertical pump, x= 0.3~0.5m" sqref="F18" xr:uid="{00000000-0002-0000-1E00-000001000000}"/>
  </dataValidations>
  <pageMargins left="0.75" right="0.75" top="1" bottom="1" header="0.5" footer="0.5"/>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autoFill="0" autoPict="0" macro="[0]!Home">
                <anchor moveWithCells="1">
                  <from>
                    <xdr:col>12</xdr:col>
                    <xdr:colOff>127000</xdr:colOff>
                    <xdr:row>2</xdr:row>
                    <xdr:rowOff>133350</xdr:rowOff>
                  </from>
                  <to>
                    <xdr:col>13</xdr:col>
                    <xdr:colOff>298450</xdr:colOff>
                    <xdr:row>4</xdr:row>
                    <xdr:rowOff>133350</xdr:rowOff>
                  </to>
                </anchor>
              </controlPr>
            </control>
          </mc:Choice>
        </mc:AlternateContent>
        <mc:AlternateContent xmlns:mc="http://schemas.openxmlformats.org/markup-compatibility/2006">
          <mc:Choice Requires="x14">
            <control shapeId="110594" r:id="rId5" name="Button 2">
              <controlPr defaultSize="0" autoFill="0" autoPict="0" macro="[0]!NPSH_Clear">
                <anchor moveWithCells="1">
                  <from>
                    <xdr:col>12</xdr:col>
                    <xdr:colOff>127000</xdr:colOff>
                    <xdr:row>5</xdr:row>
                    <xdr:rowOff>19050</xdr:rowOff>
                  </from>
                  <to>
                    <xdr:col>13</xdr:col>
                    <xdr:colOff>298450</xdr:colOff>
                    <xdr:row>6</xdr:row>
                    <xdr:rowOff>184150</xdr:rowOff>
                  </to>
                </anchor>
              </controlPr>
            </control>
          </mc:Choice>
        </mc:AlternateContent>
        <mc:AlternateContent xmlns:mc="http://schemas.openxmlformats.org/markup-compatibility/2006">
          <mc:Choice Requires="x14">
            <control shapeId="110595" r:id="rId6" name="Button 3">
              <controlPr defaultSize="0" autoFill="0" autoPict="0" macro="[0]!NPSH">
                <anchor moveWithCells="1">
                  <from>
                    <xdr:col>12</xdr:col>
                    <xdr:colOff>127000</xdr:colOff>
                    <xdr:row>7</xdr:row>
                    <xdr:rowOff>0</xdr:rowOff>
                  </from>
                  <to>
                    <xdr:col>13</xdr:col>
                    <xdr:colOff>298450</xdr:colOff>
                    <xdr:row>8</xdr:row>
                    <xdr:rowOff>95250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8">
    <tabColor theme="3" tint="0.39997558519241921"/>
    <pageSetUpPr fitToPage="1"/>
  </sheetPr>
  <dimension ref="B2:P40"/>
  <sheetViews>
    <sheetView showGridLines="0" showRowColHeaders="0" zoomScaleNormal="100" workbookViewId="0"/>
  </sheetViews>
  <sheetFormatPr defaultColWidth="9.1796875" defaultRowHeight="12.5"/>
  <cols>
    <col min="1" max="1" width="2.7265625" style="453" customWidth="1"/>
    <col min="2" max="2" width="20.54296875" style="453" bestFit="1" customWidth="1"/>
    <col min="3" max="3" width="7.453125" style="451" customWidth="1"/>
    <col min="4" max="4" width="2.1796875" style="452" bestFit="1" customWidth="1"/>
    <col min="5" max="5" width="6" style="452" bestFit="1" customWidth="1"/>
    <col min="6" max="6" width="6" style="451" bestFit="1" customWidth="1"/>
    <col min="7" max="7" width="4.26953125" style="451" customWidth="1"/>
    <col min="8" max="8" width="3.26953125" style="451" bestFit="1" customWidth="1"/>
    <col min="9" max="9" width="30.81640625" style="451" bestFit="1" customWidth="1"/>
    <col min="10" max="10" width="6.7265625" style="451" customWidth="1"/>
    <col min="11" max="11" width="2.1796875" style="451" bestFit="1" customWidth="1"/>
    <col min="12" max="12" width="6.7265625" style="451" customWidth="1"/>
    <col min="13" max="13" width="6.7265625" style="453" customWidth="1"/>
    <col min="14" max="14" width="2.1796875" style="453" bestFit="1" customWidth="1"/>
    <col min="15" max="15" width="6.7265625" style="453" customWidth="1"/>
    <col min="16" max="16" width="2.7265625" style="453" customWidth="1"/>
    <col min="17" max="16384" width="9.1796875" style="453"/>
  </cols>
  <sheetData>
    <row r="2" spans="2:16" s="1072" customFormat="1" ht="14">
      <c r="B2" s="2382" t="s">
        <v>1650</v>
      </c>
      <c r="C2" s="2382"/>
      <c r="D2" s="2382"/>
      <c r="E2" s="2382"/>
      <c r="F2" s="2382"/>
      <c r="G2" s="2382"/>
      <c r="H2" s="2382"/>
      <c r="I2" s="2382"/>
      <c r="J2" s="2382"/>
      <c r="K2" s="2382"/>
      <c r="L2" s="2382"/>
      <c r="M2" s="2382"/>
      <c r="N2" s="2382"/>
      <c r="O2" s="2382"/>
      <c r="P2" s="453"/>
    </row>
    <row r="3" spans="2:16" s="1072" customFormat="1" ht="14">
      <c r="B3" s="453"/>
      <c r="C3" s="451"/>
      <c r="D3" s="452"/>
      <c r="E3" s="452"/>
      <c r="F3" s="451"/>
      <c r="G3" s="451"/>
      <c r="P3" s="453"/>
    </row>
    <row r="4" spans="2:16" ht="13">
      <c r="B4" s="1075"/>
      <c r="C4" s="1076"/>
      <c r="D4" s="1077"/>
      <c r="E4" s="1077"/>
      <c r="F4" s="1078"/>
      <c r="H4" s="453"/>
      <c r="I4" s="453"/>
      <c r="J4" s="453"/>
      <c r="K4" s="453"/>
      <c r="L4" s="453"/>
    </row>
    <row r="5" spans="2:16">
      <c r="B5" s="1073" t="s">
        <v>1655</v>
      </c>
      <c r="C5" s="1436"/>
      <c r="D5" s="453" t="s">
        <v>1656</v>
      </c>
      <c r="E5" s="453"/>
      <c r="F5" s="1074"/>
      <c r="H5" s="2384" t="s">
        <v>1651</v>
      </c>
      <c r="I5" s="2384"/>
      <c r="J5" s="2385" t="s">
        <v>1652</v>
      </c>
      <c r="K5" s="2385"/>
      <c r="L5" s="2385"/>
      <c r="M5" s="2385"/>
      <c r="N5" s="2385"/>
      <c r="O5" s="2385"/>
    </row>
    <row r="6" spans="2:16">
      <c r="B6" s="1073" t="s">
        <v>1651</v>
      </c>
      <c r="C6" s="1436"/>
      <c r="D6" s="453"/>
      <c r="E6" s="453"/>
      <c r="F6" s="1079"/>
      <c r="H6" s="2384"/>
      <c r="I6" s="2384"/>
      <c r="J6" s="2386" t="s">
        <v>1653</v>
      </c>
      <c r="K6" s="2386"/>
      <c r="L6" s="2386"/>
      <c r="M6" s="2387" t="s">
        <v>1654</v>
      </c>
      <c r="N6" s="2387"/>
      <c r="O6" s="2387"/>
    </row>
    <row r="7" spans="2:16" ht="13">
      <c r="B7" s="2379" t="str">
        <f>IF(AND(C5&gt;0,C6&gt;0),VLOOKUP(C6,$H$7:$I$11,2,FALSE),"-")</f>
        <v>-</v>
      </c>
      <c r="C7" s="2380"/>
      <c r="D7" s="2380"/>
      <c r="E7" s="2380"/>
      <c r="F7" s="2381"/>
      <c r="H7" s="455" t="s">
        <v>1246</v>
      </c>
      <c r="I7" s="456" t="s">
        <v>1657</v>
      </c>
      <c r="J7" s="1090">
        <v>25000</v>
      </c>
      <c r="K7" s="1090" t="s">
        <v>1247</v>
      </c>
      <c r="L7" s="1090">
        <v>30000</v>
      </c>
      <c r="M7" s="1090">
        <v>35000</v>
      </c>
      <c r="N7" s="1090" t="s">
        <v>1247</v>
      </c>
      <c r="O7" s="1090">
        <v>40000</v>
      </c>
    </row>
    <row r="8" spans="2:16" ht="13">
      <c r="B8" s="1073"/>
      <c r="C8" s="453"/>
      <c r="D8" s="453"/>
      <c r="E8" s="453"/>
      <c r="F8" s="1074"/>
      <c r="H8" s="455" t="s">
        <v>1248</v>
      </c>
      <c r="I8" s="456" t="s">
        <v>1658</v>
      </c>
      <c r="J8" s="1090">
        <v>16000</v>
      </c>
      <c r="K8" s="1090" t="s">
        <v>1247</v>
      </c>
      <c r="L8" s="1090">
        <v>20000</v>
      </c>
      <c r="M8" s="1090">
        <v>20000</v>
      </c>
      <c r="N8" s="1090" t="s">
        <v>1247</v>
      </c>
      <c r="O8" s="1090">
        <v>25000</v>
      </c>
    </row>
    <row r="9" spans="2:16" ht="13">
      <c r="B9" s="1080" t="s">
        <v>1661</v>
      </c>
      <c r="C9" s="458" t="str">
        <f>IF(C5&gt;0,IF(AND(C5&gt;0,C5&lt;20),VLOOKUP(C6,$H$7:$L$11,3,FALSE),IF(AND(C5&gt;=20,C5&lt;=32),VLOOKUP(C6,$H$7:$O$11,6,FALSE))),"-")</f>
        <v>-</v>
      </c>
      <c r="D9" s="458" t="s">
        <v>1247</v>
      </c>
      <c r="E9" s="458" t="str">
        <f>IF(C5&gt;0,IF(AND(C5&gt;0,C5&lt;20),VLOOKUP(C6,$H$7:$L$11,5,FALSE),IF(AND(C5&gt;=20,C5&lt;=32),VLOOKUP(C6,$H$7:$O$11,8,FALSE))),"-")</f>
        <v>-</v>
      </c>
      <c r="F9" s="1081" t="str">
        <f>IF(C9="n/a",B27,B26)</f>
        <v>m3/h</v>
      </c>
      <c r="H9" s="455" t="s">
        <v>1249</v>
      </c>
      <c r="I9" s="456" t="s">
        <v>1659</v>
      </c>
      <c r="J9" s="1090">
        <v>12000</v>
      </c>
      <c r="K9" s="1090" t="s">
        <v>1247</v>
      </c>
      <c r="L9" s="1090">
        <v>16000</v>
      </c>
      <c r="M9" s="1090">
        <v>18000</v>
      </c>
      <c r="N9" s="1090" t="s">
        <v>1247</v>
      </c>
      <c r="O9" s="1090">
        <v>22000</v>
      </c>
    </row>
    <row r="10" spans="2:16" ht="13">
      <c r="B10" s="1080" t="s">
        <v>1663</v>
      </c>
      <c r="C10" s="461" t="str">
        <f>IF(C5&gt;0,IF(C6="D","30",IF(AND(C5&gt;0,C5&lt;20),ABS(((E9-C9)*(19-C5)/(19-1))-E9),IF(AND(C5&gt;=20,C5&lt;=32),ABS(((E9-C9)*(32-C5)/(32-20))-E9)))),"-")</f>
        <v>-</v>
      </c>
      <c r="D10" s="459"/>
      <c r="E10" s="459" t="str">
        <f>IF(C9="n/a",B27,B26)</f>
        <v>m3/h</v>
      </c>
      <c r="F10" s="1074"/>
      <c r="H10" s="455" t="s">
        <v>1251</v>
      </c>
      <c r="I10" s="456" t="s">
        <v>1660</v>
      </c>
      <c r="J10" s="1090">
        <v>15000</v>
      </c>
      <c r="K10" s="1090" t="s">
        <v>1247</v>
      </c>
      <c r="L10" s="1090">
        <v>20000</v>
      </c>
      <c r="M10" s="1090">
        <v>22000</v>
      </c>
      <c r="N10" s="1090" t="s">
        <v>1247</v>
      </c>
      <c r="O10" s="1090">
        <v>27000</v>
      </c>
    </row>
    <row r="11" spans="2:16" ht="13">
      <c r="B11" s="1073"/>
      <c r="C11" s="453"/>
      <c r="D11" s="453"/>
      <c r="E11" s="453"/>
      <c r="F11" s="1074"/>
      <c r="H11" s="455" t="s">
        <v>1253</v>
      </c>
      <c r="I11" s="456" t="s">
        <v>1662</v>
      </c>
      <c r="J11" s="1090" t="s">
        <v>1254</v>
      </c>
      <c r="K11" s="1090" t="s">
        <v>1247</v>
      </c>
      <c r="L11" s="1090" t="s">
        <v>1254</v>
      </c>
      <c r="M11" s="1090" t="s">
        <v>1254</v>
      </c>
      <c r="N11" s="1090" t="s">
        <v>1247</v>
      </c>
      <c r="O11" s="1090" t="s">
        <v>1254</v>
      </c>
    </row>
    <row r="12" spans="2:16">
      <c r="B12" s="1080" t="s">
        <v>1665</v>
      </c>
      <c r="C12" s="1420"/>
      <c r="D12" s="453"/>
      <c r="E12" s="453"/>
      <c r="F12" s="1074"/>
      <c r="H12" s="2383" t="s">
        <v>1664</v>
      </c>
      <c r="I12" s="2383"/>
      <c r="J12" s="2383"/>
      <c r="K12" s="2383"/>
      <c r="L12" s="2383"/>
    </row>
    <row r="13" spans="2:16">
      <c r="B13" s="1080" t="s">
        <v>1666</v>
      </c>
      <c r="C13" s="457" t="str">
        <f>IF(C5&gt;0,IF(C6="D","n/a",IF(C12=B22,0.75,IF(C12=B23,1))),"-")</f>
        <v>-</v>
      </c>
      <c r="D13" s="453"/>
      <c r="E13" s="453"/>
      <c r="F13" s="1074"/>
    </row>
    <row r="14" spans="2:16">
      <c r="B14" s="1073"/>
      <c r="C14" s="453"/>
      <c r="D14" s="453"/>
      <c r="E14" s="453"/>
      <c r="F14" s="1074"/>
      <c r="G14" s="453"/>
    </row>
    <row r="15" spans="2:16">
      <c r="B15" s="1080" t="s">
        <v>1667</v>
      </c>
      <c r="C15" s="1420"/>
      <c r="F15" s="1082"/>
    </row>
    <row r="16" spans="2:16">
      <c r="B16" s="1080" t="s">
        <v>1668</v>
      </c>
      <c r="C16" s="457" t="str">
        <f>IF(C5&gt;0,IF(C6="D","n/a",IF(C15&gt;1,1.5,1)),"-")</f>
        <v>-</v>
      </c>
      <c r="F16" s="1082"/>
    </row>
    <row r="17" spans="2:12">
      <c r="B17" s="1073"/>
      <c r="C17" s="453"/>
      <c r="F17" s="1082"/>
      <c r="H17" s="453"/>
      <c r="I17" s="453"/>
      <c r="J17" s="453"/>
      <c r="K17" s="453"/>
      <c r="L17" s="453"/>
    </row>
    <row r="18" spans="2:12" ht="13">
      <c r="B18" s="1083" t="s">
        <v>1669</v>
      </c>
      <c r="C18" s="453"/>
      <c r="F18" s="1082"/>
      <c r="H18" s="453"/>
      <c r="I18" s="453"/>
      <c r="J18" s="453"/>
      <c r="K18" s="453"/>
      <c r="L18" s="453"/>
    </row>
    <row r="19" spans="2:12" ht="12.75" customHeight="1">
      <c r="B19" s="1084" t="str">
        <f>IF(C5&gt;0,IF(C13="n/a","30","= "&amp;B24&amp;" x "&amp;C13&amp;" x "&amp;C16),"-")</f>
        <v>-</v>
      </c>
      <c r="C19" s="464" t="str">
        <f>IF(C9="n/a",B27,B26)</f>
        <v>m3/h</v>
      </c>
      <c r="F19" s="1082"/>
      <c r="H19" s="453"/>
      <c r="I19" s="453"/>
      <c r="J19" s="453"/>
      <c r="K19" s="453"/>
      <c r="L19" s="453"/>
    </row>
    <row r="20" spans="2:12" ht="18">
      <c r="B20" s="1142" t="str">
        <f>IF(C5&gt;0,IF(C9="n/a","","= "&amp;ROUNDUP(IF(C6="D","n/a",C10*C13*C16),0)),"-")</f>
        <v>-</v>
      </c>
      <c r="C20" s="464" t="str">
        <f>IF(C9="n/a","",B26)</f>
        <v>m3/h</v>
      </c>
      <c r="F20" s="1082"/>
      <c r="H20" s="453"/>
      <c r="I20" s="453"/>
      <c r="J20" s="453"/>
      <c r="K20" s="453"/>
      <c r="L20" s="453"/>
    </row>
    <row r="21" spans="2:12">
      <c r="B21" s="1085"/>
      <c r="C21" s="1086"/>
      <c r="D21" s="1087"/>
      <c r="E21" s="1088"/>
      <c r="F21" s="1089"/>
      <c r="H21" s="453"/>
      <c r="I21" s="453"/>
      <c r="J21" s="453"/>
      <c r="K21" s="453"/>
      <c r="L21" s="453"/>
    </row>
    <row r="22" spans="2:12">
      <c r="B22" s="454" t="s">
        <v>1670</v>
      </c>
      <c r="C22" s="454" t="s">
        <v>1250</v>
      </c>
      <c r="D22" s="463"/>
      <c r="H22" s="453"/>
      <c r="I22" s="453"/>
      <c r="J22" s="453"/>
      <c r="K22" s="453"/>
      <c r="L22" s="453"/>
    </row>
    <row r="23" spans="2:12" ht="12.75" customHeight="1">
      <c r="B23" s="454" t="s">
        <v>1671</v>
      </c>
      <c r="C23" s="454" t="s">
        <v>1252</v>
      </c>
      <c r="D23" s="463"/>
      <c r="H23" s="453"/>
      <c r="I23" s="453"/>
      <c r="J23" s="453"/>
      <c r="K23" s="453"/>
      <c r="L23" s="453"/>
    </row>
    <row r="24" spans="2:12">
      <c r="B24" s="460" t="e">
        <f>ROUNDUP(C10,0)</f>
        <v>#VALUE!</v>
      </c>
      <c r="C24" s="462"/>
      <c r="D24" s="463"/>
      <c r="H24" s="453"/>
      <c r="I24" s="453"/>
      <c r="J24" s="453"/>
      <c r="K24" s="453"/>
      <c r="L24" s="453"/>
    </row>
    <row r="25" spans="2:12">
      <c r="B25" s="462"/>
      <c r="C25" s="462"/>
      <c r="D25" s="463"/>
    </row>
    <row r="26" spans="2:12" ht="14.5">
      <c r="B26" s="462" t="s">
        <v>1255</v>
      </c>
      <c r="C26" s="462"/>
    </row>
    <row r="27" spans="2:12" ht="14.5">
      <c r="B27" s="462" t="s">
        <v>1256</v>
      </c>
      <c r="C27" s="454"/>
    </row>
    <row r="37" spans="9:12">
      <c r="I37" s="453"/>
      <c r="J37" s="453"/>
      <c r="K37" s="453"/>
      <c r="L37" s="453"/>
    </row>
    <row r="38" spans="9:12">
      <c r="I38" s="453"/>
      <c r="J38" s="453"/>
      <c r="K38" s="453"/>
      <c r="L38" s="453"/>
    </row>
    <row r="39" spans="9:12">
      <c r="I39" s="453"/>
      <c r="J39" s="453"/>
      <c r="K39" s="453"/>
      <c r="L39" s="453"/>
    </row>
    <row r="40" spans="9:12">
      <c r="I40" s="453"/>
      <c r="J40" s="453"/>
      <c r="K40" s="453"/>
      <c r="L40" s="453"/>
    </row>
  </sheetData>
  <sheetProtection password="DFE4" sheet="1" objects="1" scenarios="1" selectLockedCells="1"/>
  <mergeCells count="7">
    <mergeCell ref="B7:F7"/>
    <mergeCell ref="B2:O2"/>
    <mergeCell ref="H12:L12"/>
    <mergeCell ref="H5:I6"/>
    <mergeCell ref="J5:O5"/>
    <mergeCell ref="J6:L6"/>
    <mergeCell ref="M6:O6"/>
  </mergeCells>
  <phoneticPr fontId="143" type="noConversion"/>
  <dataValidations count="2">
    <dataValidation type="list" allowBlank="1" showInputMessage="1" showErrorMessage="1" sqref="C12" xr:uid="{00000000-0002-0000-1F00-000000000000}">
      <formula1>$B$22:$B$23</formula1>
    </dataValidation>
    <dataValidation type="list" allowBlank="1" showInputMessage="1" showErrorMessage="1" sqref="C6" xr:uid="{00000000-0002-0000-1F00-000001000000}">
      <formula1>$H$7:$H$11</formula1>
    </dataValidation>
  </dataValidations>
  <pageMargins left="0.75" right="0.75" top="1" bottom="1" header="0.5" footer="0.5"/>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0036" r:id="rId4" name="Button 4">
              <controlPr defaultSize="0" autoFill="0" autoPict="0" macro="[0]!Home">
                <anchor>
                  <from>
                    <xdr:col>7</xdr:col>
                    <xdr:colOff>146050</xdr:colOff>
                    <xdr:row>15</xdr:row>
                    <xdr:rowOff>95250</xdr:rowOff>
                  </from>
                  <to>
                    <xdr:col>8</xdr:col>
                    <xdr:colOff>762000</xdr:colOff>
                    <xdr:row>17</xdr:row>
                    <xdr:rowOff>95250</xdr:rowOff>
                  </to>
                </anchor>
              </controlPr>
            </control>
          </mc:Choice>
        </mc:AlternateContent>
        <mc:AlternateContent xmlns:mc="http://schemas.openxmlformats.org/markup-compatibility/2006">
          <mc:Choice Requires="x14">
            <control shapeId="300037" r:id="rId5" name="Button 5">
              <controlPr defaultSize="0" autoFill="0" autoPict="0" macro="[0]!SPF_Clear">
                <anchor>
                  <from>
                    <xdr:col>7</xdr:col>
                    <xdr:colOff>146050</xdr:colOff>
                    <xdr:row>17</xdr:row>
                    <xdr:rowOff>152400</xdr:rowOff>
                  </from>
                  <to>
                    <xdr:col>8</xdr:col>
                    <xdr:colOff>762000</xdr:colOff>
                    <xdr:row>19</xdr:row>
                    <xdr:rowOff>152400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9">
    <tabColor theme="5" tint="0.59999389629810485"/>
    <pageSetUpPr fitToPage="1"/>
  </sheetPr>
  <dimension ref="B2:H16"/>
  <sheetViews>
    <sheetView showGridLines="0" showRowColHeaders="0" zoomScaleNormal="100" workbookViewId="0"/>
  </sheetViews>
  <sheetFormatPr defaultColWidth="9.1796875" defaultRowHeight="12.5"/>
  <cols>
    <col min="1" max="1" width="2.7265625" style="276" customWidth="1"/>
    <col min="2" max="2" width="14.453125" style="276" bestFit="1" customWidth="1"/>
    <col min="3" max="3" width="9.453125" style="276" bestFit="1" customWidth="1"/>
    <col min="4" max="4" width="36.7265625" style="276" bestFit="1" customWidth="1"/>
    <col min="5" max="5" width="21.7265625" style="276" bestFit="1" customWidth="1"/>
    <col min="6" max="16384" width="9.1796875" style="276"/>
  </cols>
  <sheetData>
    <row r="2" spans="2:8" ht="13">
      <c r="B2" s="1050" t="s">
        <v>1632</v>
      </c>
      <c r="C2" s="1049"/>
      <c r="D2" s="1049"/>
      <c r="E2" s="1049"/>
      <c r="F2" s="1049"/>
    </row>
    <row r="4" spans="2:8" ht="13">
      <c r="B4" s="1656" t="s">
        <v>688</v>
      </c>
      <c r="C4" s="1657" t="s">
        <v>689</v>
      </c>
      <c r="D4" s="1656" t="s">
        <v>690</v>
      </c>
      <c r="E4" s="1656" t="s">
        <v>691</v>
      </c>
      <c r="F4" s="1656" t="s">
        <v>692</v>
      </c>
    </row>
    <row r="5" spans="2:8">
      <c r="B5" s="1658" t="s">
        <v>208</v>
      </c>
      <c r="C5" s="1658" t="s">
        <v>682</v>
      </c>
      <c r="D5" s="1659" t="s">
        <v>679</v>
      </c>
      <c r="E5" s="1658" t="s">
        <v>243</v>
      </c>
      <c r="F5" s="1658" t="s">
        <v>243</v>
      </c>
    </row>
    <row r="6" spans="2:8">
      <c r="B6" s="2388" t="s">
        <v>678</v>
      </c>
      <c r="C6" s="1658" t="s">
        <v>683</v>
      </c>
      <c r="D6" s="1659" t="s">
        <v>2450</v>
      </c>
      <c r="E6" s="1658" t="s">
        <v>243</v>
      </c>
      <c r="F6" s="1658" t="s">
        <v>243</v>
      </c>
    </row>
    <row r="7" spans="2:8">
      <c r="B7" s="2389"/>
      <c r="C7" s="1658" t="s">
        <v>683</v>
      </c>
      <c r="D7" s="1659" t="s">
        <v>677</v>
      </c>
      <c r="E7" s="1658" t="s">
        <v>243</v>
      </c>
      <c r="F7" s="1658" t="s">
        <v>243</v>
      </c>
    </row>
    <row r="8" spans="2:8">
      <c r="B8" s="1658" t="s">
        <v>676</v>
      </c>
      <c r="C8" s="1658" t="s">
        <v>684</v>
      </c>
      <c r="D8" s="1659" t="s">
        <v>675</v>
      </c>
      <c r="E8" s="1658" t="s">
        <v>243</v>
      </c>
      <c r="F8" s="1658" t="s">
        <v>243</v>
      </c>
    </row>
    <row r="9" spans="2:8">
      <c r="B9" s="1052" t="s">
        <v>681</v>
      </c>
      <c r="C9" s="1052" t="s">
        <v>685</v>
      </c>
      <c r="D9" s="1053" t="s">
        <v>680</v>
      </c>
      <c r="E9" s="1053" t="s">
        <v>694</v>
      </c>
      <c r="F9" s="1052" t="s">
        <v>693</v>
      </c>
    </row>
    <row r="10" spans="2:8">
      <c r="B10" s="1051"/>
      <c r="C10" s="1051" t="s">
        <v>995</v>
      </c>
      <c r="D10" s="1054" t="s">
        <v>2342</v>
      </c>
      <c r="E10" s="1054"/>
      <c r="F10" s="1051"/>
    </row>
    <row r="11" spans="2:8">
      <c r="B11" s="1660"/>
      <c r="C11" s="1660" t="s">
        <v>687</v>
      </c>
      <c r="D11" s="1661" t="s">
        <v>686</v>
      </c>
      <c r="E11" s="1660"/>
      <c r="F11" s="1660"/>
    </row>
    <row r="12" spans="2:8" ht="25">
      <c r="B12" s="1658" t="s">
        <v>2435</v>
      </c>
      <c r="C12" s="1658" t="s">
        <v>944</v>
      </c>
      <c r="D12" s="1785" t="s">
        <v>2436</v>
      </c>
      <c r="E12" s="1658" t="s">
        <v>243</v>
      </c>
      <c r="F12" s="1658" t="s">
        <v>243</v>
      </c>
    </row>
    <row r="16" spans="2:8">
      <c r="H16" s="277"/>
    </row>
  </sheetData>
  <sheetProtection password="DFE4" sheet="1" objects="1" scenarios="1"/>
  <mergeCells count="1">
    <mergeCell ref="B6:B7"/>
  </mergeCells>
  <phoneticPr fontId="143" type="noConversion"/>
  <hyperlinks>
    <hyperlink ref="D8" r:id="rId1" xr:uid="{00000000-0004-0000-2000-000000000000}"/>
    <hyperlink ref="D6" r:id="rId2" xr:uid="{00000000-0004-0000-2000-000001000000}"/>
    <hyperlink ref="D5" r:id="rId3" xr:uid="{00000000-0004-0000-2000-000002000000}"/>
    <hyperlink ref="D9" r:id="rId4" xr:uid="{00000000-0004-0000-2000-000003000000}"/>
    <hyperlink ref="D11" r:id="rId5" xr:uid="{00000000-0004-0000-2000-000004000000}"/>
    <hyperlink ref="E9" r:id="rId6" xr:uid="{00000000-0004-0000-2000-000005000000}"/>
    <hyperlink ref="D10" r:id="rId7" xr:uid="{00000000-0004-0000-2000-000006000000}"/>
    <hyperlink ref="D12" r:id="rId8" xr:uid="{00000000-0004-0000-2000-000007000000}"/>
    <hyperlink ref="D7" r:id="rId9" xr:uid="{00000000-0004-0000-2000-000008000000}"/>
  </hyperlinks>
  <pageMargins left="0.75" right="0.75" top="1" bottom="1" header="0.5" footer="0.5"/>
  <pageSetup paperSize="9" fitToHeight="0" orientation="landscape" r:id="rId10"/>
  <headerFooter alignWithMargins="0">
    <oddFooter>&amp;R&amp;8Developed by Benjamin Leung</oddFooter>
  </headerFooter>
  <drawing r:id="rId11"/>
  <legacyDrawing r:id="rId12"/>
  <mc:AlternateContent xmlns:mc="http://schemas.openxmlformats.org/markup-compatibility/2006">
    <mc:Choice Requires="x14">
      <controls>
        <mc:AlternateContent xmlns:mc="http://schemas.openxmlformats.org/markup-compatibility/2006">
          <mc:Choice Requires="x14">
            <control shapeId="130049" r:id="rId13" name="Button 1">
              <controlPr defaultSize="0" autoFill="0" autoPict="0" macro="[0]!Home">
                <anchor moveWithCells="1">
                  <from>
                    <xdr:col>6</xdr:col>
                    <xdr:colOff>260350</xdr:colOff>
                    <xdr:row>4</xdr:row>
                    <xdr:rowOff>19050</xdr:rowOff>
                  </from>
                  <to>
                    <xdr:col>7</xdr:col>
                    <xdr:colOff>431800</xdr:colOff>
                    <xdr:row>6</xdr:row>
                    <xdr:rowOff>19050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theme="5" tint="0.59999389629810485"/>
    <pageSetUpPr fitToPage="1"/>
  </sheetPr>
  <dimension ref="A1:HH417"/>
  <sheetViews>
    <sheetView showGridLines="0" showRowColHeaders="0" zoomScaleNormal="100" zoomScaleSheetLayoutView="130" workbookViewId="0">
      <pane ySplit="5" topLeftCell="A6" activePane="bottomLeft" state="frozen"/>
      <selection pane="bottomLeft"/>
    </sheetView>
  </sheetViews>
  <sheetFormatPr defaultRowHeight="12.5"/>
  <cols>
    <col min="1" max="1" width="2.7265625" style="467" customWidth="1"/>
    <col min="2" max="2" width="3" style="467" customWidth="1"/>
    <col min="3" max="3" width="14.54296875" style="467" customWidth="1"/>
    <col min="4" max="4" width="2" style="1524" customWidth="1"/>
    <col min="5" max="5" width="9.81640625" style="1524" customWidth="1"/>
    <col min="6" max="6" width="36.81640625" style="1524" customWidth="1"/>
    <col min="7" max="7" width="17.453125" style="1524" customWidth="1"/>
    <col min="8" max="8" width="27.54296875" style="1524" customWidth="1"/>
    <col min="9" max="9" width="10.26953125" style="1530" customWidth="1"/>
    <col min="10" max="10" width="15.453125" style="1530" customWidth="1"/>
    <col min="11" max="11" width="9.81640625" style="1530" customWidth="1"/>
    <col min="12" max="12" width="66.7265625" style="1532" customWidth="1"/>
    <col min="13" max="13" width="3" style="467" hidden="1" customWidth="1"/>
    <col min="14" max="14" width="12.1796875" style="467" hidden="1" customWidth="1"/>
    <col min="15" max="15" width="37.54296875" style="467" hidden="1" customWidth="1"/>
    <col min="16" max="16" width="16" style="467" hidden="1" customWidth="1"/>
    <col min="17" max="17" width="28.1796875" style="467" hidden="1" customWidth="1"/>
    <col min="18" max="18" width="19.453125" style="1577" hidden="1" customWidth="1"/>
    <col min="19" max="19" width="12.81640625" style="1530" hidden="1" customWidth="1"/>
    <col min="20" max="20" width="14" style="1577" hidden="1" customWidth="1"/>
    <col min="21" max="21" width="51.1796875" style="467" hidden="1" customWidth="1"/>
    <col min="22" max="22" width="2" style="467" hidden="1" customWidth="1"/>
    <col min="23" max="23" width="7.7265625" style="467" hidden="1" customWidth="1"/>
    <col min="24" max="24" width="26.1796875" style="467" hidden="1" customWidth="1"/>
    <col min="25" max="25" width="16.1796875" style="467" hidden="1" customWidth="1"/>
    <col min="26" max="26" width="26.1796875" style="467" hidden="1" customWidth="1"/>
    <col min="27" max="27" width="14.81640625" style="1577" hidden="1" customWidth="1"/>
    <col min="28" max="28" width="14.453125" style="1577" hidden="1" customWidth="1"/>
    <col min="29" max="29" width="9.453125" style="1577" hidden="1" customWidth="1"/>
    <col min="30" max="30" width="73" style="467" hidden="1" customWidth="1"/>
    <col min="31" max="31" width="2" style="467" hidden="1" customWidth="1"/>
    <col min="32" max="32" width="14.26953125" style="467" hidden="1" customWidth="1"/>
    <col min="33" max="33" width="37.54296875" style="467" hidden="1" customWidth="1"/>
    <col min="34" max="34" width="15.7265625" style="467" hidden="1" customWidth="1"/>
    <col min="35" max="35" width="24.81640625" style="467" hidden="1" customWidth="1"/>
    <col min="36" max="36" width="10.26953125" style="1577" hidden="1" customWidth="1"/>
    <col min="37" max="38" width="9.453125" style="1577" hidden="1" customWidth="1"/>
    <col min="39" max="39" width="66.7265625" style="467" hidden="1" customWidth="1"/>
    <col min="40" max="40" width="2" style="467" hidden="1" customWidth="1"/>
    <col min="41" max="41" width="7.7265625" style="467" hidden="1" customWidth="1"/>
    <col min="42" max="42" width="29.81640625" style="467" hidden="1" customWidth="1"/>
    <col min="43" max="43" width="15.81640625" style="467" hidden="1" customWidth="1"/>
    <col min="44" max="44" width="21.81640625" style="467" hidden="1" customWidth="1"/>
    <col min="45" max="45" width="10.26953125" style="1577" hidden="1" customWidth="1"/>
    <col min="46" max="47" width="9.453125" style="1577" hidden="1" customWidth="1"/>
    <col min="48" max="48" width="69.26953125" style="467" hidden="1" customWidth="1"/>
    <col min="49" max="49" width="3" style="467" hidden="1" customWidth="1"/>
    <col min="50" max="50" width="14.26953125" style="467" hidden="1" customWidth="1"/>
    <col min="51" max="51" width="41.81640625" style="467" hidden="1" customWidth="1"/>
    <col min="52" max="52" width="21.81640625" style="467" hidden="1" customWidth="1"/>
    <col min="53" max="53" width="28.81640625" style="467" hidden="1" customWidth="1"/>
    <col min="54" max="54" width="10.26953125" style="1577" hidden="1" customWidth="1"/>
    <col min="55" max="56" width="9.453125" style="1577" hidden="1" customWidth="1"/>
    <col min="57" max="57" width="66.7265625" style="467" hidden="1" customWidth="1"/>
    <col min="58" max="58" width="2" style="467" hidden="1" customWidth="1"/>
    <col min="59" max="59" width="5.81640625" style="467" hidden="1" customWidth="1"/>
    <col min="60" max="60" width="22.81640625" style="467" hidden="1" customWidth="1"/>
    <col min="61" max="61" width="14.453125" style="467" hidden="1" customWidth="1"/>
    <col min="62" max="62" width="27.1796875" style="467" hidden="1" customWidth="1"/>
    <col min="63" max="63" width="10.26953125" style="1577" hidden="1" customWidth="1"/>
    <col min="64" max="65" width="9.453125" style="1577" hidden="1" customWidth="1"/>
    <col min="66" max="66" width="76.26953125" style="467" hidden="1" customWidth="1"/>
    <col min="67" max="67" width="2" style="467" hidden="1" customWidth="1"/>
    <col min="68" max="68" width="15.1796875" style="1524" hidden="1" customWidth="1"/>
    <col min="69" max="69" width="28" style="1524" hidden="1" customWidth="1"/>
    <col min="70" max="70" width="14.453125" style="1524" hidden="1" customWidth="1"/>
    <col min="71" max="71" width="29.1796875" style="1524" hidden="1" customWidth="1"/>
    <col min="72" max="72" width="10.26953125" style="1524" hidden="1" customWidth="1"/>
    <col min="73" max="74" width="9.453125" style="1524" hidden="1" customWidth="1"/>
    <col min="75" max="75" width="66.7265625" style="467" hidden="1" customWidth="1"/>
    <col min="76" max="76" width="2" style="467" hidden="1" customWidth="1"/>
    <col min="77" max="77" width="7.1796875" style="467" hidden="1" customWidth="1"/>
    <col min="78" max="78" width="30" style="467" hidden="1" customWidth="1"/>
    <col min="79" max="79" width="16.1796875" style="467" hidden="1" customWidth="1"/>
    <col min="80" max="80" width="27.1796875" style="467" hidden="1" customWidth="1"/>
    <col min="81" max="81" width="10.26953125" style="467" hidden="1" customWidth="1"/>
    <col min="82" max="82" width="6.26953125" style="467" hidden="1" customWidth="1"/>
    <col min="83" max="83" width="9.453125" style="467" hidden="1" customWidth="1"/>
    <col min="84" max="84" width="67.453125" style="467" hidden="1" customWidth="1"/>
    <col min="85" max="85" width="2" style="467" hidden="1" customWidth="1"/>
    <col min="86" max="86" width="7.453125" style="467" hidden="1" customWidth="1"/>
    <col min="87" max="87" width="37" style="467" hidden="1" customWidth="1"/>
    <col min="88" max="88" width="14.453125" style="467" hidden="1" customWidth="1"/>
    <col min="89" max="89" width="24" style="467" hidden="1" customWidth="1"/>
    <col min="90" max="90" width="10.26953125" style="467" hidden="1" customWidth="1"/>
    <col min="91" max="92" width="9.453125" style="467" hidden="1" customWidth="1"/>
    <col min="93" max="93" width="51.1796875" style="467" hidden="1" customWidth="1"/>
    <col min="94" max="94" width="2" style="467" hidden="1" customWidth="1"/>
    <col min="95" max="95" width="6.54296875" style="467" hidden="1" customWidth="1"/>
    <col min="96" max="96" width="21.7265625" style="467" hidden="1" customWidth="1"/>
    <col min="97" max="97" width="14.453125" style="467" hidden="1" customWidth="1"/>
    <col min="98" max="98" width="25.26953125" style="467" hidden="1" customWidth="1"/>
    <col min="99" max="99" width="18.26953125" style="467" hidden="1" customWidth="1"/>
    <col min="100" max="100" width="9.453125" style="467" hidden="1" customWidth="1"/>
    <col min="101" max="101" width="14.81640625" style="467" hidden="1" customWidth="1"/>
    <col min="102" max="102" width="54.1796875" style="467" hidden="1" customWidth="1"/>
    <col min="103" max="103" width="2" style="467" hidden="1" customWidth="1"/>
    <col min="104" max="104" width="5.81640625" style="467" hidden="1" customWidth="1"/>
    <col min="105" max="105" width="24.26953125" style="467" hidden="1" customWidth="1"/>
    <col min="106" max="106" width="14.453125" style="467" hidden="1" customWidth="1"/>
    <col min="107" max="107" width="20.26953125" style="467" hidden="1" customWidth="1"/>
    <col min="108" max="108" width="10.26953125" style="467" hidden="1" customWidth="1"/>
    <col min="109" max="109" width="6.26953125" style="467" hidden="1" customWidth="1"/>
    <col min="110" max="110" width="9.453125" style="467" hidden="1" customWidth="1"/>
    <col min="111" max="111" width="50.54296875" style="467" hidden="1" customWidth="1"/>
    <col min="112" max="112" width="2" style="467" hidden="1" customWidth="1"/>
    <col min="113" max="113" width="10" style="467" hidden="1" customWidth="1"/>
    <col min="114" max="114" width="24.26953125" style="467" hidden="1" customWidth="1"/>
    <col min="115" max="115" width="14.453125" style="467" hidden="1" customWidth="1"/>
    <col min="116" max="116" width="30.7265625" style="467" hidden="1" customWidth="1"/>
    <col min="117" max="119" width="11.81640625" style="467" hidden="1" customWidth="1"/>
    <col min="120" max="120" width="68.453125" style="467" hidden="1" customWidth="1"/>
    <col min="121" max="216" width="9.1796875" style="467" hidden="1" customWidth="1"/>
    <col min="217" max="269" width="9.1796875" style="467"/>
    <col min="270" max="270" width="3.1796875" style="467" customWidth="1"/>
    <col min="271" max="271" width="22.81640625" style="467" customWidth="1"/>
    <col min="272" max="272" width="43.453125" style="467" customWidth="1"/>
    <col min="273" max="273" width="80.26953125" style="467" customWidth="1"/>
    <col min="274" max="274" width="30.26953125" style="467" customWidth="1"/>
    <col min="275" max="275" width="24.1796875" style="467" bestFit="1" customWidth="1"/>
    <col min="276" max="277" width="11" style="467" customWidth="1"/>
    <col min="278" max="278" width="9.1796875" style="467"/>
    <col min="279" max="279" width="9.26953125" style="467" bestFit="1" customWidth="1"/>
    <col min="280" max="525" width="9.1796875" style="467"/>
    <col min="526" max="526" width="3.1796875" style="467" customWidth="1"/>
    <col min="527" max="527" width="22.81640625" style="467" customWidth="1"/>
    <col min="528" max="528" width="43.453125" style="467" customWidth="1"/>
    <col min="529" max="529" width="80.26953125" style="467" customWidth="1"/>
    <col min="530" max="530" width="30.26953125" style="467" customWidth="1"/>
    <col min="531" max="531" width="24.1796875" style="467" bestFit="1" customWidth="1"/>
    <col min="532" max="533" width="11" style="467" customWidth="1"/>
    <col min="534" max="534" width="9.1796875" style="467"/>
    <col min="535" max="535" width="9.26953125" style="467" bestFit="1" customWidth="1"/>
    <col min="536" max="781" width="9.1796875" style="467"/>
    <col min="782" max="782" width="3.1796875" style="467" customWidth="1"/>
    <col min="783" max="783" width="22.81640625" style="467" customWidth="1"/>
    <col min="784" max="784" width="43.453125" style="467" customWidth="1"/>
    <col min="785" max="785" width="80.26953125" style="467" customWidth="1"/>
    <col min="786" max="786" width="30.26953125" style="467" customWidth="1"/>
    <col min="787" max="787" width="24.1796875" style="467" bestFit="1" customWidth="1"/>
    <col min="788" max="789" width="11" style="467" customWidth="1"/>
    <col min="790" max="790" width="9.1796875" style="467"/>
    <col min="791" max="791" width="9.26953125" style="467" bestFit="1" customWidth="1"/>
    <col min="792" max="1037" width="9.1796875" style="467"/>
    <col min="1038" max="1038" width="3.1796875" style="467" customWidth="1"/>
    <col min="1039" max="1039" width="22.81640625" style="467" customWidth="1"/>
    <col min="1040" max="1040" width="43.453125" style="467" customWidth="1"/>
    <col min="1041" max="1041" width="80.26953125" style="467" customWidth="1"/>
    <col min="1042" max="1042" width="30.26953125" style="467" customWidth="1"/>
    <col min="1043" max="1043" width="24.1796875" style="467" bestFit="1" customWidth="1"/>
    <col min="1044" max="1045" width="11" style="467" customWidth="1"/>
    <col min="1046" max="1046" width="9.1796875" style="467"/>
    <col min="1047" max="1047" width="9.26953125" style="467" bestFit="1" customWidth="1"/>
    <col min="1048" max="1293" width="9.1796875" style="467"/>
    <col min="1294" max="1294" width="3.1796875" style="467" customWidth="1"/>
    <col min="1295" max="1295" width="22.81640625" style="467" customWidth="1"/>
    <col min="1296" max="1296" width="43.453125" style="467" customWidth="1"/>
    <col min="1297" max="1297" width="80.26953125" style="467" customWidth="1"/>
    <col min="1298" max="1298" width="30.26953125" style="467" customWidth="1"/>
    <col min="1299" max="1299" width="24.1796875" style="467" bestFit="1" customWidth="1"/>
    <col min="1300" max="1301" width="11" style="467" customWidth="1"/>
    <col min="1302" max="1302" width="9.1796875" style="467"/>
    <col min="1303" max="1303" width="9.26953125" style="467" bestFit="1" customWidth="1"/>
    <col min="1304" max="1549" width="9.1796875" style="467"/>
    <col min="1550" max="1550" width="3.1796875" style="467" customWidth="1"/>
    <col min="1551" max="1551" width="22.81640625" style="467" customWidth="1"/>
    <col min="1552" max="1552" width="43.453125" style="467" customWidth="1"/>
    <col min="1553" max="1553" width="80.26953125" style="467" customWidth="1"/>
    <col min="1554" max="1554" width="30.26953125" style="467" customWidth="1"/>
    <col min="1555" max="1555" width="24.1796875" style="467" bestFit="1" customWidth="1"/>
    <col min="1556" max="1557" width="11" style="467" customWidth="1"/>
    <col min="1558" max="1558" width="9.1796875" style="467"/>
    <col min="1559" max="1559" width="9.26953125" style="467" bestFit="1" customWidth="1"/>
    <col min="1560" max="1805" width="9.1796875" style="467"/>
    <col min="1806" max="1806" width="3.1796875" style="467" customWidth="1"/>
    <col min="1807" max="1807" width="22.81640625" style="467" customWidth="1"/>
    <col min="1808" max="1808" width="43.453125" style="467" customWidth="1"/>
    <col min="1809" max="1809" width="80.26953125" style="467" customWidth="1"/>
    <col min="1810" max="1810" width="30.26953125" style="467" customWidth="1"/>
    <col min="1811" max="1811" width="24.1796875" style="467" bestFit="1" customWidth="1"/>
    <col min="1812" max="1813" width="11" style="467" customWidth="1"/>
    <col min="1814" max="1814" width="9.1796875" style="467"/>
    <col min="1815" max="1815" width="9.26953125" style="467" bestFit="1" customWidth="1"/>
    <col min="1816" max="2061" width="9.1796875" style="467"/>
    <col min="2062" max="2062" width="3.1796875" style="467" customWidth="1"/>
    <col min="2063" max="2063" width="22.81640625" style="467" customWidth="1"/>
    <col min="2064" max="2064" width="43.453125" style="467" customWidth="1"/>
    <col min="2065" max="2065" width="80.26953125" style="467" customWidth="1"/>
    <col min="2066" max="2066" width="30.26953125" style="467" customWidth="1"/>
    <col min="2067" max="2067" width="24.1796875" style="467" bestFit="1" customWidth="1"/>
    <col min="2068" max="2069" width="11" style="467" customWidth="1"/>
    <col min="2070" max="2070" width="9.1796875" style="467"/>
    <col min="2071" max="2071" width="9.26953125" style="467" bestFit="1" customWidth="1"/>
    <col min="2072" max="2317" width="9.1796875" style="467"/>
    <col min="2318" max="2318" width="3.1796875" style="467" customWidth="1"/>
    <col min="2319" max="2319" width="22.81640625" style="467" customWidth="1"/>
    <col min="2320" max="2320" width="43.453125" style="467" customWidth="1"/>
    <col min="2321" max="2321" width="80.26953125" style="467" customWidth="1"/>
    <col min="2322" max="2322" width="30.26953125" style="467" customWidth="1"/>
    <col min="2323" max="2323" width="24.1796875" style="467" bestFit="1" customWidth="1"/>
    <col min="2324" max="2325" width="11" style="467" customWidth="1"/>
    <col min="2326" max="2326" width="9.1796875" style="467"/>
    <col min="2327" max="2327" width="9.26953125" style="467" bestFit="1" customWidth="1"/>
    <col min="2328" max="2573" width="9.1796875" style="467"/>
    <col min="2574" max="2574" width="3.1796875" style="467" customWidth="1"/>
    <col min="2575" max="2575" width="22.81640625" style="467" customWidth="1"/>
    <col min="2576" max="2576" width="43.453125" style="467" customWidth="1"/>
    <col min="2577" max="2577" width="80.26953125" style="467" customWidth="1"/>
    <col min="2578" max="2578" width="30.26953125" style="467" customWidth="1"/>
    <col min="2579" max="2579" width="24.1796875" style="467" bestFit="1" customWidth="1"/>
    <col min="2580" max="2581" width="11" style="467" customWidth="1"/>
    <col min="2582" max="2582" width="9.1796875" style="467"/>
    <col min="2583" max="2583" width="9.26953125" style="467" bestFit="1" customWidth="1"/>
    <col min="2584" max="2829" width="9.1796875" style="467"/>
    <col min="2830" max="2830" width="3.1796875" style="467" customWidth="1"/>
    <col min="2831" max="2831" width="22.81640625" style="467" customWidth="1"/>
    <col min="2832" max="2832" width="43.453125" style="467" customWidth="1"/>
    <col min="2833" max="2833" width="80.26953125" style="467" customWidth="1"/>
    <col min="2834" max="2834" width="30.26953125" style="467" customWidth="1"/>
    <col min="2835" max="2835" width="24.1796875" style="467" bestFit="1" customWidth="1"/>
    <col min="2836" max="2837" width="11" style="467" customWidth="1"/>
    <col min="2838" max="2838" width="9.1796875" style="467"/>
    <col min="2839" max="2839" width="9.26953125" style="467" bestFit="1" customWidth="1"/>
    <col min="2840" max="3085" width="9.1796875" style="467"/>
    <col min="3086" max="3086" width="3.1796875" style="467" customWidth="1"/>
    <col min="3087" max="3087" width="22.81640625" style="467" customWidth="1"/>
    <col min="3088" max="3088" width="43.453125" style="467" customWidth="1"/>
    <col min="3089" max="3089" width="80.26953125" style="467" customWidth="1"/>
    <col min="3090" max="3090" width="30.26953125" style="467" customWidth="1"/>
    <col min="3091" max="3091" width="24.1796875" style="467" bestFit="1" customWidth="1"/>
    <col min="3092" max="3093" width="11" style="467" customWidth="1"/>
    <col min="3094" max="3094" width="9.1796875" style="467"/>
    <col min="3095" max="3095" width="9.26953125" style="467" bestFit="1" customWidth="1"/>
    <col min="3096" max="3341" width="9.1796875" style="467"/>
    <col min="3342" max="3342" width="3.1796875" style="467" customWidth="1"/>
    <col min="3343" max="3343" width="22.81640625" style="467" customWidth="1"/>
    <col min="3344" max="3344" width="43.453125" style="467" customWidth="1"/>
    <col min="3345" max="3345" width="80.26953125" style="467" customWidth="1"/>
    <col min="3346" max="3346" width="30.26953125" style="467" customWidth="1"/>
    <col min="3347" max="3347" width="24.1796875" style="467" bestFit="1" customWidth="1"/>
    <col min="3348" max="3349" width="11" style="467" customWidth="1"/>
    <col min="3350" max="3350" width="9.1796875" style="467"/>
    <col min="3351" max="3351" width="9.26953125" style="467" bestFit="1" customWidth="1"/>
    <col min="3352" max="3597" width="9.1796875" style="467"/>
    <col min="3598" max="3598" width="3.1796875" style="467" customWidth="1"/>
    <col min="3599" max="3599" width="22.81640625" style="467" customWidth="1"/>
    <col min="3600" max="3600" width="43.453125" style="467" customWidth="1"/>
    <col min="3601" max="3601" width="80.26953125" style="467" customWidth="1"/>
    <col min="3602" max="3602" width="30.26953125" style="467" customWidth="1"/>
    <col min="3603" max="3603" width="24.1796875" style="467" bestFit="1" customWidth="1"/>
    <col min="3604" max="3605" width="11" style="467" customWidth="1"/>
    <col min="3606" max="3606" width="9.1796875" style="467"/>
    <col min="3607" max="3607" width="9.26953125" style="467" bestFit="1" customWidth="1"/>
    <col min="3608" max="3853" width="9.1796875" style="467"/>
    <col min="3854" max="3854" width="3.1796875" style="467" customWidth="1"/>
    <col min="3855" max="3855" width="22.81640625" style="467" customWidth="1"/>
    <col min="3856" max="3856" width="43.453125" style="467" customWidth="1"/>
    <col min="3857" max="3857" width="80.26953125" style="467" customWidth="1"/>
    <col min="3858" max="3858" width="30.26953125" style="467" customWidth="1"/>
    <col min="3859" max="3859" width="24.1796875" style="467" bestFit="1" customWidth="1"/>
    <col min="3860" max="3861" width="11" style="467" customWidth="1"/>
    <col min="3862" max="3862" width="9.1796875" style="467"/>
    <col min="3863" max="3863" width="9.26953125" style="467" bestFit="1" customWidth="1"/>
    <col min="3864" max="4109" width="9.1796875" style="467"/>
    <col min="4110" max="4110" width="3.1796875" style="467" customWidth="1"/>
    <col min="4111" max="4111" width="22.81640625" style="467" customWidth="1"/>
    <col min="4112" max="4112" width="43.453125" style="467" customWidth="1"/>
    <col min="4113" max="4113" width="80.26953125" style="467" customWidth="1"/>
    <col min="4114" max="4114" width="30.26953125" style="467" customWidth="1"/>
    <col min="4115" max="4115" width="24.1796875" style="467" bestFit="1" customWidth="1"/>
    <col min="4116" max="4117" width="11" style="467" customWidth="1"/>
    <col min="4118" max="4118" width="9.1796875" style="467"/>
    <col min="4119" max="4119" width="9.26953125" style="467" bestFit="1" customWidth="1"/>
    <col min="4120" max="4365" width="9.1796875" style="467"/>
    <col min="4366" max="4366" width="3.1796875" style="467" customWidth="1"/>
    <col min="4367" max="4367" width="22.81640625" style="467" customWidth="1"/>
    <col min="4368" max="4368" width="43.453125" style="467" customWidth="1"/>
    <col min="4369" max="4369" width="80.26953125" style="467" customWidth="1"/>
    <col min="4370" max="4370" width="30.26953125" style="467" customWidth="1"/>
    <col min="4371" max="4371" width="24.1796875" style="467" bestFit="1" customWidth="1"/>
    <col min="4372" max="4373" width="11" style="467" customWidth="1"/>
    <col min="4374" max="4374" width="9.1796875" style="467"/>
    <col min="4375" max="4375" width="9.26953125" style="467" bestFit="1" customWidth="1"/>
    <col min="4376" max="4621" width="9.1796875" style="467"/>
    <col min="4622" max="4622" width="3.1796875" style="467" customWidth="1"/>
    <col min="4623" max="4623" width="22.81640625" style="467" customWidth="1"/>
    <col min="4624" max="4624" width="43.453125" style="467" customWidth="1"/>
    <col min="4625" max="4625" width="80.26953125" style="467" customWidth="1"/>
    <col min="4626" max="4626" width="30.26953125" style="467" customWidth="1"/>
    <col min="4627" max="4627" width="24.1796875" style="467" bestFit="1" customWidth="1"/>
    <col min="4628" max="4629" width="11" style="467" customWidth="1"/>
    <col min="4630" max="4630" width="9.1796875" style="467"/>
    <col min="4631" max="4631" width="9.26953125" style="467" bestFit="1" customWidth="1"/>
    <col min="4632" max="4877" width="9.1796875" style="467"/>
    <col min="4878" max="4878" width="3.1796875" style="467" customWidth="1"/>
    <col min="4879" max="4879" width="22.81640625" style="467" customWidth="1"/>
    <col min="4880" max="4880" width="43.453125" style="467" customWidth="1"/>
    <col min="4881" max="4881" width="80.26953125" style="467" customWidth="1"/>
    <col min="4882" max="4882" width="30.26953125" style="467" customWidth="1"/>
    <col min="4883" max="4883" width="24.1796875" style="467" bestFit="1" customWidth="1"/>
    <col min="4884" max="4885" width="11" style="467" customWidth="1"/>
    <col min="4886" max="4886" width="9.1796875" style="467"/>
    <col min="4887" max="4887" width="9.26953125" style="467" bestFit="1" customWidth="1"/>
    <col min="4888" max="5133" width="9.1796875" style="467"/>
    <col min="5134" max="5134" width="3.1796875" style="467" customWidth="1"/>
    <col min="5135" max="5135" width="22.81640625" style="467" customWidth="1"/>
    <col min="5136" max="5136" width="43.453125" style="467" customWidth="1"/>
    <col min="5137" max="5137" width="80.26953125" style="467" customWidth="1"/>
    <col min="5138" max="5138" width="30.26953125" style="467" customWidth="1"/>
    <col min="5139" max="5139" width="24.1796875" style="467" bestFit="1" customWidth="1"/>
    <col min="5140" max="5141" width="11" style="467" customWidth="1"/>
    <col min="5142" max="5142" width="9.1796875" style="467"/>
    <col min="5143" max="5143" width="9.26953125" style="467" bestFit="1" customWidth="1"/>
    <col min="5144" max="5389" width="9.1796875" style="467"/>
    <col min="5390" max="5390" width="3.1796875" style="467" customWidth="1"/>
    <col min="5391" max="5391" width="22.81640625" style="467" customWidth="1"/>
    <col min="5392" max="5392" width="43.453125" style="467" customWidth="1"/>
    <col min="5393" max="5393" width="80.26953125" style="467" customWidth="1"/>
    <col min="5394" max="5394" width="30.26953125" style="467" customWidth="1"/>
    <col min="5395" max="5395" width="24.1796875" style="467" bestFit="1" customWidth="1"/>
    <col min="5396" max="5397" width="11" style="467" customWidth="1"/>
    <col min="5398" max="5398" width="9.1796875" style="467"/>
    <col min="5399" max="5399" width="9.26953125" style="467" bestFit="1" customWidth="1"/>
    <col min="5400" max="5645" width="9.1796875" style="467"/>
    <col min="5646" max="5646" width="3.1796875" style="467" customWidth="1"/>
    <col min="5647" max="5647" width="22.81640625" style="467" customWidth="1"/>
    <col min="5648" max="5648" width="43.453125" style="467" customWidth="1"/>
    <col min="5649" max="5649" width="80.26953125" style="467" customWidth="1"/>
    <col min="5650" max="5650" width="30.26953125" style="467" customWidth="1"/>
    <col min="5651" max="5651" width="24.1796875" style="467" bestFit="1" customWidth="1"/>
    <col min="5652" max="5653" width="11" style="467" customWidth="1"/>
    <col min="5654" max="5654" width="9.1796875" style="467"/>
    <col min="5655" max="5655" width="9.26953125" style="467" bestFit="1" customWidth="1"/>
    <col min="5656" max="5901" width="9.1796875" style="467"/>
    <col min="5902" max="5902" width="3.1796875" style="467" customWidth="1"/>
    <col min="5903" max="5903" width="22.81640625" style="467" customWidth="1"/>
    <col min="5904" max="5904" width="43.453125" style="467" customWidth="1"/>
    <col min="5905" max="5905" width="80.26953125" style="467" customWidth="1"/>
    <col min="5906" max="5906" width="30.26953125" style="467" customWidth="1"/>
    <col min="5907" max="5907" width="24.1796875" style="467" bestFit="1" customWidth="1"/>
    <col min="5908" max="5909" width="11" style="467" customWidth="1"/>
    <col min="5910" max="5910" width="9.1796875" style="467"/>
    <col min="5911" max="5911" width="9.26953125" style="467" bestFit="1" customWidth="1"/>
    <col min="5912" max="6157" width="9.1796875" style="467"/>
    <col min="6158" max="6158" width="3.1796875" style="467" customWidth="1"/>
    <col min="6159" max="6159" width="22.81640625" style="467" customWidth="1"/>
    <col min="6160" max="6160" width="43.453125" style="467" customWidth="1"/>
    <col min="6161" max="6161" width="80.26953125" style="467" customWidth="1"/>
    <col min="6162" max="6162" width="30.26953125" style="467" customWidth="1"/>
    <col min="6163" max="6163" width="24.1796875" style="467" bestFit="1" customWidth="1"/>
    <col min="6164" max="6165" width="11" style="467" customWidth="1"/>
    <col min="6166" max="6166" width="9.1796875" style="467"/>
    <col min="6167" max="6167" width="9.26953125" style="467" bestFit="1" customWidth="1"/>
    <col min="6168" max="6413" width="9.1796875" style="467"/>
    <col min="6414" max="6414" width="3.1796875" style="467" customWidth="1"/>
    <col min="6415" max="6415" width="22.81640625" style="467" customWidth="1"/>
    <col min="6416" max="6416" width="43.453125" style="467" customWidth="1"/>
    <col min="6417" max="6417" width="80.26953125" style="467" customWidth="1"/>
    <col min="6418" max="6418" width="30.26953125" style="467" customWidth="1"/>
    <col min="6419" max="6419" width="24.1796875" style="467" bestFit="1" customWidth="1"/>
    <col min="6420" max="6421" width="11" style="467" customWidth="1"/>
    <col min="6422" max="6422" width="9.1796875" style="467"/>
    <col min="6423" max="6423" width="9.26953125" style="467" bestFit="1" customWidth="1"/>
    <col min="6424" max="6669" width="9.1796875" style="467"/>
    <col min="6670" max="6670" width="3.1796875" style="467" customWidth="1"/>
    <col min="6671" max="6671" width="22.81640625" style="467" customWidth="1"/>
    <col min="6672" max="6672" width="43.453125" style="467" customWidth="1"/>
    <col min="6673" max="6673" width="80.26953125" style="467" customWidth="1"/>
    <col min="6674" max="6674" width="30.26953125" style="467" customWidth="1"/>
    <col min="6675" max="6675" width="24.1796875" style="467" bestFit="1" customWidth="1"/>
    <col min="6676" max="6677" width="11" style="467" customWidth="1"/>
    <col min="6678" max="6678" width="9.1796875" style="467"/>
    <col min="6679" max="6679" width="9.26953125" style="467" bestFit="1" customWidth="1"/>
    <col min="6680" max="6925" width="9.1796875" style="467"/>
    <col min="6926" max="6926" width="3.1796875" style="467" customWidth="1"/>
    <col min="6927" max="6927" width="22.81640625" style="467" customWidth="1"/>
    <col min="6928" max="6928" width="43.453125" style="467" customWidth="1"/>
    <col min="6929" max="6929" width="80.26953125" style="467" customWidth="1"/>
    <col min="6930" max="6930" width="30.26953125" style="467" customWidth="1"/>
    <col min="6931" max="6931" width="24.1796875" style="467" bestFit="1" customWidth="1"/>
    <col min="6932" max="6933" width="11" style="467" customWidth="1"/>
    <col min="6934" max="6934" width="9.1796875" style="467"/>
    <col min="6935" max="6935" width="9.26953125" style="467" bestFit="1" customWidth="1"/>
    <col min="6936" max="7181" width="9.1796875" style="467"/>
    <col min="7182" max="7182" width="3.1796875" style="467" customWidth="1"/>
    <col min="7183" max="7183" width="22.81640625" style="467" customWidth="1"/>
    <col min="7184" max="7184" width="43.453125" style="467" customWidth="1"/>
    <col min="7185" max="7185" width="80.26953125" style="467" customWidth="1"/>
    <col min="7186" max="7186" width="30.26953125" style="467" customWidth="1"/>
    <col min="7187" max="7187" width="24.1796875" style="467" bestFit="1" customWidth="1"/>
    <col min="7188" max="7189" width="11" style="467" customWidth="1"/>
    <col min="7190" max="7190" width="9.1796875" style="467"/>
    <col min="7191" max="7191" width="9.26953125" style="467" bestFit="1" customWidth="1"/>
    <col min="7192" max="7437" width="9.1796875" style="467"/>
    <col min="7438" max="7438" width="3.1796875" style="467" customWidth="1"/>
    <col min="7439" max="7439" width="22.81640625" style="467" customWidth="1"/>
    <col min="7440" max="7440" width="43.453125" style="467" customWidth="1"/>
    <col min="7441" max="7441" width="80.26953125" style="467" customWidth="1"/>
    <col min="7442" max="7442" width="30.26953125" style="467" customWidth="1"/>
    <col min="7443" max="7443" width="24.1796875" style="467" bestFit="1" customWidth="1"/>
    <col min="7444" max="7445" width="11" style="467" customWidth="1"/>
    <col min="7446" max="7446" width="9.1796875" style="467"/>
    <col min="7447" max="7447" width="9.26953125" style="467" bestFit="1" customWidth="1"/>
    <col min="7448" max="7693" width="9.1796875" style="467"/>
    <col min="7694" max="7694" width="3.1796875" style="467" customWidth="1"/>
    <col min="7695" max="7695" width="22.81640625" style="467" customWidth="1"/>
    <col min="7696" max="7696" width="43.453125" style="467" customWidth="1"/>
    <col min="7697" max="7697" width="80.26953125" style="467" customWidth="1"/>
    <col min="7698" max="7698" width="30.26953125" style="467" customWidth="1"/>
    <col min="7699" max="7699" width="24.1796875" style="467" bestFit="1" customWidth="1"/>
    <col min="7700" max="7701" width="11" style="467" customWidth="1"/>
    <col min="7702" max="7702" width="9.1796875" style="467"/>
    <col min="7703" max="7703" width="9.26953125" style="467" bestFit="1" customWidth="1"/>
    <col min="7704" max="7949" width="9.1796875" style="467"/>
    <col min="7950" max="7950" width="3.1796875" style="467" customWidth="1"/>
    <col min="7951" max="7951" width="22.81640625" style="467" customWidth="1"/>
    <col min="7952" max="7952" width="43.453125" style="467" customWidth="1"/>
    <col min="7953" max="7953" width="80.26953125" style="467" customWidth="1"/>
    <col min="7954" max="7954" width="30.26953125" style="467" customWidth="1"/>
    <col min="7955" max="7955" width="24.1796875" style="467" bestFit="1" customWidth="1"/>
    <col min="7956" max="7957" width="11" style="467" customWidth="1"/>
    <col min="7958" max="7958" width="9.1796875" style="467"/>
    <col min="7959" max="7959" width="9.26953125" style="467" bestFit="1" customWidth="1"/>
    <col min="7960" max="8205" width="9.1796875" style="467"/>
    <col min="8206" max="8206" width="3.1796875" style="467" customWidth="1"/>
    <col min="8207" max="8207" width="22.81640625" style="467" customWidth="1"/>
    <col min="8208" max="8208" width="43.453125" style="467" customWidth="1"/>
    <col min="8209" max="8209" width="80.26953125" style="467" customWidth="1"/>
    <col min="8210" max="8210" width="30.26953125" style="467" customWidth="1"/>
    <col min="8211" max="8211" width="24.1796875" style="467" bestFit="1" customWidth="1"/>
    <col min="8212" max="8213" width="11" style="467" customWidth="1"/>
    <col min="8214" max="8214" width="9.1796875" style="467"/>
    <col min="8215" max="8215" width="9.26953125" style="467" bestFit="1" customWidth="1"/>
    <col min="8216" max="8461" width="9.1796875" style="467"/>
    <col min="8462" max="8462" width="3.1796875" style="467" customWidth="1"/>
    <col min="8463" max="8463" width="22.81640625" style="467" customWidth="1"/>
    <col min="8464" max="8464" width="43.453125" style="467" customWidth="1"/>
    <col min="8465" max="8465" width="80.26953125" style="467" customWidth="1"/>
    <col min="8466" max="8466" width="30.26953125" style="467" customWidth="1"/>
    <col min="8467" max="8467" width="24.1796875" style="467" bestFit="1" customWidth="1"/>
    <col min="8468" max="8469" width="11" style="467" customWidth="1"/>
    <col min="8470" max="8470" width="9.1796875" style="467"/>
    <col min="8471" max="8471" width="9.26953125" style="467" bestFit="1" customWidth="1"/>
    <col min="8472" max="8717" width="9.1796875" style="467"/>
    <col min="8718" max="8718" width="3.1796875" style="467" customWidth="1"/>
    <col min="8719" max="8719" width="22.81640625" style="467" customWidth="1"/>
    <col min="8720" max="8720" width="43.453125" style="467" customWidth="1"/>
    <col min="8721" max="8721" width="80.26953125" style="467" customWidth="1"/>
    <col min="8722" max="8722" width="30.26953125" style="467" customWidth="1"/>
    <col min="8723" max="8723" width="24.1796875" style="467" bestFit="1" customWidth="1"/>
    <col min="8724" max="8725" width="11" style="467" customWidth="1"/>
    <col min="8726" max="8726" width="9.1796875" style="467"/>
    <col min="8727" max="8727" width="9.26953125" style="467" bestFit="1" customWidth="1"/>
    <col min="8728" max="8973" width="9.1796875" style="467"/>
    <col min="8974" max="8974" width="3.1796875" style="467" customWidth="1"/>
    <col min="8975" max="8975" width="22.81640625" style="467" customWidth="1"/>
    <col min="8976" max="8976" width="43.453125" style="467" customWidth="1"/>
    <col min="8977" max="8977" width="80.26953125" style="467" customWidth="1"/>
    <col min="8978" max="8978" width="30.26953125" style="467" customWidth="1"/>
    <col min="8979" max="8979" width="24.1796875" style="467" bestFit="1" customWidth="1"/>
    <col min="8980" max="8981" width="11" style="467" customWidth="1"/>
    <col min="8982" max="8982" width="9.1796875" style="467"/>
    <col min="8983" max="8983" width="9.26953125" style="467" bestFit="1" customWidth="1"/>
    <col min="8984" max="9229" width="9.1796875" style="467"/>
    <col min="9230" max="9230" width="3.1796875" style="467" customWidth="1"/>
    <col min="9231" max="9231" width="22.81640625" style="467" customWidth="1"/>
    <col min="9232" max="9232" width="43.453125" style="467" customWidth="1"/>
    <col min="9233" max="9233" width="80.26953125" style="467" customWidth="1"/>
    <col min="9234" max="9234" width="30.26953125" style="467" customWidth="1"/>
    <col min="9235" max="9235" width="24.1796875" style="467" bestFit="1" customWidth="1"/>
    <col min="9236" max="9237" width="11" style="467" customWidth="1"/>
    <col min="9238" max="9238" width="9.1796875" style="467"/>
    <col min="9239" max="9239" width="9.26953125" style="467" bestFit="1" customWidth="1"/>
    <col min="9240" max="9485" width="9.1796875" style="467"/>
    <col min="9486" max="9486" width="3.1796875" style="467" customWidth="1"/>
    <col min="9487" max="9487" width="22.81640625" style="467" customWidth="1"/>
    <col min="9488" max="9488" width="43.453125" style="467" customWidth="1"/>
    <col min="9489" max="9489" width="80.26953125" style="467" customWidth="1"/>
    <col min="9490" max="9490" width="30.26953125" style="467" customWidth="1"/>
    <col min="9491" max="9491" width="24.1796875" style="467" bestFit="1" customWidth="1"/>
    <col min="9492" max="9493" width="11" style="467" customWidth="1"/>
    <col min="9494" max="9494" width="9.1796875" style="467"/>
    <col min="9495" max="9495" width="9.26953125" style="467" bestFit="1" customWidth="1"/>
    <col min="9496" max="9741" width="9.1796875" style="467"/>
    <col min="9742" max="9742" width="3.1796875" style="467" customWidth="1"/>
    <col min="9743" max="9743" width="22.81640625" style="467" customWidth="1"/>
    <col min="9744" max="9744" width="43.453125" style="467" customWidth="1"/>
    <col min="9745" max="9745" width="80.26953125" style="467" customWidth="1"/>
    <col min="9746" max="9746" width="30.26953125" style="467" customWidth="1"/>
    <col min="9747" max="9747" width="24.1796875" style="467" bestFit="1" customWidth="1"/>
    <col min="9748" max="9749" width="11" style="467" customWidth="1"/>
    <col min="9750" max="9750" width="9.1796875" style="467"/>
    <col min="9751" max="9751" width="9.26953125" style="467" bestFit="1" customWidth="1"/>
    <col min="9752" max="9997" width="9.1796875" style="467"/>
    <col min="9998" max="9998" width="3.1796875" style="467" customWidth="1"/>
    <col min="9999" max="9999" width="22.81640625" style="467" customWidth="1"/>
    <col min="10000" max="10000" width="43.453125" style="467" customWidth="1"/>
    <col min="10001" max="10001" width="80.26953125" style="467" customWidth="1"/>
    <col min="10002" max="10002" width="30.26953125" style="467" customWidth="1"/>
    <col min="10003" max="10003" width="24.1796875" style="467" bestFit="1" customWidth="1"/>
    <col min="10004" max="10005" width="11" style="467" customWidth="1"/>
    <col min="10006" max="10006" width="9.1796875" style="467"/>
    <col min="10007" max="10007" width="9.26953125" style="467" bestFit="1" customWidth="1"/>
    <col min="10008" max="10253" width="9.1796875" style="467"/>
    <col min="10254" max="10254" width="3.1796875" style="467" customWidth="1"/>
    <col min="10255" max="10255" width="22.81640625" style="467" customWidth="1"/>
    <col min="10256" max="10256" width="43.453125" style="467" customWidth="1"/>
    <col min="10257" max="10257" width="80.26953125" style="467" customWidth="1"/>
    <col min="10258" max="10258" width="30.26953125" style="467" customWidth="1"/>
    <col min="10259" max="10259" width="24.1796875" style="467" bestFit="1" customWidth="1"/>
    <col min="10260" max="10261" width="11" style="467" customWidth="1"/>
    <col min="10262" max="10262" width="9.1796875" style="467"/>
    <col min="10263" max="10263" width="9.26953125" style="467" bestFit="1" customWidth="1"/>
    <col min="10264" max="10509" width="9.1796875" style="467"/>
    <col min="10510" max="10510" width="3.1796875" style="467" customWidth="1"/>
    <col min="10511" max="10511" width="22.81640625" style="467" customWidth="1"/>
    <col min="10512" max="10512" width="43.453125" style="467" customWidth="1"/>
    <col min="10513" max="10513" width="80.26953125" style="467" customWidth="1"/>
    <col min="10514" max="10514" width="30.26953125" style="467" customWidth="1"/>
    <col min="10515" max="10515" width="24.1796875" style="467" bestFit="1" customWidth="1"/>
    <col min="10516" max="10517" width="11" style="467" customWidth="1"/>
    <col min="10518" max="10518" width="9.1796875" style="467"/>
    <col min="10519" max="10519" width="9.26953125" style="467" bestFit="1" customWidth="1"/>
    <col min="10520" max="10765" width="9.1796875" style="467"/>
    <col min="10766" max="10766" width="3.1796875" style="467" customWidth="1"/>
    <col min="10767" max="10767" width="22.81640625" style="467" customWidth="1"/>
    <col min="10768" max="10768" width="43.453125" style="467" customWidth="1"/>
    <col min="10769" max="10769" width="80.26953125" style="467" customWidth="1"/>
    <col min="10770" max="10770" width="30.26953125" style="467" customWidth="1"/>
    <col min="10771" max="10771" width="24.1796875" style="467" bestFit="1" customWidth="1"/>
    <col min="10772" max="10773" width="11" style="467" customWidth="1"/>
    <col min="10774" max="10774" width="9.1796875" style="467"/>
    <col min="10775" max="10775" width="9.26953125" style="467" bestFit="1" customWidth="1"/>
    <col min="10776" max="11021" width="9.1796875" style="467"/>
    <col min="11022" max="11022" width="3.1796875" style="467" customWidth="1"/>
    <col min="11023" max="11023" width="22.81640625" style="467" customWidth="1"/>
    <col min="11024" max="11024" width="43.453125" style="467" customWidth="1"/>
    <col min="11025" max="11025" width="80.26953125" style="467" customWidth="1"/>
    <col min="11026" max="11026" width="30.26953125" style="467" customWidth="1"/>
    <col min="11027" max="11027" width="24.1796875" style="467" bestFit="1" customWidth="1"/>
    <col min="11028" max="11029" width="11" style="467" customWidth="1"/>
    <col min="11030" max="11030" width="9.1796875" style="467"/>
    <col min="11031" max="11031" width="9.26953125" style="467" bestFit="1" customWidth="1"/>
    <col min="11032" max="11277" width="9.1796875" style="467"/>
    <col min="11278" max="11278" width="3.1796875" style="467" customWidth="1"/>
    <col min="11279" max="11279" width="22.81640625" style="467" customWidth="1"/>
    <col min="11280" max="11280" width="43.453125" style="467" customWidth="1"/>
    <col min="11281" max="11281" width="80.26953125" style="467" customWidth="1"/>
    <col min="11282" max="11282" width="30.26953125" style="467" customWidth="1"/>
    <col min="11283" max="11283" width="24.1796875" style="467" bestFit="1" customWidth="1"/>
    <col min="11284" max="11285" width="11" style="467" customWidth="1"/>
    <col min="11286" max="11286" width="9.1796875" style="467"/>
    <col min="11287" max="11287" width="9.26953125" style="467" bestFit="1" customWidth="1"/>
    <col min="11288" max="11533" width="9.1796875" style="467"/>
    <col min="11534" max="11534" width="3.1796875" style="467" customWidth="1"/>
    <col min="11535" max="11535" width="22.81640625" style="467" customWidth="1"/>
    <col min="11536" max="11536" width="43.453125" style="467" customWidth="1"/>
    <col min="11537" max="11537" width="80.26953125" style="467" customWidth="1"/>
    <col min="11538" max="11538" width="30.26953125" style="467" customWidth="1"/>
    <col min="11539" max="11539" width="24.1796875" style="467" bestFit="1" customWidth="1"/>
    <col min="11540" max="11541" width="11" style="467" customWidth="1"/>
    <col min="11542" max="11542" width="9.1796875" style="467"/>
    <col min="11543" max="11543" width="9.26953125" style="467" bestFit="1" customWidth="1"/>
    <col min="11544" max="11789" width="9.1796875" style="467"/>
    <col min="11790" max="11790" width="3.1796875" style="467" customWidth="1"/>
    <col min="11791" max="11791" width="22.81640625" style="467" customWidth="1"/>
    <col min="11792" max="11792" width="43.453125" style="467" customWidth="1"/>
    <col min="11793" max="11793" width="80.26953125" style="467" customWidth="1"/>
    <col min="11794" max="11794" width="30.26953125" style="467" customWidth="1"/>
    <col min="11795" max="11795" width="24.1796875" style="467" bestFit="1" customWidth="1"/>
    <col min="11796" max="11797" width="11" style="467" customWidth="1"/>
    <col min="11798" max="11798" width="9.1796875" style="467"/>
    <col min="11799" max="11799" width="9.26953125" style="467" bestFit="1" customWidth="1"/>
    <col min="11800" max="12045" width="9.1796875" style="467"/>
    <col min="12046" max="12046" width="3.1796875" style="467" customWidth="1"/>
    <col min="12047" max="12047" width="22.81640625" style="467" customWidth="1"/>
    <col min="12048" max="12048" width="43.453125" style="467" customWidth="1"/>
    <col min="12049" max="12049" width="80.26953125" style="467" customWidth="1"/>
    <col min="12050" max="12050" width="30.26953125" style="467" customWidth="1"/>
    <col min="12051" max="12051" width="24.1796875" style="467" bestFit="1" customWidth="1"/>
    <col min="12052" max="12053" width="11" style="467" customWidth="1"/>
    <col min="12054" max="12054" width="9.1796875" style="467"/>
    <col min="12055" max="12055" width="9.26953125" style="467" bestFit="1" customWidth="1"/>
    <col min="12056" max="12301" width="9.1796875" style="467"/>
    <col min="12302" max="12302" width="3.1796875" style="467" customWidth="1"/>
    <col min="12303" max="12303" width="22.81640625" style="467" customWidth="1"/>
    <col min="12304" max="12304" width="43.453125" style="467" customWidth="1"/>
    <col min="12305" max="12305" width="80.26953125" style="467" customWidth="1"/>
    <col min="12306" max="12306" width="30.26953125" style="467" customWidth="1"/>
    <col min="12307" max="12307" width="24.1796875" style="467" bestFit="1" customWidth="1"/>
    <col min="12308" max="12309" width="11" style="467" customWidth="1"/>
    <col min="12310" max="12310" width="9.1796875" style="467"/>
    <col min="12311" max="12311" width="9.26953125" style="467" bestFit="1" customWidth="1"/>
    <col min="12312" max="12557" width="9.1796875" style="467"/>
    <col min="12558" max="12558" width="3.1796875" style="467" customWidth="1"/>
    <col min="12559" max="12559" width="22.81640625" style="467" customWidth="1"/>
    <col min="12560" max="12560" width="43.453125" style="467" customWidth="1"/>
    <col min="12561" max="12561" width="80.26953125" style="467" customWidth="1"/>
    <col min="12562" max="12562" width="30.26953125" style="467" customWidth="1"/>
    <col min="12563" max="12563" width="24.1796875" style="467" bestFit="1" customWidth="1"/>
    <col min="12564" max="12565" width="11" style="467" customWidth="1"/>
    <col min="12566" max="12566" width="9.1796875" style="467"/>
    <col min="12567" max="12567" width="9.26953125" style="467" bestFit="1" customWidth="1"/>
    <col min="12568" max="12813" width="9.1796875" style="467"/>
    <col min="12814" max="12814" width="3.1796875" style="467" customWidth="1"/>
    <col min="12815" max="12815" width="22.81640625" style="467" customWidth="1"/>
    <col min="12816" max="12816" width="43.453125" style="467" customWidth="1"/>
    <col min="12817" max="12817" width="80.26953125" style="467" customWidth="1"/>
    <col min="12818" max="12818" width="30.26953125" style="467" customWidth="1"/>
    <col min="12819" max="12819" width="24.1796875" style="467" bestFit="1" customWidth="1"/>
    <col min="12820" max="12821" width="11" style="467" customWidth="1"/>
    <col min="12822" max="12822" width="9.1796875" style="467"/>
    <col min="12823" max="12823" width="9.26953125" style="467" bestFit="1" customWidth="1"/>
    <col min="12824" max="13069" width="9.1796875" style="467"/>
    <col min="13070" max="13070" width="3.1796875" style="467" customWidth="1"/>
    <col min="13071" max="13071" width="22.81640625" style="467" customWidth="1"/>
    <col min="13072" max="13072" width="43.453125" style="467" customWidth="1"/>
    <col min="13073" max="13073" width="80.26953125" style="467" customWidth="1"/>
    <col min="13074" max="13074" width="30.26953125" style="467" customWidth="1"/>
    <col min="13075" max="13075" width="24.1796875" style="467" bestFit="1" customWidth="1"/>
    <col min="13076" max="13077" width="11" style="467" customWidth="1"/>
    <col min="13078" max="13078" width="9.1796875" style="467"/>
    <col min="13079" max="13079" width="9.26953125" style="467" bestFit="1" customWidth="1"/>
    <col min="13080" max="13325" width="9.1796875" style="467"/>
    <col min="13326" max="13326" width="3.1796875" style="467" customWidth="1"/>
    <col min="13327" max="13327" width="22.81640625" style="467" customWidth="1"/>
    <col min="13328" max="13328" width="43.453125" style="467" customWidth="1"/>
    <col min="13329" max="13329" width="80.26953125" style="467" customWidth="1"/>
    <col min="13330" max="13330" width="30.26953125" style="467" customWidth="1"/>
    <col min="13331" max="13331" width="24.1796875" style="467" bestFit="1" customWidth="1"/>
    <col min="13332" max="13333" width="11" style="467" customWidth="1"/>
    <col min="13334" max="13334" width="9.1796875" style="467"/>
    <col min="13335" max="13335" width="9.26953125" style="467" bestFit="1" customWidth="1"/>
    <col min="13336" max="13581" width="9.1796875" style="467"/>
    <col min="13582" max="13582" width="3.1796875" style="467" customWidth="1"/>
    <col min="13583" max="13583" width="22.81640625" style="467" customWidth="1"/>
    <col min="13584" max="13584" width="43.453125" style="467" customWidth="1"/>
    <col min="13585" max="13585" width="80.26953125" style="467" customWidth="1"/>
    <col min="13586" max="13586" width="30.26953125" style="467" customWidth="1"/>
    <col min="13587" max="13587" width="24.1796875" style="467" bestFit="1" customWidth="1"/>
    <col min="13588" max="13589" width="11" style="467" customWidth="1"/>
    <col min="13590" max="13590" width="9.1796875" style="467"/>
    <col min="13591" max="13591" width="9.26953125" style="467" bestFit="1" customWidth="1"/>
    <col min="13592" max="13837" width="9.1796875" style="467"/>
    <col min="13838" max="13838" width="3.1796875" style="467" customWidth="1"/>
    <col min="13839" max="13839" width="22.81640625" style="467" customWidth="1"/>
    <col min="13840" max="13840" width="43.453125" style="467" customWidth="1"/>
    <col min="13841" max="13841" width="80.26953125" style="467" customWidth="1"/>
    <col min="13842" max="13842" width="30.26953125" style="467" customWidth="1"/>
    <col min="13843" max="13843" width="24.1796875" style="467" bestFit="1" customWidth="1"/>
    <col min="13844" max="13845" width="11" style="467" customWidth="1"/>
    <col min="13846" max="13846" width="9.1796875" style="467"/>
    <col min="13847" max="13847" width="9.26953125" style="467" bestFit="1" customWidth="1"/>
    <col min="13848" max="14093" width="9.1796875" style="467"/>
    <col min="14094" max="14094" width="3.1796875" style="467" customWidth="1"/>
    <col min="14095" max="14095" width="22.81640625" style="467" customWidth="1"/>
    <col min="14096" max="14096" width="43.453125" style="467" customWidth="1"/>
    <col min="14097" max="14097" width="80.26953125" style="467" customWidth="1"/>
    <col min="14098" max="14098" width="30.26953125" style="467" customWidth="1"/>
    <col min="14099" max="14099" width="24.1796875" style="467" bestFit="1" customWidth="1"/>
    <col min="14100" max="14101" width="11" style="467" customWidth="1"/>
    <col min="14102" max="14102" width="9.1796875" style="467"/>
    <col min="14103" max="14103" width="9.26953125" style="467" bestFit="1" customWidth="1"/>
    <col min="14104" max="14349" width="9.1796875" style="467"/>
    <col min="14350" max="14350" width="3.1796875" style="467" customWidth="1"/>
    <col min="14351" max="14351" width="22.81640625" style="467" customWidth="1"/>
    <col min="14352" max="14352" width="43.453125" style="467" customWidth="1"/>
    <col min="14353" max="14353" width="80.26953125" style="467" customWidth="1"/>
    <col min="14354" max="14354" width="30.26953125" style="467" customWidth="1"/>
    <col min="14355" max="14355" width="24.1796875" style="467" bestFit="1" customWidth="1"/>
    <col min="14356" max="14357" width="11" style="467" customWidth="1"/>
    <col min="14358" max="14358" width="9.1796875" style="467"/>
    <col min="14359" max="14359" width="9.26953125" style="467" bestFit="1" customWidth="1"/>
    <col min="14360" max="14605" width="9.1796875" style="467"/>
    <col min="14606" max="14606" width="3.1796875" style="467" customWidth="1"/>
    <col min="14607" max="14607" width="22.81640625" style="467" customWidth="1"/>
    <col min="14608" max="14608" width="43.453125" style="467" customWidth="1"/>
    <col min="14609" max="14609" width="80.26953125" style="467" customWidth="1"/>
    <col min="14610" max="14610" width="30.26953125" style="467" customWidth="1"/>
    <col min="14611" max="14611" width="24.1796875" style="467" bestFit="1" customWidth="1"/>
    <col min="14612" max="14613" width="11" style="467" customWidth="1"/>
    <col min="14614" max="14614" width="9.1796875" style="467"/>
    <col min="14615" max="14615" width="9.26953125" style="467" bestFit="1" customWidth="1"/>
    <col min="14616" max="14861" width="9.1796875" style="467"/>
    <col min="14862" max="14862" width="3.1796875" style="467" customWidth="1"/>
    <col min="14863" max="14863" width="22.81640625" style="467" customWidth="1"/>
    <col min="14864" max="14864" width="43.453125" style="467" customWidth="1"/>
    <col min="14865" max="14865" width="80.26953125" style="467" customWidth="1"/>
    <col min="14866" max="14866" width="30.26953125" style="467" customWidth="1"/>
    <col min="14867" max="14867" width="24.1796875" style="467" bestFit="1" customWidth="1"/>
    <col min="14868" max="14869" width="11" style="467" customWidth="1"/>
    <col min="14870" max="14870" width="9.1796875" style="467"/>
    <col min="14871" max="14871" width="9.26953125" style="467" bestFit="1" customWidth="1"/>
    <col min="14872" max="15117" width="9.1796875" style="467"/>
    <col min="15118" max="15118" width="3.1796875" style="467" customWidth="1"/>
    <col min="15119" max="15119" width="22.81640625" style="467" customWidth="1"/>
    <col min="15120" max="15120" width="43.453125" style="467" customWidth="1"/>
    <col min="15121" max="15121" width="80.26953125" style="467" customWidth="1"/>
    <col min="15122" max="15122" width="30.26953125" style="467" customWidth="1"/>
    <col min="15123" max="15123" width="24.1796875" style="467" bestFit="1" customWidth="1"/>
    <col min="15124" max="15125" width="11" style="467" customWidth="1"/>
    <col min="15126" max="15126" width="9.1796875" style="467"/>
    <col min="15127" max="15127" width="9.26953125" style="467" bestFit="1" customWidth="1"/>
    <col min="15128" max="15373" width="9.1796875" style="467"/>
    <col min="15374" max="15374" width="3.1796875" style="467" customWidth="1"/>
    <col min="15375" max="15375" width="22.81640625" style="467" customWidth="1"/>
    <col min="15376" max="15376" width="43.453125" style="467" customWidth="1"/>
    <col min="15377" max="15377" width="80.26953125" style="467" customWidth="1"/>
    <col min="15378" max="15378" width="30.26953125" style="467" customWidth="1"/>
    <col min="15379" max="15379" width="24.1796875" style="467" bestFit="1" customWidth="1"/>
    <col min="15380" max="15381" width="11" style="467" customWidth="1"/>
    <col min="15382" max="15382" width="9.1796875" style="467"/>
    <col min="15383" max="15383" width="9.26953125" style="467" bestFit="1" customWidth="1"/>
    <col min="15384" max="15629" width="9.1796875" style="467"/>
    <col min="15630" max="15630" width="3.1796875" style="467" customWidth="1"/>
    <col min="15631" max="15631" width="22.81640625" style="467" customWidth="1"/>
    <col min="15632" max="15632" width="43.453125" style="467" customWidth="1"/>
    <col min="15633" max="15633" width="80.26953125" style="467" customWidth="1"/>
    <col min="15634" max="15634" width="30.26953125" style="467" customWidth="1"/>
    <col min="15635" max="15635" width="24.1796875" style="467" bestFit="1" customWidth="1"/>
    <col min="15636" max="15637" width="11" style="467" customWidth="1"/>
    <col min="15638" max="15638" width="9.1796875" style="467"/>
    <col min="15639" max="15639" width="9.26953125" style="467" bestFit="1" customWidth="1"/>
    <col min="15640" max="15885" width="9.1796875" style="467"/>
    <col min="15886" max="15886" width="3.1796875" style="467" customWidth="1"/>
    <col min="15887" max="15887" width="22.81640625" style="467" customWidth="1"/>
    <col min="15888" max="15888" width="43.453125" style="467" customWidth="1"/>
    <col min="15889" max="15889" width="80.26953125" style="467" customWidth="1"/>
    <col min="15890" max="15890" width="30.26953125" style="467" customWidth="1"/>
    <col min="15891" max="15891" width="24.1796875" style="467" bestFit="1" customWidth="1"/>
    <col min="15892" max="15893" width="11" style="467" customWidth="1"/>
    <col min="15894" max="15894" width="9.1796875" style="467"/>
    <col min="15895" max="15895" width="9.26953125" style="467" bestFit="1" customWidth="1"/>
    <col min="15896" max="16141" width="9.1796875" style="467"/>
    <col min="16142" max="16142" width="3.1796875" style="467" customWidth="1"/>
    <col min="16143" max="16143" width="22.81640625" style="467" customWidth="1"/>
    <col min="16144" max="16144" width="43.453125" style="467" customWidth="1"/>
    <col min="16145" max="16145" width="80.26953125" style="467" customWidth="1"/>
    <col min="16146" max="16146" width="30.26953125" style="467" customWidth="1"/>
    <col min="16147" max="16147" width="24.1796875" style="467" bestFit="1" customWidth="1"/>
    <col min="16148" max="16149" width="11" style="467" customWidth="1"/>
    <col min="16150" max="16150" width="9.1796875" style="467"/>
    <col min="16151" max="16151" width="9.26953125" style="467" bestFit="1" customWidth="1"/>
    <col min="16152" max="16384" width="9.1796875" style="467"/>
  </cols>
  <sheetData>
    <row r="1" spans="1:120">
      <c r="A1" s="1533">
        <v>4</v>
      </c>
    </row>
    <row r="2" spans="1:120" ht="13">
      <c r="B2" s="1522" t="s">
        <v>1085</v>
      </c>
      <c r="C2" s="1522"/>
      <c r="D2" s="1522"/>
      <c r="E2" s="1522"/>
      <c r="F2" s="1534"/>
      <c r="G2" s="1534"/>
      <c r="H2" s="1534"/>
      <c r="I2" s="1837"/>
      <c r="J2" s="1837"/>
      <c r="K2" s="1837"/>
      <c r="L2" s="1531"/>
      <c r="M2" s="1522"/>
      <c r="N2" s="1522"/>
      <c r="O2" s="1522"/>
      <c r="P2" s="1522"/>
      <c r="Q2" s="1534"/>
      <c r="R2" s="1578"/>
      <c r="S2" s="1578"/>
      <c r="T2" s="1578"/>
      <c r="U2" s="1531"/>
      <c r="V2" s="1522"/>
      <c r="W2" s="1522"/>
      <c r="X2" s="1522"/>
      <c r="Y2" s="1522"/>
      <c r="Z2" s="1534"/>
      <c r="AA2" s="1578"/>
      <c r="AB2" s="1578"/>
      <c r="AC2" s="1578"/>
      <c r="AD2" s="1531"/>
      <c r="AE2" s="1522"/>
      <c r="AF2" s="1522"/>
      <c r="AG2" s="1522"/>
      <c r="AH2" s="1522"/>
      <c r="AI2" s="1534"/>
      <c r="AJ2" s="1578"/>
      <c r="AK2" s="1578"/>
      <c r="AL2" s="1578"/>
      <c r="AM2" s="1531"/>
      <c r="AN2" s="1522"/>
      <c r="AO2" s="1522"/>
      <c r="AP2" s="1522"/>
      <c r="AQ2" s="1522"/>
      <c r="AR2" s="1534"/>
      <c r="AS2" s="1578"/>
      <c r="AT2" s="1578"/>
      <c r="AU2" s="1578"/>
      <c r="AV2" s="1531"/>
      <c r="AW2" s="1522"/>
      <c r="AX2" s="1522"/>
      <c r="AY2" s="1522"/>
      <c r="AZ2" s="1522"/>
      <c r="BA2" s="1534"/>
      <c r="BB2" s="1578"/>
      <c r="BC2" s="1578"/>
      <c r="BD2" s="1578"/>
      <c r="BE2" s="1531"/>
      <c r="BF2" s="1522"/>
      <c r="BG2" s="1522"/>
      <c r="BH2" s="1522"/>
      <c r="BI2" s="1522"/>
      <c r="BJ2" s="1534"/>
      <c r="BK2" s="1578"/>
      <c r="BL2" s="1578"/>
      <c r="BM2" s="1578"/>
      <c r="BN2" s="1531"/>
      <c r="BO2" s="1522"/>
      <c r="BP2" s="1534"/>
      <c r="BQ2" s="1534"/>
      <c r="BR2" s="1534"/>
      <c r="BS2" s="1534"/>
      <c r="BT2" s="1534"/>
      <c r="BU2" s="1534"/>
      <c r="BV2" s="1836"/>
      <c r="BW2" s="1531"/>
      <c r="BX2" s="1522"/>
      <c r="BY2" s="1522"/>
      <c r="BZ2" s="1522"/>
      <c r="CA2" s="1522"/>
      <c r="CB2" s="1534"/>
      <c r="CC2" s="1522"/>
      <c r="CD2" s="1522"/>
      <c r="CE2" s="1523"/>
      <c r="CF2" s="1531"/>
      <c r="CG2" s="1522"/>
      <c r="CH2" s="1522"/>
      <c r="CI2" s="1522"/>
      <c r="CJ2" s="1522"/>
      <c r="CK2" s="1534"/>
      <c r="CL2" s="1522"/>
      <c r="CM2" s="1522"/>
      <c r="CN2" s="1523"/>
      <c r="CO2" s="1531"/>
      <c r="CP2" s="1522"/>
      <c r="CQ2" s="1522"/>
      <c r="CR2" s="1522"/>
      <c r="CS2" s="1522"/>
      <c r="CT2" s="1534"/>
      <c r="CU2" s="1522"/>
      <c r="CV2" s="1522"/>
      <c r="CW2" s="1523"/>
      <c r="CX2" s="1531"/>
      <c r="CY2" s="1522"/>
      <c r="CZ2" s="1522"/>
      <c r="DA2" s="1522"/>
      <c r="DB2" s="1522"/>
      <c r="DC2" s="1534"/>
      <c r="DD2" s="1522"/>
      <c r="DE2" s="1522"/>
      <c r="DF2" s="1523"/>
      <c r="DG2" s="1531"/>
      <c r="DH2" s="1522"/>
      <c r="DI2" s="1522"/>
      <c r="DJ2" s="1522"/>
      <c r="DK2" s="1522"/>
      <c r="DL2" s="1534"/>
      <c r="DM2" s="1522"/>
      <c r="DN2" s="1522"/>
      <c r="DO2" s="1523"/>
      <c r="DP2" s="1531"/>
    </row>
    <row r="4" spans="1:120" ht="15.5">
      <c r="D4" s="2393" t="s">
        <v>740</v>
      </c>
      <c r="E4" s="2393"/>
      <c r="F4" s="2393"/>
      <c r="G4" s="2393"/>
      <c r="H4" s="2393"/>
      <c r="I4" s="2393"/>
      <c r="J4" s="2393"/>
      <c r="K4" s="2393"/>
      <c r="L4" s="2393"/>
      <c r="M4" s="2393" t="s">
        <v>681</v>
      </c>
      <c r="N4" s="2393"/>
      <c r="O4" s="2393"/>
      <c r="P4" s="2393"/>
      <c r="Q4" s="2393"/>
      <c r="R4" s="2393"/>
      <c r="S4" s="2393"/>
      <c r="T4" s="2393"/>
      <c r="U4" s="2393"/>
      <c r="V4" s="2393" t="s">
        <v>2079</v>
      </c>
      <c r="W4" s="2393"/>
      <c r="X4" s="2393"/>
      <c r="Y4" s="2393"/>
      <c r="Z4" s="2393"/>
      <c r="AA4" s="2393"/>
      <c r="AB4" s="2393"/>
      <c r="AC4" s="2393"/>
      <c r="AD4" s="2393"/>
      <c r="AE4" s="2393" t="s">
        <v>208</v>
      </c>
      <c r="AF4" s="2393"/>
      <c r="AG4" s="2393"/>
      <c r="AH4" s="2393"/>
      <c r="AI4" s="2393"/>
      <c r="AJ4" s="2393"/>
      <c r="AK4" s="2393"/>
      <c r="AL4" s="2393"/>
      <c r="AM4" s="2393"/>
      <c r="AN4" s="2393" t="s">
        <v>154</v>
      </c>
      <c r="AO4" s="2393"/>
      <c r="AP4" s="2393"/>
      <c r="AQ4" s="2393"/>
      <c r="AR4" s="2393"/>
      <c r="AS4" s="2393"/>
      <c r="AT4" s="2393"/>
      <c r="AU4" s="2393"/>
      <c r="AV4" s="2393"/>
      <c r="AW4" s="2393" t="s">
        <v>745</v>
      </c>
      <c r="AX4" s="2393"/>
      <c r="AY4" s="2393"/>
      <c r="AZ4" s="2393"/>
      <c r="BA4" s="2393"/>
      <c r="BB4" s="2393"/>
      <c r="BC4" s="2393"/>
      <c r="BD4" s="2393"/>
      <c r="BE4" s="2393"/>
      <c r="BF4" s="2393" t="s">
        <v>953</v>
      </c>
      <c r="BG4" s="2393"/>
      <c r="BH4" s="2393"/>
      <c r="BI4" s="2393"/>
      <c r="BJ4" s="2393"/>
      <c r="BK4" s="2393"/>
      <c r="BL4" s="2393"/>
      <c r="BM4" s="2393"/>
      <c r="BN4" s="2393"/>
      <c r="BO4" s="2393" t="s">
        <v>943</v>
      </c>
      <c r="BP4" s="2393"/>
      <c r="BQ4" s="2393"/>
      <c r="BR4" s="2393"/>
      <c r="BS4" s="2393"/>
      <c r="BT4" s="2393"/>
      <c r="BU4" s="2393"/>
      <c r="BV4" s="2393"/>
      <c r="BW4" s="2393"/>
      <c r="BX4" s="2393" t="s">
        <v>1045</v>
      </c>
      <c r="BY4" s="2393"/>
      <c r="BZ4" s="2393"/>
      <c r="CA4" s="2393"/>
      <c r="CB4" s="2393"/>
      <c r="CC4" s="2393"/>
      <c r="CD4" s="2393"/>
      <c r="CE4" s="2393"/>
      <c r="CF4" s="2393"/>
      <c r="CG4" s="2393" t="s">
        <v>1057</v>
      </c>
      <c r="CH4" s="2393"/>
      <c r="CI4" s="2393"/>
      <c r="CJ4" s="2393"/>
      <c r="CK4" s="2393"/>
      <c r="CL4" s="2393"/>
      <c r="CM4" s="2393"/>
      <c r="CN4" s="2393"/>
      <c r="CO4" s="2393"/>
      <c r="CP4" s="2393" t="s">
        <v>676</v>
      </c>
      <c r="CQ4" s="2393"/>
      <c r="CR4" s="2393"/>
      <c r="CS4" s="2393"/>
      <c r="CT4" s="2393"/>
      <c r="CU4" s="2393"/>
      <c r="CV4" s="2393"/>
      <c r="CW4" s="2393"/>
      <c r="CX4" s="2393"/>
      <c r="CY4" s="2393" t="s">
        <v>2261</v>
      </c>
      <c r="CZ4" s="2393"/>
      <c r="DA4" s="2393"/>
      <c r="DB4" s="2393"/>
      <c r="DC4" s="2393"/>
      <c r="DD4" s="2393"/>
      <c r="DE4" s="2393"/>
      <c r="DF4" s="2393"/>
      <c r="DG4" s="2393"/>
      <c r="DH4" s="2393" t="s">
        <v>2284</v>
      </c>
      <c r="DI4" s="2393"/>
      <c r="DJ4" s="2393"/>
      <c r="DK4" s="2393"/>
      <c r="DL4" s="2393"/>
      <c r="DM4" s="2393"/>
      <c r="DN4" s="2393"/>
      <c r="DO4" s="2393"/>
      <c r="DP4" s="2393"/>
    </row>
    <row r="5" spans="1:120" s="1524" customFormat="1" ht="11.5">
      <c r="D5" s="1525"/>
      <c r="E5" s="1525" t="s">
        <v>689</v>
      </c>
      <c r="F5" s="1525" t="s">
        <v>747</v>
      </c>
      <c r="G5" s="1525" t="s">
        <v>749</v>
      </c>
      <c r="H5" s="1525" t="s">
        <v>2343</v>
      </c>
      <c r="I5" s="1579" t="s">
        <v>750</v>
      </c>
      <c r="J5" s="1579" t="s">
        <v>2042</v>
      </c>
      <c r="K5" s="1579" t="s">
        <v>751</v>
      </c>
      <c r="L5" s="1525" t="s">
        <v>748</v>
      </c>
      <c r="M5" s="1525"/>
      <c r="N5" s="1525" t="s">
        <v>689</v>
      </c>
      <c r="O5" s="1525" t="s">
        <v>747</v>
      </c>
      <c r="P5" s="1525" t="s">
        <v>749</v>
      </c>
      <c r="Q5" s="1525" t="s">
        <v>2343</v>
      </c>
      <c r="R5" s="1579" t="s">
        <v>750</v>
      </c>
      <c r="S5" s="1579" t="s">
        <v>2042</v>
      </c>
      <c r="T5" s="1579" t="s">
        <v>751</v>
      </c>
      <c r="U5" s="1525" t="s">
        <v>748</v>
      </c>
      <c r="V5" s="1525"/>
      <c r="W5" s="1525" t="s">
        <v>689</v>
      </c>
      <c r="X5" s="1525" t="s">
        <v>747</v>
      </c>
      <c r="Y5" s="1525" t="s">
        <v>749</v>
      </c>
      <c r="Z5" s="1525" t="s">
        <v>2343</v>
      </c>
      <c r="AA5" s="1579" t="s">
        <v>750</v>
      </c>
      <c r="AB5" s="1579" t="s">
        <v>2042</v>
      </c>
      <c r="AC5" s="1579" t="s">
        <v>751</v>
      </c>
      <c r="AD5" s="1525" t="s">
        <v>748</v>
      </c>
      <c r="AE5" s="1525"/>
      <c r="AF5" s="1525" t="s">
        <v>689</v>
      </c>
      <c r="AG5" s="1525" t="s">
        <v>747</v>
      </c>
      <c r="AH5" s="1525" t="s">
        <v>749</v>
      </c>
      <c r="AI5" s="1525" t="s">
        <v>2343</v>
      </c>
      <c r="AJ5" s="1579" t="s">
        <v>750</v>
      </c>
      <c r="AK5" s="1579" t="s">
        <v>2042</v>
      </c>
      <c r="AL5" s="1579" t="s">
        <v>751</v>
      </c>
      <c r="AM5" s="1525" t="s">
        <v>748</v>
      </c>
      <c r="AN5" s="1525"/>
      <c r="AO5" s="1525" t="s">
        <v>689</v>
      </c>
      <c r="AP5" s="1525" t="s">
        <v>747</v>
      </c>
      <c r="AQ5" s="1525" t="s">
        <v>749</v>
      </c>
      <c r="AR5" s="1525" t="s">
        <v>2343</v>
      </c>
      <c r="AS5" s="1579" t="s">
        <v>750</v>
      </c>
      <c r="AT5" s="1579" t="s">
        <v>2042</v>
      </c>
      <c r="AU5" s="1579" t="s">
        <v>751</v>
      </c>
      <c r="AV5" s="1525" t="s">
        <v>748</v>
      </c>
      <c r="AW5" s="1525"/>
      <c r="AX5" s="1525" t="s">
        <v>689</v>
      </c>
      <c r="AY5" s="1525" t="s">
        <v>747</v>
      </c>
      <c r="AZ5" s="1525" t="s">
        <v>749</v>
      </c>
      <c r="BA5" s="1525" t="s">
        <v>2343</v>
      </c>
      <c r="BB5" s="1579" t="s">
        <v>750</v>
      </c>
      <c r="BC5" s="1579" t="s">
        <v>2042</v>
      </c>
      <c r="BD5" s="1579" t="s">
        <v>751</v>
      </c>
      <c r="BE5" s="1525" t="s">
        <v>748</v>
      </c>
      <c r="BF5" s="1525"/>
      <c r="BG5" s="1525" t="s">
        <v>689</v>
      </c>
      <c r="BH5" s="1525" t="s">
        <v>747</v>
      </c>
      <c r="BI5" s="1525" t="s">
        <v>749</v>
      </c>
      <c r="BJ5" s="1525" t="s">
        <v>2343</v>
      </c>
      <c r="BK5" s="1579" t="s">
        <v>750</v>
      </c>
      <c r="BL5" s="1579" t="s">
        <v>2042</v>
      </c>
      <c r="BM5" s="1579" t="s">
        <v>751</v>
      </c>
      <c r="BN5" s="1525" t="s">
        <v>748</v>
      </c>
      <c r="BO5" s="1525"/>
      <c r="BP5" s="1525" t="s">
        <v>689</v>
      </c>
      <c r="BQ5" s="1525" t="s">
        <v>747</v>
      </c>
      <c r="BR5" s="1525" t="s">
        <v>749</v>
      </c>
      <c r="BS5" s="1525" t="s">
        <v>2343</v>
      </c>
      <c r="BT5" s="1579" t="s">
        <v>750</v>
      </c>
      <c r="BU5" s="1579" t="s">
        <v>2042</v>
      </c>
      <c r="BV5" s="1579" t="s">
        <v>751</v>
      </c>
      <c r="BW5" s="1525" t="s">
        <v>748</v>
      </c>
      <c r="BX5" s="1525"/>
      <c r="BY5" s="1525" t="s">
        <v>689</v>
      </c>
      <c r="BZ5" s="1525" t="s">
        <v>747</v>
      </c>
      <c r="CA5" s="1525" t="s">
        <v>749</v>
      </c>
      <c r="CB5" s="1525" t="s">
        <v>2343</v>
      </c>
      <c r="CC5" s="1579" t="s">
        <v>750</v>
      </c>
      <c r="CD5" s="1579" t="s">
        <v>2042</v>
      </c>
      <c r="CE5" s="1579" t="s">
        <v>751</v>
      </c>
      <c r="CF5" s="1525" t="s">
        <v>748</v>
      </c>
      <c r="CG5" s="1525"/>
      <c r="CH5" s="1525" t="s">
        <v>689</v>
      </c>
      <c r="CI5" s="1525" t="s">
        <v>747</v>
      </c>
      <c r="CJ5" s="1525" t="s">
        <v>749</v>
      </c>
      <c r="CK5" s="1525" t="s">
        <v>2343</v>
      </c>
      <c r="CL5" s="1579" t="s">
        <v>750</v>
      </c>
      <c r="CM5" s="1579" t="s">
        <v>2042</v>
      </c>
      <c r="CN5" s="1579" t="s">
        <v>751</v>
      </c>
      <c r="CO5" s="1525" t="s">
        <v>748</v>
      </c>
      <c r="CP5" s="1525"/>
      <c r="CQ5" s="1525" t="s">
        <v>689</v>
      </c>
      <c r="CR5" s="1525" t="s">
        <v>747</v>
      </c>
      <c r="CS5" s="1525" t="s">
        <v>749</v>
      </c>
      <c r="CT5" s="1525" t="s">
        <v>2343</v>
      </c>
      <c r="CU5" s="1579" t="s">
        <v>750</v>
      </c>
      <c r="CV5" s="1579" t="s">
        <v>2042</v>
      </c>
      <c r="CW5" s="1579" t="s">
        <v>751</v>
      </c>
      <c r="CX5" s="1525" t="s">
        <v>748</v>
      </c>
      <c r="CY5" s="1525"/>
      <c r="CZ5" s="1525" t="s">
        <v>689</v>
      </c>
      <c r="DA5" s="1525" t="s">
        <v>747</v>
      </c>
      <c r="DB5" s="1525" t="s">
        <v>749</v>
      </c>
      <c r="DC5" s="1525" t="s">
        <v>2343</v>
      </c>
      <c r="DD5" s="1579" t="s">
        <v>750</v>
      </c>
      <c r="DE5" s="1579" t="s">
        <v>2042</v>
      </c>
      <c r="DF5" s="1579" t="s">
        <v>751</v>
      </c>
      <c r="DG5" s="1525" t="s">
        <v>748</v>
      </c>
      <c r="DH5" s="1525"/>
      <c r="DI5" s="1525" t="s">
        <v>689</v>
      </c>
      <c r="DJ5" s="1525" t="s">
        <v>747</v>
      </c>
      <c r="DK5" s="1525" t="s">
        <v>749</v>
      </c>
      <c r="DL5" s="1525" t="s">
        <v>2343</v>
      </c>
      <c r="DM5" s="1579" t="s">
        <v>750</v>
      </c>
      <c r="DN5" s="1579" t="s">
        <v>2042</v>
      </c>
      <c r="DO5" s="1579" t="s">
        <v>751</v>
      </c>
      <c r="DP5" s="1525" t="s">
        <v>748</v>
      </c>
    </row>
    <row r="6" spans="1:120" s="1524" customFormat="1">
      <c r="D6" s="1526">
        <v>1</v>
      </c>
      <c r="E6" s="1580" t="s">
        <v>406</v>
      </c>
      <c r="F6" s="1580" t="s">
        <v>753</v>
      </c>
      <c r="G6" s="1580" t="s">
        <v>2064</v>
      </c>
      <c r="H6" s="1585" t="s">
        <v>915</v>
      </c>
      <c r="I6" s="1589" t="s">
        <v>916</v>
      </c>
      <c r="J6" s="1589" t="s">
        <v>2043</v>
      </c>
      <c r="K6" s="1589"/>
      <c r="L6" s="1596" t="s">
        <v>754</v>
      </c>
      <c r="M6" s="1526">
        <v>1</v>
      </c>
      <c r="N6" s="1594" t="s">
        <v>687</v>
      </c>
      <c r="O6" s="1594" t="s">
        <v>983</v>
      </c>
      <c r="P6" s="1594" t="s">
        <v>2067</v>
      </c>
      <c r="Q6" s="1600" t="s">
        <v>985</v>
      </c>
      <c r="R6" s="1605" t="s">
        <v>986</v>
      </c>
      <c r="S6" s="1605" t="s">
        <v>2066</v>
      </c>
      <c r="T6" s="1605" t="s">
        <v>987</v>
      </c>
      <c r="U6" s="1596" t="s">
        <v>984</v>
      </c>
      <c r="V6" s="1526">
        <v>1</v>
      </c>
      <c r="W6" s="1594" t="s">
        <v>2135</v>
      </c>
      <c r="X6" s="1594" t="s">
        <v>2136</v>
      </c>
      <c r="Y6" s="1594" t="s">
        <v>2085</v>
      </c>
      <c r="Z6" s="1600" t="s">
        <v>963</v>
      </c>
      <c r="AA6" s="1605" t="s">
        <v>964</v>
      </c>
      <c r="AB6" s="1605" t="s">
        <v>2084</v>
      </c>
      <c r="AC6" s="1605" t="s">
        <v>965</v>
      </c>
      <c r="AD6" s="1596" t="s">
        <v>2137</v>
      </c>
      <c r="AE6" s="1526">
        <v>1</v>
      </c>
      <c r="AF6" s="1594" t="s">
        <v>996</v>
      </c>
      <c r="AG6" s="1594" t="s">
        <v>997</v>
      </c>
      <c r="AH6" s="1594" t="s">
        <v>998</v>
      </c>
      <c r="AI6" s="1600" t="s">
        <v>999</v>
      </c>
      <c r="AJ6" s="1605" t="s">
        <v>1000</v>
      </c>
      <c r="AK6" s="1605"/>
      <c r="AL6" s="1605" t="s">
        <v>1001</v>
      </c>
      <c r="AM6" s="1596" t="s">
        <v>2138</v>
      </c>
      <c r="AN6" s="1526">
        <v>1</v>
      </c>
      <c r="AO6" s="1594" t="s">
        <v>1068</v>
      </c>
      <c r="AP6" s="1594" t="s">
        <v>1069</v>
      </c>
      <c r="AQ6" s="1594" t="s">
        <v>2100</v>
      </c>
      <c r="AR6" s="1600" t="s">
        <v>1071</v>
      </c>
      <c r="AS6" s="1605" t="s">
        <v>1072</v>
      </c>
      <c r="AT6" s="1605" t="s">
        <v>2099</v>
      </c>
      <c r="AU6" s="1605" t="s">
        <v>1073</v>
      </c>
      <c r="AV6" s="1596" t="s">
        <v>1070</v>
      </c>
      <c r="AW6" s="1526">
        <v>1</v>
      </c>
      <c r="AX6" s="1594" t="s">
        <v>752</v>
      </c>
      <c r="AY6" s="1594" t="s">
        <v>753</v>
      </c>
      <c r="AZ6" s="1594" t="s">
        <v>2108</v>
      </c>
      <c r="BA6" s="1600" t="s">
        <v>755</v>
      </c>
      <c r="BB6" s="1605" t="s">
        <v>756</v>
      </c>
      <c r="BC6" s="1605" t="s">
        <v>2107</v>
      </c>
      <c r="BD6" s="1605" t="s">
        <v>2139</v>
      </c>
      <c r="BE6" s="1596" t="s">
        <v>754</v>
      </c>
      <c r="BF6" s="1526">
        <v>1</v>
      </c>
      <c r="BG6" s="1594" t="s">
        <v>954</v>
      </c>
      <c r="BH6" s="1594" t="s">
        <v>955</v>
      </c>
      <c r="BI6" s="1594" t="s">
        <v>956</v>
      </c>
      <c r="BJ6" s="1600" t="s">
        <v>957</v>
      </c>
      <c r="BK6" s="1605" t="s">
        <v>958</v>
      </c>
      <c r="BL6" s="1605"/>
      <c r="BM6" s="1605" t="s">
        <v>959</v>
      </c>
      <c r="BN6" s="1596" t="s">
        <v>2140</v>
      </c>
      <c r="BO6" s="1526">
        <v>1</v>
      </c>
      <c r="BP6" s="1594" t="s">
        <v>944</v>
      </c>
      <c r="BQ6" s="1594" t="s">
        <v>945</v>
      </c>
      <c r="BR6" s="1594" t="s">
        <v>2240</v>
      </c>
      <c r="BS6" s="1600" t="s">
        <v>947</v>
      </c>
      <c r="BT6" s="1605" t="s">
        <v>948</v>
      </c>
      <c r="BU6" s="1605" t="s">
        <v>2238</v>
      </c>
      <c r="BV6" s="1605" t="s">
        <v>949</v>
      </c>
      <c r="BW6" s="1596" t="s">
        <v>946</v>
      </c>
      <c r="BX6" s="1526">
        <v>1</v>
      </c>
      <c r="BY6" s="1594" t="s">
        <v>1046</v>
      </c>
      <c r="BZ6" s="1594" t="s">
        <v>1047</v>
      </c>
      <c r="CA6" s="1594" t="s">
        <v>1049</v>
      </c>
      <c r="CB6" s="1600" t="s">
        <v>1050</v>
      </c>
      <c r="CC6" s="1605" t="s">
        <v>1051</v>
      </c>
      <c r="CD6" s="1605"/>
      <c r="CE6" s="1605" t="s">
        <v>1052</v>
      </c>
      <c r="CF6" s="1596" t="s">
        <v>1048</v>
      </c>
      <c r="CG6" s="1526">
        <v>1</v>
      </c>
      <c r="CH6" s="1594" t="s">
        <v>1058</v>
      </c>
      <c r="CI6" s="1594" t="s">
        <v>1059</v>
      </c>
      <c r="CJ6" s="1594" t="s">
        <v>2244</v>
      </c>
      <c r="CK6" s="1600" t="s">
        <v>1061</v>
      </c>
      <c r="CL6" s="1605" t="s">
        <v>1062</v>
      </c>
      <c r="CM6" s="1605" t="s">
        <v>2242</v>
      </c>
      <c r="CN6" s="1605" t="s">
        <v>1063</v>
      </c>
      <c r="CO6" s="1596" t="s">
        <v>1060</v>
      </c>
      <c r="CP6" s="1526">
        <v>1</v>
      </c>
      <c r="CQ6" s="1594" t="s">
        <v>684</v>
      </c>
      <c r="CR6" s="1594" t="s">
        <v>2247</v>
      </c>
      <c r="CS6" s="1594" t="s">
        <v>2259</v>
      </c>
      <c r="CT6" s="1621" t="s">
        <v>2367</v>
      </c>
      <c r="CU6" s="1605" t="s">
        <v>2250</v>
      </c>
      <c r="CV6" s="1594" t="s">
        <v>2260</v>
      </c>
      <c r="CW6" s="1605" t="s">
        <v>2251</v>
      </c>
      <c r="CX6" s="1596" t="s">
        <v>2252</v>
      </c>
      <c r="CY6" s="1526">
        <v>1</v>
      </c>
      <c r="CZ6" s="1594" t="s">
        <v>2262</v>
      </c>
      <c r="DA6" s="1594" t="s">
        <v>2263</v>
      </c>
      <c r="DB6" s="1594" t="s">
        <v>2264</v>
      </c>
      <c r="DC6" s="1621" t="s">
        <v>2265</v>
      </c>
      <c r="DD6" s="1605" t="s">
        <v>2266</v>
      </c>
      <c r="DE6" s="1594"/>
      <c r="DF6" s="1605" t="s">
        <v>2267</v>
      </c>
      <c r="DG6" s="1596" t="s">
        <v>2268</v>
      </c>
      <c r="DH6" s="1526">
        <v>1</v>
      </c>
      <c r="DI6" s="1594" t="s">
        <v>2270</v>
      </c>
      <c r="DJ6" s="1594" t="s">
        <v>2271</v>
      </c>
      <c r="DK6" s="1594" t="s">
        <v>2272</v>
      </c>
      <c r="DL6" s="1621" t="s">
        <v>2273</v>
      </c>
      <c r="DM6" s="1605" t="s">
        <v>2274</v>
      </c>
      <c r="DN6" s="1594" t="s">
        <v>2276</v>
      </c>
      <c r="DO6" s="1605" t="s">
        <v>2275</v>
      </c>
      <c r="DP6" s="1596" t="s">
        <v>2277</v>
      </c>
    </row>
    <row r="7" spans="1:120" s="1524" customFormat="1" ht="11.5">
      <c r="D7" s="1527"/>
      <c r="E7" s="1581"/>
      <c r="F7" s="1581"/>
      <c r="G7" s="1581" t="s">
        <v>2065</v>
      </c>
      <c r="H7" s="1586" t="s">
        <v>917</v>
      </c>
      <c r="I7" s="1590" t="s">
        <v>918</v>
      </c>
      <c r="J7" s="1590" t="s">
        <v>2044</v>
      </c>
      <c r="K7" s="1590"/>
      <c r="L7" s="1597"/>
      <c r="M7" s="1527"/>
      <c r="N7" s="1595"/>
      <c r="O7" s="1595"/>
      <c r="P7" s="1595" t="s">
        <v>2068</v>
      </c>
      <c r="Q7" s="1601" t="s">
        <v>988</v>
      </c>
      <c r="R7" s="1606"/>
      <c r="S7" s="1606" t="s">
        <v>2069</v>
      </c>
      <c r="T7" s="1606"/>
      <c r="U7" s="1597"/>
      <c r="V7" s="1529"/>
      <c r="W7" s="1593"/>
      <c r="X7" s="1593"/>
      <c r="Y7" s="1593"/>
      <c r="Z7" s="1602"/>
      <c r="AA7" s="1607"/>
      <c r="AB7" s="1607"/>
      <c r="AC7" s="1607"/>
      <c r="AD7" s="1599"/>
      <c r="AE7" s="1529"/>
      <c r="AF7" s="1593"/>
      <c r="AG7" s="1593"/>
      <c r="AH7" s="1593"/>
      <c r="AI7" s="1602"/>
      <c r="AJ7" s="1607"/>
      <c r="AK7" s="1607"/>
      <c r="AL7" s="1607"/>
      <c r="AM7" s="1599"/>
      <c r="AN7" s="1527"/>
      <c r="AO7" s="1595"/>
      <c r="AP7" s="1595"/>
      <c r="AQ7" s="1595" t="s">
        <v>2102</v>
      </c>
      <c r="AR7" s="1601" t="s">
        <v>1074</v>
      </c>
      <c r="AS7" s="1606" t="s">
        <v>1072</v>
      </c>
      <c r="AT7" s="1606" t="s">
        <v>2101</v>
      </c>
      <c r="AU7" s="1606" t="s">
        <v>1073</v>
      </c>
      <c r="AV7" s="1597"/>
      <c r="AW7" s="1527"/>
      <c r="AX7" s="1595"/>
      <c r="AY7" s="1595"/>
      <c r="AZ7" s="1595" t="s">
        <v>2110</v>
      </c>
      <c r="BA7" s="1601" t="s">
        <v>757</v>
      </c>
      <c r="BB7" s="1606" t="s">
        <v>758</v>
      </c>
      <c r="BC7" s="1606" t="s">
        <v>2109</v>
      </c>
      <c r="BD7" s="1606"/>
      <c r="BE7" s="1597"/>
      <c r="BF7" s="1529"/>
      <c r="BG7" s="1593"/>
      <c r="BH7" s="1593"/>
      <c r="BI7" s="1593"/>
      <c r="BJ7" s="1602"/>
      <c r="BK7" s="1607"/>
      <c r="BL7" s="1607"/>
      <c r="BM7" s="1607"/>
      <c r="BN7" s="1599"/>
      <c r="BO7" s="1529"/>
      <c r="BP7" s="1593"/>
      <c r="BQ7" s="1593"/>
      <c r="BR7" s="1593"/>
      <c r="BS7" s="1602"/>
      <c r="BT7" s="1607"/>
      <c r="BU7" s="1607"/>
      <c r="BV7" s="1607"/>
      <c r="BW7" s="1599"/>
      <c r="BX7" s="1529"/>
      <c r="BY7" s="1593"/>
      <c r="BZ7" s="1593"/>
      <c r="CA7" s="1593"/>
      <c r="CB7" s="1602"/>
      <c r="CC7" s="1607"/>
      <c r="CD7" s="1607"/>
      <c r="CE7" s="1607"/>
      <c r="CF7" s="1599"/>
      <c r="CG7" s="1529"/>
      <c r="CH7" s="1593"/>
      <c r="CI7" s="1593"/>
      <c r="CJ7" s="1593"/>
      <c r="CK7" s="1602"/>
      <c r="CL7" s="1607"/>
      <c r="CM7" s="1607"/>
      <c r="CN7" s="1607"/>
      <c r="CO7" s="1599"/>
      <c r="CQ7" s="1595"/>
      <c r="CR7" s="1595"/>
      <c r="CS7" s="1595" t="s">
        <v>2248</v>
      </c>
      <c r="CT7" s="1611" t="s">
        <v>2249</v>
      </c>
      <c r="CU7" s="1595" t="s">
        <v>2250</v>
      </c>
      <c r="CV7" s="1606" t="s">
        <v>2258</v>
      </c>
      <c r="CW7" s="1595" t="s">
        <v>2251</v>
      </c>
      <c r="CX7" s="1595"/>
      <c r="CY7" s="1529"/>
      <c r="CZ7" s="1593"/>
      <c r="DA7" s="1593"/>
      <c r="DB7" s="1593"/>
      <c r="DC7" s="1602"/>
      <c r="DD7" s="1607"/>
      <c r="DE7" s="1607"/>
      <c r="DF7" s="1607"/>
      <c r="DG7" s="1599"/>
      <c r="DH7" s="1529"/>
      <c r="DI7" s="1593"/>
      <c r="DJ7" s="1593"/>
      <c r="DK7" s="1593"/>
      <c r="DL7" s="1602"/>
      <c r="DM7" s="1607"/>
      <c r="DN7" s="1607"/>
      <c r="DO7" s="1607"/>
      <c r="DP7" s="1599"/>
    </row>
    <row r="8" spans="1:120" s="1524" customFormat="1" ht="23">
      <c r="D8" s="1527"/>
      <c r="E8" s="1581"/>
      <c r="F8" s="1582"/>
      <c r="G8" s="1581" t="s">
        <v>2063</v>
      </c>
      <c r="H8" s="1586" t="s">
        <v>919</v>
      </c>
      <c r="I8" s="1590"/>
      <c r="J8" s="1592" t="s">
        <v>2141</v>
      </c>
      <c r="K8" s="1590"/>
      <c r="L8" s="1598"/>
      <c r="M8" s="1529"/>
      <c r="N8" s="1593"/>
      <c r="O8" s="1593"/>
      <c r="P8" s="1593"/>
      <c r="Q8" s="1602"/>
      <c r="R8" s="1607"/>
      <c r="S8" s="1607"/>
      <c r="T8" s="1607"/>
      <c r="U8" s="1599"/>
      <c r="V8" s="1526">
        <v>2</v>
      </c>
      <c r="W8" s="1594" t="s">
        <v>966</v>
      </c>
      <c r="X8" s="1594" t="s">
        <v>967</v>
      </c>
      <c r="Y8" s="1594" t="s">
        <v>969</v>
      </c>
      <c r="Z8" s="1600" t="s">
        <v>970</v>
      </c>
      <c r="AA8" s="1605" t="s">
        <v>971</v>
      </c>
      <c r="AB8" s="1605"/>
      <c r="AC8" s="1605" t="s">
        <v>972</v>
      </c>
      <c r="AD8" s="1596" t="s">
        <v>968</v>
      </c>
      <c r="AE8" s="1526">
        <v>2</v>
      </c>
      <c r="AF8" s="1594" t="s">
        <v>1002</v>
      </c>
      <c r="AG8" s="1594" t="s">
        <v>1003</v>
      </c>
      <c r="AH8" s="1594" t="s">
        <v>1005</v>
      </c>
      <c r="AI8" s="1600" t="s">
        <v>1006</v>
      </c>
      <c r="AJ8" s="1605" t="s">
        <v>1007</v>
      </c>
      <c r="AK8" s="1605"/>
      <c r="AL8" s="1605" t="s">
        <v>1008</v>
      </c>
      <c r="AM8" s="1596" t="s">
        <v>1004</v>
      </c>
      <c r="AN8" s="1529"/>
      <c r="AO8" s="1593"/>
      <c r="AP8" s="1593"/>
      <c r="AQ8" s="1593"/>
      <c r="AR8" s="1602"/>
      <c r="AS8" s="1607"/>
      <c r="AT8" s="1607"/>
      <c r="AU8" s="1607"/>
      <c r="AV8" s="1599"/>
      <c r="AW8" s="1527"/>
      <c r="AX8" s="1595"/>
      <c r="AY8" s="1595"/>
      <c r="AZ8" s="1595" t="s">
        <v>2111</v>
      </c>
      <c r="BA8" s="1601" t="s">
        <v>759</v>
      </c>
      <c r="BB8" s="1606" t="s">
        <v>2133</v>
      </c>
      <c r="BC8" s="1606" t="s">
        <v>2112</v>
      </c>
      <c r="BD8" s="1606"/>
      <c r="BE8" s="1597"/>
      <c r="BF8" s="1526">
        <v>2</v>
      </c>
      <c r="BG8" s="1594" t="s">
        <v>960</v>
      </c>
      <c r="BH8" s="1594" t="s">
        <v>2142</v>
      </c>
      <c r="BI8" s="1594" t="s">
        <v>2237</v>
      </c>
      <c r="BJ8" s="1600" t="s">
        <v>2143</v>
      </c>
      <c r="BK8" s="1605" t="s">
        <v>876</v>
      </c>
      <c r="BL8" s="1605" t="s">
        <v>2236</v>
      </c>
      <c r="BM8" s="1605" t="s">
        <v>877</v>
      </c>
      <c r="BN8" s="1596" t="s">
        <v>2144</v>
      </c>
      <c r="BO8" s="1526">
        <v>2</v>
      </c>
      <c r="BP8" s="1594" t="s">
        <v>910</v>
      </c>
      <c r="BQ8" s="1594" t="s">
        <v>910</v>
      </c>
      <c r="BR8" s="1594" t="s">
        <v>2241</v>
      </c>
      <c r="BS8" s="1600" t="s">
        <v>950</v>
      </c>
      <c r="BT8" s="1605" t="s">
        <v>951</v>
      </c>
      <c r="BU8" s="1605" t="s">
        <v>2239</v>
      </c>
      <c r="BV8" s="1605" t="s">
        <v>952</v>
      </c>
      <c r="BW8" s="1596" t="s">
        <v>911</v>
      </c>
      <c r="BX8" s="1526">
        <v>2</v>
      </c>
      <c r="BY8" s="1594" t="s">
        <v>1053</v>
      </c>
      <c r="BZ8" s="1594" t="s">
        <v>1054</v>
      </c>
      <c r="CA8" s="1600"/>
      <c r="CB8" s="1600"/>
      <c r="CC8" s="1605" t="s">
        <v>1055</v>
      </c>
      <c r="CD8" s="1605"/>
      <c r="CE8" s="1605" t="s">
        <v>1056</v>
      </c>
      <c r="CF8" s="1596" t="s">
        <v>2145</v>
      </c>
      <c r="CG8" s="1526">
        <v>2</v>
      </c>
      <c r="CH8" s="1594" t="s">
        <v>1064</v>
      </c>
      <c r="CI8" s="1594" t="s">
        <v>2245</v>
      </c>
      <c r="CJ8" s="1594" t="s">
        <v>1065</v>
      </c>
      <c r="CK8" s="1600"/>
      <c r="CL8" s="1605" t="s">
        <v>1066</v>
      </c>
      <c r="CM8" s="1605"/>
      <c r="CN8" s="1605" t="s">
        <v>1067</v>
      </c>
      <c r="CO8" s="1596" t="s">
        <v>2146</v>
      </c>
      <c r="CQ8" s="1595"/>
      <c r="CR8" s="1610" t="s">
        <v>684</v>
      </c>
      <c r="CS8" s="1595" t="s">
        <v>2253</v>
      </c>
      <c r="CT8" s="1612" t="s">
        <v>2254</v>
      </c>
      <c r="CU8" s="1595" t="s">
        <v>2255</v>
      </c>
      <c r="CV8" s="1595"/>
      <c r="CW8" s="1595" t="s">
        <v>2256</v>
      </c>
      <c r="CX8" s="1595" t="s">
        <v>2257</v>
      </c>
      <c r="DH8" s="1574">
        <v>2</v>
      </c>
      <c r="DI8" s="1594" t="s">
        <v>2279</v>
      </c>
      <c r="DJ8" s="1594" t="s">
        <v>1016</v>
      </c>
      <c r="DK8" s="1594" t="s">
        <v>2280</v>
      </c>
      <c r="DL8" s="1642" t="s">
        <v>2278</v>
      </c>
      <c r="DM8" s="1594" t="s">
        <v>2281</v>
      </c>
      <c r="DN8" s="1594" t="s">
        <v>2282</v>
      </c>
      <c r="DO8" s="1594" t="s">
        <v>1021</v>
      </c>
      <c r="DP8" s="1596" t="s">
        <v>2283</v>
      </c>
    </row>
    <row r="9" spans="1:120" s="1524" customFormat="1" ht="11.5">
      <c r="D9" s="1527"/>
      <c r="E9" s="1581"/>
      <c r="F9" s="1581"/>
      <c r="G9" s="1581" t="s">
        <v>1996</v>
      </c>
      <c r="H9" s="1586" t="s">
        <v>920</v>
      </c>
      <c r="I9" s="1590" t="s">
        <v>921</v>
      </c>
      <c r="J9" s="1590" t="s">
        <v>2368</v>
      </c>
      <c r="K9" s="1590"/>
      <c r="L9" s="1597"/>
      <c r="M9" s="1526">
        <v>2</v>
      </c>
      <c r="N9" s="1594" t="s">
        <v>2006</v>
      </c>
      <c r="O9" s="1594" t="s">
        <v>989</v>
      </c>
      <c r="P9" s="1594" t="s">
        <v>990</v>
      </c>
      <c r="Q9" s="1600" t="s">
        <v>991</v>
      </c>
      <c r="R9" s="1605" t="s">
        <v>2072</v>
      </c>
      <c r="S9" s="1605"/>
      <c r="T9" s="1605"/>
      <c r="U9" s="1596"/>
      <c r="V9" s="1529"/>
      <c r="W9" s="1593"/>
      <c r="X9" s="1593"/>
      <c r="Y9" s="1593" t="s">
        <v>973</v>
      </c>
      <c r="Z9" s="1602" t="s">
        <v>974</v>
      </c>
      <c r="AA9" s="1607"/>
      <c r="AB9" s="1607"/>
      <c r="AC9" s="1607"/>
      <c r="AD9" s="1599"/>
      <c r="AE9" s="1529"/>
      <c r="AF9" s="1593"/>
      <c r="AG9" s="1593"/>
      <c r="AH9" s="1593"/>
      <c r="AI9" s="1602"/>
      <c r="AJ9" s="1607"/>
      <c r="AK9" s="1607"/>
      <c r="AL9" s="1607"/>
      <c r="AM9" s="1599"/>
      <c r="AN9" s="1526">
        <v>2</v>
      </c>
      <c r="AO9" s="1594" t="s">
        <v>1075</v>
      </c>
      <c r="AP9" s="1594" t="s">
        <v>1076</v>
      </c>
      <c r="AQ9" s="1594" t="s">
        <v>2104</v>
      </c>
      <c r="AR9" s="1600" t="s">
        <v>1077</v>
      </c>
      <c r="AS9" s="1605" t="s">
        <v>1078</v>
      </c>
      <c r="AT9" s="1605" t="s">
        <v>2103</v>
      </c>
      <c r="AU9" s="1605" t="s">
        <v>1079</v>
      </c>
      <c r="AV9" s="1596" t="s">
        <v>2147</v>
      </c>
      <c r="AW9" s="1527"/>
      <c r="AX9" s="1595"/>
      <c r="AY9" s="1595"/>
      <c r="AZ9" s="1595" t="s">
        <v>760</v>
      </c>
      <c r="BA9" s="1601" t="s">
        <v>761</v>
      </c>
      <c r="BB9" s="1606" t="s">
        <v>762</v>
      </c>
      <c r="BC9" s="1606"/>
      <c r="BD9" s="1606"/>
      <c r="BE9" s="1597"/>
      <c r="BF9" s="1527"/>
      <c r="BG9" s="1595"/>
      <c r="BH9" s="1595"/>
      <c r="BI9" s="1595" t="s">
        <v>2089</v>
      </c>
      <c r="BJ9" s="1601" t="s">
        <v>2148</v>
      </c>
      <c r="BK9" s="1606"/>
      <c r="BL9" s="1606" t="s">
        <v>2088</v>
      </c>
      <c r="BM9" s="1606"/>
      <c r="BN9" s="1619"/>
      <c r="BO9" s="1529"/>
      <c r="BP9" s="1593"/>
      <c r="BQ9" s="1593"/>
      <c r="BR9" s="1593"/>
      <c r="BS9" s="1593"/>
      <c r="BT9" s="1607"/>
      <c r="BU9" s="1607"/>
      <c r="BV9" s="1607"/>
      <c r="BW9" s="1599"/>
      <c r="BX9" s="1529"/>
      <c r="BY9" s="1593"/>
      <c r="BZ9" s="1593"/>
      <c r="CA9" s="1593"/>
      <c r="CB9" s="1602"/>
      <c r="CC9" s="1607"/>
      <c r="CD9" s="1607"/>
      <c r="CE9" s="1607"/>
      <c r="CF9" s="1599"/>
      <c r="CG9" s="1529"/>
      <c r="CH9" s="1593"/>
      <c r="CI9" s="1593"/>
      <c r="CJ9" s="1593"/>
      <c r="CK9" s="1602"/>
      <c r="CL9" s="1607"/>
      <c r="CM9" s="1607"/>
      <c r="CN9" s="1607"/>
      <c r="CO9" s="1599"/>
      <c r="CP9" s="1529"/>
      <c r="CQ9" s="1593"/>
      <c r="CR9" s="1593"/>
      <c r="CS9" s="1593"/>
      <c r="CT9" s="1602"/>
      <c r="CU9" s="1607"/>
      <c r="CV9" s="1607"/>
      <c r="CW9" s="1607"/>
      <c r="CX9" s="1599"/>
      <c r="DH9" s="1573"/>
      <c r="DI9" s="1593"/>
      <c r="DJ9" s="1593"/>
      <c r="DK9" s="1593"/>
      <c r="DL9" s="1593"/>
      <c r="DM9" s="1593"/>
      <c r="DN9" s="1593"/>
      <c r="DO9" s="1593"/>
      <c r="DP9" s="1593"/>
    </row>
    <row r="10" spans="1:120" s="1524" customFormat="1" ht="11.5">
      <c r="D10" s="1529"/>
      <c r="E10" s="1583"/>
      <c r="F10" s="1583"/>
      <c r="G10" s="1583"/>
      <c r="H10" s="1587"/>
      <c r="I10" s="1591"/>
      <c r="J10" s="1591"/>
      <c r="K10" s="1591"/>
      <c r="L10" s="1599"/>
      <c r="M10" s="1527"/>
      <c r="N10" s="1595"/>
      <c r="O10" s="1595"/>
      <c r="P10" s="1595" t="s">
        <v>2070</v>
      </c>
      <c r="Q10" s="1601" t="s">
        <v>1261</v>
      </c>
      <c r="R10" s="1608" t="s">
        <v>2149</v>
      </c>
      <c r="S10" s="1608"/>
      <c r="T10" s="1606"/>
      <c r="U10" s="1597"/>
      <c r="V10" s="1526">
        <v>3</v>
      </c>
      <c r="W10" s="1594" t="s">
        <v>975</v>
      </c>
      <c r="X10" s="1594" t="s">
        <v>976</v>
      </c>
      <c r="Y10" s="1594" t="s">
        <v>2086</v>
      </c>
      <c r="Z10" s="1600" t="s">
        <v>977</v>
      </c>
      <c r="AA10" s="1605" t="s">
        <v>978</v>
      </c>
      <c r="AB10" s="1605" t="s">
        <v>2087</v>
      </c>
      <c r="AC10" s="1605" t="s">
        <v>979</v>
      </c>
      <c r="AD10" s="1596" t="s">
        <v>2150</v>
      </c>
      <c r="AE10" s="1526">
        <v>3</v>
      </c>
      <c r="AF10" s="1594" t="s">
        <v>1009</v>
      </c>
      <c r="AG10" s="1594" t="s">
        <v>1010</v>
      </c>
      <c r="AH10" s="1594" t="s">
        <v>1012</v>
      </c>
      <c r="AI10" s="1600" t="s">
        <v>1013</v>
      </c>
      <c r="AJ10" s="1605" t="s">
        <v>1014</v>
      </c>
      <c r="AK10" s="1605"/>
      <c r="AL10" s="1605" t="s">
        <v>1015</v>
      </c>
      <c r="AM10" s="1596" t="s">
        <v>1011</v>
      </c>
      <c r="AN10" s="1529"/>
      <c r="AO10" s="1593"/>
      <c r="AP10" s="1593"/>
      <c r="AQ10" s="1593"/>
      <c r="AR10" s="1602"/>
      <c r="AS10" s="1607"/>
      <c r="AT10" s="1607"/>
      <c r="AU10" s="1607"/>
      <c r="AV10" s="1599"/>
      <c r="AW10" s="1527"/>
      <c r="AX10" s="1595"/>
      <c r="AY10" s="1595"/>
      <c r="AZ10" s="1595" t="s">
        <v>763</v>
      </c>
      <c r="BA10" s="1601"/>
      <c r="BB10" s="1606" t="s">
        <v>2133</v>
      </c>
      <c r="BC10" s="1606"/>
      <c r="BD10" s="1606" t="s">
        <v>2134</v>
      </c>
      <c r="BE10" s="1597"/>
      <c r="BF10" s="1527"/>
      <c r="BG10" s="1595"/>
      <c r="BH10" s="1595"/>
      <c r="BI10" s="1595" t="s">
        <v>961</v>
      </c>
      <c r="BJ10" s="1601" t="s">
        <v>2151</v>
      </c>
      <c r="BK10" s="1606"/>
      <c r="BL10" s="1606"/>
      <c r="BM10" s="1606"/>
      <c r="BN10" s="1619"/>
      <c r="BO10" s="1526">
        <v>3</v>
      </c>
      <c r="BP10" s="1594" t="s">
        <v>2541</v>
      </c>
      <c r="BQ10" s="1594" t="s">
        <v>2542</v>
      </c>
      <c r="BR10" s="1594" t="s">
        <v>2547</v>
      </c>
      <c r="BS10" s="1611" t="s">
        <v>2556</v>
      </c>
      <c r="BT10" s="1605" t="s">
        <v>2548</v>
      </c>
      <c r="BU10" s="1605" t="s">
        <v>2549</v>
      </c>
      <c r="BV10" s="1605" t="s">
        <v>2184</v>
      </c>
      <c r="BW10" s="1596" t="s">
        <v>2546</v>
      </c>
      <c r="CE10" s="1527"/>
      <c r="CG10" s="1526">
        <v>3</v>
      </c>
      <c r="CH10" s="1594" t="s">
        <v>243</v>
      </c>
      <c r="CI10" s="1594" t="s">
        <v>2246</v>
      </c>
      <c r="CJ10" s="1594" t="s">
        <v>1998</v>
      </c>
      <c r="CK10" s="1613" t="s">
        <v>1999</v>
      </c>
      <c r="CL10" s="1605" t="s">
        <v>2001</v>
      </c>
      <c r="CM10" s="1605" t="s">
        <v>2243</v>
      </c>
      <c r="CN10" s="1605" t="s">
        <v>2000</v>
      </c>
      <c r="CO10" s="1596" t="s">
        <v>2002</v>
      </c>
    </row>
    <row r="11" spans="1:120" s="1524" customFormat="1" ht="11.5">
      <c r="D11" s="1526">
        <v>2</v>
      </c>
      <c r="E11" s="1580" t="s">
        <v>405</v>
      </c>
      <c r="F11" s="1580" t="s">
        <v>910</v>
      </c>
      <c r="G11" s="1580" t="s">
        <v>922</v>
      </c>
      <c r="H11" s="1585" t="s">
        <v>923</v>
      </c>
      <c r="I11" s="1589" t="s">
        <v>924</v>
      </c>
      <c r="J11" s="1589"/>
      <c r="K11" s="1589" t="s">
        <v>925</v>
      </c>
      <c r="L11" s="1596" t="s">
        <v>911</v>
      </c>
      <c r="M11" s="1529"/>
      <c r="N11" s="1593"/>
      <c r="O11" s="1593"/>
      <c r="P11" s="1593"/>
      <c r="Q11" s="1602"/>
      <c r="R11" s="1607"/>
      <c r="S11" s="1607"/>
      <c r="T11" s="1607"/>
      <c r="U11" s="1599"/>
      <c r="V11" s="1529"/>
      <c r="W11" s="1593"/>
      <c r="X11" s="1593"/>
      <c r="Y11" s="1593"/>
      <c r="Z11" s="1602"/>
      <c r="AA11" s="1607"/>
      <c r="AB11" s="1607"/>
      <c r="AC11" s="1607"/>
      <c r="AD11" s="1599"/>
      <c r="AE11" s="1529"/>
      <c r="AF11" s="1593"/>
      <c r="AG11" s="1593"/>
      <c r="AH11" s="1593"/>
      <c r="AI11" s="1602"/>
      <c r="AJ11" s="1607"/>
      <c r="AK11" s="1607"/>
      <c r="AL11" s="1607"/>
      <c r="AM11" s="1599"/>
      <c r="AN11" s="1526">
        <v>3</v>
      </c>
      <c r="AO11" s="1594" t="s">
        <v>1080</v>
      </c>
      <c r="AP11" s="1594" t="s">
        <v>1081</v>
      </c>
      <c r="AQ11" s="1594" t="s">
        <v>2106</v>
      </c>
      <c r="AR11" s="1600" t="s">
        <v>1082</v>
      </c>
      <c r="AS11" s="1605" t="s">
        <v>1083</v>
      </c>
      <c r="AT11" s="1605" t="s">
        <v>2105</v>
      </c>
      <c r="AU11" s="1605" t="s">
        <v>1084</v>
      </c>
      <c r="AV11" s="1596" t="s">
        <v>2152</v>
      </c>
      <c r="AW11" s="1529"/>
      <c r="AX11" s="1593"/>
      <c r="AY11" s="1593"/>
      <c r="AZ11" s="1593"/>
      <c r="BA11" s="1602"/>
      <c r="BB11" s="1607"/>
      <c r="BC11" s="1607"/>
      <c r="BD11" s="1607"/>
      <c r="BE11" s="1599"/>
      <c r="BF11" s="1529"/>
      <c r="BG11" s="1593"/>
      <c r="BH11" s="1593"/>
      <c r="BI11" s="1593"/>
      <c r="BJ11" s="1593"/>
      <c r="BK11" s="1607"/>
      <c r="BL11" s="1607"/>
      <c r="BM11" s="1607"/>
      <c r="BN11" s="1838"/>
      <c r="BO11" s="1839"/>
      <c r="BP11" s="1595"/>
      <c r="BQ11" s="1595"/>
      <c r="BR11" s="1595" t="s">
        <v>2550</v>
      </c>
      <c r="BS11" s="1612" t="s">
        <v>2551</v>
      </c>
      <c r="BT11" s="1606" t="s">
        <v>2552</v>
      </c>
      <c r="BU11" s="1606" t="s">
        <v>2553</v>
      </c>
      <c r="BV11" s="1606" t="s">
        <v>2184</v>
      </c>
      <c r="BW11" s="1597"/>
      <c r="CG11" s="1529"/>
      <c r="CH11" s="1593"/>
      <c r="CI11" s="1593"/>
      <c r="CJ11" s="1593"/>
      <c r="CK11" s="1602"/>
      <c r="CL11" s="1607"/>
      <c r="CM11" s="1607"/>
      <c r="CN11" s="1607"/>
      <c r="CO11" s="1599"/>
    </row>
    <row r="12" spans="1:120" s="1524" customFormat="1" ht="11.5">
      <c r="D12" s="1527"/>
      <c r="E12" s="1581"/>
      <c r="F12" s="1581"/>
      <c r="G12" s="1581" t="s">
        <v>926</v>
      </c>
      <c r="H12" s="1586" t="s">
        <v>927</v>
      </c>
      <c r="I12" s="1590" t="s">
        <v>928</v>
      </c>
      <c r="J12" s="1590"/>
      <c r="K12" s="1590"/>
      <c r="L12" s="1597"/>
      <c r="M12" s="1526">
        <v>3</v>
      </c>
      <c r="N12" s="1594" t="s">
        <v>1265</v>
      </c>
      <c r="O12" s="1594" t="s">
        <v>992</v>
      </c>
      <c r="P12" s="1594" t="s">
        <v>993</v>
      </c>
      <c r="Q12" s="1600" t="s">
        <v>994</v>
      </c>
      <c r="R12" s="1605" t="s">
        <v>2071</v>
      </c>
      <c r="S12" s="1605"/>
      <c r="T12" s="1605"/>
      <c r="U12" s="1596"/>
      <c r="V12" s="1526">
        <v>4</v>
      </c>
      <c r="W12" s="1594" t="s">
        <v>2003</v>
      </c>
      <c r="X12" s="1594" t="s">
        <v>980</v>
      </c>
      <c r="Y12" s="1594" t="s">
        <v>2004</v>
      </c>
      <c r="Z12" s="1613" t="s">
        <v>2005</v>
      </c>
      <c r="AA12" s="1605" t="s">
        <v>981</v>
      </c>
      <c r="AB12" s="1605" t="s">
        <v>2076</v>
      </c>
      <c r="AC12" s="1605" t="s">
        <v>982</v>
      </c>
      <c r="AD12" s="1596" t="s">
        <v>2153</v>
      </c>
      <c r="AE12" s="1526">
        <v>4</v>
      </c>
      <c r="AF12" s="2390" t="s">
        <v>1997</v>
      </c>
      <c r="AG12" s="1594" t="s">
        <v>1016</v>
      </c>
      <c r="AH12" s="1594" t="s">
        <v>1018</v>
      </c>
      <c r="AI12" s="1600" t="s">
        <v>1019</v>
      </c>
      <c r="AJ12" s="1605" t="s">
        <v>1020</v>
      </c>
      <c r="AK12" s="1605"/>
      <c r="AL12" s="1605" t="s">
        <v>1021</v>
      </c>
      <c r="AM12" s="1596" t="s">
        <v>1017</v>
      </c>
      <c r="AN12" s="1529"/>
      <c r="AO12" s="1593"/>
      <c r="AP12" s="1593"/>
      <c r="AQ12" s="1593"/>
      <c r="AR12" s="1593"/>
      <c r="AS12" s="1607"/>
      <c r="AT12" s="1607"/>
      <c r="AU12" s="1607"/>
      <c r="AV12" s="1599"/>
      <c r="AW12" s="1526">
        <v>2</v>
      </c>
      <c r="AX12" s="1594" t="s">
        <v>764</v>
      </c>
      <c r="AY12" s="1594" t="s">
        <v>765</v>
      </c>
      <c r="AZ12" s="1594" t="s">
        <v>766</v>
      </c>
      <c r="BA12" s="1600" t="s">
        <v>767</v>
      </c>
      <c r="BB12" s="1605" t="s">
        <v>768</v>
      </c>
      <c r="BC12" s="1605"/>
      <c r="BD12" s="1605" t="s">
        <v>769</v>
      </c>
      <c r="BE12" s="1596" t="s">
        <v>2154</v>
      </c>
      <c r="BK12" s="1530"/>
      <c r="BL12" s="1530"/>
      <c r="BM12" s="1530"/>
      <c r="BO12" s="1529"/>
      <c r="BP12" s="1593"/>
      <c r="BQ12" s="1593"/>
      <c r="BR12" s="1593"/>
      <c r="BS12" s="1593"/>
      <c r="BT12" s="1607"/>
      <c r="BU12" s="1607"/>
      <c r="BV12" s="1607"/>
      <c r="BW12" s="1599"/>
    </row>
    <row r="13" spans="1:120" s="1524" customFormat="1" ht="11.5">
      <c r="D13" s="1527"/>
      <c r="E13" s="1581"/>
      <c r="F13" s="1581"/>
      <c r="G13" s="1581" t="s">
        <v>2048</v>
      </c>
      <c r="H13" s="1586" t="s">
        <v>2155</v>
      </c>
      <c r="I13" s="1590" t="s">
        <v>929</v>
      </c>
      <c r="J13" s="1590" t="s">
        <v>2045</v>
      </c>
      <c r="K13" s="1590"/>
      <c r="L13" s="1597"/>
      <c r="M13" s="1529"/>
      <c r="N13" s="1593"/>
      <c r="O13" s="1593"/>
      <c r="P13" s="1593"/>
      <c r="Q13" s="1602"/>
      <c r="R13" s="1607"/>
      <c r="S13" s="1607"/>
      <c r="T13" s="1607"/>
      <c r="U13" s="1599"/>
      <c r="V13" s="1527"/>
      <c r="W13" s="1595"/>
      <c r="X13" s="1595"/>
      <c r="Y13" s="1595"/>
      <c r="Z13" s="1595"/>
      <c r="AA13" s="1606"/>
      <c r="AB13" s="1606" t="s">
        <v>2156</v>
      </c>
      <c r="AC13" s="1606"/>
      <c r="AD13" s="1597"/>
      <c r="AE13" s="1527"/>
      <c r="AF13" s="2391"/>
      <c r="AG13" s="1595"/>
      <c r="AH13" s="1595" t="s">
        <v>1022</v>
      </c>
      <c r="AI13" s="1601" t="s">
        <v>1023</v>
      </c>
      <c r="AJ13" s="1606" t="s">
        <v>1024</v>
      </c>
      <c r="AK13" s="1606"/>
      <c r="AL13" s="1606"/>
      <c r="AM13" s="1597"/>
      <c r="AS13" s="1530"/>
      <c r="AT13" s="1530"/>
      <c r="AU13" s="1530"/>
      <c r="AW13" s="1527"/>
      <c r="AX13" s="1595"/>
      <c r="AY13" s="1595"/>
      <c r="AZ13" s="1595" t="s">
        <v>770</v>
      </c>
      <c r="BA13" s="1601" t="s">
        <v>771</v>
      </c>
      <c r="BB13" s="1606" t="s">
        <v>772</v>
      </c>
      <c r="BC13" s="1606"/>
      <c r="BD13" s="1606" t="s">
        <v>769</v>
      </c>
      <c r="BE13" s="1597"/>
      <c r="BK13" s="1530"/>
      <c r="BL13" s="1530"/>
      <c r="BM13" s="1530"/>
    </row>
    <row r="14" spans="1:120" s="1524" customFormat="1" ht="11.5">
      <c r="D14" s="1527"/>
      <c r="E14" s="1581"/>
      <c r="F14" s="1581"/>
      <c r="G14" s="1581" t="s">
        <v>2432</v>
      </c>
      <c r="H14" s="1586" t="s">
        <v>2434</v>
      </c>
      <c r="I14" s="1590" t="s">
        <v>2433</v>
      </c>
      <c r="J14" s="1590"/>
      <c r="K14" s="1590"/>
      <c r="L14" s="1597"/>
      <c r="M14" s="1526">
        <v>4</v>
      </c>
      <c r="N14" s="1594" t="s">
        <v>995</v>
      </c>
      <c r="O14" s="1594" t="s">
        <v>2341</v>
      </c>
      <c r="P14" s="1594" t="s">
        <v>2074</v>
      </c>
      <c r="Q14" s="1600"/>
      <c r="R14" s="1605" t="s">
        <v>792</v>
      </c>
      <c r="S14" s="1605" t="s">
        <v>2075</v>
      </c>
      <c r="T14" s="1605" t="s">
        <v>793</v>
      </c>
      <c r="U14" s="1596" t="s">
        <v>2339</v>
      </c>
      <c r="V14" s="1527"/>
      <c r="W14" s="1595"/>
      <c r="X14" s="1595"/>
      <c r="Y14" s="1595" t="s">
        <v>2077</v>
      </c>
      <c r="Z14" s="1601" t="s">
        <v>2157</v>
      </c>
      <c r="AA14" s="1606"/>
      <c r="AB14" s="1606" t="s">
        <v>2078</v>
      </c>
      <c r="AC14" s="1606"/>
      <c r="AD14" s="1597"/>
      <c r="AE14" s="1529"/>
      <c r="AF14" s="2392"/>
      <c r="AG14" s="1593"/>
      <c r="AH14" s="1593"/>
      <c r="AI14" s="1602"/>
      <c r="AJ14" s="1607"/>
      <c r="AK14" s="1607"/>
      <c r="AL14" s="1607"/>
      <c r="AM14" s="1599"/>
      <c r="AS14" s="1530"/>
      <c r="AT14" s="1530"/>
      <c r="AU14" s="1530"/>
      <c r="AW14" s="1529"/>
      <c r="AX14" s="1593"/>
      <c r="AY14" s="1593"/>
      <c r="AZ14" s="1593"/>
      <c r="BA14" s="1602"/>
      <c r="BB14" s="1607"/>
      <c r="BC14" s="1607"/>
      <c r="BD14" s="1607"/>
      <c r="BE14" s="1599"/>
      <c r="BK14" s="1530"/>
      <c r="BL14" s="1530"/>
      <c r="BM14" s="1530"/>
    </row>
    <row r="15" spans="1:120" s="1524" customFormat="1">
      <c r="D15" s="1527"/>
      <c r="E15" s="1581"/>
      <c r="F15" s="1581"/>
      <c r="G15" s="1581" t="s">
        <v>2047</v>
      </c>
      <c r="H15" s="1586" t="s">
        <v>930</v>
      </c>
      <c r="I15" s="1590"/>
      <c r="J15" s="1590" t="s">
        <v>2046</v>
      </c>
      <c r="K15" s="1590"/>
      <c r="L15" s="1597"/>
      <c r="M15" s="1527"/>
      <c r="N15" s="1595"/>
      <c r="O15" s="1595"/>
      <c r="P15" s="1595" t="s">
        <v>2335</v>
      </c>
      <c r="Q15" s="1655" t="s">
        <v>2336</v>
      </c>
      <c r="R15" s="1606" t="s">
        <v>2337</v>
      </c>
      <c r="S15" s="1606" t="s">
        <v>2338</v>
      </c>
      <c r="T15" s="1606"/>
      <c r="U15" s="1597" t="s">
        <v>2340</v>
      </c>
      <c r="V15" s="1573"/>
      <c r="W15" s="1593"/>
      <c r="X15" s="1593"/>
      <c r="Y15" s="1593"/>
      <c r="Z15" s="1593"/>
      <c r="AA15" s="1607"/>
      <c r="AB15" s="1607"/>
      <c r="AC15" s="1607"/>
      <c r="AD15" s="1599"/>
      <c r="AE15" s="1526">
        <v>5</v>
      </c>
      <c r="AF15" s="1594" t="s">
        <v>1025</v>
      </c>
      <c r="AG15" s="1594" t="s">
        <v>1026</v>
      </c>
      <c r="AH15" s="1594" t="s">
        <v>1028</v>
      </c>
      <c r="AI15" s="1600" t="s">
        <v>1029</v>
      </c>
      <c r="AJ15" s="1605" t="s">
        <v>1030</v>
      </c>
      <c r="AK15" s="1605"/>
      <c r="AL15" s="1605" t="s">
        <v>1031</v>
      </c>
      <c r="AM15" s="1596" t="s">
        <v>1027</v>
      </c>
      <c r="AS15" s="1530"/>
      <c r="AT15" s="1530"/>
      <c r="AU15" s="1530"/>
      <c r="AW15" s="1526">
        <v>3</v>
      </c>
      <c r="AX15" s="1594" t="s">
        <v>764</v>
      </c>
      <c r="AY15" s="1594" t="s">
        <v>773</v>
      </c>
      <c r="AZ15" s="1594" t="s">
        <v>2116</v>
      </c>
      <c r="BA15" s="1600" t="s">
        <v>775</v>
      </c>
      <c r="BB15" s="1605" t="s">
        <v>776</v>
      </c>
      <c r="BC15" s="1605" t="s">
        <v>2113</v>
      </c>
      <c r="BD15" s="1605"/>
      <c r="BE15" s="1596" t="s">
        <v>774</v>
      </c>
      <c r="BK15" s="1530"/>
      <c r="BL15" s="1530"/>
      <c r="BM15" s="1530"/>
    </row>
    <row r="16" spans="1:120" s="1524" customFormat="1" ht="11.5">
      <c r="D16" s="1527"/>
      <c r="E16" s="1581"/>
      <c r="F16" s="1582"/>
      <c r="G16" s="1581" t="s">
        <v>2062</v>
      </c>
      <c r="H16" s="1586" t="s">
        <v>2158</v>
      </c>
      <c r="I16" s="1590" t="s">
        <v>931</v>
      </c>
      <c r="J16" s="1590"/>
      <c r="K16" s="1590" t="s">
        <v>932</v>
      </c>
      <c r="L16" s="1598"/>
      <c r="M16" s="1529"/>
      <c r="N16" s="1593"/>
      <c r="O16" s="1593"/>
      <c r="P16" s="1593"/>
      <c r="Q16" s="1602"/>
      <c r="R16" s="1607"/>
      <c r="S16" s="1607"/>
      <c r="T16" s="1607"/>
      <c r="U16" s="1599"/>
      <c r="V16" s="1574">
        <v>5</v>
      </c>
      <c r="W16" s="1594" t="s">
        <v>2081</v>
      </c>
      <c r="X16" s="1594" t="s">
        <v>2080</v>
      </c>
      <c r="Y16" s="1594" t="s">
        <v>2082</v>
      </c>
      <c r="Z16" s="1604" t="s">
        <v>2083</v>
      </c>
      <c r="AA16" s="1605" t="s">
        <v>2159</v>
      </c>
      <c r="AB16" s="1605"/>
      <c r="AC16" s="1605"/>
      <c r="AD16" s="1596"/>
      <c r="AE16" s="1529"/>
      <c r="AF16" s="1593"/>
      <c r="AG16" s="1593"/>
      <c r="AH16" s="1593"/>
      <c r="AI16" s="1602"/>
      <c r="AJ16" s="1607"/>
      <c r="AK16" s="1607"/>
      <c r="AL16" s="1607"/>
      <c r="AM16" s="1599"/>
      <c r="AS16" s="1530"/>
      <c r="AT16" s="1530"/>
      <c r="AU16" s="1530"/>
      <c r="AW16" s="1527"/>
      <c r="AX16" s="1595"/>
      <c r="AY16" s="1595"/>
      <c r="AZ16" s="1595" t="s">
        <v>2115</v>
      </c>
      <c r="BA16" s="1601" t="s">
        <v>777</v>
      </c>
      <c r="BB16" s="1606" t="s">
        <v>778</v>
      </c>
      <c r="BC16" s="1606" t="s">
        <v>2114</v>
      </c>
      <c r="BD16" s="1606"/>
      <c r="BE16" s="1597"/>
      <c r="BK16" s="1530"/>
      <c r="BL16" s="1530"/>
      <c r="BM16" s="1530"/>
    </row>
    <row r="17" spans="4:65" s="1524" customFormat="1" ht="11.5">
      <c r="D17" s="1529"/>
      <c r="E17" s="1583"/>
      <c r="F17" s="1583"/>
      <c r="G17" s="1583"/>
      <c r="H17" s="1587"/>
      <c r="I17" s="1591"/>
      <c r="J17" s="1591"/>
      <c r="K17" s="1591"/>
      <c r="L17" s="1599"/>
      <c r="M17" s="1526">
        <v>5</v>
      </c>
      <c r="N17" s="1594" t="s">
        <v>1262</v>
      </c>
      <c r="O17" s="1594"/>
      <c r="P17" s="1594" t="s">
        <v>1264</v>
      </c>
      <c r="Q17" s="1600" t="s">
        <v>1263</v>
      </c>
      <c r="R17" s="1609" t="s">
        <v>2554</v>
      </c>
      <c r="S17" s="1609"/>
      <c r="T17" s="1605"/>
      <c r="U17" s="1596"/>
      <c r="V17" s="1573"/>
      <c r="W17" s="1593"/>
      <c r="X17" s="1593"/>
      <c r="Y17" s="1593"/>
      <c r="Z17" s="1593"/>
      <c r="AA17" s="1607"/>
      <c r="AB17" s="1607"/>
      <c r="AC17" s="1607"/>
      <c r="AD17" s="1599"/>
      <c r="AE17" s="1526">
        <v>6</v>
      </c>
      <c r="AF17" s="1594" t="s">
        <v>1032</v>
      </c>
      <c r="AG17" s="1594" t="s">
        <v>1033</v>
      </c>
      <c r="AH17" s="1594" t="s">
        <v>1034</v>
      </c>
      <c r="AI17" s="1600" t="s">
        <v>1035</v>
      </c>
      <c r="AJ17" s="1605" t="s">
        <v>1036</v>
      </c>
      <c r="AK17" s="1605"/>
      <c r="AL17" s="1605" t="s">
        <v>1037</v>
      </c>
      <c r="AM17" s="1596" t="s">
        <v>2160</v>
      </c>
      <c r="AS17" s="1530"/>
      <c r="AT17" s="1530"/>
      <c r="AU17" s="1530"/>
      <c r="AW17" s="1527"/>
      <c r="AX17" s="1595"/>
      <c r="AY17" s="1595"/>
      <c r="AZ17" s="1595" t="s">
        <v>779</v>
      </c>
      <c r="BA17" s="1601" t="s">
        <v>780</v>
      </c>
      <c r="BB17" s="1606" t="s">
        <v>781</v>
      </c>
      <c r="BC17" s="1606"/>
      <c r="BD17" s="1606"/>
      <c r="BE17" s="1597"/>
      <c r="BK17" s="1530"/>
      <c r="BL17" s="1530"/>
      <c r="BM17" s="1530"/>
    </row>
    <row r="18" spans="4:65" s="1524" customFormat="1" ht="11.5">
      <c r="D18" s="1526">
        <v>3</v>
      </c>
      <c r="E18" s="1580" t="s">
        <v>403</v>
      </c>
      <c r="F18" s="1580" t="s">
        <v>887</v>
      </c>
      <c r="G18" s="1580" t="s">
        <v>2057</v>
      </c>
      <c r="H18" s="1585" t="s">
        <v>934</v>
      </c>
      <c r="I18" s="1589" t="s">
        <v>935</v>
      </c>
      <c r="J18" s="1589" t="s">
        <v>2050</v>
      </c>
      <c r="K18" s="1589" t="s">
        <v>936</v>
      </c>
      <c r="L18" s="1596" t="s">
        <v>933</v>
      </c>
      <c r="M18" s="1529"/>
      <c r="N18" s="1593"/>
      <c r="O18" s="1593"/>
      <c r="P18" s="1593"/>
      <c r="Q18" s="1602"/>
      <c r="R18" s="1607"/>
      <c r="S18" s="1607"/>
      <c r="T18" s="1607"/>
      <c r="U18" s="1599"/>
      <c r="AA18" s="1530"/>
      <c r="AB18" s="1530"/>
      <c r="AC18" s="1530"/>
      <c r="AE18" s="1529"/>
      <c r="AF18" s="1593"/>
      <c r="AG18" s="1593"/>
      <c r="AH18" s="1593"/>
      <c r="AI18" s="1602"/>
      <c r="AJ18" s="1607"/>
      <c r="AK18" s="1607"/>
      <c r="AL18" s="1607"/>
      <c r="AM18" s="1599"/>
      <c r="AS18" s="1530"/>
      <c r="AT18" s="1530"/>
      <c r="AU18" s="1530"/>
      <c r="AW18" s="1527"/>
      <c r="AX18" s="1595"/>
      <c r="AY18" s="1595"/>
      <c r="AZ18" s="1614" t="s">
        <v>782</v>
      </c>
      <c r="BA18" s="1601"/>
      <c r="BB18" s="1606" t="s">
        <v>783</v>
      </c>
      <c r="BC18" s="1606"/>
      <c r="BD18" s="1606"/>
      <c r="BE18" s="1597"/>
      <c r="BK18" s="1530"/>
      <c r="BL18" s="1530"/>
      <c r="BM18" s="1530"/>
    </row>
    <row r="19" spans="4:65" s="1524" customFormat="1" ht="11.5">
      <c r="D19" s="1527"/>
      <c r="E19" s="1581"/>
      <c r="F19" s="1581"/>
      <c r="G19" s="1581" t="s">
        <v>2056</v>
      </c>
      <c r="H19" s="1586" t="s">
        <v>937</v>
      </c>
      <c r="I19" s="1590" t="s">
        <v>938</v>
      </c>
      <c r="J19" s="1590" t="s">
        <v>2051</v>
      </c>
      <c r="K19" s="1590"/>
      <c r="L19" s="1597"/>
      <c r="M19" s="1526">
        <v>6</v>
      </c>
      <c r="N19" s="1594" t="s">
        <v>995</v>
      </c>
      <c r="O19" s="1594"/>
      <c r="P19" s="1594" t="s">
        <v>1266</v>
      </c>
      <c r="Q19" s="1600" t="s">
        <v>1267</v>
      </c>
      <c r="R19" s="1605" t="s">
        <v>1268</v>
      </c>
      <c r="S19" s="1605"/>
      <c r="T19" s="1605"/>
      <c r="U19" s="1596"/>
      <c r="AA19" s="1530"/>
      <c r="AB19" s="1530"/>
      <c r="AC19" s="1530"/>
      <c r="AE19" s="1526">
        <v>7</v>
      </c>
      <c r="AF19" s="1594" t="s">
        <v>1038</v>
      </c>
      <c r="AG19" s="1594" t="s">
        <v>1039</v>
      </c>
      <c r="AH19" s="1594" t="s">
        <v>1040</v>
      </c>
      <c r="AI19" s="1600" t="s">
        <v>1041</v>
      </c>
      <c r="AJ19" s="1605" t="s">
        <v>1042</v>
      </c>
      <c r="AK19" s="1605"/>
      <c r="AL19" s="1605" t="s">
        <v>1043</v>
      </c>
      <c r="AM19" s="1596" t="s">
        <v>2161</v>
      </c>
      <c r="AS19" s="1530"/>
      <c r="AT19" s="1530"/>
      <c r="AU19" s="1530"/>
      <c r="AW19" s="1527"/>
      <c r="AX19" s="1595"/>
      <c r="AY19" s="1595"/>
      <c r="AZ19" s="1614" t="s">
        <v>2118</v>
      </c>
      <c r="BA19" s="1601" t="s">
        <v>784</v>
      </c>
      <c r="BB19" s="1606" t="s">
        <v>785</v>
      </c>
      <c r="BC19" s="1606" t="s">
        <v>2117</v>
      </c>
      <c r="BD19" s="1606"/>
      <c r="BE19" s="1597"/>
      <c r="BK19" s="1530"/>
      <c r="BL19" s="1530"/>
      <c r="BM19" s="1530"/>
    </row>
    <row r="20" spans="4:65" s="1524" customFormat="1" ht="11.5">
      <c r="D20" s="1527"/>
      <c r="E20" s="1581"/>
      <c r="F20" s="1582"/>
      <c r="G20" s="1581" t="s">
        <v>2061</v>
      </c>
      <c r="H20" s="1586" t="s">
        <v>939</v>
      </c>
      <c r="I20" s="1590" t="s">
        <v>2098</v>
      </c>
      <c r="J20" s="1590" t="s">
        <v>2049</v>
      </c>
      <c r="K20" s="1590"/>
      <c r="L20" s="1598"/>
      <c r="M20" s="1529"/>
      <c r="N20" s="1593"/>
      <c r="O20" s="1593"/>
      <c r="P20" s="1593"/>
      <c r="Q20" s="1602"/>
      <c r="R20" s="1607"/>
      <c r="S20" s="1607"/>
      <c r="T20" s="1607"/>
      <c r="U20" s="1599"/>
      <c r="X20" s="1575"/>
      <c r="AA20" s="1530"/>
      <c r="AB20" s="1530"/>
      <c r="AC20" s="1530"/>
      <c r="AE20" s="1529"/>
      <c r="AF20" s="1593"/>
      <c r="AG20" s="1593"/>
      <c r="AH20" s="1593"/>
      <c r="AI20" s="1602"/>
      <c r="AJ20" s="1607"/>
      <c r="AK20" s="1607"/>
      <c r="AL20" s="1607"/>
      <c r="AM20" s="1599"/>
      <c r="AS20" s="1530"/>
      <c r="AT20" s="1530"/>
      <c r="AU20" s="1530"/>
      <c r="AW20" s="1527"/>
      <c r="AX20" s="1595"/>
      <c r="AY20" s="1595"/>
      <c r="AZ20" s="1595" t="s">
        <v>786</v>
      </c>
      <c r="BA20" s="1595"/>
      <c r="BB20" s="1606" t="s">
        <v>2132</v>
      </c>
      <c r="BC20" s="1606"/>
      <c r="BD20" s="1606" t="s">
        <v>2163</v>
      </c>
      <c r="BE20" s="1597"/>
      <c r="BK20" s="1530"/>
      <c r="BL20" s="1530"/>
      <c r="BM20" s="1530"/>
    </row>
    <row r="21" spans="4:65" s="1524" customFormat="1" ht="23">
      <c r="D21" s="1527"/>
      <c r="E21" s="1581"/>
      <c r="F21" s="1581"/>
      <c r="G21" s="1581" t="s">
        <v>2055</v>
      </c>
      <c r="H21" s="1586" t="s">
        <v>940</v>
      </c>
      <c r="I21" s="1590" t="s">
        <v>941</v>
      </c>
      <c r="J21" s="1590" t="s">
        <v>2052</v>
      </c>
      <c r="K21" s="1590"/>
      <c r="L21" s="1597"/>
      <c r="M21" s="1526">
        <v>7</v>
      </c>
      <c r="N21" s="1594" t="s">
        <v>1269</v>
      </c>
      <c r="O21" s="1594" t="s">
        <v>1270</v>
      </c>
      <c r="P21" s="1594" t="s">
        <v>1270</v>
      </c>
      <c r="Q21" s="1603" t="s">
        <v>2073</v>
      </c>
      <c r="R21" s="1609" t="s">
        <v>2162</v>
      </c>
      <c r="S21" s="1609"/>
      <c r="T21" s="1605"/>
      <c r="U21" s="1596"/>
      <c r="AA21" s="1530"/>
      <c r="AB21" s="1530"/>
      <c r="AC21" s="1530"/>
      <c r="AE21" s="1526">
        <v>8</v>
      </c>
      <c r="AF21" s="1594" t="s">
        <v>1038</v>
      </c>
      <c r="AG21" s="1594" t="s">
        <v>795</v>
      </c>
      <c r="AH21" s="1594" t="s">
        <v>2090</v>
      </c>
      <c r="AI21" s="1600" t="s">
        <v>2164</v>
      </c>
      <c r="AJ21" s="1605" t="s">
        <v>796</v>
      </c>
      <c r="AK21" s="1605" t="s">
        <v>2091</v>
      </c>
      <c r="AL21" s="1605"/>
      <c r="AM21" s="1596" t="s">
        <v>2165</v>
      </c>
      <c r="AS21" s="1530"/>
      <c r="AT21" s="1530"/>
      <c r="AU21" s="1530"/>
      <c r="AW21" s="1527"/>
      <c r="AX21" s="1595"/>
      <c r="AY21" s="1595"/>
      <c r="AZ21" s="1595" t="s">
        <v>2119</v>
      </c>
      <c r="BA21" s="1595"/>
      <c r="BB21" s="1606"/>
      <c r="BC21" s="1606" t="s">
        <v>2120</v>
      </c>
      <c r="BD21" s="1606"/>
      <c r="BE21" s="1597"/>
      <c r="BK21" s="1530"/>
      <c r="BL21" s="1530"/>
      <c r="BM21" s="1530"/>
    </row>
    <row r="22" spans="4:65" s="1524" customFormat="1" ht="11.5">
      <c r="D22" s="1527"/>
      <c r="E22" s="1581"/>
      <c r="F22" s="1581"/>
      <c r="G22" s="1581" t="s">
        <v>2054</v>
      </c>
      <c r="H22" s="1586"/>
      <c r="I22" s="1590"/>
      <c r="J22" s="1590" t="s">
        <v>2053</v>
      </c>
      <c r="K22" s="1590"/>
      <c r="L22" s="1597"/>
      <c r="M22" s="1529"/>
      <c r="N22" s="1593"/>
      <c r="O22" s="1593"/>
      <c r="P22" s="1593"/>
      <c r="Q22" s="1602"/>
      <c r="R22" s="1607"/>
      <c r="S22" s="1607"/>
      <c r="T22" s="1607"/>
      <c r="U22" s="1599"/>
      <c r="AA22" s="1530"/>
      <c r="AB22" s="1530"/>
      <c r="AC22" s="1530"/>
      <c r="AE22" s="1529"/>
      <c r="AF22" s="1593"/>
      <c r="AG22" s="1593"/>
      <c r="AH22" s="1593"/>
      <c r="AI22" s="1602"/>
      <c r="AJ22" s="1607"/>
      <c r="AK22" s="1607"/>
      <c r="AL22" s="1607"/>
      <c r="AM22" s="1599"/>
      <c r="AS22" s="1530"/>
      <c r="AT22" s="1530"/>
      <c r="AU22" s="1530"/>
      <c r="AW22" s="1529"/>
      <c r="AX22" s="1593"/>
      <c r="AY22" s="1593"/>
      <c r="AZ22" s="1615"/>
      <c r="BA22" s="1602"/>
      <c r="BB22" s="1607"/>
      <c r="BC22" s="1607"/>
      <c r="BD22" s="1607"/>
      <c r="BE22" s="1599"/>
      <c r="BK22" s="1530"/>
      <c r="BL22" s="1530"/>
      <c r="BM22" s="1530"/>
    </row>
    <row r="23" spans="4:65" s="1524" customFormat="1" ht="11.5">
      <c r="D23" s="1529"/>
      <c r="E23" s="1583"/>
      <c r="F23" s="1583"/>
      <c r="G23" s="1583"/>
      <c r="H23" s="1587"/>
      <c r="I23" s="1591"/>
      <c r="J23" s="1591"/>
      <c r="K23" s="1591"/>
      <c r="L23" s="1599"/>
      <c r="M23" s="1526">
        <v>8</v>
      </c>
      <c r="N23" s="1594" t="s">
        <v>2026</v>
      </c>
      <c r="O23" s="1594" t="s">
        <v>2031</v>
      </c>
      <c r="P23" s="1594" t="s">
        <v>2027</v>
      </c>
      <c r="Q23" s="1604" t="s">
        <v>2028</v>
      </c>
      <c r="R23" s="1605" t="s">
        <v>2555</v>
      </c>
      <c r="S23" s="1605" t="s">
        <v>2029</v>
      </c>
      <c r="T23" s="1605" t="s">
        <v>2166</v>
      </c>
      <c r="U23" s="1596" t="s">
        <v>2030</v>
      </c>
      <c r="AA23" s="1530"/>
      <c r="AB23" s="1530"/>
      <c r="AC23" s="1530"/>
      <c r="AE23" s="1526">
        <v>9</v>
      </c>
      <c r="AF23" s="1594" t="s">
        <v>1044</v>
      </c>
      <c r="AG23" s="1594" t="s">
        <v>2142</v>
      </c>
      <c r="AH23" s="1594" t="s">
        <v>2089</v>
      </c>
      <c r="AI23" s="1600" t="s">
        <v>875</v>
      </c>
      <c r="AJ23" s="1605" t="s">
        <v>876</v>
      </c>
      <c r="AK23" s="1605" t="s">
        <v>2088</v>
      </c>
      <c r="AL23" s="1605" t="s">
        <v>877</v>
      </c>
      <c r="AM23" s="1596" t="s">
        <v>2144</v>
      </c>
      <c r="AS23" s="1530"/>
      <c r="AT23" s="1530"/>
      <c r="AU23" s="1530"/>
      <c r="AW23" s="1526">
        <v>4</v>
      </c>
      <c r="AX23" s="1594" t="s">
        <v>764</v>
      </c>
      <c r="AY23" s="1594" t="s">
        <v>787</v>
      </c>
      <c r="AZ23" s="1594" t="s">
        <v>2122</v>
      </c>
      <c r="BA23" s="1600" t="s">
        <v>789</v>
      </c>
      <c r="BB23" s="1605"/>
      <c r="BC23" s="1605" t="s">
        <v>2121</v>
      </c>
      <c r="BD23" s="1605"/>
      <c r="BE23" s="1596" t="s">
        <v>788</v>
      </c>
      <c r="BK23" s="1530"/>
      <c r="BL23" s="1530"/>
      <c r="BM23" s="1530"/>
    </row>
    <row r="24" spans="4:65" s="1524" customFormat="1" ht="11.5">
      <c r="D24" s="1526">
        <v>4</v>
      </c>
      <c r="E24" s="1580" t="s">
        <v>906</v>
      </c>
      <c r="F24" s="1580" t="s">
        <v>2167</v>
      </c>
      <c r="G24" s="1580" t="s">
        <v>2060</v>
      </c>
      <c r="H24" s="1585" t="s">
        <v>942</v>
      </c>
      <c r="I24" s="1589" t="s">
        <v>2094</v>
      </c>
      <c r="J24" s="1589" t="s">
        <v>2058</v>
      </c>
      <c r="K24" s="1589" t="s">
        <v>908</v>
      </c>
      <c r="L24" s="1596" t="s">
        <v>2168</v>
      </c>
      <c r="M24" s="1527"/>
      <c r="N24" s="1595"/>
      <c r="O24" s="1595"/>
      <c r="P24" s="1595"/>
      <c r="Q24" s="1595"/>
      <c r="R24" s="1606"/>
      <c r="S24" s="1606" t="s">
        <v>2169</v>
      </c>
      <c r="T24" s="1606"/>
      <c r="U24" s="1597"/>
      <c r="AA24" s="1530"/>
      <c r="AB24" s="1530"/>
      <c r="AC24" s="1530"/>
      <c r="AE24" s="1529"/>
      <c r="AF24" s="1593"/>
      <c r="AG24" s="1593"/>
      <c r="AH24" s="1593"/>
      <c r="AI24" s="1602"/>
      <c r="AJ24" s="1607"/>
      <c r="AK24" s="1607"/>
      <c r="AL24" s="1607"/>
      <c r="AM24" s="1599"/>
      <c r="AS24" s="1530"/>
      <c r="AT24" s="1530"/>
      <c r="AU24" s="1530"/>
      <c r="AW24" s="1527"/>
      <c r="AX24" s="1595"/>
      <c r="AY24" s="1595"/>
      <c r="AZ24" s="1595"/>
      <c r="BA24" s="1601"/>
      <c r="BB24" s="1606"/>
      <c r="BC24" s="1606"/>
      <c r="BD24" s="1606"/>
      <c r="BE24" s="1597"/>
      <c r="BK24" s="1530"/>
      <c r="BL24" s="1530"/>
      <c r="BM24" s="1530"/>
    </row>
    <row r="25" spans="4:65" s="1524" customFormat="1" ht="11.5">
      <c r="D25" s="1529"/>
      <c r="E25" s="1583"/>
      <c r="F25" s="1583"/>
      <c r="G25" s="1583"/>
      <c r="H25" s="1587"/>
      <c r="I25" s="1591"/>
      <c r="J25" s="1591"/>
      <c r="K25" s="1591"/>
      <c r="L25" s="1599"/>
      <c r="M25" s="1529"/>
      <c r="N25" s="1593"/>
      <c r="O25" s="1593"/>
      <c r="P25" s="1593"/>
      <c r="Q25" s="1593"/>
      <c r="R25" s="1607"/>
      <c r="S25" s="1607"/>
      <c r="T25" s="1607"/>
      <c r="U25" s="1599"/>
      <c r="AA25" s="1530"/>
      <c r="AB25" s="1530"/>
      <c r="AC25" s="1530"/>
      <c r="AJ25" s="1530"/>
      <c r="AK25" s="1530"/>
      <c r="AL25" s="1530"/>
      <c r="AS25" s="1530"/>
      <c r="AT25" s="1530"/>
      <c r="AU25" s="1530"/>
      <c r="AW25" s="1529"/>
      <c r="AX25" s="1593"/>
      <c r="AY25" s="1593"/>
      <c r="AZ25" s="1593"/>
      <c r="BA25" s="1602"/>
      <c r="BB25" s="1607"/>
      <c r="BC25" s="1607"/>
      <c r="BD25" s="1607"/>
      <c r="BE25" s="1599"/>
      <c r="BK25" s="1530"/>
      <c r="BL25" s="1530"/>
      <c r="BM25" s="1530"/>
    </row>
    <row r="26" spans="4:65" s="1524" customFormat="1" ht="11.5">
      <c r="D26" s="1526">
        <v>5</v>
      </c>
      <c r="E26" s="1580" t="s">
        <v>2035</v>
      </c>
      <c r="F26" s="1580" t="s">
        <v>2036</v>
      </c>
      <c r="G26" s="1580" t="s">
        <v>2037</v>
      </c>
      <c r="H26" s="1588" t="s">
        <v>2038</v>
      </c>
      <c r="I26" s="1589" t="s">
        <v>2039</v>
      </c>
      <c r="J26" s="1589" t="s">
        <v>2059</v>
      </c>
      <c r="K26" s="1589" t="s">
        <v>2040</v>
      </c>
      <c r="L26" s="1596" t="s">
        <v>2041</v>
      </c>
      <c r="M26" s="1526">
        <v>9</v>
      </c>
      <c r="N26" s="1594" t="s">
        <v>2032</v>
      </c>
      <c r="O26" s="1594" t="s">
        <v>992</v>
      </c>
      <c r="P26" s="1594" t="s">
        <v>2033</v>
      </c>
      <c r="Q26" s="1604" t="s">
        <v>2034</v>
      </c>
      <c r="R26" s="1605" t="s">
        <v>2001</v>
      </c>
      <c r="S26" s="1605"/>
      <c r="T26" s="1605" t="s">
        <v>2000</v>
      </c>
      <c r="U26" s="1596" t="s">
        <v>2002</v>
      </c>
      <c r="AA26" s="1530"/>
      <c r="AB26" s="1530"/>
      <c r="AC26" s="1530"/>
      <c r="AJ26" s="1530"/>
      <c r="AK26" s="1530"/>
      <c r="AL26" s="1530"/>
      <c r="AS26" s="1530"/>
      <c r="AT26" s="1530"/>
      <c r="AU26" s="1530"/>
      <c r="AW26" s="1526">
        <v>5</v>
      </c>
      <c r="AX26" s="1594" t="s">
        <v>764</v>
      </c>
      <c r="AY26" s="1594" t="s">
        <v>790</v>
      </c>
      <c r="AZ26" s="1594" t="s">
        <v>2124</v>
      </c>
      <c r="BA26" s="1600" t="s">
        <v>791</v>
      </c>
      <c r="BB26" s="1605" t="s">
        <v>792</v>
      </c>
      <c r="BC26" s="1605" t="s">
        <v>2123</v>
      </c>
      <c r="BD26" s="1605" t="s">
        <v>793</v>
      </c>
      <c r="BE26" s="1596" t="s">
        <v>2170</v>
      </c>
      <c r="BK26" s="1530"/>
      <c r="BL26" s="1530"/>
      <c r="BM26" s="1530"/>
    </row>
    <row r="27" spans="4:65" s="1524" customFormat="1" ht="11.5">
      <c r="D27" s="1573"/>
      <c r="E27" s="1583"/>
      <c r="F27" s="1583"/>
      <c r="G27" s="1583"/>
      <c r="H27" s="1583"/>
      <c r="I27" s="1591"/>
      <c r="J27" s="1591"/>
      <c r="K27" s="1591"/>
      <c r="L27" s="1599"/>
      <c r="M27" s="1529"/>
      <c r="N27" s="1593"/>
      <c r="O27" s="1593"/>
      <c r="P27" s="1593"/>
      <c r="Q27" s="1593"/>
      <c r="R27" s="1607"/>
      <c r="S27" s="1607"/>
      <c r="T27" s="1607"/>
      <c r="U27" s="1599"/>
      <c r="AA27" s="1530"/>
      <c r="AB27" s="1530"/>
      <c r="AC27" s="1530"/>
      <c r="AJ27" s="1530"/>
      <c r="AK27" s="1530"/>
      <c r="AL27" s="1530"/>
      <c r="AS27" s="1530"/>
      <c r="AT27" s="1530"/>
      <c r="AU27" s="1530"/>
      <c r="AW27" s="1527"/>
      <c r="AX27" s="1595"/>
      <c r="AY27" s="1595"/>
      <c r="AZ27" s="1595" t="s">
        <v>2125</v>
      </c>
      <c r="BA27" s="1601" t="s">
        <v>794</v>
      </c>
      <c r="BB27" s="1606"/>
      <c r="BC27" s="1606" t="s">
        <v>2126</v>
      </c>
      <c r="BD27" s="1606"/>
      <c r="BE27" s="1597"/>
      <c r="BK27" s="1530"/>
      <c r="BL27" s="1530"/>
      <c r="BM27" s="1530"/>
    </row>
    <row r="28" spans="4:65" s="1524" customFormat="1">
      <c r="D28" s="1526">
        <v>6</v>
      </c>
      <c r="E28" s="1580" t="s">
        <v>821</v>
      </c>
      <c r="F28" s="1580" t="s">
        <v>822</v>
      </c>
      <c r="G28" s="1581" t="s">
        <v>2220</v>
      </c>
      <c r="H28" s="1586" t="s">
        <v>831</v>
      </c>
      <c r="I28" s="1590" t="s">
        <v>832</v>
      </c>
      <c r="J28" s="1589"/>
      <c r="K28" s="1589" t="s">
        <v>2187</v>
      </c>
      <c r="L28" s="1596" t="s">
        <v>823</v>
      </c>
      <c r="M28" s="1526">
        <v>10</v>
      </c>
      <c r="N28" s="1594" t="s">
        <v>2541</v>
      </c>
      <c r="O28" s="1594" t="s">
        <v>2542</v>
      </c>
      <c r="P28" s="1594" t="s">
        <v>2543</v>
      </c>
      <c r="Q28" s="1655" t="s">
        <v>2557</v>
      </c>
      <c r="R28" s="1605" t="s">
        <v>2544</v>
      </c>
      <c r="S28" s="1605" t="s">
        <v>2545</v>
      </c>
      <c r="T28" s="1605" t="s">
        <v>2184</v>
      </c>
      <c r="U28" s="1596" t="s">
        <v>2546</v>
      </c>
      <c r="AA28" s="1530"/>
      <c r="AB28" s="1530"/>
      <c r="AC28" s="1530"/>
      <c r="AJ28" s="1530"/>
      <c r="AK28" s="1530"/>
      <c r="AL28" s="1530"/>
      <c r="AS28" s="1530"/>
      <c r="AT28" s="1530"/>
      <c r="AU28" s="1530"/>
      <c r="AW28" s="1529"/>
      <c r="AX28" s="1593"/>
      <c r="AY28" s="1593"/>
      <c r="AZ28" s="1593"/>
      <c r="BA28" s="1602"/>
      <c r="BB28" s="1607"/>
      <c r="BC28" s="1607"/>
      <c r="BD28" s="1607"/>
      <c r="BE28" s="1599"/>
      <c r="BK28" s="1530"/>
      <c r="BL28" s="1530"/>
      <c r="BM28" s="1530"/>
    </row>
    <row r="29" spans="4:65" s="1524" customFormat="1" ht="11.5">
      <c r="D29" s="1529"/>
      <c r="E29" s="1583"/>
      <c r="F29" s="1583"/>
      <c r="G29" s="1584"/>
      <c r="H29" s="1587"/>
      <c r="I29" s="1591"/>
      <c r="J29" s="1591"/>
      <c r="K29" s="1591"/>
      <c r="L29" s="1599"/>
      <c r="M29" s="1529"/>
      <c r="N29" s="1593"/>
      <c r="O29" s="1593"/>
      <c r="P29" s="1593"/>
      <c r="Q29" s="1593"/>
      <c r="R29" s="1607"/>
      <c r="S29" s="1607"/>
      <c r="T29" s="1607"/>
      <c r="U29" s="1599"/>
      <c r="AA29" s="1530"/>
      <c r="AB29" s="1530"/>
      <c r="AC29" s="1530"/>
      <c r="AJ29" s="1530"/>
      <c r="AK29" s="1530"/>
      <c r="AL29" s="1530"/>
      <c r="AS29" s="1530"/>
      <c r="AT29" s="1530"/>
      <c r="AU29" s="1530"/>
      <c r="AW29" s="1526">
        <v>6</v>
      </c>
      <c r="AX29" s="1594" t="s">
        <v>764</v>
      </c>
      <c r="AY29" s="1594" t="s">
        <v>795</v>
      </c>
      <c r="AZ29" s="1594" t="s">
        <v>2129</v>
      </c>
      <c r="BA29" s="1600" t="s">
        <v>2171</v>
      </c>
      <c r="BB29" s="1605" t="s">
        <v>2172</v>
      </c>
      <c r="BC29" s="1605" t="s">
        <v>2127</v>
      </c>
      <c r="BD29" s="1605" t="s">
        <v>2173</v>
      </c>
      <c r="BE29" s="1596" t="s">
        <v>2165</v>
      </c>
      <c r="BK29" s="1530"/>
      <c r="BL29" s="1530"/>
      <c r="BM29" s="1530"/>
    </row>
    <row r="30" spans="4:65" s="1524" customFormat="1" ht="11.5">
      <c r="I30" s="1530"/>
      <c r="J30" s="1530"/>
      <c r="K30" s="1530"/>
      <c r="M30" s="1527"/>
      <c r="R30" s="1530"/>
      <c r="S30" s="1530"/>
      <c r="T30" s="1530"/>
      <c r="AA30" s="1530"/>
      <c r="AB30" s="1530"/>
      <c r="AC30" s="1530"/>
      <c r="AJ30" s="1530"/>
      <c r="AK30" s="1530"/>
      <c r="AL30" s="1530"/>
      <c r="AS30" s="1530"/>
      <c r="AT30" s="1530"/>
      <c r="AU30" s="1530"/>
      <c r="AW30" s="1527"/>
      <c r="AX30" s="1595"/>
      <c r="AY30" s="1595"/>
      <c r="AZ30" s="1595" t="s">
        <v>2128</v>
      </c>
      <c r="BA30" s="1595"/>
      <c r="BB30" s="1606" t="s">
        <v>796</v>
      </c>
      <c r="BC30" s="1606" t="s">
        <v>2091</v>
      </c>
      <c r="BD30" s="1606"/>
      <c r="BE30" s="1597"/>
      <c r="BK30" s="1530"/>
      <c r="BL30" s="1530"/>
      <c r="BM30" s="1530"/>
    </row>
    <row r="31" spans="4:65" s="1524" customFormat="1" ht="11.5">
      <c r="I31" s="1530"/>
      <c r="J31" s="1530"/>
      <c r="K31" s="1530"/>
      <c r="R31" s="1530"/>
      <c r="S31" s="1530"/>
      <c r="T31" s="1530"/>
      <c r="AA31" s="1530"/>
      <c r="AB31" s="1530"/>
      <c r="AC31" s="1530"/>
      <c r="AJ31" s="1530"/>
      <c r="AK31" s="1530"/>
      <c r="AL31" s="1530"/>
      <c r="AS31" s="1530"/>
      <c r="AT31" s="1530"/>
      <c r="AU31" s="1530"/>
      <c r="AW31" s="1527"/>
      <c r="AX31" s="1595"/>
      <c r="AY31" s="1595"/>
      <c r="AZ31" s="1595"/>
      <c r="BA31" s="1595"/>
      <c r="BB31" s="1606"/>
      <c r="BC31" s="1606"/>
      <c r="BD31" s="1606"/>
      <c r="BE31" s="1597"/>
      <c r="BK31" s="1530"/>
      <c r="BL31" s="1530"/>
      <c r="BM31" s="1530"/>
    </row>
    <row r="32" spans="4:65" s="1524" customFormat="1" ht="11.5">
      <c r="I32" s="1530"/>
      <c r="J32" s="1530"/>
      <c r="K32" s="1530"/>
      <c r="R32" s="1530"/>
      <c r="S32" s="1530"/>
      <c r="T32" s="1530"/>
      <c r="AA32" s="1530"/>
      <c r="AB32" s="1530"/>
      <c r="AC32" s="1530"/>
      <c r="AJ32" s="1530"/>
      <c r="AK32" s="1530"/>
      <c r="AL32" s="1530"/>
      <c r="AS32" s="1530"/>
      <c r="AT32" s="1530"/>
      <c r="AU32" s="1530"/>
      <c r="AW32" s="1529"/>
      <c r="AX32" s="1593"/>
      <c r="AY32" s="1593"/>
      <c r="AZ32" s="1593"/>
      <c r="BA32" s="1602"/>
      <c r="BB32" s="1607"/>
      <c r="BC32" s="1607"/>
      <c r="BD32" s="1607"/>
      <c r="BE32" s="1599"/>
      <c r="BK32" s="1530"/>
      <c r="BL32" s="1530"/>
      <c r="BM32" s="1530"/>
    </row>
    <row r="33" spans="4:65" s="1524" customFormat="1" ht="23">
      <c r="I33" s="1530"/>
      <c r="J33" s="1530"/>
      <c r="K33" s="1530"/>
      <c r="R33" s="1530"/>
      <c r="S33" s="1530"/>
      <c r="T33" s="1530"/>
      <c r="AA33" s="1530"/>
      <c r="AB33" s="1530"/>
      <c r="AC33" s="1530"/>
      <c r="AJ33" s="1530"/>
      <c r="AK33" s="1530"/>
      <c r="AL33" s="1530"/>
      <c r="AS33" s="1530"/>
      <c r="AT33" s="1530"/>
      <c r="AU33" s="1530"/>
      <c r="AW33" s="1526">
        <v>7</v>
      </c>
      <c r="AX33" s="1594" t="s">
        <v>797</v>
      </c>
      <c r="AY33" s="1594" t="s">
        <v>798</v>
      </c>
      <c r="AZ33" s="1594" t="s">
        <v>2131</v>
      </c>
      <c r="BA33" s="1600" t="s">
        <v>2174</v>
      </c>
      <c r="BB33" s="1616" t="s">
        <v>2175</v>
      </c>
      <c r="BC33" s="1616" t="s">
        <v>2130</v>
      </c>
      <c r="BD33" s="1605" t="s">
        <v>2176</v>
      </c>
      <c r="BE33" s="1596" t="s">
        <v>2177</v>
      </c>
      <c r="BK33" s="1530"/>
      <c r="BL33" s="1530"/>
      <c r="BM33" s="1530"/>
    </row>
    <row r="34" spans="4:65" s="1524" customFormat="1" ht="11.5">
      <c r="I34" s="1530"/>
      <c r="J34" s="1530"/>
      <c r="K34" s="1530"/>
      <c r="R34" s="1530"/>
      <c r="S34" s="1530"/>
      <c r="T34" s="1530"/>
      <c r="AA34" s="1530"/>
      <c r="AB34" s="1530"/>
      <c r="AC34" s="1530"/>
      <c r="AJ34" s="1530"/>
      <c r="AK34" s="1530"/>
      <c r="AL34" s="1530"/>
      <c r="AS34" s="1530"/>
      <c r="AT34" s="1530"/>
      <c r="AU34" s="1530"/>
      <c r="AW34" s="1527"/>
      <c r="AX34" s="1595"/>
      <c r="AY34" s="1595"/>
      <c r="AZ34" s="1595" t="s">
        <v>799</v>
      </c>
      <c r="BA34" s="1601"/>
      <c r="BB34" s="1617" t="s">
        <v>2178</v>
      </c>
      <c r="BC34" s="1617"/>
      <c r="BD34" s="1606"/>
      <c r="BE34" s="1597"/>
      <c r="BK34" s="1530"/>
      <c r="BL34" s="1530"/>
      <c r="BM34" s="1530"/>
    </row>
    <row r="35" spans="4:65" s="1524" customFormat="1" ht="11.5">
      <c r="I35" s="1530"/>
      <c r="J35" s="1530"/>
      <c r="K35" s="1530"/>
      <c r="R35" s="1530"/>
      <c r="S35" s="1530"/>
      <c r="T35" s="1530"/>
      <c r="AA35" s="1530"/>
      <c r="AB35" s="1530"/>
      <c r="AC35" s="1530"/>
      <c r="AJ35" s="1530"/>
      <c r="AK35" s="1530"/>
      <c r="AL35" s="1530"/>
      <c r="AS35" s="1530"/>
      <c r="AT35" s="1530"/>
      <c r="AU35" s="1530"/>
      <c r="AW35" s="1527"/>
      <c r="AX35" s="1595"/>
      <c r="AY35" s="1595"/>
      <c r="AZ35" s="1595" t="s">
        <v>800</v>
      </c>
      <c r="BA35" s="1601"/>
      <c r="BB35" s="1606" t="s">
        <v>2179</v>
      </c>
      <c r="BC35" s="1606"/>
      <c r="BD35" s="1606"/>
      <c r="BE35" s="1597"/>
      <c r="BK35" s="1530"/>
      <c r="BL35" s="1530"/>
      <c r="BM35" s="1530"/>
    </row>
    <row r="36" spans="4:65" s="1524" customFormat="1" ht="11.5">
      <c r="I36" s="1530"/>
      <c r="J36" s="1530"/>
      <c r="K36" s="1530"/>
      <c r="R36" s="1530"/>
      <c r="S36" s="1530"/>
      <c r="T36" s="1530"/>
      <c r="AA36" s="1530"/>
      <c r="AB36" s="1530"/>
      <c r="AC36" s="1530"/>
      <c r="AJ36" s="1530"/>
      <c r="AK36" s="1530"/>
      <c r="AL36" s="1530"/>
      <c r="AS36" s="1530"/>
      <c r="AT36" s="1530"/>
      <c r="AU36" s="1530"/>
      <c r="AW36" s="1527"/>
      <c r="AX36" s="1595"/>
      <c r="AY36" s="1595"/>
      <c r="AZ36" s="1595" t="s">
        <v>801</v>
      </c>
      <c r="BA36" s="1601"/>
      <c r="BB36" s="1606" t="s">
        <v>2180</v>
      </c>
      <c r="BC36" s="1606"/>
      <c r="BD36" s="1606"/>
      <c r="BE36" s="1597"/>
      <c r="BK36" s="1530"/>
      <c r="BL36" s="1530"/>
      <c r="BM36" s="1530"/>
    </row>
    <row r="37" spans="4:65" s="1524" customFormat="1" ht="11.5">
      <c r="I37" s="1530"/>
      <c r="J37" s="1530"/>
      <c r="K37" s="1530"/>
      <c r="R37" s="1530"/>
      <c r="S37" s="1530"/>
      <c r="T37" s="1530"/>
      <c r="AA37" s="1530"/>
      <c r="AB37" s="1530"/>
      <c r="AC37" s="1530"/>
      <c r="AJ37" s="1530"/>
      <c r="AK37" s="1530"/>
      <c r="AL37" s="1530"/>
      <c r="AS37" s="1530"/>
      <c r="AT37" s="1530"/>
      <c r="AU37" s="1530"/>
      <c r="AW37" s="1529"/>
      <c r="AX37" s="1593"/>
      <c r="AY37" s="1593"/>
      <c r="AZ37" s="1593"/>
      <c r="BA37" s="1602"/>
      <c r="BB37" s="1607"/>
      <c r="BC37" s="1607"/>
      <c r="BD37" s="1607"/>
      <c r="BE37" s="1599"/>
      <c r="BK37" s="1530"/>
      <c r="BL37" s="1530"/>
      <c r="BM37" s="1530"/>
    </row>
    <row r="38" spans="4:65" s="1524" customFormat="1" ht="11.5">
      <c r="I38" s="1530"/>
      <c r="J38" s="1530"/>
      <c r="K38" s="1530"/>
      <c r="R38" s="1530"/>
      <c r="S38" s="1530"/>
      <c r="T38" s="1530"/>
      <c r="AA38" s="1530"/>
      <c r="AB38" s="1530"/>
      <c r="AC38" s="1530"/>
      <c r="AJ38" s="1530"/>
      <c r="AK38" s="1530"/>
      <c r="AL38" s="1530"/>
      <c r="AS38" s="1530"/>
      <c r="AT38" s="1530"/>
      <c r="AU38" s="1530"/>
      <c r="AW38" s="1526">
        <v>8</v>
      </c>
      <c r="AX38" s="1594" t="s">
        <v>802</v>
      </c>
      <c r="AY38" s="1594" t="s">
        <v>803</v>
      </c>
      <c r="AZ38" s="1594" t="s">
        <v>805</v>
      </c>
      <c r="BA38" s="1600" t="s">
        <v>2181</v>
      </c>
      <c r="BB38" s="1616" t="s">
        <v>806</v>
      </c>
      <c r="BC38" s="1616"/>
      <c r="BD38" s="1605" t="s">
        <v>2182</v>
      </c>
      <c r="BE38" s="1596" t="s">
        <v>804</v>
      </c>
      <c r="BK38" s="1530"/>
      <c r="BL38" s="1530"/>
      <c r="BM38" s="1530"/>
    </row>
    <row r="39" spans="4:65" s="1524" customFormat="1" ht="11.5">
      <c r="D39" s="1527"/>
      <c r="H39" s="1528"/>
      <c r="I39" s="1530"/>
      <c r="J39" s="1530"/>
      <c r="K39" s="1530"/>
      <c r="R39" s="1530"/>
      <c r="S39" s="1530"/>
      <c r="T39" s="1530"/>
      <c r="AA39" s="1530"/>
      <c r="AB39" s="1530"/>
      <c r="AC39" s="1530"/>
      <c r="AJ39" s="1530"/>
      <c r="AK39" s="1530"/>
      <c r="AL39" s="1530"/>
      <c r="AS39" s="1530"/>
      <c r="AT39" s="1530"/>
      <c r="AU39" s="1530"/>
      <c r="AW39" s="1529"/>
      <c r="AX39" s="1593"/>
      <c r="AY39" s="1593"/>
      <c r="AZ39" s="1593"/>
      <c r="BA39" s="1602"/>
      <c r="BB39" s="1618"/>
      <c r="BC39" s="1618"/>
      <c r="BD39" s="1607"/>
      <c r="BE39" s="1599"/>
      <c r="BK39" s="1530"/>
      <c r="BL39" s="1530"/>
      <c r="BM39" s="1530"/>
    </row>
    <row r="40" spans="4:65" s="1524" customFormat="1" ht="11.5">
      <c r="I40" s="1530"/>
      <c r="J40" s="1530"/>
      <c r="K40" s="1530"/>
      <c r="R40" s="1530"/>
      <c r="S40" s="1530"/>
      <c r="T40" s="1530"/>
      <c r="AA40" s="1530"/>
      <c r="AB40" s="1530"/>
      <c r="AC40" s="1530"/>
      <c r="AJ40" s="1530"/>
      <c r="AK40" s="1530"/>
      <c r="AL40" s="1530"/>
      <c r="AS40" s="1530"/>
      <c r="AT40" s="1530"/>
      <c r="AU40" s="1530"/>
      <c r="AW40" s="1526">
        <v>9</v>
      </c>
      <c r="AX40" s="1594" t="s">
        <v>807</v>
      </c>
      <c r="AY40" s="1594" t="s">
        <v>808</v>
      </c>
      <c r="AZ40" s="1594" t="s">
        <v>2211</v>
      </c>
      <c r="BA40" s="1600" t="s">
        <v>810</v>
      </c>
      <c r="BB40" s="1616" t="s">
        <v>2183</v>
      </c>
      <c r="BC40" s="1616" t="s">
        <v>2210</v>
      </c>
      <c r="BD40" s="1605" t="s">
        <v>2184</v>
      </c>
      <c r="BE40" s="1596" t="s">
        <v>809</v>
      </c>
      <c r="BK40" s="1530"/>
      <c r="BL40" s="1530"/>
      <c r="BM40" s="1530"/>
    </row>
    <row r="41" spans="4:65" s="1524" customFormat="1" ht="11.5">
      <c r="I41" s="1530"/>
      <c r="J41" s="1530"/>
      <c r="K41" s="1530"/>
      <c r="R41" s="1530"/>
      <c r="S41" s="1530"/>
      <c r="T41" s="1530"/>
      <c r="AA41" s="1530"/>
      <c r="AB41" s="1530"/>
      <c r="AC41" s="1530"/>
      <c r="AJ41" s="1530"/>
      <c r="AK41" s="1530"/>
      <c r="AL41" s="1530"/>
      <c r="AS41" s="1530"/>
      <c r="AT41" s="1530"/>
      <c r="AU41" s="1530"/>
      <c r="AW41" s="1529"/>
      <c r="AX41" s="1593"/>
      <c r="AY41" s="1593"/>
      <c r="AZ41" s="1615"/>
      <c r="BA41" s="1602"/>
      <c r="BB41" s="1618"/>
      <c r="BC41" s="1618"/>
      <c r="BD41" s="1607"/>
      <c r="BE41" s="1599"/>
      <c r="BK41" s="1530"/>
      <c r="BL41" s="1530"/>
      <c r="BM41" s="1530"/>
    </row>
    <row r="42" spans="4:65" s="1524" customFormat="1" ht="11.5">
      <c r="I42" s="1530"/>
      <c r="J42" s="1530"/>
      <c r="K42" s="1530"/>
      <c r="R42" s="1530"/>
      <c r="S42" s="1530"/>
      <c r="T42" s="1530"/>
      <c r="AA42" s="1530"/>
      <c r="AB42" s="1530"/>
      <c r="AC42" s="1530"/>
      <c r="AJ42" s="1530"/>
      <c r="AK42" s="1530"/>
      <c r="AL42" s="1530"/>
      <c r="AS42" s="1530"/>
      <c r="AT42" s="1530"/>
      <c r="AU42" s="1530"/>
      <c r="AW42" s="1526">
        <v>10</v>
      </c>
      <c r="AX42" s="1594" t="s">
        <v>807</v>
      </c>
      <c r="AY42" s="1594" t="s">
        <v>2185</v>
      </c>
      <c r="AZ42" s="1594" t="s">
        <v>2213</v>
      </c>
      <c r="BA42" s="1600" t="s">
        <v>812</v>
      </c>
      <c r="BB42" s="1616" t="s">
        <v>813</v>
      </c>
      <c r="BC42" s="1616" t="s">
        <v>2212</v>
      </c>
      <c r="BD42" s="1605" t="s">
        <v>814</v>
      </c>
      <c r="BE42" s="1596" t="s">
        <v>811</v>
      </c>
      <c r="BK42" s="1530"/>
      <c r="BL42" s="1530"/>
      <c r="BM42" s="1530"/>
    </row>
    <row r="43" spans="4:65" s="1524" customFormat="1" ht="11.5">
      <c r="I43" s="1530"/>
      <c r="J43" s="1530"/>
      <c r="K43" s="1530"/>
      <c r="R43" s="1530"/>
      <c r="S43" s="1530"/>
      <c r="T43" s="1530"/>
      <c r="AA43" s="1530"/>
      <c r="AB43" s="1530"/>
      <c r="AC43" s="1530"/>
      <c r="AJ43" s="1530"/>
      <c r="AK43" s="1530"/>
      <c r="AL43" s="1530"/>
      <c r="AS43" s="1530"/>
      <c r="AT43" s="1530"/>
      <c r="AU43" s="1530"/>
      <c r="AW43" s="1529"/>
      <c r="AX43" s="1593"/>
      <c r="AY43" s="1593"/>
      <c r="AZ43" s="1615"/>
      <c r="BA43" s="1602"/>
      <c r="BB43" s="1618"/>
      <c r="BC43" s="1618"/>
      <c r="BD43" s="1607"/>
      <c r="BE43" s="1599"/>
      <c r="BK43" s="1530"/>
      <c r="BL43" s="1530"/>
      <c r="BM43" s="1530"/>
    </row>
    <row r="44" spans="4:65" s="1524" customFormat="1" ht="11.5">
      <c r="I44" s="1530"/>
      <c r="J44" s="1530"/>
      <c r="K44" s="1530"/>
      <c r="R44" s="1530"/>
      <c r="S44" s="1530"/>
      <c r="T44" s="1530"/>
      <c r="AA44" s="1530"/>
      <c r="AB44" s="1530"/>
      <c r="AC44" s="1530"/>
      <c r="AJ44" s="1530"/>
      <c r="AK44" s="1530"/>
      <c r="AL44" s="1530"/>
      <c r="AS44" s="1530"/>
      <c r="AT44" s="1530"/>
      <c r="AU44" s="1530"/>
      <c r="AW44" s="1526">
        <v>11</v>
      </c>
      <c r="AX44" s="1594" t="s">
        <v>807</v>
      </c>
      <c r="AY44" s="1594" t="s">
        <v>815</v>
      </c>
      <c r="AZ44" s="1594" t="s">
        <v>2216</v>
      </c>
      <c r="BA44" s="1600" t="s">
        <v>816</v>
      </c>
      <c r="BB44" s="1616" t="s">
        <v>817</v>
      </c>
      <c r="BC44" s="1616" t="s">
        <v>2215</v>
      </c>
      <c r="BD44" s="1605"/>
      <c r="BE44" s="1596" t="s">
        <v>2186</v>
      </c>
      <c r="BK44" s="1530"/>
      <c r="BL44" s="1530"/>
      <c r="BM44" s="1530"/>
    </row>
    <row r="45" spans="4:65" s="1524" customFormat="1" ht="11.5">
      <c r="I45" s="1530"/>
      <c r="J45" s="1530"/>
      <c r="K45" s="1530"/>
      <c r="R45" s="1530"/>
      <c r="S45" s="1530"/>
      <c r="T45" s="1530"/>
      <c r="AA45" s="1530"/>
      <c r="AB45" s="1530"/>
      <c r="AC45" s="1530"/>
      <c r="AJ45" s="1530"/>
      <c r="AK45" s="1530"/>
      <c r="AL45" s="1530"/>
      <c r="AS45" s="1530"/>
      <c r="AT45" s="1530"/>
      <c r="AU45" s="1530"/>
      <c r="AW45" s="1527"/>
      <c r="AX45" s="1595"/>
      <c r="AY45" s="1595"/>
      <c r="AZ45" s="1595" t="s">
        <v>2217</v>
      </c>
      <c r="BA45" s="1601" t="s">
        <v>818</v>
      </c>
      <c r="BB45" s="1617" t="s">
        <v>819</v>
      </c>
      <c r="BC45" s="1617" t="s">
        <v>2214</v>
      </c>
      <c r="BD45" s="1606" t="s">
        <v>820</v>
      </c>
      <c r="BE45" s="1597"/>
      <c r="BK45" s="1530"/>
      <c r="BL45" s="1530"/>
      <c r="BM45" s="1530"/>
    </row>
    <row r="46" spans="4:65" s="1524" customFormat="1" ht="11.5">
      <c r="I46" s="1530"/>
      <c r="J46" s="1530"/>
      <c r="K46" s="1530"/>
      <c r="R46" s="1530"/>
      <c r="S46" s="1530"/>
      <c r="T46" s="1530"/>
      <c r="AA46" s="1530"/>
      <c r="AB46" s="1530"/>
      <c r="AC46" s="1530"/>
      <c r="AJ46" s="1530"/>
      <c r="AK46" s="1530"/>
      <c r="AL46" s="1530"/>
      <c r="AS46" s="1530"/>
      <c r="AT46" s="1530"/>
      <c r="AU46" s="1530"/>
      <c r="AW46" s="1529"/>
      <c r="AX46" s="1593"/>
      <c r="AY46" s="1593"/>
      <c r="AZ46" s="1615"/>
      <c r="BA46" s="1602"/>
      <c r="BB46" s="1618"/>
      <c r="BC46" s="1618"/>
      <c r="BD46" s="1607"/>
      <c r="BE46" s="1599"/>
      <c r="BK46" s="1530"/>
      <c r="BL46" s="1530"/>
      <c r="BM46" s="1530"/>
    </row>
    <row r="47" spans="4:65" s="1524" customFormat="1" ht="11.5">
      <c r="I47" s="1530"/>
      <c r="J47" s="1530"/>
      <c r="K47" s="1530"/>
      <c r="R47" s="1530"/>
      <c r="S47" s="1530"/>
      <c r="T47" s="1530"/>
      <c r="AA47" s="1530"/>
      <c r="AB47" s="1530"/>
      <c r="AC47" s="1530"/>
      <c r="AJ47" s="1530"/>
      <c r="AK47" s="1530"/>
      <c r="AL47" s="1530"/>
      <c r="AS47" s="1530"/>
      <c r="AT47" s="1530"/>
      <c r="AU47" s="1530"/>
      <c r="AW47" s="1526">
        <v>12</v>
      </c>
      <c r="AX47" s="1594" t="s">
        <v>821</v>
      </c>
      <c r="AY47" s="1594" t="s">
        <v>822</v>
      </c>
      <c r="AZ47" s="1594" t="s">
        <v>824</v>
      </c>
      <c r="BA47" s="1600" t="s">
        <v>825</v>
      </c>
      <c r="BB47" s="1605" t="s">
        <v>826</v>
      </c>
      <c r="BC47" s="1605"/>
      <c r="BD47" s="1605" t="s">
        <v>2187</v>
      </c>
      <c r="BE47" s="1596" t="s">
        <v>823</v>
      </c>
      <c r="BK47" s="1530"/>
      <c r="BL47" s="1530"/>
      <c r="BM47" s="1530"/>
    </row>
    <row r="48" spans="4:65" s="1524" customFormat="1" ht="11.5">
      <c r="I48" s="1530"/>
      <c r="J48" s="1530"/>
      <c r="K48" s="1530"/>
      <c r="R48" s="1530"/>
      <c r="S48" s="1530"/>
      <c r="T48" s="1530"/>
      <c r="AA48" s="1530"/>
      <c r="AB48" s="1530"/>
      <c r="AC48" s="1530"/>
      <c r="AJ48" s="1530"/>
      <c r="AK48" s="1530"/>
      <c r="AL48" s="1530"/>
      <c r="AS48" s="1530"/>
      <c r="AT48" s="1530"/>
      <c r="AU48" s="1530"/>
      <c r="AW48" s="1527"/>
      <c r="AX48" s="1595"/>
      <c r="AY48" s="1595"/>
      <c r="AZ48" s="1595" t="s">
        <v>827</v>
      </c>
      <c r="BA48" s="1601" t="s">
        <v>828</v>
      </c>
      <c r="BB48" s="1606" t="s">
        <v>829</v>
      </c>
      <c r="BC48" s="1606"/>
      <c r="BD48" s="1606"/>
      <c r="BE48" s="1597"/>
      <c r="BK48" s="1530"/>
      <c r="BL48" s="1530"/>
      <c r="BM48" s="1530"/>
    </row>
    <row r="49" spans="4:65" s="1524" customFormat="1" ht="11.5">
      <c r="I49" s="1530"/>
      <c r="J49" s="1530"/>
      <c r="K49" s="1530"/>
      <c r="R49" s="1530"/>
      <c r="S49" s="1530"/>
      <c r="T49" s="1530"/>
      <c r="AA49" s="1530"/>
      <c r="AB49" s="1530"/>
      <c r="AC49" s="1530"/>
      <c r="AJ49" s="1530"/>
      <c r="AK49" s="1530"/>
      <c r="AL49" s="1530"/>
      <c r="AS49" s="1530"/>
      <c r="AT49" s="1530"/>
      <c r="AU49" s="1530"/>
      <c r="AW49" s="1527"/>
      <c r="AX49" s="1595"/>
      <c r="AY49" s="1595"/>
      <c r="AZ49" s="1595" t="s">
        <v>830</v>
      </c>
      <c r="BA49" s="1601" t="s">
        <v>831</v>
      </c>
      <c r="BB49" s="1606" t="s">
        <v>832</v>
      </c>
      <c r="BC49" s="1606"/>
      <c r="BD49" s="1606"/>
      <c r="BE49" s="1597"/>
      <c r="BK49" s="1530"/>
      <c r="BL49" s="1530"/>
      <c r="BM49" s="1530"/>
    </row>
    <row r="50" spans="4:65" s="1524" customFormat="1" ht="11.5">
      <c r="D50" s="1527"/>
      <c r="H50" s="1528"/>
      <c r="I50" s="1530"/>
      <c r="J50" s="1530"/>
      <c r="K50" s="1530"/>
      <c r="R50" s="1530"/>
      <c r="S50" s="1530"/>
      <c r="T50" s="1530"/>
      <c r="AA50" s="1530"/>
      <c r="AB50" s="1530"/>
      <c r="AC50" s="1530"/>
      <c r="AJ50" s="1530"/>
      <c r="AK50" s="1530"/>
      <c r="AL50" s="1530"/>
      <c r="AS50" s="1530"/>
      <c r="AT50" s="1530"/>
      <c r="AU50" s="1530"/>
      <c r="AW50" s="1527"/>
      <c r="AX50" s="1595"/>
      <c r="AY50" s="1595"/>
      <c r="AZ50" s="1595" t="s">
        <v>2219</v>
      </c>
      <c r="BA50" s="1601" t="s">
        <v>833</v>
      </c>
      <c r="BB50" s="1606" t="s">
        <v>834</v>
      </c>
      <c r="BC50" s="1606" t="s">
        <v>2218</v>
      </c>
      <c r="BD50" s="1606"/>
      <c r="BE50" s="1597"/>
      <c r="BK50" s="1530"/>
      <c r="BL50" s="1530"/>
      <c r="BM50" s="1530"/>
    </row>
    <row r="51" spans="4:65" s="1524" customFormat="1" ht="11.5">
      <c r="I51" s="1530"/>
      <c r="J51" s="1530"/>
      <c r="K51" s="1530"/>
      <c r="R51" s="1530"/>
      <c r="S51" s="1530"/>
      <c r="T51" s="1530"/>
      <c r="AA51" s="1530"/>
      <c r="AB51" s="1530"/>
      <c r="AC51" s="1530"/>
      <c r="AJ51" s="1530"/>
      <c r="AK51" s="1530"/>
      <c r="AL51" s="1530"/>
      <c r="AS51" s="1530"/>
      <c r="AT51" s="1530"/>
      <c r="AU51" s="1530"/>
      <c r="AW51" s="1527"/>
      <c r="AX51" s="1595"/>
      <c r="AY51" s="1595"/>
      <c r="AZ51" s="1595" t="s">
        <v>835</v>
      </c>
      <c r="BA51" s="1601" t="s">
        <v>836</v>
      </c>
      <c r="BB51" s="1606" t="s">
        <v>829</v>
      </c>
      <c r="BC51" s="1606"/>
      <c r="BD51" s="1606"/>
      <c r="BE51" s="1597"/>
      <c r="BK51" s="1530"/>
      <c r="BL51" s="1530"/>
      <c r="BM51" s="1530"/>
    </row>
    <row r="52" spans="4:65" s="1524" customFormat="1" ht="11.5">
      <c r="I52" s="1530"/>
      <c r="J52" s="1530"/>
      <c r="K52" s="1530"/>
      <c r="R52" s="1530"/>
      <c r="S52" s="1530"/>
      <c r="T52" s="1530"/>
      <c r="AA52" s="1530"/>
      <c r="AB52" s="1530"/>
      <c r="AC52" s="1530"/>
      <c r="AJ52" s="1530"/>
      <c r="AK52" s="1530"/>
      <c r="AL52" s="1530"/>
      <c r="AS52" s="1530"/>
      <c r="AT52" s="1530"/>
      <c r="AU52" s="1530"/>
      <c r="AW52" s="1527"/>
      <c r="AX52" s="1595"/>
      <c r="AY52" s="1595"/>
      <c r="AZ52" s="1595" t="s">
        <v>837</v>
      </c>
      <c r="BA52" s="1601" t="s">
        <v>838</v>
      </c>
      <c r="BB52" s="1606" t="s">
        <v>839</v>
      </c>
      <c r="BC52" s="1606"/>
      <c r="BD52" s="1606"/>
      <c r="BE52" s="1597"/>
      <c r="BK52" s="1530"/>
      <c r="BL52" s="1530"/>
      <c r="BM52" s="1530"/>
    </row>
    <row r="53" spans="4:65" s="1524" customFormat="1">
      <c r="I53" s="1530"/>
      <c r="J53" s="1530"/>
      <c r="K53" s="1530"/>
      <c r="R53" s="1530"/>
      <c r="S53" s="1530"/>
      <c r="T53" s="1530"/>
      <c r="AA53" s="1530"/>
      <c r="AB53" s="1530"/>
      <c r="AC53" s="1530"/>
      <c r="AJ53" s="1530"/>
      <c r="AK53" s="1530"/>
      <c r="AL53" s="1530"/>
      <c r="AS53" s="1530"/>
      <c r="AT53" s="1530"/>
      <c r="AU53" s="1530"/>
      <c r="AW53" s="1527"/>
      <c r="AX53" s="1595"/>
      <c r="AY53" s="1595"/>
      <c r="AZ53" s="1595" t="s">
        <v>2558</v>
      </c>
      <c r="BA53" s="1655" t="s">
        <v>2559</v>
      </c>
      <c r="BB53" s="1606" t="s">
        <v>2560</v>
      </c>
      <c r="BC53" s="1606" t="s">
        <v>2561</v>
      </c>
      <c r="BD53" s="1606"/>
      <c r="BE53" s="1597"/>
      <c r="BK53" s="1530"/>
      <c r="BL53" s="1530"/>
      <c r="BM53" s="1530"/>
    </row>
    <row r="54" spans="4:65" s="1524" customFormat="1" ht="11.5">
      <c r="I54" s="1530"/>
      <c r="J54" s="1530"/>
      <c r="K54" s="1530"/>
      <c r="R54" s="1530"/>
      <c r="S54" s="1530"/>
      <c r="T54" s="1530"/>
      <c r="AA54" s="1530"/>
      <c r="AB54" s="1530"/>
      <c r="AC54" s="1530"/>
      <c r="AJ54" s="1530"/>
      <c r="AK54" s="1530"/>
      <c r="AL54" s="1530"/>
      <c r="AS54" s="1530"/>
      <c r="AT54" s="1530"/>
      <c r="AU54" s="1530"/>
      <c r="AW54" s="1529"/>
      <c r="AX54" s="1593"/>
      <c r="AY54" s="1593"/>
      <c r="AZ54" s="1593"/>
      <c r="BA54" s="1602"/>
      <c r="BB54" s="1607"/>
      <c r="BC54" s="1607"/>
      <c r="BD54" s="1607"/>
      <c r="BE54" s="1599"/>
      <c r="BK54" s="1530"/>
      <c r="BL54" s="1530"/>
      <c r="BM54" s="1530"/>
    </row>
    <row r="55" spans="4:65" s="1524" customFormat="1" ht="11.5" collapsed="1">
      <c r="I55" s="1530"/>
      <c r="J55" s="1530"/>
      <c r="K55" s="1530"/>
      <c r="R55" s="1530"/>
      <c r="S55" s="1530"/>
      <c r="T55" s="1530"/>
      <c r="AA55" s="1530"/>
      <c r="AB55" s="1530"/>
      <c r="AC55" s="1530"/>
      <c r="AJ55" s="1530"/>
      <c r="AK55" s="1530"/>
      <c r="AL55" s="1530"/>
      <c r="AS55" s="1530"/>
      <c r="AT55" s="1530"/>
      <c r="AU55" s="1530"/>
      <c r="AW55" s="1526">
        <v>13</v>
      </c>
      <c r="AX55" s="1594" t="s">
        <v>821</v>
      </c>
      <c r="AY55" s="1594" t="s">
        <v>840</v>
      </c>
      <c r="AZ55" s="1594" t="s">
        <v>842</v>
      </c>
      <c r="BA55" s="1600" t="s">
        <v>843</v>
      </c>
      <c r="BB55" s="1605" t="s">
        <v>2188</v>
      </c>
      <c r="BC55" s="1605"/>
      <c r="BD55" s="1605" t="s">
        <v>2189</v>
      </c>
      <c r="BE55" s="1596" t="s">
        <v>841</v>
      </c>
      <c r="BK55" s="1530"/>
      <c r="BL55" s="1530"/>
      <c r="BM55" s="1530"/>
    </row>
    <row r="56" spans="4:65" s="1524" customFormat="1" ht="11.5">
      <c r="I56" s="1530"/>
      <c r="J56" s="1530"/>
      <c r="K56" s="1530"/>
      <c r="R56" s="1530"/>
      <c r="S56" s="1530"/>
      <c r="T56" s="1530"/>
      <c r="AA56" s="1530"/>
      <c r="AB56" s="1530"/>
      <c r="AC56" s="1530"/>
      <c r="AJ56" s="1530"/>
      <c r="AK56" s="1530"/>
      <c r="AL56" s="1530"/>
      <c r="AS56" s="1530"/>
      <c r="AT56" s="1530"/>
      <c r="AU56" s="1530"/>
      <c r="AW56" s="1529"/>
      <c r="AX56" s="1593"/>
      <c r="AY56" s="1593"/>
      <c r="AZ56" s="1593"/>
      <c r="BA56" s="1602"/>
      <c r="BB56" s="1607"/>
      <c r="BC56" s="1607"/>
      <c r="BD56" s="1607"/>
      <c r="BE56" s="1599"/>
      <c r="BK56" s="1530"/>
      <c r="BL56" s="1530"/>
      <c r="BM56" s="1530"/>
    </row>
    <row r="57" spans="4:65" s="1524" customFormat="1" ht="11.5">
      <c r="I57" s="1530"/>
      <c r="J57" s="1530"/>
      <c r="K57" s="1530"/>
      <c r="R57" s="1530"/>
      <c r="S57" s="1530"/>
      <c r="T57" s="1530"/>
      <c r="AA57" s="1530"/>
      <c r="AB57" s="1530"/>
      <c r="AC57" s="1530"/>
      <c r="AJ57" s="1530"/>
      <c r="AK57" s="1530"/>
      <c r="AL57" s="1530"/>
      <c r="AS57" s="1530"/>
      <c r="AT57" s="1530"/>
      <c r="AU57" s="1530"/>
      <c r="AW57" s="1526">
        <v>14</v>
      </c>
      <c r="AX57" s="1594" t="s">
        <v>844</v>
      </c>
      <c r="AY57" s="1594" t="s">
        <v>845</v>
      </c>
      <c r="AZ57" s="1594" t="s">
        <v>846</v>
      </c>
      <c r="BA57" s="1600" t="s">
        <v>847</v>
      </c>
      <c r="BB57" s="1605" t="s">
        <v>848</v>
      </c>
      <c r="BC57" s="1605"/>
      <c r="BD57" s="1605" t="s">
        <v>2190</v>
      </c>
      <c r="BE57" s="1596" t="s">
        <v>2191</v>
      </c>
      <c r="BK57" s="1530"/>
      <c r="BL57" s="1530"/>
      <c r="BM57" s="1530"/>
    </row>
    <row r="58" spans="4:65" s="1524" customFormat="1" ht="11.5">
      <c r="I58" s="1530"/>
      <c r="J58" s="1530"/>
      <c r="K58" s="1530"/>
      <c r="R58" s="1530"/>
      <c r="S58" s="1530"/>
      <c r="T58" s="1530"/>
      <c r="AA58" s="1530"/>
      <c r="AB58" s="1530"/>
      <c r="AC58" s="1530"/>
      <c r="AJ58" s="1530"/>
      <c r="AK58" s="1530"/>
      <c r="AL58" s="1530"/>
      <c r="AS58" s="1530"/>
      <c r="AT58" s="1530"/>
      <c r="AU58" s="1530"/>
      <c r="AW58" s="1527"/>
      <c r="AX58" s="1595"/>
      <c r="AY58" s="1595"/>
      <c r="AZ58" s="1595" t="s">
        <v>2222</v>
      </c>
      <c r="BA58" s="1601" t="s">
        <v>849</v>
      </c>
      <c r="BB58" s="1606" t="s">
        <v>2192</v>
      </c>
      <c r="BC58" s="1606" t="s">
        <v>2221</v>
      </c>
      <c r="BD58" s="1606"/>
      <c r="BE58" s="1597"/>
      <c r="BK58" s="1530"/>
      <c r="BL58" s="1530"/>
      <c r="BM58" s="1530"/>
    </row>
    <row r="59" spans="4:65" s="1524" customFormat="1" ht="11.5">
      <c r="I59" s="1530"/>
      <c r="J59" s="1530"/>
      <c r="K59" s="1530"/>
      <c r="R59" s="1530"/>
      <c r="S59" s="1530"/>
      <c r="T59" s="1530"/>
      <c r="AA59" s="1530"/>
      <c r="AB59" s="1530"/>
      <c r="AC59" s="1530"/>
      <c r="AJ59" s="1530"/>
      <c r="AK59" s="1530"/>
      <c r="AL59" s="1530"/>
      <c r="AS59" s="1530"/>
      <c r="AT59" s="1530"/>
      <c r="AU59" s="1530"/>
      <c r="AW59" s="1527"/>
      <c r="AX59" s="1595"/>
      <c r="AY59" s="1595"/>
      <c r="AZ59" s="1595" t="s">
        <v>850</v>
      </c>
      <c r="BA59" s="1601" t="s">
        <v>851</v>
      </c>
      <c r="BB59" s="1606"/>
      <c r="BC59" s="1606"/>
      <c r="BD59" s="1606"/>
      <c r="BE59" s="1597"/>
      <c r="BK59" s="1530"/>
      <c r="BL59" s="1530"/>
      <c r="BM59" s="1530"/>
    </row>
    <row r="60" spans="4:65" s="1524" customFormat="1" ht="11.5">
      <c r="I60" s="1530"/>
      <c r="J60" s="1530"/>
      <c r="K60" s="1530"/>
      <c r="R60" s="1530"/>
      <c r="S60" s="1530"/>
      <c r="T60" s="1530"/>
      <c r="AA60" s="1530"/>
      <c r="AB60" s="1530"/>
      <c r="AC60" s="1530"/>
      <c r="AJ60" s="1530"/>
      <c r="AK60" s="1530"/>
      <c r="AL60" s="1530"/>
      <c r="AS60" s="1530"/>
      <c r="AT60" s="1530"/>
      <c r="AU60" s="1530"/>
      <c r="AW60" s="1529"/>
      <c r="AX60" s="1593"/>
      <c r="AY60" s="1593"/>
      <c r="AZ60" s="1593"/>
      <c r="BA60" s="1602"/>
      <c r="BB60" s="1607"/>
      <c r="BC60" s="1607"/>
      <c r="BD60" s="1607"/>
      <c r="BE60" s="1599"/>
      <c r="BK60" s="1530"/>
      <c r="BL60" s="1530"/>
      <c r="BM60" s="1530"/>
    </row>
    <row r="61" spans="4:65" s="1524" customFormat="1" ht="11.5">
      <c r="I61" s="1530"/>
      <c r="J61" s="1530"/>
      <c r="K61" s="1530"/>
      <c r="R61" s="1530"/>
      <c r="S61" s="1530"/>
      <c r="T61" s="1530"/>
      <c r="AA61" s="1530"/>
      <c r="AB61" s="1530"/>
      <c r="AC61" s="1530"/>
      <c r="AJ61" s="1530"/>
      <c r="AK61" s="1530"/>
      <c r="AL61" s="1530"/>
      <c r="AS61" s="1530"/>
      <c r="AT61" s="1530"/>
      <c r="AU61" s="1530"/>
      <c r="AW61" s="1526">
        <v>15</v>
      </c>
      <c r="AX61" s="1594" t="s">
        <v>852</v>
      </c>
      <c r="AY61" s="1594" t="s">
        <v>853</v>
      </c>
      <c r="AZ61" s="1594" t="s">
        <v>2228</v>
      </c>
      <c r="BA61" s="1594"/>
      <c r="BB61" s="1605" t="s">
        <v>2193</v>
      </c>
      <c r="BC61" s="1605" t="s">
        <v>2223</v>
      </c>
      <c r="BD61" s="1605" t="s">
        <v>2194</v>
      </c>
      <c r="BE61" s="1596" t="s">
        <v>854</v>
      </c>
      <c r="BK61" s="1530"/>
      <c r="BL61" s="1530"/>
      <c r="BM61" s="1530"/>
    </row>
    <row r="62" spans="4:65" s="1524" customFormat="1" ht="24" customHeight="1">
      <c r="I62" s="1530"/>
      <c r="J62" s="1530"/>
      <c r="K62" s="1530"/>
      <c r="R62" s="1530"/>
      <c r="S62" s="1530"/>
      <c r="T62" s="1530"/>
      <c r="AA62" s="1530"/>
      <c r="AB62" s="1530"/>
      <c r="AC62" s="1530"/>
      <c r="AJ62" s="1530"/>
      <c r="AK62" s="1530"/>
      <c r="AL62" s="1530"/>
      <c r="AS62" s="1530"/>
      <c r="AT62" s="1530"/>
      <c r="AU62" s="1530"/>
      <c r="AW62" s="1527"/>
      <c r="AX62" s="1595" t="s">
        <v>855</v>
      </c>
      <c r="AY62" s="1595"/>
      <c r="AZ62" s="1595" t="s">
        <v>2227</v>
      </c>
      <c r="BA62" s="1601" t="s">
        <v>2195</v>
      </c>
      <c r="BB62" s="1606" t="s">
        <v>2196</v>
      </c>
      <c r="BC62" s="1606" t="s">
        <v>2224</v>
      </c>
      <c r="BD62" s="1606" t="s">
        <v>2194</v>
      </c>
      <c r="BE62" s="1597"/>
      <c r="BK62" s="1530"/>
      <c r="BL62" s="1530"/>
      <c r="BM62" s="1530"/>
    </row>
    <row r="63" spans="4:65" s="1524" customFormat="1" ht="11.5">
      <c r="I63" s="1530"/>
      <c r="J63" s="1530"/>
      <c r="K63" s="1530"/>
      <c r="R63" s="1530"/>
      <c r="S63" s="1530"/>
      <c r="T63" s="1530"/>
      <c r="AA63" s="1530"/>
      <c r="AB63" s="1530"/>
      <c r="AC63" s="1530"/>
      <c r="AJ63" s="1530"/>
      <c r="AK63" s="1530"/>
      <c r="AL63" s="1530"/>
      <c r="AS63" s="1530"/>
      <c r="AT63" s="1530"/>
      <c r="AU63" s="1530"/>
      <c r="AW63" s="1529"/>
      <c r="AX63" s="1593"/>
      <c r="AY63" s="1593"/>
      <c r="AZ63" s="1593"/>
      <c r="BA63" s="1602"/>
      <c r="BB63" s="1607"/>
      <c r="BC63" s="1607"/>
      <c r="BD63" s="1607"/>
      <c r="BE63" s="1599"/>
      <c r="BK63" s="1530"/>
      <c r="BL63" s="1530"/>
      <c r="BM63" s="1530"/>
    </row>
    <row r="64" spans="4:65" s="1524" customFormat="1" ht="11.5">
      <c r="I64" s="1530"/>
      <c r="J64" s="1530"/>
      <c r="K64" s="1530"/>
      <c r="R64" s="1530"/>
      <c r="S64" s="1530"/>
      <c r="T64" s="1530"/>
      <c r="AA64" s="1530"/>
      <c r="AB64" s="1530"/>
      <c r="AC64" s="1530"/>
      <c r="AJ64" s="1530"/>
      <c r="AK64" s="1530"/>
      <c r="AL64" s="1530"/>
      <c r="AS64" s="1530"/>
      <c r="AT64" s="1530"/>
      <c r="AU64" s="1530"/>
      <c r="AW64" s="1526">
        <v>16</v>
      </c>
      <c r="AX64" s="1594" t="s">
        <v>856</v>
      </c>
      <c r="AY64" s="1594" t="s">
        <v>2197</v>
      </c>
      <c r="AZ64" s="1594" t="s">
        <v>857</v>
      </c>
      <c r="BA64" s="1600" t="s">
        <v>858</v>
      </c>
      <c r="BB64" s="1605" t="s">
        <v>876</v>
      </c>
      <c r="BC64" s="1605"/>
      <c r="BD64" s="1605" t="s">
        <v>877</v>
      </c>
      <c r="BE64" s="1596" t="s">
        <v>2198</v>
      </c>
      <c r="BK64" s="1530"/>
      <c r="BL64" s="1530"/>
      <c r="BM64" s="1530"/>
    </row>
    <row r="65" spans="9:65" s="1524" customFormat="1" ht="11.5">
      <c r="I65" s="1530"/>
      <c r="J65" s="1530"/>
      <c r="K65" s="1530"/>
      <c r="R65" s="1530"/>
      <c r="S65" s="1530"/>
      <c r="T65" s="1530"/>
      <c r="AA65" s="1530"/>
      <c r="AB65" s="1530"/>
      <c r="AC65" s="1530"/>
      <c r="AJ65" s="1530"/>
      <c r="AK65" s="1530"/>
      <c r="AL65" s="1530"/>
      <c r="AS65" s="1530"/>
      <c r="AT65" s="1530"/>
      <c r="AU65" s="1530"/>
      <c r="AW65" s="1529"/>
      <c r="AX65" s="1593"/>
      <c r="AY65" s="1593"/>
      <c r="AZ65" s="1593"/>
      <c r="BA65" s="1602"/>
      <c r="BB65" s="1607"/>
      <c r="BC65" s="1607"/>
      <c r="BD65" s="1607"/>
      <c r="BE65" s="1599"/>
      <c r="BK65" s="1530"/>
      <c r="BL65" s="1530"/>
      <c r="BM65" s="1530"/>
    </row>
    <row r="66" spans="9:65" s="1524" customFormat="1" ht="11.5">
      <c r="I66" s="1530"/>
      <c r="J66" s="1530"/>
      <c r="K66" s="1530"/>
      <c r="R66" s="1530"/>
      <c r="S66" s="1530"/>
      <c r="T66" s="1530"/>
      <c r="AA66" s="1530"/>
      <c r="AB66" s="1530"/>
      <c r="AC66" s="1530"/>
      <c r="AJ66" s="1530"/>
      <c r="AK66" s="1530"/>
      <c r="AL66" s="1530"/>
      <c r="AS66" s="1530"/>
      <c r="AT66" s="1530"/>
      <c r="AU66" s="1530"/>
      <c r="AW66" s="1526">
        <v>17</v>
      </c>
      <c r="AX66" s="1594" t="s">
        <v>859</v>
      </c>
      <c r="AY66" s="1594" t="s">
        <v>860</v>
      </c>
      <c r="AZ66" s="1594" t="s">
        <v>861</v>
      </c>
      <c r="BA66" s="1600" t="s">
        <v>862</v>
      </c>
      <c r="BB66" s="1605" t="s">
        <v>2199</v>
      </c>
      <c r="BC66" s="1605"/>
      <c r="BD66" s="1605" t="s">
        <v>2200</v>
      </c>
      <c r="BE66" s="1596" t="s">
        <v>2201</v>
      </c>
      <c r="BK66" s="1530"/>
      <c r="BL66" s="1530"/>
      <c r="BM66" s="1530"/>
    </row>
    <row r="67" spans="9:65" s="1524" customFormat="1" ht="11.5">
      <c r="I67" s="1530"/>
      <c r="J67" s="1530"/>
      <c r="K67" s="1530"/>
      <c r="R67" s="1530"/>
      <c r="S67" s="1530"/>
      <c r="T67" s="1530"/>
      <c r="AA67" s="1530"/>
      <c r="AB67" s="1530"/>
      <c r="AC67" s="1530"/>
      <c r="AJ67" s="1530"/>
      <c r="AK67" s="1530"/>
      <c r="AL67" s="1530"/>
      <c r="AS67" s="1530"/>
      <c r="AT67" s="1530"/>
      <c r="AU67" s="1530"/>
      <c r="AW67" s="1529"/>
      <c r="AX67" s="1593"/>
      <c r="AY67" s="1593"/>
      <c r="AZ67" s="1593"/>
      <c r="BA67" s="1602"/>
      <c r="BB67" s="1607"/>
      <c r="BC67" s="1607"/>
      <c r="BD67" s="1607"/>
      <c r="BE67" s="1599"/>
      <c r="BK67" s="1530"/>
      <c r="BL67" s="1530"/>
      <c r="BM67" s="1530"/>
    </row>
    <row r="68" spans="9:65" s="1524" customFormat="1" ht="11.5">
      <c r="I68" s="1530"/>
      <c r="J68" s="1530"/>
      <c r="K68" s="1530"/>
      <c r="R68" s="1530"/>
      <c r="S68" s="1530"/>
      <c r="T68" s="1530"/>
      <c r="AA68" s="1530"/>
      <c r="AB68" s="1530"/>
      <c r="AC68" s="1530"/>
      <c r="AJ68" s="1530"/>
      <c r="AK68" s="1530"/>
      <c r="AL68" s="1530"/>
      <c r="AS68" s="1530"/>
      <c r="AT68" s="1530"/>
      <c r="AU68" s="1530"/>
      <c r="AW68" s="1526">
        <v>18</v>
      </c>
      <c r="AX68" s="1594" t="s">
        <v>863</v>
      </c>
      <c r="AY68" s="1594" t="s">
        <v>864</v>
      </c>
      <c r="AZ68" s="1594" t="s">
        <v>2269</v>
      </c>
      <c r="BA68" s="1600" t="s">
        <v>866</v>
      </c>
      <c r="BB68" s="1605" t="s">
        <v>867</v>
      </c>
      <c r="BC68" s="1605"/>
      <c r="BD68" s="1605" t="s">
        <v>868</v>
      </c>
      <c r="BE68" s="1596" t="s">
        <v>865</v>
      </c>
      <c r="BK68" s="1530"/>
      <c r="BL68" s="1530"/>
      <c r="BM68" s="1530"/>
    </row>
    <row r="69" spans="9:65" s="1524" customFormat="1" ht="11.5">
      <c r="I69" s="1530"/>
      <c r="J69" s="1530"/>
      <c r="K69" s="1530"/>
      <c r="R69" s="1530"/>
      <c r="S69" s="1530"/>
      <c r="T69" s="1530"/>
      <c r="AA69" s="1530"/>
      <c r="AB69" s="1530"/>
      <c r="AC69" s="1530"/>
      <c r="AJ69" s="1530"/>
      <c r="AK69" s="1530"/>
      <c r="AL69" s="1530"/>
      <c r="AS69" s="1530"/>
      <c r="AT69" s="1530"/>
      <c r="AU69" s="1530"/>
      <c r="AW69" s="1527"/>
      <c r="AX69" s="1595"/>
      <c r="AY69" s="1595"/>
      <c r="AZ69" s="1595" t="s">
        <v>2226</v>
      </c>
      <c r="BA69" s="1601" t="s">
        <v>869</v>
      </c>
      <c r="BB69" s="1606" t="s">
        <v>870</v>
      </c>
      <c r="BC69" s="1606" t="s">
        <v>2225</v>
      </c>
      <c r="BD69" s="1606"/>
      <c r="BE69" s="1597"/>
      <c r="BK69" s="1530"/>
      <c r="BL69" s="1530"/>
      <c r="BM69" s="1530"/>
    </row>
    <row r="70" spans="9:65" s="1524" customFormat="1" ht="11.5">
      <c r="I70" s="1530"/>
      <c r="J70" s="1530"/>
      <c r="K70" s="1530"/>
      <c r="R70" s="1530"/>
      <c r="S70" s="1530"/>
      <c r="T70" s="1530"/>
      <c r="AA70" s="1530"/>
      <c r="AB70" s="1530"/>
      <c r="AC70" s="1530"/>
      <c r="AJ70" s="1530"/>
      <c r="AK70" s="1530"/>
      <c r="AL70" s="1530"/>
      <c r="AS70" s="1530"/>
      <c r="AT70" s="1530"/>
      <c r="AU70" s="1530"/>
      <c r="AW70" s="1527"/>
      <c r="AX70" s="1595"/>
      <c r="AY70" s="1595"/>
      <c r="AZ70" s="1595" t="s">
        <v>871</v>
      </c>
      <c r="BA70" s="1601"/>
      <c r="BB70" s="1606" t="s">
        <v>872</v>
      </c>
      <c r="BC70" s="1606"/>
      <c r="BD70" s="1606"/>
      <c r="BE70" s="1597"/>
      <c r="BK70" s="1530"/>
      <c r="BL70" s="1530"/>
      <c r="BM70" s="1530"/>
    </row>
    <row r="71" spans="9:65" s="1524" customFormat="1" ht="11.5">
      <c r="I71" s="1530"/>
      <c r="J71" s="1530"/>
      <c r="K71" s="1530"/>
      <c r="R71" s="1530"/>
      <c r="S71" s="1530"/>
      <c r="T71" s="1530"/>
      <c r="AA71" s="1530"/>
      <c r="AB71" s="1530"/>
      <c r="AC71" s="1530"/>
      <c r="AJ71" s="1530"/>
      <c r="AK71" s="1530"/>
      <c r="AL71" s="1530"/>
      <c r="AS71" s="1530"/>
      <c r="AT71" s="1530"/>
      <c r="AU71" s="1530"/>
      <c r="AW71" s="1527"/>
      <c r="AX71" s="1595"/>
      <c r="AY71" s="1595"/>
      <c r="AZ71" s="1595" t="s">
        <v>873</v>
      </c>
      <c r="BA71" s="1595"/>
      <c r="BB71" s="1606" t="s">
        <v>874</v>
      </c>
      <c r="BC71" s="1606"/>
      <c r="BD71" s="1606"/>
      <c r="BE71" s="1597"/>
      <c r="BK71" s="1530"/>
      <c r="BL71" s="1530"/>
      <c r="BM71" s="1530"/>
    </row>
    <row r="72" spans="9:65" s="1524" customFormat="1" ht="11.5">
      <c r="I72" s="1530"/>
      <c r="J72" s="1530"/>
      <c r="K72" s="1530"/>
      <c r="R72" s="1530"/>
      <c r="S72" s="1530"/>
      <c r="T72" s="1530"/>
      <c r="AA72" s="1530"/>
      <c r="AB72" s="1530"/>
      <c r="AC72" s="1530"/>
      <c r="AJ72" s="1530"/>
      <c r="AK72" s="1530"/>
      <c r="AL72" s="1530"/>
      <c r="AS72" s="1530"/>
      <c r="AT72" s="1530"/>
      <c r="AU72" s="1530"/>
      <c r="AW72" s="1529"/>
      <c r="AX72" s="1593"/>
      <c r="AY72" s="1593"/>
      <c r="AZ72" s="1593"/>
      <c r="BA72" s="1593"/>
      <c r="BB72" s="1607"/>
      <c r="BC72" s="1607"/>
      <c r="BD72" s="1607"/>
      <c r="BE72" s="1599"/>
      <c r="BK72" s="1530"/>
      <c r="BL72" s="1530"/>
      <c r="BM72" s="1530"/>
    </row>
    <row r="73" spans="9:65" s="1524" customFormat="1" ht="11.5">
      <c r="I73" s="1530"/>
      <c r="J73" s="1530"/>
      <c r="K73" s="1530"/>
      <c r="R73" s="1530"/>
      <c r="S73" s="1530"/>
      <c r="T73" s="1530"/>
      <c r="AA73" s="1530"/>
      <c r="AB73" s="1530"/>
      <c r="AC73" s="1530"/>
      <c r="AJ73" s="1530"/>
      <c r="AK73" s="1530"/>
      <c r="AL73" s="1530"/>
      <c r="AS73" s="1530"/>
      <c r="AT73" s="1530"/>
      <c r="AU73" s="1530"/>
      <c r="AW73" s="1526">
        <v>19</v>
      </c>
      <c r="AX73" s="1594" t="s">
        <v>863</v>
      </c>
      <c r="AY73" s="1594" t="s">
        <v>2142</v>
      </c>
      <c r="AZ73" s="1594" t="s">
        <v>2089</v>
      </c>
      <c r="BA73" s="1600" t="s">
        <v>875</v>
      </c>
      <c r="BB73" s="1605" t="s">
        <v>876</v>
      </c>
      <c r="BC73" s="1605" t="s">
        <v>2088</v>
      </c>
      <c r="BD73" s="1605" t="s">
        <v>877</v>
      </c>
      <c r="BE73" s="1596" t="s">
        <v>2144</v>
      </c>
      <c r="BK73" s="1530"/>
      <c r="BL73" s="1530"/>
      <c r="BM73" s="1530"/>
    </row>
    <row r="74" spans="9:65" s="1524" customFormat="1" ht="11.5">
      <c r="I74" s="1530"/>
      <c r="J74" s="1530"/>
      <c r="K74" s="1530"/>
      <c r="R74" s="1530"/>
      <c r="S74" s="1530"/>
      <c r="T74" s="1530"/>
      <c r="AA74" s="1530"/>
      <c r="AB74" s="1530"/>
      <c r="AC74" s="1530"/>
      <c r="AJ74" s="1530"/>
      <c r="AK74" s="1530"/>
      <c r="AL74" s="1530"/>
      <c r="AS74" s="1530"/>
      <c r="AT74" s="1530"/>
      <c r="AU74" s="1530"/>
      <c r="AW74" s="1527"/>
      <c r="AX74" s="1595"/>
      <c r="AY74" s="1595"/>
      <c r="AZ74" s="1595"/>
      <c r="BA74" s="1595"/>
      <c r="BB74" s="1606"/>
      <c r="BC74" s="1606"/>
      <c r="BD74" s="1606"/>
      <c r="BE74" s="1597"/>
      <c r="BK74" s="1530"/>
      <c r="BL74" s="1530"/>
      <c r="BM74" s="1530"/>
    </row>
    <row r="75" spans="9:65" s="1524" customFormat="1" ht="11.5">
      <c r="I75" s="1530"/>
      <c r="J75" s="1530"/>
      <c r="K75" s="1530"/>
      <c r="R75" s="1530"/>
      <c r="S75" s="1530"/>
      <c r="T75" s="1530"/>
      <c r="AA75" s="1530"/>
      <c r="AB75" s="1530"/>
      <c r="AC75" s="1530"/>
      <c r="AJ75" s="1530"/>
      <c r="AK75" s="1530"/>
      <c r="AL75" s="1530"/>
      <c r="AS75" s="1530"/>
      <c r="AT75" s="1530"/>
      <c r="AU75" s="1530"/>
      <c r="AW75" s="1529"/>
      <c r="AX75" s="1593"/>
      <c r="AY75" s="1593"/>
      <c r="AZ75" s="1593"/>
      <c r="BA75" s="1593"/>
      <c r="BB75" s="1607"/>
      <c r="BC75" s="1607"/>
      <c r="BD75" s="1607"/>
      <c r="BE75" s="1599"/>
      <c r="BK75" s="1530"/>
      <c r="BL75" s="1530"/>
      <c r="BM75" s="1530"/>
    </row>
    <row r="76" spans="9:65" s="1524" customFormat="1" ht="11.5" collapsed="1">
      <c r="I76" s="1530"/>
      <c r="J76" s="1530"/>
      <c r="K76" s="1530"/>
      <c r="R76" s="1530"/>
      <c r="S76" s="1530"/>
      <c r="T76" s="1530"/>
      <c r="AA76" s="1530"/>
      <c r="AB76" s="1530"/>
      <c r="AC76" s="1530"/>
      <c r="AJ76" s="1530"/>
      <c r="AK76" s="1530"/>
      <c r="AL76" s="1530"/>
      <c r="AS76" s="1530"/>
      <c r="AT76" s="1530"/>
      <c r="AU76" s="1530"/>
      <c r="AW76" s="1526">
        <v>20</v>
      </c>
      <c r="AX76" s="1594" t="s">
        <v>863</v>
      </c>
      <c r="AY76" s="1594" t="s">
        <v>878</v>
      </c>
      <c r="AZ76" s="1594" t="s">
        <v>880</v>
      </c>
      <c r="BA76" s="1600" t="s">
        <v>881</v>
      </c>
      <c r="BB76" s="1605" t="s">
        <v>2202</v>
      </c>
      <c r="BC76" s="1605"/>
      <c r="BD76" s="1605" t="s">
        <v>2203</v>
      </c>
      <c r="BE76" s="1596" t="s">
        <v>879</v>
      </c>
      <c r="BK76" s="1530"/>
      <c r="BL76" s="1530"/>
      <c r="BM76" s="1530"/>
    </row>
    <row r="77" spans="9:65" s="1524" customFormat="1" ht="11.5">
      <c r="I77" s="1530"/>
      <c r="J77" s="1530"/>
      <c r="K77" s="1530"/>
      <c r="R77" s="1530"/>
      <c r="S77" s="1530"/>
      <c r="T77" s="1530"/>
      <c r="AA77" s="1530"/>
      <c r="AB77" s="1530"/>
      <c r="AC77" s="1530"/>
      <c r="AJ77" s="1530"/>
      <c r="AK77" s="1530"/>
      <c r="AL77" s="1530"/>
      <c r="AS77" s="1530"/>
      <c r="AT77" s="1530"/>
      <c r="AU77" s="1530"/>
      <c r="AW77" s="1527"/>
      <c r="AX77" s="1595"/>
      <c r="AY77" s="1595"/>
      <c r="AZ77" s="1595" t="s">
        <v>882</v>
      </c>
      <c r="BA77" s="1601" t="s">
        <v>883</v>
      </c>
      <c r="BB77" s="1606"/>
      <c r="BC77" s="1606"/>
      <c r="BD77" s="1606"/>
      <c r="BE77" s="1597"/>
      <c r="BK77" s="1530"/>
      <c r="BL77" s="1530"/>
      <c r="BM77" s="1530"/>
    </row>
    <row r="78" spans="9:65" s="1524" customFormat="1" ht="11.5">
      <c r="I78" s="1530"/>
      <c r="J78" s="1530"/>
      <c r="K78" s="1530"/>
      <c r="R78" s="1530"/>
      <c r="S78" s="1530"/>
      <c r="T78" s="1530"/>
      <c r="AA78" s="1530"/>
      <c r="AB78" s="1530"/>
      <c r="AC78" s="1530"/>
      <c r="AJ78" s="1530"/>
      <c r="AK78" s="1530"/>
      <c r="AL78" s="1530"/>
      <c r="AS78" s="1530"/>
      <c r="AT78" s="1530"/>
      <c r="AU78" s="1530"/>
      <c r="AW78" s="1529"/>
      <c r="AX78" s="1593"/>
      <c r="AY78" s="1593"/>
      <c r="AZ78" s="1593"/>
      <c r="BA78" s="1602"/>
      <c r="BB78" s="1607"/>
      <c r="BC78" s="1607"/>
      <c r="BD78" s="1607"/>
      <c r="BE78" s="1599"/>
      <c r="BK78" s="1530"/>
      <c r="BL78" s="1530"/>
      <c r="BM78" s="1530"/>
    </row>
    <row r="79" spans="9:65" s="1524" customFormat="1" ht="11.5">
      <c r="I79" s="1530"/>
      <c r="J79" s="1530"/>
      <c r="K79" s="1530"/>
      <c r="R79" s="1530"/>
      <c r="S79" s="1530"/>
      <c r="T79" s="1530"/>
      <c r="AA79" s="1530"/>
      <c r="AB79" s="1530"/>
      <c r="AC79" s="1530"/>
      <c r="AJ79" s="1530"/>
      <c r="AK79" s="1530"/>
      <c r="AL79" s="1530"/>
      <c r="AS79" s="1530"/>
      <c r="AT79" s="1530"/>
      <c r="AU79" s="1530"/>
      <c r="AW79" s="1526">
        <v>21</v>
      </c>
      <c r="AX79" s="1594" t="s">
        <v>884</v>
      </c>
      <c r="AY79" s="1594" t="s">
        <v>878</v>
      </c>
      <c r="AZ79" s="1594" t="s">
        <v>885</v>
      </c>
      <c r="BA79" s="1600" t="s">
        <v>886</v>
      </c>
      <c r="BB79" s="1605" t="s">
        <v>2204</v>
      </c>
      <c r="BC79" s="1605"/>
      <c r="BD79" s="1605" t="s">
        <v>2203</v>
      </c>
      <c r="BE79" s="1596" t="s">
        <v>879</v>
      </c>
      <c r="BK79" s="1530"/>
      <c r="BL79" s="1530"/>
      <c r="BM79" s="1530"/>
    </row>
    <row r="80" spans="9:65" s="1524" customFormat="1" ht="11.5">
      <c r="I80" s="1530"/>
      <c r="J80" s="1530"/>
      <c r="K80" s="1530"/>
      <c r="R80" s="1530"/>
      <c r="S80" s="1530"/>
      <c r="T80" s="1530"/>
      <c r="AA80" s="1530"/>
      <c r="AB80" s="1530"/>
      <c r="AC80" s="1530"/>
      <c r="AJ80" s="1530"/>
      <c r="AK80" s="1530"/>
      <c r="AL80" s="1530"/>
      <c r="AS80" s="1530"/>
      <c r="AT80" s="1530"/>
      <c r="AU80" s="1530"/>
      <c r="AW80" s="1527"/>
      <c r="AX80" s="1595"/>
      <c r="AY80" s="1595"/>
      <c r="AZ80" s="1595"/>
      <c r="BA80" s="1601"/>
      <c r="BB80" s="1606"/>
      <c r="BC80" s="1606"/>
      <c r="BD80" s="1606"/>
      <c r="BE80" s="1597"/>
      <c r="BK80" s="1530"/>
      <c r="BL80" s="1530"/>
      <c r="BM80" s="1530"/>
    </row>
    <row r="81" spans="9:65" s="1524" customFormat="1" ht="11.5">
      <c r="I81" s="1530"/>
      <c r="J81" s="1530"/>
      <c r="K81" s="1530"/>
      <c r="R81" s="1530"/>
      <c r="S81" s="1530"/>
      <c r="T81" s="1530"/>
      <c r="AA81" s="1530"/>
      <c r="AB81" s="1530"/>
      <c r="AC81" s="1530"/>
      <c r="AJ81" s="1530"/>
      <c r="AK81" s="1530"/>
      <c r="AL81" s="1530"/>
      <c r="AS81" s="1530"/>
      <c r="AT81" s="1530"/>
      <c r="AU81" s="1530"/>
      <c r="AW81" s="1529"/>
      <c r="AX81" s="1593"/>
      <c r="AY81" s="1593"/>
      <c r="AZ81" s="1593"/>
      <c r="BA81" s="1593"/>
      <c r="BB81" s="1607"/>
      <c r="BC81" s="1607"/>
      <c r="BD81" s="1607"/>
      <c r="BE81" s="1599"/>
      <c r="BK81" s="1530"/>
      <c r="BL81" s="1530"/>
      <c r="BM81" s="1530"/>
    </row>
    <row r="82" spans="9:65" s="1524" customFormat="1" ht="11.5">
      <c r="I82" s="1530"/>
      <c r="J82" s="1530"/>
      <c r="K82" s="1530"/>
      <c r="R82" s="1530"/>
      <c r="S82" s="1530"/>
      <c r="T82" s="1530"/>
      <c r="AA82" s="1530"/>
      <c r="AB82" s="1530"/>
      <c r="AC82" s="1530"/>
      <c r="AJ82" s="1530"/>
      <c r="AK82" s="1530"/>
      <c r="AL82" s="1530"/>
      <c r="AS82" s="1530"/>
      <c r="AT82" s="1530"/>
      <c r="AU82" s="1530"/>
      <c r="AW82" s="1526">
        <v>22</v>
      </c>
      <c r="AX82" s="1594" t="s">
        <v>403</v>
      </c>
      <c r="AY82" s="1594" t="s">
        <v>887</v>
      </c>
      <c r="AZ82" s="1594" t="s">
        <v>2232</v>
      </c>
      <c r="BA82" s="1600" t="s">
        <v>889</v>
      </c>
      <c r="BB82" s="1605" t="s">
        <v>2205</v>
      </c>
      <c r="BC82" s="1605" t="s">
        <v>2229</v>
      </c>
      <c r="BD82" s="1605" t="s">
        <v>936</v>
      </c>
      <c r="BE82" s="1596" t="s">
        <v>888</v>
      </c>
      <c r="BK82" s="1530"/>
      <c r="BL82" s="1530"/>
      <c r="BM82" s="1530"/>
    </row>
    <row r="83" spans="9:65" s="1524" customFormat="1" ht="11.5">
      <c r="I83" s="1530"/>
      <c r="J83" s="1530"/>
      <c r="K83" s="1530"/>
      <c r="R83" s="1530"/>
      <c r="S83" s="1530"/>
      <c r="T83" s="1530"/>
      <c r="AA83" s="1530"/>
      <c r="AB83" s="1530"/>
      <c r="AC83" s="1530"/>
      <c r="AJ83" s="1530"/>
      <c r="AK83" s="1530"/>
      <c r="AL83" s="1530"/>
      <c r="AS83" s="1530"/>
      <c r="AT83" s="1530"/>
      <c r="AU83" s="1530"/>
      <c r="AW83" s="1527"/>
      <c r="AX83" s="1595"/>
      <c r="AY83" s="1595"/>
      <c r="AZ83" s="1595" t="s">
        <v>2231</v>
      </c>
      <c r="BA83" s="1601" t="s">
        <v>890</v>
      </c>
      <c r="BB83" s="1606" t="s">
        <v>2206</v>
      </c>
      <c r="BC83" s="1606" t="s">
        <v>2230</v>
      </c>
      <c r="BD83" s="1606" t="s">
        <v>936</v>
      </c>
      <c r="BE83" s="1597"/>
      <c r="BK83" s="1530"/>
      <c r="BL83" s="1530"/>
      <c r="BM83" s="1530"/>
    </row>
    <row r="84" spans="9:65" s="1524" customFormat="1" ht="11.5">
      <c r="I84" s="1530"/>
      <c r="J84" s="1530"/>
      <c r="K84" s="1530"/>
      <c r="R84" s="1530"/>
      <c r="S84" s="1530"/>
      <c r="T84" s="1530"/>
      <c r="AA84" s="1530"/>
      <c r="AB84" s="1530"/>
      <c r="AC84" s="1530"/>
      <c r="AJ84" s="1530"/>
      <c r="AK84" s="1530"/>
      <c r="AL84" s="1530"/>
      <c r="AS84" s="1530"/>
      <c r="AT84" s="1530"/>
      <c r="AU84" s="1530"/>
      <c r="AW84" s="1529"/>
      <c r="AX84" s="1593"/>
      <c r="AY84" s="1593"/>
      <c r="AZ84" s="1593"/>
      <c r="BA84" s="1602"/>
      <c r="BB84" s="1607"/>
      <c r="BC84" s="1607"/>
      <c r="BD84" s="1607"/>
      <c r="BE84" s="1599"/>
      <c r="BK84" s="1530"/>
      <c r="BL84" s="1530"/>
      <c r="BM84" s="1530"/>
    </row>
    <row r="85" spans="9:65" s="1524" customFormat="1" ht="11.5" collapsed="1">
      <c r="I85" s="1530"/>
      <c r="J85" s="1530"/>
      <c r="K85" s="1530"/>
      <c r="R85" s="1530"/>
      <c r="S85" s="1530"/>
      <c r="T85" s="1530"/>
      <c r="AA85" s="1530"/>
      <c r="AB85" s="1530"/>
      <c r="AC85" s="1530"/>
      <c r="AJ85" s="1530"/>
      <c r="AK85" s="1530"/>
      <c r="AL85" s="1530"/>
      <c r="AS85" s="1530"/>
      <c r="AT85" s="1530"/>
      <c r="AU85" s="1530"/>
      <c r="AW85" s="1526">
        <v>23</v>
      </c>
      <c r="AX85" s="1594" t="s">
        <v>891</v>
      </c>
      <c r="AY85" s="1594" t="s">
        <v>892</v>
      </c>
      <c r="AZ85" s="1594" t="s">
        <v>894</v>
      </c>
      <c r="BA85" s="1600"/>
      <c r="BB85" s="1605" t="s">
        <v>895</v>
      </c>
      <c r="BC85" s="1605"/>
      <c r="BD85" s="1605" t="s">
        <v>896</v>
      </c>
      <c r="BE85" s="1596" t="s">
        <v>893</v>
      </c>
      <c r="BK85" s="1530"/>
      <c r="BL85" s="1530"/>
      <c r="BM85" s="1530"/>
    </row>
    <row r="86" spans="9:65" s="1524" customFormat="1" ht="11.5">
      <c r="I86" s="1530"/>
      <c r="J86" s="1530"/>
      <c r="K86" s="1530"/>
      <c r="R86" s="1530"/>
      <c r="S86" s="1530"/>
      <c r="T86" s="1530"/>
      <c r="AA86" s="1530"/>
      <c r="AB86" s="1530"/>
      <c r="AC86" s="1530"/>
      <c r="AJ86" s="1530"/>
      <c r="AK86" s="1530"/>
      <c r="AL86" s="1530"/>
      <c r="AS86" s="1530"/>
      <c r="AT86" s="1530"/>
      <c r="AU86" s="1530"/>
      <c r="AW86" s="1527"/>
      <c r="AX86" s="1595"/>
      <c r="AY86" s="1595"/>
      <c r="AZ86" s="1595" t="s">
        <v>897</v>
      </c>
      <c r="BA86" s="1601" t="s">
        <v>898</v>
      </c>
      <c r="BB86" s="1606" t="s">
        <v>899</v>
      </c>
      <c r="BC86" s="1606"/>
      <c r="BD86" s="1606" t="s">
        <v>896</v>
      </c>
      <c r="BE86" s="1619"/>
      <c r="BK86" s="1530"/>
      <c r="BL86" s="1530"/>
      <c r="BM86" s="1530"/>
    </row>
    <row r="87" spans="9:65" s="1524" customFormat="1" ht="11.5">
      <c r="I87" s="1530"/>
      <c r="J87" s="1530"/>
      <c r="K87" s="1530"/>
      <c r="R87" s="1530"/>
      <c r="S87" s="1530"/>
      <c r="T87" s="1530"/>
      <c r="AA87" s="1530"/>
      <c r="AB87" s="1530"/>
      <c r="AC87" s="1530"/>
      <c r="AJ87" s="1530"/>
      <c r="AK87" s="1530"/>
      <c r="AL87" s="1530"/>
      <c r="AS87" s="1530"/>
      <c r="AT87" s="1530"/>
      <c r="AU87" s="1530"/>
      <c r="AW87" s="1527"/>
      <c r="AX87" s="1595"/>
      <c r="AY87" s="1595"/>
      <c r="AZ87" s="1595" t="s">
        <v>900</v>
      </c>
      <c r="BA87" s="1601"/>
      <c r="BB87" s="1606" t="s">
        <v>901</v>
      </c>
      <c r="BC87" s="1606"/>
      <c r="BD87" s="1606"/>
      <c r="BE87" s="1619"/>
      <c r="BK87" s="1530"/>
      <c r="BL87" s="1530"/>
      <c r="BM87" s="1530"/>
    </row>
    <row r="88" spans="9:65" s="1524" customFormat="1" ht="11.5">
      <c r="I88" s="1530"/>
      <c r="J88" s="1530"/>
      <c r="K88" s="1530"/>
      <c r="R88" s="1530"/>
      <c r="S88" s="1530"/>
      <c r="T88" s="1530"/>
      <c r="AA88" s="1530"/>
      <c r="AB88" s="1530"/>
      <c r="AC88" s="1530"/>
      <c r="AJ88" s="1530"/>
      <c r="AK88" s="1530"/>
      <c r="AL88" s="1530"/>
      <c r="AS88" s="1530"/>
      <c r="AT88" s="1530"/>
      <c r="AU88" s="1530"/>
      <c r="AW88" s="1529"/>
      <c r="AX88" s="1593"/>
      <c r="AY88" s="1593"/>
      <c r="AZ88" s="1593"/>
      <c r="BA88" s="1602"/>
      <c r="BB88" s="1607"/>
      <c r="BC88" s="1607"/>
      <c r="BD88" s="1607"/>
      <c r="BE88" s="1620"/>
      <c r="BK88" s="1530"/>
      <c r="BL88" s="1530"/>
      <c r="BM88" s="1530"/>
    </row>
    <row r="89" spans="9:65" s="1524" customFormat="1" ht="11.5">
      <c r="I89" s="1530"/>
      <c r="J89" s="1530"/>
      <c r="K89" s="1530"/>
      <c r="R89" s="1530"/>
      <c r="S89" s="1530"/>
      <c r="T89" s="1530"/>
      <c r="AA89" s="1530"/>
      <c r="AB89" s="1530"/>
      <c r="AC89" s="1530"/>
      <c r="AJ89" s="1530"/>
      <c r="AK89" s="1530"/>
      <c r="AL89" s="1530"/>
      <c r="AS89" s="1530"/>
      <c r="AT89" s="1530"/>
      <c r="AU89" s="1530"/>
      <c r="AW89" s="1526">
        <v>24</v>
      </c>
      <c r="AX89" s="1594" t="s">
        <v>902</v>
      </c>
      <c r="AY89" s="1594" t="s">
        <v>903</v>
      </c>
      <c r="AZ89" s="1594" t="s">
        <v>904</v>
      </c>
      <c r="BA89" s="1600" t="s">
        <v>905</v>
      </c>
      <c r="BB89" s="1605" t="s">
        <v>2207</v>
      </c>
      <c r="BC89" s="1605"/>
      <c r="BD89" s="1605" t="s">
        <v>2208</v>
      </c>
      <c r="BE89" s="1596" t="s">
        <v>2209</v>
      </c>
      <c r="BK89" s="1530"/>
      <c r="BL89" s="1530"/>
      <c r="BM89" s="1530"/>
    </row>
    <row r="90" spans="9:65" s="1524" customFormat="1" ht="11.5">
      <c r="I90" s="1530"/>
      <c r="J90" s="1530"/>
      <c r="K90" s="1530"/>
      <c r="R90" s="1530"/>
      <c r="S90" s="1530"/>
      <c r="T90" s="1530"/>
      <c r="AA90" s="1530"/>
      <c r="AB90" s="1530"/>
      <c r="AC90" s="1530"/>
      <c r="AJ90" s="1530"/>
      <c r="AK90" s="1530"/>
      <c r="AL90" s="1530"/>
      <c r="AS90" s="1530"/>
      <c r="AT90" s="1530"/>
      <c r="AU90" s="1530"/>
      <c r="AW90" s="1529"/>
      <c r="AX90" s="1593"/>
      <c r="AY90" s="1593"/>
      <c r="AZ90" s="1593"/>
      <c r="BA90" s="1602"/>
      <c r="BB90" s="1607"/>
      <c r="BC90" s="1607"/>
      <c r="BD90" s="1607"/>
      <c r="BE90" s="1599"/>
      <c r="BK90" s="1530"/>
      <c r="BL90" s="1530"/>
      <c r="BM90" s="1530"/>
    </row>
    <row r="91" spans="9:65" s="1524" customFormat="1" ht="11.5">
      <c r="I91" s="1530"/>
      <c r="J91" s="1530"/>
      <c r="K91" s="1530"/>
      <c r="R91" s="1530"/>
      <c r="S91" s="1530"/>
      <c r="T91" s="1530"/>
      <c r="AA91" s="1530"/>
      <c r="AB91" s="1530"/>
      <c r="AC91" s="1530"/>
      <c r="AJ91" s="1530"/>
      <c r="AK91" s="1530"/>
      <c r="AL91" s="1530"/>
      <c r="AS91" s="1530"/>
      <c r="AT91" s="1530"/>
      <c r="AU91" s="1530"/>
      <c r="AW91" s="1526">
        <v>25</v>
      </c>
      <c r="AX91" s="1594" t="s">
        <v>906</v>
      </c>
      <c r="AY91" s="1594" t="s">
        <v>2167</v>
      </c>
      <c r="AZ91" s="1594" t="s">
        <v>2233</v>
      </c>
      <c r="BA91" s="1600" t="s">
        <v>907</v>
      </c>
      <c r="BB91" s="1605" t="s">
        <v>2094</v>
      </c>
      <c r="BC91" s="1605" t="s">
        <v>2096</v>
      </c>
      <c r="BD91" s="1605" t="s">
        <v>908</v>
      </c>
      <c r="BE91" s="1596" t="s">
        <v>2168</v>
      </c>
      <c r="BK91" s="1530"/>
      <c r="BL91" s="1530"/>
      <c r="BM91" s="1530"/>
    </row>
    <row r="92" spans="9:65" s="1524" customFormat="1" ht="11.5">
      <c r="I92" s="1530"/>
      <c r="J92" s="1530"/>
      <c r="K92" s="1530"/>
      <c r="R92" s="1530"/>
      <c r="S92" s="1530"/>
      <c r="T92" s="1530"/>
      <c r="AA92" s="1530"/>
      <c r="AB92" s="1530"/>
      <c r="AC92" s="1530"/>
      <c r="AJ92" s="1530"/>
      <c r="AK92" s="1530"/>
      <c r="AL92" s="1530"/>
      <c r="AS92" s="1530"/>
      <c r="AT92" s="1530"/>
      <c r="AU92" s="1530"/>
      <c r="AW92" s="1527"/>
      <c r="AX92" s="1595"/>
      <c r="AY92" s="1595"/>
      <c r="AZ92" s="1595" t="s">
        <v>2234</v>
      </c>
      <c r="BA92" s="1601" t="s">
        <v>909</v>
      </c>
      <c r="BB92" s="1606" t="s">
        <v>2094</v>
      </c>
      <c r="BC92" s="1606" t="s">
        <v>2097</v>
      </c>
      <c r="BD92" s="1606"/>
      <c r="BE92" s="1597"/>
      <c r="BK92" s="1530"/>
      <c r="BL92" s="1530"/>
      <c r="BM92" s="1530"/>
    </row>
    <row r="93" spans="9:65" s="1524" customFormat="1" ht="11.5">
      <c r="I93" s="1530"/>
      <c r="J93" s="1530"/>
      <c r="K93" s="1530"/>
      <c r="R93" s="1530"/>
      <c r="S93" s="1530"/>
      <c r="T93" s="1530"/>
      <c r="AA93" s="1530"/>
      <c r="AB93" s="1530"/>
      <c r="AC93" s="1530"/>
      <c r="AJ93" s="1530"/>
      <c r="AK93" s="1530"/>
      <c r="AL93" s="1530"/>
      <c r="AS93" s="1530"/>
      <c r="AT93" s="1530"/>
      <c r="AU93" s="1530"/>
      <c r="AX93" s="1595"/>
      <c r="AY93" s="1595"/>
      <c r="AZ93" s="1595" t="s">
        <v>2092</v>
      </c>
      <c r="BA93" s="1612" t="s">
        <v>2093</v>
      </c>
      <c r="BB93" s="1606" t="s">
        <v>2094</v>
      </c>
      <c r="BC93" s="1606" t="s">
        <v>2095</v>
      </c>
      <c r="BD93" s="1606"/>
      <c r="BE93" s="1597"/>
      <c r="BK93" s="1530"/>
      <c r="BL93" s="1530"/>
      <c r="BM93" s="1530"/>
    </row>
    <row r="94" spans="9:65" s="1524" customFormat="1" ht="11.5">
      <c r="I94" s="1530"/>
      <c r="J94" s="1530"/>
      <c r="K94" s="1530"/>
      <c r="R94" s="1530"/>
      <c r="S94" s="1530"/>
      <c r="T94" s="1530"/>
      <c r="AA94" s="1530"/>
      <c r="AB94" s="1530"/>
      <c r="AC94" s="1530"/>
      <c r="AJ94" s="1530"/>
      <c r="AK94" s="1530"/>
      <c r="AL94" s="1530"/>
      <c r="AS94" s="1530"/>
      <c r="AT94" s="1530"/>
      <c r="AU94" s="1530"/>
      <c r="AW94" s="1529"/>
      <c r="AX94" s="1593"/>
      <c r="AY94" s="1593"/>
      <c r="AZ94" s="1593"/>
      <c r="BA94" s="1602"/>
      <c r="BB94" s="1607"/>
      <c r="BC94" s="1607"/>
      <c r="BD94" s="1607"/>
      <c r="BE94" s="1599"/>
      <c r="BK94" s="1530"/>
      <c r="BL94" s="1530"/>
      <c r="BM94" s="1530"/>
    </row>
    <row r="95" spans="9:65" s="1524" customFormat="1" ht="11.5">
      <c r="I95" s="1530"/>
      <c r="J95" s="1530"/>
      <c r="K95" s="1530"/>
      <c r="R95" s="1530"/>
      <c r="S95" s="1530"/>
      <c r="T95" s="1530"/>
      <c r="AA95" s="1530"/>
      <c r="AB95" s="1530"/>
      <c r="AC95" s="1530"/>
      <c r="AJ95" s="1530"/>
      <c r="AK95" s="1530"/>
      <c r="AL95" s="1530"/>
      <c r="AS95" s="1530"/>
      <c r="AT95" s="1530"/>
      <c r="AU95" s="1530"/>
      <c r="AW95" s="1526">
        <v>26</v>
      </c>
      <c r="AX95" s="1594" t="s">
        <v>405</v>
      </c>
      <c r="AY95" s="1594" t="s">
        <v>910</v>
      </c>
      <c r="AZ95" s="1594" t="s">
        <v>2055</v>
      </c>
      <c r="BA95" s="1600" t="s">
        <v>912</v>
      </c>
      <c r="BB95" s="1605" t="s">
        <v>913</v>
      </c>
      <c r="BC95" s="1605" t="s">
        <v>2235</v>
      </c>
      <c r="BD95" s="1605" t="s">
        <v>914</v>
      </c>
      <c r="BE95" s="1596" t="s">
        <v>911</v>
      </c>
      <c r="BK95" s="1530"/>
      <c r="BL95" s="1530"/>
      <c r="BM95" s="1530"/>
    </row>
    <row r="96" spans="9:65" s="1524" customFormat="1" ht="11.5">
      <c r="I96" s="1530"/>
      <c r="J96" s="1530"/>
      <c r="K96" s="1530"/>
      <c r="R96" s="1530"/>
      <c r="S96" s="1530"/>
      <c r="T96" s="1530"/>
      <c r="AA96" s="1530"/>
      <c r="AB96" s="1530"/>
      <c r="AC96" s="1530"/>
      <c r="AJ96" s="1530"/>
      <c r="AK96" s="1530"/>
      <c r="AL96" s="1530"/>
      <c r="AS96" s="1530"/>
      <c r="AT96" s="1530"/>
      <c r="AU96" s="1530"/>
      <c r="AW96" s="1529"/>
      <c r="AX96" s="1593"/>
      <c r="AY96" s="1593"/>
      <c r="AZ96" s="1593"/>
      <c r="BA96" s="1593"/>
      <c r="BB96" s="1607"/>
      <c r="BC96" s="1607"/>
      <c r="BD96" s="1607"/>
      <c r="BE96" s="1599"/>
      <c r="BK96" s="1530"/>
      <c r="BL96" s="1530"/>
      <c r="BM96" s="1530"/>
    </row>
    <row r="97" spans="9:65" s="1524" customFormat="1" ht="11.5">
      <c r="I97" s="1530"/>
      <c r="J97" s="1530"/>
      <c r="K97" s="1530"/>
      <c r="R97" s="1530"/>
      <c r="S97" s="1530"/>
      <c r="T97" s="1530"/>
      <c r="AA97" s="1530"/>
      <c r="AB97" s="1530"/>
      <c r="AC97" s="1530"/>
      <c r="AJ97" s="1530"/>
      <c r="AK97" s="1530"/>
      <c r="AL97" s="1530"/>
      <c r="AS97" s="1530"/>
      <c r="AT97" s="1530"/>
      <c r="AU97" s="1530"/>
      <c r="BB97" s="1530"/>
      <c r="BC97" s="1530"/>
      <c r="BD97" s="1530"/>
      <c r="BK97" s="1530"/>
      <c r="BL97" s="1530"/>
      <c r="BM97" s="1530"/>
    </row>
    <row r="98" spans="9:65" s="1524" customFormat="1" ht="11.5">
      <c r="I98" s="1530"/>
      <c r="J98" s="1530"/>
      <c r="K98" s="1530"/>
      <c r="R98" s="1530"/>
      <c r="S98" s="1530"/>
      <c r="T98" s="1530"/>
      <c r="AA98" s="1530"/>
      <c r="AB98" s="1530"/>
      <c r="AC98" s="1530"/>
      <c r="AJ98" s="1530"/>
      <c r="AK98" s="1530"/>
      <c r="AL98" s="1530"/>
      <c r="AS98" s="1530"/>
      <c r="AT98" s="1530"/>
      <c r="AU98" s="1530"/>
      <c r="BB98" s="1530"/>
      <c r="BC98" s="1530"/>
      <c r="BD98" s="1530"/>
      <c r="BK98" s="1530"/>
      <c r="BL98" s="1530"/>
      <c r="BM98" s="1530"/>
    </row>
    <row r="99" spans="9:65" s="1524" customFormat="1" ht="11.5">
      <c r="I99" s="1530"/>
      <c r="J99" s="1530"/>
      <c r="K99" s="1530"/>
      <c r="R99" s="1530"/>
      <c r="S99" s="1530"/>
      <c r="T99" s="1530"/>
      <c r="AA99" s="1530"/>
      <c r="AB99" s="1530"/>
      <c r="AC99" s="1530"/>
      <c r="AJ99" s="1530"/>
      <c r="AK99" s="1530"/>
      <c r="AL99" s="1530"/>
      <c r="AS99" s="1530"/>
      <c r="AT99" s="1530"/>
      <c r="AU99" s="1530"/>
      <c r="BB99" s="1530"/>
      <c r="BC99" s="1530"/>
      <c r="BD99" s="1530"/>
      <c r="BK99" s="1530"/>
      <c r="BL99" s="1530"/>
      <c r="BM99" s="1530"/>
    </row>
    <row r="100" spans="9:65" s="1524" customFormat="1" ht="11.5">
      <c r="I100" s="1530"/>
      <c r="J100" s="1530"/>
      <c r="K100" s="1530"/>
      <c r="R100" s="1530"/>
      <c r="S100" s="1530"/>
      <c r="T100" s="1530"/>
      <c r="AA100" s="1530"/>
      <c r="AB100" s="1530"/>
      <c r="AC100" s="1530"/>
      <c r="AJ100" s="1530"/>
      <c r="AK100" s="1530"/>
      <c r="AL100" s="1530"/>
      <c r="AS100" s="1530"/>
      <c r="AT100" s="1530"/>
      <c r="AU100" s="1530"/>
      <c r="BB100" s="1530"/>
      <c r="BC100" s="1530"/>
      <c r="BD100" s="1530"/>
      <c r="BK100" s="1530"/>
      <c r="BL100" s="1530"/>
      <c r="BM100" s="1530"/>
    </row>
    <row r="101" spans="9:65" s="1524" customFormat="1" ht="11.5">
      <c r="I101" s="1530"/>
      <c r="J101" s="1530"/>
      <c r="K101" s="1530"/>
      <c r="R101" s="1530"/>
      <c r="S101" s="1530"/>
      <c r="T101" s="1530"/>
      <c r="AA101" s="1530"/>
      <c r="AB101" s="1530"/>
      <c r="AC101" s="1530"/>
      <c r="AJ101" s="1530"/>
      <c r="AK101" s="1530"/>
      <c r="AL101" s="1530"/>
      <c r="AS101" s="1530"/>
      <c r="AT101" s="1530"/>
      <c r="AU101" s="1530"/>
      <c r="BB101" s="1530"/>
      <c r="BC101" s="1530"/>
      <c r="BD101" s="1530"/>
      <c r="BK101" s="1530"/>
      <c r="BL101" s="1530"/>
      <c r="BM101" s="1530"/>
    </row>
    <row r="102" spans="9:65" s="1524" customFormat="1" ht="11.5">
      <c r="I102" s="1530"/>
      <c r="J102" s="1530"/>
      <c r="K102" s="1530"/>
      <c r="R102" s="1530"/>
      <c r="S102" s="1530"/>
      <c r="T102" s="1530"/>
      <c r="AA102" s="1530"/>
      <c r="AB102" s="1530"/>
      <c r="AC102" s="1530"/>
      <c r="AJ102" s="1530"/>
      <c r="AK102" s="1530"/>
      <c r="AL102" s="1530"/>
      <c r="AS102" s="1530"/>
      <c r="AT102" s="1530"/>
      <c r="AU102" s="1530"/>
      <c r="BB102" s="1530"/>
      <c r="BC102" s="1530"/>
      <c r="BD102" s="1530"/>
      <c r="BK102" s="1530"/>
      <c r="BL102" s="1530"/>
      <c r="BM102" s="1530"/>
    </row>
    <row r="103" spans="9:65" s="1524" customFormat="1" ht="11.5">
      <c r="I103" s="1530"/>
      <c r="J103" s="1530"/>
      <c r="K103" s="1530"/>
      <c r="R103" s="1530"/>
      <c r="S103" s="1530"/>
      <c r="T103" s="1530"/>
      <c r="AA103" s="1530"/>
      <c r="AB103" s="1530"/>
      <c r="AC103" s="1530"/>
      <c r="AJ103" s="1530"/>
      <c r="AK103" s="1530"/>
      <c r="AL103" s="1530"/>
      <c r="AS103" s="1530"/>
      <c r="AT103" s="1530"/>
      <c r="AU103" s="1530"/>
      <c r="BB103" s="1530"/>
      <c r="BC103" s="1530"/>
      <c r="BD103" s="1530"/>
      <c r="BK103" s="1530"/>
      <c r="BL103" s="1530"/>
      <c r="BM103" s="1530"/>
    </row>
    <row r="104" spans="9:65" s="1524" customFormat="1" ht="11.5">
      <c r="I104" s="1530"/>
      <c r="J104" s="1530"/>
      <c r="K104" s="1530"/>
      <c r="R104" s="1530"/>
      <c r="S104" s="1530"/>
      <c r="T104" s="1530"/>
      <c r="AA104" s="1530"/>
      <c r="AB104" s="1530"/>
      <c r="AC104" s="1530"/>
      <c r="AJ104" s="1530"/>
      <c r="AK104" s="1530"/>
      <c r="AL104" s="1530"/>
      <c r="AS104" s="1530"/>
      <c r="AT104" s="1530"/>
      <c r="AU104" s="1530"/>
      <c r="BB104" s="1530"/>
      <c r="BC104" s="1530"/>
      <c r="BD104" s="1530"/>
      <c r="BK104" s="1530"/>
      <c r="BL104" s="1530"/>
      <c r="BM104" s="1530"/>
    </row>
    <row r="105" spans="9:65" s="1524" customFormat="1" ht="11.5">
      <c r="I105" s="1530"/>
      <c r="J105" s="1530"/>
      <c r="K105" s="1530"/>
      <c r="R105" s="1530"/>
      <c r="S105" s="1530"/>
      <c r="T105" s="1530"/>
      <c r="AA105" s="1530"/>
      <c r="AB105" s="1530"/>
      <c r="AC105" s="1530"/>
      <c r="AJ105" s="1530"/>
      <c r="AK105" s="1530"/>
      <c r="AL105" s="1530"/>
      <c r="AS105" s="1530"/>
      <c r="AT105" s="1530"/>
      <c r="AU105" s="1530"/>
      <c r="BB105" s="1530"/>
      <c r="BC105" s="1530"/>
      <c r="BD105" s="1530"/>
      <c r="BK105" s="1530"/>
      <c r="BL105" s="1530"/>
      <c r="BM105" s="1530"/>
    </row>
    <row r="106" spans="9:65" s="1524" customFormat="1" ht="11.5">
      <c r="I106" s="1530"/>
      <c r="J106" s="1530"/>
      <c r="K106" s="1530"/>
      <c r="R106" s="1530"/>
      <c r="S106" s="1530"/>
      <c r="T106" s="1530"/>
      <c r="AA106" s="1530"/>
      <c r="AB106" s="1530"/>
      <c r="AC106" s="1530"/>
      <c r="AJ106" s="1530"/>
      <c r="AK106" s="1530"/>
      <c r="AL106" s="1530"/>
      <c r="AS106" s="1530"/>
      <c r="AT106" s="1530"/>
      <c r="AU106" s="1530"/>
      <c r="BB106" s="1530"/>
      <c r="BC106" s="1530"/>
      <c r="BD106" s="1530"/>
      <c r="BK106" s="1530"/>
      <c r="BL106" s="1530"/>
      <c r="BM106" s="1530"/>
    </row>
    <row r="107" spans="9:65" s="1524" customFormat="1" ht="11.5">
      <c r="I107" s="1530"/>
      <c r="J107" s="1530"/>
      <c r="K107" s="1530"/>
      <c r="R107" s="1530"/>
      <c r="S107" s="1530"/>
      <c r="T107" s="1530"/>
      <c r="AA107" s="1530"/>
      <c r="AB107" s="1530"/>
      <c r="AC107" s="1530"/>
      <c r="AJ107" s="1530"/>
      <c r="AK107" s="1530"/>
      <c r="AL107" s="1530"/>
      <c r="AS107" s="1530"/>
      <c r="AT107" s="1530"/>
      <c r="AU107" s="1530"/>
      <c r="BB107" s="1530"/>
      <c r="BC107" s="1530"/>
      <c r="BD107" s="1530"/>
      <c r="BK107" s="1530"/>
      <c r="BL107" s="1530"/>
      <c r="BM107" s="1530"/>
    </row>
    <row r="108" spans="9:65" s="1524" customFormat="1" ht="11.5">
      <c r="I108" s="1530"/>
      <c r="J108" s="1530"/>
      <c r="K108" s="1530"/>
      <c r="R108" s="1530"/>
      <c r="S108" s="1530"/>
      <c r="T108" s="1530"/>
      <c r="AA108" s="1530"/>
      <c r="AB108" s="1530"/>
      <c r="AC108" s="1530"/>
      <c r="AJ108" s="1530"/>
      <c r="AK108" s="1530"/>
      <c r="AL108" s="1530"/>
      <c r="AS108" s="1530"/>
      <c r="AT108" s="1530"/>
      <c r="AU108" s="1530"/>
      <c r="BB108" s="1530"/>
      <c r="BC108" s="1530"/>
      <c r="BD108" s="1530"/>
      <c r="BK108" s="1530"/>
      <c r="BL108" s="1530"/>
      <c r="BM108" s="1530"/>
    </row>
    <row r="109" spans="9:65" s="1524" customFormat="1" ht="11.5">
      <c r="I109" s="1530"/>
      <c r="J109" s="1530"/>
      <c r="K109" s="1530"/>
      <c r="R109" s="1530"/>
      <c r="S109" s="1530"/>
      <c r="T109" s="1530"/>
      <c r="AA109" s="1530"/>
      <c r="AB109" s="1530"/>
      <c r="AC109" s="1530"/>
      <c r="AJ109" s="1530"/>
      <c r="AK109" s="1530"/>
      <c r="AL109" s="1530"/>
      <c r="AS109" s="1530"/>
      <c r="AT109" s="1530"/>
      <c r="AU109" s="1530"/>
      <c r="BB109" s="1530"/>
      <c r="BC109" s="1530"/>
      <c r="BD109" s="1530"/>
      <c r="BK109" s="1530"/>
      <c r="BL109" s="1530"/>
      <c r="BM109" s="1530"/>
    </row>
    <row r="110" spans="9:65" s="1524" customFormat="1" ht="11.5">
      <c r="I110" s="1530"/>
      <c r="J110" s="1530"/>
      <c r="K110" s="1530"/>
      <c r="R110" s="1530"/>
      <c r="S110" s="1530"/>
      <c r="T110" s="1530"/>
      <c r="AA110" s="1530"/>
      <c r="AB110" s="1530"/>
      <c r="AC110" s="1530"/>
      <c r="AJ110" s="1530"/>
      <c r="AK110" s="1530"/>
      <c r="AL110" s="1530"/>
      <c r="AS110" s="1530"/>
      <c r="AT110" s="1530"/>
      <c r="AU110" s="1530"/>
      <c r="BB110" s="1530"/>
      <c r="BC110" s="1530"/>
      <c r="BD110" s="1530"/>
      <c r="BK110" s="1530"/>
      <c r="BL110" s="1530"/>
      <c r="BM110" s="1530"/>
    </row>
    <row r="111" spans="9:65" s="1524" customFormat="1" ht="11.5">
      <c r="I111" s="1530"/>
      <c r="J111" s="1530"/>
      <c r="K111" s="1530"/>
      <c r="R111" s="1530"/>
      <c r="S111" s="1530"/>
      <c r="T111" s="1530"/>
      <c r="AA111" s="1530"/>
      <c r="AB111" s="1530"/>
      <c r="AC111" s="1530"/>
      <c r="AJ111" s="1530"/>
      <c r="AK111" s="1530"/>
      <c r="AL111" s="1530"/>
      <c r="AS111" s="1530"/>
      <c r="AT111" s="1530"/>
      <c r="AU111" s="1530"/>
      <c r="BB111" s="1530"/>
      <c r="BC111" s="1530"/>
      <c r="BD111" s="1530"/>
      <c r="BK111" s="1530"/>
      <c r="BL111" s="1530"/>
      <c r="BM111" s="1530"/>
    </row>
    <row r="112" spans="9:65" s="1524" customFormat="1" ht="11.5">
      <c r="I112" s="1530"/>
      <c r="J112" s="1530"/>
      <c r="K112" s="1530"/>
      <c r="R112" s="1530"/>
      <c r="S112" s="1530"/>
      <c r="T112" s="1530"/>
      <c r="AA112" s="1530"/>
      <c r="AB112" s="1530"/>
      <c r="AC112" s="1530"/>
      <c r="AJ112" s="1530"/>
      <c r="AK112" s="1530"/>
      <c r="AL112" s="1530"/>
      <c r="AS112" s="1530"/>
      <c r="AT112" s="1530"/>
      <c r="AU112" s="1530"/>
      <c r="BB112" s="1530"/>
      <c r="BC112" s="1530"/>
      <c r="BD112" s="1530"/>
      <c r="BK112" s="1530"/>
      <c r="BL112" s="1530"/>
      <c r="BM112" s="1530"/>
    </row>
    <row r="113" spans="9:65" s="1524" customFormat="1" ht="11.5">
      <c r="I113" s="1530"/>
      <c r="J113" s="1530"/>
      <c r="K113" s="1530"/>
      <c r="R113" s="1530"/>
      <c r="S113" s="1530"/>
      <c r="T113" s="1530"/>
      <c r="AA113" s="1530"/>
      <c r="AB113" s="1530"/>
      <c r="AC113" s="1530"/>
      <c r="AJ113" s="1530"/>
      <c r="AK113" s="1530"/>
      <c r="AL113" s="1530"/>
      <c r="AS113" s="1530"/>
      <c r="AT113" s="1530"/>
      <c r="AU113" s="1530"/>
      <c r="BB113" s="1530"/>
      <c r="BC113" s="1530"/>
      <c r="BD113" s="1530"/>
      <c r="BK113" s="1530"/>
      <c r="BL113" s="1530"/>
      <c r="BM113" s="1530"/>
    </row>
    <row r="114" spans="9:65" s="1524" customFormat="1" ht="11.5">
      <c r="I114" s="1530"/>
      <c r="J114" s="1530"/>
      <c r="K114" s="1530"/>
      <c r="R114" s="1530"/>
      <c r="S114" s="1530"/>
      <c r="T114" s="1530"/>
      <c r="AA114" s="1530"/>
      <c r="AB114" s="1530"/>
      <c r="AC114" s="1530"/>
      <c r="AJ114" s="1530"/>
      <c r="AK114" s="1530"/>
      <c r="AL114" s="1530"/>
      <c r="AS114" s="1530"/>
      <c r="AT114" s="1530"/>
      <c r="AU114" s="1530"/>
      <c r="BB114" s="1530"/>
      <c r="BC114" s="1530"/>
      <c r="BD114" s="1530"/>
      <c r="BK114" s="1530"/>
      <c r="BL114" s="1530"/>
      <c r="BM114" s="1530"/>
    </row>
    <row r="115" spans="9:65" s="1524" customFormat="1" ht="11.5">
      <c r="I115" s="1530"/>
      <c r="J115" s="1530"/>
      <c r="K115" s="1530"/>
      <c r="R115" s="1530"/>
      <c r="S115" s="1530"/>
      <c r="T115" s="1530"/>
      <c r="AA115" s="1530"/>
      <c r="AB115" s="1530"/>
      <c r="AC115" s="1530"/>
      <c r="AJ115" s="1530"/>
      <c r="AK115" s="1530"/>
      <c r="AL115" s="1530"/>
      <c r="AS115" s="1530"/>
      <c r="AT115" s="1530"/>
      <c r="AU115" s="1530"/>
      <c r="BB115" s="1530"/>
      <c r="BC115" s="1530"/>
      <c r="BD115" s="1530"/>
      <c r="BK115" s="1530"/>
      <c r="BL115" s="1530"/>
      <c r="BM115" s="1530"/>
    </row>
    <row r="116" spans="9:65" s="1524" customFormat="1" ht="11.5">
      <c r="I116" s="1530"/>
      <c r="J116" s="1530"/>
      <c r="K116" s="1530"/>
      <c r="R116" s="1530"/>
      <c r="S116" s="1530"/>
      <c r="T116" s="1530"/>
      <c r="AA116" s="1530"/>
      <c r="AB116" s="1530"/>
      <c r="AC116" s="1530"/>
      <c r="AJ116" s="1530"/>
      <c r="AK116" s="1530"/>
      <c r="AL116" s="1530"/>
      <c r="AS116" s="1530"/>
      <c r="AT116" s="1530"/>
      <c r="AU116" s="1530"/>
      <c r="BB116" s="1530"/>
      <c r="BC116" s="1530"/>
      <c r="BD116" s="1530"/>
      <c r="BK116" s="1530"/>
      <c r="BL116" s="1530"/>
      <c r="BM116" s="1530"/>
    </row>
    <row r="117" spans="9:65" s="1524" customFormat="1" ht="11.5">
      <c r="I117" s="1530"/>
      <c r="J117" s="1530"/>
      <c r="K117" s="1530"/>
      <c r="R117" s="1530"/>
      <c r="S117" s="1530"/>
      <c r="T117" s="1530"/>
      <c r="AA117" s="1530"/>
      <c r="AB117" s="1530"/>
      <c r="AC117" s="1530"/>
      <c r="AJ117" s="1530"/>
      <c r="AK117" s="1530"/>
      <c r="AL117" s="1530"/>
      <c r="AS117" s="1530"/>
      <c r="AT117" s="1530"/>
      <c r="AU117" s="1530"/>
      <c r="BB117" s="1530"/>
      <c r="BC117" s="1530"/>
      <c r="BD117" s="1530"/>
      <c r="BK117" s="1530"/>
      <c r="BL117" s="1530"/>
      <c r="BM117" s="1530"/>
    </row>
    <row r="118" spans="9:65" s="1524" customFormat="1" ht="11.5">
      <c r="I118" s="1530"/>
      <c r="J118" s="1530"/>
      <c r="K118" s="1530"/>
      <c r="R118" s="1530"/>
      <c r="S118" s="1530"/>
      <c r="T118" s="1530"/>
      <c r="AA118" s="1530"/>
      <c r="AB118" s="1530"/>
      <c r="AC118" s="1530"/>
      <c r="AJ118" s="1530"/>
      <c r="AK118" s="1530"/>
      <c r="AL118" s="1530"/>
      <c r="AS118" s="1530"/>
      <c r="AT118" s="1530"/>
      <c r="AU118" s="1530"/>
      <c r="BB118" s="1530"/>
      <c r="BC118" s="1530"/>
      <c r="BD118" s="1530"/>
      <c r="BK118" s="1530"/>
      <c r="BL118" s="1530"/>
      <c r="BM118" s="1530"/>
    </row>
    <row r="119" spans="9:65" s="1524" customFormat="1" ht="11.5">
      <c r="I119" s="1530"/>
      <c r="J119" s="1530"/>
      <c r="K119" s="1530"/>
      <c r="R119" s="1530"/>
      <c r="S119" s="1530"/>
      <c r="T119" s="1530"/>
      <c r="AA119" s="1530"/>
      <c r="AB119" s="1530"/>
      <c r="AC119" s="1530"/>
      <c r="AJ119" s="1530"/>
      <c r="AK119" s="1530"/>
      <c r="AL119" s="1530"/>
      <c r="AS119" s="1530"/>
      <c r="AT119" s="1530"/>
      <c r="AU119" s="1530"/>
      <c r="BB119" s="1530"/>
      <c r="BC119" s="1530"/>
      <c r="BD119" s="1530"/>
      <c r="BK119" s="1530"/>
      <c r="BL119" s="1530"/>
      <c r="BM119" s="1530"/>
    </row>
    <row r="120" spans="9:65" s="1524" customFormat="1" ht="11.5">
      <c r="I120" s="1530"/>
      <c r="J120" s="1530"/>
      <c r="K120" s="1530"/>
      <c r="R120" s="1530"/>
      <c r="S120" s="1530"/>
      <c r="T120" s="1530"/>
      <c r="AA120" s="1530"/>
      <c r="AB120" s="1530"/>
      <c r="AC120" s="1530"/>
      <c r="AJ120" s="1530"/>
      <c r="AK120" s="1530"/>
      <c r="AL120" s="1530"/>
      <c r="AS120" s="1530"/>
      <c r="AT120" s="1530"/>
      <c r="AU120" s="1530"/>
      <c r="BB120" s="1530"/>
      <c r="BC120" s="1530"/>
      <c r="BD120" s="1530"/>
      <c r="BK120" s="1530"/>
      <c r="BL120" s="1530"/>
      <c r="BM120" s="1530"/>
    </row>
    <row r="121" spans="9:65" s="1524" customFormat="1" ht="11.5">
      <c r="I121" s="1530"/>
      <c r="J121" s="1530"/>
      <c r="K121" s="1530"/>
      <c r="R121" s="1530"/>
      <c r="S121" s="1530"/>
      <c r="T121" s="1530"/>
      <c r="AA121" s="1530"/>
      <c r="AB121" s="1530"/>
      <c r="AC121" s="1530"/>
      <c r="AJ121" s="1530"/>
      <c r="AK121" s="1530"/>
      <c r="AL121" s="1530"/>
      <c r="AS121" s="1530"/>
      <c r="AT121" s="1530"/>
      <c r="AU121" s="1530"/>
      <c r="BB121" s="1530"/>
      <c r="BC121" s="1530"/>
      <c r="BD121" s="1530"/>
      <c r="BK121" s="1530"/>
      <c r="BL121" s="1530"/>
      <c r="BM121" s="1530"/>
    </row>
    <row r="122" spans="9:65" s="1524" customFormat="1" ht="11.5">
      <c r="I122" s="1530"/>
      <c r="J122" s="1530"/>
      <c r="K122" s="1530"/>
      <c r="R122" s="1530"/>
      <c r="S122" s="1530"/>
      <c r="T122" s="1530"/>
      <c r="AA122" s="1530"/>
      <c r="AB122" s="1530"/>
      <c r="AC122" s="1530"/>
      <c r="AJ122" s="1530"/>
      <c r="AK122" s="1530"/>
      <c r="AL122" s="1530"/>
      <c r="AS122" s="1530"/>
      <c r="AT122" s="1530"/>
      <c r="AU122" s="1530"/>
      <c r="BB122" s="1530"/>
      <c r="BC122" s="1530"/>
      <c r="BD122" s="1530"/>
      <c r="BK122" s="1530"/>
      <c r="BL122" s="1530"/>
      <c r="BM122" s="1530"/>
    </row>
    <row r="123" spans="9:65" s="1524" customFormat="1" ht="11.5">
      <c r="I123" s="1530"/>
      <c r="J123" s="1530"/>
      <c r="K123" s="1530"/>
      <c r="R123" s="1530"/>
      <c r="S123" s="1530"/>
      <c r="T123" s="1530"/>
      <c r="AA123" s="1530"/>
      <c r="AB123" s="1530"/>
      <c r="AC123" s="1530"/>
      <c r="AJ123" s="1530"/>
      <c r="AK123" s="1530"/>
      <c r="AL123" s="1530"/>
      <c r="AS123" s="1530"/>
      <c r="AT123" s="1530"/>
      <c r="AU123" s="1530"/>
      <c r="BB123" s="1530"/>
      <c r="BC123" s="1530"/>
      <c r="BD123" s="1530"/>
      <c r="BK123" s="1530"/>
      <c r="BL123" s="1530"/>
      <c r="BM123" s="1530"/>
    </row>
    <row r="124" spans="9:65" s="1524" customFormat="1" ht="11.5">
      <c r="I124" s="1530"/>
      <c r="J124" s="1530"/>
      <c r="K124" s="1530"/>
      <c r="R124" s="1530"/>
      <c r="S124" s="1530"/>
      <c r="T124" s="1530"/>
      <c r="AA124" s="1530"/>
      <c r="AB124" s="1530"/>
      <c r="AC124" s="1530"/>
      <c r="AJ124" s="1530"/>
      <c r="AK124" s="1530"/>
      <c r="AL124" s="1530"/>
      <c r="AS124" s="1530"/>
      <c r="AT124" s="1530"/>
      <c r="AU124" s="1530"/>
      <c r="BB124" s="1530"/>
      <c r="BC124" s="1530"/>
      <c r="BD124" s="1530"/>
      <c r="BK124" s="1530"/>
      <c r="BL124" s="1530"/>
      <c r="BM124" s="1530"/>
    </row>
    <row r="125" spans="9:65" s="1524" customFormat="1" ht="11.5">
      <c r="I125" s="1530"/>
      <c r="J125" s="1530"/>
      <c r="K125" s="1530"/>
      <c r="R125" s="1530"/>
      <c r="S125" s="1530"/>
      <c r="T125" s="1530"/>
      <c r="AA125" s="1530"/>
      <c r="AB125" s="1530"/>
      <c r="AC125" s="1530"/>
      <c r="AJ125" s="1530"/>
      <c r="AK125" s="1530"/>
      <c r="AL125" s="1530"/>
      <c r="AS125" s="1530"/>
      <c r="AT125" s="1530"/>
      <c r="AU125" s="1530"/>
      <c r="BB125" s="1530"/>
      <c r="BC125" s="1530"/>
      <c r="BD125" s="1530"/>
      <c r="BK125" s="1530"/>
      <c r="BL125" s="1530"/>
      <c r="BM125" s="1530"/>
    </row>
    <row r="126" spans="9:65" s="1524" customFormat="1" ht="11.5">
      <c r="I126" s="1530"/>
      <c r="J126" s="1530"/>
      <c r="K126" s="1530"/>
      <c r="R126" s="1530"/>
      <c r="S126" s="1530"/>
      <c r="T126" s="1530"/>
      <c r="AA126" s="1530"/>
      <c r="AB126" s="1530"/>
      <c r="AC126" s="1530"/>
      <c r="AJ126" s="1530"/>
      <c r="AK126" s="1530"/>
      <c r="AL126" s="1530"/>
      <c r="AS126" s="1530"/>
      <c r="AT126" s="1530"/>
      <c r="AU126" s="1530"/>
      <c r="BB126" s="1530"/>
      <c r="BC126" s="1530"/>
      <c r="BD126" s="1530"/>
      <c r="BK126" s="1530"/>
      <c r="BL126" s="1530"/>
      <c r="BM126" s="1530"/>
    </row>
    <row r="127" spans="9:65" s="1524" customFormat="1" ht="11.5">
      <c r="I127" s="1530"/>
      <c r="J127" s="1530"/>
      <c r="K127" s="1530"/>
      <c r="R127" s="1530"/>
      <c r="S127" s="1530"/>
      <c r="T127" s="1530"/>
      <c r="AA127" s="1530"/>
      <c r="AB127" s="1530"/>
      <c r="AC127" s="1530"/>
      <c r="AJ127" s="1530"/>
      <c r="AK127" s="1530"/>
      <c r="AL127" s="1530"/>
      <c r="AS127" s="1530"/>
      <c r="AT127" s="1530"/>
      <c r="AU127" s="1530"/>
      <c r="BB127" s="1530"/>
      <c r="BC127" s="1530"/>
      <c r="BD127" s="1530"/>
      <c r="BK127" s="1530"/>
      <c r="BL127" s="1530"/>
      <c r="BM127" s="1530"/>
    </row>
    <row r="128" spans="9:65" s="1524" customFormat="1" ht="11.5">
      <c r="I128" s="1530"/>
      <c r="J128" s="1530"/>
      <c r="K128" s="1530"/>
      <c r="R128" s="1530"/>
      <c r="S128" s="1530"/>
      <c r="T128" s="1530"/>
      <c r="AA128" s="1530"/>
      <c r="AB128" s="1530"/>
      <c r="AC128" s="1530"/>
      <c r="AJ128" s="1530"/>
      <c r="AK128" s="1530"/>
      <c r="AL128" s="1530"/>
      <c r="AS128" s="1530"/>
      <c r="AT128" s="1530"/>
      <c r="AU128" s="1530"/>
      <c r="BB128" s="1530"/>
      <c r="BC128" s="1530"/>
      <c r="BD128" s="1530"/>
      <c r="BK128" s="1530"/>
      <c r="BL128" s="1530"/>
      <c r="BM128" s="1530"/>
    </row>
    <row r="129" spans="9:65" s="1524" customFormat="1" ht="11.5">
      <c r="I129" s="1530"/>
      <c r="J129" s="1530"/>
      <c r="K129" s="1530"/>
      <c r="R129" s="1530"/>
      <c r="S129" s="1530"/>
      <c r="T129" s="1530"/>
      <c r="AA129" s="1530"/>
      <c r="AB129" s="1530"/>
      <c r="AC129" s="1530"/>
      <c r="AJ129" s="1530"/>
      <c r="AK129" s="1530"/>
      <c r="AL129" s="1530"/>
      <c r="AS129" s="1530"/>
      <c r="AT129" s="1530"/>
      <c r="AU129" s="1530"/>
      <c r="BB129" s="1530"/>
      <c r="BC129" s="1530"/>
      <c r="BD129" s="1530"/>
      <c r="BK129" s="1530"/>
      <c r="BL129" s="1530"/>
      <c r="BM129" s="1530"/>
    </row>
    <row r="130" spans="9:65" s="1524" customFormat="1" ht="11.5">
      <c r="I130" s="1530"/>
      <c r="J130" s="1530"/>
      <c r="K130" s="1530"/>
      <c r="R130" s="1530"/>
      <c r="S130" s="1530"/>
      <c r="T130" s="1530"/>
      <c r="AA130" s="1530"/>
      <c r="AB130" s="1530"/>
      <c r="AC130" s="1530"/>
      <c r="AJ130" s="1530"/>
      <c r="AK130" s="1530"/>
      <c r="AL130" s="1530"/>
      <c r="AS130" s="1530"/>
      <c r="AT130" s="1530"/>
      <c r="AU130" s="1530"/>
      <c r="BB130" s="1530"/>
      <c r="BC130" s="1530"/>
      <c r="BD130" s="1530"/>
      <c r="BK130" s="1530"/>
      <c r="BL130" s="1530"/>
      <c r="BM130" s="1530"/>
    </row>
    <row r="131" spans="9:65" s="1524" customFormat="1" ht="11.5">
      <c r="I131" s="1530"/>
      <c r="J131" s="1530"/>
      <c r="K131" s="1530"/>
      <c r="R131" s="1530"/>
      <c r="S131" s="1530"/>
      <c r="T131" s="1530"/>
      <c r="AA131" s="1530"/>
      <c r="AB131" s="1530"/>
      <c r="AC131" s="1530"/>
      <c r="AJ131" s="1530"/>
      <c r="AK131" s="1530"/>
      <c r="AL131" s="1530"/>
      <c r="AS131" s="1530"/>
      <c r="AT131" s="1530"/>
      <c r="AU131" s="1530"/>
      <c r="BB131" s="1530"/>
      <c r="BC131" s="1530"/>
      <c r="BD131" s="1530"/>
      <c r="BK131" s="1530"/>
      <c r="BL131" s="1530"/>
      <c r="BM131" s="1530"/>
    </row>
    <row r="132" spans="9:65" s="1524" customFormat="1" ht="11.5">
      <c r="I132" s="1530"/>
      <c r="J132" s="1530"/>
      <c r="K132" s="1530"/>
      <c r="R132" s="1530"/>
      <c r="S132" s="1530"/>
      <c r="T132" s="1530"/>
      <c r="AA132" s="1530"/>
      <c r="AB132" s="1530"/>
      <c r="AC132" s="1530"/>
      <c r="AJ132" s="1530"/>
      <c r="AK132" s="1530"/>
      <c r="AL132" s="1530"/>
      <c r="AS132" s="1530"/>
      <c r="AT132" s="1530"/>
      <c r="AU132" s="1530"/>
      <c r="BB132" s="1530"/>
      <c r="BC132" s="1530"/>
      <c r="BD132" s="1530"/>
      <c r="BK132" s="1530"/>
      <c r="BL132" s="1530"/>
      <c r="BM132" s="1530"/>
    </row>
    <row r="133" spans="9:65" s="1524" customFormat="1" ht="11.5">
      <c r="I133" s="1530"/>
      <c r="J133" s="1530"/>
      <c r="K133" s="1530"/>
      <c r="R133" s="1530"/>
      <c r="S133" s="1530"/>
      <c r="T133" s="1530"/>
      <c r="AA133" s="1530"/>
      <c r="AB133" s="1530"/>
      <c r="AC133" s="1530"/>
      <c r="AJ133" s="1530"/>
      <c r="AK133" s="1530"/>
      <c r="AL133" s="1530"/>
      <c r="AS133" s="1530"/>
      <c r="AT133" s="1530"/>
      <c r="AU133" s="1530"/>
      <c r="BB133" s="1530"/>
      <c r="BC133" s="1530"/>
      <c r="BD133" s="1530"/>
      <c r="BK133" s="1530"/>
      <c r="BL133" s="1530"/>
      <c r="BM133" s="1530"/>
    </row>
    <row r="134" spans="9:65" s="1524" customFormat="1" ht="11.5">
      <c r="I134" s="1530"/>
      <c r="J134" s="1530"/>
      <c r="K134" s="1530"/>
      <c r="R134" s="1530"/>
      <c r="S134" s="1530"/>
      <c r="T134" s="1530"/>
      <c r="AA134" s="1530"/>
      <c r="AB134" s="1530"/>
      <c r="AC134" s="1530"/>
      <c r="AJ134" s="1530"/>
      <c r="AK134" s="1530"/>
      <c r="AL134" s="1530"/>
      <c r="AS134" s="1530"/>
      <c r="AT134" s="1530"/>
      <c r="AU134" s="1530"/>
      <c r="BB134" s="1530"/>
      <c r="BC134" s="1530"/>
      <c r="BD134" s="1530"/>
      <c r="BK134" s="1530"/>
      <c r="BL134" s="1530"/>
      <c r="BM134" s="1530"/>
    </row>
    <row r="135" spans="9:65" s="1524" customFormat="1" ht="11.5">
      <c r="I135" s="1530"/>
      <c r="J135" s="1530"/>
      <c r="K135" s="1530"/>
      <c r="R135" s="1530"/>
      <c r="S135" s="1530"/>
      <c r="T135" s="1530"/>
      <c r="AA135" s="1530"/>
      <c r="AB135" s="1530"/>
      <c r="AC135" s="1530"/>
      <c r="AJ135" s="1530"/>
      <c r="AK135" s="1530"/>
      <c r="AL135" s="1530"/>
      <c r="AS135" s="1530"/>
      <c r="AT135" s="1530"/>
      <c r="AU135" s="1530"/>
      <c r="BB135" s="1530"/>
      <c r="BC135" s="1530"/>
      <c r="BD135" s="1530"/>
      <c r="BK135" s="1530"/>
      <c r="BL135" s="1530"/>
      <c r="BM135" s="1530"/>
    </row>
    <row r="136" spans="9:65" s="1524" customFormat="1" ht="11.5">
      <c r="I136" s="1530"/>
      <c r="J136" s="1530"/>
      <c r="K136" s="1530"/>
      <c r="R136" s="1530"/>
      <c r="S136" s="1530"/>
      <c r="T136" s="1530"/>
      <c r="AA136" s="1530"/>
      <c r="AB136" s="1530"/>
      <c r="AC136" s="1530"/>
      <c r="AJ136" s="1530"/>
      <c r="AK136" s="1530"/>
      <c r="AL136" s="1530"/>
      <c r="AS136" s="1530"/>
      <c r="AT136" s="1530"/>
      <c r="AU136" s="1530"/>
      <c r="BB136" s="1530"/>
      <c r="BC136" s="1530"/>
      <c r="BD136" s="1530"/>
      <c r="BK136" s="1530"/>
      <c r="BL136" s="1530"/>
      <c r="BM136" s="1530"/>
    </row>
    <row r="137" spans="9:65" s="1524" customFormat="1" ht="11.5">
      <c r="I137" s="1530"/>
      <c r="J137" s="1530"/>
      <c r="K137" s="1530"/>
      <c r="R137" s="1530"/>
      <c r="S137" s="1530"/>
      <c r="T137" s="1530"/>
      <c r="AA137" s="1530"/>
      <c r="AB137" s="1530"/>
      <c r="AC137" s="1530"/>
      <c r="AJ137" s="1530"/>
      <c r="AK137" s="1530"/>
      <c r="AL137" s="1530"/>
      <c r="AS137" s="1530"/>
      <c r="AT137" s="1530"/>
      <c r="AU137" s="1530"/>
      <c r="BB137" s="1530"/>
      <c r="BC137" s="1530"/>
      <c r="BD137" s="1530"/>
      <c r="BK137" s="1530"/>
      <c r="BL137" s="1530"/>
      <c r="BM137" s="1530"/>
    </row>
    <row r="138" spans="9:65" s="1524" customFormat="1" ht="11.5">
      <c r="I138" s="1530"/>
      <c r="J138" s="1530"/>
      <c r="K138" s="1530"/>
      <c r="R138" s="1530"/>
      <c r="S138" s="1530"/>
      <c r="T138" s="1530"/>
      <c r="AA138" s="1530"/>
      <c r="AB138" s="1530"/>
      <c r="AC138" s="1530"/>
      <c r="AJ138" s="1530"/>
      <c r="AK138" s="1530"/>
      <c r="AL138" s="1530"/>
      <c r="AS138" s="1530"/>
      <c r="AT138" s="1530"/>
      <c r="AU138" s="1530"/>
      <c r="BB138" s="1530"/>
      <c r="BC138" s="1530"/>
      <c r="BD138" s="1530"/>
      <c r="BK138" s="1530"/>
      <c r="BL138" s="1530"/>
      <c r="BM138" s="1530"/>
    </row>
    <row r="139" spans="9:65" s="1524" customFormat="1" ht="11.5">
      <c r="I139" s="1530"/>
      <c r="J139" s="1530"/>
      <c r="K139" s="1530"/>
      <c r="R139" s="1530"/>
      <c r="S139" s="1530"/>
      <c r="T139" s="1530"/>
      <c r="AA139" s="1530"/>
      <c r="AB139" s="1530"/>
      <c r="AC139" s="1530"/>
      <c r="AJ139" s="1530"/>
      <c r="AK139" s="1530"/>
      <c r="AL139" s="1530"/>
      <c r="AS139" s="1530"/>
      <c r="AT139" s="1530"/>
      <c r="AU139" s="1530"/>
      <c r="BB139" s="1530"/>
      <c r="BC139" s="1530"/>
      <c r="BD139" s="1530"/>
      <c r="BK139" s="1530"/>
      <c r="BL139" s="1530"/>
      <c r="BM139" s="1530"/>
    </row>
    <row r="140" spans="9:65" s="1524" customFormat="1" ht="11.5">
      <c r="I140" s="1530"/>
      <c r="J140" s="1530"/>
      <c r="K140" s="1530"/>
      <c r="R140" s="1530"/>
      <c r="S140" s="1530"/>
      <c r="T140" s="1530"/>
      <c r="AA140" s="1530"/>
      <c r="AB140" s="1530"/>
      <c r="AC140" s="1530"/>
      <c r="AJ140" s="1530"/>
      <c r="AK140" s="1530"/>
      <c r="AL140" s="1530"/>
      <c r="AS140" s="1530"/>
      <c r="AT140" s="1530"/>
      <c r="AU140" s="1530"/>
      <c r="BB140" s="1530"/>
      <c r="BC140" s="1530"/>
      <c r="BD140" s="1530"/>
      <c r="BK140" s="1530"/>
      <c r="BL140" s="1530"/>
      <c r="BM140" s="1530"/>
    </row>
    <row r="141" spans="9:65" s="1524" customFormat="1" ht="11.5">
      <c r="I141" s="1530"/>
      <c r="J141" s="1530"/>
      <c r="K141" s="1530"/>
      <c r="R141" s="1530"/>
      <c r="S141" s="1530"/>
      <c r="T141" s="1530"/>
      <c r="AA141" s="1530"/>
      <c r="AB141" s="1530"/>
      <c r="AC141" s="1530"/>
      <c r="AJ141" s="1530"/>
      <c r="AK141" s="1530"/>
      <c r="AL141" s="1530"/>
      <c r="AS141" s="1530"/>
      <c r="AT141" s="1530"/>
      <c r="AU141" s="1530"/>
      <c r="BB141" s="1530"/>
      <c r="BC141" s="1530"/>
      <c r="BD141" s="1530"/>
      <c r="BK141" s="1530"/>
      <c r="BL141" s="1530"/>
      <c r="BM141" s="1530"/>
    </row>
    <row r="142" spans="9:65" s="1524" customFormat="1" ht="11.5">
      <c r="I142" s="1530"/>
      <c r="J142" s="1530"/>
      <c r="K142" s="1530"/>
      <c r="R142" s="1530"/>
      <c r="S142" s="1530"/>
      <c r="T142" s="1530"/>
      <c r="AA142" s="1530"/>
      <c r="AB142" s="1530"/>
      <c r="AC142" s="1530"/>
      <c r="AJ142" s="1530"/>
      <c r="AK142" s="1530"/>
      <c r="AL142" s="1530"/>
      <c r="AS142" s="1530"/>
      <c r="AT142" s="1530"/>
      <c r="AU142" s="1530"/>
      <c r="BB142" s="1530"/>
      <c r="BC142" s="1530"/>
      <c r="BD142" s="1530"/>
      <c r="BK142" s="1530"/>
      <c r="BL142" s="1530"/>
      <c r="BM142" s="1530"/>
    </row>
    <row r="143" spans="9:65" s="1524" customFormat="1" ht="11.5">
      <c r="I143" s="1530"/>
      <c r="J143" s="1530"/>
      <c r="K143" s="1530"/>
      <c r="R143" s="1530"/>
      <c r="S143" s="1530"/>
      <c r="T143" s="1530"/>
      <c r="AA143" s="1530"/>
      <c r="AB143" s="1530"/>
      <c r="AC143" s="1530"/>
      <c r="AJ143" s="1530"/>
      <c r="AK143" s="1530"/>
      <c r="AL143" s="1530"/>
      <c r="AS143" s="1530"/>
      <c r="AT143" s="1530"/>
      <c r="AU143" s="1530"/>
      <c r="BB143" s="1530"/>
      <c r="BC143" s="1530"/>
      <c r="BD143" s="1530"/>
      <c r="BK143" s="1530"/>
      <c r="BL143" s="1530"/>
      <c r="BM143" s="1530"/>
    </row>
    <row r="144" spans="9:65" s="1524" customFormat="1" ht="11.5">
      <c r="I144" s="1530"/>
      <c r="J144" s="1530"/>
      <c r="K144" s="1530"/>
      <c r="R144" s="1530"/>
      <c r="S144" s="1530"/>
      <c r="T144" s="1530"/>
      <c r="AA144" s="1530"/>
      <c r="AB144" s="1530"/>
      <c r="AC144" s="1530"/>
      <c r="AJ144" s="1530"/>
      <c r="AK144" s="1530"/>
      <c r="AL144" s="1530"/>
      <c r="AS144" s="1530"/>
      <c r="AT144" s="1530"/>
      <c r="AU144" s="1530"/>
      <c r="BB144" s="1530"/>
      <c r="BC144" s="1530"/>
      <c r="BD144" s="1530"/>
      <c r="BK144" s="1530"/>
      <c r="BL144" s="1530"/>
      <c r="BM144" s="1530"/>
    </row>
    <row r="145" spans="9:65" s="1524" customFormat="1" ht="11.5">
      <c r="I145" s="1530"/>
      <c r="J145" s="1530"/>
      <c r="K145" s="1530"/>
      <c r="R145" s="1530"/>
      <c r="S145" s="1530"/>
      <c r="T145" s="1530"/>
      <c r="AA145" s="1530"/>
      <c r="AB145" s="1530"/>
      <c r="AC145" s="1530"/>
      <c r="AJ145" s="1530"/>
      <c r="AK145" s="1530"/>
      <c r="AL145" s="1530"/>
      <c r="AS145" s="1530"/>
      <c r="AT145" s="1530"/>
      <c r="AU145" s="1530"/>
      <c r="BB145" s="1530"/>
      <c r="BC145" s="1530"/>
      <c r="BD145" s="1530"/>
      <c r="BK145" s="1530"/>
      <c r="BL145" s="1530"/>
      <c r="BM145" s="1530"/>
    </row>
    <row r="146" spans="9:65" s="1524" customFormat="1" ht="11.5">
      <c r="I146" s="1530"/>
      <c r="J146" s="1530"/>
      <c r="K146" s="1530"/>
      <c r="R146" s="1530"/>
      <c r="S146" s="1530"/>
      <c r="T146" s="1530"/>
      <c r="AA146" s="1530"/>
      <c r="AB146" s="1530"/>
      <c r="AC146" s="1530"/>
      <c r="AJ146" s="1530"/>
      <c r="AK146" s="1530"/>
      <c r="AL146" s="1530"/>
      <c r="AS146" s="1530"/>
      <c r="AT146" s="1530"/>
      <c r="AU146" s="1530"/>
      <c r="BB146" s="1530"/>
      <c r="BC146" s="1530"/>
      <c r="BD146" s="1530"/>
      <c r="BK146" s="1530"/>
      <c r="BL146" s="1530"/>
      <c r="BM146" s="1530"/>
    </row>
    <row r="147" spans="9:65" s="1524" customFormat="1" ht="11.5">
      <c r="I147" s="1530"/>
      <c r="J147" s="1530"/>
      <c r="K147" s="1530"/>
      <c r="R147" s="1530"/>
      <c r="S147" s="1530"/>
      <c r="T147" s="1530"/>
      <c r="AA147" s="1530"/>
      <c r="AB147" s="1530"/>
      <c r="AC147" s="1530"/>
      <c r="AJ147" s="1530"/>
      <c r="AK147" s="1530"/>
      <c r="AL147" s="1530"/>
      <c r="AS147" s="1530"/>
      <c r="AT147" s="1530"/>
      <c r="AU147" s="1530"/>
      <c r="BB147" s="1530"/>
      <c r="BC147" s="1530"/>
      <c r="BD147" s="1530"/>
      <c r="BK147" s="1530"/>
      <c r="BL147" s="1530"/>
      <c r="BM147" s="1530"/>
    </row>
    <row r="148" spans="9:65" s="1524" customFormat="1" ht="11.5">
      <c r="I148" s="1530"/>
      <c r="J148" s="1530"/>
      <c r="K148" s="1530"/>
      <c r="R148" s="1530"/>
      <c r="S148" s="1530"/>
      <c r="T148" s="1530"/>
      <c r="AA148" s="1530"/>
      <c r="AB148" s="1530"/>
      <c r="AC148" s="1530"/>
      <c r="AJ148" s="1530"/>
      <c r="AK148" s="1530"/>
      <c r="AL148" s="1530"/>
      <c r="AS148" s="1530"/>
      <c r="AT148" s="1530"/>
      <c r="AU148" s="1530"/>
      <c r="BB148" s="1530"/>
      <c r="BC148" s="1530"/>
      <c r="BD148" s="1530"/>
      <c r="BK148" s="1530"/>
      <c r="BL148" s="1530"/>
      <c r="BM148" s="1530"/>
    </row>
    <row r="149" spans="9:65" s="1524" customFormat="1" ht="11.5">
      <c r="I149" s="1530"/>
      <c r="J149" s="1530"/>
      <c r="K149" s="1530"/>
      <c r="R149" s="1530"/>
      <c r="S149" s="1530"/>
      <c r="T149" s="1530"/>
      <c r="AA149" s="1530"/>
      <c r="AB149" s="1530"/>
      <c r="AC149" s="1530"/>
      <c r="AJ149" s="1530"/>
      <c r="AK149" s="1530"/>
      <c r="AL149" s="1530"/>
      <c r="AS149" s="1530"/>
      <c r="AT149" s="1530"/>
      <c r="AU149" s="1530"/>
      <c r="BB149" s="1530"/>
      <c r="BC149" s="1530"/>
      <c r="BD149" s="1530"/>
      <c r="BK149" s="1530"/>
      <c r="BL149" s="1530"/>
      <c r="BM149" s="1530"/>
    </row>
    <row r="150" spans="9:65" s="1524" customFormat="1" ht="11.5">
      <c r="I150" s="1530"/>
      <c r="J150" s="1530"/>
      <c r="K150" s="1530"/>
      <c r="R150" s="1530"/>
      <c r="S150" s="1530"/>
      <c r="T150" s="1530"/>
      <c r="AA150" s="1530"/>
      <c r="AB150" s="1530"/>
      <c r="AC150" s="1530"/>
      <c r="AJ150" s="1530"/>
      <c r="AK150" s="1530"/>
      <c r="AL150" s="1530"/>
      <c r="AS150" s="1530"/>
      <c r="AT150" s="1530"/>
      <c r="AU150" s="1530"/>
      <c r="BB150" s="1530"/>
      <c r="BC150" s="1530"/>
      <c r="BD150" s="1530"/>
      <c r="BK150" s="1530"/>
      <c r="BL150" s="1530"/>
      <c r="BM150" s="1530"/>
    </row>
    <row r="151" spans="9:65" s="1524" customFormat="1" ht="11.5">
      <c r="I151" s="1530"/>
      <c r="J151" s="1530"/>
      <c r="K151" s="1530"/>
      <c r="R151" s="1530"/>
      <c r="S151" s="1530"/>
      <c r="T151" s="1530"/>
      <c r="AA151" s="1530"/>
      <c r="AB151" s="1530"/>
      <c r="AC151" s="1530"/>
      <c r="AJ151" s="1530"/>
      <c r="AK151" s="1530"/>
      <c r="AL151" s="1530"/>
      <c r="AS151" s="1530"/>
      <c r="AT151" s="1530"/>
      <c r="AU151" s="1530"/>
      <c r="BB151" s="1530"/>
      <c r="BC151" s="1530"/>
      <c r="BD151" s="1530"/>
      <c r="BK151" s="1530"/>
      <c r="BL151" s="1530"/>
      <c r="BM151" s="1530"/>
    </row>
    <row r="152" spans="9:65" s="1524" customFormat="1" ht="11.5">
      <c r="I152" s="1530"/>
      <c r="J152" s="1530"/>
      <c r="K152" s="1530"/>
      <c r="R152" s="1530"/>
      <c r="S152" s="1530"/>
      <c r="T152" s="1530"/>
      <c r="AA152" s="1530"/>
      <c r="AB152" s="1530"/>
      <c r="AC152" s="1530"/>
      <c r="AJ152" s="1530"/>
      <c r="AK152" s="1530"/>
      <c r="AL152" s="1530"/>
      <c r="AS152" s="1530"/>
      <c r="AT152" s="1530"/>
      <c r="AU152" s="1530"/>
      <c r="BB152" s="1530"/>
      <c r="BC152" s="1530"/>
      <c r="BD152" s="1530"/>
      <c r="BK152" s="1530"/>
      <c r="BL152" s="1530"/>
      <c r="BM152" s="1530"/>
    </row>
    <row r="153" spans="9:65" s="1524" customFormat="1" ht="11.5">
      <c r="I153" s="1530"/>
      <c r="J153" s="1530"/>
      <c r="K153" s="1530"/>
      <c r="R153" s="1530"/>
      <c r="S153" s="1530"/>
      <c r="T153" s="1530"/>
      <c r="AA153" s="1530"/>
      <c r="AB153" s="1530"/>
      <c r="AC153" s="1530"/>
      <c r="AJ153" s="1530"/>
      <c r="AK153" s="1530"/>
      <c r="AL153" s="1530"/>
      <c r="AS153" s="1530"/>
      <c r="AT153" s="1530"/>
      <c r="AU153" s="1530"/>
      <c r="BB153" s="1530"/>
      <c r="BC153" s="1530"/>
      <c r="BD153" s="1530"/>
      <c r="BK153" s="1530"/>
      <c r="BL153" s="1530"/>
      <c r="BM153" s="1530"/>
    </row>
    <row r="154" spans="9:65" s="1524" customFormat="1" ht="11.5">
      <c r="I154" s="1530"/>
      <c r="J154" s="1530"/>
      <c r="K154" s="1530"/>
      <c r="R154" s="1530"/>
      <c r="S154" s="1530"/>
      <c r="T154" s="1530"/>
      <c r="AA154" s="1530"/>
      <c r="AB154" s="1530"/>
      <c r="AC154" s="1530"/>
      <c r="AJ154" s="1530"/>
      <c r="AK154" s="1530"/>
      <c r="AL154" s="1530"/>
      <c r="AS154" s="1530"/>
      <c r="AT154" s="1530"/>
      <c r="AU154" s="1530"/>
      <c r="BB154" s="1530"/>
      <c r="BC154" s="1530"/>
      <c r="BD154" s="1530"/>
      <c r="BK154" s="1530"/>
      <c r="BL154" s="1530"/>
      <c r="BM154" s="1530"/>
    </row>
    <row r="155" spans="9:65" s="1524" customFormat="1" ht="11.5">
      <c r="I155" s="1530"/>
      <c r="J155" s="1530"/>
      <c r="K155" s="1530"/>
      <c r="R155" s="1530"/>
      <c r="S155" s="1530"/>
      <c r="T155" s="1530"/>
      <c r="AA155" s="1530"/>
      <c r="AB155" s="1530"/>
      <c r="AC155" s="1530"/>
      <c r="AJ155" s="1530"/>
      <c r="AK155" s="1530"/>
      <c r="AL155" s="1530"/>
      <c r="AS155" s="1530"/>
      <c r="AT155" s="1530"/>
      <c r="AU155" s="1530"/>
      <c r="BB155" s="1530"/>
      <c r="BC155" s="1530"/>
      <c r="BD155" s="1530"/>
      <c r="BK155" s="1530"/>
      <c r="BL155" s="1530"/>
      <c r="BM155" s="1530"/>
    </row>
    <row r="156" spans="9:65" s="1524" customFormat="1" ht="11.5">
      <c r="I156" s="1530"/>
      <c r="J156" s="1530"/>
      <c r="K156" s="1530"/>
      <c r="R156" s="1530"/>
      <c r="S156" s="1530"/>
      <c r="T156" s="1530"/>
      <c r="AA156" s="1530"/>
      <c r="AB156" s="1530"/>
      <c r="AC156" s="1530"/>
      <c r="AJ156" s="1530"/>
      <c r="AK156" s="1530"/>
      <c r="AL156" s="1530"/>
      <c r="AS156" s="1530"/>
      <c r="AT156" s="1530"/>
      <c r="AU156" s="1530"/>
      <c r="BB156" s="1530"/>
      <c r="BC156" s="1530"/>
      <c r="BD156" s="1530"/>
      <c r="BK156" s="1530"/>
      <c r="BL156" s="1530"/>
      <c r="BM156" s="1530"/>
    </row>
    <row r="157" spans="9:65" s="1524" customFormat="1" ht="11.5">
      <c r="I157" s="1530"/>
      <c r="J157" s="1530"/>
      <c r="K157" s="1530"/>
      <c r="R157" s="1530"/>
      <c r="S157" s="1530"/>
      <c r="T157" s="1530"/>
      <c r="AA157" s="1530"/>
      <c r="AB157" s="1530"/>
      <c r="AC157" s="1530"/>
      <c r="AJ157" s="1530"/>
      <c r="AK157" s="1530"/>
      <c r="AL157" s="1530"/>
      <c r="AS157" s="1530"/>
      <c r="AT157" s="1530"/>
      <c r="AU157" s="1530"/>
      <c r="BB157" s="1530"/>
      <c r="BC157" s="1530"/>
      <c r="BD157" s="1530"/>
      <c r="BK157" s="1530"/>
      <c r="BL157" s="1530"/>
      <c r="BM157" s="1530"/>
    </row>
    <row r="158" spans="9:65" s="1524" customFormat="1" ht="11.5">
      <c r="I158" s="1530"/>
      <c r="J158" s="1530"/>
      <c r="K158" s="1530"/>
      <c r="R158" s="1530"/>
      <c r="S158" s="1530"/>
      <c r="T158" s="1530"/>
      <c r="AA158" s="1530"/>
      <c r="AB158" s="1530"/>
      <c r="AC158" s="1530"/>
      <c r="AJ158" s="1530"/>
      <c r="AK158" s="1530"/>
      <c r="AL158" s="1530"/>
      <c r="AS158" s="1530"/>
      <c r="AT158" s="1530"/>
      <c r="AU158" s="1530"/>
      <c r="BB158" s="1530"/>
      <c r="BC158" s="1530"/>
      <c r="BD158" s="1530"/>
      <c r="BK158" s="1530"/>
      <c r="BL158" s="1530"/>
      <c r="BM158" s="1530"/>
    </row>
    <row r="159" spans="9:65" s="1524" customFormat="1" ht="11.5">
      <c r="I159" s="1530"/>
      <c r="J159" s="1530"/>
      <c r="K159" s="1530"/>
      <c r="R159" s="1530"/>
      <c r="S159" s="1530"/>
      <c r="T159" s="1530"/>
      <c r="AA159" s="1530"/>
      <c r="AB159" s="1530"/>
      <c r="AC159" s="1530"/>
      <c r="AJ159" s="1530"/>
      <c r="AK159" s="1530"/>
      <c r="AL159" s="1530"/>
      <c r="AS159" s="1530"/>
      <c r="AT159" s="1530"/>
      <c r="AU159" s="1530"/>
      <c r="BB159" s="1530"/>
      <c r="BC159" s="1530"/>
      <c r="BD159" s="1530"/>
      <c r="BK159" s="1530"/>
      <c r="BL159" s="1530"/>
      <c r="BM159" s="1530"/>
    </row>
    <row r="160" spans="9:65" s="1524" customFormat="1" ht="11.5">
      <c r="I160" s="1530"/>
      <c r="J160" s="1530"/>
      <c r="K160" s="1530"/>
      <c r="R160" s="1530"/>
      <c r="S160" s="1530"/>
      <c r="T160" s="1530"/>
      <c r="AA160" s="1530"/>
      <c r="AB160" s="1530"/>
      <c r="AC160" s="1530"/>
      <c r="AJ160" s="1530"/>
      <c r="AK160" s="1530"/>
      <c r="AL160" s="1530"/>
      <c r="AS160" s="1530"/>
      <c r="AT160" s="1530"/>
      <c r="AU160" s="1530"/>
      <c r="BB160" s="1530"/>
      <c r="BC160" s="1530"/>
      <c r="BD160" s="1530"/>
      <c r="BK160" s="1530"/>
      <c r="BL160" s="1530"/>
      <c r="BM160" s="1530"/>
    </row>
    <row r="161" spans="9:65" s="1524" customFormat="1" ht="11.5">
      <c r="I161" s="1530"/>
      <c r="J161" s="1530"/>
      <c r="K161" s="1530"/>
      <c r="R161" s="1530"/>
      <c r="S161" s="1530"/>
      <c r="T161" s="1530"/>
      <c r="AA161" s="1530"/>
      <c r="AB161" s="1530"/>
      <c r="AC161" s="1530"/>
      <c r="AJ161" s="1530"/>
      <c r="AK161" s="1530"/>
      <c r="AL161" s="1530"/>
      <c r="AS161" s="1530"/>
      <c r="AT161" s="1530"/>
      <c r="AU161" s="1530"/>
      <c r="BB161" s="1530"/>
      <c r="BC161" s="1530"/>
      <c r="BD161" s="1530"/>
      <c r="BK161" s="1530"/>
      <c r="BL161" s="1530"/>
      <c r="BM161" s="1530"/>
    </row>
    <row r="162" spans="9:65" s="1524" customFormat="1" ht="11.5">
      <c r="I162" s="1530"/>
      <c r="J162" s="1530"/>
      <c r="K162" s="1530"/>
      <c r="R162" s="1530"/>
      <c r="S162" s="1530"/>
      <c r="T162" s="1530"/>
      <c r="AA162" s="1530"/>
      <c r="AB162" s="1530"/>
      <c r="AC162" s="1530"/>
      <c r="AJ162" s="1530"/>
      <c r="AK162" s="1530"/>
      <c r="AL162" s="1530"/>
      <c r="AS162" s="1530"/>
      <c r="AT162" s="1530"/>
      <c r="AU162" s="1530"/>
      <c r="BB162" s="1530"/>
      <c r="BC162" s="1530"/>
      <c r="BD162" s="1530"/>
      <c r="BK162" s="1530"/>
      <c r="BL162" s="1530"/>
      <c r="BM162" s="1530"/>
    </row>
    <row r="163" spans="9:65" s="1524" customFormat="1" ht="11.5">
      <c r="I163" s="1530"/>
      <c r="J163" s="1530"/>
      <c r="K163" s="1530"/>
      <c r="R163" s="1530"/>
      <c r="S163" s="1530"/>
      <c r="T163" s="1530"/>
      <c r="AA163" s="1530"/>
      <c r="AB163" s="1530"/>
      <c r="AC163" s="1530"/>
      <c r="AJ163" s="1530"/>
      <c r="AK163" s="1530"/>
      <c r="AL163" s="1530"/>
      <c r="AS163" s="1530"/>
      <c r="AT163" s="1530"/>
      <c r="AU163" s="1530"/>
      <c r="BB163" s="1530"/>
      <c r="BC163" s="1530"/>
      <c r="BD163" s="1530"/>
      <c r="BK163" s="1530"/>
      <c r="BL163" s="1530"/>
      <c r="BM163" s="1530"/>
    </row>
    <row r="164" spans="9:65" s="1524" customFormat="1" ht="11.5">
      <c r="I164" s="1530"/>
      <c r="J164" s="1530"/>
      <c r="K164" s="1530"/>
      <c r="R164" s="1530"/>
      <c r="S164" s="1530"/>
      <c r="T164" s="1530"/>
      <c r="AA164" s="1530"/>
      <c r="AB164" s="1530"/>
      <c r="AC164" s="1530"/>
      <c r="AJ164" s="1530"/>
      <c r="AK164" s="1530"/>
      <c r="AL164" s="1530"/>
      <c r="AS164" s="1530"/>
      <c r="AT164" s="1530"/>
      <c r="AU164" s="1530"/>
      <c r="BB164" s="1530"/>
      <c r="BC164" s="1530"/>
      <c r="BD164" s="1530"/>
      <c r="BK164" s="1530"/>
      <c r="BL164" s="1530"/>
      <c r="BM164" s="1530"/>
    </row>
    <row r="165" spans="9:65" s="1524" customFormat="1" ht="11.5">
      <c r="I165" s="1530"/>
      <c r="J165" s="1530"/>
      <c r="K165" s="1530"/>
      <c r="R165" s="1530"/>
      <c r="S165" s="1530"/>
      <c r="T165" s="1530"/>
      <c r="AA165" s="1530"/>
      <c r="AB165" s="1530"/>
      <c r="AC165" s="1530"/>
      <c r="AJ165" s="1530"/>
      <c r="AK165" s="1530"/>
      <c r="AL165" s="1530"/>
      <c r="AS165" s="1530"/>
      <c r="AT165" s="1530"/>
      <c r="AU165" s="1530"/>
      <c r="BB165" s="1530"/>
      <c r="BC165" s="1530"/>
      <c r="BD165" s="1530"/>
      <c r="BK165" s="1530"/>
      <c r="BL165" s="1530"/>
      <c r="BM165" s="1530"/>
    </row>
    <row r="166" spans="9:65" s="1524" customFormat="1" ht="11.5">
      <c r="I166" s="1530"/>
      <c r="J166" s="1530"/>
      <c r="K166" s="1530"/>
      <c r="O166" s="1576"/>
      <c r="R166" s="1530"/>
      <c r="S166" s="1530"/>
      <c r="T166" s="1530"/>
      <c r="AA166" s="1530"/>
      <c r="AB166" s="1530"/>
      <c r="AC166" s="1530"/>
      <c r="AJ166" s="1530"/>
      <c r="AK166" s="1530"/>
      <c r="AL166" s="1530"/>
      <c r="AS166" s="1530"/>
      <c r="AT166" s="1530"/>
      <c r="AU166" s="1530"/>
      <c r="BB166" s="1530"/>
      <c r="BC166" s="1530"/>
      <c r="BD166" s="1530"/>
      <c r="BK166" s="1530"/>
      <c r="BL166" s="1530"/>
      <c r="BM166" s="1530"/>
    </row>
    <row r="167" spans="9:65" s="1524" customFormat="1" ht="11.5">
      <c r="I167" s="1530"/>
      <c r="J167" s="1530"/>
      <c r="K167" s="1530"/>
      <c r="R167" s="1530"/>
      <c r="S167" s="1530"/>
      <c r="T167" s="1530"/>
      <c r="AA167" s="1530"/>
      <c r="AB167" s="1530"/>
      <c r="AC167" s="1530"/>
      <c r="AJ167" s="1530"/>
      <c r="AK167" s="1530"/>
      <c r="AL167" s="1530"/>
      <c r="AS167" s="1530"/>
      <c r="AT167" s="1530"/>
      <c r="AU167" s="1530"/>
      <c r="BB167" s="1530"/>
      <c r="BC167" s="1530"/>
      <c r="BD167" s="1530"/>
      <c r="BK167" s="1530"/>
      <c r="BL167" s="1530"/>
      <c r="BM167" s="1530"/>
    </row>
    <row r="168" spans="9:65" s="1524" customFormat="1" ht="11.5">
      <c r="I168" s="1530"/>
      <c r="J168" s="1530"/>
      <c r="K168" s="1530"/>
      <c r="R168" s="1530"/>
      <c r="S168" s="1530"/>
      <c r="T168" s="1530"/>
      <c r="AA168" s="1530"/>
      <c r="AB168" s="1530"/>
      <c r="AC168" s="1530"/>
      <c r="AJ168" s="1530"/>
      <c r="AK168" s="1530"/>
      <c r="AL168" s="1530"/>
      <c r="AS168" s="1530"/>
      <c r="AT168" s="1530"/>
      <c r="AU168" s="1530"/>
      <c r="BB168" s="1530"/>
      <c r="BC168" s="1530"/>
      <c r="BD168" s="1530"/>
      <c r="BK168" s="1530"/>
      <c r="BL168" s="1530"/>
      <c r="BM168" s="1530"/>
    </row>
    <row r="169" spans="9:65" s="1524" customFormat="1" ht="11.5">
      <c r="I169" s="1530"/>
      <c r="J169" s="1530"/>
      <c r="K169" s="1530"/>
      <c r="R169" s="1530"/>
      <c r="S169" s="1530"/>
      <c r="T169" s="1530"/>
      <c r="AA169" s="1530"/>
      <c r="AB169" s="1530"/>
      <c r="AC169" s="1530"/>
      <c r="AJ169" s="1530"/>
      <c r="AK169" s="1530"/>
      <c r="AL169" s="1530"/>
      <c r="AS169" s="1530"/>
      <c r="AT169" s="1530"/>
      <c r="AU169" s="1530"/>
      <c r="BB169" s="1530"/>
      <c r="BC169" s="1530"/>
      <c r="BD169" s="1530"/>
      <c r="BK169" s="1530"/>
      <c r="BL169" s="1530"/>
      <c r="BM169" s="1530"/>
    </row>
    <row r="170" spans="9:65" s="1524" customFormat="1" ht="11.5">
      <c r="I170" s="1530"/>
      <c r="J170" s="1530"/>
      <c r="K170" s="1530"/>
      <c r="R170" s="1530"/>
      <c r="S170" s="1530"/>
      <c r="T170" s="1530"/>
      <c r="AA170" s="1530"/>
      <c r="AB170" s="1530"/>
      <c r="AC170" s="1530"/>
      <c r="AJ170" s="1530"/>
      <c r="AK170" s="1530"/>
      <c r="AL170" s="1530"/>
      <c r="AS170" s="1530"/>
      <c r="AT170" s="1530"/>
      <c r="AU170" s="1530"/>
      <c r="BB170" s="1530"/>
      <c r="BC170" s="1530"/>
      <c r="BD170" s="1530"/>
      <c r="BK170" s="1530"/>
      <c r="BL170" s="1530"/>
      <c r="BM170" s="1530"/>
    </row>
    <row r="171" spans="9:65" s="1524" customFormat="1" ht="11.5">
      <c r="I171" s="1530"/>
      <c r="J171" s="1530"/>
      <c r="K171" s="1530"/>
      <c r="R171" s="1530"/>
      <c r="S171" s="1530"/>
      <c r="T171" s="1530"/>
      <c r="AA171" s="1530"/>
      <c r="AB171" s="1530"/>
      <c r="AC171" s="1530"/>
      <c r="AJ171" s="1530"/>
      <c r="AK171" s="1530"/>
      <c r="AL171" s="1530"/>
      <c r="AS171" s="1530"/>
      <c r="AT171" s="1530"/>
      <c r="AU171" s="1530"/>
      <c r="BB171" s="1530"/>
      <c r="BC171" s="1530"/>
      <c r="BD171" s="1530"/>
      <c r="BK171" s="1530"/>
      <c r="BL171" s="1530"/>
      <c r="BM171" s="1530"/>
    </row>
    <row r="172" spans="9:65" s="1524" customFormat="1" ht="11.5">
      <c r="I172" s="1530"/>
      <c r="J172" s="1530"/>
      <c r="K172" s="1530"/>
      <c r="R172" s="1530"/>
      <c r="S172" s="1530"/>
      <c r="T172" s="1530"/>
      <c r="AA172" s="1530"/>
      <c r="AB172" s="1530"/>
      <c r="AC172" s="1530"/>
      <c r="AJ172" s="1530"/>
      <c r="AK172" s="1530"/>
      <c r="AL172" s="1530"/>
      <c r="AS172" s="1530"/>
      <c r="AT172" s="1530"/>
      <c r="AU172" s="1530"/>
      <c r="BB172" s="1530"/>
      <c r="BC172" s="1530"/>
      <c r="BD172" s="1530"/>
      <c r="BK172" s="1530"/>
      <c r="BL172" s="1530"/>
      <c r="BM172" s="1530"/>
    </row>
    <row r="173" spans="9:65" s="1524" customFormat="1" ht="11.5">
      <c r="I173" s="1530"/>
      <c r="J173" s="1530"/>
      <c r="K173" s="1530"/>
      <c r="R173" s="1530"/>
      <c r="S173" s="1530"/>
      <c r="T173" s="1530"/>
      <c r="AA173" s="1530"/>
      <c r="AB173" s="1530"/>
      <c r="AC173" s="1530"/>
      <c r="AJ173" s="1530"/>
      <c r="AK173" s="1530"/>
      <c r="AL173" s="1530"/>
      <c r="AS173" s="1530"/>
      <c r="AT173" s="1530"/>
      <c r="AU173" s="1530"/>
      <c r="BB173" s="1530"/>
      <c r="BC173" s="1530"/>
      <c r="BD173" s="1530"/>
      <c r="BK173" s="1530"/>
      <c r="BL173" s="1530"/>
      <c r="BM173" s="1530"/>
    </row>
    <row r="174" spans="9:65" s="1524" customFormat="1" ht="11.5">
      <c r="I174" s="1530"/>
      <c r="J174" s="1530"/>
      <c r="K174" s="1530"/>
      <c r="R174" s="1530"/>
      <c r="S174" s="1530"/>
      <c r="T174" s="1530"/>
      <c r="AA174" s="1530"/>
      <c r="AB174" s="1530"/>
      <c r="AC174" s="1530"/>
      <c r="AJ174" s="1530"/>
      <c r="AK174" s="1530"/>
      <c r="AL174" s="1530"/>
      <c r="AS174" s="1530"/>
      <c r="AT174" s="1530"/>
      <c r="AU174" s="1530"/>
      <c r="BB174" s="1530"/>
      <c r="BC174" s="1530"/>
      <c r="BD174" s="1530"/>
      <c r="BK174" s="1530"/>
      <c r="BL174" s="1530"/>
      <c r="BM174" s="1530"/>
    </row>
    <row r="175" spans="9:65" s="1524" customFormat="1" ht="11.5">
      <c r="I175" s="1530"/>
      <c r="J175" s="1530"/>
      <c r="K175" s="1530"/>
      <c r="R175" s="1530"/>
      <c r="S175" s="1530"/>
      <c r="T175" s="1530"/>
      <c r="AA175" s="1530"/>
      <c r="AB175" s="1530"/>
      <c r="AC175" s="1530"/>
      <c r="AJ175" s="1530"/>
      <c r="AK175" s="1530"/>
      <c r="AL175" s="1530"/>
      <c r="AS175" s="1530"/>
      <c r="AT175" s="1530"/>
      <c r="AU175" s="1530"/>
      <c r="BB175" s="1530"/>
      <c r="BC175" s="1530"/>
      <c r="BD175" s="1530"/>
      <c r="BK175" s="1530"/>
      <c r="BL175" s="1530"/>
      <c r="BM175" s="1530"/>
    </row>
    <row r="176" spans="9:65" s="1524" customFormat="1" ht="11.5">
      <c r="I176" s="1530"/>
      <c r="J176" s="1530"/>
      <c r="K176" s="1530"/>
      <c r="R176" s="1530"/>
      <c r="S176" s="1530"/>
      <c r="T176" s="1530"/>
      <c r="AA176" s="1530"/>
      <c r="AB176" s="1530"/>
      <c r="AC176" s="1530"/>
      <c r="AJ176" s="1530"/>
      <c r="AK176" s="1530"/>
      <c r="AL176" s="1530"/>
      <c r="AS176" s="1530"/>
      <c r="AT176" s="1530"/>
      <c r="AU176" s="1530"/>
      <c r="BB176" s="1530"/>
      <c r="BC176" s="1530"/>
      <c r="BD176" s="1530"/>
      <c r="BK176" s="1530"/>
      <c r="BL176" s="1530"/>
      <c r="BM176" s="1530"/>
    </row>
    <row r="177" spans="9:65" s="1524" customFormat="1" ht="11.5">
      <c r="I177" s="1530"/>
      <c r="J177" s="1530"/>
      <c r="K177" s="1530"/>
      <c r="R177" s="1530"/>
      <c r="S177" s="1530"/>
      <c r="T177" s="1530"/>
      <c r="AA177" s="1530"/>
      <c r="AB177" s="1530"/>
      <c r="AC177" s="1530"/>
      <c r="AJ177" s="1530"/>
      <c r="AK177" s="1530"/>
      <c r="AL177" s="1530"/>
      <c r="AS177" s="1530"/>
      <c r="AT177" s="1530"/>
      <c r="AU177" s="1530"/>
      <c r="BB177" s="1530"/>
      <c r="BC177" s="1530"/>
      <c r="BD177" s="1530"/>
      <c r="BK177" s="1530"/>
      <c r="BL177" s="1530"/>
      <c r="BM177" s="1530"/>
    </row>
    <row r="178" spans="9:65" s="1524" customFormat="1" ht="11.5">
      <c r="I178" s="1530"/>
      <c r="J178" s="1530"/>
      <c r="K178" s="1530"/>
      <c r="R178" s="1530"/>
      <c r="S178" s="1530"/>
      <c r="T178" s="1530"/>
      <c r="AA178" s="1530"/>
      <c r="AB178" s="1530"/>
      <c r="AC178" s="1530"/>
      <c r="AJ178" s="1530"/>
      <c r="AK178" s="1530"/>
      <c r="AL178" s="1530"/>
      <c r="AS178" s="1530"/>
      <c r="AT178" s="1530"/>
      <c r="AU178" s="1530"/>
      <c r="BB178" s="1530"/>
      <c r="BC178" s="1530"/>
      <c r="BD178" s="1530"/>
      <c r="BK178" s="1530"/>
      <c r="BL178" s="1530"/>
      <c r="BM178" s="1530"/>
    </row>
    <row r="179" spans="9:65" s="1524" customFormat="1" ht="11.5">
      <c r="I179" s="1530"/>
      <c r="J179" s="1530"/>
      <c r="K179" s="1530"/>
      <c r="R179" s="1530"/>
      <c r="S179" s="1530"/>
      <c r="T179" s="1530"/>
      <c r="AA179" s="1530"/>
      <c r="AB179" s="1530"/>
      <c r="AC179" s="1530"/>
      <c r="AJ179" s="1530"/>
      <c r="AK179" s="1530"/>
      <c r="AL179" s="1530"/>
      <c r="AS179" s="1530"/>
      <c r="AT179" s="1530"/>
      <c r="AU179" s="1530"/>
      <c r="BB179" s="1530"/>
      <c r="BC179" s="1530"/>
      <c r="BD179" s="1530"/>
      <c r="BK179" s="1530"/>
      <c r="BL179" s="1530"/>
      <c r="BM179" s="1530"/>
    </row>
    <row r="180" spans="9:65" s="1524" customFormat="1" ht="11.5">
      <c r="I180" s="1530"/>
      <c r="J180" s="1530"/>
      <c r="K180" s="1530"/>
      <c r="R180" s="1530"/>
      <c r="S180" s="1530"/>
      <c r="T180" s="1530"/>
      <c r="AA180" s="1530"/>
      <c r="AB180" s="1530"/>
      <c r="AC180" s="1530"/>
      <c r="AJ180" s="1530"/>
      <c r="AK180" s="1530"/>
      <c r="AL180" s="1530"/>
      <c r="AS180" s="1530"/>
      <c r="AT180" s="1530"/>
      <c r="AU180" s="1530"/>
      <c r="BB180" s="1530"/>
      <c r="BC180" s="1530"/>
      <c r="BD180" s="1530"/>
      <c r="BK180" s="1530"/>
      <c r="BL180" s="1530"/>
      <c r="BM180" s="1530"/>
    </row>
    <row r="181" spans="9:65" s="1524" customFormat="1" ht="11.5">
      <c r="I181" s="1530"/>
      <c r="J181" s="1530"/>
      <c r="K181" s="1530"/>
      <c r="R181" s="1530"/>
      <c r="S181" s="1530"/>
      <c r="T181" s="1530"/>
      <c r="AA181" s="1530"/>
      <c r="AB181" s="1530"/>
      <c r="AC181" s="1530"/>
      <c r="AJ181" s="1530"/>
      <c r="AK181" s="1530"/>
      <c r="AL181" s="1530"/>
      <c r="AS181" s="1530"/>
      <c r="AT181" s="1530"/>
      <c r="AU181" s="1530"/>
      <c r="BB181" s="1530"/>
      <c r="BC181" s="1530"/>
      <c r="BD181" s="1530"/>
      <c r="BK181" s="1530"/>
      <c r="BL181" s="1530"/>
      <c r="BM181" s="1530"/>
    </row>
    <row r="182" spans="9:65" s="1524" customFormat="1" ht="11.5">
      <c r="I182" s="1530"/>
      <c r="J182" s="1530"/>
      <c r="K182" s="1530"/>
      <c r="R182" s="1530"/>
      <c r="S182" s="1530"/>
      <c r="T182" s="1530"/>
      <c r="AA182" s="1530"/>
      <c r="AB182" s="1530"/>
      <c r="AC182" s="1530"/>
      <c r="AJ182" s="1530"/>
      <c r="AK182" s="1530"/>
      <c r="AL182" s="1530"/>
      <c r="AS182" s="1530"/>
      <c r="AT182" s="1530"/>
      <c r="AU182" s="1530"/>
      <c r="BB182" s="1530"/>
      <c r="BC182" s="1530"/>
      <c r="BD182" s="1530"/>
      <c r="BK182" s="1530"/>
      <c r="BL182" s="1530"/>
      <c r="BM182" s="1530"/>
    </row>
    <row r="183" spans="9:65" s="1524" customFormat="1" ht="11.5">
      <c r="I183" s="1530"/>
      <c r="J183" s="1530"/>
      <c r="K183" s="1530"/>
      <c r="R183" s="1530"/>
      <c r="S183" s="1530"/>
      <c r="T183" s="1530"/>
      <c r="AA183" s="1530"/>
      <c r="AB183" s="1530"/>
      <c r="AC183" s="1530"/>
      <c r="AJ183" s="1530"/>
      <c r="AK183" s="1530"/>
      <c r="AL183" s="1530"/>
      <c r="AS183" s="1530"/>
      <c r="AT183" s="1530"/>
      <c r="AU183" s="1530"/>
      <c r="BB183" s="1530"/>
      <c r="BC183" s="1530"/>
      <c r="BD183" s="1530"/>
      <c r="BK183" s="1530"/>
      <c r="BL183" s="1530"/>
      <c r="BM183" s="1530"/>
    </row>
    <row r="184" spans="9:65" s="1524" customFormat="1" ht="11.5" collapsed="1">
      <c r="I184" s="1530"/>
      <c r="J184" s="1530"/>
      <c r="K184" s="1530"/>
      <c r="R184" s="1530"/>
      <c r="S184" s="1530"/>
      <c r="T184" s="1530"/>
      <c r="AA184" s="1530"/>
      <c r="AB184" s="1530"/>
      <c r="AC184" s="1530"/>
      <c r="AJ184" s="1530"/>
      <c r="AK184" s="1530"/>
      <c r="AL184" s="1530"/>
      <c r="AS184" s="1530"/>
      <c r="AT184" s="1530"/>
      <c r="AU184" s="1530"/>
      <c r="BB184" s="1530"/>
      <c r="BC184" s="1530"/>
      <c r="BD184" s="1530"/>
      <c r="BK184" s="1530"/>
      <c r="BL184" s="1530"/>
      <c r="BM184" s="1530"/>
    </row>
    <row r="185" spans="9:65" s="1524" customFormat="1" ht="11.5">
      <c r="I185" s="1530"/>
      <c r="J185" s="1530"/>
      <c r="K185" s="1530"/>
      <c r="R185" s="1530"/>
      <c r="S185" s="1530"/>
      <c r="T185" s="1530"/>
      <c r="AA185" s="1530"/>
      <c r="AB185" s="1530"/>
      <c r="AC185" s="1530"/>
      <c r="AJ185" s="1530"/>
      <c r="AK185" s="1530"/>
      <c r="AL185" s="1530"/>
      <c r="AS185" s="1530"/>
      <c r="AT185" s="1530"/>
      <c r="AU185" s="1530"/>
      <c r="BB185" s="1530"/>
      <c r="BC185" s="1530"/>
      <c r="BD185" s="1530"/>
      <c r="BK185" s="1530"/>
      <c r="BL185" s="1530"/>
      <c r="BM185" s="1530"/>
    </row>
    <row r="186" spans="9:65" s="1524" customFormat="1" ht="11.5">
      <c r="I186" s="1530"/>
      <c r="J186" s="1530"/>
      <c r="K186" s="1530"/>
      <c r="R186" s="1530"/>
      <c r="S186" s="1530"/>
      <c r="T186" s="1530"/>
      <c r="AA186" s="1530"/>
      <c r="AB186" s="1530"/>
      <c r="AC186" s="1530"/>
      <c r="AJ186" s="1530"/>
      <c r="AK186" s="1530"/>
      <c r="AL186" s="1530"/>
      <c r="AS186" s="1530"/>
      <c r="AT186" s="1530"/>
      <c r="AU186" s="1530"/>
      <c r="BB186" s="1530"/>
      <c r="BC186" s="1530"/>
      <c r="BD186" s="1530"/>
      <c r="BK186" s="1530"/>
      <c r="BL186" s="1530"/>
      <c r="BM186" s="1530"/>
    </row>
    <row r="187" spans="9:65" s="1524" customFormat="1" ht="11.5">
      <c r="I187" s="1530"/>
      <c r="J187" s="1530"/>
      <c r="K187" s="1530"/>
      <c r="R187" s="1530"/>
      <c r="S187" s="1530"/>
      <c r="T187" s="1530"/>
      <c r="AA187" s="1530"/>
      <c r="AB187" s="1530"/>
      <c r="AC187" s="1530"/>
      <c r="AJ187" s="1530"/>
      <c r="AK187" s="1530"/>
      <c r="AL187" s="1530"/>
      <c r="AS187" s="1530"/>
      <c r="AT187" s="1530"/>
      <c r="AU187" s="1530"/>
      <c r="BB187" s="1530"/>
      <c r="BC187" s="1530"/>
      <c r="BD187" s="1530"/>
      <c r="BK187" s="1530"/>
      <c r="BL187" s="1530"/>
      <c r="BM187" s="1530"/>
    </row>
    <row r="188" spans="9:65" s="1524" customFormat="1" ht="11.5">
      <c r="I188" s="1530"/>
      <c r="J188" s="1530"/>
      <c r="K188" s="1530"/>
      <c r="R188" s="1530"/>
      <c r="S188" s="1530"/>
      <c r="T188" s="1530"/>
      <c r="AA188" s="1530"/>
      <c r="AB188" s="1530"/>
      <c r="AC188" s="1530"/>
      <c r="AJ188" s="1530"/>
      <c r="AK188" s="1530"/>
      <c r="AL188" s="1530"/>
      <c r="AS188" s="1530"/>
      <c r="AT188" s="1530"/>
      <c r="AU188" s="1530"/>
      <c r="BB188" s="1530"/>
      <c r="BC188" s="1530"/>
      <c r="BD188" s="1530"/>
      <c r="BK188" s="1530"/>
      <c r="BL188" s="1530"/>
      <c r="BM188" s="1530"/>
    </row>
    <row r="189" spans="9:65" s="1524" customFormat="1" ht="11.5">
      <c r="I189" s="1530"/>
      <c r="J189" s="1530"/>
      <c r="K189" s="1530"/>
      <c r="R189" s="1530"/>
      <c r="S189" s="1530"/>
      <c r="T189" s="1530"/>
      <c r="AA189" s="1530"/>
      <c r="AB189" s="1530"/>
      <c r="AC189" s="1530"/>
      <c r="AJ189" s="1530"/>
      <c r="AK189" s="1530"/>
      <c r="AL189" s="1530"/>
      <c r="AS189" s="1530"/>
      <c r="AT189" s="1530"/>
      <c r="AU189" s="1530"/>
      <c r="BB189" s="1530"/>
      <c r="BC189" s="1530"/>
      <c r="BD189" s="1530"/>
      <c r="BK189" s="1530"/>
      <c r="BL189" s="1530"/>
      <c r="BM189" s="1530"/>
    </row>
    <row r="190" spans="9:65" s="1524" customFormat="1" ht="11.5" collapsed="1">
      <c r="I190" s="1530"/>
      <c r="J190" s="1530"/>
      <c r="K190" s="1530"/>
      <c r="R190" s="1530"/>
      <c r="S190" s="1530"/>
      <c r="T190" s="1530"/>
      <c r="AA190" s="1530"/>
      <c r="AB190" s="1530"/>
      <c r="AC190" s="1530"/>
      <c r="AJ190" s="1530"/>
      <c r="AK190" s="1530"/>
      <c r="AL190" s="1530"/>
      <c r="AS190" s="1530"/>
      <c r="AT190" s="1530"/>
      <c r="AU190" s="1530"/>
      <c r="BB190" s="1530"/>
      <c r="BC190" s="1530"/>
      <c r="BD190" s="1530"/>
      <c r="BK190" s="1530"/>
      <c r="BL190" s="1530"/>
      <c r="BM190" s="1530"/>
    </row>
    <row r="191" spans="9:65" s="1524" customFormat="1" ht="11.5">
      <c r="I191" s="1530"/>
      <c r="J191" s="1530"/>
      <c r="K191" s="1530"/>
      <c r="R191" s="1530"/>
      <c r="S191" s="1530"/>
      <c r="T191" s="1530"/>
      <c r="AA191" s="1530"/>
      <c r="AB191" s="1530"/>
      <c r="AC191" s="1530"/>
      <c r="AJ191" s="1530"/>
      <c r="AK191" s="1530"/>
      <c r="AL191" s="1530"/>
      <c r="AS191" s="1530"/>
      <c r="AT191" s="1530"/>
      <c r="AU191" s="1530"/>
      <c r="BB191" s="1530"/>
      <c r="BC191" s="1530"/>
      <c r="BD191" s="1530"/>
      <c r="BK191" s="1530"/>
      <c r="BL191" s="1530"/>
      <c r="BM191" s="1530"/>
    </row>
    <row r="192" spans="9:65" s="1524" customFormat="1" ht="11.5">
      <c r="I192" s="1530"/>
      <c r="J192" s="1530"/>
      <c r="K192" s="1530"/>
      <c r="R192" s="1530"/>
      <c r="S192" s="1530"/>
      <c r="T192" s="1530"/>
      <c r="AA192" s="1530"/>
      <c r="AB192" s="1530"/>
      <c r="AC192" s="1530"/>
      <c r="AJ192" s="1530"/>
      <c r="AK192" s="1530"/>
      <c r="AL192" s="1530"/>
      <c r="AS192" s="1530"/>
      <c r="AT192" s="1530"/>
      <c r="AU192" s="1530"/>
      <c r="BB192" s="1530"/>
      <c r="BC192" s="1530"/>
      <c r="BD192" s="1530"/>
      <c r="BK192" s="1530"/>
      <c r="BL192" s="1530"/>
      <c r="BM192" s="1530"/>
    </row>
    <row r="193" spans="9:65" s="1524" customFormat="1" ht="11.5">
      <c r="I193" s="1530"/>
      <c r="J193" s="1530"/>
      <c r="K193" s="1530"/>
      <c r="R193" s="1530"/>
      <c r="S193" s="1530"/>
      <c r="T193" s="1530"/>
      <c r="AA193" s="1530"/>
      <c r="AB193" s="1530"/>
      <c r="AC193" s="1530"/>
      <c r="AJ193" s="1530"/>
      <c r="AK193" s="1530"/>
      <c r="AL193" s="1530"/>
      <c r="AS193" s="1530"/>
      <c r="AT193" s="1530"/>
      <c r="AU193" s="1530"/>
      <c r="BB193" s="1530"/>
      <c r="BC193" s="1530"/>
      <c r="BD193" s="1530"/>
      <c r="BK193" s="1530"/>
      <c r="BL193" s="1530"/>
      <c r="BM193" s="1530"/>
    </row>
    <row r="194" spans="9:65" s="1524" customFormat="1" ht="11.5">
      <c r="I194" s="1530"/>
      <c r="J194" s="1530"/>
      <c r="K194" s="1530"/>
      <c r="R194" s="1530"/>
      <c r="S194" s="1530"/>
      <c r="T194" s="1530"/>
      <c r="AA194" s="1530"/>
      <c r="AB194" s="1530"/>
      <c r="AC194" s="1530"/>
      <c r="AJ194" s="1530"/>
      <c r="AK194" s="1530"/>
      <c r="AL194" s="1530"/>
      <c r="AS194" s="1530"/>
      <c r="AT194" s="1530"/>
      <c r="AU194" s="1530"/>
      <c r="BB194" s="1530"/>
      <c r="BC194" s="1530"/>
      <c r="BD194" s="1530"/>
      <c r="BK194" s="1530"/>
      <c r="BL194" s="1530"/>
      <c r="BM194" s="1530"/>
    </row>
    <row r="195" spans="9:65" s="1524" customFormat="1" ht="11.5">
      <c r="I195" s="1530"/>
      <c r="J195" s="1530"/>
      <c r="K195" s="1530"/>
      <c r="R195" s="1530"/>
      <c r="S195" s="1530"/>
      <c r="T195" s="1530"/>
      <c r="AA195" s="1530"/>
      <c r="AB195" s="1530"/>
      <c r="AC195" s="1530"/>
      <c r="AJ195" s="1530"/>
      <c r="AK195" s="1530"/>
      <c r="AL195" s="1530"/>
      <c r="AS195" s="1530"/>
      <c r="AT195" s="1530"/>
      <c r="AU195" s="1530"/>
      <c r="BB195" s="1530"/>
      <c r="BC195" s="1530"/>
      <c r="BD195" s="1530"/>
      <c r="BK195" s="1530"/>
      <c r="BL195" s="1530"/>
      <c r="BM195" s="1530"/>
    </row>
    <row r="196" spans="9:65" s="1524" customFormat="1" ht="11.5" collapsed="1">
      <c r="I196" s="1530"/>
      <c r="J196" s="1530"/>
      <c r="K196" s="1530"/>
      <c r="R196" s="1530"/>
      <c r="S196" s="1530"/>
      <c r="T196" s="1530"/>
      <c r="AA196" s="1530"/>
      <c r="AB196" s="1530"/>
      <c r="AC196" s="1530"/>
      <c r="AJ196" s="1530"/>
      <c r="AK196" s="1530"/>
      <c r="AL196" s="1530"/>
      <c r="AS196" s="1530"/>
      <c r="AT196" s="1530"/>
      <c r="AU196" s="1530"/>
      <c r="BB196" s="1530"/>
      <c r="BC196" s="1530"/>
      <c r="BD196" s="1530"/>
      <c r="BK196" s="1530"/>
      <c r="BL196" s="1530"/>
      <c r="BM196" s="1530"/>
    </row>
    <row r="197" spans="9:65" s="1524" customFormat="1" ht="11.5">
      <c r="I197" s="1530"/>
      <c r="J197" s="1530"/>
      <c r="K197" s="1530"/>
      <c r="R197" s="1530"/>
      <c r="S197" s="1530"/>
      <c r="T197" s="1530"/>
      <c r="AA197" s="1530"/>
      <c r="AB197" s="1530"/>
      <c r="AC197" s="1530"/>
      <c r="AJ197" s="1530"/>
      <c r="AK197" s="1530"/>
      <c r="AL197" s="1530"/>
      <c r="AS197" s="1530"/>
      <c r="AT197" s="1530"/>
      <c r="AU197" s="1530"/>
      <c r="BB197" s="1530"/>
      <c r="BC197" s="1530"/>
      <c r="BD197" s="1530"/>
      <c r="BK197" s="1530"/>
      <c r="BL197" s="1530"/>
      <c r="BM197" s="1530"/>
    </row>
    <row r="198" spans="9:65" s="1524" customFormat="1" ht="11.5">
      <c r="I198" s="1530"/>
      <c r="J198" s="1530"/>
      <c r="K198" s="1530"/>
      <c r="R198" s="1530"/>
      <c r="S198" s="1530"/>
      <c r="T198" s="1530"/>
      <c r="AA198" s="1530"/>
      <c r="AB198" s="1530"/>
      <c r="AC198" s="1530"/>
      <c r="AJ198" s="1530"/>
      <c r="AK198" s="1530"/>
      <c r="AL198" s="1530"/>
      <c r="AS198" s="1530"/>
      <c r="AT198" s="1530"/>
      <c r="AU198" s="1530"/>
      <c r="BB198" s="1530"/>
      <c r="BC198" s="1530"/>
      <c r="BD198" s="1530"/>
      <c r="BK198" s="1530"/>
      <c r="BL198" s="1530"/>
      <c r="BM198" s="1530"/>
    </row>
    <row r="199" spans="9:65" s="1524" customFormat="1" ht="11.5">
      <c r="I199" s="1530"/>
      <c r="J199" s="1530"/>
      <c r="K199" s="1530"/>
      <c r="R199" s="1530"/>
      <c r="S199" s="1530"/>
      <c r="T199" s="1530"/>
      <c r="AA199" s="1530"/>
      <c r="AB199" s="1530"/>
      <c r="AC199" s="1530"/>
      <c r="AJ199" s="1530"/>
      <c r="AK199" s="1530"/>
      <c r="AL199" s="1530"/>
      <c r="AS199" s="1530"/>
      <c r="AT199" s="1530"/>
      <c r="AU199" s="1530"/>
      <c r="BB199" s="1530"/>
      <c r="BC199" s="1530"/>
      <c r="BD199" s="1530"/>
      <c r="BK199" s="1530"/>
      <c r="BL199" s="1530"/>
      <c r="BM199" s="1530"/>
    </row>
    <row r="200" spans="9:65" s="1524" customFormat="1" ht="11.5">
      <c r="I200" s="1530"/>
      <c r="J200" s="1530"/>
      <c r="K200" s="1530"/>
      <c r="R200" s="1530"/>
      <c r="S200" s="1530"/>
      <c r="T200" s="1530"/>
      <c r="AA200" s="1530"/>
      <c r="AB200" s="1530"/>
      <c r="AC200" s="1530"/>
      <c r="AJ200" s="1530"/>
      <c r="AK200" s="1530"/>
      <c r="AL200" s="1530"/>
      <c r="AS200" s="1530"/>
      <c r="AT200" s="1530"/>
      <c r="AU200" s="1530"/>
      <c r="BB200" s="1530"/>
      <c r="BC200" s="1530"/>
      <c r="BD200" s="1530"/>
      <c r="BK200" s="1530"/>
      <c r="BL200" s="1530"/>
      <c r="BM200" s="1530"/>
    </row>
    <row r="201" spans="9:65" s="1524" customFormat="1" ht="11.5">
      <c r="I201" s="1530"/>
      <c r="J201" s="1530"/>
      <c r="K201" s="1530"/>
      <c r="R201" s="1530"/>
      <c r="S201" s="1530"/>
      <c r="T201" s="1530"/>
      <c r="AA201" s="1530"/>
      <c r="AB201" s="1530"/>
      <c r="AC201" s="1530"/>
      <c r="AJ201" s="1530"/>
      <c r="AK201" s="1530"/>
      <c r="AL201" s="1530"/>
      <c r="AS201" s="1530"/>
      <c r="AT201" s="1530"/>
      <c r="AU201" s="1530"/>
      <c r="BB201" s="1530"/>
      <c r="BC201" s="1530"/>
      <c r="BD201" s="1530"/>
      <c r="BK201" s="1530"/>
      <c r="BL201" s="1530"/>
      <c r="BM201" s="1530"/>
    </row>
    <row r="202" spans="9:65" s="1524" customFormat="1" ht="11.5">
      <c r="I202" s="1530"/>
      <c r="J202" s="1530"/>
      <c r="K202" s="1530"/>
      <c r="R202" s="1530"/>
      <c r="S202" s="1530"/>
      <c r="T202" s="1530"/>
      <c r="AA202" s="1530"/>
      <c r="AB202" s="1530"/>
      <c r="AC202" s="1530"/>
      <c r="AJ202" s="1530"/>
      <c r="AK202" s="1530"/>
      <c r="AL202" s="1530"/>
      <c r="AS202" s="1530"/>
      <c r="AT202" s="1530"/>
      <c r="AU202" s="1530"/>
      <c r="BB202" s="1530"/>
      <c r="BC202" s="1530"/>
      <c r="BD202" s="1530"/>
      <c r="BK202" s="1530"/>
      <c r="BL202" s="1530"/>
      <c r="BM202" s="1530"/>
    </row>
    <row r="203" spans="9:65" s="1524" customFormat="1" ht="11.5">
      <c r="I203" s="1530"/>
      <c r="J203" s="1530"/>
      <c r="K203" s="1530"/>
      <c r="R203" s="1530"/>
      <c r="S203" s="1530"/>
      <c r="T203" s="1530"/>
      <c r="AA203" s="1530"/>
      <c r="AB203" s="1530"/>
      <c r="AC203" s="1530"/>
      <c r="AJ203" s="1530"/>
      <c r="AK203" s="1530"/>
      <c r="AL203" s="1530"/>
      <c r="AS203" s="1530"/>
      <c r="AT203" s="1530"/>
      <c r="AU203" s="1530"/>
      <c r="BB203" s="1530"/>
      <c r="BC203" s="1530"/>
      <c r="BD203" s="1530"/>
      <c r="BK203" s="1530"/>
      <c r="BL203" s="1530"/>
      <c r="BM203" s="1530"/>
    </row>
    <row r="204" spans="9:65" s="1524" customFormat="1" ht="11.5">
      <c r="I204" s="1530"/>
      <c r="J204" s="1530"/>
      <c r="K204" s="1530"/>
      <c r="R204" s="1530"/>
      <c r="S204" s="1530"/>
      <c r="T204" s="1530"/>
      <c r="AA204" s="1530"/>
      <c r="AB204" s="1530"/>
      <c r="AC204" s="1530"/>
      <c r="AJ204" s="1530"/>
      <c r="AK204" s="1530"/>
      <c r="AL204" s="1530"/>
      <c r="AS204" s="1530"/>
      <c r="AT204" s="1530"/>
      <c r="AU204" s="1530"/>
      <c r="BB204" s="1530"/>
      <c r="BC204" s="1530"/>
      <c r="BD204" s="1530"/>
      <c r="BK204" s="1530"/>
      <c r="BL204" s="1530"/>
      <c r="BM204" s="1530"/>
    </row>
    <row r="205" spans="9:65" s="1524" customFormat="1" ht="11.5">
      <c r="I205" s="1530"/>
      <c r="J205" s="1530"/>
      <c r="K205" s="1530"/>
      <c r="R205" s="1530"/>
      <c r="S205" s="1530"/>
      <c r="T205" s="1530"/>
      <c r="AA205" s="1530"/>
      <c r="AB205" s="1530"/>
      <c r="AC205" s="1530"/>
      <c r="AJ205" s="1530"/>
      <c r="AK205" s="1530"/>
      <c r="AL205" s="1530"/>
      <c r="AS205" s="1530"/>
      <c r="AT205" s="1530"/>
      <c r="AU205" s="1530"/>
      <c r="BB205" s="1530"/>
      <c r="BC205" s="1530"/>
      <c r="BD205" s="1530"/>
      <c r="BK205" s="1530"/>
      <c r="BL205" s="1530"/>
      <c r="BM205" s="1530"/>
    </row>
    <row r="206" spans="9:65" s="1524" customFormat="1" ht="11.5">
      <c r="I206" s="1530"/>
      <c r="J206" s="1530"/>
      <c r="K206" s="1530"/>
      <c r="R206" s="1530"/>
      <c r="S206" s="1530"/>
      <c r="T206" s="1530"/>
      <c r="AA206" s="1530"/>
      <c r="AB206" s="1530"/>
      <c r="AC206" s="1530"/>
      <c r="AJ206" s="1530"/>
      <c r="AK206" s="1530"/>
      <c r="AL206" s="1530"/>
      <c r="AS206" s="1530"/>
      <c r="AT206" s="1530"/>
      <c r="AU206" s="1530"/>
      <c r="BB206" s="1530"/>
      <c r="BC206" s="1530"/>
      <c r="BD206" s="1530"/>
      <c r="BK206" s="1530"/>
      <c r="BL206" s="1530"/>
      <c r="BM206" s="1530"/>
    </row>
    <row r="207" spans="9:65" s="1524" customFormat="1" ht="11.5">
      <c r="I207" s="1530"/>
      <c r="J207" s="1530"/>
      <c r="K207" s="1530"/>
      <c r="R207" s="1530"/>
      <c r="S207" s="1530"/>
      <c r="T207" s="1530"/>
      <c r="AA207" s="1530"/>
      <c r="AB207" s="1530"/>
      <c r="AC207" s="1530"/>
      <c r="AJ207" s="1530"/>
      <c r="AK207" s="1530"/>
      <c r="AL207" s="1530"/>
      <c r="AS207" s="1530"/>
      <c r="AT207" s="1530"/>
      <c r="AU207" s="1530"/>
      <c r="BB207" s="1530"/>
      <c r="BC207" s="1530"/>
      <c r="BD207" s="1530"/>
      <c r="BK207" s="1530"/>
      <c r="BL207" s="1530"/>
      <c r="BM207" s="1530"/>
    </row>
    <row r="208" spans="9:65" s="1524" customFormat="1" ht="11.5">
      <c r="I208" s="1530"/>
      <c r="J208" s="1530"/>
      <c r="K208" s="1530"/>
      <c r="R208" s="1530"/>
      <c r="S208" s="1530"/>
      <c r="T208" s="1530"/>
      <c r="AA208" s="1530"/>
      <c r="AB208" s="1530"/>
      <c r="AC208" s="1530"/>
      <c r="AJ208" s="1530"/>
      <c r="AK208" s="1530"/>
      <c r="AL208" s="1530"/>
      <c r="AS208" s="1530"/>
      <c r="AT208" s="1530"/>
      <c r="AU208" s="1530"/>
      <c r="BB208" s="1530"/>
      <c r="BC208" s="1530"/>
      <c r="BD208" s="1530"/>
      <c r="BK208" s="1530"/>
      <c r="BL208" s="1530"/>
      <c r="BM208" s="1530"/>
    </row>
    <row r="209" spans="9:65" s="1524" customFormat="1" ht="11.5">
      <c r="I209" s="1530"/>
      <c r="J209" s="1530"/>
      <c r="K209" s="1530"/>
      <c r="R209" s="1530"/>
      <c r="S209" s="1530"/>
      <c r="T209" s="1530"/>
      <c r="AA209" s="1530"/>
      <c r="AB209" s="1530"/>
      <c r="AC209" s="1530"/>
      <c r="AJ209" s="1530"/>
      <c r="AK209" s="1530"/>
      <c r="AL209" s="1530"/>
      <c r="AS209" s="1530"/>
      <c r="AT209" s="1530"/>
      <c r="AU209" s="1530"/>
      <c r="BB209" s="1530"/>
      <c r="BC209" s="1530"/>
      <c r="BD209" s="1530"/>
      <c r="BK209" s="1530"/>
      <c r="BL209" s="1530"/>
      <c r="BM209" s="1530"/>
    </row>
    <row r="210" spans="9:65" s="1524" customFormat="1" ht="11.5">
      <c r="I210" s="1530"/>
      <c r="J210" s="1530"/>
      <c r="K210" s="1530"/>
      <c r="R210" s="1530"/>
      <c r="S210" s="1530"/>
      <c r="T210" s="1530"/>
      <c r="AA210" s="1530"/>
      <c r="AB210" s="1530"/>
      <c r="AC210" s="1530"/>
      <c r="AJ210" s="1530"/>
      <c r="AK210" s="1530"/>
      <c r="AL210" s="1530"/>
      <c r="AS210" s="1530"/>
      <c r="AT210" s="1530"/>
      <c r="AU210" s="1530"/>
      <c r="BB210" s="1530"/>
      <c r="BC210" s="1530"/>
      <c r="BD210" s="1530"/>
      <c r="BK210" s="1530"/>
      <c r="BL210" s="1530"/>
      <c r="BM210" s="1530"/>
    </row>
    <row r="211" spans="9:65" s="1524" customFormat="1" ht="11.5">
      <c r="I211" s="1530"/>
      <c r="J211" s="1530"/>
      <c r="K211" s="1530"/>
      <c r="R211" s="1530"/>
      <c r="S211" s="1530"/>
      <c r="T211" s="1530"/>
      <c r="AA211" s="1530"/>
      <c r="AB211" s="1530"/>
      <c r="AC211" s="1530"/>
      <c r="AJ211" s="1530"/>
      <c r="AK211" s="1530"/>
      <c r="AL211" s="1530"/>
      <c r="AS211" s="1530"/>
      <c r="AT211" s="1530"/>
      <c r="AU211" s="1530"/>
      <c r="BB211" s="1530"/>
      <c r="BC211" s="1530"/>
      <c r="BD211" s="1530"/>
      <c r="BK211" s="1530"/>
      <c r="BL211" s="1530"/>
      <c r="BM211" s="1530"/>
    </row>
    <row r="212" spans="9:65" s="1524" customFormat="1" ht="11.5">
      <c r="I212" s="1530"/>
      <c r="J212" s="1530"/>
      <c r="K212" s="1530"/>
      <c r="R212" s="1530"/>
      <c r="S212" s="1530"/>
      <c r="T212" s="1530"/>
      <c r="AA212" s="1530"/>
      <c r="AB212" s="1530"/>
      <c r="AC212" s="1530"/>
      <c r="AJ212" s="1530"/>
      <c r="AK212" s="1530"/>
      <c r="AL212" s="1530"/>
      <c r="AS212" s="1530"/>
      <c r="AT212" s="1530"/>
      <c r="AU212" s="1530"/>
      <c r="BB212" s="1530"/>
      <c r="BC212" s="1530"/>
      <c r="BD212" s="1530"/>
      <c r="BK212" s="1530"/>
      <c r="BL212" s="1530"/>
      <c r="BM212" s="1530"/>
    </row>
    <row r="213" spans="9:65" s="1524" customFormat="1" ht="11.5">
      <c r="I213" s="1530"/>
      <c r="J213" s="1530"/>
      <c r="K213" s="1530"/>
      <c r="R213" s="1530"/>
      <c r="S213" s="1530"/>
      <c r="T213" s="1530"/>
      <c r="AA213" s="1530"/>
      <c r="AB213" s="1530"/>
      <c r="AC213" s="1530"/>
      <c r="AJ213" s="1530"/>
      <c r="AK213" s="1530"/>
      <c r="AL213" s="1530"/>
      <c r="AS213" s="1530"/>
      <c r="AT213" s="1530"/>
      <c r="AU213" s="1530"/>
      <c r="BB213" s="1530"/>
      <c r="BC213" s="1530"/>
      <c r="BD213" s="1530"/>
      <c r="BK213" s="1530"/>
      <c r="BL213" s="1530"/>
      <c r="BM213" s="1530"/>
    </row>
    <row r="214" spans="9:65" s="1524" customFormat="1" ht="11.5">
      <c r="I214" s="1530"/>
      <c r="J214" s="1530"/>
      <c r="K214" s="1530"/>
      <c r="R214" s="1530"/>
      <c r="S214" s="1530"/>
      <c r="T214" s="1530"/>
      <c r="AA214" s="1530"/>
      <c r="AB214" s="1530"/>
      <c r="AC214" s="1530"/>
      <c r="AJ214" s="1530"/>
      <c r="AK214" s="1530"/>
      <c r="AL214" s="1530"/>
      <c r="AS214" s="1530"/>
      <c r="AT214" s="1530"/>
      <c r="AU214" s="1530"/>
      <c r="BB214" s="1530"/>
      <c r="BC214" s="1530"/>
      <c r="BD214" s="1530"/>
      <c r="BK214" s="1530"/>
      <c r="BL214" s="1530"/>
      <c r="BM214" s="1530"/>
    </row>
    <row r="215" spans="9:65" s="1524" customFormat="1" ht="11.5">
      <c r="I215" s="1530"/>
      <c r="J215" s="1530"/>
      <c r="K215" s="1530"/>
      <c r="R215" s="1530"/>
      <c r="S215" s="1530"/>
      <c r="T215" s="1530"/>
      <c r="AA215" s="1530"/>
      <c r="AB215" s="1530"/>
      <c r="AC215" s="1530"/>
      <c r="AJ215" s="1530"/>
      <c r="AK215" s="1530"/>
      <c r="AL215" s="1530"/>
      <c r="AS215" s="1530"/>
      <c r="AT215" s="1530"/>
      <c r="AU215" s="1530"/>
      <c r="BB215" s="1530"/>
      <c r="BC215" s="1530"/>
      <c r="BD215" s="1530"/>
      <c r="BK215" s="1530"/>
      <c r="BL215" s="1530"/>
      <c r="BM215" s="1530"/>
    </row>
    <row r="216" spans="9:65" s="1524" customFormat="1" ht="11.5">
      <c r="I216" s="1530"/>
      <c r="J216" s="1530"/>
      <c r="K216" s="1530"/>
      <c r="R216" s="1530"/>
      <c r="S216" s="1530"/>
      <c r="T216" s="1530"/>
      <c r="AA216" s="1530"/>
      <c r="AB216" s="1530"/>
      <c r="AC216" s="1530"/>
      <c r="AJ216" s="1530"/>
      <c r="AK216" s="1530"/>
      <c r="AL216" s="1530"/>
      <c r="AS216" s="1530"/>
      <c r="AT216" s="1530"/>
      <c r="AU216" s="1530"/>
      <c r="BB216" s="1530"/>
      <c r="BC216" s="1530"/>
      <c r="BD216" s="1530"/>
      <c r="BK216" s="1530"/>
      <c r="BL216" s="1530"/>
      <c r="BM216" s="1530"/>
    </row>
    <row r="217" spans="9:65" s="1524" customFormat="1" ht="11.5">
      <c r="I217" s="1530"/>
      <c r="J217" s="1530"/>
      <c r="K217" s="1530"/>
      <c r="R217" s="1530"/>
      <c r="S217" s="1530"/>
      <c r="T217" s="1530"/>
      <c r="AA217" s="1530"/>
      <c r="AB217" s="1530"/>
      <c r="AC217" s="1530"/>
      <c r="AJ217" s="1530"/>
      <c r="AK217" s="1530"/>
      <c r="AL217" s="1530"/>
      <c r="AS217" s="1530"/>
      <c r="AT217" s="1530"/>
      <c r="AU217" s="1530"/>
      <c r="BB217" s="1530"/>
      <c r="BC217" s="1530"/>
      <c r="BD217" s="1530"/>
      <c r="BK217" s="1530"/>
      <c r="BL217" s="1530"/>
      <c r="BM217" s="1530"/>
    </row>
    <row r="218" spans="9:65" s="1524" customFormat="1" ht="11.5">
      <c r="I218" s="1530"/>
      <c r="J218" s="1530"/>
      <c r="K218" s="1530"/>
      <c r="R218" s="1530"/>
      <c r="S218" s="1530"/>
      <c r="T218" s="1530"/>
      <c r="AA218" s="1530"/>
      <c r="AB218" s="1530"/>
      <c r="AC218" s="1530"/>
      <c r="AJ218" s="1530"/>
      <c r="AK218" s="1530"/>
      <c r="AL218" s="1530"/>
      <c r="AS218" s="1530"/>
      <c r="AT218" s="1530"/>
      <c r="AU218" s="1530"/>
      <c r="BB218" s="1530"/>
      <c r="BC218" s="1530"/>
      <c r="BD218" s="1530"/>
      <c r="BK218" s="1530"/>
      <c r="BL218" s="1530"/>
      <c r="BM218" s="1530"/>
    </row>
    <row r="219" spans="9:65" s="1524" customFormat="1" ht="11.5">
      <c r="I219" s="1530"/>
      <c r="J219" s="1530"/>
      <c r="K219" s="1530"/>
      <c r="R219" s="1530"/>
      <c r="S219" s="1530"/>
      <c r="T219" s="1530"/>
      <c r="AA219" s="1530"/>
      <c r="AB219" s="1530"/>
      <c r="AC219" s="1530"/>
      <c r="AJ219" s="1530"/>
      <c r="AK219" s="1530"/>
      <c r="AL219" s="1530"/>
      <c r="AS219" s="1530"/>
      <c r="AT219" s="1530"/>
      <c r="AU219" s="1530"/>
      <c r="BB219" s="1530"/>
      <c r="BC219" s="1530"/>
      <c r="BD219" s="1530"/>
      <c r="BK219" s="1530"/>
      <c r="BL219" s="1530"/>
      <c r="BM219" s="1530"/>
    </row>
    <row r="220" spans="9:65" s="1524" customFormat="1" ht="11.5">
      <c r="I220" s="1530"/>
      <c r="J220" s="1530"/>
      <c r="K220" s="1530"/>
      <c r="R220" s="1530"/>
      <c r="S220" s="1530"/>
      <c r="T220" s="1530"/>
      <c r="AA220" s="1530"/>
      <c r="AB220" s="1530"/>
      <c r="AC220" s="1530"/>
      <c r="AJ220" s="1530"/>
      <c r="AK220" s="1530"/>
      <c r="AL220" s="1530"/>
      <c r="AS220" s="1530"/>
      <c r="AT220" s="1530"/>
      <c r="AU220" s="1530"/>
      <c r="BB220" s="1530"/>
      <c r="BC220" s="1530"/>
      <c r="BD220" s="1530"/>
      <c r="BK220" s="1530"/>
      <c r="BL220" s="1530"/>
      <c r="BM220" s="1530"/>
    </row>
    <row r="221" spans="9:65" s="1524" customFormat="1" ht="11.5">
      <c r="I221" s="1530"/>
      <c r="J221" s="1530"/>
      <c r="K221" s="1530"/>
      <c r="R221" s="1530"/>
      <c r="S221" s="1530"/>
      <c r="T221" s="1530"/>
      <c r="AA221" s="1530"/>
      <c r="AB221" s="1530"/>
      <c r="AC221" s="1530"/>
      <c r="AJ221" s="1530"/>
      <c r="AK221" s="1530"/>
      <c r="AL221" s="1530"/>
      <c r="AS221" s="1530"/>
      <c r="AT221" s="1530"/>
      <c r="AU221" s="1530"/>
      <c r="BB221" s="1530"/>
      <c r="BC221" s="1530"/>
      <c r="BD221" s="1530"/>
      <c r="BK221" s="1530"/>
      <c r="BL221" s="1530"/>
      <c r="BM221" s="1530"/>
    </row>
    <row r="222" spans="9:65" s="1524" customFormat="1" ht="11.5">
      <c r="I222" s="1530"/>
      <c r="J222" s="1530"/>
      <c r="K222" s="1530"/>
      <c r="R222" s="1530"/>
      <c r="S222" s="1530"/>
      <c r="T222" s="1530"/>
      <c r="AA222" s="1530"/>
      <c r="AB222" s="1530"/>
      <c r="AC222" s="1530"/>
      <c r="AJ222" s="1530"/>
      <c r="AK222" s="1530"/>
      <c r="AL222" s="1530"/>
      <c r="AS222" s="1530"/>
      <c r="AT222" s="1530"/>
      <c r="AU222" s="1530"/>
      <c r="BB222" s="1530"/>
      <c r="BC222" s="1530"/>
      <c r="BD222" s="1530"/>
      <c r="BK222" s="1530"/>
      <c r="BL222" s="1530"/>
      <c r="BM222" s="1530"/>
    </row>
    <row r="223" spans="9:65" s="1524" customFormat="1" ht="11.5">
      <c r="I223" s="1530"/>
      <c r="J223" s="1530"/>
      <c r="K223" s="1530"/>
      <c r="R223" s="1530"/>
      <c r="S223" s="1530"/>
      <c r="T223" s="1530"/>
      <c r="AA223" s="1530"/>
      <c r="AB223" s="1530"/>
      <c r="AC223" s="1530"/>
      <c r="AJ223" s="1530"/>
      <c r="AK223" s="1530"/>
      <c r="AL223" s="1530"/>
      <c r="AS223" s="1530"/>
      <c r="AT223" s="1530"/>
      <c r="AU223" s="1530"/>
      <c r="BB223" s="1530"/>
      <c r="BC223" s="1530"/>
      <c r="BD223" s="1530"/>
      <c r="BK223" s="1530"/>
      <c r="BL223" s="1530"/>
      <c r="BM223" s="1530"/>
    </row>
    <row r="224" spans="9:65" s="1524" customFormat="1" ht="11.5">
      <c r="I224" s="1530"/>
      <c r="J224" s="1530"/>
      <c r="K224" s="1530"/>
      <c r="R224" s="1530"/>
      <c r="S224" s="1530"/>
      <c r="T224" s="1530"/>
      <c r="AA224" s="1530"/>
      <c r="AB224" s="1530"/>
      <c r="AC224" s="1530"/>
      <c r="AJ224" s="1530"/>
      <c r="AK224" s="1530"/>
      <c r="AL224" s="1530"/>
      <c r="AS224" s="1530"/>
      <c r="AT224" s="1530"/>
      <c r="AU224" s="1530"/>
      <c r="BB224" s="1530"/>
      <c r="BC224" s="1530"/>
      <c r="BD224" s="1530"/>
      <c r="BK224" s="1530"/>
      <c r="BL224" s="1530"/>
      <c r="BM224" s="1530"/>
    </row>
    <row r="225" spans="9:65" s="1524" customFormat="1" ht="11.5">
      <c r="I225" s="1530"/>
      <c r="J225" s="1530"/>
      <c r="K225" s="1530"/>
      <c r="R225" s="1530"/>
      <c r="S225" s="1530"/>
      <c r="T225" s="1530"/>
      <c r="AA225" s="1530"/>
      <c r="AB225" s="1530"/>
      <c r="AC225" s="1530"/>
      <c r="AJ225" s="1530"/>
      <c r="AK225" s="1530"/>
      <c r="AL225" s="1530"/>
      <c r="AS225" s="1530"/>
      <c r="AT225" s="1530"/>
      <c r="AU225" s="1530"/>
      <c r="BB225" s="1530"/>
      <c r="BC225" s="1530"/>
      <c r="BD225" s="1530"/>
      <c r="BK225" s="1530"/>
      <c r="BL225" s="1530"/>
      <c r="BM225" s="1530"/>
    </row>
    <row r="226" spans="9:65" s="1524" customFormat="1" ht="11.5">
      <c r="I226" s="1530"/>
      <c r="J226" s="1530"/>
      <c r="K226" s="1530"/>
      <c r="R226" s="1530"/>
      <c r="S226" s="1530"/>
      <c r="T226" s="1530"/>
      <c r="AA226" s="1530"/>
      <c r="AB226" s="1530"/>
      <c r="AC226" s="1530"/>
      <c r="AJ226" s="1530"/>
      <c r="AK226" s="1530"/>
      <c r="AL226" s="1530"/>
      <c r="AS226" s="1530"/>
      <c r="AT226" s="1530"/>
      <c r="AU226" s="1530"/>
      <c r="BB226" s="1530"/>
      <c r="BC226" s="1530"/>
      <c r="BD226" s="1530"/>
      <c r="BK226" s="1530"/>
      <c r="BL226" s="1530"/>
      <c r="BM226" s="1530"/>
    </row>
    <row r="227" spans="9:65" s="1524" customFormat="1" ht="11.5">
      <c r="I227" s="1530"/>
      <c r="J227" s="1530"/>
      <c r="K227" s="1530"/>
      <c r="R227" s="1530"/>
      <c r="S227" s="1530"/>
      <c r="T227" s="1530"/>
      <c r="AA227" s="1530"/>
      <c r="AB227" s="1530"/>
      <c r="AC227" s="1530"/>
      <c r="AJ227" s="1530"/>
      <c r="AK227" s="1530"/>
      <c r="AL227" s="1530"/>
      <c r="AS227" s="1530"/>
      <c r="AT227" s="1530"/>
      <c r="AU227" s="1530"/>
      <c r="BB227" s="1530"/>
      <c r="BC227" s="1530"/>
      <c r="BD227" s="1530"/>
      <c r="BK227" s="1530"/>
      <c r="BL227" s="1530"/>
      <c r="BM227" s="1530"/>
    </row>
    <row r="228" spans="9:65" s="1524" customFormat="1" ht="11.5">
      <c r="I228" s="1530"/>
      <c r="J228" s="1530"/>
      <c r="K228" s="1530"/>
      <c r="R228" s="1530"/>
      <c r="S228" s="1530"/>
      <c r="T228" s="1530"/>
      <c r="AA228" s="1530"/>
      <c r="AB228" s="1530"/>
      <c r="AC228" s="1530"/>
      <c r="AJ228" s="1530"/>
      <c r="AK228" s="1530"/>
      <c r="AL228" s="1530"/>
      <c r="AS228" s="1530"/>
      <c r="AT228" s="1530"/>
      <c r="AU228" s="1530"/>
      <c r="BB228" s="1530"/>
      <c r="BC228" s="1530"/>
      <c r="BD228" s="1530"/>
      <c r="BK228" s="1530"/>
      <c r="BL228" s="1530"/>
      <c r="BM228" s="1530"/>
    </row>
    <row r="229" spans="9:65" s="1524" customFormat="1" ht="11.5">
      <c r="I229" s="1530"/>
      <c r="J229" s="1530"/>
      <c r="K229" s="1530"/>
      <c r="R229" s="1530"/>
      <c r="S229" s="1530"/>
      <c r="T229" s="1530"/>
      <c r="AA229" s="1530"/>
      <c r="AB229" s="1530"/>
      <c r="AC229" s="1530"/>
      <c r="AJ229" s="1530"/>
      <c r="AK229" s="1530"/>
      <c r="AL229" s="1530"/>
      <c r="AS229" s="1530"/>
      <c r="AT229" s="1530"/>
      <c r="AU229" s="1530"/>
      <c r="BB229" s="1530"/>
      <c r="BC229" s="1530"/>
      <c r="BD229" s="1530"/>
      <c r="BK229" s="1530"/>
      <c r="BL229" s="1530"/>
      <c r="BM229" s="1530"/>
    </row>
    <row r="230" spans="9:65" s="1524" customFormat="1" ht="11.5">
      <c r="I230" s="1530"/>
      <c r="J230" s="1530"/>
      <c r="K230" s="1530"/>
      <c r="R230" s="1530"/>
      <c r="S230" s="1530"/>
      <c r="T230" s="1530"/>
      <c r="AA230" s="1530"/>
      <c r="AB230" s="1530"/>
      <c r="AC230" s="1530"/>
      <c r="AJ230" s="1530"/>
      <c r="AK230" s="1530"/>
      <c r="AL230" s="1530"/>
      <c r="AS230" s="1530"/>
      <c r="AT230" s="1530"/>
      <c r="AU230" s="1530"/>
      <c r="BB230" s="1530"/>
      <c r="BC230" s="1530"/>
      <c r="BD230" s="1530"/>
      <c r="BK230" s="1530"/>
      <c r="BL230" s="1530"/>
      <c r="BM230" s="1530"/>
    </row>
    <row r="231" spans="9:65" s="1524" customFormat="1" ht="11.5">
      <c r="I231" s="1530"/>
      <c r="J231" s="1530"/>
      <c r="K231" s="1530"/>
      <c r="R231" s="1530"/>
      <c r="S231" s="1530"/>
      <c r="T231" s="1530"/>
      <c r="AA231" s="1530"/>
      <c r="AB231" s="1530"/>
      <c r="AC231" s="1530"/>
      <c r="AJ231" s="1530"/>
      <c r="AK231" s="1530"/>
      <c r="AL231" s="1530"/>
      <c r="AS231" s="1530"/>
      <c r="AT231" s="1530"/>
      <c r="AU231" s="1530"/>
      <c r="BB231" s="1530"/>
      <c r="BC231" s="1530"/>
      <c r="BD231" s="1530"/>
      <c r="BK231" s="1530"/>
      <c r="BL231" s="1530"/>
      <c r="BM231" s="1530"/>
    </row>
    <row r="232" spans="9:65" s="1524" customFormat="1" ht="11.5">
      <c r="I232" s="1530"/>
      <c r="J232" s="1530"/>
      <c r="K232" s="1530"/>
      <c r="R232" s="1530"/>
      <c r="S232" s="1530"/>
      <c r="T232" s="1530"/>
      <c r="AA232" s="1530"/>
      <c r="AB232" s="1530"/>
      <c r="AC232" s="1530"/>
      <c r="AJ232" s="1530"/>
      <c r="AK232" s="1530"/>
      <c r="AL232" s="1530"/>
      <c r="AS232" s="1530"/>
      <c r="AT232" s="1530"/>
      <c r="AU232" s="1530"/>
      <c r="BB232" s="1530"/>
      <c r="BC232" s="1530"/>
      <c r="BD232" s="1530"/>
      <c r="BK232" s="1530"/>
      <c r="BL232" s="1530"/>
      <c r="BM232" s="1530"/>
    </row>
    <row r="233" spans="9:65" s="1524" customFormat="1" ht="11.5">
      <c r="I233" s="1530"/>
      <c r="J233" s="1530"/>
      <c r="K233" s="1530"/>
      <c r="R233" s="1530"/>
      <c r="S233" s="1530"/>
      <c r="T233" s="1530"/>
      <c r="AA233" s="1530"/>
      <c r="AB233" s="1530"/>
      <c r="AC233" s="1530"/>
      <c r="AJ233" s="1530"/>
      <c r="AK233" s="1530"/>
      <c r="AL233" s="1530"/>
      <c r="AS233" s="1530"/>
      <c r="AT233" s="1530"/>
      <c r="AU233" s="1530"/>
      <c r="BB233" s="1530"/>
      <c r="BC233" s="1530"/>
      <c r="BD233" s="1530"/>
      <c r="BK233" s="1530"/>
      <c r="BL233" s="1530"/>
      <c r="BM233" s="1530"/>
    </row>
    <row r="234" spans="9:65" s="1524" customFormat="1" ht="11.5">
      <c r="I234" s="1530"/>
      <c r="J234" s="1530"/>
      <c r="K234" s="1530"/>
      <c r="R234" s="1530"/>
      <c r="S234" s="1530"/>
      <c r="T234" s="1530"/>
      <c r="AA234" s="1530"/>
      <c r="AB234" s="1530"/>
      <c r="AC234" s="1530"/>
      <c r="AJ234" s="1530"/>
      <c r="AK234" s="1530"/>
      <c r="AL234" s="1530"/>
      <c r="AS234" s="1530"/>
      <c r="AT234" s="1530"/>
      <c r="AU234" s="1530"/>
      <c r="BB234" s="1530"/>
      <c r="BC234" s="1530"/>
      <c r="BD234" s="1530"/>
      <c r="BK234" s="1530"/>
      <c r="BL234" s="1530"/>
      <c r="BM234" s="1530"/>
    </row>
    <row r="235" spans="9:65" s="1524" customFormat="1" ht="11.5">
      <c r="I235" s="1530"/>
      <c r="J235" s="1530"/>
      <c r="K235" s="1530"/>
      <c r="R235" s="1530"/>
      <c r="S235" s="1530"/>
      <c r="T235" s="1530"/>
      <c r="AA235" s="1530"/>
      <c r="AB235" s="1530"/>
      <c r="AC235" s="1530"/>
      <c r="AJ235" s="1530"/>
      <c r="AK235" s="1530"/>
      <c r="AL235" s="1530"/>
      <c r="AS235" s="1530"/>
      <c r="AT235" s="1530"/>
      <c r="AU235" s="1530"/>
      <c r="BB235" s="1530"/>
      <c r="BC235" s="1530"/>
      <c r="BD235" s="1530"/>
      <c r="BK235" s="1530"/>
      <c r="BL235" s="1530"/>
      <c r="BM235" s="1530"/>
    </row>
    <row r="236" spans="9:65" s="1524" customFormat="1" ht="11.5">
      <c r="I236" s="1530"/>
      <c r="J236" s="1530"/>
      <c r="K236" s="1530"/>
      <c r="R236" s="1530"/>
      <c r="S236" s="1530"/>
      <c r="T236" s="1530"/>
      <c r="AA236" s="1530"/>
      <c r="AB236" s="1530"/>
      <c r="AC236" s="1530"/>
      <c r="AJ236" s="1530"/>
      <c r="AK236" s="1530"/>
      <c r="AL236" s="1530"/>
      <c r="AS236" s="1530"/>
      <c r="AT236" s="1530"/>
      <c r="AU236" s="1530"/>
      <c r="BB236" s="1530"/>
      <c r="BC236" s="1530"/>
      <c r="BD236" s="1530"/>
      <c r="BK236" s="1530"/>
      <c r="BL236" s="1530"/>
      <c r="BM236" s="1530"/>
    </row>
    <row r="237" spans="9:65" s="1524" customFormat="1" ht="11.5">
      <c r="I237" s="1530"/>
      <c r="J237" s="1530"/>
      <c r="K237" s="1530"/>
      <c r="R237" s="1530"/>
      <c r="S237" s="1530"/>
      <c r="T237" s="1530"/>
      <c r="AA237" s="1530"/>
      <c r="AB237" s="1530"/>
      <c r="AC237" s="1530"/>
      <c r="AJ237" s="1530"/>
      <c r="AK237" s="1530"/>
      <c r="AL237" s="1530"/>
      <c r="AS237" s="1530"/>
      <c r="AT237" s="1530"/>
      <c r="AU237" s="1530"/>
      <c r="BB237" s="1530"/>
      <c r="BC237" s="1530"/>
      <c r="BD237" s="1530"/>
      <c r="BK237" s="1530"/>
      <c r="BL237" s="1530"/>
      <c r="BM237" s="1530"/>
    </row>
    <row r="238" spans="9:65" s="1524" customFormat="1" ht="11.5">
      <c r="I238" s="1530"/>
      <c r="J238" s="1530"/>
      <c r="K238" s="1530"/>
      <c r="R238" s="1530"/>
      <c r="S238" s="1530"/>
      <c r="T238" s="1530"/>
      <c r="AA238" s="1530"/>
      <c r="AB238" s="1530"/>
      <c r="AC238" s="1530"/>
      <c r="AJ238" s="1530"/>
      <c r="AK238" s="1530"/>
      <c r="AL238" s="1530"/>
      <c r="AS238" s="1530"/>
      <c r="AT238" s="1530"/>
      <c r="AU238" s="1530"/>
      <c r="BB238" s="1530"/>
      <c r="BC238" s="1530"/>
      <c r="BD238" s="1530"/>
      <c r="BK238" s="1530"/>
      <c r="BL238" s="1530"/>
      <c r="BM238" s="1530"/>
    </row>
    <row r="239" spans="9:65" s="1524" customFormat="1" ht="11.5">
      <c r="I239" s="1530"/>
      <c r="J239" s="1530"/>
      <c r="K239" s="1530"/>
      <c r="R239" s="1530"/>
      <c r="S239" s="1530"/>
      <c r="T239" s="1530"/>
      <c r="AA239" s="1530"/>
      <c r="AB239" s="1530"/>
      <c r="AC239" s="1530"/>
      <c r="AJ239" s="1530"/>
      <c r="AK239" s="1530"/>
      <c r="AL239" s="1530"/>
      <c r="AS239" s="1530"/>
      <c r="AT239" s="1530"/>
      <c r="AU239" s="1530"/>
      <c r="BB239" s="1530"/>
      <c r="BC239" s="1530"/>
      <c r="BD239" s="1530"/>
      <c r="BK239" s="1530"/>
      <c r="BL239" s="1530"/>
      <c r="BM239" s="1530"/>
    </row>
    <row r="240" spans="9:65" s="1524" customFormat="1" ht="11.5">
      <c r="I240" s="1530"/>
      <c r="J240" s="1530"/>
      <c r="K240" s="1530"/>
      <c r="R240" s="1530"/>
      <c r="S240" s="1530"/>
      <c r="T240" s="1530"/>
      <c r="AA240" s="1530"/>
      <c r="AB240" s="1530"/>
      <c r="AC240" s="1530"/>
      <c r="AJ240" s="1530"/>
      <c r="AK240" s="1530"/>
      <c r="AL240" s="1530"/>
      <c r="AS240" s="1530"/>
      <c r="AT240" s="1530"/>
      <c r="AU240" s="1530"/>
      <c r="BB240" s="1530"/>
      <c r="BC240" s="1530"/>
      <c r="BD240" s="1530"/>
      <c r="BK240" s="1530"/>
      <c r="BL240" s="1530"/>
      <c r="BM240" s="1530"/>
    </row>
    <row r="241" spans="9:65" s="1524" customFormat="1" ht="11.5">
      <c r="I241" s="1530"/>
      <c r="J241" s="1530"/>
      <c r="K241" s="1530"/>
      <c r="R241" s="1530"/>
      <c r="S241" s="1530"/>
      <c r="T241" s="1530"/>
      <c r="AA241" s="1530"/>
      <c r="AB241" s="1530"/>
      <c r="AC241" s="1530"/>
      <c r="AJ241" s="1530"/>
      <c r="AK241" s="1530"/>
      <c r="AL241" s="1530"/>
      <c r="AS241" s="1530"/>
      <c r="AT241" s="1530"/>
      <c r="AU241" s="1530"/>
      <c r="BB241" s="1530"/>
      <c r="BC241" s="1530"/>
      <c r="BD241" s="1530"/>
      <c r="BK241" s="1530"/>
      <c r="BL241" s="1530"/>
      <c r="BM241" s="1530"/>
    </row>
    <row r="242" spans="9:65" s="1524" customFormat="1" ht="11.5">
      <c r="I242" s="1530"/>
      <c r="J242" s="1530"/>
      <c r="K242" s="1530"/>
      <c r="R242" s="1530"/>
      <c r="S242" s="1530"/>
      <c r="T242" s="1530"/>
      <c r="AA242" s="1530"/>
      <c r="AB242" s="1530"/>
      <c r="AC242" s="1530"/>
      <c r="AJ242" s="1530"/>
      <c r="AK242" s="1530"/>
      <c r="AL242" s="1530"/>
      <c r="AS242" s="1530"/>
      <c r="AT242" s="1530"/>
      <c r="AU242" s="1530"/>
      <c r="BB242" s="1530"/>
      <c r="BC242" s="1530"/>
      <c r="BD242" s="1530"/>
      <c r="BK242" s="1530"/>
      <c r="BL242" s="1530"/>
      <c r="BM242" s="1530"/>
    </row>
    <row r="243" spans="9:65" s="1524" customFormat="1" ht="11.5">
      <c r="I243" s="1530"/>
      <c r="J243" s="1530"/>
      <c r="K243" s="1530"/>
      <c r="R243" s="1530"/>
      <c r="S243" s="1530"/>
      <c r="T243" s="1530"/>
      <c r="AA243" s="1530"/>
      <c r="AB243" s="1530"/>
      <c r="AC243" s="1530"/>
      <c r="AJ243" s="1530"/>
      <c r="AK243" s="1530"/>
      <c r="AL243" s="1530"/>
      <c r="AS243" s="1530"/>
      <c r="AT243" s="1530"/>
      <c r="AU243" s="1530"/>
      <c r="BB243" s="1530"/>
      <c r="BC243" s="1530"/>
      <c r="BD243" s="1530"/>
      <c r="BK243" s="1530"/>
      <c r="BL243" s="1530"/>
      <c r="BM243" s="1530"/>
    </row>
    <row r="244" spans="9:65" s="1524" customFormat="1" ht="11.5">
      <c r="I244" s="1530"/>
      <c r="J244" s="1530"/>
      <c r="K244" s="1530"/>
      <c r="R244" s="1530"/>
      <c r="S244" s="1530"/>
      <c r="T244" s="1530"/>
      <c r="AA244" s="1530"/>
      <c r="AB244" s="1530"/>
      <c r="AC244" s="1530"/>
      <c r="AJ244" s="1530"/>
      <c r="AK244" s="1530"/>
      <c r="AL244" s="1530"/>
      <c r="AS244" s="1530"/>
      <c r="AT244" s="1530"/>
      <c r="AU244" s="1530"/>
      <c r="BB244" s="1530"/>
      <c r="BC244" s="1530"/>
      <c r="BD244" s="1530"/>
      <c r="BK244" s="1530"/>
      <c r="BL244" s="1530"/>
      <c r="BM244" s="1530"/>
    </row>
    <row r="245" spans="9:65" s="1524" customFormat="1" ht="11.5">
      <c r="I245" s="1530"/>
      <c r="J245" s="1530"/>
      <c r="K245" s="1530"/>
      <c r="R245" s="1530"/>
      <c r="S245" s="1530"/>
      <c r="T245" s="1530"/>
      <c r="AA245" s="1530"/>
      <c r="AB245" s="1530"/>
      <c r="AC245" s="1530"/>
      <c r="AJ245" s="1530"/>
      <c r="AK245" s="1530"/>
      <c r="AL245" s="1530"/>
      <c r="AS245" s="1530"/>
      <c r="AT245" s="1530"/>
      <c r="AU245" s="1530"/>
      <c r="BB245" s="1530"/>
      <c r="BC245" s="1530"/>
      <c r="BD245" s="1530"/>
      <c r="BK245" s="1530"/>
      <c r="BL245" s="1530"/>
      <c r="BM245" s="1530"/>
    </row>
    <row r="246" spans="9:65" s="1524" customFormat="1" ht="11.5">
      <c r="I246" s="1530"/>
      <c r="J246" s="1530"/>
      <c r="K246" s="1530"/>
      <c r="R246" s="1530"/>
      <c r="S246" s="1530"/>
      <c r="T246" s="1530"/>
      <c r="AA246" s="1530"/>
      <c r="AB246" s="1530"/>
      <c r="AC246" s="1530"/>
      <c r="AJ246" s="1530"/>
      <c r="AK246" s="1530"/>
      <c r="AL246" s="1530"/>
      <c r="AS246" s="1530"/>
      <c r="AT246" s="1530"/>
      <c r="AU246" s="1530"/>
      <c r="BB246" s="1530"/>
      <c r="BC246" s="1530"/>
      <c r="BD246" s="1530"/>
      <c r="BK246" s="1530"/>
      <c r="BL246" s="1530"/>
      <c r="BM246" s="1530"/>
    </row>
    <row r="247" spans="9:65" s="1524" customFormat="1" ht="11.5">
      <c r="I247" s="1530"/>
      <c r="J247" s="1530"/>
      <c r="K247" s="1530"/>
      <c r="R247" s="1530"/>
      <c r="S247" s="1530"/>
      <c r="T247" s="1530"/>
      <c r="AA247" s="1530"/>
      <c r="AB247" s="1530"/>
      <c r="AC247" s="1530"/>
      <c r="AJ247" s="1530"/>
      <c r="AK247" s="1530"/>
      <c r="AL247" s="1530"/>
      <c r="AS247" s="1530"/>
      <c r="AT247" s="1530"/>
      <c r="AU247" s="1530"/>
      <c r="BB247" s="1530"/>
      <c r="BC247" s="1530"/>
      <c r="BD247" s="1530"/>
      <c r="BK247" s="1530"/>
      <c r="BL247" s="1530"/>
      <c r="BM247" s="1530"/>
    </row>
    <row r="248" spans="9:65" s="1524" customFormat="1" ht="11.5">
      <c r="I248" s="1530"/>
      <c r="J248" s="1530"/>
      <c r="K248" s="1530"/>
      <c r="R248" s="1530"/>
      <c r="S248" s="1530"/>
      <c r="T248" s="1530"/>
      <c r="AA248" s="1530"/>
      <c r="AB248" s="1530"/>
      <c r="AC248" s="1530"/>
      <c r="AJ248" s="1530"/>
      <c r="AK248" s="1530"/>
      <c r="AL248" s="1530"/>
      <c r="AS248" s="1530"/>
      <c r="AT248" s="1530"/>
      <c r="AU248" s="1530"/>
      <c r="BB248" s="1530"/>
      <c r="BC248" s="1530"/>
      <c r="BD248" s="1530"/>
      <c r="BK248" s="1530"/>
      <c r="BL248" s="1530"/>
      <c r="BM248" s="1530"/>
    </row>
    <row r="249" spans="9:65" s="1524" customFormat="1" ht="11.5">
      <c r="I249" s="1530"/>
      <c r="J249" s="1530"/>
      <c r="K249" s="1530"/>
      <c r="R249" s="1530"/>
      <c r="S249" s="1530"/>
      <c r="T249" s="1530"/>
      <c r="AA249" s="1530"/>
      <c r="AB249" s="1530"/>
      <c r="AC249" s="1530"/>
      <c r="AJ249" s="1530"/>
      <c r="AK249" s="1530"/>
      <c r="AL249" s="1530"/>
      <c r="AS249" s="1530"/>
      <c r="AT249" s="1530"/>
      <c r="AU249" s="1530"/>
      <c r="BB249" s="1530"/>
      <c r="BC249" s="1530"/>
      <c r="BD249" s="1530"/>
      <c r="BK249" s="1530"/>
      <c r="BL249" s="1530"/>
      <c r="BM249" s="1530"/>
    </row>
    <row r="250" spans="9:65" s="1524" customFormat="1" ht="11.5">
      <c r="I250" s="1530"/>
      <c r="J250" s="1530"/>
      <c r="K250" s="1530"/>
      <c r="R250" s="1530"/>
      <c r="S250" s="1530"/>
      <c r="T250" s="1530"/>
      <c r="AA250" s="1530"/>
      <c r="AB250" s="1530"/>
      <c r="AC250" s="1530"/>
      <c r="AJ250" s="1530"/>
      <c r="AK250" s="1530"/>
      <c r="AL250" s="1530"/>
      <c r="AS250" s="1530"/>
      <c r="AT250" s="1530"/>
      <c r="AU250" s="1530"/>
      <c r="BB250" s="1530"/>
      <c r="BC250" s="1530"/>
      <c r="BD250" s="1530"/>
      <c r="BK250" s="1530"/>
      <c r="BL250" s="1530"/>
      <c r="BM250" s="1530"/>
    </row>
    <row r="251" spans="9:65" s="1524" customFormat="1" ht="11.5">
      <c r="I251" s="1530"/>
      <c r="J251" s="1530"/>
      <c r="K251" s="1530"/>
      <c r="R251" s="1530"/>
      <c r="S251" s="1530"/>
      <c r="T251" s="1530"/>
      <c r="AA251" s="1530"/>
      <c r="AB251" s="1530"/>
      <c r="AC251" s="1530"/>
      <c r="AJ251" s="1530"/>
      <c r="AK251" s="1530"/>
      <c r="AL251" s="1530"/>
      <c r="AS251" s="1530"/>
      <c r="AT251" s="1530"/>
      <c r="AU251" s="1530"/>
      <c r="BB251" s="1530"/>
      <c r="BC251" s="1530"/>
      <c r="BD251" s="1530"/>
      <c r="BK251" s="1530"/>
      <c r="BL251" s="1530"/>
      <c r="BM251" s="1530"/>
    </row>
    <row r="252" spans="9:65" s="1524" customFormat="1" ht="11.5">
      <c r="I252" s="1530"/>
      <c r="J252" s="1530"/>
      <c r="K252" s="1530"/>
      <c r="R252" s="1530"/>
      <c r="S252" s="1530"/>
      <c r="T252" s="1530"/>
      <c r="AA252" s="1530"/>
      <c r="AB252" s="1530"/>
      <c r="AC252" s="1530"/>
      <c r="AJ252" s="1530"/>
      <c r="AK252" s="1530"/>
      <c r="AL252" s="1530"/>
      <c r="AS252" s="1530"/>
      <c r="AT252" s="1530"/>
      <c r="AU252" s="1530"/>
      <c r="BB252" s="1530"/>
      <c r="BC252" s="1530"/>
      <c r="BD252" s="1530"/>
      <c r="BK252" s="1530"/>
      <c r="BL252" s="1530"/>
      <c r="BM252" s="1530"/>
    </row>
    <row r="253" spans="9:65" s="1524" customFormat="1" ht="11.5">
      <c r="I253" s="1530"/>
      <c r="J253" s="1530"/>
      <c r="K253" s="1530"/>
      <c r="R253" s="1530"/>
      <c r="S253" s="1530"/>
      <c r="T253" s="1530"/>
      <c r="AA253" s="1530"/>
      <c r="AB253" s="1530"/>
      <c r="AC253" s="1530"/>
      <c r="AJ253" s="1530"/>
      <c r="AK253" s="1530"/>
      <c r="AL253" s="1530"/>
      <c r="AS253" s="1530"/>
      <c r="AT253" s="1530"/>
      <c r="AU253" s="1530"/>
      <c r="BB253" s="1530"/>
      <c r="BC253" s="1530"/>
      <c r="BD253" s="1530"/>
      <c r="BK253" s="1530"/>
      <c r="BL253" s="1530"/>
      <c r="BM253" s="1530"/>
    </row>
    <row r="254" spans="9:65" s="1524" customFormat="1" ht="11.5">
      <c r="I254" s="1530"/>
      <c r="J254" s="1530"/>
      <c r="K254" s="1530"/>
      <c r="R254" s="1530"/>
      <c r="S254" s="1530"/>
      <c r="T254" s="1530"/>
      <c r="AA254" s="1530"/>
      <c r="AB254" s="1530"/>
      <c r="AC254" s="1530"/>
      <c r="AJ254" s="1530"/>
      <c r="AK254" s="1530"/>
      <c r="AL254" s="1530"/>
      <c r="AS254" s="1530"/>
      <c r="AT254" s="1530"/>
      <c r="AU254" s="1530"/>
      <c r="BB254" s="1530"/>
      <c r="BC254" s="1530"/>
      <c r="BD254" s="1530"/>
      <c r="BK254" s="1530"/>
      <c r="BL254" s="1530"/>
      <c r="BM254" s="1530"/>
    </row>
    <row r="255" spans="9:65" s="1524" customFormat="1" ht="11.5">
      <c r="I255" s="1530"/>
      <c r="J255" s="1530"/>
      <c r="K255" s="1530"/>
      <c r="R255" s="1530"/>
      <c r="S255" s="1530"/>
      <c r="T255" s="1530"/>
      <c r="AA255" s="1530"/>
      <c r="AB255" s="1530"/>
      <c r="AC255" s="1530"/>
      <c r="AJ255" s="1530"/>
      <c r="AK255" s="1530"/>
      <c r="AL255" s="1530"/>
      <c r="AS255" s="1530"/>
      <c r="AT255" s="1530"/>
      <c r="AU255" s="1530"/>
      <c r="BB255" s="1530"/>
      <c r="BC255" s="1530"/>
      <c r="BD255" s="1530"/>
      <c r="BK255" s="1530"/>
      <c r="BL255" s="1530"/>
      <c r="BM255" s="1530"/>
    </row>
    <row r="256" spans="9:65" s="1524" customFormat="1" ht="11.5">
      <c r="I256" s="1530"/>
      <c r="J256" s="1530"/>
      <c r="K256" s="1530"/>
      <c r="R256" s="1530"/>
      <c r="S256" s="1530"/>
      <c r="T256" s="1530"/>
      <c r="AA256" s="1530"/>
      <c r="AB256" s="1530"/>
      <c r="AC256" s="1530"/>
      <c r="AJ256" s="1530"/>
      <c r="AK256" s="1530"/>
      <c r="AL256" s="1530"/>
      <c r="AS256" s="1530"/>
      <c r="AT256" s="1530"/>
      <c r="AU256" s="1530"/>
      <c r="BB256" s="1530"/>
      <c r="BC256" s="1530"/>
      <c r="BD256" s="1530"/>
      <c r="BK256" s="1530"/>
      <c r="BL256" s="1530"/>
      <c r="BM256" s="1530"/>
    </row>
    <row r="257" spans="9:65" s="1524" customFormat="1" ht="11.5">
      <c r="I257" s="1530"/>
      <c r="J257" s="1530"/>
      <c r="K257" s="1530"/>
      <c r="R257" s="1530"/>
      <c r="S257" s="1530"/>
      <c r="T257" s="1530"/>
      <c r="AA257" s="1530"/>
      <c r="AB257" s="1530"/>
      <c r="AC257" s="1530"/>
      <c r="AJ257" s="1530"/>
      <c r="AK257" s="1530"/>
      <c r="AL257" s="1530"/>
      <c r="AS257" s="1530"/>
      <c r="AT257" s="1530"/>
      <c r="AU257" s="1530"/>
      <c r="BB257" s="1530"/>
      <c r="BC257" s="1530"/>
      <c r="BD257" s="1530"/>
      <c r="BK257" s="1530"/>
      <c r="BL257" s="1530"/>
      <c r="BM257" s="1530"/>
    </row>
    <row r="258" spans="9:65" s="1524" customFormat="1" ht="11.5">
      <c r="I258" s="1530"/>
      <c r="J258" s="1530"/>
      <c r="K258" s="1530"/>
      <c r="R258" s="1530"/>
      <c r="S258" s="1530"/>
      <c r="T258" s="1530"/>
      <c r="AA258" s="1530"/>
      <c r="AB258" s="1530"/>
      <c r="AC258" s="1530"/>
      <c r="AJ258" s="1530"/>
      <c r="AK258" s="1530"/>
      <c r="AL258" s="1530"/>
      <c r="AS258" s="1530"/>
      <c r="AT258" s="1530"/>
      <c r="AU258" s="1530"/>
      <c r="BB258" s="1530"/>
      <c r="BC258" s="1530"/>
      <c r="BD258" s="1530"/>
      <c r="BK258" s="1530"/>
      <c r="BL258" s="1530"/>
      <c r="BM258" s="1530"/>
    </row>
    <row r="259" spans="9:65" s="1524" customFormat="1" ht="11.5">
      <c r="I259" s="1530"/>
      <c r="J259" s="1530"/>
      <c r="K259" s="1530"/>
      <c r="R259" s="1530"/>
      <c r="S259" s="1530"/>
      <c r="T259" s="1530"/>
      <c r="AA259" s="1530"/>
      <c r="AB259" s="1530"/>
      <c r="AC259" s="1530"/>
      <c r="AJ259" s="1530"/>
      <c r="AK259" s="1530"/>
      <c r="AL259" s="1530"/>
      <c r="AS259" s="1530"/>
      <c r="AT259" s="1530"/>
      <c r="AU259" s="1530"/>
      <c r="BB259" s="1530"/>
      <c r="BC259" s="1530"/>
      <c r="BD259" s="1530"/>
      <c r="BK259" s="1530"/>
      <c r="BL259" s="1530"/>
      <c r="BM259" s="1530"/>
    </row>
    <row r="260" spans="9:65" s="1524" customFormat="1" ht="11.5">
      <c r="I260" s="1530"/>
      <c r="J260" s="1530"/>
      <c r="K260" s="1530"/>
      <c r="R260" s="1530"/>
      <c r="S260" s="1530"/>
      <c r="T260" s="1530"/>
      <c r="AA260" s="1530"/>
      <c r="AB260" s="1530"/>
      <c r="AC260" s="1530"/>
      <c r="AJ260" s="1530"/>
      <c r="AK260" s="1530"/>
      <c r="AL260" s="1530"/>
      <c r="AS260" s="1530"/>
      <c r="AT260" s="1530"/>
      <c r="AU260" s="1530"/>
      <c r="BB260" s="1530"/>
      <c r="BC260" s="1530"/>
      <c r="BD260" s="1530"/>
      <c r="BK260" s="1530"/>
      <c r="BL260" s="1530"/>
      <c r="BM260" s="1530"/>
    </row>
    <row r="261" spans="9:65" s="1524" customFormat="1" ht="11.5">
      <c r="I261" s="1530"/>
      <c r="J261" s="1530"/>
      <c r="K261" s="1530"/>
      <c r="R261" s="1530"/>
      <c r="S261" s="1530"/>
      <c r="T261" s="1530"/>
      <c r="AA261" s="1530"/>
      <c r="AB261" s="1530"/>
      <c r="AC261" s="1530"/>
      <c r="AJ261" s="1530"/>
      <c r="AK261" s="1530"/>
      <c r="AL261" s="1530"/>
      <c r="AS261" s="1530"/>
      <c r="AT261" s="1530"/>
      <c r="AU261" s="1530"/>
      <c r="BB261" s="1530"/>
      <c r="BC261" s="1530"/>
      <c r="BD261" s="1530"/>
      <c r="BK261" s="1530"/>
      <c r="BL261" s="1530"/>
      <c r="BM261" s="1530"/>
    </row>
    <row r="262" spans="9:65" s="1524" customFormat="1" ht="11.5">
      <c r="I262" s="1530"/>
      <c r="J262" s="1530"/>
      <c r="K262" s="1530"/>
      <c r="R262" s="1530"/>
      <c r="S262" s="1530"/>
      <c r="T262" s="1530"/>
      <c r="AA262" s="1530"/>
      <c r="AB262" s="1530"/>
      <c r="AC262" s="1530"/>
      <c r="AJ262" s="1530"/>
      <c r="AK262" s="1530"/>
      <c r="AL262" s="1530"/>
      <c r="AS262" s="1530"/>
      <c r="AT262" s="1530"/>
      <c r="AU262" s="1530"/>
      <c r="BB262" s="1530"/>
      <c r="BC262" s="1530"/>
      <c r="BD262" s="1530"/>
      <c r="BK262" s="1530"/>
      <c r="BL262" s="1530"/>
      <c r="BM262" s="1530"/>
    </row>
    <row r="263" spans="9:65" s="1524" customFormat="1" ht="11.5">
      <c r="I263" s="1530"/>
      <c r="J263" s="1530"/>
      <c r="K263" s="1530"/>
      <c r="R263" s="1530"/>
      <c r="S263" s="1530"/>
      <c r="T263" s="1530"/>
      <c r="AA263" s="1530"/>
      <c r="AB263" s="1530"/>
      <c r="AC263" s="1530"/>
      <c r="AJ263" s="1530"/>
      <c r="AK263" s="1530"/>
      <c r="AL263" s="1530"/>
      <c r="AS263" s="1530"/>
      <c r="AT263" s="1530"/>
      <c r="AU263" s="1530"/>
      <c r="BB263" s="1530"/>
      <c r="BC263" s="1530"/>
      <c r="BD263" s="1530"/>
      <c r="BK263" s="1530"/>
      <c r="BL263" s="1530"/>
      <c r="BM263" s="1530"/>
    </row>
    <row r="264" spans="9:65" s="1524" customFormat="1" ht="11.5">
      <c r="I264" s="1530"/>
      <c r="J264" s="1530"/>
      <c r="K264" s="1530"/>
      <c r="R264" s="1530"/>
      <c r="S264" s="1530"/>
      <c r="T264" s="1530"/>
      <c r="AA264" s="1530"/>
      <c r="AB264" s="1530"/>
      <c r="AC264" s="1530"/>
      <c r="AJ264" s="1530"/>
      <c r="AK264" s="1530"/>
      <c r="AL264" s="1530"/>
      <c r="AS264" s="1530"/>
      <c r="AT264" s="1530"/>
      <c r="AU264" s="1530"/>
      <c r="BB264" s="1530"/>
      <c r="BC264" s="1530"/>
      <c r="BD264" s="1530"/>
      <c r="BK264" s="1530"/>
      <c r="BL264" s="1530"/>
      <c r="BM264" s="1530"/>
    </row>
    <row r="265" spans="9:65" s="1524" customFormat="1" ht="11.5">
      <c r="I265" s="1530"/>
      <c r="J265" s="1530"/>
      <c r="K265" s="1530"/>
      <c r="R265" s="1530"/>
      <c r="S265" s="1530"/>
      <c r="T265" s="1530"/>
      <c r="AA265" s="1530"/>
      <c r="AB265" s="1530"/>
      <c r="AC265" s="1530"/>
      <c r="AJ265" s="1530"/>
      <c r="AK265" s="1530"/>
      <c r="AL265" s="1530"/>
      <c r="AS265" s="1530"/>
      <c r="AT265" s="1530"/>
      <c r="AU265" s="1530"/>
      <c r="BB265" s="1530"/>
      <c r="BC265" s="1530"/>
      <c r="BD265" s="1530"/>
      <c r="BK265" s="1530"/>
      <c r="BL265" s="1530"/>
      <c r="BM265" s="1530"/>
    </row>
    <row r="266" spans="9:65" s="1524" customFormat="1" ht="11.5">
      <c r="I266" s="1530"/>
      <c r="J266" s="1530"/>
      <c r="K266" s="1530"/>
      <c r="R266" s="1530"/>
      <c r="S266" s="1530"/>
      <c r="T266" s="1530"/>
      <c r="AA266" s="1530"/>
      <c r="AB266" s="1530"/>
      <c r="AC266" s="1530"/>
      <c r="AJ266" s="1530"/>
      <c r="AK266" s="1530"/>
      <c r="AL266" s="1530"/>
      <c r="AS266" s="1530"/>
      <c r="AT266" s="1530"/>
      <c r="AU266" s="1530"/>
      <c r="BB266" s="1530"/>
      <c r="BC266" s="1530"/>
      <c r="BD266" s="1530"/>
      <c r="BK266" s="1530"/>
      <c r="BL266" s="1530"/>
      <c r="BM266" s="1530"/>
    </row>
    <row r="267" spans="9:65" s="1524" customFormat="1" ht="11.5">
      <c r="I267" s="1530"/>
      <c r="J267" s="1530"/>
      <c r="K267" s="1530"/>
      <c r="R267" s="1530"/>
      <c r="S267" s="1530"/>
      <c r="T267" s="1530"/>
      <c r="AA267" s="1530"/>
      <c r="AB267" s="1530"/>
      <c r="AC267" s="1530"/>
      <c r="AJ267" s="1530"/>
      <c r="AK267" s="1530"/>
      <c r="AL267" s="1530"/>
      <c r="AS267" s="1530"/>
      <c r="AT267" s="1530"/>
      <c r="AU267" s="1530"/>
      <c r="BB267" s="1530"/>
      <c r="BC267" s="1530"/>
      <c r="BD267" s="1530"/>
      <c r="BK267" s="1530"/>
      <c r="BL267" s="1530"/>
      <c r="BM267" s="1530"/>
    </row>
    <row r="268" spans="9:65" s="1524" customFormat="1" ht="11.5">
      <c r="I268" s="1530"/>
      <c r="J268" s="1530"/>
      <c r="K268" s="1530"/>
      <c r="R268" s="1530"/>
      <c r="S268" s="1530"/>
      <c r="T268" s="1530"/>
      <c r="AA268" s="1530"/>
      <c r="AB268" s="1530"/>
      <c r="AC268" s="1530"/>
      <c r="AJ268" s="1530"/>
      <c r="AK268" s="1530"/>
      <c r="AL268" s="1530"/>
      <c r="AS268" s="1530"/>
      <c r="AT268" s="1530"/>
      <c r="AU268" s="1530"/>
      <c r="BB268" s="1530"/>
      <c r="BC268" s="1530"/>
      <c r="BD268" s="1530"/>
      <c r="BK268" s="1530"/>
      <c r="BL268" s="1530"/>
      <c r="BM268" s="1530"/>
    </row>
    <row r="269" spans="9:65" s="1524" customFormat="1" ht="11.5">
      <c r="I269" s="1530"/>
      <c r="J269" s="1530"/>
      <c r="K269" s="1530"/>
      <c r="R269" s="1530"/>
      <c r="S269" s="1530"/>
      <c r="T269" s="1530"/>
      <c r="AA269" s="1530"/>
      <c r="AB269" s="1530"/>
      <c r="AC269" s="1530"/>
      <c r="AJ269" s="1530"/>
      <c r="AK269" s="1530"/>
      <c r="AL269" s="1530"/>
      <c r="AS269" s="1530"/>
      <c r="AT269" s="1530"/>
      <c r="AU269" s="1530"/>
      <c r="BB269" s="1530"/>
      <c r="BC269" s="1530"/>
      <c r="BD269" s="1530"/>
      <c r="BK269" s="1530"/>
      <c r="BL269" s="1530"/>
      <c r="BM269" s="1530"/>
    </row>
    <row r="270" spans="9:65" s="1524" customFormat="1" ht="11.5">
      <c r="I270" s="1530"/>
      <c r="J270" s="1530"/>
      <c r="K270" s="1530"/>
      <c r="R270" s="1530"/>
      <c r="S270" s="1530"/>
      <c r="T270" s="1530"/>
      <c r="AA270" s="1530"/>
      <c r="AB270" s="1530"/>
      <c r="AC270" s="1530"/>
      <c r="AJ270" s="1530"/>
      <c r="AK270" s="1530"/>
      <c r="AL270" s="1530"/>
      <c r="AS270" s="1530"/>
      <c r="AT270" s="1530"/>
      <c r="AU270" s="1530"/>
      <c r="BB270" s="1530"/>
      <c r="BC270" s="1530"/>
      <c r="BD270" s="1530"/>
      <c r="BK270" s="1530"/>
      <c r="BL270" s="1530"/>
      <c r="BM270" s="1530"/>
    </row>
    <row r="271" spans="9:65" s="1524" customFormat="1" ht="11.5">
      <c r="I271" s="1530"/>
      <c r="J271" s="1530"/>
      <c r="K271" s="1530"/>
      <c r="R271" s="1530"/>
      <c r="S271" s="1530"/>
      <c r="T271" s="1530"/>
      <c r="AA271" s="1530"/>
      <c r="AB271" s="1530"/>
      <c r="AC271" s="1530"/>
      <c r="AJ271" s="1530"/>
      <c r="AK271" s="1530"/>
      <c r="AL271" s="1530"/>
      <c r="AS271" s="1530"/>
      <c r="AT271" s="1530"/>
      <c r="AU271" s="1530"/>
      <c r="BB271" s="1530"/>
      <c r="BC271" s="1530"/>
      <c r="BD271" s="1530"/>
      <c r="BK271" s="1530"/>
      <c r="BL271" s="1530"/>
      <c r="BM271" s="1530"/>
    </row>
    <row r="272" spans="9:65" s="1524" customFormat="1" ht="11.5">
      <c r="I272" s="1530"/>
      <c r="J272" s="1530"/>
      <c r="K272" s="1530"/>
      <c r="R272" s="1530"/>
      <c r="S272" s="1530"/>
      <c r="T272" s="1530"/>
      <c r="AA272" s="1530"/>
      <c r="AB272" s="1530"/>
      <c r="AC272" s="1530"/>
      <c r="AJ272" s="1530"/>
      <c r="AK272" s="1530"/>
      <c r="AL272" s="1530"/>
      <c r="AS272" s="1530"/>
      <c r="AT272" s="1530"/>
      <c r="AU272" s="1530"/>
      <c r="BB272" s="1530"/>
      <c r="BC272" s="1530"/>
      <c r="BD272" s="1530"/>
      <c r="BK272" s="1530"/>
      <c r="BL272" s="1530"/>
      <c r="BM272" s="1530"/>
    </row>
    <row r="273" spans="9:65" s="1524" customFormat="1" ht="11.5">
      <c r="I273" s="1530"/>
      <c r="J273" s="1530"/>
      <c r="K273" s="1530"/>
      <c r="R273" s="1530"/>
      <c r="S273" s="1530"/>
      <c r="T273" s="1530"/>
      <c r="AA273" s="1530"/>
      <c r="AB273" s="1530"/>
      <c r="AC273" s="1530"/>
      <c r="AJ273" s="1530"/>
      <c r="AK273" s="1530"/>
      <c r="AL273" s="1530"/>
      <c r="AS273" s="1530"/>
      <c r="AT273" s="1530"/>
      <c r="AU273" s="1530"/>
      <c r="BB273" s="1530"/>
      <c r="BC273" s="1530"/>
      <c r="BD273" s="1530"/>
      <c r="BK273" s="1530"/>
      <c r="BL273" s="1530"/>
      <c r="BM273" s="1530"/>
    </row>
    <row r="274" spans="9:65" s="1524" customFormat="1" ht="11.5">
      <c r="I274" s="1530"/>
      <c r="J274" s="1530"/>
      <c r="K274" s="1530"/>
      <c r="R274" s="1530"/>
      <c r="S274" s="1530"/>
      <c r="T274" s="1530"/>
      <c r="AA274" s="1530"/>
      <c r="AB274" s="1530"/>
      <c r="AC274" s="1530"/>
      <c r="AJ274" s="1530"/>
      <c r="AK274" s="1530"/>
      <c r="AL274" s="1530"/>
      <c r="AS274" s="1530"/>
      <c r="AT274" s="1530"/>
      <c r="AU274" s="1530"/>
      <c r="BB274" s="1530"/>
      <c r="BC274" s="1530"/>
      <c r="BD274" s="1530"/>
      <c r="BK274" s="1530"/>
      <c r="BL274" s="1530"/>
      <c r="BM274" s="1530"/>
    </row>
    <row r="275" spans="9:65" s="1524" customFormat="1" ht="11.5">
      <c r="I275" s="1530"/>
      <c r="J275" s="1530"/>
      <c r="K275" s="1530"/>
      <c r="R275" s="1530"/>
      <c r="S275" s="1530"/>
      <c r="T275" s="1530"/>
      <c r="AA275" s="1530"/>
      <c r="AB275" s="1530"/>
      <c r="AC275" s="1530"/>
      <c r="AJ275" s="1530"/>
      <c r="AK275" s="1530"/>
      <c r="AL275" s="1530"/>
      <c r="AS275" s="1530"/>
      <c r="AT275" s="1530"/>
      <c r="AU275" s="1530"/>
      <c r="BB275" s="1530"/>
      <c r="BC275" s="1530"/>
      <c r="BD275" s="1530"/>
      <c r="BK275" s="1530"/>
      <c r="BL275" s="1530"/>
      <c r="BM275" s="1530"/>
    </row>
    <row r="276" spans="9:65" s="1524" customFormat="1" ht="11.5">
      <c r="I276" s="1530"/>
      <c r="J276" s="1530"/>
      <c r="K276" s="1530"/>
      <c r="R276" s="1530"/>
      <c r="S276" s="1530"/>
      <c r="T276" s="1530"/>
      <c r="AA276" s="1530"/>
      <c r="AB276" s="1530"/>
      <c r="AC276" s="1530"/>
      <c r="AJ276" s="1530"/>
      <c r="AK276" s="1530"/>
      <c r="AL276" s="1530"/>
      <c r="AS276" s="1530"/>
      <c r="AT276" s="1530"/>
      <c r="AU276" s="1530"/>
      <c r="BB276" s="1530"/>
      <c r="BC276" s="1530"/>
      <c r="BD276" s="1530"/>
      <c r="BK276" s="1530"/>
      <c r="BL276" s="1530"/>
      <c r="BM276" s="1530"/>
    </row>
    <row r="277" spans="9:65" s="1524" customFormat="1" ht="11.5">
      <c r="I277" s="1530"/>
      <c r="J277" s="1530"/>
      <c r="K277" s="1530"/>
      <c r="R277" s="1530"/>
      <c r="S277" s="1530"/>
      <c r="T277" s="1530"/>
      <c r="AA277" s="1530"/>
      <c r="AB277" s="1530"/>
      <c r="AC277" s="1530"/>
      <c r="AJ277" s="1530"/>
      <c r="AK277" s="1530"/>
      <c r="AL277" s="1530"/>
      <c r="AS277" s="1530"/>
      <c r="AT277" s="1530"/>
      <c r="AU277" s="1530"/>
      <c r="BB277" s="1530"/>
      <c r="BC277" s="1530"/>
      <c r="BD277" s="1530"/>
      <c r="BK277" s="1530"/>
      <c r="BL277" s="1530"/>
      <c r="BM277" s="1530"/>
    </row>
    <row r="278" spans="9:65" s="1524" customFormat="1" ht="11.5">
      <c r="I278" s="1530"/>
      <c r="J278" s="1530"/>
      <c r="K278" s="1530"/>
      <c r="R278" s="1530"/>
      <c r="S278" s="1530"/>
      <c r="T278" s="1530"/>
      <c r="AA278" s="1530"/>
      <c r="AB278" s="1530"/>
      <c r="AC278" s="1530"/>
      <c r="AJ278" s="1530"/>
      <c r="AK278" s="1530"/>
      <c r="AL278" s="1530"/>
      <c r="AS278" s="1530"/>
      <c r="AT278" s="1530"/>
      <c r="AU278" s="1530"/>
      <c r="BB278" s="1530"/>
      <c r="BC278" s="1530"/>
      <c r="BD278" s="1530"/>
      <c r="BK278" s="1530"/>
      <c r="BL278" s="1530"/>
      <c r="BM278" s="1530"/>
    </row>
    <row r="279" spans="9:65" s="1524" customFormat="1" ht="11.5">
      <c r="I279" s="1530"/>
      <c r="J279" s="1530"/>
      <c r="K279" s="1530"/>
      <c r="R279" s="1530"/>
      <c r="S279" s="1530"/>
      <c r="T279" s="1530"/>
      <c r="AA279" s="1530"/>
      <c r="AB279" s="1530"/>
      <c r="AC279" s="1530"/>
      <c r="AJ279" s="1530"/>
      <c r="AK279" s="1530"/>
      <c r="AL279" s="1530"/>
      <c r="AS279" s="1530"/>
      <c r="AT279" s="1530"/>
      <c r="AU279" s="1530"/>
      <c r="BB279" s="1530"/>
      <c r="BC279" s="1530"/>
      <c r="BD279" s="1530"/>
      <c r="BK279" s="1530"/>
      <c r="BL279" s="1530"/>
      <c r="BM279" s="1530"/>
    </row>
    <row r="280" spans="9:65" s="1524" customFormat="1" ht="11.5">
      <c r="I280" s="1530"/>
      <c r="J280" s="1530"/>
      <c r="K280" s="1530"/>
      <c r="R280" s="1530"/>
      <c r="S280" s="1530"/>
      <c r="T280" s="1530"/>
      <c r="AA280" s="1530"/>
      <c r="AB280" s="1530"/>
      <c r="AC280" s="1530"/>
      <c r="AJ280" s="1530"/>
      <c r="AK280" s="1530"/>
      <c r="AL280" s="1530"/>
      <c r="AS280" s="1530"/>
      <c r="AT280" s="1530"/>
      <c r="AU280" s="1530"/>
      <c r="BB280" s="1530"/>
      <c r="BC280" s="1530"/>
      <c r="BD280" s="1530"/>
      <c r="BK280" s="1530"/>
      <c r="BL280" s="1530"/>
      <c r="BM280" s="1530"/>
    </row>
    <row r="281" spans="9:65" s="1524" customFormat="1" ht="11.5">
      <c r="I281" s="1530"/>
      <c r="J281" s="1530"/>
      <c r="K281" s="1530"/>
      <c r="R281" s="1530"/>
      <c r="S281" s="1530"/>
      <c r="T281" s="1530"/>
      <c r="AA281" s="1530"/>
      <c r="AB281" s="1530"/>
      <c r="AC281" s="1530"/>
      <c r="AJ281" s="1530"/>
      <c r="AK281" s="1530"/>
      <c r="AL281" s="1530"/>
      <c r="AS281" s="1530"/>
      <c r="AT281" s="1530"/>
      <c r="AU281" s="1530"/>
      <c r="BB281" s="1530"/>
      <c r="BC281" s="1530"/>
      <c r="BD281" s="1530"/>
      <c r="BK281" s="1530"/>
      <c r="BL281" s="1530"/>
      <c r="BM281" s="1530"/>
    </row>
    <row r="282" spans="9:65" s="1524" customFormat="1" ht="11.5">
      <c r="I282" s="1530"/>
      <c r="J282" s="1530"/>
      <c r="K282" s="1530"/>
      <c r="R282" s="1530"/>
      <c r="S282" s="1530"/>
      <c r="T282" s="1530"/>
      <c r="AA282" s="1530"/>
      <c r="AB282" s="1530"/>
      <c r="AC282" s="1530"/>
      <c r="AJ282" s="1530"/>
      <c r="AK282" s="1530"/>
      <c r="AL282" s="1530"/>
      <c r="AS282" s="1530"/>
      <c r="AT282" s="1530"/>
      <c r="AU282" s="1530"/>
      <c r="BB282" s="1530"/>
      <c r="BC282" s="1530"/>
      <c r="BD282" s="1530"/>
      <c r="BK282" s="1530"/>
      <c r="BL282" s="1530"/>
      <c r="BM282" s="1530"/>
    </row>
    <row r="283" spans="9:65" s="1524" customFormat="1" ht="11.5">
      <c r="I283" s="1530"/>
      <c r="J283" s="1530"/>
      <c r="K283" s="1530"/>
      <c r="R283" s="1530"/>
      <c r="S283" s="1530"/>
      <c r="T283" s="1530"/>
      <c r="AA283" s="1530"/>
      <c r="AB283" s="1530"/>
      <c r="AC283" s="1530"/>
      <c r="AJ283" s="1530"/>
      <c r="AK283" s="1530"/>
      <c r="AL283" s="1530"/>
      <c r="AS283" s="1530"/>
      <c r="AT283" s="1530"/>
      <c r="AU283" s="1530"/>
      <c r="BB283" s="1530"/>
      <c r="BC283" s="1530"/>
      <c r="BD283" s="1530"/>
      <c r="BK283" s="1530"/>
      <c r="BL283" s="1530"/>
      <c r="BM283" s="1530"/>
    </row>
    <row r="284" spans="9:65" s="1524" customFormat="1" ht="11.5">
      <c r="I284" s="1530"/>
      <c r="J284" s="1530"/>
      <c r="K284" s="1530"/>
      <c r="R284" s="1530"/>
      <c r="S284" s="1530"/>
      <c r="T284" s="1530"/>
      <c r="AA284" s="1530"/>
      <c r="AB284" s="1530"/>
      <c r="AC284" s="1530"/>
      <c r="AJ284" s="1530"/>
      <c r="AK284" s="1530"/>
      <c r="AL284" s="1530"/>
      <c r="AS284" s="1530"/>
      <c r="AT284" s="1530"/>
      <c r="AU284" s="1530"/>
      <c r="BB284" s="1530"/>
      <c r="BC284" s="1530"/>
      <c r="BD284" s="1530"/>
      <c r="BK284" s="1530"/>
      <c r="BL284" s="1530"/>
      <c r="BM284" s="1530"/>
    </row>
    <row r="285" spans="9:65" s="1524" customFormat="1" ht="11.5">
      <c r="I285" s="1530"/>
      <c r="J285" s="1530"/>
      <c r="K285" s="1530"/>
      <c r="R285" s="1530"/>
      <c r="S285" s="1530"/>
      <c r="T285" s="1530"/>
      <c r="AA285" s="1530"/>
      <c r="AB285" s="1530"/>
      <c r="AC285" s="1530"/>
      <c r="AJ285" s="1530"/>
      <c r="AK285" s="1530"/>
      <c r="AL285" s="1530"/>
      <c r="AS285" s="1530"/>
      <c r="AT285" s="1530"/>
      <c r="AU285" s="1530"/>
      <c r="BB285" s="1530"/>
      <c r="BC285" s="1530"/>
      <c r="BD285" s="1530"/>
      <c r="BK285" s="1530"/>
      <c r="BL285" s="1530"/>
      <c r="BM285" s="1530"/>
    </row>
    <row r="286" spans="9:65" s="1524" customFormat="1" ht="11.5">
      <c r="I286" s="1530"/>
      <c r="J286" s="1530"/>
      <c r="K286" s="1530"/>
      <c r="R286" s="1530"/>
      <c r="S286" s="1530"/>
      <c r="T286" s="1530"/>
      <c r="AA286" s="1530"/>
      <c r="AB286" s="1530"/>
      <c r="AC286" s="1530"/>
      <c r="AJ286" s="1530"/>
      <c r="AK286" s="1530"/>
      <c r="AL286" s="1530"/>
      <c r="AS286" s="1530"/>
      <c r="AT286" s="1530"/>
      <c r="AU286" s="1530"/>
      <c r="BB286" s="1530"/>
      <c r="BC286" s="1530"/>
      <c r="BD286" s="1530"/>
      <c r="BK286" s="1530"/>
      <c r="BL286" s="1530"/>
      <c r="BM286" s="1530"/>
    </row>
    <row r="287" spans="9:65" s="1524" customFormat="1" ht="11.5">
      <c r="I287" s="1530"/>
      <c r="J287" s="1530"/>
      <c r="K287" s="1530"/>
      <c r="R287" s="1530"/>
      <c r="S287" s="1530"/>
      <c r="T287" s="1530"/>
      <c r="AA287" s="1530"/>
      <c r="AB287" s="1530"/>
      <c r="AC287" s="1530"/>
      <c r="AJ287" s="1530"/>
      <c r="AK287" s="1530"/>
      <c r="AL287" s="1530"/>
      <c r="AS287" s="1530"/>
      <c r="AT287" s="1530"/>
      <c r="AU287" s="1530"/>
      <c r="BB287" s="1530"/>
      <c r="BC287" s="1530"/>
      <c r="BD287" s="1530"/>
      <c r="BK287" s="1530"/>
      <c r="BL287" s="1530"/>
      <c r="BM287" s="1530"/>
    </row>
    <row r="288" spans="9:65" s="1524" customFormat="1" ht="11.5">
      <c r="I288" s="1530"/>
      <c r="J288" s="1530"/>
      <c r="K288" s="1530"/>
      <c r="R288" s="1530"/>
      <c r="S288" s="1530"/>
      <c r="T288" s="1530"/>
      <c r="AA288" s="1530"/>
      <c r="AB288" s="1530"/>
      <c r="AC288" s="1530"/>
      <c r="AJ288" s="1530"/>
      <c r="AK288" s="1530"/>
      <c r="AL288" s="1530"/>
      <c r="AS288" s="1530"/>
      <c r="AT288" s="1530"/>
      <c r="AU288" s="1530"/>
      <c r="BB288" s="1530"/>
      <c r="BC288" s="1530"/>
      <c r="BD288" s="1530"/>
      <c r="BK288" s="1530"/>
      <c r="BL288" s="1530"/>
      <c r="BM288" s="1530"/>
    </row>
    <row r="289" spans="9:65" s="1524" customFormat="1" ht="11.5">
      <c r="I289" s="1530"/>
      <c r="J289" s="1530"/>
      <c r="K289" s="1530"/>
      <c r="R289" s="1530"/>
      <c r="S289" s="1530"/>
      <c r="T289" s="1530"/>
      <c r="AA289" s="1530"/>
      <c r="AB289" s="1530"/>
      <c r="AC289" s="1530"/>
      <c r="AJ289" s="1530"/>
      <c r="AK289" s="1530"/>
      <c r="AL289" s="1530"/>
      <c r="AS289" s="1530"/>
      <c r="AT289" s="1530"/>
      <c r="AU289" s="1530"/>
      <c r="BB289" s="1530"/>
      <c r="BC289" s="1530"/>
      <c r="BD289" s="1530"/>
      <c r="BK289" s="1530"/>
      <c r="BL289" s="1530"/>
      <c r="BM289" s="1530"/>
    </row>
    <row r="290" spans="9:65" s="1524" customFormat="1" ht="11.5">
      <c r="I290" s="1530"/>
      <c r="J290" s="1530"/>
      <c r="K290" s="1530"/>
      <c r="R290" s="1530"/>
      <c r="S290" s="1530"/>
      <c r="T290" s="1530"/>
      <c r="AA290" s="1530"/>
      <c r="AB290" s="1530"/>
      <c r="AC290" s="1530"/>
      <c r="AJ290" s="1530"/>
      <c r="AK290" s="1530"/>
      <c r="AL290" s="1530"/>
      <c r="AS290" s="1530"/>
      <c r="AT290" s="1530"/>
      <c r="AU290" s="1530"/>
      <c r="BB290" s="1530"/>
      <c r="BC290" s="1530"/>
      <c r="BD290" s="1530"/>
      <c r="BK290" s="1530"/>
      <c r="BL290" s="1530"/>
      <c r="BM290" s="1530"/>
    </row>
    <row r="291" spans="9:65" s="1524" customFormat="1" ht="11.5">
      <c r="I291" s="1530"/>
      <c r="J291" s="1530"/>
      <c r="K291" s="1530"/>
      <c r="R291" s="1530"/>
      <c r="S291" s="1530"/>
      <c r="T291" s="1530"/>
      <c r="AA291" s="1530"/>
      <c r="AB291" s="1530"/>
      <c r="AC291" s="1530"/>
      <c r="AJ291" s="1530"/>
      <c r="AK291" s="1530"/>
      <c r="AL291" s="1530"/>
      <c r="AS291" s="1530"/>
      <c r="AT291" s="1530"/>
      <c r="AU291" s="1530"/>
      <c r="BB291" s="1530"/>
      <c r="BC291" s="1530"/>
      <c r="BD291" s="1530"/>
      <c r="BK291" s="1530"/>
      <c r="BL291" s="1530"/>
      <c r="BM291" s="1530"/>
    </row>
    <row r="292" spans="9:65" s="1524" customFormat="1" ht="11.5">
      <c r="I292" s="1530"/>
      <c r="J292" s="1530"/>
      <c r="K292" s="1530"/>
      <c r="R292" s="1530"/>
      <c r="S292" s="1530"/>
      <c r="T292" s="1530"/>
      <c r="AA292" s="1530"/>
      <c r="AB292" s="1530"/>
      <c r="AC292" s="1530"/>
      <c r="AJ292" s="1530"/>
      <c r="AK292" s="1530"/>
      <c r="AL292" s="1530"/>
      <c r="AS292" s="1530"/>
      <c r="AT292" s="1530"/>
      <c r="AU292" s="1530"/>
      <c r="BB292" s="1530"/>
      <c r="BC292" s="1530"/>
      <c r="BD292" s="1530"/>
      <c r="BK292" s="1530"/>
      <c r="BL292" s="1530"/>
      <c r="BM292" s="1530"/>
    </row>
    <row r="293" spans="9:65" s="1524" customFormat="1" ht="11.5">
      <c r="I293" s="1530"/>
      <c r="J293" s="1530"/>
      <c r="K293" s="1530"/>
      <c r="R293" s="1530"/>
      <c r="S293" s="1530"/>
      <c r="T293" s="1530"/>
      <c r="AA293" s="1530"/>
      <c r="AB293" s="1530"/>
      <c r="AC293" s="1530"/>
      <c r="AJ293" s="1530"/>
      <c r="AK293" s="1530"/>
      <c r="AL293" s="1530"/>
      <c r="AS293" s="1530"/>
      <c r="AT293" s="1530"/>
      <c r="AU293" s="1530"/>
      <c r="BB293" s="1530"/>
      <c r="BC293" s="1530"/>
      <c r="BD293" s="1530"/>
      <c r="BK293" s="1530"/>
      <c r="BL293" s="1530"/>
      <c r="BM293" s="1530"/>
    </row>
    <row r="294" spans="9:65" s="1524" customFormat="1" ht="11.5">
      <c r="I294" s="1530"/>
      <c r="J294" s="1530"/>
      <c r="K294" s="1530"/>
      <c r="R294" s="1530"/>
      <c r="S294" s="1530"/>
      <c r="T294" s="1530"/>
      <c r="AA294" s="1530"/>
      <c r="AB294" s="1530"/>
      <c r="AC294" s="1530"/>
      <c r="AJ294" s="1530"/>
      <c r="AK294" s="1530"/>
      <c r="AL294" s="1530"/>
      <c r="AS294" s="1530"/>
      <c r="AT294" s="1530"/>
      <c r="AU294" s="1530"/>
      <c r="BB294" s="1530"/>
      <c r="BC294" s="1530"/>
      <c r="BD294" s="1530"/>
      <c r="BK294" s="1530"/>
      <c r="BL294" s="1530"/>
      <c r="BM294" s="1530"/>
    </row>
    <row r="295" spans="9:65" s="1524" customFormat="1" ht="11.5">
      <c r="I295" s="1530"/>
      <c r="J295" s="1530"/>
      <c r="K295" s="1530"/>
      <c r="R295" s="1530"/>
      <c r="S295" s="1530"/>
      <c r="T295" s="1530"/>
      <c r="AA295" s="1530"/>
      <c r="AB295" s="1530"/>
      <c r="AC295" s="1530"/>
      <c r="AJ295" s="1530"/>
      <c r="AK295" s="1530"/>
      <c r="AL295" s="1530"/>
      <c r="AS295" s="1530"/>
      <c r="AT295" s="1530"/>
      <c r="AU295" s="1530"/>
      <c r="BB295" s="1530"/>
      <c r="BC295" s="1530"/>
      <c r="BD295" s="1530"/>
      <c r="BK295" s="1530"/>
      <c r="BL295" s="1530"/>
      <c r="BM295" s="1530"/>
    </row>
    <row r="296" spans="9:65" s="1524" customFormat="1" ht="11.5">
      <c r="I296" s="1530"/>
      <c r="J296" s="1530"/>
      <c r="K296" s="1530"/>
      <c r="R296" s="1530"/>
      <c r="S296" s="1530"/>
      <c r="T296" s="1530"/>
      <c r="AA296" s="1530"/>
      <c r="AB296" s="1530"/>
      <c r="AC296" s="1530"/>
      <c r="AJ296" s="1530"/>
      <c r="AK296" s="1530"/>
      <c r="AL296" s="1530"/>
      <c r="AS296" s="1530"/>
      <c r="AT296" s="1530"/>
      <c r="AU296" s="1530"/>
      <c r="BB296" s="1530"/>
      <c r="BC296" s="1530"/>
      <c r="BD296" s="1530"/>
      <c r="BK296" s="1530"/>
      <c r="BL296" s="1530"/>
      <c r="BM296" s="1530"/>
    </row>
    <row r="297" spans="9:65" s="1524" customFormat="1" ht="11.5">
      <c r="I297" s="1530"/>
      <c r="J297" s="1530"/>
      <c r="K297" s="1530"/>
      <c r="R297" s="1530"/>
      <c r="S297" s="1530"/>
      <c r="T297" s="1530"/>
      <c r="AA297" s="1530"/>
      <c r="AB297" s="1530"/>
      <c r="AC297" s="1530"/>
      <c r="AJ297" s="1530"/>
      <c r="AK297" s="1530"/>
      <c r="AL297" s="1530"/>
      <c r="AS297" s="1530"/>
      <c r="AT297" s="1530"/>
      <c r="AU297" s="1530"/>
      <c r="BB297" s="1530"/>
      <c r="BC297" s="1530"/>
      <c r="BD297" s="1530"/>
      <c r="BK297" s="1530"/>
      <c r="BL297" s="1530"/>
      <c r="BM297" s="1530"/>
    </row>
    <row r="298" spans="9:65" s="1524" customFormat="1" ht="11.5">
      <c r="I298" s="1530"/>
      <c r="J298" s="1530"/>
      <c r="K298" s="1530"/>
      <c r="R298" s="1530"/>
      <c r="S298" s="1530"/>
      <c r="T298" s="1530"/>
      <c r="AA298" s="1530"/>
      <c r="AB298" s="1530"/>
      <c r="AC298" s="1530"/>
      <c r="AJ298" s="1530"/>
      <c r="AK298" s="1530"/>
      <c r="AL298" s="1530"/>
      <c r="AS298" s="1530"/>
      <c r="AT298" s="1530"/>
      <c r="AU298" s="1530"/>
      <c r="BB298" s="1530"/>
      <c r="BC298" s="1530"/>
      <c r="BD298" s="1530"/>
      <c r="BK298" s="1530"/>
      <c r="BL298" s="1530"/>
      <c r="BM298" s="1530"/>
    </row>
    <row r="299" spans="9:65" s="1524" customFormat="1" ht="11.5">
      <c r="I299" s="1530"/>
      <c r="J299" s="1530"/>
      <c r="K299" s="1530"/>
      <c r="R299" s="1530"/>
      <c r="S299" s="1530"/>
      <c r="T299" s="1530"/>
      <c r="AA299" s="1530"/>
      <c r="AB299" s="1530"/>
      <c r="AC299" s="1530"/>
      <c r="AJ299" s="1530"/>
      <c r="AK299" s="1530"/>
      <c r="AL299" s="1530"/>
      <c r="AS299" s="1530"/>
      <c r="AT299" s="1530"/>
      <c r="AU299" s="1530"/>
      <c r="BB299" s="1530"/>
      <c r="BC299" s="1530"/>
      <c r="BD299" s="1530"/>
      <c r="BK299" s="1530"/>
      <c r="BL299" s="1530"/>
      <c r="BM299" s="1530"/>
    </row>
    <row r="300" spans="9:65" s="1524" customFormat="1" ht="11.5">
      <c r="I300" s="1530"/>
      <c r="J300" s="1530"/>
      <c r="K300" s="1530"/>
      <c r="R300" s="1530"/>
      <c r="S300" s="1530"/>
      <c r="T300" s="1530"/>
      <c r="AA300" s="1530"/>
      <c r="AB300" s="1530"/>
      <c r="AC300" s="1530"/>
      <c r="AJ300" s="1530"/>
      <c r="AK300" s="1530"/>
      <c r="AL300" s="1530"/>
      <c r="AS300" s="1530"/>
      <c r="AT300" s="1530"/>
      <c r="AU300" s="1530"/>
      <c r="BB300" s="1530"/>
      <c r="BC300" s="1530"/>
      <c r="BD300" s="1530"/>
      <c r="BK300" s="1530"/>
      <c r="BL300" s="1530"/>
      <c r="BM300" s="1530"/>
    </row>
    <row r="301" spans="9:65" s="1524" customFormat="1" ht="11.5">
      <c r="I301" s="1530"/>
      <c r="J301" s="1530"/>
      <c r="K301" s="1530"/>
      <c r="R301" s="1530"/>
      <c r="S301" s="1530"/>
      <c r="T301" s="1530"/>
      <c r="AA301" s="1530"/>
      <c r="AB301" s="1530"/>
      <c r="AC301" s="1530"/>
      <c r="AJ301" s="1530"/>
      <c r="AK301" s="1530"/>
      <c r="AL301" s="1530"/>
      <c r="AS301" s="1530"/>
      <c r="AT301" s="1530"/>
      <c r="AU301" s="1530"/>
      <c r="BB301" s="1530"/>
      <c r="BC301" s="1530"/>
      <c r="BD301" s="1530"/>
      <c r="BK301" s="1530"/>
      <c r="BL301" s="1530"/>
      <c r="BM301" s="1530"/>
    </row>
    <row r="302" spans="9:65" s="1524" customFormat="1" ht="11.5">
      <c r="I302" s="1530"/>
      <c r="J302" s="1530"/>
      <c r="K302" s="1530"/>
      <c r="R302" s="1530"/>
      <c r="S302" s="1530"/>
      <c r="T302" s="1530"/>
      <c r="AA302" s="1530"/>
      <c r="AB302" s="1530"/>
      <c r="AC302" s="1530"/>
      <c r="AJ302" s="1530"/>
      <c r="AK302" s="1530"/>
      <c r="AL302" s="1530"/>
      <c r="AS302" s="1530"/>
      <c r="AT302" s="1530"/>
      <c r="AU302" s="1530"/>
      <c r="BB302" s="1530"/>
      <c r="BC302" s="1530"/>
      <c r="BD302" s="1530"/>
      <c r="BK302" s="1530"/>
      <c r="BL302" s="1530"/>
      <c r="BM302" s="1530"/>
    </row>
    <row r="303" spans="9:65" s="1524" customFormat="1" ht="11.5">
      <c r="I303" s="1530"/>
      <c r="J303" s="1530"/>
      <c r="K303" s="1530"/>
      <c r="R303" s="1530"/>
      <c r="S303" s="1530"/>
      <c r="T303" s="1530"/>
      <c r="AA303" s="1530"/>
      <c r="AB303" s="1530"/>
      <c r="AC303" s="1530"/>
      <c r="AJ303" s="1530"/>
      <c r="AK303" s="1530"/>
      <c r="AL303" s="1530"/>
      <c r="AS303" s="1530"/>
      <c r="AT303" s="1530"/>
      <c r="AU303" s="1530"/>
      <c r="BB303" s="1530"/>
      <c r="BC303" s="1530"/>
      <c r="BD303" s="1530"/>
      <c r="BK303" s="1530"/>
      <c r="BL303" s="1530"/>
      <c r="BM303" s="1530"/>
    </row>
    <row r="304" spans="9:65" s="1524" customFormat="1" ht="11.5">
      <c r="I304" s="1530"/>
      <c r="J304" s="1530"/>
      <c r="K304" s="1530"/>
      <c r="R304" s="1530"/>
      <c r="S304" s="1530"/>
      <c r="T304" s="1530"/>
      <c r="AA304" s="1530"/>
      <c r="AB304" s="1530"/>
      <c r="AC304" s="1530"/>
      <c r="AJ304" s="1530"/>
      <c r="AK304" s="1530"/>
      <c r="AL304" s="1530"/>
      <c r="AS304" s="1530"/>
      <c r="AT304" s="1530"/>
      <c r="AU304" s="1530"/>
      <c r="BB304" s="1530"/>
      <c r="BC304" s="1530"/>
      <c r="BD304" s="1530"/>
      <c r="BK304" s="1530"/>
      <c r="BL304" s="1530"/>
      <c r="BM304" s="1530"/>
    </row>
    <row r="305" spans="9:65" s="1524" customFormat="1" ht="11.5">
      <c r="I305" s="1530"/>
      <c r="J305" s="1530"/>
      <c r="K305" s="1530"/>
      <c r="R305" s="1530"/>
      <c r="S305" s="1530"/>
      <c r="T305" s="1530"/>
      <c r="AA305" s="1530"/>
      <c r="AB305" s="1530"/>
      <c r="AC305" s="1530"/>
      <c r="AJ305" s="1530"/>
      <c r="AK305" s="1530"/>
      <c r="AL305" s="1530"/>
      <c r="AS305" s="1530"/>
      <c r="AT305" s="1530"/>
      <c r="AU305" s="1530"/>
      <c r="BB305" s="1530"/>
      <c r="BC305" s="1530"/>
      <c r="BD305" s="1530"/>
      <c r="BK305" s="1530"/>
      <c r="BL305" s="1530"/>
      <c r="BM305" s="1530"/>
    </row>
    <row r="306" spans="9:65" s="1524" customFormat="1" ht="11.5">
      <c r="I306" s="1530"/>
      <c r="J306" s="1530"/>
      <c r="K306" s="1530"/>
      <c r="R306" s="1530"/>
      <c r="S306" s="1530"/>
      <c r="T306" s="1530"/>
      <c r="AA306" s="1530"/>
      <c r="AB306" s="1530"/>
      <c r="AC306" s="1530"/>
      <c r="AJ306" s="1530"/>
      <c r="AK306" s="1530"/>
      <c r="AL306" s="1530"/>
      <c r="AS306" s="1530"/>
      <c r="AT306" s="1530"/>
      <c r="AU306" s="1530"/>
      <c r="BB306" s="1530"/>
      <c r="BC306" s="1530"/>
      <c r="BD306" s="1530"/>
      <c r="BK306" s="1530"/>
      <c r="BL306" s="1530"/>
      <c r="BM306" s="1530"/>
    </row>
    <row r="307" spans="9:65" s="1524" customFormat="1" ht="11.5">
      <c r="I307" s="1530"/>
      <c r="J307" s="1530"/>
      <c r="K307" s="1530"/>
      <c r="R307" s="1530"/>
      <c r="S307" s="1530"/>
      <c r="T307" s="1530"/>
      <c r="AA307" s="1530"/>
      <c r="AB307" s="1530"/>
      <c r="AC307" s="1530"/>
      <c r="AJ307" s="1530"/>
      <c r="AK307" s="1530"/>
      <c r="AL307" s="1530"/>
      <c r="AS307" s="1530"/>
      <c r="AT307" s="1530"/>
      <c r="AU307" s="1530"/>
      <c r="BB307" s="1530"/>
      <c r="BC307" s="1530"/>
      <c r="BD307" s="1530"/>
      <c r="BK307" s="1530"/>
      <c r="BL307" s="1530"/>
      <c r="BM307" s="1530"/>
    </row>
    <row r="308" spans="9:65" s="1524" customFormat="1" ht="11.5">
      <c r="I308" s="1530"/>
      <c r="J308" s="1530"/>
      <c r="K308" s="1530"/>
      <c r="R308" s="1530"/>
      <c r="S308" s="1530"/>
      <c r="T308" s="1530"/>
      <c r="AA308" s="1530"/>
      <c r="AB308" s="1530"/>
      <c r="AC308" s="1530"/>
      <c r="AJ308" s="1530"/>
      <c r="AK308" s="1530"/>
      <c r="AL308" s="1530"/>
      <c r="AS308" s="1530"/>
      <c r="AT308" s="1530"/>
      <c r="AU308" s="1530"/>
      <c r="BB308" s="1530"/>
      <c r="BC308" s="1530"/>
      <c r="BD308" s="1530"/>
      <c r="BK308" s="1530"/>
      <c r="BL308" s="1530"/>
      <c r="BM308" s="1530"/>
    </row>
    <row r="309" spans="9:65" s="1524" customFormat="1" ht="11.5">
      <c r="I309" s="1530"/>
      <c r="J309" s="1530"/>
      <c r="K309" s="1530"/>
      <c r="R309" s="1530"/>
      <c r="S309" s="1530"/>
      <c r="T309" s="1530"/>
      <c r="AA309" s="1530"/>
      <c r="AB309" s="1530"/>
      <c r="AC309" s="1530"/>
      <c r="AJ309" s="1530"/>
      <c r="AK309" s="1530"/>
      <c r="AL309" s="1530"/>
      <c r="AS309" s="1530"/>
      <c r="AT309" s="1530"/>
      <c r="AU309" s="1530"/>
      <c r="BB309" s="1530"/>
      <c r="BC309" s="1530"/>
      <c r="BD309" s="1530"/>
      <c r="BK309" s="1530"/>
      <c r="BL309" s="1530"/>
      <c r="BM309" s="1530"/>
    </row>
    <row r="310" spans="9:65" s="1524" customFormat="1" ht="11.5">
      <c r="I310" s="1530"/>
      <c r="J310" s="1530"/>
      <c r="K310" s="1530"/>
      <c r="R310" s="1530"/>
      <c r="S310" s="1530"/>
      <c r="T310" s="1530"/>
      <c r="AA310" s="1530"/>
      <c r="AB310" s="1530"/>
      <c r="AC310" s="1530"/>
      <c r="AJ310" s="1530"/>
      <c r="AK310" s="1530"/>
      <c r="AL310" s="1530"/>
      <c r="AS310" s="1530"/>
      <c r="AT310" s="1530"/>
      <c r="AU310" s="1530"/>
      <c r="BB310" s="1530"/>
      <c r="BC310" s="1530"/>
      <c r="BD310" s="1530"/>
      <c r="BK310" s="1530"/>
      <c r="BL310" s="1530"/>
      <c r="BM310" s="1530"/>
    </row>
    <row r="311" spans="9:65" s="1524" customFormat="1" ht="11.5">
      <c r="I311" s="1530"/>
      <c r="J311" s="1530"/>
      <c r="K311" s="1530"/>
      <c r="R311" s="1530"/>
      <c r="S311" s="1530"/>
      <c r="T311" s="1530"/>
      <c r="AA311" s="1530"/>
      <c r="AB311" s="1530"/>
      <c r="AC311" s="1530"/>
      <c r="AJ311" s="1530"/>
      <c r="AK311" s="1530"/>
      <c r="AL311" s="1530"/>
      <c r="AS311" s="1530"/>
      <c r="AT311" s="1530"/>
      <c r="AU311" s="1530"/>
      <c r="BB311" s="1530"/>
      <c r="BC311" s="1530"/>
      <c r="BD311" s="1530"/>
      <c r="BK311" s="1530"/>
      <c r="BL311" s="1530"/>
      <c r="BM311" s="1530"/>
    </row>
    <row r="312" spans="9:65" s="1524" customFormat="1" ht="11.5">
      <c r="I312" s="1530"/>
      <c r="J312" s="1530"/>
      <c r="K312" s="1530"/>
      <c r="R312" s="1530"/>
      <c r="S312" s="1530"/>
      <c r="T312" s="1530"/>
      <c r="AA312" s="1530"/>
      <c r="AB312" s="1530"/>
      <c r="AC312" s="1530"/>
      <c r="AJ312" s="1530"/>
      <c r="AK312" s="1530"/>
      <c r="AL312" s="1530"/>
      <c r="AS312" s="1530"/>
      <c r="AT312" s="1530"/>
      <c r="AU312" s="1530"/>
      <c r="BB312" s="1530"/>
      <c r="BC312" s="1530"/>
      <c r="BD312" s="1530"/>
      <c r="BK312" s="1530"/>
      <c r="BL312" s="1530"/>
      <c r="BM312" s="1530"/>
    </row>
    <row r="313" spans="9:65" s="1524" customFormat="1" ht="11.5">
      <c r="I313" s="1530"/>
      <c r="J313" s="1530"/>
      <c r="K313" s="1530"/>
      <c r="R313" s="1530"/>
      <c r="S313" s="1530"/>
      <c r="T313" s="1530"/>
      <c r="AA313" s="1530"/>
      <c r="AB313" s="1530"/>
      <c r="AC313" s="1530"/>
      <c r="AJ313" s="1530"/>
      <c r="AK313" s="1530"/>
      <c r="AL313" s="1530"/>
      <c r="AS313" s="1530"/>
      <c r="AT313" s="1530"/>
      <c r="AU313" s="1530"/>
      <c r="BB313" s="1530"/>
      <c r="BC313" s="1530"/>
      <c r="BD313" s="1530"/>
      <c r="BK313" s="1530"/>
      <c r="BL313" s="1530"/>
      <c r="BM313" s="1530"/>
    </row>
    <row r="314" spans="9:65" s="1524" customFormat="1" ht="11.5">
      <c r="I314" s="1530"/>
      <c r="J314" s="1530"/>
      <c r="K314" s="1530"/>
      <c r="R314" s="1530"/>
      <c r="S314" s="1530"/>
      <c r="T314" s="1530"/>
      <c r="AA314" s="1530"/>
      <c r="AB314" s="1530"/>
      <c r="AC314" s="1530"/>
      <c r="AJ314" s="1530"/>
      <c r="AK314" s="1530"/>
      <c r="AL314" s="1530"/>
      <c r="AS314" s="1530"/>
      <c r="AT314" s="1530"/>
      <c r="AU314" s="1530"/>
      <c r="BB314" s="1530"/>
      <c r="BC314" s="1530"/>
      <c r="BD314" s="1530"/>
      <c r="BK314" s="1530"/>
      <c r="BL314" s="1530"/>
      <c r="BM314" s="1530"/>
    </row>
    <row r="315" spans="9:65" s="1524" customFormat="1" ht="11.5">
      <c r="I315" s="1530"/>
      <c r="J315" s="1530"/>
      <c r="K315" s="1530"/>
      <c r="R315" s="1530"/>
      <c r="S315" s="1530"/>
      <c r="T315" s="1530"/>
      <c r="AA315" s="1530"/>
      <c r="AB315" s="1530"/>
      <c r="AC315" s="1530"/>
      <c r="AJ315" s="1530"/>
      <c r="AK315" s="1530"/>
      <c r="AL315" s="1530"/>
      <c r="AS315" s="1530"/>
      <c r="AT315" s="1530"/>
      <c r="AU315" s="1530"/>
      <c r="BB315" s="1530"/>
      <c r="BC315" s="1530"/>
      <c r="BD315" s="1530"/>
      <c r="BK315" s="1530"/>
      <c r="BL315" s="1530"/>
      <c r="BM315" s="1530"/>
    </row>
    <row r="316" spans="9:65" s="1524" customFormat="1" ht="11.5">
      <c r="I316" s="1530"/>
      <c r="J316" s="1530"/>
      <c r="K316" s="1530"/>
      <c r="R316" s="1530"/>
      <c r="S316" s="1530"/>
      <c r="T316" s="1530"/>
      <c r="AA316" s="1530"/>
      <c r="AB316" s="1530"/>
      <c r="AC316" s="1530"/>
      <c r="AJ316" s="1530"/>
      <c r="AK316" s="1530"/>
      <c r="AL316" s="1530"/>
      <c r="AS316" s="1530"/>
      <c r="AT316" s="1530"/>
      <c r="AU316" s="1530"/>
      <c r="BB316" s="1530"/>
      <c r="BC316" s="1530"/>
      <c r="BD316" s="1530"/>
      <c r="BK316" s="1530"/>
      <c r="BL316" s="1530"/>
      <c r="BM316" s="1530"/>
    </row>
    <row r="317" spans="9:65" s="1524" customFormat="1" ht="11.5">
      <c r="I317" s="1530"/>
      <c r="J317" s="1530"/>
      <c r="K317" s="1530"/>
      <c r="R317" s="1530"/>
      <c r="S317" s="1530"/>
      <c r="T317" s="1530"/>
      <c r="AA317" s="1530"/>
      <c r="AB317" s="1530"/>
      <c r="AC317" s="1530"/>
      <c r="AJ317" s="1530"/>
      <c r="AK317" s="1530"/>
      <c r="AL317" s="1530"/>
      <c r="AS317" s="1530"/>
      <c r="AT317" s="1530"/>
      <c r="AU317" s="1530"/>
      <c r="BB317" s="1530"/>
      <c r="BC317" s="1530"/>
      <c r="BD317" s="1530"/>
      <c r="BK317" s="1530"/>
      <c r="BL317" s="1530"/>
      <c r="BM317" s="1530"/>
    </row>
    <row r="318" spans="9:65" s="1524" customFormat="1" ht="11.5">
      <c r="I318" s="1530"/>
      <c r="J318" s="1530"/>
      <c r="K318" s="1530"/>
      <c r="R318" s="1530"/>
      <c r="S318" s="1530"/>
      <c r="T318" s="1530"/>
      <c r="AA318" s="1530"/>
      <c r="AB318" s="1530"/>
      <c r="AC318" s="1530"/>
      <c r="AJ318" s="1530"/>
      <c r="AK318" s="1530"/>
      <c r="AL318" s="1530"/>
      <c r="AS318" s="1530"/>
      <c r="AT318" s="1530"/>
      <c r="AU318" s="1530"/>
      <c r="BB318" s="1530"/>
      <c r="BC318" s="1530"/>
      <c r="BD318" s="1530"/>
      <c r="BK318" s="1530"/>
      <c r="BL318" s="1530"/>
      <c r="BM318" s="1530"/>
    </row>
    <row r="319" spans="9:65" s="1524" customFormat="1" ht="11.5">
      <c r="I319" s="1530"/>
      <c r="J319" s="1530"/>
      <c r="K319" s="1530"/>
      <c r="R319" s="1530"/>
      <c r="S319" s="1530"/>
      <c r="T319" s="1530"/>
      <c r="AA319" s="1530"/>
      <c r="AB319" s="1530"/>
      <c r="AC319" s="1530"/>
      <c r="AJ319" s="1530"/>
      <c r="AK319" s="1530"/>
      <c r="AL319" s="1530"/>
      <c r="AS319" s="1530"/>
      <c r="AT319" s="1530"/>
      <c r="AU319" s="1530"/>
      <c r="BB319" s="1530"/>
      <c r="BC319" s="1530"/>
      <c r="BD319" s="1530"/>
      <c r="BK319" s="1530"/>
      <c r="BL319" s="1530"/>
      <c r="BM319" s="1530"/>
    </row>
    <row r="320" spans="9:65" s="1524" customFormat="1" ht="11.5">
      <c r="I320" s="1530"/>
      <c r="J320" s="1530"/>
      <c r="K320" s="1530"/>
      <c r="R320" s="1530"/>
      <c r="S320" s="1530"/>
      <c r="T320" s="1530"/>
      <c r="AA320" s="1530"/>
      <c r="AB320" s="1530"/>
      <c r="AC320" s="1530"/>
      <c r="AJ320" s="1530"/>
      <c r="AK320" s="1530"/>
      <c r="AL320" s="1530"/>
      <c r="AS320" s="1530"/>
      <c r="AT320" s="1530"/>
      <c r="AU320" s="1530"/>
      <c r="BB320" s="1530"/>
      <c r="BC320" s="1530"/>
      <c r="BD320" s="1530"/>
      <c r="BK320" s="1530"/>
      <c r="BL320" s="1530"/>
      <c r="BM320" s="1530"/>
    </row>
    <row r="321" spans="9:65" s="1524" customFormat="1" ht="11.5">
      <c r="I321" s="1530"/>
      <c r="J321" s="1530"/>
      <c r="K321" s="1530"/>
      <c r="R321" s="1530"/>
      <c r="S321" s="1530"/>
      <c r="T321" s="1530"/>
      <c r="AA321" s="1530"/>
      <c r="AB321" s="1530"/>
      <c r="AC321" s="1530"/>
      <c r="AJ321" s="1530"/>
      <c r="AK321" s="1530"/>
      <c r="AL321" s="1530"/>
      <c r="AS321" s="1530"/>
      <c r="AT321" s="1530"/>
      <c r="AU321" s="1530"/>
      <c r="BB321" s="1530"/>
      <c r="BC321" s="1530"/>
      <c r="BD321" s="1530"/>
      <c r="BK321" s="1530"/>
      <c r="BL321" s="1530"/>
      <c r="BM321" s="1530"/>
    </row>
    <row r="322" spans="9:65" s="1524" customFormat="1" ht="11.5">
      <c r="I322" s="1530"/>
      <c r="J322" s="1530"/>
      <c r="K322" s="1530"/>
      <c r="R322" s="1530"/>
      <c r="S322" s="1530"/>
      <c r="T322" s="1530"/>
      <c r="AA322" s="1530"/>
      <c r="AB322" s="1530"/>
      <c r="AC322" s="1530"/>
      <c r="AJ322" s="1530"/>
      <c r="AK322" s="1530"/>
      <c r="AL322" s="1530"/>
      <c r="AS322" s="1530"/>
      <c r="AT322" s="1530"/>
      <c r="AU322" s="1530"/>
      <c r="BB322" s="1530"/>
      <c r="BC322" s="1530"/>
      <c r="BD322" s="1530"/>
      <c r="BK322" s="1530"/>
      <c r="BL322" s="1530"/>
      <c r="BM322" s="1530"/>
    </row>
    <row r="323" spans="9:65" s="1524" customFormat="1" ht="11.5">
      <c r="I323" s="1530"/>
      <c r="J323" s="1530"/>
      <c r="K323" s="1530"/>
      <c r="R323" s="1530"/>
      <c r="S323" s="1530"/>
      <c r="T323" s="1530"/>
      <c r="AA323" s="1530"/>
      <c r="AB323" s="1530"/>
      <c r="AC323" s="1530"/>
      <c r="AJ323" s="1530"/>
      <c r="AK323" s="1530"/>
      <c r="AL323" s="1530"/>
      <c r="AS323" s="1530"/>
      <c r="AT323" s="1530"/>
      <c r="AU323" s="1530"/>
      <c r="BB323" s="1530"/>
      <c r="BC323" s="1530"/>
      <c r="BD323" s="1530"/>
      <c r="BK323" s="1530"/>
      <c r="BL323" s="1530"/>
      <c r="BM323" s="1530"/>
    </row>
    <row r="324" spans="9:65" s="1524" customFormat="1" ht="11.5">
      <c r="I324" s="1530"/>
      <c r="J324" s="1530"/>
      <c r="K324" s="1530"/>
      <c r="R324" s="1530"/>
      <c r="S324" s="1530"/>
      <c r="T324" s="1530"/>
      <c r="AA324" s="1530"/>
      <c r="AB324" s="1530"/>
      <c r="AC324" s="1530"/>
      <c r="AJ324" s="1530"/>
      <c r="AK324" s="1530"/>
      <c r="AL324" s="1530"/>
      <c r="AS324" s="1530"/>
      <c r="AT324" s="1530"/>
      <c r="AU324" s="1530"/>
      <c r="BB324" s="1530"/>
      <c r="BC324" s="1530"/>
      <c r="BD324" s="1530"/>
      <c r="BK324" s="1530"/>
      <c r="BL324" s="1530"/>
      <c r="BM324" s="1530"/>
    </row>
    <row r="325" spans="9:65" s="1524" customFormat="1" ht="11.5">
      <c r="I325" s="1530"/>
      <c r="J325" s="1530"/>
      <c r="K325" s="1530"/>
      <c r="R325" s="1530"/>
      <c r="S325" s="1530"/>
      <c r="T325" s="1530"/>
      <c r="AA325" s="1530"/>
      <c r="AB325" s="1530"/>
      <c r="AC325" s="1530"/>
      <c r="AJ325" s="1530"/>
      <c r="AK325" s="1530"/>
      <c r="AL325" s="1530"/>
      <c r="AS325" s="1530"/>
      <c r="AT325" s="1530"/>
      <c r="AU325" s="1530"/>
      <c r="BB325" s="1530"/>
      <c r="BC325" s="1530"/>
      <c r="BD325" s="1530"/>
      <c r="BK325" s="1530"/>
      <c r="BL325" s="1530"/>
      <c r="BM325" s="1530"/>
    </row>
    <row r="326" spans="9:65" s="1524" customFormat="1" ht="11.5">
      <c r="I326" s="1530"/>
      <c r="J326" s="1530"/>
      <c r="K326" s="1530"/>
      <c r="R326" s="1530"/>
      <c r="S326" s="1530"/>
      <c r="T326" s="1530"/>
      <c r="AA326" s="1530"/>
      <c r="AB326" s="1530"/>
      <c r="AC326" s="1530"/>
      <c r="AJ326" s="1530"/>
      <c r="AK326" s="1530"/>
      <c r="AL326" s="1530"/>
      <c r="AS326" s="1530"/>
      <c r="AT326" s="1530"/>
      <c r="AU326" s="1530"/>
      <c r="BB326" s="1530"/>
      <c r="BC326" s="1530"/>
      <c r="BD326" s="1530"/>
      <c r="BK326" s="1530"/>
      <c r="BL326" s="1530"/>
      <c r="BM326" s="1530"/>
    </row>
    <row r="327" spans="9:65" s="1524" customFormat="1" ht="11.5">
      <c r="I327" s="1530"/>
      <c r="J327" s="1530"/>
      <c r="K327" s="1530"/>
      <c r="R327" s="1530"/>
      <c r="S327" s="1530"/>
      <c r="T327" s="1530"/>
      <c r="AA327" s="1530"/>
      <c r="AB327" s="1530"/>
      <c r="AC327" s="1530"/>
      <c r="AJ327" s="1530"/>
      <c r="AK327" s="1530"/>
      <c r="AL327" s="1530"/>
      <c r="AS327" s="1530"/>
      <c r="AT327" s="1530"/>
      <c r="AU327" s="1530"/>
      <c r="BB327" s="1530"/>
      <c r="BC327" s="1530"/>
      <c r="BD327" s="1530"/>
      <c r="BK327" s="1530"/>
      <c r="BL327" s="1530"/>
      <c r="BM327" s="1530"/>
    </row>
    <row r="328" spans="9:65" s="1524" customFormat="1" ht="11.5">
      <c r="I328" s="1530"/>
      <c r="J328" s="1530"/>
      <c r="K328" s="1530"/>
      <c r="R328" s="1530"/>
      <c r="S328" s="1530"/>
      <c r="T328" s="1530"/>
      <c r="AA328" s="1530"/>
      <c r="AB328" s="1530"/>
      <c r="AC328" s="1530"/>
      <c r="AJ328" s="1530"/>
      <c r="AK328" s="1530"/>
      <c r="AL328" s="1530"/>
      <c r="AS328" s="1530"/>
      <c r="AT328" s="1530"/>
      <c r="AU328" s="1530"/>
      <c r="BB328" s="1530"/>
      <c r="BC328" s="1530"/>
      <c r="BD328" s="1530"/>
      <c r="BK328" s="1530"/>
      <c r="BL328" s="1530"/>
      <c r="BM328" s="1530"/>
    </row>
    <row r="329" spans="9:65" s="1524" customFormat="1" ht="11.5">
      <c r="I329" s="1530"/>
      <c r="J329" s="1530"/>
      <c r="K329" s="1530"/>
      <c r="R329" s="1530"/>
      <c r="S329" s="1530"/>
      <c r="T329" s="1530"/>
      <c r="AA329" s="1530"/>
      <c r="AB329" s="1530"/>
      <c r="AC329" s="1530"/>
      <c r="AJ329" s="1530"/>
      <c r="AK329" s="1530"/>
      <c r="AL329" s="1530"/>
      <c r="AS329" s="1530"/>
      <c r="AT329" s="1530"/>
      <c r="AU329" s="1530"/>
      <c r="BB329" s="1530"/>
      <c r="BC329" s="1530"/>
      <c r="BD329" s="1530"/>
      <c r="BK329" s="1530"/>
      <c r="BL329" s="1530"/>
      <c r="BM329" s="1530"/>
    </row>
    <row r="330" spans="9:65" s="1524" customFormat="1" ht="11.5">
      <c r="I330" s="1530"/>
      <c r="J330" s="1530"/>
      <c r="K330" s="1530"/>
      <c r="R330" s="1530"/>
      <c r="S330" s="1530"/>
      <c r="T330" s="1530"/>
      <c r="AA330" s="1530"/>
      <c r="AB330" s="1530"/>
      <c r="AC330" s="1530"/>
      <c r="AJ330" s="1530"/>
      <c r="AK330" s="1530"/>
      <c r="AL330" s="1530"/>
      <c r="AS330" s="1530"/>
      <c r="AT330" s="1530"/>
      <c r="AU330" s="1530"/>
      <c r="BB330" s="1530"/>
      <c r="BC330" s="1530"/>
      <c r="BD330" s="1530"/>
      <c r="BK330" s="1530"/>
      <c r="BL330" s="1530"/>
      <c r="BM330" s="1530"/>
    </row>
    <row r="331" spans="9:65" s="1524" customFormat="1" ht="11.5">
      <c r="I331" s="1530"/>
      <c r="J331" s="1530"/>
      <c r="K331" s="1530"/>
      <c r="R331" s="1530"/>
      <c r="S331" s="1530"/>
      <c r="T331" s="1530"/>
      <c r="AA331" s="1530"/>
      <c r="AB331" s="1530"/>
      <c r="AC331" s="1530"/>
      <c r="AJ331" s="1530"/>
      <c r="AK331" s="1530"/>
      <c r="AL331" s="1530"/>
      <c r="AS331" s="1530"/>
      <c r="AT331" s="1530"/>
      <c r="AU331" s="1530"/>
      <c r="BB331" s="1530"/>
      <c r="BC331" s="1530"/>
      <c r="BD331" s="1530"/>
      <c r="BK331" s="1530"/>
      <c r="BL331" s="1530"/>
      <c r="BM331" s="1530"/>
    </row>
    <row r="332" spans="9:65" s="1524" customFormat="1" ht="11.5">
      <c r="I332" s="1530"/>
      <c r="J332" s="1530"/>
      <c r="K332" s="1530"/>
      <c r="R332" s="1530"/>
      <c r="S332" s="1530"/>
      <c r="T332" s="1530"/>
      <c r="AA332" s="1530"/>
      <c r="AB332" s="1530"/>
      <c r="AC332" s="1530"/>
      <c r="AJ332" s="1530"/>
      <c r="AK332" s="1530"/>
      <c r="AL332" s="1530"/>
      <c r="AS332" s="1530"/>
      <c r="AT332" s="1530"/>
      <c r="AU332" s="1530"/>
      <c r="BB332" s="1530"/>
      <c r="BC332" s="1530"/>
      <c r="BD332" s="1530"/>
      <c r="BK332" s="1530"/>
      <c r="BL332" s="1530"/>
      <c r="BM332" s="1530"/>
    </row>
    <row r="333" spans="9:65" s="1524" customFormat="1" ht="11.5">
      <c r="I333" s="1530"/>
      <c r="J333" s="1530"/>
      <c r="K333" s="1530"/>
      <c r="R333" s="1530"/>
      <c r="S333" s="1530"/>
      <c r="T333" s="1530"/>
      <c r="AA333" s="1530"/>
      <c r="AB333" s="1530"/>
      <c r="AC333" s="1530"/>
      <c r="AJ333" s="1530"/>
      <c r="AK333" s="1530"/>
      <c r="AL333" s="1530"/>
      <c r="AS333" s="1530"/>
      <c r="AT333" s="1530"/>
      <c r="AU333" s="1530"/>
      <c r="BB333" s="1530"/>
      <c r="BC333" s="1530"/>
      <c r="BD333" s="1530"/>
      <c r="BK333" s="1530"/>
      <c r="BL333" s="1530"/>
      <c r="BM333" s="1530"/>
    </row>
    <row r="334" spans="9:65" s="1524" customFormat="1" ht="11.5">
      <c r="I334" s="1530"/>
      <c r="J334" s="1530"/>
      <c r="K334" s="1530"/>
      <c r="R334" s="1530"/>
      <c r="S334" s="1530"/>
      <c r="T334" s="1530"/>
      <c r="AA334" s="1530"/>
      <c r="AB334" s="1530"/>
      <c r="AC334" s="1530"/>
      <c r="AJ334" s="1530"/>
      <c r="AK334" s="1530"/>
      <c r="AL334" s="1530"/>
      <c r="AS334" s="1530"/>
      <c r="AT334" s="1530"/>
      <c r="AU334" s="1530"/>
      <c r="BB334" s="1530"/>
      <c r="BC334" s="1530"/>
      <c r="BD334" s="1530"/>
      <c r="BK334" s="1530"/>
      <c r="BL334" s="1530"/>
      <c r="BM334" s="1530"/>
    </row>
    <row r="335" spans="9:65" s="1524" customFormat="1" ht="11.5">
      <c r="I335" s="1530"/>
      <c r="J335" s="1530"/>
      <c r="K335" s="1530"/>
      <c r="R335" s="1530"/>
      <c r="S335" s="1530"/>
      <c r="T335" s="1530"/>
      <c r="AA335" s="1530"/>
      <c r="AB335" s="1530"/>
      <c r="AC335" s="1530"/>
      <c r="AJ335" s="1530"/>
      <c r="AK335" s="1530"/>
      <c r="AL335" s="1530"/>
      <c r="AS335" s="1530"/>
      <c r="AT335" s="1530"/>
      <c r="AU335" s="1530"/>
      <c r="BB335" s="1530"/>
      <c r="BC335" s="1530"/>
      <c r="BD335" s="1530"/>
      <c r="BK335" s="1530"/>
      <c r="BL335" s="1530"/>
      <c r="BM335" s="1530"/>
    </row>
    <row r="336" spans="9:65" s="1524" customFormat="1" ht="11.5">
      <c r="I336" s="1530"/>
      <c r="J336" s="1530"/>
      <c r="K336" s="1530"/>
      <c r="R336" s="1530"/>
      <c r="S336" s="1530"/>
      <c r="T336" s="1530"/>
      <c r="AA336" s="1530"/>
      <c r="AB336" s="1530"/>
      <c r="AC336" s="1530"/>
      <c r="AJ336" s="1530"/>
      <c r="AK336" s="1530"/>
      <c r="AL336" s="1530"/>
      <c r="AS336" s="1530"/>
      <c r="AT336" s="1530"/>
      <c r="AU336" s="1530"/>
      <c r="BB336" s="1530"/>
      <c r="BC336" s="1530"/>
      <c r="BD336" s="1530"/>
      <c r="BK336" s="1530"/>
      <c r="BL336" s="1530"/>
      <c r="BM336" s="1530"/>
    </row>
    <row r="337" spans="9:65" s="1524" customFormat="1" ht="11.5">
      <c r="I337" s="1530"/>
      <c r="J337" s="1530"/>
      <c r="K337" s="1530"/>
      <c r="R337" s="1530"/>
      <c r="S337" s="1530"/>
      <c r="T337" s="1530"/>
      <c r="AA337" s="1530"/>
      <c r="AB337" s="1530"/>
      <c r="AC337" s="1530"/>
      <c r="AJ337" s="1530"/>
      <c r="AK337" s="1530"/>
      <c r="AL337" s="1530"/>
      <c r="AS337" s="1530"/>
      <c r="AT337" s="1530"/>
      <c r="AU337" s="1530"/>
      <c r="BB337" s="1530"/>
      <c r="BC337" s="1530"/>
      <c r="BD337" s="1530"/>
      <c r="BK337" s="1530"/>
      <c r="BL337" s="1530"/>
      <c r="BM337" s="1530"/>
    </row>
    <row r="338" spans="9:65" s="1524" customFormat="1" ht="11.5">
      <c r="I338" s="1530"/>
      <c r="J338" s="1530"/>
      <c r="K338" s="1530"/>
      <c r="R338" s="1530"/>
      <c r="S338" s="1530"/>
      <c r="T338" s="1530"/>
      <c r="AA338" s="1530"/>
      <c r="AB338" s="1530"/>
      <c r="AC338" s="1530"/>
      <c r="AJ338" s="1530"/>
      <c r="AK338" s="1530"/>
      <c r="AL338" s="1530"/>
      <c r="AS338" s="1530"/>
      <c r="AT338" s="1530"/>
      <c r="AU338" s="1530"/>
      <c r="BB338" s="1530"/>
      <c r="BC338" s="1530"/>
      <c r="BD338" s="1530"/>
      <c r="BK338" s="1530"/>
      <c r="BL338" s="1530"/>
      <c r="BM338" s="1530"/>
    </row>
    <row r="339" spans="9:65" s="1524" customFormat="1" ht="11.5">
      <c r="I339" s="1530"/>
      <c r="J339" s="1530"/>
      <c r="K339" s="1530"/>
      <c r="R339" s="1530"/>
      <c r="S339" s="1530"/>
      <c r="T339" s="1530"/>
      <c r="AA339" s="1530"/>
      <c r="AB339" s="1530"/>
      <c r="AC339" s="1530"/>
      <c r="AJ339" s="1530"/>
      <c r="AK339" s="1530"/>
      <c r="AL339" s="1530"/>
      <c r="AS339" s="1530"/>
      <c r="AT339" s="1530"/>
      <c r="AU339" s="1530"/>
      <c r="BB339" s="1530"/>
      <c r="BC339" s="1530"/>
      <c r="BD339" s="1530"/>
      <c r="BK339" s="1530"/>
      <c r="BL339" s="1530"/>
      <c r="BM339" s="1530"/>
    </row>
    <row r="340" spans="9:65" s="1524" customFormat="1" ht="11.5">
      <c r="I340" s="1530"/>
      <c r="J340" s="1530"/>
      <c r="K340" s="1530"/>
      <c r="R340" s="1530"/>
      <c r="S340" s="1530"/>
      <c r="T340" s="1530"/>
      <c r="AA340" s="1530"/>
      <c r="AB340" s="1530"/>
      <c r="AC340" s="1530"/>
      <c r="AJ340" s="1530"/>
      <c r="AK340" s="1530"/>
      <c r="AL340" s="1530"/>
      <c r="AS340" s="1530"/>
      <c r="AT340" s="1530"/>
      <c r="AU340" s="1530"/>
      <c r="BB340" s="1530"/>
      <c r="BC340" s="1530"/>
      <c r="BD340" s="1530"/>
      <c r="BK340" s="1530"/>
      <c r="BL340" s="1530"/>
      <c r="BM340" s="1530"/>
    </row>
    <row r="341" spans="9:65" s="1524" customFormat="1" ht="11.5">
      <c r="I341" s="1530"/>
      <c r="J341" s="1530"/>
      <c r="K341" s="1530"/>
      <c r="R341" s="1530"/>
      <c r="S341" s="1530"/>
      <c r="T341" s="1530"/>
      <c r="AA341" s="1530"/>
      <c r="AB341" s="1530"/>
      <c r="AC341" s="1530"/>
      <c r="AJ341" s="1530"/>
      <c r="AK341" s="1530"/>
      <c r="AL341" s="1530"/>
      <c r="AS341" s="1530"/>
      <c r="AT341" s="1530"/>
      <c r="AU341" s="1530"/>
      <c r="BB341" s="1530"/>
      <c r="BC341" s="1530"/>
      <c r="BD341" s="1530"/>
      <c r="BK341" s="1530"/>
      <c r="BL341" s="1530"/>
      <c r="BM341" s="1530"/>
    </row>
    <row r="342" spans="9:65" s="1524" customFormat="1" ht="11.5">
      <c r="I342" s="1530"/>
      <c r="J342" s="1530"/>
      <c r="K342" s="1530"/>
      <c r="R342" s="1530"/>
      <c r="S342" s="1530"/>
      <c r="T342" s="1530"/>
      <c r="AA342" s="1530"/>
      <c r="AB342" s="1530"/>
      <c r="AC342" s="1530"/>
      <c r="AJ342" s="1530"/>
      <c r="AK342" s="1530"/>
      <c r="AL342" s="1530"/>
      <c r="AS342" s="1530"/>
      <c r="AT342" s="1530"/>
      <c r="AU342" s="1530"/>
      <c r="BB342" s="1530"/>
      <c r="BC342" s="1530"/>
      <c r="BD342" s="1530"/>
      <c r="BK342" s="1530"/>
      <c r="BL342" s="1530"/>
      <c r="BM342" s="1530"/>
    </row>
    <row r="343" spans="9:65" s="1524" customFormat="1" ht="11.5">
      <c r="I343" s="1530"/>
      <c r="J343" s="1530"/>
      <c r="K343" s="1530"/>
      <c r="R343" s="1530"/>
      <c r="S343" s="1530"/>
      <c r="T343" s="1530"/>
      <c r="AA343" s="1530"/>
      <c r="AB343" s="1530"/>
      <c r="AC343" s="1530"/>
      <c r="AJ343" s="1530"/>
      <c r="AK343" s="1530"/>
      <c r="AL343" s="1530"/>
      <c r="AS343" s="1530"/>
      <c r="AT343" s="1530"/>
      <c r="AU343" s="1530"/>
      <c r="BB343" s="1530"/>
      <c r="BC343" s="1530"/>
      <c r="BD343" s="1530"/>
      <c r="BK343" s="1530"/>
      <c r="BL343" s="1530"/>
      <c r="BM343" s="1530"/>
    </row>
    <row r="344" spans="9:65" s="1524" customFormat="1" ht="11.5">
      <c r="I344" s="1530"/>
      <c r="J344" s="1530"/>
      <c r="K344" s="1530"/>
      <c r="R344" s="1530"/>
      <c r="S344" s="1530"/>
      <c r="T344" s="1530"/>
      <c r="AA344" s="1530"/>
      <c r="AB344" s="1530"/>
      <c r="AC344" s="1530"/>
      <c r="AJ344" s="1530"/>
      <c r="AK344" s="1530"/>
      <c r="AL344" s="1530"/>
      <c r="AS344" s="1530"/>
      <c r="AT344" s="1530"/>
      <c r="AU344" s="1530"/>
      <c r="BB344" s="1530"/>
      <c r="BC344" s="1530"/>
      <c r="BD344" s="1530"/>
      <c r="BK344" s="1530"/>
      <c r="BL344" s="1530"/>
      <c r="BM344" s="1530"/>
    </row>
    <row r="345" spans="9:65" s="1524" customFormat="1" ht="11.5">
      <c r="I345" s="1530"/>
      <c r="J345" s="1530"/>
      <c r="K345" s="1530"/>
      <c r="R345" s="1530"/>
      <c r="S345" s="1530"/>
      <c r="T345" s="1530"/>
      <c r="AA345" s="1530"/>
      <c r="AB345" s="1530"/>
      <c r="AC345" s="1530"/>
      <c r="AJ345" s="1530"/>
      <c r="AK345" s="1530"/>
      <c r="AL345" s="1530"/>
      <c r="AS345" s="1530"/>
      <c r="AT345" s="1530"/>
      <c r="AU345" s="1530"/>
      <c r="BB345" s="1530"/>
      <c r="BC345" s="1530"/>
      <c r="BD345" s="1530"/>
      <c r="BK345" s="1530"/>
      <c r="BL345" s="1530"/>
      <c r="BM345" s="1530"/>
    </row>
    <row r="346" spans="9:65" s="1524" customFormat="1" ht="11.5">
      <c r="I346" s="1530"/>
      <c r="J346" s="1530"/>
      <c r="K346" s="1530"/>
      <c r="R346" s="1530"/>
      <c r="S346" s="1530"/>
      <c r="T346" s="1530"/>
      <c r="AA346" s="1530"/>
      <c r="AB346" s="1530"/>
      <c r="AC346" s="1530"/>
      <c r="AJ346" s="1530"/>
      <c r="AK346" s="1530"/>
      <c r="AL346" s="1530"/>
      <c r="AS346" s="1530"/>
      <c r="AT346" s="1530"/>
      <c r="AU346" s="1530"/>
      <c r="BB346" s="1530"/>
      <c r="BC346" s="1530"/>
      <c r="BD346" s="1530"/>
      <c r="BK346" s="1530"/>
      <c r="BL346" s="1530"/>
      <c r="BM346" s="1530"/>
    </row>
    <row r="347" spans="9:65" s="1524" customFormat="1" ht="11.5">
      <c r="I347" s="1530"/>
      <c r="J347" s="1530"/>
      <c r="K347" s="1530"/>
      <c r="R347" s="1530"/>
      <c r="S347" s="1530"/>
      <c r="T347" s="1530"/>
      <c r="AA347" s="1530"/>
      <c r="AB347" s="1530"/>
      <c r="AC347" s="1530"/>
      <c r="AJ347" s="1530"/>
      <c r="AK347" s="1530"/>
      <c r="AL347" s="1530"/>
      <c r="AS347" s="1530"/>
      <c r="AT347" s="1530"/>
      <c r="AU347" s="1530"/>
      <c r="BB347" s="1530"/>
      <c r="BC347" s="1530"/>
      <c r="BD347" s="1530"/>
      <c r="BK347" s="1530"/>
      <c r="BL347" s="1530"/>
      <c r="BM347" s="1530"/>
    </row>
    <row r="348" spans="9:65" s="1524" customFormat="1" ht="11.5">
      <c r="I348" s="1530"/>
      <c r="J348" s="1530"/>
      <c r="K348" s="1530"/>
      <c r="R348" s="1530"/>
      <c r="S348" s="1530"/>
      <c r="T348" s="1530"/>
      <c r="AA348" s="1530"/>
      <c r="AB348" s="1530"/>
      <c r="AC348" s="1530"/>
      <c r="AJ348" s="1530"/>
      <c r="AK348" s="1530"/>
      <c r="AL348" s="1530"/>
      <c r="AS348" s="1530"/>
      <c r="AT348" s="1530"/>
      <c r="AU348" s="1530"/>
      <c r="BB348" s="1530"/>
      <c r="BC348" s="1530"/>
      <c r="BD348" s="1530"/>
      <c r="BK348" s="1530"/>
      <c r="BL348" s="1530"/>
      <c r="BM348" s="1530"/>
    </row>
    <row r="349" spans="9:65" s="1524" customFormat="1" ht="11.5">
      <c r="I349" s="1530"/>
      <c r="J349" s="1530"/>
      <c r="K349" s="1530"/>
      <c r="R349" s="1530"/>
      <c r="S349" s="1530"/>
      <c r="T349" s="1530"/>
      <c r="AA349" s="1530"/>
      <c r="AB349" s="1530"/>
      <c r="AC349" s="1530"/>
      <c r="AJ349" s="1530"/>
      <c r="AK349" s="1530"/>
      <c r="AL349" s="1530"/>
      <c r="AS349" s="1530"/>
      <c r="AT349" s="1530"/>
      <c r="AU349" s="1530"/>
      <c r="BB349" s="1530"/>
      <c r="BC349" s="1530"/>
      <c r="BD349" s="1530"/>
      <c r="BK349" s="1530"/>
      <c r="BL349" s="1530"/>
      <c r="BM349" s="1530"/>
    </row>
    <row r="350" spans="9:65" s="1524" customFormat="1" ht="11.5">
      <c r="I350" s="1530"/>
      <c r="J350" s="1530"/>
      <c r="K350" s="1530"/>
      <c r="R350" s="1530"/>
      <c r="S350" s="1530"/>
      <c r="T350" s="1530"/>
      <c r="AA350" s="1530"/>
      <c r="AB350" s="1530"/>
      <c r="AC350" s="1530"/>
      <c r="AJ350" s="1530"/>
      <c r="AK350" s="1530"/>
      <c r="AL350" s="1530"/>
      <c r="AS350" s="1530"/>
      <c r="AT350" s="1530"/>
      <c r="AU350" s="1530"/>
      <c r="BB350" s="1530"/>
      <c r="BC350" s="1530"/>
      <c r="BD350" s="1530"/>
      <c r="BK350" s="1530"/>
      <c r="BL350" s="1530"/>
      <c r="BM350" s="1530"/>
    </row>
    <row r="351" spans="9:65" s="1524" customFormat="1" ht="11.5">
      <c r="I351" s="1530"/>
      <c r="J351" s="1530"/>
      <c r="K351" s="1530"/>
      <c r="R351" s="1530"/>
      <c r="S351" s="1530"/>
      <c r="T351" s="1530"/>
      <c r="AA351" s="1530"/>
      <c r="AB351" s="1530"/>
      <c r="AC351" s="1530"/>
      <c r="AJ351" s="1530"/>
      <c r="AK351" s="1530"/>
      <c r="AL351" s="1530"/>
      <c r="AS351" s="1530"/>
      <c r="AT351" s="1530"/>
      <c r="AU351" s="1530"/>
      <c r="BB351" s="1530"/>
      <c r="BC351" s="1530"/>
      <c r="BD351" s="1530"/>
      <c r="BK351" s="1530"/>
      <c r="BL351" s="1530"/>
      <c r="BM351" s="1530"/>
    </row>
    <row r="352" spans="9:65" s="1524" customFormat="1" ht="11.5">
      <c r="I352" s="1530"/>
      <c r="J352" s="1530"/>
      <c r="K352" s="1530"/>
      <c r="R352" s="1530"/>
      <c r="S352" s="1530"/>
      <c r="T352" s="1530"/>
      <c r="AA352" s="1530"/>
      <c r="AB352" s="1530"/>
      <c r="AC352" s="1530"/>
      <c r="AJ352" s="1530"/>
      <c r="AK352" s="1530"/>
      <c r="AL352" s="1530"/>
      <c r="AS352" s="1530"/>
      <c r="AT352" s="1530"/>
      <c r="AU352" s="1530"/>
      <c r="BB352" s="1530"/>
      <c r="BC352" s="1530"/>
      <c r="BD352" s="1530"/>
      <c r="BK352" s="1530"/>
      <c r="BL352" s="1530"/>
      <c r="BM352" s="1530"/>
    </row>
    <row r="353" spans="9:65" s="1524" customFormat="1" ht="11.5">
      <c r="I353" s="1530"/>
      <c r="J353" s="1530"/>
      <c r="K353" s="1530"/>
      <c r="R353" s="1530"/>
      <c r="S353" s="1530"/>
      <c r="T353" s="1530"/>
      <c r="AA353" s="1530"/>
      <c r="AB353" s="1530"/>
      <c r="AC353" s="1530"/>
      <c r="AJ353" s="1530"/>
      <c r="AK353" s="1530"/>
      <c r="AL353" s="1530"/>
      <c r="AS353" s="1530"/>
      <c r="AT353" s="1530"/>
      <c r="AU353" s="1530"/>
      <c r="BB353" s="1530"/>
      <c r="BC353" s="1530"/>
      <c r="BD353" s="1530"/>
      <c r="BK353" s="1530"/>
      <c r="BL353" s="1530"/>
      <c r="BM353" s="1530"/>
    </row>
    <row r="354" spans="9:65" s="1524" customFormat="1" ht="11.5">
      <c r="I354" s="1530"/>
      <c r="J354" s="1530"/>
      <c r="K354" s="1530"/>
      <c r="R354" s="1530"/>
      <c r="S354" s="1530"/>
      <c r="T354" s="1530"/>
      <c r="AA354" s="1530"/>
      <c r="AB354" s="1530"/>
      <c r="AC354" s="1530"/>
      <c r="AJ354" s="1530"/>
      <c r="AK354" s="1530"/>
      <c r="AL354" s="1530"/>
      <c r="AS354" s="1530"/>
      <c r="AT354" s="1530"/>
      <c r="AU354" s="1530"/>
      <c r="BB354" s="1530"/>
      <c r="BC354" s="1530"/>
      <c r="BD354" s="1530"/>
      <c r="BK354" s="1530"/>
      <c r="BL354" s="1530"/>
      <c r="BM354" s="1530"/>
    </row>
    <row r="355" spans="9:65" s="1524" customFormat="1" ht="11.5">
      <c r="I355" s="1530"/>
      <c r="J355" s="1530"/>
      <c r="K355" s="1530"/>
      <c r="R355" s="1530"/>
      <c r="S355" s="1530"/>
      <c r="T355" s="1530"/>
      <c r="AA355" s="1530"/>
      <c r="AB355" s="1530"/>
      <c r="AC355" s="1530"/>
      <c r="AJ355" s="1530"/>
      <c r="AK355" s="1530"/>
      <c r="AL355" s="1530"/>
      <c r="AS355" s="1530"/>
      <c r="AT355" s="1530"/>
      <c r="AU355" s="1530"/>
      <c r="BB355" s="1530"/>
      <c r="BC355" s="1530"/>
      <c r="BD355" s="1530"/>
      <c r="BK355" s="1530"/>
      <c r="BL355" s="1530"/>
      <c r="BM355" s="1530"/>
    </row>
    <row r="356" spans="9:65" s="1524" customFormat="1" ht="11.5">
      <c r="I356" s="1530"/>
      <c r="J356" s="1530"/>
      <c r="K356" s="1530"/>
      <c r="R356" s="1530"/>
      <c r="S356" s="1530"/>
      <c r="T356" s="1530"/>
      <c r="AA356" s="1530"/>
      <c r="AB356" s="1530"/>
      <c r="AC356" s="1530"/>
      <c r="AJ356" s="1530"/>
      <c r="AK356" s="1530"/>
      <c r="AL356" s="1530"/>
      <c r="AS356" s="1530"/>
      <c r="AT356" s="1530"/>
      <c r="AU356" s="1530"/>
      <c r="BB356" s="1530"/>
      <c r="BC356" s="1530"/>
      <c r="BD356" s="1530"/>
      <c r="BK356" s="1530"/>
      <c r="BL356" s="1530"/>
      <c r="BM356" s="1530"/>
    </row>
    <row r="357" spans="9:65" s="1524" customFormat="1" ht="11.5">
      <c r="I357" s="1530"/>
      <c r="J357" s="1530"/>
      <c r="K357" s="1530"/>
      <c r="R357" s="1530"/>
      <c r="S357" s="1530"/>
      <c r="T357" s="1530"/>
      <c r="AA357" s="1530"/>
      <c r="AB357" s="1530"/>
      <c r="AC357" s="1530"/>
      <c r="AJ357" s="1530"/>
      <c r="AK357" s="1530"/>
      <c r="AL357" s="1530"/>
      <c r="AS357" s="1530"/>
      <c r="AT357" s="1530"/>
      <c r="AU357" s="1530"/>
      <c r="BB357" s="1530"/>
      <c r="BC357" s="1530"/>
      <c r="BD357" s="1530"/>
      <c r="BK357" s="1530"/>
      <c r="BL357" s="1530"/>
      <c r="BM357" s="1530"/>
    </row>
    <row r="358" spans="9:65" s="1524" customFormat="1" ht="11.5">
      <c r="I358" s="1530"/>
      <c r="J358" s="1530"/>
      <c r="K358" s="1530"/>
      <c r="R358" s="1530"/>
      <c r="S358" s="1530"/>
      <c r="T358" s="1530"/>
      <c r="AA358" s="1530"/>
      <c r="AB358" s="1530"/>
      <c r="AC358" s="1530"/>
      <c r="AJ358" s="1530"/>
      <c r="AK358" s="1530"/>
      <c r="AL358" s="1530"/>
      <c r="AS358" s="1530"/>
      <c r="AT358" s="1530"/>
      <c r="AU358" s="1530"/>
      <c r="BB358" s="1530"/>
      <c r="BC358" s="1530"/>
      <c r="BD358" s="1530"/>
      <c r="BK358" s="1530"/>
      <c r="BL358" s="1530"/>
      <c r="BM358" s="1530"/>
    </row>
    <row r="359" spans="9:65" s="1524" customFormat="1" ht="11.5">
      <c r="I359" s="1530"/>
      <c r="J359" s="1530"/>
      <c r="K359" s="1530"/>
      <c r="R359" s="1530"/>
      <c r="S359" s="1530"/>
      <c r="T359" s="1530"/>
      <c r="AA359" s="1530"/>
      <c r="AB359" s="1530"/>
      <c r="AC359" s="1530"/>
      <c r="AJ359" s="1530"/>
      <c r="AK359" s="1530"/>
      <c r="AL359" s="1530"/>
      <c r="AS359" s="1530"/>
      <c r="AT359" s="1530"/>
      <c r="AU359" s="1530"/>
      <c r="BB359" s="1530"/>
      <c r="BC359" s="1530"/>
      <c r="BD359" s="1530"/>
      <c r="BK359" s="1530"/>
      <c r="BL359" s="1530"/>
      <c r="BM359" s="1530"/>
    </row>
    <row r="360" spans="9:65" s="1524" customFormat="1" ht="11.5">
      <c r="I360" s="1530"/>
      <c r="J360" s="1530"/>
      <c r="K360" s="1530"/>
      <c r="R360" s="1530"/>
      <c r="S360" s="1530"/>
      <c r="T360" s="1530"/>
      <c r="AA360" s="1530"/>
      <c r="AB360" s="1530"/>
      <c r="AC360" s="1530"/>
      <c r="AJ360" s="1530"/>
      <c r="AK360" s="1530"/>
      <c r="AL360" s="1530"/>
      <c r="AS360" s="1530"/>
      <c r="AT360" s="1530"/>
      <c r="AU360" s="1530"/>
      <c r="BB360" s="1530"/>
      <c r="BC360" s="1530"/>
      <c r="BD360" s="1530"/>
      <c r="BK360" s="1530"/>
      <c r="BL360" s="1530"/>
      <c r="BM360" s="1530"/>
    </row>
    <row r="361" spans="9:65" s="1524" customFormat="1" ht="11.5">
      <c r="I361" s="1530"/>
      <c r="J361" s="1530"/>
      <c r="K361" s="1530"/>
      <c r="R361" s="1530"/>
      <c r="S361" s="1530"/>
      <c r="T361" s="1530"/>
      <c r="AA361" s="1530"/>
      <c r="AB361" s="1530"/>
      <c r="AC361" s="1530"/>
      <c r="AJ361" s="1530"/>
      <c r="AK361" s="1530"/>
      <c r="AL361" s="1530"/>
      <c r="AS361" s="1530"/>
      <c r="AT361" s="1530"/>
      <c r="AU361" s="1530"/>
      <c r="BB361" s="1530"/>
      <c r="BC361" s="1530"/>
      <c r="BD361" s="1530"/>
      <c r="BK361" s="1530"/>
      <c r="BL361" s="1530"/>
      <c r="BM361" s="1530"/>
    </row>
    <row r="362" spans="9:65" s="1524" customFormat="1" ht="11.5">
      <c r="I362" s="1530"/>
      <c r="J362" s="1530"/>
      <c r="K362" s="1530"/>
      <c r="R362" s="1530"/>
      <c r="S362" s="1530"/>
      <c r="T362" s="1530"/>
      <c r="AA362" s="1530"/>
      <c r="AB362" s="1530"/>
      <c r="AC362" s="1530"/>
      <c r="AJ362" s="1530"/>
      <c r="AK362" s="1530"/>
      <c r="AL362" s="1530"/>
      <c r="AS362" s="1530"/>
      <c r="AT362" s="1530"/>
      <c r="AU362" s="1530"/>
      <c r="BB362" s="1530"/>
      <c r="BC362" s="1530"/>
      <c r="BD362" s="1530"/>
      <c r="BK362" s="1530"/>
      <c r="BL362" s="1530"/>
      <c r="BM362" s="1530"/>
    </row>
    <row r="363" spans="9:65" s="1524" customFormat="1" ht="11.5">
      <c r="I363" s="1530"/>
      <c r="J363" s="1530"/>
      <c r="K363" s="1530"/>
      <c r="R363" s="1530"/>
      <c r="S363" s="1530"/>
      <c r="T363" s="1530"/>
      <c r="AA363" s="1530"/>
      <c r="AB363" s="1530"/>
      <c r="AC363" s="1530"/>
      <c r="AJ363" s="1530"/>
      <c r="AK363" s="1530"/>
      <c r="AL363" s="1530"/>
      <c r="AS363" s="1530"/>
      <c r="AT363" s="1530"/>
      <c r="AU363" s="1530"/>
      <c r="BB363" s="1530"/>
      <c r="BC363" s="1530"/>
      <c r="BD363" s="1530"/>
      <c r="BK363" s="1530"/>
      <c r="BL363" s="1530"/>
      <c r="BM363" s="1530"/>
    </row>
    <row r="364" spans="9:65" s="1524" customFormat="1" ht="11.5">
      <c r="I364" s="1530"/>
      <c r="J364" s="1530"/>
      <c r="K364" s="1530"/>
      <c r="R364" s="1530"/>
      <c r="S364" s="1530"/>
      <c r="T364" s="1530"/>
      <c r="AA364" s="1530"/>
      <c r="AB364" s="1530"/>
      <c r="AC364" s="1530"/>
      <c r="AJ364" s="1530"/>
      <c r="AK364" s="1530"/>
      <c r="AL364" s="1530"/>
      <c r="AS364" s="1530"/>
      <c r="AT364" s="1530"/>
      <c r="AU364" s="1530"/>
      <c r="BB364" s="1530"/>
      <c r="BC364" s="1530"/>
      <c r="BD364" s="1530"/>
      <c r="BK364" s="1530"/>
      <c r="BL364" s="1530"/>
      <c r="BM364" s="1530"/>
    </row>
    <row r="365" spans="9:65" s="1524" customFormat="1" ht="11.5">
      <c r="I365" s="1530"/>
      <c r="J365" s="1530"/>
      <c r="K365" s="1530"/>
      <c r="R365" s="1530"/>
      <c r="S365" s="1530"/>
      <c r="T365" s="1530"/>
      <c r="AA365" s="1530"/>
      <c r="AB365" s="1530"/>
      <c r="AC365" s="1530"/>
      <c r="AJ365" s="1530"/>
      <c r="AK365" s="1530"/>
      <c r="AL365" s="1530"/>
      <c r="AS365" s="1530"/>
      <c r="AT365" s="1530"/>
      <c r="AU365" s="1530"/>
      <c r="BB365" s="1530"/>
      <c r="BC365" s="1530"/>
      <c r="BD365" s="1530"/>
      <c r="BK365" s="1530"/>
      <c r="BL365" s="1530"/>
      <c r="BM365" s="1530"/>
    </row>
    <row r="366" spans="9:65" s="1524" customFormat="1" ht="11.5">
      <c r="I366" s="1530"/>
      <c r="J366" s="1530"/>
      <c r="K366" s="1530"/>
      <c r="R366" s="1530"/>
      <c r="S366" s="1530"/>
      <c r="T366" s="1530"/>
      <c r="AA366" s="1530"/>
      <c r="AB366" s="1530"/>
      <c r="AC366" s="1530"/>
      <c r="AJ366" s="1530"/>
      <c r="AK366" s="1530"/>
      <c r="AL366" s="1530"/>
      <c r="AS366" s="1530"/>
      <c r="AT366" s="1530"/>
      <c r="AU366" s="1530"/>
      <c r="BB366" s="1530"/>
      <c r="BC366" s="1530"/>
      <c r="BD366" s="1530"/>
      <c r="BK366" s="1530"/>
      <c r="BL366" s="1530"/>
      <c r="BM366" s="1530"/>
    </row>
    <row r="367" spans="9:65" s="1524" customFormat="1" ht="11.5">
      <c r="I367" s="1530"/>
      <c r="J367" s="1530"/>
      <c r="K367" s="1530"/>
      <c r="R367" s="1530"/>
      <c r="S367" s="1530"/>
      <c r="T367" s="1530"/>
      <c r="AA367" s="1530"/>
      <c r="AB367" s="1530"/>
      <c r="AC367" s="1530"/>
      <c r="AJ367" s="1530"/>
      <c r="AK367" s="1530"/>
      <c r="AL367" s="1530"/>
      <c r="AS367" s="1530"/>
      <c r="AT367" s="1530"/>
      <c r="AU367" s="1530"/>
      <c r="BB367" s="1530"/>
      <c r="BC367" s="1530"/>
      <c r="BD367" s="1530"/>
      <c r="BK367" s="1530"/>
      <c r="BL367" s="1530"/>
      <c r="BM367" s="1530"/>
    </row>
    <row r="368" spans="9:65" s="1524" customFormat="1" ht="11.5">
      <c r="I368" s="1530"/>
      <c r="J368" s="1530"/>
      <c r="K368" s="1530"/>
      <c r="R368" s="1530"/>
      <c r="S368" s="1530"/>
      <c r="T368" s="1530"/>
      <c r="AA368" s="1530"/>
      <c r="AB368" s="1530"/>
      <c r="AC368" s="1530"/>
      <c r="AJ368" s="1530"/>
      <c r="AK368" s="1530"/>
      <c r="AL368" s="1530"/>
      <c r="AS368" s="1530"/>
      <c r="AT368" s="1530"/>
      <c r="AU368" s="1530"/>
      <c r="BB368" s="1530"/>
      <c r="BC368" s="1530"/>
      <c r="BD368" s="1530"/>
      <c r="BK368" s="1530"/>
      <c r="BL368" s="1530"/>
      <c r="BM368" s="1530"/>
    </row>
    <row r="369" spans="9:65" s="1524" customFormat="1" ht="11.5">
      <c r="I369" s="1530"/>
      <c r="J369" s="1530"/>
      <c r="K369" s="1530"/>
      <c r="R369" s="1530"/>
      <c r="S369" s="1530"/>
      <c r="T369" s="1530"/>
      <c r="AA369" s="1530"/>
      <c r="AB369" s="1530"/>
      <c r="AC369" s="1530"/>
      <c r="AJ369" s="1530"/>
      <c r="AK369" s="1530"/>
      <c r="AL369" s="1530"/>
      <c r="AS369" s="1530"/>
      <c r="AT369" s="1530"/>
      <c r="AU369" s="1530"/>
      <c r="BB369" s="1530"/>
      <c r="BC369" s="1530"/>
      <c r="BD369" s="1530"/>
      <c r="BK369" s="1530"/>
      <c r="BL369" s="1530"/>
      <c r="BM369" s="1530"/>
    </row>
    <row r="370" spans="9:65" s="1524" customFormat="1" ht="11.5">
      <c r="I370" s="1530"/>
      <c r="J370" s="1530"/>
      <c r="K370" s="1530"/>
      <c r="R370" s="1530"/>
      <c r="S370" s="1530"/>
      <c r="T370" s="1530"/>
      <c r="AA370" s="1530"/>
      <c r="AB370" s="1530"/>
      <c r="AC370" s="1530"/>
      <c r="AJ370" s="1530"/>
      <c r="AK370" s="1530"/>
      <c r="AL370" s="1530"/>
      <c r="AS370" s="1530"/>
      <c r="AT370" s="1530"/>
      <c r="AU370" s="1530"/>
      <c r="BB370" s="1530"/>
      <c r="BC370" s="1530"/>
      <c r="BD370" s="1530"/>
      <c r="BK370" s="1530"/>
      <c r="BL370" s="1530"/>
      <c r="BM370" s="1530"/>
    </row>
    <row r="371" spans="9:65" s="1524" customFormat="1" ht="11.5">
      <c r="I371" s="1530"/>
      <c r="J371" s="1530"/>
      <c r="K371" s="1530"/>
      <c r="R371" s="1530"/>
      <c r="S371" s="1530"/>
      <c r="T371" s="1530"/>
      <c r="AA371" s="1530"/>
      <c r="AB371" s="1530"/>
      <c r="AC371" s="1530"/>
      <c r="AJ371" s="1530"/>
      <c r="AK371" s="1530"/>
      <c r="AL371" s="1530"/>
      <c r="AS371" s="1530"/>
      <c r="AT371" s="1530"/>
      <c r="AU371" s="1530"/>
      <c r="BB371" s="1530"/>
      <c r="BC371" s="1530"/>
      <c r="BD371" s="1530"/>
      <c r="BK371" s="1530"/>
      <c r="BL371" s="1530"/>
      <c r="BM371" s="1530"/>
    </row>
    <row r="372" spans="9:65" s="1524" customFormat="1" ht="11.5">
      <c r="I372" s="1530"/>
      <c r="J372" s="1530"/>
      <c r="K372" s="1530"/>
      <c r="R372" s="1530"/>
      <c r="S372" s="1530"/>
      <c r="T372" s="1530"/>
      <c r="AA372" s="1530"/>
      <c r="AB372" s="1530"/>
      <c r="AC372" s="1530"/>
      <c r="AJ372" s="1530"/>
      <c r="AK372" s="1530"/>
      <c r="AL372" s="1530"/>
      <c r="AS372" s="1530"/>
      <c r="AT372" s="1530"/>
      <c r="AU372" s="1530"/>
      <c r="BB372" s="1530"/>
      <c r="BC372" s="1530"/>
      <c r="BD372" s="1530"/>
      <c r="BK372" s="1530"/>
      <c r="BL372" s="1530"/>
      <c r="BM372" s="1530"/>
    </row>
    <row r="373" spans="9:65" s="1524" customFormat="1" ht="11.5">
      <c r="I373" s="1530"/>
      <c r="J373" s="1530"/>
      <c r="K373" s="1530"/>
      <c r="R373" s="1530"/>
      <c r="S373" s="1530"/>
      <c r="T373" s="1530"/>
      <c r="AA373" s="1530"/>
      <c r="AB373" s="1530"/>
      <c r="AC373" s="1530"/>
      <c r="AJ373" s="1530"/>
      <c r="AK373" s="1530"/>
      <c r="AL373" s="1530"/>
      <c r="AS373" s="1530"/>
      <c r="AT373" s="1530"/>
      <c r="AU373" s="1530"/>
      <c r="BB373" s="1530"/>
      <c r="BC373" s="1530"/>
      <c r="BD373" s="1530"/>
      <c r="BK373" s="1530"/>
      <c r="BL373" s="1530"/>
      <c r="BM373" s="1530"/>
    </row>
    <row r="374" spans="9:65" s="1524" customFormat="1" ht="11.5">
      <c r="I374" s="1530"/>
      <c r="J374" s="1530"/>
      <c r="K374" s="1530"/>
      <c r="R374" s="1530"/>
      <c r="S374" s="1530"/>
      <c r="T374" s="1530"/>
      <c r="AA374" s="1530"/>
      <c r="AB374" s="1530"/>
      <c r="AC374" s="1530"/>
      <c r="AJ374" s="1530"/>
      <c r="AK374" s="1530"/>
      <c r="AL374" s="1530"/>
      <c r="AS374" s="1530"/>
      <c r="AT374" s="1530"/>
      <c r="AU374" s="1530"/>
      <c r="BB374" s="1530"/>
      <c r="BC374" s="1530"/>
      <c r="BD374" s="1530"/>
      <c r="BK374" s="1530"/>
      <c r="BL374" s="1530"/>
      <c r="BM374" s="1530"/>
    </row>
    <row r="375" spans="9:65" s="1524" customFormat="1" ht="11.5">
      <c r="I375" s="1530"/>
      <c r="J375" s="1530"/>
      <c r="K375" s="1530"/>
      <c r="R375" s="1530"/>
      <c r="S375" s="1530"/>
      <c r="T375" s="1530"/>
      <c r="AA375" s="1530"/>
      <c r="AB375" s="1530"/>
      <c r="AC375" s="1530"/>
      <c r="AJ375" s="1530"/>
      <c r="AK375" s="1530"/>
      <c r="AL375" s="1530"/>
      <c r="AS375" s="1530"/>
      <c r="AT375" s="1530"/>
      <c r="AU375" s="1530"/>
      <c r="BB375" s="1530"/>
      <c r="BC375" s="1530"/>
      <c r="BD375" s="1530"/>
      <c r="BK375" s="1530"/>
      <c r="BL375" s="1530"/>
      <c r="BM375" s="1530"/>
    </row>
    <row r="376" spans="9:65" s="1524" customFormat="1" ht="11.5">
      <c r="I376" s="1530"/>
      <c r="J376" s="1530"/>
      <c r="K376" s="1530"/>
      <c r="R376" s="1530"/>
      <c r="S376" s="1530"/>
      <c r="T376" s="1530"/>
      <c r="AA376" s="1530"/>
      <c r="AB376" s="1530"/>
      <c r="AC376" s="1530"/>
      <c r="AJ376" s="1530"/>
      <c r="AK376" s="1530"/>
      <c r="AL376" s="1530"/>
      <c r="AS376" s="1530"/>
      <c r="AT376" s="1530"/>
      <c r="AU376" s="1530"/>
      <c r="BB376" s="1530"/>
      <c r="BC376" s="1530"/>
      <c r="BD376" s="1530"/>
      <c r="BK376" s="1530"/>
      <c r="BL376" s="1530"/>
      <c r="BM376" s="1530"/>
    </row>
    <row r="377" spans="9:65" s="1524" customFormat="1" ht="11.5">
      <c r="I377" s="1530"/>
      <c r="J377" s="1530"/>
      <c r="K377" s="1530"/>
      <c r="R377" s="1530"/>
      <c r="S377" s="1530"/>
      <c r="T377" s="1530"/>
      <c r="AA377" s="1530"/>
      <c r="AB377" s="1530"/>
      <c r="AC377" s="1530"/>
      <c r="AJ377" s="1530"/>
      <c r="AK377" s="1530"/>
      <c r="AL377" s="1530"/>
      <c r="AS377" s="1530"/>
      <c r="AT377" s="1530"/>
      <c r="AU377" s="1530"/>
      <c r="BB377" s="1530"/>
      <c r="BC377" s="1530"/>
      <c r="BD377" s="1530"/>
      <c r="BK377" s="1530"/>
      <c r="BL377" s="1530"/>
      <c r="BM377" s="1530"/>
    </row>
    <row r="378" spans="9:65" s="1524" customFormat="1" ht="11.5">
      <c r="I378" s="1530"/>
      <c r="J378" s="1530"/>
      <c r="K378" s="1530"/>
      <c r="R378" s="1530"/>
      <c r="S378" s="1530"/>
      <c r="T378" s="1530"/>
      <c r="AA378" s="1530"/>
      <c r="AB378" s="1530"/>
      <c r="AC378" s="1530"/>
      <c r="AJ378" s="1530"/>
      <c r="AK378" s="1530"/>
      <c r="AL378" s="1530"/>
      <c r="AS378" s="1530"/>
      <c r="AT378" s="1530"/>
      <c r="AU378" s="1530"/>
      <c r="BB378" s="1530"/>
      <c r="BC378" s="1530"/>
      <c r="BD378" s="1530"/>
      <c r="BK378" s="1530"/>
      <c r="BL378" s="1530"/>
      <c r="BM378" s="1530"/>
    </row>
    <row r="379" spans="9:65" s="1524" customFormat="1" ht="11.5">
      <c r="I379" s="1530"/>
      <c r="J379" s="1530"/>
      <c r="K379" s="1530"/>
      <c r="R379" s="1530"/>
      <c r="S379" s="1530"/>
      <c r="T379" s="1530"/>
      <c r="AA379" s="1530"/>
      <c r="AB379" s="1530"/>
      <c r="AC379" s="1530"/>
      <c r="AJ379" s="1530"/>
      <c r="AK379" s="1530"/>
      <c r="AL379" s="1530"/>
      <c r="AS379" s="1530"/>
      <c r="AT379" s="1530"/>
      <c r="AU379" s="1530"/>
      <c r="BB379" s="1530"/>
      <c r="BC379" s="1530"/>
      <c r="BD379" s="1530"/>
      <c r="BK379" s="1530"/>
      <c r="BL379" s="1530"/>
      <c r="BM379" s="1530"/>
    </row>
    <row r="380" spans="9:65" s="1524" customFormat="1" ht="11.5">
      <c r="I380" s="1530"/>
      <c r="J380" s="1530"/>
      <c r="K380" s="1530"/>
      <c r="R380" s="1530"/>
      <c r="S380" s="1530"/>
      <c r="T380" s="1530"/>
      <c r="AA380" s="1530"/>
      <c r="AB380" s="1530"/>
      <c r="AC380" s="1530"/>
      <c r="AJ380" s="1530"/>
      <c r="AK380" s="1530"/>
      <c r="AL380" s="1530"/>
      <c r="AS380" s="1530"/>
      <c r="AT380" s="1530"/>
      <c r="AU380" s="1530"/>
      <c r="BB380" s="1530"/>
      <c r="BC380" s="1530"/>
      <c r="BD380" s="1530"/>
      <c r="BK380" s="1530"/>
      <c r="BL380" s="1530"/>
      <c r="BM380" s="1530"/>
    </row>
    <row r="381" spans="9:65" s="1524" customFormat="1" ht="11.5">
      <c r="I381" s="1530"/>
      <c r="J381" s="1530"/>
      <c r="K381" s="1530"/>
      <c r="R381" s="1530"/>
      <c r="S381" s="1530"/>
      <c r="T381" s="1530"/>
      <c r="AA381" s="1530"/>
      <c r="AB381" s="1530"/>
      <c r="AC381" s="1530"/>
      <c r="AJ381" s="1530"/>
      <c r="AK381" s="1530"/>
      <c r="AL381" s="1530"/>
      <c r="AS381" s="1530"/>
      <c r="AT381" s="1530"/>
      <c r="AU381" s="1530"/>
      <c r="BB381" s="1530"/>
      <c r="BC381" s="1530"/>
      <c r="BD381" s="1530"/>
      <c r="BK381" s="1530"/>
      <c r="BL381" s="1530"/>
      <c r="BM381" s="1530"/>
    </row>
    <row r="382" spans="9:65" s="1524" customFormat="1" ht="11.5">
      <c r="I382" s="1530"/>
      <c r="J382" s="1530"/>
      <c r="K382" s="1530"/>
      <c r="R382" s="1530"/>
      <c r="S382" s="1530"/>
      <c r="T382" s="1530"/>
      <c r="AA382" s="1530"/>
      <c r="AB382" s="1530"/>
      <c r="AC382" s="1530"/>
      <c r="AJ382" s="1530"/>
      <c r="AK382" s="1530"/>
      <c r="AL382" s="1530"/>
      <c r="AS382" s="1530"/>
      <c r="AT382" s="1530"/>
      <c r="AU382" s="1530"/>
      <c r="BB382" s="1530"/>
      <c r="BC382" s="1530"/>
      <c r="BD382" s="1530"/>
      <c r="BK382" s="1530"/>
      <c r="BL382" s="1530"/>
      <c r="BM382" s="1530"/>
    </row>
    <row r="383" spans="9:65" s="1524" customFormat="1" ht="11.5">
      <c r="I383" s="1530"/>
      <c r="J383" s="1530"/>
      <c r="K383" s="1530"/>
      <c r="R383" s="1530"/>
      <c r="S383" s="1530"/>
      <c r="T383" s="1530"/>
      <c r="AA383" s="1530"/>
      <c r="AB383" s="1530"/>
      <c r="AC383" s="1530"/>
      <c r="AJ383" s="1530"/>
      <c r="AK383" s="1530"/>
      <c r="AL383" s="1530"/>
      <c r="AS383" s="1530"/>
      <c r="AT383" s="1530"/>
      <c r="AU383" s="1530"/>
      <c r="BB383" s="1530"/>
      <c r="BC383" s="1530"/>
      <c r="BD383" s="1530"/>
      <c r="BK383" s="1530"/>
      <c r="BL383" s="1530"/>
      <c r="BM383" s="1530"/>
    </row>
    <row r="384" spans="9:65" s="1524" customFormat="1" ht="11.5">
      <c r="I384" s="1530"/>
      <c r="J384" s="1530"/>
      <c r="K384" s="1530"/>
      <c r="R384" s="1530"/>
      <c r="S384" s="1530"/>
      <c r="T384" s="1530"/>
      <c r="AA384" s="1530"/>
      <c r="AB384" s="1530"/>
      <c r="AC384" s="1530"/>
      <c r="AJ384" s="1530"/>
      <c r="AK384" s="1530"/>
      <c r="AL384" s="1530"/>
      <c r="AS384" s="1530"/>
      <c r="AT384" s="1530"/>
      <c r="AU384" s="1530"/>
      <c r="BB384" s="1530"/>
      <c r="BC384" s="1530"/>
      <c r="BD384" s="1530"/>
      <c r="BK384" s="1530"/>
      <c r="BL384" s="1530"/>
      <c r="BM384" s="1530"/>
    </row>
    <row r="385" spans="9:65" s="1524" customFormat="1" ht="11.5">
      <c r="I385" s="1530"/>
      <c r="J385" s="1530"/>
      <c r="K385" s="1530"/>
      <c r="R385" s="1530"/>
      <c r="S385" s="1530"/>
      <c r="T385" s="1530"/>
      <c r="AA385" s="1530"/>
      <c r="AB385" s="1530"/>
      <c r="AC385" s="1530"/>
      <c r="AJ385" s="1530"/>
      <c r="AK385" s="1530"/>
      <c r="AL385" s="1530"/>
      <c r="AS385" s="1530"/>
      <c r="AT385" s="1530"/>
      <c r="AU385" s="1530"/>
      <c r="BB385" s="1530"/>
      <c r="BC385" s="1530"/>
      <c r="BD385" s="1530"/>
      <c r="BK385" s="1530"/>
      <c r="BL385" s="1530"/>
      <c r="BM385" s="1530"/>
    </row>
    <row r="386" spans="9:65" s="1524" customFormat="1" ht="11.5">
      <c r="I386" s="1530"/>
      <c r="J386" s="1530"/>
      <c r="K386" s="1530"/>
      <c r="R386" s="1530"/>
      <c r="S386" s="1530"/>
      <c r="T386" s="1530"/>
      <c r="AA386" s="1530"/>
      <c r="AB386" s="1530"/>
      <c r="AC386" s="1530"/>
      <c r="AJ386" s="1530"/>
      <c r="AK386" s="1530"/>
      <c r="AL386" s="1530"/>
      <c r="AS386" s="1530"/>
      <c r="AT386" s="1530"/>
      <c r="AU386" s="1530"/>
      <c r="BB386" s="1530"/>
      <c r="BC386" s="1530"/>
      <c r="BD386" s="1530"/>
      <c r="BK386" s="1530"/>
      <c r="BL386" s="1530"/>
      <c r="BM386" s="1530"/>
    </row>
    <row r="387" spans="9:65" s="1524" customFormat="1" ht="11.5">
      <c r="I387" s="1530"/>
      <c r="J387" s="1530"/>
      <c r="K387" s="1530"/>
      <c r="R387" s="1530"/>
      <c r="S387" s="1530"/>
      <c r="T387" s="1530"/>
      <c r="AA387" s="1530"/>
      <c r="AB387" s="1530"/>
      <c r="AC387" s="1530"/>
      <c r="AJ387" s="1530"/>
      <c r="AK387" s="1530"/>
      <c r="AL387" s="1530"/>
      <c r="AS387" s="1530"/>
      <c r="AT387" s="1530"/>
      <c r="AU387" s="1530"/>
      <c r="BB387" s="1530"/>
      <c r="BC387" s="1530"/>
      <c r="BD387" s="1530"/>
      <c r="BK387" s="1530"/>
      <c r="BL387" s="1530"/>
      <c r="BM387" s="1530"/>
    </row>
    <row r="388" spans="9:65" s="1524" customFormat="1" ht="11.5">
      <c r="I388" s="1530"/>
      <c r="J388" s="1530"/>
      <c r="K388" s="1530"/>
      <c r="R388" s="1530"/>
      <c r="S388" s="1530"/>
      <c r="T388" s="1530"/>
      <c r="AA388" s="1530"/>
      <c r="AB388" s="1530"/>
      <c r="AC388" s="1530"/>
      <c r="AJ388" s="1530"/>
      <c r="AK388" s="1530"/>
      <c r="AL388" s="1530"/>
      <c r="AS388" s="1530"/>
      <c r="AT388" s="1530"/>
      <c r="AU388" s="1530"/>
      <c r="BB388" s="1530"/>
      <c r="BC388" s="1530"/>
      <c r="BD388" s="1530"/>
      <c r="BK388" s="1530"/>
      <c r="BL388" s="1530"/>
      <c r="BM388" s="1530"/>
    </row>
    <row r="389" spans="9:65" s="1524" customFormat="1" ht="11.5">
      <c r="I389" s="1530"/>
      <c r="J389" s="1530"/>
      <c r="K389" s="1530"/>
      <c r="R389" s="1530"/>
      <c r="S389" s="1530"/>
      <c r="T389" s="1530"/>
      <c r="AA389" s="1530"/>
      <c r="AB389" s="1530"/>
      <c r="AC389" s="1530"/>
      <c r="AJ389" s="1530"/>
      <c r="AK389" s="1530"/>
      <c r="AL389" s="1530"/>
      <c r="AS389" s="1530"/>
      <c r="AT389" s="1530"/>
      <c r="AU389" s="1530"/>
      <c r="BB389" s="1530"/>
      <c r="BC389" s="1530"/>
      <c r="BD389" s="1530"/>
      <c r="BK389" s="1530"/>
      <c r="BL389" s="1530"/>
      <c r="BM389" s="1530"/>
    </row>
    <row r="390" spans="9:65" s="1524" customFormat="1" ht="11.5">
      <c r="I390" s="1530"/>
      <c r="J390" s="1530"/>
      <c r="K390" s="1530"/>
      <c r="R390" s="1530"/>
      <c r="S390" s="1530"/>
      <c r="T390" s="1530"/>
      <c r="AA390" s="1530"/>
      <c r="AB390" s="1530"/>
      <c r="AC390" s="1530"/>
      <c r="AJ390" s="1530"/>
      <c r="AK390" s="1530"/>
      <c r="AL390" s="1530"/>
      <c r="AS390" s="1530"/>
      <c r="AT390" s="1530"/>
      <c r="AU390" s="1530"/>
      <c r="BB390" s="1530"/>
      <c r="BC390" s="1530"/>
      <c r="BD390" s="1530"/>
      <c r="BK390" s="1530"/>
      <c r="BL390" s="1530"/>
      <c r="BM390" s="1530"/>
    </row>
    <row r="391" spans="9:65" s="1524" customFormat="1" ht="11.5">
      <c r="I391" s="1530"/>
      <c r="J391" s="1530"/>
      <c r="K391" s="1530"/>
      <c r="R391" s="1530"/>
      <c r="S391" s="1530"/>
      <c r="T391" s="1530"/>
      <c r="AA391" s="1530"/>
      <c r="AB391" s="1530"/>
      <c r="AC391" s="1530"/>
      <c r="AJ391" s="1530"/>
      <c r="AK391" s="1530"/>
      <c r="AL391" s="1530"/>
      <c r="AS391" s="1530"/>
      <c r="AT391" s="1530"/>
      <c r="AU391" s="1530"/>
      <c r="BB391" s="1530"/>
      <c r="BC391" s="1530"/>
      <c r="BD391" s="1530"/>
      <c r="BK391" s="1530"/>
      <c r="BL391" s="1530"/>
      <c r="BM391" s="1530"/>
    </row>
    <row r="392" spans="9:65" s="1524" customFormat="1" ht="11.5">
      <c r="I392" s="1530"/>
      <c r="J392" s="1530"/>
      <c r="K392" s="1530"/>
      <c r="R392" s="1530"/>
      <c r="S392" s="1530"/>
      <c r="T392" s="1530"/>
      <c r="AA392" s="1530"/>
      <c r="AB392" s="1530"/>
      <c r="AC392" s="1530"/>
      <c r="AJ392" s="1530"/>
      <c r="AK392" s="1530"/>
      <c r="AL392" s="1530"/>
      <c r="AS392" s="1530"/>
      <c r="AT392" s="1530"/>
      <c r="AU392" s="1530"/>
      <c r="BB392" s="1530"/>
      <c r="BC392" s="1530"/>
      <c r="BD392" s="1530"/>
      <c r="BK392" s="1530"/>
      <c r="BL392" s="1530"/>
      <c r="BM392" s="1530"/>
    </row>
    <row r="393" spans="9:65" s="1524" customFormat="1" ht="11.5">
      <c r="I393" s="1530"/>
      <c r="J393" s="1530"/>
      <c r="K393" s="1530"/>
      <c r="R393" s="1530"/>
      <c r="S393" s="1530"/>
      <c r="T393" s="1530"/>
      <c r="AA393" s="1530"/>
      <c r="AB393" s="1530"/>
      <c r="AC393" s="1530"/>
      <c r="AJ393" s="1530"/>
      <c r="AK393" s="1530"/>
      <c r="AL393" s="1530"/>
      <c r="AS393" s="1530"/>
      <c r="AT393" s="1530"/>
      <c r="AU393" s="1530"/>
      <c r="BB393" s="1530"/>
      <c r="BC393" s="1530"/>
      <c r="BD393" s="1530"/>
      <c r="BK393" s="1530"/>
      <c r="BL393" s="1530"/>
      <c r="BM393" s="1530"/>
    </row>
    <row r="394" spans="9:65" s="1524" customFormat="1" ht="11.5">
      <c r="I394" s="1530"/>
      <c r="J394" s="1530"/>
      <c r="K394" s="1530"/>
      <c r="R394" s="1530"/>
      <c r="S394" s="1530"/>
      <c r="T394" s="1530"/>
      <c r="AA394" s="1530"/>
      <c r="AB394" s="1530"/>
      <c r="AC394" s="1530"/>
      <c r="AJ394" s="1530"/>
      <c r="AK394" s="1530"/>
      <c r="AL394" s="1530"/>
      <c r="AS394" s="1530"/>
      <c r="AT394" s="1530"/>
      <c r="AU394" s="1530"/>
      <c r="BB394" s="1530"/>
      <c r="BC394" s="1530"/>
      <c r="BD394" s="1530"/>
      <c r="BK394" s="1530"/>
      <c r="BL394" s="1530"/>
      <c r="BM394" s="1530"/>
    </row>
    <row r="395" spans="9:65" s="1524" customFormat="1" ht="11.5">
      <c r="I395" s="1530"/>
      <c r="J395" s="1530"/>
      <c r="K395" s="1530"/>
      <c r="R395" s="1530"/>
      <c r="S395" s="1530"/>
      <c r="T395" s="1530"/>
      <c r="AA395" s="1530"/>
      <c r="AB395" s="1530"/>
      <c r="AC395" s="1530"/>
      <c r="AJ395" s="1530"/>
      <c r="AK395" s="1530"/>
      <c r="AL395" s="1530"/>
      <c r="AS395" s="1530"/>
      <c r="AT395" s="1530"/>
      <c r="AU395" s="1530"/>
      <c r="BB395" s="1530"/>
      <c r="BC395" s="1530"/>
      <c r="BD395" s="1530"/>
      <c r="BK395" s="1530"/>
      <c r="BL395" s="1530"/>
      <c r="BM395" s="1530"/>
    </row>
    <row r="396" spans="9:65" s="1524" customFormat="1" ht="11.5">
      <c r="I396" s="1530"/>
      <c r="J396" s="1530"/>
      <c r="K396" s="1530"/>
      <c r="R396" s="1530"/>
      <c r="S396" s="1530"/>
      <c r="T396" s="1530"/>
      <c r="AA396" s="1530"/>
      <c r="AB396" s="1530"/>
      <c r="AC396" s="1530"/>
      <c r="AJ396" s="1530"/>
      <c r="AK396" s="1530"/>
      <c r="AL396" s="1530"/>
      <c r="AS396" s="1530"/>
      <c r="AT396" s="1530"/>
      <c r="AU396" s="1530"/>
      <c r="BB396" s="1530"/>
      <c r="BC396" s="1530"/>
      <c r="BD396" s="1530"/>
      <c r="BK396" s="1530"/>
      <c r="BL396" s="1530"/>
      <c r="BM396" s="1530"/>
    </row>
    <row r="397" spans="9:65" s="1524" customFormat="1" ht="11.5">
      <c r="I397" s="1530"/>
      <c r="J397" s="1530"/>
      <c r="K397" s="1530"/>
      <c r="R397" s="1530"/>
      <c r="S397" s="1530"/>
      <c r="T397" s="1530"/>
      <c r="AA397" s="1530"/>
      <c r="AB397" s="1530"/>
      <c r="AC397" s="1530"/>
      <c r="AJ397" s="1530"/>
      <c r="AK397" s="1530"/>
      <c r="AL397" s="1530"/>
      <c r="AS397" s="1530"/>
      <c r="AT397" s="1530"/>
      <c r="AU397" s="1530"/>
      <c r="BB397" s="1530"/>
      <c r="BC397" s="1530"/>
      <c r="BD397" s="1530"/>
      <c r="BK397" s="1530"/>
      <c r="BL397" s="1530"/>
      <c r="BM397" s="1530"/>
    </row>
    <row r="398" spans="9:65" s="1524" customFormat="1" ht="11.5">
      <c r="I398" s="1530"/>
      <c r="J398" s="1530"/>
      <c r="K398" s="1530"/>
      <c r="R398" s="1530"/>
      <c r="S398" s="1530"/>
      <c r="T398" s="1530"/>
      <c r="AA398" s="1530"/>
      <c r="AB398" s="1530"/>
      <c r="AC398" s="1530"/>
      <c r="AJ398" s="1530"/>
      <c r="AK398" s="1530"/>
      <c r="AL398" s="1530"/>
      <c r="AS398" s="1530"/>
      <c r="AT398" s="1530"/>
      <c r="AU398" s="1530"/>
      <c r="BB398" s="1530"/>
      <c r="BC398" s="1530"/>
      <c r="BD398" s="1530"/>
      <c r="BK398" s="1530"/>
      <c r="BL398" s="1530"/>
      <c r="BM398" s="1530"/>
    </row>
    <row r="399" spans="9:65" s="1524" customFormat="1" ht="11.5">
      <c r="I399" s="1530"/>
      <c r="J399" s="1530"/>
      <c r="K399" s="1530"/>
      <c r="R399" s="1530"/>
      <c r="S399" s="1530"/>
      <c r="T399" s="1530"/>
      <c r="AA399" s="1530"/>
      <c r="AB399" s="1530"/>
      <c r="AC399" s="1530"/>
      <c r="AJ399" s="1530"/>
      <c r="AK399" s="1530"/>
      <c r="AL399" s="1530"/>
      <c r="AS399" s="1530"/>
      <c r="AT399" s="1530"/>
      <c r="AU399" s="1530"/>
      <c r="BB399" s="1530"/>
      <c r="BC399" s="1530"/>
      <c r="BD399" s="1530"/>
      <c r="BK399" s="1530"/>
      <c r="BL399" s="1530"/>
      <c r="BM399" s="1530"/>
    </row>
    <row r="400" spans="9:65" s="1524" customFormat="1" ht="11.5">
      <c r="I400" s="1530"/>
      <c r="J400" s="1530"/>
      <c r="K400" s="1530"/>
      <c r="R400" s="1530"/>
      <c r="S400" s="1530"/>
      <c r="T400" s="1530"/>
      <c r="AA400" s="1530"/>
      <c r="AB400" s="1530"/>
      <c r="AC400" s="1530"/>
      <c r="AJ400" s="1530"/>
      <c r="AK400" s="1530"/>
      <c r="AL400" s="1530"/>
      <c r="AS400" s="1530"/>
      <c r="AT400" s="1530"/>
      <c r="AU400" s="1530"/>
      <c r="BB400" s="1530"/>
      <c r="BC400" s="1530"/>
      <c r="BD400" s="1530"/>
      <c r="BK400" s="1530"/>
      <c r="BL400" s="1530"/>
      <c r="BM400" s="1530"/>
    </row>
    <row r="401" spans="9:120" s="1524" customFormat="1" ht="11.5">
      <c r="I401" s="1530"/>
      <c r="J401" s="1530"/>
      <c r="K401" s="1530"/>
      <c r="R401" s="1530"/>
      <c r="S401" s="1530"/>
      <c r="T401" s="1530"/>
      <c r="AA401" s="1530"/>
      <c r="AB401" s="1530"/>
      <c r="AC401" s="1530"/>
      <c r="AJ401" s="1530"/>
      <c r="AK401" s="1530"/>
      <c r="AL401" s="1530"/>
      <c r="AS401" s="1530"/>
      <c r="AT401" s="1530"/>
      <c r="AU401" s="1530"/>
      <c r="BB401" s="1530"/>
      <c r="BC401" s="1530"/>
      <c r="BD401" s="1530"/>
      <c r="BK401" s="1530"/>
      <c r="BL401" s="1530"/>
      <c r="BM401" s="1530"/>
    </row>
    <row r="402" spans="9:120" s="1524" customFormat="1" ht="11.5">
      <c r="I402" s="1530"/>
      <c r="J402" s="1530"/>
      <c r="K402" s="1530"/>
      <c r="R402" s="1530"/>
      <c r="S402" s="1530"/>
      <c r="T402" s="1530"/>
      <c r="AA402" s="1530"/>
      <c r="AB402" s="1530"/>
      <c r="AC402" s="1530"/>
      <c r="AJ402" s="1530"/>
      <c r="AK402" s="1530"/>
      <c r="AL402" s="1530"/>
      <c r="AS402" s="1530"/>
      <c r="AT402" s="1530"/>
      <c r="AU402" s="1530"/>
      <c r="BB402" s="1530"/>
      <c r="BC402" s="1530"/>
      <c r="BD402" s="1530"/>
      <c r="BK402" s="1530"/>
      <c r="BL402" s="1530"/>
      <c r="BM402" s="1530"/>
    </row>
    <row r="403" spans="9:120" s="1524" customFormat="1" ht="11.5">
      <c r="I403" s="1530"/>
      <c r="J403" s="1530"/>
      <c r="K403" s="1530"/>
      <c r="R403" s="1530"/>
      <c r="S403" s="1530"/>
      <c r="T403" s="1530"/>
      <c r="AA403" s="1530"/>
      <c r="AB403" s="1530"/>
      <c r="AC403" s="1530"/>
      <c r="AJ403" s="1530"/>
      <c r="AK403" s="1530"/>
      <c r="AL403" s="1530"/>
      <c r="AS403" s="1530"/>
      <c r="AT403" s="1530"/>
      <c r="AU403" s="1530"/>
      <c r="BB403" s="1530"/>
      <c r="BC403" s="1530"/>
      <c r="BD403" s="1530"/>
      <c r="BK403" s="1530"/>
      <c r="BL403" s="1530"/>
      <c r="BM403" s="1530"/>
    </row>
    <row r="404" spans="9:120" s="1524" customFormat="1" ht="11.5">
      <c r="I404" s="1530"/>
      <c r="J404" s="1530"/>
      <c r="K404" s="1530"/>
      <c r="R404" s="1530"/>
      <c r="S404" s="1530"/>
      <c r="T404" s="1530"/>
      <c r="AA404" s="1530"/>
      <c r="AB404" s="1530"/>
      <c r="AC404" s="1530"/>
      <c r="AJ404" s="1530"/>
      <c r="AK404" s="1530"/>
      <c r="AL404" s="1530"/>
      <c r="AS404" s="1530"/>
      <c r="AT404" s="1530"/>
      <c r="AU404" s="1530"/>
      <c r="BB404" s="1530"/>
      <c r="BC404" s="1530"/>
      <c r="BD404" s="1530"/>
      <c r="BK404" s="1530"/>
      <c r="BL404" s="1530"/>
      <c r="BM404" s="1530"/>
    </row>
    <row r="405" spans="9:120" s="1524" customFormat="1" ht="11.5">
      <c r="I405" s="1530"/>
      <c r="J405" s="1530"/>
      <c r="K405" s="1530"/>
      <c r="R405" s="1530"/>
      <c r="S405" s="1530"/>
      <c r="T405" s="1530"/>
      <c r="AA405" s="1530"/>
      <c r="AB405" s="1530"/>
      <c r="AC405" s="1530"/>
      <c r="AJ405" s="1530"/>
      <c r="AK405" s="1530"/>
      <c r="AL405" s="1530"/>
      <c r="AS405" s="1530"/>
      <c r="AT405" s="1530"/>
      <c r="AU405" s="1530"/>
      <c r="BB405" s="1530"/>
      <c r="BC405" s="1530"/>
      <c r="BD405" s="1530"/>
      <c r="BK405" s="1530"/>
      <c r="BL405" s="1530"/>
      <c r="BM405" s="1530"/>
    </row>
    <row r="406" spans="9:120" s="1524" customFormat="1" ht="11.5">
      <c r="I406" s="1530"/>
      <c r="J406" s="1530"/>
      <c r="K406" s="1530"/>
      <c r="R406" s="1530"/>
      <c r="S406" s="1530"/>
      <c r="T406" s="1530"/>
      <c r="AA406" s="1530"/>
      <c r="AB406" s="1530"/>
      <c r="AC406" s="1530"/>
      <c r="AJ406" s="1530"/>
      <c r="AK406" s="1530"/>
      <c r="AL406" s="1530"/>
      <c r="AS406" s="1530"/>
      <c r="AT406" s="1530"/>
      <c r="AU406" s="1530"/>
      <c r="BB406" s="1530"/>
      <c r="BC406" s="1530"/>
      <c r="BD406" s="1530"/>
      <c r="BK406" s="1530"/>
      <c r="BL406" s="1530"/>
      <c r="BM406" s="1530"/>
    </row>
    <row r="407" spans="9:120" s="1524" customFormat="1" ht="11.5">
      <c r="I407" s="1530"/>
      <c r="J407" s="1530"/>
      <c r="K407" s="1530"/>
      <c r="R407" s="1530"/>
      <c r="S407" s="1530"/>
      <c r="T407" s="1530"/>
      <c r="AA407" s="1530"/>
      <c r="AB407" s="1530"/>
      <c r="AC407" s="1530"/>
      <c r="AJ407" s="1530"/>
      <c r="AK407" s="1530"/>
      <c r="AL407" s="1530"/>
      <c r="AS407" s="1530"/>
      <c r="AT407" s="1530"/>
      <c r="AU407" s="1530"/>
      <c r="BB407" s="1530"/>
      <c r="BC407" s="1530"/>
      <c r="BD407" s="1530"/>
      <c r="BK407" s="1530"/>
      <c r="BL407" s="1530"/>
      <c r="BM407" s="1530"/>
    </row>
    <row r="408" spans="9:120" s="1524" customFormat="1" ht="11.5">
      <c r="I408" s="1530"/>
      <c r="J408" s="1530"/>
      <c r="K408" s="1530"/>
      <c r="R408" s="1530"/>
      <c r="S408" s="1530"/>
      <c r="T408" s="1530"/>
      <c r="AA408" s="1530"/>
      <c r="AB408" s="1530"/>
      <c r="AC408" s="1530"/>
      <c r="AJ408" s="1530"/>
      <c r="AK408" s="1530"/>
      <c r="AL408" s="1530"/>
      <c r="AS408" s="1530"/>
      <c r="AT408" s="1530"/>
      <c r="AU408" s="1530"/>
      <c r="BB408" s="1530"/>
      <c r="BC408" s="1530"/>
      <c r="BD408" s="1530"/>
      <c r="BK408" s="1530"/>
      <c r="BL408" s="1530"/>
      <c r="BM408" s="1530"/>
    </row>
    <row r="409" spans="9:120" s="1524" customFormat="1" ht="11.5">
      <c r="I409" s="1530"/>
      <c r="J409" s="1530"/>
      <c r="K409" s="1530"/>
      <c r="R409" s="1530"/>
      <c r="S409" s="1530"/>
      <c r="T409" s="1530"/>
      <c r="AA409" s="1530"/>
      <c r="AB409" s="1530"/>
      <c r="AC409" s="1530"/>
      <c r="AJ409" s="1530"/>
      <c r="AK409" s="1530"/>
      <c r="AL409" s="1530"/>
      <c r="AS409" s="1530"/>
      <c r="AT409" s="1530"/>
      <c r="AU409" s="1530"/>
      <c r="BB409" s="1530"/>
      <c r="BC409" s="1530"/>
      <c r="BD409" s="1530"/>
      <c r="BK409" s="1530"/>
      <c r="BL409" s="1530"/>
      <c r="BM409" s="1530"/>
    </row>
    <row r="410" spans="9:120" s="1524" customFormat="1" ht="11.5">
      <c r="I410" s="1530"/>
      <c r="J410" s="1530"/>
      <c r="K410" s="1530"/>
      <c r="R410" s="1530"/>
      <c r="S410" s="1530"/>
      <c r="T410" s="1530"/>
      <c r="AA410" s="1530"/>
      <c r="AB410" s="1530"/>
      <c r="AC410" s="1530"/>
      <c r="AJ410" s="1530"/>
      <c r="AK410" s="1530"/>
      <c r="AL410" s="1530"/>
      <c r="AS410" s="1530"/>
      <c r="AT410" s="1530"/>
      <c r="AU410" s="1530"/>
      <c r="BB410" s="1530"/>
      <c r="BC410" s="1530"/>
      <c r="BD410" s="1530"/>
      <c r="BK410" s="1530"/>
      <c r="BL410" s="1530"/>
      <c r="BM410" s="1530"/>
    </row>
    <row r="411" spans="9:120" s="1524" customFormat="1">
      <c r="I411" s="1530"/>
      <c r="J411" s="1530"/>
      <c r="K411" s="1530"/>
      <c r="R411" s="1530"/>
      <c r="S411" s="1530"/>
      <c r="T411" s="1530"/>
      <c r="AA411" s="1530"/>
      <c r="AB411" s="1530"/>
      <c r="AC411" s="1530"/>
      <c r="AJ411" s="1530"/>
      <c r="AK411" s="1530"/>
      <c r="AL411" s="1530"/>
      <c r="AS411" s="1530"/>
      <c r="AT411" s="1530"/>
      <c r="AU411" s="1530"/>
      <c r="BB411" s="1530"/>
      <c r="BC411" s="1530"/>
      <c r="BD411" s="1530"/>
      <c r="BK411" s="1530"/>
      <c r="BL411" s="1530"/>
      <c r="BM411" s="1530"/>
      <c r="CY411" s="467"/>
      <c r="CZ411" s="467"/>
      <c r="DA411" s="467"/>
      <c r="DB411" s="467"/>
      <c r="DC411" s="467"/>
      <c r="DD411" s="467"/>
      <c r="DE411" s="467"/>
      <c r="DF411" s="467"/>
      <c r="DG411" s="467"/>
      <c r="DH411" s="467"/>
      <c r="DI411" s="467"/>
      <c r="DJ411" s="467"/>
      <c r="DK411" s="467"/>
      <c r="DL411" s="467"/>
      <c r="DM411" s="467"/>
      <c r="DN411" s="467"/>
      <c r="DO411" s="467"/>
      <c r="DP411" s="467"/>
    </row>
    <row r="412" spans="9:120" s="1524" customFormat="1">
      <c r="I412" s="1530"/>
      <c r="J412" s="1530"/>
      <c r="K412" s="1530"/>
      <c r="R412" s="1530"/>
      <c r="S412" s="1530"/>
      <c r="T412" s="1530"/>
      <c r="AA412" s="1530"/>
      <c r="AB412" s="1530"/>
      <c r="AC412" s="1530"/>
      <c r="AJ412" s="1530"/>
      <c r="AK412" s="1530"/>
      <c r="AL412" s="1530"/>
      <c r="AS412" s="1530"/>
      <c r="AT412" s="1530"/>
      <c r="AU412" s="1530"/>
      <c r="BB412" s="1530"/>
      <c r="BC412" s="1530"/>
      <c r="BD412" s="1530"/>
      <c r="BK412" s="1530"/>
      <c r="BL412" s="1530"/>
      <c r="BM412" s="1530"/>
      <c r="CY412" s="467"/>
      <c r="CZ412" s="467"/>
      <c r="DA412" s="467"/>
      <c r="DB412" s="467"/>
      <c r="DC412" s="467"/>
      <c r="DD412" s="467"/>
      <c r="DE412" s="467"/>
      <c r="DF412" s="467"/>
      <c r="DG412" s="467"/>
      <c r="DH412" s="467"/>
      <c r="DI412" s="467"/>
      <c r="DJ412" s="467"/>
      <c r="DK412" s="467"/>
      <c r="DL412" s="467"/>
      <c r="DM412" s="467"/>
      <c r="DN412" s="467"/>
      <c r="DO412" s="467"/>
      <c r="DP412" s="467"/>
    </row>
    <row r="413" spans="9:120" s="1524" customFormat="1">
      <c r="I413" s="1530"/>
      <c r="J413" s="1530"/>
      <c r="K413" s="1530"/>
      <c r="L413" s="1532"/>
      <c r="R413" s="1530"/>
      <c r="S413" s="1530"/>
      <c r="T413" s="1530"/>
      <c r="AA413" s="1530"/>
      <c r="AB413" s="1530"/>
      <c r="AC413" s="1530"/>
      <c r="AJ413" s="1530"/>
      <c r="AK413" s="1530"/>
      <c r="AL413" s="1530"/>
      <c r="AS413" s="1530"/>
      <c r="AT413" s="1530"/>
      <c r="AU413" s="1530"/>
      <c r="BB413" s="1530"/>
      <c r="BC413" s="1530"/>
      <c r="BD413" s="1530"/>
      <c r="BK413" s="1530"/>
      <c r="BL413" s="1530"/>
      <c r="BM413" s="1530"/>
      <c r="CP413" s="467"/>
      <c r="CQ413" s="467"/>
      <c r="CR413" s="467"/>
      <c r="CS413" s="467"/>
      <c r="CT413" s="467"/>
      <c r="CU413" s="467"/>
      <c r="CV413" s="467"/>
      <c r="CW413" s="467"/>
      <c r="CX413" s="467"/>
      <c r="CY413" s="467"/>
      <c r="CZ413" s="467"/>
      <c r="DA413" s="467"/>
      <c r="DB413" s="467"/>
      <c r="DC413" s="467"/>
      <c r="DD413" s="467"/>
      <c r="DE413" s="467"/>
      <c r="DF413" s="467"/>
      <c r="DG413" s="467"/>
      <c r="DH413" s="467"/>
      <c r="DI413" s="467"/>
      <c r="DJ413" s="467"/>
      <c r="DK413" s="467"/>
      <c r="DL413" s="467"/>
      <c r="DM413" s="467"/>
      <c r="DN413" s="467"/>
      <c r="DO413" s="467"/>
      <c r="DP413" s="467"/>
    </row>
    <row r="414" spans="9:120" s="1524" customFormat="1">
      <c r="I414" s="1530"/>
      <c r="J414" s="1530"/>
      <c r="K414" s="1530"/>
      <c r="L414" s="1532"/>
      <c r="R414" s="1530"/>
      <c r="S414" s="1530"/>
      <c r="T414" s="1530"/>
      <c r="AA414" s="1530"/>
      <c r="AB414" s="1530"/>
      <c r="AC414" s="1530"/>
      <c r="AJ414" s="1530"/>
      <c r="AK414" s="1530"/>
      <c r="AL414" s="1530"/>
      <c r="AS414" s="1530"/>
      <c r="AT414" s="1530"/>
      <c r="AU414" s="1530"/>
      <c r="BB414" s="1530"/>
      <c r="BC414" s="1530"/>
      <c r="BD414" s="1530"/>
      <c r="BK414" s="1530"/>
      <c r="BL414" s="1530"/>
      <c r="BM414" s="1530"/>
      <c r="CP414" s="467"/>
      <c r="CQ414" s="467"/>
      <c r="CR414" s="467"/>
      <c r="CS414" s="467"/>
      <c r="CT414" s="467"/>
      <c r="CU414" s="467"/>
      <c r="CV414" s="467"/>
      <c r="CW414" s="467"/>
      <c r="CX414" s="467"/>
      <c r="CY414" s="467"/>
      <c r="CZ414" s="467"/>
      <c r="DA414" s="467"/>
      <c r="DB414" s="467"/>
      <c r="DC414" s="467"/>
      <c r="DD414" s="467"/>
      <c r="DE414" s="467"/>
      <c r="DF414" s="467"/>
      <c r="DG414" s="467"/>
      <c r="DH414" s="467"/>
      <c r="DI414" s="467"/>
      <c r="DJ414" s="467"/>
      <c r="DK414" s="467"/>
      <c r="DL414" s="467"/>
      <c r="DM414" s="467"/>
      <c r="DN414" s="467"/>
      <c r="DO414" s="467"/>
      <c r="DP414" s="467"/>
    </row>
    <row r="415" spans="9:120" s="1524" customFormat="1">
      <c r="I415" s="1530"/>
      <c r="J415" s="1530"/>
      <c r="K415" s="1530"/>
      <c r="L415" s="1532"/>
      <c r="R415" s="1530"/>
      <c r="S415" s="1530"/>
      <c r="T415" s="1530"/>
      <c r="AA415" s="1530"/>
      <c r="AB415" s="1530"/>
      <c r="AC415" s="1530"/>
      <c r="AJ415" s="1530"/>
      <c r="AK415" s="1530"/>
      <c r="AL415" s="1530"/>
      <c r="AS415" s="1530"/>
      <c r="AT415" s="1530"/>
      <c r="AU415" s="1530"/>
      <c r="BB415" s="1530"/>
      <c r="BC415" s="1530"/>
      <c r="BD415" s="1530"/>
      <c r="BK415" s="1530"/>
      <c r="BL415" s="1530"/>
      <c r="BM415" s="1530"/>
      <c r="CP415" s="467"/>
      <c r="CQ415" s="467"/>
      <c r="CR415" s="467"/>
      <c r="CS415" s="467"/>
      <c r="CT415" s="467"/>
      <c r="CU415" s="467"/>
      <c r="CV415" s="467"/>
      <c r="CW415" s="467"/>
      <c r="CX415" s="467"/>
      <c r="CY415" s="467"/>
      <c r="CZ415" s="467"/>
      <c r="DA415" s="467"/>
      <c r="DB415" s="467"/>
      <c r="DC415" s="467"/>
      <c r="DD415" s="467"/>
      <c r="DE415" s="467"/>
      <c r="DF415" s="467"/>
      <c r="DG415" s="467"/>
      <c r="DH415" s="467"/>
      <c r="DI415" s="467"/>
      <c r="DJ415" s="467"/>
      <c r="DK415" s="467"/>
      <c r="DL415" s="467"/>
      <c r="DM415" s="467"/>
      <c r="DN415" s="467"/>
      <c r="DO415" s="467"/>
      <c r="DP415" s="467"/>
    </row>
    <row r="416" spans="9:120" s="1524" customFormat="1">
      <c r="I416" s="1530"/>
      <c r="J416" s="1530"/>
      <c r="K416" s="1530"/>
      <c r="L416" s="1532"/>
      <c r="R416" s="1530"/>
      <c r="S416" s="1530"/>
      <c r="T416" s="1530"/>
      <c r="AA416" s="1530"/>
      <c r="AB416" s="1530"/>
      <c r="AC416" s="1530"/>
      <c r="AJ416" s="1530"/>
      <c r="AK416" s="1530"/>
      <c r="AL416" s="1530"/>
      <c r="AS416" s="1530"/>
      <c r="AT416" s="1530"/>
      <c r="AU416" s="1530"/>
      <c r="BB416" s="1530"/>
      <c r="BC416" s="1530"/>
      <c r="BD416" s="1530"/>
      <c r="BK416" s="1530"/>
      <c r="BL416" s="1530"/>
      <c r="BM416" s="1530"/>
      <c r="CP416" s="467"/>
      <c r="CQ416" s="467"/>
      <c r="CR416" s="467"/>
      <c r="CS416" s="467"/>
      <c r="CT416" s="467"/>
      <c r="CU416" s="467"/>
      <c r="CV416" s="467"/>
      <c r="CW416" s="467"/>
      <c r="CX416" s="467"/>
      <c r="CY416" s="467"/>
      <c r="CZ416" s="467"/>
      <c r="DA416" s="467"/>
      <c r="DB416" s="467"/>
      <c r="DC416" s="467"/>
      <c r="DD416" s="467"/>
      <c r="DE416" s="467"/>
      <c r="DF416" s="467"/>
      <c r="DG416" s="467"/>
      <c r="DH416" s="467"/>
      <c r="DI416" s="467"/>
      <c r="DJ416" s="467"/>
      <c r="DK416" s="467"/>
      <c r="DL416" s="467"/>
      <c r="DM416" s="467"/>
      <c r="DN416" s="467"/>
      <c r="DO416" s="467"/>
      <c r="DP416" s="467"/>
    </row>
    <row r="417" spans="13:57">
      <c r="M417" s="1524"/>
      <c r="N417" s="1524"/>
      <c r="O417" s="1524"/>
      <c r="P417" s="1524"/>
      <c r="Q417" s="1524"/>
      <c r="R417" s="1530"/>
      <c r="T417" s="1530"/>
      <c r="U417" s="1524"/>
      <c r="AW417" s="1524"/>
      <c r="AX417" s="1524"/>
      <c r="AY417" s="1524"/>
      <c r="AZ417" s="1524"/>
      <c r="BA417" s="1524"/>
      <c r="BB417" s="1530"/>
      <c r="BC417" s="1530"/>
      <c r="BD417" s="1530"/>
      <c r="BE417" s="1524"/>
    </row>
  </sheetData>
  <sheetProtection password="DFE4" sheet="1" objects="1" scenarios="1" formatColumns="0"/>
  <mergeCells count="14">
    <mergeCell ref="CG4:CO4"/>
    <mergeCell ref="CP4:CX4"/>
    <mergeCell ref="CY4:DG4"/>
    <mergeCell ref="DH4:DP4"/>
    <mergeCell ref="AN4:AV4"/>
    <mergeCell ref="AW4:BE4"/>
    <mergeCell ref="BF4:BN4"/>
    <mergeCell ref="BO4:BW4"/>
    <mergeCell ref="BX4:CF4"/>
    <mergeCell ref="AF12:AF14"/>
    <mergeCell ref="D4:L4"/>
    <mergeCell ref="M4:U4"/>
    <mergeCell ref="V4:AD4"/>
    <mergeCell ref="AE4:AM4"/>
  </mergeCells>
  <phoneticPr fontId="143" type="noConversion"/>
  <hyperlinks>
    <hyperlink ref="BA58" r:id="rId1" xr:uid="{00000000-0004-0000-2100-000000000000}"/>
    <hyperlink ref="BA76" r:id="rId2" xr:uid="{00000000-0004-0000-2100-000001000000}"/>
    <hyperlink ref="BA66" r:id="rId3" xr:uid="{00000000-0004-0000-2100-000002000000}"/>
    <hyperlink ref="BA29" r:id="rId4" display="albert.lee@chinney-eng.com" xr:uid="{00000000-0004-0000-2100-000003000000}"/>
    <hyperlink ref="BA38" r:id="rId5" display="willhui@hitachi-hk.com.hk" xr:uid="{00000000-0004-0000-2100-000004000000}"/>
    <hyperlink ref="BA59" r:id="rId6" xr:uid="{00000000-0004-0000-2100-000005000000}"/>
    <hyperlink ref="BA51" r:id="rId7" xr:uid="{00000000-0004-0000-2100-000006000000}"/>
    <hyperlink ref="BA52" r:id="rId8" xr:uid="{00000000-0004-0000-2100-000007000000}"/>
    <hyperlink ref="BA69" r:id="rId9" xr:uid="{00000000-0004-0000-2100-000008000000}"/>
    <hyperlink ref="BA64" r:id="rId10" xr:uid="{00000000-0004-0000-2100-000009000000}"/>
    <hyperlink ref="H6" r:id="rId11" xr:uid="{00000000-0004-0000-2100-00000A000000}"/>
    <hyperlink ref="H11" r:id="rId12" xr:uid="{00000000-0004-0000-2100-00000B000000}"/>
    <hyperlink ref="H12" r:id="rId13" xr:uid="{00000000-0004-0000-2100-00000C000000}"/>
    <hyperlink ref="H19" r:id="rId14" xr:uid="{00000000-0004-0000-2100-00000D000000}"/>
    <hyperlink ref="H7" r:id="rId15" xr:uid="{00000000-0004-0000-2100-00000E000000}"/>
    <hyperlink ref="H13" r:id="rId16" display="Joe.Man-Kit.Chan@jci.com" xr:uid="{00000000-0004-0000-2100-00000F000000}"/>
    <hyperlink ref="H18" r:id="rId17" xr:uid="{00000000-0004-0000-2100-000010000000}"/>
    <hyperlink ref="BS6" r:id="rId18" xr:uid="{00000000-0004-0000-2100-000011000000}"/>
    <hyperlink ref="BS8" r:id="rId19" xr:uid="{00000000-0004-0000-2100-000012000000}"/>
    <hyperlink ref="BJ6" r:id="rId20" xr:uid="{00000000-0004-0000-2100-000013000000}"/>
    <hyperlink ref="Z6" r:id="rId21" xr:uid="{00000000-0004-0000-2100-000014000000}"/>
    <hyperlink ref="BA89" r:id="rId22" xr:uid="{00000000-0004-0000-2100-000015000000}"/>
    <hyperlink ref="BA50" r:id="rId23" xr:uid="{00000000-0004-0000-2100-000016000000}"/>
    <hyperlink ref="BA62" r:id="rId24" display="haskinsyung@gilman-group.com" xr:uid="{00000000-0004-0000-2100-000017000000}"/>
    <hyperlink ref="BA55" r:id="rId25" xr:uid="{00000000-0004-0000-2100-000018000000}"/>
    <hyperlink ref="BA86" r:id="rId26" xr:uid="{00000000-0004-0000-2100-000019000000}"/>
    <hyperlink ref="BA82" r:id="rId27" xr:uid="{00000000-0004-0000-2100-00001A000000}"/>
    <hyperlink ref="BA83" r:id="rId28" xr:uid="{00000000-0004-0000-2100-00001B000000}"/>
    <hyperlink ref="Q6" r:id="rId29" xr:uid="{00000000-0004-0000-2100-00001C000000}"/>
    <hyperlink ref="Q9" r:id="rId30" xr:uid="{00000000-0004-0000-2100-00001D000000}"/>
    <hyperlink ref="Q12" r:id="rId31" xr:uid="{00000000-0004-0000-2100-00001E000000}"/>
    <hyperlink ref="BA77" r:id="rId32" xr:uid="{00000000-0004-0000-2100-00001F000000}"/>
    <hyperlink ref="AI10" r:id="rId33" xr:uid="{00000000-0004-0000-2100-000020000000}"/>
    <hyperlink ref="BA19" r:id="rId34" xr:uid="{00000000-0004-0000-2100-000021000000}"/>
    <hyperlink ref="AI6" r:id="rId35" xr:uid="{00000000-0004-0000-2100-000022000000}"/>
    <hyperlink ref="AI12" r:id="rId36" xr:uid="{00000000-0004-0000-2100-000023000000}"/>
    <hyperlink ref="AI15" r:id="rId37" xr:uid="{00000000-0004-0000-2100-000024000000}"/>
    <hyperlink ref="Z8" r:id="rId38" xr:uid="{00000000-0004-0000-2100-000025000000}"/>
    <hyperlink ref="Z10" r:id="rId39" xr:uid="{00000000-0004-0000-2100-000026000000}"/>
    <hyperlink ref="AI19" r:id="rId40" xr:uid="{00000000-0004-0000-2100-000027000000}"/>
    <hyperlink ref="BJ9" r:id="rId41" display="allen@saiver-welaire.com.hk" xr:uid="{00000000-0004-0000-2100-000028000000}"/>
    <hyperlink ref="BA47" r:id="rId42" xr:uid="{00000000-0004-0000-2100-000029000000}"/>
    <hyperlink ref="BA49" r:id="rId43" xr:uid="{00000000-0004-0000-2100-00002A000000}"/>
    <hyperlink ref="BA42" r:id="rId44" xr:uid="{00000000-0004-0000-2100-00002B000000}"/>
    <hyperlink ref="AI21" r:id="rId45" display="billy.cheng@chinney-eng.com" xr:uid="{00000000-0004-0000-2100-00002C000000}"/>
    <hyperlink ref="BJ10" r:id="rId46" display="raymond@saiver-welaire.com.hk" xr:uid="{00000000-0004-0000-2100-00002D000000}"/>
    <hyperlink ref="CB6" r:id="rId47" xr:uid="{00000000-0004-0000-2100-00002E000000}"/>
    <hyperlink ref="H15" r:id="rId48" xr:uid="{00000000-0004-0000-2100-00002F000000}"/>
    <hyperlink ref="H9" r:id="rId49" xr:uid="{00000000-0004-0000-2100-000030000000}"/>
    <hyperlink ref="AI8" r:id="rId50" xr:uid="{00000000-0004-0000-2100-000031000000}"/>
    <hyperlink ref="H24" r:id="rId51" xr:uid="{00000000-0004-0000-2100-000032000000}"/>
    <hyperlink ref="AR6" r:id="rId52" xr:uid="{00000000-0004-0000-2100-000033000000}"/>
    <hyperlink ref="AR7" r:id="rId53" xr:uid="{00000000-0004-0000-2100-000034000000}"/>
    <hyperlink ref="AR9" r:id="rId54" xr:uid="{00000000-0004-0000-2100-000035000000}"/>
    <hyperlink ref="AR11" r:id="rId55" xr:uid="{00000000-0004-0000-2100-000036000000}"/>
    <hyperlink ref="BA91" r:id="rId56" xr:uid="{00000000-0004-0000-2100-000037000000}"/>
    <hyperlink ref="Z14" r:id="rId57" display="sale6@e-IAQ.com" xr:uid="{00000000-0004-0000-2100-000038000000}"/>
    <hyperlink ref="BA44" r:id="rId58" xr:uid="{00000000-0004-0000-2100-000039000000}"/>
    <hyperlink ref="BA12" r:id="rId59" xr:uid="{00000000-0004-0000-2100-00003A000000}"/>
    <hyperlink ref="BA13" r:id="rId60" xr:uid="{00000000-0004-0000-2100-00003B000000}"/>
    <hyperlink ref="BA6" r:id="rId61" xr:uid="{00000000-0004-0000-2100-00003C000000}"/>
    <hyperlink ref="BA7" r:id="rId62" xr:uid="{00000000-0004-0000-2100-00003D000000}"/>
    <hyperlink ref="BA8" r:id="rId63" xr:uid="{00000000-0004-0000-2100-00003E000000}"/>
    <hyperlink ref="BA9" r:id="rId64" xr:uid="{00000000-0004-0000-2100-00003F000000}"/>
    <hyperlink ref="BA57" r:id="rId65" xr:uid="{00000000-0004-0000-2100-000040000000}"/>
    <hyperlink ref="BA68" r:id="rId66" xr:uid="{00000000-0004-0000-2100-000041000000}"/>
    <hyperlink ref="CK6" r:id="rId67" xr:uid="{00000000-0004-0000-2100-000042000000}"/>
    <hyperlink ref="Q7" r:id="rId68" xr:uid="{00000000-0004-0000-2100-000043000000}"/>
    <hyperlink ref="BA48" r:id="rId69" xr:uid="{00000000-0004-0000-2100-000044000000}"/>
    <hyperlink ref="H16" r:id="rId70" display="samson.kam-hang.lam@jci.com " xr:uid="{00000000-0004-0000-2100-000045000000}"/>
    <hyperlink ref="H21" r:id="rId71" xr:uid="{00000000-0004-0000-2100-000046000000}"/>
    <hyperlink ref="BA15" r:id="rId72" xr:uid="{00000000-0004-0000-2100-000047000000}"/>
    <hyperlink ref="BA45" r:id="rId73" xr:uid="{00000000-0004-0000-2100-000048000000}"/>
    <hyperlink ref="BA33" r:id="rId74" display="atong@alpha-general.com" xr:uid="{00000000-0004-0000-2100-000049000000}"/>
    <hyperlink ref="AI17" r:id="rId75" xr:uid="{00000000-0004-0000-2100-00004A000000}"/>
    <hyperlink ref="Z9" r:id="rId76" xr:uid="{00000000-0004-0000-2100-00004B000000}"/>
    <hyperlink ref="BJ8" r:id="rId77" display="tony@saiver-welaire.com.hk" xr:uid="{00000000-0004-0000-2100-00004C000000}"/>
    <hyperlink ref="BA73" r:id="rId78" xr:uid="{00000000-0004-0000-2100-00004D000000}"/>
    <hyperlink ref="AI23" r:id="rId79" xr:uid="{00000000-0004-0000-2100-00004E000000}"/>
    <hyperlink ref="AI13" r:id="rId80" xr:uid="{00000000-0004-0000-2100-00004F000000}"/>
    <hyperlink ref="BA23" r:id="rId81" xr:uid="{00000000-0004-0000-2100-000050000000}"/>
    <hyperlink ref="BA16" r:id="rId82" xr:uid="{00000000-0004-0000-2100-000051000000}"/>
    <hyperlink ref="BA26" r:id="rId83" xr:uid="{00000000-0004-0000-2100-000052000000}"/>
    <hyperlink ref="BA27" r:id="rId84" xr:uid="{00000000-0004-0000-2100-000053000000}"/>
    <hyperlink ref="BA17" r:id="rId85" xr:uid="{00000000-0004-0000-2100-000054000000}"/>
    <hyperlink ref="BA95" r:id="rId86" xr:uid="{00000000-0004-0000-2100-000055000000}"/>
    <hyperlink ref="BA79" r:id="rId87" xr:uid="{00000000-0004-0000-2100-000056000000}"/>
    <hyperlink ref="BA40" r:id="rId88" xr:uid="{00000000-0004-0000-2100-000057000000}"/>
    <hyperlink ref="BA92" r:id="rId89" xr:uid="{00000000-0004-0000-2100-000058000000}"/>
    <hyperlink ref="Q10" r:id="rId90" xr:uid="{00000000-0004-0000-2100-000059000000}"/>
    <hyperlink ref="Q17" r:id="rId91" xr:uid="{00000000-0004-0000-2100-00005A000000}"/>
    <hyperlink ref="Q19" r:id="rId92" xr:uid="{00000000-0004-0000-2100-00005B000000}"/>
    <hyperlink ref="CK10" r:id="rId93" xr:uid="{00000000-0004-0000-2100-00005C000000}"/>
    <hyperlink ref="Z12" r:id="rId94" xr:uid="{00000000-0004-0000-2100-00005D000000}"/>
    <hyperlink ref="Q23" r:id="rId95" xr:uid="{00000000-0004-0000-2100-00005E000000}"/>
    <hyperlink ref="Q26" r:id="rId96" xr:uid="{00000000-0004-0000-2100-00005F000000}"/>
    <hyperlink ref="H26" r:id="rId97" xr:uid="{00000000-0004-0000-2100-000060000000}"/>
    <hyperlink ref="Z16" r:id="rId98" xr:uid="{00000000-0004-0000-2100-000061000000}"/>
    <hyperlink ref="BA93" r:id="rId99" xr:uid="{00000000-0004-0000-2100-000062000000}"/>
    <hyperlink ref="H28" r:id="rId100" xr:uid="{00000000-0004-0000-2100-000063000000}"/>
    <hyperlink ref="CT7" r:id="rId101" xr:uid="{00000000-0004-0000-2100-000064000000}"/>
    <hyperlink ref="CT8" r:id="rId102" xr:uid="{00000000-0004-0000-2100-000065000000}"/>
    <hyperlink ref="CT6" r:id="rId103" xr:uid="{00000000-0004-0000-2100-000066000000}"/>
    <hyperlink ref="DC6" r:id="rId104" xr:uid="{00000000-0004-0000-2100-000067000000}"/>
    <hyperlink ref="DL6" r:id="rId105" xr:uid="{00000000-0004-0000-2100-000068000000}"/>
    <hyperlink ref="DL8" r:id="rId106" xr:uid="{00000000-0004-0000-2100-000069000000}"/>
    <hyperlink ref="Q15" r:id="rId107" xr:uid="{00000000-0004-0000-2100-00006A000000}"/>
    <hyperlink ref="H14" r:id="rId108" xr:uid="{00000000-0004-0000-2100-00006B000000}"/>
    <hyperlink ref="Q28" r:id="rId109" xr:uid="{00000000-0004-0000-2100-00006C000000}"/>
    <hyperlink ref="BS10" r:id="rId110" xr:uid="{00000000-0004-0000-2100-00006D000000}"/>
    <hyperlink ref="BS11" r:id="rId111" xr:uid="{00000000-0004-0000-2100-00006E000000}"/>
    <hyperlink ref="BA53" r:id="rId112" xr:uid="{00000000-0004-0000-2100-00006F000000}"/>
  </hyperlinks>
  <pageMargins left="0.75" right="0.75" top="1" bottom="1" header="0.5" footer="0.5"/>
  <pageSetup paperSize="9" scale="61" fitToHeight="0" orientation="landscape" r:id="rId113"/>
  <headerFooter alignWithMargins="0">
    <oddFooter>&amp;R&amp;8Developed by Benjamin Leung</oddFooter>
  </headerFooter>
  <drawing r:id="rId114"/>
  <legacyDrawing r:id="rId115"/>
  <mc:AlternateContent xmlns:mc="http://schemas.openxmlformats.org/markup-compatibility/2006">
    <mc:Choice Requires="x14">
      <controls>
        <mc:AlternateContent xmlns:mc="http://schemas.openxmlformats.org/markup-compatibility/2006">
          <mc:Choice Requires="x14">
            <control shapeId="174081" r:id="rId116" name="Button 1">
              <controlPr defaultSize="0" autoFill="0" autoPict="0" macro="[0]!Home">
                <anchor moveWithCells="1">
                  <from>
                    <xdr:col>1</xdr:col>
                    <xdr:colOff>0</xdr:colOff>
                    <xdr:row>2</xdr:row>
                    <xdr:rowOff>146050</xdr:rowOff>
                  </from>
                  <to>
                    <xdr:col>2</xdr:col>
                    <xdr:colOff>584200</xdr:colOff>
                    <xdr:row>4</xdr:row>
                    <xdr:rowOff>114300</xdr:rowOff>
                  </to>
                </anchor>
              </controlPr>
            </control>
          </mc:Choice>
        </mc:AlternateContent>
        <mc:AlternateContent xmlns:mc="http://schemas.openxmlformats.org/markup-compatibility/2006">
          <mc:Choice Requires="x14">
            <control shapeId="174101" r:id="rId117" name="Option Button 21">
              <controlPr defaultSize="0" autoFill="0" autoLine="0" autoPict="0" macro="[0]!Sup_BMS">
                <anchor>
                  <from>
                    <xdr:col>1</xdr:col>
                    <xdr:colOff>57150</xdr:colOff>
                    <xdr:row>14</xdr:row>
                    <xdr:rowOff>127000</xdr:rowOff>
                  </from>
                  <to>
                    <xdr:col>2</xdr:col>
                    <xdr:colOff>869950</xdr:colOff>
                    <xdr:row>15</xdr:row>
                    <xdr:rowOff>146050</xdr:rowOff>
                  </to>
                </anchor>
              </controlPr>
            </control>
          </mc:Choice>
        </mc:AlternateContent>
        <mc:AlternateContent xmlns:mc="http://schemas.openxmlformats.org/markup-compatibility/2006">
          <mc:Choice Requires="x14">
            <control shapeId="174102" r:id="rId118" name="Option Button 22">
              <controlPr defaultSize="0" autoFill="0" autoLine="0" autoPict="0" macro="[0]!Sup_Cupipe">
                <anchor>
                  <from>
                    <xdr:col>1</xdr:col>
                    <xdr:colOff>57150</xdr:colOff>
                    <xdr:row>15</xdr:row>
                    <xdr:rowOff>127000</xdr:rowOff>
                  </from>
                  <to>
                    <xdr:col>2</xdr:col>
                    <xdr:colOff>869950</xdr:colOff>
                    <xdr:row>17</xdr:row>
                    <xdr:rowOff>0</xdr:rowOff>
                  </to>
                </anchor>
              </controlPr>
            </control>
          </mc:Choice>
        </mc:AlternateContent>
        <mc:AlternateContent xmlns:mc="http://schemas.openxmlformats.org/markup-compatibility/2006">
          <mc:Choice Requires="x14">
            <control shapeId="174103" r:id="rId119" name="Option Button 23">
              <controlPr defaultSize="0" autoFill="0" autoLine="0" autoPict="0" macro="[0]!Sup_Insul">
                <anchor>
                  <from>
                    <xdr:col>1</xdr:col>
                    <xdr:colOff>57150</xdr:colOff>
                    <xdr:row>16</xdr:row>
                    <xdr:rowOff>133350</xdr:rowOff>
                  </from>
                  <to>
                    <xdr:col>2</xdr:col>
                    <xdr:colOff>869950</xdr:colOff>
                    <xdr:row>18</xdr:row>
                    <xdr:rowOff>12700</xdr:rowOff>
                  </to>
                </anchor>
              </controlPr>
            </control>
          </mc:Choice>
        </mc:AlternateContent>
        <mc:AlternateContent xmlns:mc="http://schemas.openxmlformats.org/markup-compatibility/2006">
          <mc:Choice Requires="x14">
            <control shapeId="174094" r:id="rId120" name="Option Button 14">
              <controlPr defaultSize="0" autoFill="0" autoLine="0" autoPict="0" macro="[0]!Sup_chiller">
                <anchor>
                  <from>
                    <xdr:col>1</xdr:col>
                    <xdr:colOff>57150</xdr:colOff>
                    <xdr:row>5</xdr:row>
                    <xdr:rowOff>38100</xdr:rowOff>
                  </from>
                  <to>
                    <xdr:col>2</xdr:col>
                    <xdr:colOff>869950</xdr:colOff>
                    <xdr:row>6</xdr:row>
                    <xdr:rowOff>57150</xdr:rowOff>
                  </to>
                </anchor>
              </controlPr>
            </control>
          </mc:Choice>
        </mc:AlternateContent>
        <mc:AlternateContent xmlns:mc="http://schemas.openxmlformats.org/markup-compatibility/2006">
          <mc:Choice Requires="x14">
            <control shapeId="174095" r:id="rId121" name="Option Button 15">
              <controlPr defaultSize="0" autoFill="0" autoLine="0" autoPict="0" macro="[0]!Sup_CT">
                <anchor>
                  <from>
                    <xdr:col>1</xdr:col>
                    <xdr:colOff>57150</xdr:colOff>
                    <xdr:row>6</xdr:row>
                    <xdr:rowOff>38100</xdr:rowOff>
                  </from>
                  <to>
                    <xdr:col>2</xdr:col>
                    <xdr:colOff>869950</xdr:colOff>
                    <xdr:row>7</xdr:row>
                    <xdr:rowOff>69850</xdr:rowOff>
                  </to>
                </anchor>
              </controlPr>
            </control>
          </mc:Choice>
        </mc:AlternateContent>
        <mc:AlternateContent xmlns:mc="http://schemas.openxmlformats.org/markup-compatibility/2006">
          <mc:Choice Requires="x14">
            <control shapeId="174096" r:id="rId122" name="Option Button 16">
              <controlPr defaultSize="0" autoFill="0" autoLine="0" autoPict="0" macro="[0]!Sup_HP">
                <anchor>
                  <from>
                    <xdr:col>1</xdr:col>
                    <xdr:colOff>57150</xdr:colOff>
                    <xdr:row>7</xdr:row>
                    <xdr:rowOff>209550</xdr:rowOff>
                  </from>
                  <to>
                    <xdr:col>2</xdr:col>
                    <xdr:colOff>869950</xdr:colOff>
                    <xdr:row>8</xdr:row>
                    <xdr:rowOff>88900</xdr:rowOff>
                  </to>
                </anchor>
              </controlPr>
            </control>
          </mc:Choice>
        </mc:AlternateContent>
        <mc:AlternateContent xmlns:mc="http://schemas.openxmlformats.org/markup-compatibility/2006">
          <mc:Choice Requires="x14">
            <control shapeId="174097" r:id="rId123" name="Option Button 17">
              <controlPr defaultSize="0" autoFill="0" autoLine="0" autoPict="0" macro="[0]!Sup_Fan">
                <anchor>
                  <from>
                    <xdr:col>1</xdr:col>
                    <xdr:colOff>57150</xdr:colOff>
                    <xdr:row>8</xdr:row>
                    <xdr:rowOff>69850</xdr:rowOff>
                  </from>
                  <to>
                    <xdr:col>2</xdr:col>
                    <xdr:colOff>869950</xdr:colOff>
                    <xdr:row>9</xdr:row>
                    <xdr:rowOff>95250</xdr:rowOff>
                  </to>
                </anchor>
              </controlPr>
            </control>
          </mc:Choice>
        </mc:AlternateContent>
        <mc:AlternateContent xmlns:mc="http://schemas.openxmlformats.org/markup-compatibility/2006">
          <mc:Choice Requires="x14">
            <control shapeId="174098" r:id="rId124" name="Option Button 18">
              <controlPr defaultSize="0" autoFill="0" autoLine="0" autoPict="0" macro="[0]!Sup_Diff">
                <anchor>
                  <from>
                    <xdr:col>1</xdr:col>
                    <xdr:colOff>57150</xdr:colOff>
                    <xdr:row>9</xdr:row>
                    <xdr:rowOff>76200</xdr:rowOff>
                  </from>
                  <to>
                    <xdr:col>2</xdr:col>
                    <xdr:colOff>869950</xdr:colOff>
                    <xdr:row>10</xdr:row>
                    <xdr:rowOff>107950</xdr:rowOff>
                  </to>
                </anchor>
              </controlPr>
            </control>
          </mc:Choice>
        </mc:AlternateContent>
        <mc:AlternateContent xmlns:mc="http://schemas.openxmlformats.org/markup-compatibility/2006">
          <mc:Choice Requires="x14">
            <control shapeId="174099" r:id="rId125" name="Option Button 19">
              <controlPr defaultSize="0" autoFill="0" autoLine="0" autoPict="0" macro="[0]!Sup_SAC">
                <anchor>
                  <from>
                    <xdr:col>1</xdr:col>
                    <xdr:colOff>57150</xdr:colOff>
                    <xdr:row>10</xdr:row>
                    <xdr:rowOff>88900</xdr:rowOff>
                  </from>
                  <to>
                    <xdr:col>2</xdr:col>
                    <xdr:colOff>869950</xdr:colOff>
                    <xdr:row>11</xdr:row>
                    <xdr:rowOff>114300</xdr:rowOff>
                  </to>
                </anchor>
              </controlPr>
            </control>
          </mc:Choice>
        </mc:AlternateContent>
        <mc:AlternateContent xmlns:mc="http://schemas.openxmlformats.org/markup-compatibility/2006">
          <mc:Choice Requires="x14">
            <control shapeId="174100" r:id="rId126" name="Option Button 20">
              <controlPr defaultSize="0" autoFill="0" autoLine="0" autoPict="0" macro="[0]!Sup_DXAHU">
                <anchor>
                  <from>
                    <xdr:col>1</xdr:col>
                    <xdr:colOff>57150</xdr:colOff>
                    <xdr:row>11</xdr:row>
                    <xdr:rowOff>95250</xdr:rowOff>
                  </from>
                  <to>
                    <xdr:col>2</xdr:col>
                    <xdr:colOff>869950</xdr:colOff>
                    <xdr:row>12</xdr:row>
                    <xdr:rowOff>127000</xdr:rowOff>
                  </to>
                </anchor>
              </controlPr>
            </control>
          </mc:Choice>
        </mc:AlternateContent>
        <mc:AlternateContent xmlns:mc="http://schemas.openxmlformats.org/markup-compatibility/2006">
          <mc:Choice Requires="x14">
            <control shapeId="174104" r:id="rId127" name="Option Button 24">
              <controlPr defaultSize="0" autoFill="0" autoLine="0" autoPict="0" macro="[0]!Sup_Hx">
                <anchor>
                  <from>
                    <xdr:col>1</xdr:col>
                    <xdr:colOff>57150</xdr:colOff>
                    <xdr:row>7</xdr:row>
                    <xdr:rowOff>50800</xdr:rowOff>
                  </from>
                  <to>
                    <xdr:col>2</xdr:col>
                    <xdr:colOff>869950</xdr:colOff>
                    <xdr:row>7</xdr:row>
                    <xdr:rowOff>228600</xdr:rowOff>
                  </to>
                </anchor>
              </controlPr>
            </control>
          </mc:Choice>
        </mc:AlternateContent>
        <mc:AlternateContent xmlns:mc="http://schemas.openxmlformats.org/markup-compatibility/2006">
          <mc:Choice Requires="x14">
            <control shapeId="174105" r:id="rId128" name="Option Button 25">
              <controlPr defaultSize="0" autoFill="0" autoLine="0" autoPict="0" macro="[0]!Sup_Silencer">
                <anchor>
                  <from>
                    <xdr:col>1</xdr:col>
                    <xdr:colOff>57150</xdr:colOff>
                    <xdr:row>13</xdr:row>
                    <xdr:rowOff>114300</xdr:rowOff>
                  </from>
                  <to>
                    <xdr:col>2</xdr:col>
                    <xdr:colOff>869950</xdr:colOff>
                    <xdr:row>14</xdr:row>
                    <xdr:rowOff>146050</xdr:rowOff>
                  </to>
                </anchor>
              </controlPr>
            </control>
          </mc:Choice>
        </mc:AlternateContent>
        <mc:AlternateContent xmlns:mc="http://schemas.openxmlformats.org/markup-compatibility/2006">
          <mc:Choice Requires="x14">
            <control shapeId="174106" r:id="rId129" name="Option Button 26">
              <controlPr defaultSize="0" autoFill="0" autoLine="0" autoPict="0" macro="[0]!Sup_beam">
                <anchor>
                  <from>
                    <xdr:col>1</xdr:col>
                    <xdr:colOff>57150</xdr:colOff>
                    <xdr:row>12</xdr:row>
                    <xdr:rowOff>107950</xdr:rowOff>
                  </from>
                  <to>
                    <xdr:col>2</xdr:col>
                    <xdr:colOff>869950</xdr:colOff>
                    <xdr:row>13</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34</vt:i4>
      </vt:variant>
      <vt:variant>
        <vt:lpstr>具名範圍</vt:lpstr>
      </vt:variant>
      <vt:variant>
        <vt:i4>20</vt:i4>
      </vt:variant>
    </vt:vector>
  </HeadingPairs>
  <TitlesOfParts>
    <vt:vector size="54" baseType="lpstr">
      <vt:lpstr>Home</vt:lpstr>
      <vt:lpstr>Air-side</vt:lpstr>
      <vt:lpstr>Coil</vt:lpstr>
      <vt:lpstr>Coil Support</vt:lpstr>
      <vt:lpstr>Wheel</vt:lpstr>
      <vt:lpstr>Wheel Support</vt:lpstr>
      <vt:lpstr>Psychrometric Chart</vt:lpstr>
      <vt:lpstr>Supporting 1</vt:lpstr>
      <vt:lpstr>Supporting 2</vt:lpstr>
      <vt:lpstr>Supporting 2.1</vt:lpstr>
      <vt:lpstr>Supporting 3</vt:lpstr>
      <vt:lpstr>Supporting 3.1</vt:lpstr>
      <vt:lpstr>Supporting 4</vt:lpstr>
      <vt:lpstr>Supporting 4.1</vt:lpstr>
      <vt:lpstr>Supproting 5</vt:lpstr>
      <vt:lpstr>Supporting 5.1</vt:lpstr>
      <vt:lpstr>Supporting 6</vt:lpstr>
      <vt:lpstr>Supporting 6.1</vt:lpstr>
      <vt:lpstr>Pipe Sizing</vt:lpstr>
      <vt:lpstr>Motor</vt:lpstr>
      <vt:lpstr>Acoustics</vt:lpstr>
      <vt:lpstr>Chiller</vt:lpstr>
      <vt:lpstr>Boiler</vt:lpstr>
      <vt:lpstr>Hx</vt:lpstr>
      <vt:lpstr>AHU</vt:lpstr>
      <vt:lpstr>Fan</vt:lpstr>
      <vt:lpstr>FCU</vt:lpstr>
      <vt:lpstr>SAC</vt:lpstr>
      <vt:lpstr>Insulations</vt:lpstr>
      <vt:lpstr>PN</vt:lpstr>
      <vt:lpstr>NPSH</vt:lpstr>
      <vt:lpstr>SPF(PRC)</vt:lpstr>
      <vt:lpstr>Website</vt:lpstr>
      <vt:lpstr>Supplier</vt:lpstr>
      <vt:lpstr>AHU!Print_Area</vt:lpstr>
      <vt:lpstr>'Air-side'!Print_Area</vt:lpstr>
      <vt:lpstr>Boiler!Print_Area</vt:lpstr>
      <vt:lpstr>Chiller!Print_Area</vt:lpstr>
      <vt:lpstr>Coil!Print_Area</vt:lpstr>
      <vt:lpstr>Fan!Print_Area</vt:lpstr>
      <vt:lpstr>FCU!Print_Area</vt:lpstr>
      <vt:lpstr>Home!Print_Area</vt:lpstr>
      <vt:lpstr>Hx!Print_Area</vt:lpstr>
      <vt:lpstr>Insulations!Print_Area</vt:lpstr>
      <vt:lpstr>Motor!Print_Area</vt:lpstr>
      <vt:lpstr>NPSH!Print_Area</vt:lpstr>
      <vt:lpstr>'Pipe Sizing'!Print_Area</vt:lpstr>
      <vt:lpstr>PN!Print_Area</vt:lpstr>
      <vt:lpstr>'Psychrometric Chart'!Print_Area</vt:lpstr>
      <vt:lpstr>SAC!Print_Area</vt:lpstr>
      <vt:lpstr>'SPF(PRC)'!Print_Area</vt:lpstr>
      <vt:lpstr>Supplier!Print_Area</vt:lpstr>
      <vt:lpstr>Website!Print_Area</vt:lpstr>
      <vt:lpstr>Wheel!Print_Area</vt:lpstr>
    </vt:vector>
  </TitlesOfParts>
  <Manager>Benjamin.Leung@WSPGroup.com.hk</Manager>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HVAC Toolbox</dc:title>
  <dc:creator>Benjamin Leung</dc:creator>
  <cp:keywords>HVAC Toolbox</cp:keywords>
  <cp:lastModifiedBy>ka yin ng</cp:lastModifiedBy>
  <cp:lastPrinted>2016-04-08T03:31:46Z</cp:lastPrinted>
  <dcterms:created xsi:type="dcterms:W3CDTF">2008-05-20T06:10:19Z</dcterms:created>
  <dcterms:modified xsi:type="dcterms:W3CDTF">2026-09-12T18:29:49Z</dcterms:modified>
</cp:coreProperties>
</file>